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4B1C7FD-8B37-4FC1-A4B3-2E1504EB9735}" xr6:coauthVersionLast="47" xr6:coauthVersionMax="47" xr10:uidLastSave="{00000000-0000-0000-0000-000000000000}"/>
  <bookViews>
    <workbookView xWindow="-108" yWindow="-108" windowWidth="23256" windowHeight="13896" firstSheet="19" activeTab="19" xr2:uid="{00000000-000D-0000-FFFF-FFFF00000000}"/>
  </bookViews>
  <sheets>
    <sheet name="Cover" sheetId="1" state="hidden" r:id="rId1"/>
    <sheet name="Sommaire" sheetId="2" state="hidden" r:id="rId2"/>
    <sheet name="&lt;&lt;Social&gt;&gt;" sheetId="3" state="hidden" r:id="rId3"/>
    <sheet name="BG " sheetId="4" state="hidden" r:id="rId4"/>
    <sheet name="Bilan Actif" sheetId="5" state="hidden" r:id="rId5"/>
    <sheet name="Bilan Passif " sheetId="6" state="hidden" r:id="rId6"/>
    <sheet name="Compte de résultat" sheetId="7" state="hidden" r:id="rId7"/>
    <sheet name="&lt;&lt;Matrice OHADA-IFRS&gt;&gt;" sheetId="8" state="hidden" r:id="rId8"/>
    <sheet name="Passage Actif BC " sheetId="9" state="hidden" r:id="rId9"/>
    <sheet name="Passage Passif BC " sheetId="10" state="hidden" r:id="rId10"/>
    <sheet name="Passage P&amp;L-par nature" sheetId="11" state="hidden" r:id="rId11"/>
    <sheet name="Feuil3" sheetId="37" state="hidden" r:id="rId12"/>
    <sheet name="Passage P&amp;L-par fonction" sheetId="12" state="hidden" r:id="rId13"/>
    <sheet name="Bilan-par flux" sheetId="13" state="hidden" r:id="rId14"/>
    <sheet name="&lt;&lt;IFRS&gt;&gt;" sheetId="14" state="hidden" r:id="rId15"/>
    <sheet name="Bilan (restit)" sheetId="15" state="hidden" r:id="rId16"/>
    <sheet name="P&amp;L-par nature (restit)" sheetId="16" state="hidden" r:id="rId17"/>
    <sheet name="P&amp;L-par fonction (restit)" sheetId="17" state="hidden" r:id="rId18"/>
    <sheet name="&lt;&lt;Annexes&gt;&gt; " sheetId="18" state="hidden" r:id="rId19"/>
    <sheet name="Cartes SIM" sheetId="19" r:id="rId20"/>
    <sheet name="FND-Dettes Fi à LT " sheetId="20" state="hidden" r:id="rId21"/>
    <sheet name="FND-Dettes fi à CT" sheetId="21" state="hidden" r:id="rId22"/>
    <sheet name="PIDR (2)" sheetId="31" state="hidden" r:id="rId23"/>
    <sheet name="PIDR" sheetId="22" state="hidden" r:id="rId24"/>
    <sheet name="Détails des Charges ope" sheetId="23" state="hidden" r:id="rId25"/>
    <sheet name="Activation" sheetId="24" r:id="rId26"/>
    <sheet name="Emprunt BABE" sheetId="25" state="hidden" r:id="rId27"/>
    <sheet name="Amortissment Coris" sheetId="27" state="hidden" r:id="rId28"/>
    <sheet name="SYNTHESE BOA" sheetId="36" state="hidden" r:id="rId29"/>
    <sheet name="Amortissment boa" sheetId="28" state="hidden" r:id="rId30"/>
    <sheet name="TABLEAU CBAO" sheetId="35" state="hidden" r:id="rId31"/>
    <sheet name="Amortissment Cboa" sheetId="29" state="hidden" r:id="rId32"/>
    <sheet name="Emprunt ACE" sheetId="26" state="hidden" r:id="rId33"/>
    <sheet name="Impacts_IFRS.16-09" sheetId="30" state="hidden" r:id="rId34"/>
    <sheet name="Feuil1" sheetId="33" state="hidden" r:id="rId35"/>
    <sheet name="Taxe 5%" sheetId="32" state="hidden" r:id="rId36"/>
    <sheet name="COMMISSION MM" sheetId="34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\e">#N/A</definedName>
    <definedName name="\M" localSheetId="29">#REF!</definedName>
    <definedName name="\M" localSheetId="31">#REF!</definedName>
    <definedName name="\M" localSheetId="28">#REF!</definedName>
    <definedName name="\M" localSheetId="35">#REF!</definedName>
    <definedName name="\M">#REF!</definedName>
    <definedName name="\p" localSheetId="18">'[1]Cur Q v Plan'!#REF!</definedName>
    <definedName name="\p" localSheetId="25">'[1]Cur Q v Plan'!#REF!</definedName>
    <definedName name="\p" localSheetId="29">'[1]Cur Q v Plan'!#REF!</definedName>
    <definedName name="\p" localSheetId="31">'[1]Cur Q v Plan'!#REF!</definedName>
    <definedName name="\p" localSheetId="15">'[1]Cur Q v Plan'!#REF!</definedName>
    <definedName name="\p" localSheetId="13">'[1]Cur Q v Plan'!#REF!</definedName>
    <definedName name="\p" localSheetId="19">'[1]Cur Q v Plan'!#REF!</definedName>
    <definedName name="\p" localSheetId="17">'[1]Cur Q v Plan'!#REF!</definedName>
    <definedName name="\p" localSheetId="12">'[1]Cur Q v Plan'!#REF!</definedName>
    <definedName name="\p" localSheetId="22">'[2]Cur Q v Plan'!#REF!</definedName>
    <definedName name="\p" localSheetId="28">'[1]Cur Q v Plan'!#REF!</definedName>
    <definedName name="\p" localSheetId="35">'[1]Cur Q v Plan'!#REF!</definedName>
    <definedName name="\p">'[1]Cur Q v Plan'!#REF!</definedName>
    <definedName name="\r">#N/A</definedName>
    <definedName name="\t">#N/A</definedName>
    <definedName name="_">#N/A</definedName>
    <definedName name="_???">#N/A</definedName>
    <definedName name="__" localSheetId="25" hidden="1">{"subs",#N/A,FALSE,"database ";"proportional",#N/A,FALSE,"database "}</definedName>
    <definedName name="__" localSheetId="19" hidden="1">{"subs",#N/A,FALSE,"database ";"proportional",#N/A,FALSE,"database "}</definedName>
    <definedName name="__" localSheetId="22" hidden="1">{"subs",#N/A,FALSE,"database ";"proportional",#N/A,FALSE,"database "}</definedName>
    <definedName name="__" localSheetId="28" hidden="1">{"subs",#N/A,FALSE,"database ";"proportional",#N/A,FALSE,"database "}</definedName>
    <definedName name="__" localSheetId="35" hidden="1">{"subs",#N/A,FALSE,"database ";"proportional",#N/A,FALSE,"database "}</definedName>
    <definedName name="__" hidden="1">{"subs",#N/A,FALSE,"database ";"proportional",#N/A,FALSE,"database "}</definedName>
    <definedName name="__???">#N/A</definedName>
    <definedName name="___???">#N/A</definedName>
    <definedName name="____???">#N/A</definedName>
    <definedName name="_____???">#N/A</definedName>
    <definedName name="______???">#N/A</definedName>
    <definedName name="_______???">#N/A</definedName>
    <definedName name="________???">#N/A</definedName>
    <definedName name="__________________________R" localSheetId="18">#REF!</definedName>
    <definedName name="__________________________R" localSheetId="25">#REF!</definedName>
    <definedName name="__________________________R" localSheetId="29">#REF!</definedName>
    <definedName name="__________________________R" localSheetId="31">#REF!</definedName>
    <definedName name="__________________________R" localSheetId="15">#REF!</definedName>
    <definedName name="__________________________R" localSheetId="13">#REF!</definedName>
    <definedName name="__________________________R" localSheetId="17">#REF!</definedName>
    <definedName name="__________________________R" localSheetId="12">#REF!</definedName>
    <definedName name="__________________________R" localSheetId="22">#REF!</definedName>
    <definedName name="__________________________R" localSheetId="28">#REF!</definedName>
    <definedName name="__________________________R" localSheetId="35">#REF!</definedName>
    <definedName name="__________________________R">#REF!</definedName>
    <definedName name="__________________________SC16" localSheetId="18">#REF!</definedName>
    <definedName name="__________________________SC16" localSheetId="25">#REF!</definedName>
    <definedName name="__________________________SC16" localSheetId="29">#REF!</definedName>
    <definedName name="__________________________SC16" localSheetId="31">#REF!</definedName>
    <definedName name="__________________________SC16" localSheetId="15">#REF!</definedName>
    <definedName name="__________________________SC16" localSheetId="13">#REF!</definedName>
    <definedName name="__________________________SC16" localSheetId="17">#REF!</definedName>
    <definedName name="__________________________SC16" localSheetId="12">#REF!</definedName>
    <definedName name="__________________________SC16" localSheetId="22">#REF!</definedName>
    <definedName name="__________________________SC16" localSheetId="28">#REF!</definedName>
    <definedName name="__________________________SC16" localSheetId="35">#REF!</definedName>
    <definedName name="__________________________SC16">#REF!</definedName>
    <definedName name="_________________________R" localSheetId="18">#REF!</definedName>
    <definedName name="_________________________R" localSheetId="25">#REF!</definedName>
    <definedName name="_________________________R" localSheetId="29">#REF!</definedName>
    <definedName name="_________________________R" localSheetId="31">#REF!</definedName>
    <definedName name="_________________________R" localSheetId="15">#REF!</definedName>
    <definedName name="_________________________R" localSheetId="13">#REF!</definedName>
    <definedName name="_________________________R" localSheetId="17">#REF!</definedName>
    <definedName name="_________________________R" localSheetId="12">#REF!</definedName>
    <definedName name="_________________________R" localSheetId="22">#REF!</definedName>
    <definedName name="_________________________R" localSheetId="28">#REF!</definedName>
    <definedName name="_________________________R" localSheetId="35">#REF!</definedName>
    <definedName name="_________________________R">#REF!</definedName>
    <definedName name="_________________________SC16" localSheetId="18">#REF!</definedName>
    <definedName name="_________________________SC16" localSheetId="25">#REF!</definedName>
    <definedName name="_________________________SC16" localSheetId="29">#REF!</definedName>
    <definedName name="_________________________SC16" localSheetId="31">#REF!</definedName>
    <definedName name="_________________________SC16" localSheetId="15">#REF!</definedName>
    <definedName name="_________________________SC16" localSheetId="13">#REF!</definedName>
    <definedName name="_________________________SC16" localSheetId="17">#REF!</definedName>
    <definedName name="_________________________SC16" localSheetId="12">#REF!</definedName>
    <definedName name="_________________________SC16" localSheetId="22">#REF!</definedName>
    <definedName name="_________________________SC16" localSheetId="28">#REF!</definedName>
    <definedName name="_________________________SC16" localSheetId="35">#REF!</definedName>
    <definedName name="_________________________SC16">#REF!</definedName>
    <definedName name="________________________R" localSheetId="18">#REF!</definedName>
    <definedName name="________________________R" localSheetId="25">#REF!</definedName>
    <definedName name="________________________R" localSheetId="29">#REF!</definedName>
    <definedName name="________________________R" localSheetId="31">#REF!</definedName>
    <definedName name="________________________R" localSheetId="15">#REF!</definedName>
    <definedName name="________________________R" localSheetId="13">#REF!</definedName>
    <definedName name="________________________R" localSheetId="17">#REF!</definedName>
    <definedName name="________________________R" localSheetId="12">#REF!</definedName>
    <definedName name="________________________R" localSheetId="22">#REF!</definedName>
    <definedName name="________________________R" localSheetId="28">#REF!</definedName>
    <definedName name="________________________R" localSheetId="35">#REF!</definedName>
    <definedName name="________________________R">#REF!</definedName>
    <definedName name="________________________SC16" localSheetId="18">#REF!</definedName>
    <definedName name="________________________SC16" localSheetId="25">#REF!</definedName>
    <definedName name="________________________SC16" localSheetId="29">#REF!</definedName>
    <definedName name="________________________SC16" localSheetId="31">#REF!</definedName>
    <definedName name="________________________SC16" localSheetId="15">#REF!</definedName>
    <definedName name="________________________SC16" localSheetId="13">#REF!</definedName>
    <definedName name="________________________SC16" localSheetId="17">#REF!</definedName>
    <definedName name="________________________SC16" localSheetId="12">#REF!</definedName>
    <definedName name="________________________SC16" localSheetId="22">#REF!</definedName>
    <definedName name="________________________SC16" localSheetId="28">#REF!</definedName>
    <definedName name="________________________SC16" localSheetId="35">#REF!</definedName>
    <definedName name="________________________SC16">#REF!</definedName>
    <definedName name="_______________________R" localSheetId="18">#REF!</definedName>
    <definedName name="_______________________R" localSheetId="25">#REF!</definedName>
    <definedName name="_______________________R" localSheetId="29">#REF!</definedName>
    <definedName name="_______________________R" localSheetId="31">#REF!</definedName>
    <definedName name="_______________________R" localSheetId="15">#REF!</definedName>
    <definedName name="_______________________R" localSheetId="13">#REF!</definedName>
    <definedName name="_______________________R" localSheetId="17">#REF!</definedName>
    <definedName name="_______________________R" localSheetId="12">#REF!</definedName>
    <definedName name="_______________________R" localSheetId="22">#REF!</definedName>
    <definedName name="_______________________R" localSheetId="28">#REF!</definedName>
    <definedName name="_______________________R" localSheetId="35">#REF!</definedName>
    <definedName name="_______________________R">#REF!</definedName>
    <definedName name="_______________________SC16" localSheetId="18">#REF!</definedName>
    <definedName name="_______________________SC16" localSheetId="25">#REF!</definedName>
    <definedName name="_______________________SC16" localSheetId="29">#REF!</definedName>
    <definedName name="_______________________SC16" localSheetId="31">#REF!</definedName>
    <definedName name="_______________________SC16" localSheetId="15">#REF!</definedName>
    <definedName name="_______________________SC16" localSheetId="13">#REF!</definedName>
    <definedName name="_______________________SC16" localSheetId="17">#REF!</definedName>
    <definedName name="_______________________SC16" localSheetId="12">#REF!</definedName>
    <definedName name="_______________________SC16" localSheetId="22">#REF!</definedName>
    <definedName name="_______________________SC16" localSheetId="28">#REF!</definedName>
    <definedName name="_______________________SC16" localSheetId="35">#REF!</definedName>
    <definedName name="_______________________SC16">#REF!</definedName>
    <definedName name="______________________R" localSheetId="18">#REF!</definedName>
    <definedName name="______________________R" localSheetId="25">#REF!</definedName>
    <definedName name="______________________R" localSheetId="29">#REF!</definedName>
    <definedName name="______________________R" localSheetId="31">#REF!</definedName>
    <definedName name="______________________R" localSheetId="15">#REF!</definedName>
    <definedName name="______________________R" localSheetId="13">#REF!</definedName>
    <definedName name="______________________R" localSheetId="17">#REF!</definedName>
    <definedName name="______________________R" localSheetId="12">#REF!</definedName>
    <definedName name="______________________R" localSheetId="22">#REF!</definedName>
    <definedName name="______________________R" localSheetId="28">#REF!</definedName>
    <definedName name="______________________R" localSheetId="35">#REF!</definedName>
    <definedName name="______________________R">#REF!</definedName>
    <definedName name="______________________SC16" localSheetId="18">#REF!</definedName>
    <definedName name="______________________SC16" localSheetId="25">#REF!</definedName>
    <definedName name="______________________SC16" localSheetId="29">#REF!</definedName>
    <definedName name="______________________SC16" localSheetId="31">#REF!</definedName>
    <definedName name="______________________SC16" localSheetId="15">#REF!</definedName>
    <definedName name="______________________SC16" localSheetId="13">#REF!</definedName>
    <definedName name="______________________SC16" localSheetId="17">#REF!</definedName>
    <definedName name="______________________SC16" localSheetId="12">#REF!</definedName>
    <definedName name="______________________SC16" localSheetId="22">#REF!</definedName>
    <definedName name="______________________SC16" localSheetId="28">#REF!</definedName>
    <definedName name="______________________SC16" localSheetId="35">#REF!</definedName>
    <definedName name="______________________SC16">#REF!</definedName>
    <definedName name="_____________________R" localSheetId="18">#REF!</definedName>
    <definedName name="_____________________R" localSheetId="25">#REF!</definedName>
    <definedName name="_____________________R" localSheetId="29">#REF!</definedName>
    <definedName name="_____________________R" localSheetId="31">#REF!</definedName>
    <definedName name="_____________________R" localSheetId="15">#REF!</definedName>
    <definedName name="_____________________R" localSheetId="13">#REF!</definedName>
    <definedName name="_____________________R" localSheetId="17">#REF!</definedName>
    <definedName name="_____________________R" localSheetId="12">#REF!</definedName>
    <definedName name="_____________________R" localSheetId="22">#REF!</definedName>
    <definedName name="_____________________R" localSheetId="28">#REF!</definedName>
    <definedName name="_____________________R" localSheetId="35">#REF!</definedName>
    <definedName name="_____________________R">#REF!</definedName>
    <definedName name="_____________________SC16" localSheetId="18">#REF!</definedName>
    <definedName name="_____________________SC16" localSheetId="25">#REF!</definedName>
    <definedName name="_____________________SC16" localSheetId="29">#REF!</definedName>
    <definedName name="_____________________SC16" localSheetId="31">#REF!</definedName>
    <definedName name="_____________________SC16" localSheetId="15">#REF!</definedName>
    <definedName name="_____________________SC16" localSheetId="13">#REF!</definedName>
    <definedName name="_____________________SC16" localSheetId="17">#REF!</definedName>
    <definedName name="_____________________SC16" localSheetId="12">#REF!</definedName>
    <definedName name="_____________________SC16" localSheetId="22">#REF!</definedName>
    <definedName name="_____________________SC16" localSheetId="28">#REF!</definedName>
    <definedName name="_____________________SC16" localSheetId="35">#REF!</definedName>
    <definedName name="_____________________SC16">#REF!</definedName>
    <definedName name="____________________R" localSheetId="18">#REF!</definedName>
    <definedName name="____________________R" localSheetId="25">#REF!</definedName>
    <definedName name="____________________R" localSheetId="29">#REF!</definedName>
    <definedName name="____________________R" localSheetId="31">#REF!</definedName>
    <definedName name="____________________R" localSheetId="15">#REF!</definedName>
    <definedName name="____________________R" localSheetId="13">#REF!</definedName>
    <definedName name="____________________R" localSheetId="17">#REF!</definedName>
    <definedName name="____________________R" localSheetId="12">#REF!</definedName>
    <definedName name="____________________R" localSheetId="22">#REF!</definedName>
    <definedName name="____________________R" localSheetId="28">#REF!</definedName>
    <definedName name="____________________R" localSheetId="35">#REF!</definedName>
    <definedName name="____________________R">#REF!</definedName>
    <definedName name="____________________SC16" localSheetId="18">#REF!</definedName>
    <definedName name="____________________SC16" localSheetId="25">#REF!</definedName>
    <definedName name="____________________SC16" localSheetId="29">#REF!</definedName>
    <definedName name="____________________SC16" localSheetId="31">#REF!</definedName>
    <definedName name="____________________SC16" localSheetId="15">#REF!</definedName>
    <definedName name="____________________SC16" localSheetId="13">#REF!</definedName>
    <definedName name="____________________SC16" localSheetId="17">#REF!</definedName>
    <definedName name="____________________SC16" localSheetId="12">#REF!</definedName>
    <definedName name="____________________SC16" localSheetId="22">#REF!</definedName>
    <definedName name="____________________SC16" localSheetId="28">#REF!</definedName>
    <definedName name="____________________SC16" localSheetId="35">#REF!</definedName>
    <definedName name="____________________SC16">#REF!</definedName>
    <definedName name="___________________R" localSheetId="18">#REF!</definedName>
    <definedName name="___________________R" localSheetId="25">#REF!</definedName>
    <definedName name="___________________R" localSheetId="29">#REF!</definedName>
    <definedName name="___________________R" localSheetId="31">#REF!</definedName>
    <definedName name="___________________R" localSheetId="15">#REF!</definedName>
    <definedName name="___________________R" localSheetId="13">#REF!</definedName>
    <definedName name="___________________R" localSheetId="17">#REF!</definedName>
    <definedName name="___________________R" localSheetId="12">#REF!</definedName>
    <definedName name="___________________R" localSheetId="22">#REF!</definedName>
    <definedName name="___________________R" localSheetId="28">#REF!</definedName>
    <definedName name="___________________R" localSheetId="35">#REF!</definedName>
    <definedName name="___________________R">#REF!</definedName>
    <definedName name="___________________SC16" localSheetId="18">#REF!</definedName>
    <definedName name="___________________SC16" localSheetId="25">#REF!</definedName>
    <definedName name="___________________SC16" localSheetId="29">#REF!</definedName>
    <definedName name="___________________SC16" localSheetId="31">#REF!</definedName>
    <definedName name="___________________SC16" localSheetId="15">#REF!</definedName>
    <definedName name="___________________SC16" localSheetId="13">#REF!</definedName>
    <definedName name="___________________SC16" localSheetId="17">#REF!</definedName>
    <definedName name="___________________SC16" localSheetId="12">#REF!</definedName>
    <definedName name="___________________SC16" localSheetId="22">#REF!</definedName>
    <definedName name="___________________SC16" localSheetId="28">#REF!</definedName>
    <definedName name="___________________SC16" localSheetId="35">#REF!</definedName>
    <definedName name="___________________SC16">#REF!</definedName>
    <definedName name="__________________R" localSheetId="18">#REF!</definedName>
    <definedName name="__________________R" localSheetId="25">#REF!</definedName>
    <definedName name="__________________R" localSheetId="29">#REF!</definedName>
    <definedName name="__________________R" localSheetId="31">#REF!</definedName>
    <definedName name="__________________R" localSheetId="15">#REF!</definedName>
    <definedName name="__________________R" localSheetId="13">#REF!</definedName>
    <definedName name="__________________R" localSheetId="17">#REF!</definedName>
    <definedName name="__________________R" localSheetId="12">#REF!</definedName>
    <definedName name="__________________R" localSheetId="22">#REF!</definedName>
    <definedName name="__________________R" localSheetId="28">#REF!</definedName>
    <definedName name="__________________R" localSheetId="35">#REF!</definedName>
    <definedName name="__________________R">#REF!</definedName>
    <definedName name="__________________SC16" localSheetId="18">#REF!</definedName>
    <definedName name="__________________SC16" localSheetId="25">#REF!</definedName>
    <definedName name="__________________SC16" localSheetId="29">#REF!</definedName>
    <definedName name="__________________SC16" localSheetId="31">#REF!</definedName>
    <definedName name="__________________SC16" localSheetId="15">#REF!</definedName>
    <definedName name="__________________SC16" localSheetId="13">#REF!</definedName>
    <definedName name="__________________SC16" localSheetId="17">#REF!</definedName>
    <definedName name="__________________SC16" localSheetId="12">#REF!</definedName>
    <definedName name="__________________SC16" localSheetId="22">#REF!</definedName>
    <definedName name="__________________SC16" localSheetId="28">#REF!</definedName>
    <definedName name="__________________SC16" localSheetId="35">#REF!</definedName>
    <definedName name="__________________SC16">#REF!</definedName>
    <definedName name="_________________R" localSheetId="18">#REF!</definedName>
    <definedName name="_________________R" localSheetId="25">#REF!</definedName>
    <definedName name="_________________R" localSheetId="29">#REF!</definedName>
    <definedName name="_________________R" localSheetId="31">#REF!</definedName>
    <definedName name="_________________R" localSheetId="15">#REF!</definedName>
    <definedName name="_________________R" localSheetId="13">#REF!</definedName>
    <definedName name="_________________R" localSheetId="17">#REF!</definedName>
    <definedName name="_________________R" localSheetId="12">#REF!</definedName>
    <definedName name="_________________R" localSheetId="22">#REF!</definedName>
    <definedName name="_________________R" localSheetId="28">#REF!</definedName>
    <definedName name="_________________R" localSheetId="35">#REF!</definedName>
    <definedName name="_________________R">#REF!</definedName>
    <definedName name="_________________SC16" localSheetId="18">#REF!</definedName>
    <definedName name="_________________SC16" localSheetId="25">#REF!</definedName>
    <definedName name="_________________SC16" localSheetId="29">#REF!</definedName>
    <definedName name="_________________SC16" localSheetId="31">#REF!</definedName>
    <definedName name="_________________SC16" localSheetId="15">#REF!</definedName>
    <definedName name="_________________SC16" localSheetId="13">#REF!</definedName>
    <definedName name="_________________SC16" localSheetId="17">#REF!</definedName>
    <definedName name="_________________SC16" localSheetId="12">#REF!</definedName>
    <definedName name="_________________SC16" localSheetId="22">#REF!</definedName>
    <definedName name="_________________SC16" localSheetId="28">#REF!</definedName>
    <definedName name="_________________SC16" localSheetId="35">#REF!</definedName>
    <definedName name="_________________SC16">#REF!</definedName>
    <definedName name="________________R" localSheetId="18">#REF!</definedName>
    <definedName name="________________R" localSheetId="25">#REF!</definedName>
    <definedName name="________________R" localSheetId="29">#REF!</definedName>
    <definedName name="________________R" localSheetId="31">#REF!</definedName>
    <definedName name="________________R" localSheetId="15">#REF!</definedName>
    <definedName name="________________R" localSheetId="13">#REF!</definedName>
    <definedName name="________________R" localSheetId="17">#REF!</definedName>
    <definedName name="________________R" localSheetId="12">#REF!</definedName>
    <definedName name="________________R" localSheetId="22">#REF!</definedName>
    <definedName name="________________R" localSheetId="28">#REF!</definedName>
    <definedName name="________________R" localSheetId="35">#REF!</definedName>
    <definedName name="________________R">#REF!</definedName>
    <definedName name="________________SC16" localSheetId="18">#REF!</definedName>
    <definedName name="________________SC16" localSheetId="25">#REF!</definedName>
    <definedName name="________________SC16" localSheetId="29">#REF!</definedName>
    <definedName name="________________SC16" localSheetId="31">#REF!</definedName>
    <definedName name="________________SC16" localSheetId="15">#REF!</definedName>
    <definedName name="________________SC16" localSheetId="13">#REF!</definedName>
    <definedName name="________________SC16" localSheetId="17">#REF!</definedName>
    <definedName name="________________SC16" localSheetId="12">#REF!</definedName>
    <definedName name="________________SC16" localSheetId="22">#REF!</definedName>
    <definedName name="________________SC16" localSheetId="28">#REF!</definedName>
    <definedName name="________________SC16" localSheetId="35">#REF!</definedName>
    <definedName name="________________SC16">#REF!</definedName>
    <definedName name="_______________aaa1" localSheetId="18">#REF!</definedName>
    <definedName name="_______________aaa1" localSheetId="25">#REF!</definedName>
    <definedName name="_______________aaa1" localSheetId="29">#REF!</definedName>
    <definedName name="_______________aaa1" localSheetId="31">#REF!</definedName>
    <definedName name="_______________aaa1" localSheetId="15">#REF!</definedName>
    <definedName name="_______________aaa1" localSheetId="13">#REF!</definedName>
    <definedName name="_______________aaa1" localSheetId="17">#REF!</definedName>
    <definedName name="_______________aaa1" localSheetId="12">#REF!</definedName>
    <definedName name="_______________aaa1" localSheetId="22">#REF!</definedName>
    <definedName name="_______________aaa1" localSheetId="28">#REF!</definedName>
    <definedName name="_______________aaa1" localSheetId="35">#REF!</definedName>
    <definedName name="_______________aaa1">#REF!</definedName>
    <definedName name="_______________aaa2" localSheetId="18">#REF!</definedName>
    <definedName name="_______________aaa2" localSheetId="25">#REF!</definedName>
    <definedName name="_______________aaa2" localSheetId="29">#REF!</definedName>
    <definedName name="_______________aaa2" localSheetId="31">#REF!</definedName>
    <definedName name="_______________aaa2" localSheetId="15">#REF!</definedName>
    <definedName name="_______________aaa2" localSheetId="13">#REF!</definedName>
    <definedName name="_______________aaa2" localSheetId="17">#REF!</definedName>
    <definedName name="_______________aaa2" localSheetId="12">#REF!</definedName>
    <definedName name="_______________aaa2" localSheetId="22">#REF!</definedName>
    <definedName name="_______________aaa2" localSheetId="28">#REF!</definedName>
    <definedName name="_______________aaa2" localSheetId="35">#REF!</definedName>
    <definedName name="_______________aaa2">#REF!</definedName>
    <definedName name="_______________aaa3" localSheetId="18">#REF!</definedName>
    <definedName name="_______________aaa3" localSheetId="25">#REF!</definedName>
    <definedName name="_______________aaa3" localSheetId="29">#REF!</definedName>
    <definedName name="_______________aaa3" localSheetId="31">#REF!</definedName>
    <definedName name="_______________aaa3" localSheetId="15">#REF!</definedName>
    <definedName name="_______________aaa3" localSheetId="13">#REF!</definedName>
    <definedName name="_______________aaa3" localSheetId="17">#REF!</definedName>
    <definedName name="_______________aaa3" localSheetId="12">#REF!</definedName>
    <definedName name="_______________aaa3" localSheetId="22">#REF!</definedName>
    <definedName name="_______________aaa3" localSheetId="28">#REF!</definedName>
    <definedName name="_______________aaa3" localSheetId="35">#REF!</definedName>
    <definedName name="_______________aaa3">#REF!</definedName>
    <definedName name="_______________aaa4" localSheetId="18">#REF!</definedName>
    <definedName name="_______________aaa4" localSheetId="25">#REF!</definedName>
    <definedName name="_______________aaa4" localSheetId="29">#REF!</definedName>
    <definedName name="_______________aaa4" localSheetId="31">#REF!</definedName>
    <definedName name="_______________aaa4" localSheetId="15">#REF!</definedName>
    <definedName name="_______________aaa4" localSheetId="13">#REF!</definedName>
    <definedName name="_______________aaa4" localSheetId="17">#REF!</definedName>
    <definedName name="_______________aaa4" localSheetId="12">#REF!</definedName>
    <definedName name="_______________aaa4" localSheetId="22">#REF!</definedName>
    <definedName name="_______________aaa4" localSheetId="28">#REF!</definedName>
    <definedName name="_______________aaa4" localSheetId="35">#REF!</definedName>
    <definedName name="_______________aaa4">#REF!</definedName>
    <definedName name="_______________aaa5" localSheetId="18">#REF!</definedName>
    <definedName name="_______________aaa5" localSheetId="25">#REF!</definedName>
    <definedName name="_______________aaa5" localSheetId="29">#REF!</definedName>
    <definedName name="_______________aaa5" localSheetId="31">#REF!</definedName>
    <definedName name="_______________aaa5" localSheetId="15">#REF!</definedName>
    <definedName name="_______________aaa5" localSheetId="13">#REF!</definedName>
    <definedName name="_______________aaa5" localSheetId="17">#REF!</definedName>
    <definedName name="_______________aaa5" localSheetId="12">#REF!</definedName>
    <definedName name="_______________aaa5" localSheetId="22">#REF!</definedName>
    <definedName name="_______________aaa5" localSheetId="28">#REF!</definedName>
    <definedName name="_______________aaa5" localSheetId="35">#REF!</definedName>
    <definedName name="_______________aaa5">#REF!</definedName>
    <definedName name="_______________aaa6" localSheetId="18">#REF!</definedName>
    <definedName name="_______________aaa6" localSheetId="25">#REF!</definedName>
    <definedName name="_______________aaa6" localSheetId="29">#REF!</definedName>
    <definedName name="_______________aaa6" localSheetId="31">#REF!</definedName>
    <definedName name="_______________aaa6" localSheetId="15">#REF!</definedName>
    <definedName name="_______________aaa6" localSheetId="13">#REF!</definedName>
    <definedName name="_______________aaa6" localSheetId="17">#REF!</definedName>
    <definedName name="_______________aaa6" localSheetId="12">#REF!</definedName>
    <definedName name="_______________aaa6" localSheetId="22">#REF!</definedName>
    <definedName name="_______________aaa6" localSheetId="28">#REF!</definedName>
    <definedName name="_______________aaa6" localSheetId="35">#REF!</definedName>
    <definedName name="_______________aaa6">#REF!</definedName>
    <definedName name="_______________aaa7" localSheetId="18">#REF!</definedName>
    <definedName name="_______________aaa7" localSheetId="25">#REF!</definedName>
    <definedName name="_______________aaa7" localSheetId="29">#REF!</definedName>
    <definedName name="_______________aaa7" localSheetId="31">#REF!</definedName>
    <definedName name="_______________aaa7" localSheetId="15">#REF!</definedName>
    <definedName name="_______________aaa7" localSheetId="13">#REF!</definedName>
    <definedName name="_______________aaa7" localSheetId="17">#REF!</definedName>
    <definedName name="_______________aaa7" localSheetId="12">#REF!</definedName>
    <definedName name="_______________aaa7" localSheetId="22">#REF!</definedName>
    <definedName name="_______________aaa7" localSheetId="28">#REF!</definedName>
    <definedName name="_______________aaa7" localSheetId="35">#REF!</definedName>
    <definedName name="_______________aaa7">#REF!</definedName>
    <definedName name="_______________aaa8" localSheetId="18">#REF!</definedName>
    <definedName name="_______________aaa8" localSheetId="25">#REF!</definedName>
    <definedName name="_______________aaa8" localSheetId="29">#REF!</definedName>
    <definedName name="_______________aaa8" localSheetId="31">#REF!</definedName>
    <definedName name="_______________aaa8" localSheetId="15">#REF!</definedName>
    <definedName name="_______________aaa8" localSheetId="13">#REF!</definedName>
    <definedName name="_______________aaa8" localSheetId="17">#REF!</definedName>
    <definedName name="_______________aaa8" localSheetId="12">#REF!</definedName>
    <definedName name="_______________aaa8" localSheetId="22">#REF!</definedName>
    <definedName name="_______________aaa8" localSheetId="28">#REF!</definedName>
    <definedName name="_______________aaa8" localSheetId="35">#REF!</definedName>
    <definedName name="_______________aaa8">#REF!</definedName>
    <definedName name="_______________c20041" localSheetId="18">#REF!</definedName>
    <definedName name="_______________c20041" localSheetId="25">#REF!</definedName>
    <definedName name="_______________c20041" localSheetId="29">#REF!</definedName>
    <definedName name="_______________c20041" localSheetId="31">#REF!</definedName>
    <definedName name="_______________c20041" localSheetId="15">#REF!</definedName>
    <definedName name="_______________c20041" localSheetId="13">#REF!</definedName>
    <definedName name="_______________c20041" localSheetId="17">#REF!</definedName>
    <definedName name="_______________c20041" localSheetId="12">#REF!</definedName>
    <definedName name="_______________c20041" localSheetId="22">#REF!</definedName>
    <definedName name="_______________c20041" localSheetId="28">#REF!</definedName>
    <definedName name="_______________c20041" localSheetId="35">#REF!</definedName>
    <definedName name="_______________c20041">#REF!</definedName>
    <definedName name="_______________ess1" localSheetId="18">#REF!</definedName>
    <definedName name="_______________ess1" localSheetId="25">#REF!</definedName>
    <definedName name="_______________ess1" localSheetId="29">#REF!</definedName>
    <definedName name="_______________ess1" localSheetId="31">#REF!</definedName>
    <definedName name="_______________ess1" localSheetId="15">#REF!</definedName>
    <definedName name="_______________ess1" localSheetId="13">#REF!</definedName>
    <definedName name="_______________ess1" localSheetId="17">#REF!</definedName>
    <definedName name="_______________ess1" localSheetId="12">#REF!</definedName>
    <definedName name="_______________ess1" localSheetId="22">#REF!</definedName>
    <definedName name="_______________ess1" localSheetId="28">#REF!</definedName>
    <definedName name="_______________ess1" localSheetId="35">#REF!</definedName>
    <definedName name="_______________ess1">#REF!</definedName>
    <definedName name="_______________FRF4">'[3]FX Rates'!$G$10</definedName>
    <definedName name="_______________FRU2003" localSheetId="18">#REF!</definedName>
    <definedName name="_______________FRU2003" localSheetId="25">#REF!</definedName>
    <definedName name="_______________FRU2003" localSheetId="29">#REF!</definedName>
    <definedName name="_______________FRU2003" localSheetId="31">#REF!</definedName>
    <definedName name="_______________FRU2003" localSheetId="15">#REF!</definedName>
    <definedName name="_______________FRU2003" localSheetId="13">#REF!</definedName>
    <definedName name="_______________FRU2003" localSheetId="17">#REF!</definedName>
    <definedName name="_______________FRU2003" localSheetId="12">#REF!</definedName>
    <definedName name="_______________FRU2003" localSheetId="22">#REF!</definedName>
    <definedName name="_______________FRU2003" localSheetId="28">#REF!</definedName>
    <definedName name="_______________FRU2003" localSheetId="35">#REF!</definedName>
    <definedName name="_______________FRU2003">#REF!</definedName>
    <definedName name="_______________GBP4">'[3]FX Rates'!$G$9</definedName>
    <definedName name="_______________pg1" localSheetId="18">#REF!</definedName>
    <definedName name="_______________pg1" localSheetId="25">#REF!</definedName>
    <definedName name="_______________pg1" localSheetId="29">#REF!</definedName>
    <definedName name="_______________pg1" localSheetId="31">#REF!</definedName>
    <definedName name="_______________pg1" localSheetId="15">#REF!</definedName>
    <definedName name="_______________pg1" localSheetId="13">#REF!</definedName>
    <definedName name="_______________pg1" localSheetId="17">#REF!</definedName>
    <definedName name="_______________pg1" localSheetId="12">#REF!</definedName>
    <definedName name="_______________pg1" localSheetId="22">#REF!</definedName>
    <definedName name="_______________pg1" localSheetId="28">#REF!</definedName>
    <definedName name="_______________pg1" localSheetId="35">#REF!</definedName>
    <definedName name="_______________pg1">#REF!</definedName>
    <definedName name="_______________pg2" localSheetId="18">#REF!</definedName>
    <definedName name="_______________pg2" localSheetId="25">#REF!</definedName>
    <definedName name="_______________pg2" localSheetId="29">#REF!</definedName>
    <definedName name="_______________pg2" localSheetId="31">#REF!</definedName>
    <definedName name="_______________pg2" localSheetId="15">#REF!</definedName>
    <definedName name="_______________pg2" localSheetId="13">#REF!</definedName>
    <definedName name="_______________pg2" localSheetId="17">#REF!</definedName>
    <definedName name="_______________pg2" localSheetId="12">#REF!</definedName>
    <definedName name="_______________pg2" localSheetId="22">#REF!</definedName>
    <definedName name="_______________pg2" localSheetId="28">#REF!</definedName>
    <definedName name="_______________pg2" localSheetId="35">#REF!</definedName>
    <definedName name="_______________pg2">#REF!</definedName>
    <definedName name="_______________R" localSheetId="18">#REF!</definedName>
    <definedName name="_______________R" localSheetId="25">#REF!</definedName>
    <definedName name="_______________R" localSheetId="29">#REF!</definedName>
    <definedName name="_______________R" localSheetId="31">#REF!</definedName>
    <definedName name="_______________R" localSheetId="15">#REF!</definedName>
    <definedName name="_______________R" localSheetId="13">#REF!</definedName>
    <definedName name="_______________R" localSheetId="17">#REF!</definedName>
    <definedName name="_______________R" localSheetId="12">#REF!</definedName>
    <definedName name="_______________R" localSheetId="22">#REF!</definedName>
    <definedName name="_______________R" localSheetId="28">#REF!</definedName>
    <definedName name="_______________R" localSheetId="35">#REF!</definedName>
    <definedName name="_______________R">#REF!</definedName>
    <definedName name="_______________R2000ssta" localSheetId="18">#REF!</definedName>
    <definedName name="_______________R2000ssta" localSheetId="25">#REF!</definedName>
    <definedName name="_______________R2000ssta" localSheetId="29">#REF!</definedName>
    <definedName name="_______________R2000ssta" localSheetId="31">#REF!</definedName>
    <definedName name="_______________R2000ssta" localSheetId="15">#REF!</definedName>
    <definedName name="_______________R2000ssta" localSheetId="13">#REF!</definedName>
    <definedName name="_______________R2000ssta" localSheetId="17">#REF!</definedName>
    <definedName name="_______________R2000ssta" localSheetId="12">#REF!</definedName>
    <definedName name="_______________R2000ssta" localSheetId="22">#REF!</definedName>
    <definedName name="_______________R2000ssta" localSheetId="28">#REF!</definedName>
    <definedName name="_______________R2000ssta" localSheetId="35">#REF!</definedName>
    <definedName name="_______________R2000ssta">#REF!</definedName>
    <definedName name="_______________SC16" localSheetId="18">#REF!</definedName>
    <definedName name="_______________SC16" localSheetId="25">#REF!</definedName>
    <definedName name="_______________SC16" localSheetId="29">#REF!</definedName>
    <definedName name="_______________SC16" localSheetId="31">#REF!</definedName>
    <definedName name="_______________SC16" localSheetId="15">#REF!</definedName>
    <definedName name="_______________SC16" localSheetId="13">#REF!</definedName>
    <definedName name="_______________SC16" localSheetId="17">#REF!</definedName>
    <definedName name="_______________SC16" localSheetId="12">#REF!</definedName>
    <definedName name="_______________SC16" localSheetId="22">#REF!</definedName>
    <definedName name="_______________SC16" localSheetId="28">#REF!</definedName>
    <definedName name="_______________SC16" localSheetId="35">#REF!</definedName>
    <definedName name="_______________SC16">#REF!</definedName>
    <definedName name="_______________SET2" localSheetId="18">#REF!</definedName>
    <definedName name="_______________SET2" localSheetId="25">#REF!</definedName>
    <definedName name="_______________SET2" localSheetId="29">#REF!</definedName>
    <definedName name="_______________SET2" localSheetId="31">#REF!</definedName>
    <definedName name="_______________SET2" localSheetId="15">#REF!</definedName>
    <definedName name="_______________SET2" localSheetId="13">#REF!</definedName>
    <definedName name="_______________SET2" localSheetId="17">#REF!</definedName>
    <definedName name="_______________SET2" localSheetId="12">#REF!</definedName>
    <definedName name="_______________SET2" localSheetId="22">#REF!</definedName>
    <definedName name="_______________SET2" localSheetId="28">#REF!</definedName>
    <definedName name="_______________SET2" localSheetId="35">#REF!</definedName>
    <definedName name="_______________SET2">#REF!</definedName>
    <definedName name="_______________SYN1" localSheetId="18">#REF!</definedName>
    <definedName name="_______________SYN1" localSheetId="25">#REF!</definedName>
    <definedName name="_______________SYN1" localSheetId="29">#REF!</definedName>
    <definedName name="_______________SYN1" localSheetId="31">#REF!</definedName>
    <definedName name="_______________SYN1" localSheetId="15">#REF!</definedName>
    <definedName name="_______________SYN1" localSheetId="13">#REF!</definedName>
    <definedName name="_______________SYN1" localSheetId="17">#REF!</definedName>
    <definedName name="_______________SYN1" localSheetId="12">#REF!</definedName>
    <definedName name="_______________SYN1" localSheetId="22">#REF!</definedName>
    <definedName name="_______________SYN1" localSheetId="28">#REF!</definedName>
    <definedName name="_______________SYN1" localSheetId="35">#REF!</definedName>
    <definedName name="_______________SYN1">#REF!</definedName>
    <definedName name="_______________SYN2" localSheetId="18">#REF!</definedName>
    <definedName name="_______________SYN2" localSheetId="25">#REF!</definedName>
    <definedName name="_______________SYN2" localSheetId="29">#REF!</definedName>
    <definedName name="_______________SYN2" localSheetId="31">#REF!</definedName>
    <definedName name="_______________SYN2" localSheetId="15">#REF!</definedName>
    <definedName name="_______________SYN2" localSheetId="13">#REF!</definedName>
    <definedName name="_______________SYN2" localSheetId="17">#REF!</definedName>
    <definedName name="_______________SYN2" localSheetId="12">#REF!</definedName>
    <definedName name="_______________SYN2" localSheetId="22">#REF!</definedName>
    <definedName name="_______________SYN2" localSheetId="28">#REF!</definedName>
    <definedName name="_______________SYN2" localSheetId="35">#REF!</definedName>
    <definedName name="_______________SYN2">#REF!</definedName>
    <definedName name="_______________UNI1999" localSheetId="18">#REF!</definedName>
    <definedName name="_______________UNI1999" localSheetId="25">#REF!</definedName>
    <definedName name="_______________UNI1999" localSheetId="29">#REF!</definedName>
    <definedName name="_______________UNI1999" localSheetId="31">#REF!</definedName>
    <definedName name="_______________UNI1999" localSheetId="15">#REF!</definedName>
    <definedName name="_______________UNI1999" localSheetId="13">#REF!</definedName>
    <definedName name="_______________UNI1999" localSheetId="17">#REF!</definedName>
    <definedName name="_______________UNI1999" localSheetId="12">#REF!</definedName>
    <definedName name="_______________UNI1999" localSheetId="22">#REF!</definedName>
    <definedName name="_______________UNI1999" localSheetId="28">#REF!</definedName>
    <definedName name="_______________UNI1999" localSheetId="35">#REF!</definedName>
    <definedName name="_______________UNI1999">#REF!</definedName>
    <definedName name="_______________UNI2000" localSheetId="18">#REF!</definedName>
    <definedName name="_______________UNI2000" localSheetId="25">#REF!</definedName>
    <definedName name="_______________UNI2000" localSheetId="29">#REF!</definedName>
    <definedName name="_______________UNI2000" localSheetId="31">#REF!</definedName>
    <definedName name="_______________UNI2000" localSheetId="15">#REF!</definedName>
    <definedName name="_______________UNI2000" localSheetId="13">#REF!</definedName>
    <definedName name="_______________UNI2000" localSheetId="17">#REF!</definedName>
    <definedName name="_______________UNI2000" localSheetId="12">#REF!</definedName>
    <definedName name="_______________UNI2000" localSheetId="22">#REF!</definedName>
    <definedName name="_______________UNI2000" localSheetId="28">#REF!</definedName>
    <definedName name="_______________UNI2000" localSheetId="35">#REF!</definedName>
    <definedName name="_______________UNI2000">#REF!</definedName>
    <definedName name="_______________UNI2001" localSheetId="18">#REF!</definedName>
    <definedName name="_______________UNI2001" localSheetId="25">#REF!</definedName>
    <definedName name="_______________UNI2001" localSheetId="29">#REF!</definedName>
    <definedName name="_______________UNI2001" localSheetId="31">#REF!</definedName>
    <definedName name="_______________UNI2001" localSheetId="15">#REF!</definedName>
    <definedName name="_______________UNI2001" localSheetId="13">#REF!</definedName>
    <definedName name="_______________UNI2001" localSheetId="17">#REF!</definedName>
    <definedName name="_______________UNI2001" localSheetId="12">#REF!</definedName>
    <definedName name="_______________UNI2001" localSheetId="22">#REF!</definedName>
    <definedName name="_______________UNI2001" localSheetId="28">#REF!</definedName>
    <definedName name="_______________UNI2001" localSheetId="35">#REF!</definedName>
    <definedName name="_______________UNI2001">#REF!</definedName>
    <definedName name="_______________vb100" localSheetId="18">#REF!</definedName>
    <definedName name="_______________vb100" localSheetId="25">#REF!</definedName>
    <definedName name="_______________vb100" localSheetId="29">#REF!</definedName>
    <definedName name="_______________vb100" localSheetId="31">#REF!</definedName>
    <definedName name="_______________vb100" localSheetId="15">#REF!</definedName>
    <definedName name="_______________vb100" localSheetId="13">#REF!</definedName>
    <definedName name="_______________vb100" localSheetId="17">#REF!</definedName>
    <definedName name="_______________vb100" localSheetId="12">#REF!</definedName>
    <definedName name="_______________vb100" localSheetId="22">#REF!</definedName>
    <definedName name="_______________vb100" localSheetId="28">#REF!</definedName>
    <definedName name="_______________vb100" localSheetId="35">#REF!</definedName>
    <definedName name="_______________vb100">#REF!</definedName>
    <definedName name="______________aaa1" localSheetId="18">#REF!</definedName>
    <definedName name="______________aaa1" localSheetId="25">#REF!</definedName>
    <definedName name="______________aaa1" localSheetId="29">#REF!</definedName>
    <definedName name="______________aaa1" localSheetId="31">#REF!</definedName>
    <definedName name="______________aaa1" localSheetId="15">#REF!</definedName>
    <definedName name="______________aaa1" localSheetId="13">#REF!</definedName>
    <definedName name="______________aaa1" localSheetId="17">#REF!</definedName>
    <definedName name="______________aaa1" localSheetId="12">#REF!</definedName>
    <definedName name="______________aaa1" localSheetId="22">#REF!</definedName>
    <definedName name="______________aaa1" localSheetId="28">#REF!</definedName>
    <definedName name="______________aaa1" localSheetId="35">#REF!</definedName>
    <definedName name="______________aaa1">#REF!</definedName>
    <definedName name="______________aaa2" localSheetId="18">#REF!</definedName>
    <definedName name="______________aaa2" localSheetId="25">#REF!</definedName>
    <definedName name="______________aaa2" localSheetId="29">#REF!</definedName>
    <definedName name="______________aaa2" localSheetId="31">#REF!</definedName>
    <definedName name="______________aaa2" localSheetId="15">#REF!</definedName>
    <definedName name="______________aaa2" localSheetId="13">#REF!</definedName>
    <definedName name="______________aaa2" localSheetId="17">#REF!</definedName>
    <definedName name="______________aaa2" localSheetId="12">#REF!</definedName>
    <definedName name="______________aaa2" localSheetId="22">#REF!</definedName>
    <definedName name="______________aaa2" localSheetId="28">#REF!</definedName>
    <definedName name="______________aaa2" localSheetId="35">#REF!</definedName>
    <definedName name="______________aaa2">#REF!</definedName>
    <definedName name="______________aaa3" localSheetId="18">#REF!</definedName>
    <definedName name="______________aaa3" localSheetId="25">#REF!</definedName>
    <definedName name="______________aaa3" localSheetId="29">#REF!</definedName>
    <definedName name="______________aaa3" localSheetId="31">#REF!</definedName>
    <definedName name="______________aaa3" localSheetId="15">#REF!</definedName>
    <definedName name="______________aaa3" localSheetId="13">#REF!</definedName>
    <definedName name="______________aaa3" localSheetId="17">#REF!</definedName>
    <definedName name="______________aaa3" localSheetId="12">#REF!</definedName>
    <definedName name="______________aaa3" localSheetId="22">#REF!</definedName>
    <definedName name="______________aaa3" localSheetId="28">#REF!</definedName>
    <definedName name="______________aaa3" localSheetId="35">#REF!</definedName>
    <definedName name="______________aaa3">#REF!</definedName>
    <definedName name="______________aaa4" localSheetId="18">#REF!</definedName>
    <definedName name="______________aaa4" localSheetId="25">#REF!</definedName>
    <definedName name="______________aaa4" localSheetId="29">#REF!</definedName>
    <definedName name="______________aaa4" localSheetId="31">#REF!</definedName>
    <definedName name="______________aaa4" localSheetId="15">#REF!</definedName>
    <definedName name="______________aaa4" localSheetId="13">#REF!</definedName>
    <definedName name="______________aaa4" localSheetId="17">#REF!</definedName>
    <definedName name="______________aaa4" localSheetId="12">#REF!</definedName>
    <definedName name="______________aaa4" localSheetId="22">#REF!</definedName>
    <definedName name="______________aaa4" localSheetId="28">#REF!</definedName>
    <definedName name="______________aaa4" localSheetId="35">#REF!</definedName>
    <definedName name="______________aaa4">#REF!</definedName>
    <definedName name="______________aaa5" localSheetId="18">#REF!</definedName>
    <definedName name="______________aaa5" localSheetId="25">#REF!</definedName>
    <definedName name="______________aaa5" localSheetId="29">#REF!</definedName>
    <definedName name="______________aaa5" localSheetId="31">#REF!</definedName>
    <definedName name="______________aaa5" localSheetId="15">#REF!</definedName>
    <definedName name="______________aaa5" localSheetId="13">#REF!</definedName>
    <definedName name="______________aaa5" localSheetId="17">#REF!</definedName>
    <definedName name="______________aaa5" localSheetId="12">#REF!</definedName>
    <definedName name="______________aaa5" localSheetId="22">#REF!</definedName>
    <definedName name="______________aaa5" localSheetId="28">#REF!</definedName>
    <definedName name="______________aaa5" localSheetId="35">#REF!</definedName>
    <definedName name="______________aaa5">#REF!</definedName>
    <definedName name="______________aaa6" localSheetId="18">#REF!</definedName>
    <definedName name="______________aaa6" localSheetId="25">#REF!</definedName>
    <definedName name="______________aaa6" localSheetId="29">#REF!</definedName>
    <definedName name="______________aaa6" localSheetId="31">#REF!</definedName>
    <definedName name="______________aaa6" localSheetId="15">#REF!</definedName>
    <definedName name="______________aaa6" localSheetId="13">#REF!</definedName>
    <definedName name="______________aaa6" localSheetId="17">#REF!</definedName>
    <definedName name="______________aaa6" localSheetId="12">#REF!</definedName>
    <definedName name="______________aaa6" localSheetId="22">#REF!</definedName>
    <definedName name="______________aaa6" localSheetId="28">#REF!</definedName>
    <definedName name="______________aaa6" localSheetId="35">#REF!</definedName>
    <definedName name="______________aaa6">#REF!</definedName>
    <definedName name="______________aaa7" localSheetId="18">#REF!</definedName>
    <definedName name="______________aaa7" localSheetId="25">#REF!</definedName>
    <definedName name="______________aaa7" localSheetId="29">#REF!</definedName>
    <definedName name="______________aaa7" localSheetId="31">#REF!</definedName>
    <definedName name="______________aaa7" localSheetId="15">#REF!</definedName>
    <definedName name="______________aaa7" localSheetId="13">#REF!</definedName>
    <definedName name="______________aaa7" localSheetId="17">#REF!</definedName>
    <definedName name="______________aaa7" localSheetId="12">#REF!</definedName>
    <definedName name="______________aaa7" localSheetId="22">#REF!</definedName>
    <definedName name="______________aaa7" localSheetId="28">#REF!</definedName>
    <definedName name="______________aaa7" localSheetId="35">#REF!</definedName>
    <definedName name="______________aaa7">#REF!</definedName>
    <definedName name="______________aaa8" localSheetId="18">#REF!</definedName>
    <definedName name="______________aaa8" localSheetId="25">#REF!</definedName>
    <definedName name="______________aaa8" localSheetId="29">#REF!</definedName>
    <definedName name="______________aaa8" localSheetId="31">#REF!</definedName>
    <definedName name="______________aaa8" localSheetId="15">#REF!</definedName>
    <definedName name="______________aaa8" localSheetId="13">#REF!</definedName>
    <definedName name="______________aaa8" localSheetId="17">#REF!</definedName>
    <definedName name="______________aaa8" localSheetId="12">#REF!</definedName>
    <definedName name="______________aaa8" localSheetId="22">#REF!</definedName>
    <definedName name="______________aaa8" localSheetId="28">#REF!</definedName>
    <definedName name="______________aaa8" localSheetId="35">#REF!</definedName>
    <definedName name="______________aaa8">#REF!</definedName>
    <definedName name="______________c20041" localSheetId="18">#REF!</definedName>
    <definedName name="______________c20041" localSheetId="25">#REF!</definedName>
    <definedName name="______________c20041" localSheetId="29">#REF!</definedName>
    <definedName name="______________c20041" localSheetId="31">#REF!</definedName>
    <definedName name="______________c20041" localSheetId="15">#REF!</definedName>
    <definedName name="______________c20041" localSheetId="13">#REF!</definedName>
    <definedName name="______________c20041" localSheetId="17">#REF!</definedName>
    <definedName name="______________c20041" localSheetId="12">#REF!</definedName>
    <definedName name="______________c20041" localSheetId="22">#REF!</definedName>
    <definedName name="______________c20041" localSheetId="28">#REF!</definedName>
    <definedName name="______________c20041" localSheetId="35">#REF!</definedName>
    <definedName name="______________c20041">#REF!</definedName>
    <definedName name="______________ess1" localSheetId="18">#REF!</definedName>
    <definedName name="______________ess1" localSheetId="25">#REF!</definedName>
    <definedName name="______________ess1" localSheetId="29">#REF!</definedName>
    <definedName name="______________ess1" localSheetId="31">#REF!</definedName>
    <definedName name="______________ess1" localSheetId="15">#REF!</definedName>
    <definedName name="______________ess1" localSheetId="13">#REF!</definedName>
    <definedName name="______________ess1" localSheetId="17">#REF!</definedName>
    <definedName name="______________ess1" localSheetId="12">#REF!</definedName>
    <definedName name="______________ess1" localSheetId="22">#REF!</definedName>
    <definedName name="______________ess1" localSheetId="28">#REF!</definedName>
    <definedName name="______________ess1" localSheetId="35">#REF!</definedName>
    <definedName name="______________ess1">#REF!</definedName>
    <definedName name="______________FRF4">'[3]FX Rates'!$G$10</definedName>
    <definedName name="______________FRU2003" localSheetId="18">#REF!</definedName>
    <definedName name="______________FRU2003" localSheetId="25">#REF!</definedName>
    <definedName name="______________FRU2003" localSheetId="29">#REF!</definedName>
    <definedName name="______________FRU2003" localSheetId="31">#REF!</definedName>
    <definedName name="______________FRU2003" localSheetId="15">#REF!</definedName>
    <definedName name="______________FRU2003" localSheetId="13">#REF!</definedName>
    <definedName name="______________FRU2003" localSheetId="17">#REF!</definedName>
    <definedName name="______________FRU2003" localSheetId="12">#REF!</definedName>
    <definedName name="______________FRU2003" localSheetId="22">#REF!</definedName>
    <definedName name="______________FRU2003" localSheetId="28">#REF!</definedName>
    <definedName name="______________FRU2003" localSheetId="35">#REF!</definedName>
    <definedName name="______________FRU2003">#REF!</definedName>
    <definedName name="______________GBP4">'[3]FX Rates'!$G$9</definedName>
    <definedName name="______________pg1" localSheetId="18">#REF!</definedName>
    <definedName name="______________pg1" localSheetId="25">#REF!</definedName>
    <definedName name="______________pg1" localSheetId="29">#REF!</definedName>
    <definedName name="______________pg1" localSheetId="31">#REF!</definedName>
    <definedName name="______________pg1" localSheetId="15">#REF!</definedName>
    <definedName name="______________pg1" localSheetId="13">#REF!</definedName>
    <definedName name="______________pg1" localSheetId="17">#REF!</definedName>
    <definedName name="______________pg1" localSheetId="12">#REF!</definedName>
    <definedName name="______________pg1" localSheetId="22">#REF!</definedName>
    <definedName name="______________pg1" localSheetId="28">#REF!</definedName>
    <definedName name="______________pg1" localSheetId="35">#REF!</definedName>
    <definedName name="______________pg1">#REF!</definedName>
    <definedName name="______________pg2" localSheetId="18">#REF!</definedName>
    <definedName name="______________pg2" localSheetId="25">#REF!</definedName>
    <definedName name="______________pg2" localSheetId="29">#REF!</definedName>
    <definedName name="______________pg2" localSheetId="31">#REF!</definedName>
    <definedName name="______________pg2" localSheetId="15">#REF!</definedName>
    <definedName name="______________pg2" localSheetId="13">#REF!</definedName>
    <definedName name="______________pg2" localSheetId="17">#REF!</definedName>
    <definedName name="______________pg2" localSheetId="12">#REF!</definedName>
    <definedName name="______________pg2" localSheetId="22">#REF!</definedName>
    <definedName name="______________pg2" localSheetId="28">#REF!</definedName>
    <definedName name="______________pg2" localSheetId="35">#REF!</definedName>
    <definedName name="______________pg2">#REF!</definedName>
    <definedName name="______________R" localSheetId="18">#REF!</definedName>
    <definedName name="______________R" localSheetId="25">#REF!</definedName>
    <definedName name="______________R" localSheetId="29">#REF!</definedName>
    <definedName name="______________R" localSheetId="31">#REF!</definedName>
    <definedName name="______________R" localSheetId="15">#REF!</definedName>
    <definedName name="______________R" localSheetId="13">#REF!</definedName>
    <definedName name="______________R" localSheetId="17">#REF!</definedName>
    <definedName name="______________R" localSheetId="12">#REF!</definedName>
    <definedName name="______________R" localSheetId="22">#REF!</definedName>
    <definedName name="______________R" localSheetId="28">#REF!</definedName>
    <definedName name="______________R" localSheetId="35">#REF!</definedName>
    <definedName name="______________R">#REF!</definedName>
    <definedName name="______________R2000ssta" localSheetId="18">#REF!</definedName>
    <definedName name="______________R2000ssta" localSheetId="25">#REF!</definedName>
    <definedName name="______________R2000ssta" localSheetId="29">#REF!</definedName>
    <definedName name="______________R2000ssta" localSheetId="31">#REF!</definedName>
    <definedName name="______________R2000ssta" localSheetId="15">#REF!</definedName>
    <definedName name="______________R2000ssta" localSheetId="13">#REF!</definedName>
    <definedName name="______________R2000ssta" localSheetId="17">#REF!</definedName>
    <definedName name="______________R2000ssta" localSheetId="12">#REF!</definedName>
    <definedName name="______________R2000ssta" localSheetId="22">#REF!</definedName>
    <definedName name="______________R2000ssta" localSheetId="28">#REF!</definedName>
    <definedName name="______________R2000ssta" localSheetId="35">#REF!</definedName>
    <definedName name="______________R2000ssta">#REF!</definedName>
    <definedName name="______________SC16" localSheetId="18">#REF!</definedName>
    <definedName name="______________SC16" localSheetId="25">#REF!</definedName>
    <definedName name="______________SC16" localSheetId="29">#REF!</definedName>
    <definedName name="______________SC16" localSheetId="31">#REF!</definedName>
    <definedName name="______________SC16" localSheetId="15">#REF!</definedName>
    <definedName name="______________SC16" localSheetId="13">#REF!</definedName>
    <definedName name="______________SC16" localSheetId="17">#REF!</definedName>
    <definedName name="______________SC16" localSheetId="12">#REF!</definedName>
    <definedName name="______________SC16" localSheetId="22">#REF!</definedName>
    <definedName name="______________SC16" localSheetId="28">#REF!</definedName>
    <definedName name="______________SC16" localSheetId="35">#REF!</definedName>
    <definedName name="______________SC16">#REF!</definedName>
    <definedName name="______________SET2" localSheetId="18">#REF!</definedName>
    <definedName name="______________SET2" localSheetId="25">#REF!</definedName>
    <definedName name="______________SET2" localSheetId="29">#REF!</definedName>
    <definedName name="______________SET2" localSheetId="31">#REF!</definedName>
    <definedName name="______________SET2" localSheetId="15">#REF!</definedName>
    <definedName name="______________SET2" localSheetId="13">#REF!</definedName>
    <definedName name="______________SET2" localSheetId="17">#REF!</definedName>
    <definedName name="______________SET2" localSheetId="12">#REF!</definedName>
    <definedName name="______________SET2" localSheetId="22">#REF!</definedName>
    <definedName name="______________SET2" localSheetId="28">#REF!</definedName>
    <definedName name="______________SET2" localSheetId="35">#REF!</definedName>
    <definedName name="______________SET2">#REF!</definedName>
    <definedName name="______________SYN1" localSheetId="18">#REF!</definedName>
    <definedName name="______________SYN1" localSheetId="25">#REF!</definedName>
    <definedName name="______________SYN1" localSheetId="29">#REF!</definedName>
    <definedName name="______________SYN1" localSheetId="31">#REF!</definedName>
    <definedName name="______________SYN1" localSheetId="15">#REF!</definedName>
    <definedName name="______________SYN1" localSheetId="13">#REF!</definedName>
    <definedName name="______________SYN1" localSheetId="17">#REF!</definedName>
    <definedName name="______________SYN1" localSheetId="12">#REF!</definedName>
    <definedName name="______________SYN1" localSheetId="22">#REF!</definedName>
    <definedName name="______________SYN1" localSheetId="28">#REF!</definedName>
    <definedName name="______________SYN1" localSheetId="35">#REF!</definedName>
    <definedName name="______________SYN1">#REF!</definedName>
    <definedName name="______________SYN2" localSheetId="18">#REF!</definedName>
    <definedName name="______________SYN2" localSheetId="25">#REF!</definedName>
    <definedName name="______________SYN2" localSheetId="29">#REF!</definedName>
    <definedName name="______________SYN2" localSheetId="31">#REF!</definedName>
    <definedName name="______________SYN2" localSheetId="15">#REF!</definedName>
    <definedName name="______________SYN2" localSheetId="13">#REF!</definedName>
    <definedName name="______________SYN2" localSheetId="17">#REF!</definedName>
    <definedName name="______________SYN2" localSheetId="12">#REF!</definedName>
    <definedName name="______________SYN2" localSheetId="22">#REF!</definedName>
    <definedName name="______________SYN2" localSheetId="28">#REF!</definedName>
    <definedName name="______________SYN2" localSheetId="35">#REF!</definedName>
    <definedName name="______________SYN2">#REF!</definedName>
    <definedName name="______________UNI1999" localSheetId="18">#REF!</definedName>
    <definedName name="______________UNI1999" localSheetId="25">#REF!</definedName>
    <definedName name="______________UNI1999" localSheetId="29">#REF!</definedName>
    <definedName name="______________UNI1999" localSheetId="31">#REF!</definedName>
    <definedName name="______________UNI1999" localSheetId="15">#REF!</definedName>
    <definedName name="______________UNI1999" localSheetId="13">#REF!</definedName>
    <definedName name="______________UNI1999" localSheetId="17">#REF!</definedName>
    <definedName name="______________UNI1999" localSheetId="12">#REF!</definedName>
    <definedName name="______________UNI1999" localSheetId="22">#REF!</definedName>
    <definedName name="______________UNI1999" localSheetId="28">#REF!</definedName>
    <definedName name="______________UNI1999" localSheetId="35">#REF!</definedName>
    <definedName name="______________UNI1999">#REF!</definedName>
    <definedName name="______________UNI2000" localSheetId="18">#REF!</definedName>
    <definedName name="______________UNI2000" localSheetId="25">#REF!</definedName>
    <definedName name="______________UNI2000" localSheetId="29">#REF!</definedName>
    <definedName name="______________UNI2000" localSheetId="31">#REF!</definedName>
    <definedName name="______________UNI2000" localSheetId="15">#REF!</definedName>
    <definedName name="______________UNI2000" localSheetId="13">#REF!</definedName>
    <definedName name="______________UNI2000" localSheetId="17">#REF!</definedName>
    <definedName name="______________UNI2000" localSheetId="12">#REF!</definedName>
    <definedName name="______________UNI2000" localSheetId="22">#REF!</definedName>
    <definedName name="______________UNI2000" localSheetId="28">#REF!</definedName>
    <definedName name="______________UNI2000" localSheetId="35">#REF!</definedName>
    <definedName name="______________UNI2000">#REF!</definedName>
    <definedName name="______________UNI2001" localSheetId="18">#REF!</definedName>
    <definedName name="______________UNI2001" localSheetId="25">#REF!</definedName>
    <definedName name="______________UNI2001" localSheetId="29">#REF!</definedName>
    <definedName name="______________UNI2001" localSheetId="31">#REF!</definedName>
    <definedName name="______________UNI2001" localSheetId="15">#REF!</definedName>
    <definedName name="______________UNI2001" localSheetId="13">#REF!</definedName>
    <definedName name="______________UNI2001" localSheetId="17">#REF!</definedName>
    <definedName name="______________UNI2001" localSheetId="12">#REF!</definedName>
    <definedName name="______________UNI2001" localSheetId="22">#REF!</definedName>
    <definedName name="______________UNI2001" localSheetId="28">#REF!</definedName>
    <definedName name="______________UNI2001" localSheetId="35">#REF!</definedName>
    <definedName name="______________UNI2001">#REF!</definedName>
    <definedName name="______________vb100" localSheetId="18">#REF!</definedName>
    <definedName name="______________vb100" localSheetId="25">#REF!</definedName>
    <definedName name="______________vb100" localSheetId="29">#REF!</definedName>
    <definedName name="______________vb100" localSheetId="31">#REF!</definedName>
    <definedName name="______________vb100" localSheetId="15">#REF!</definedName>
    <definedName name="______________vb100" localSheetId="13">#REF!</definedName>
    <definedName name="______________vb100" localSheetId="17">#REF!</definedName>
    <definedName name="______________vb100" localSheetId="12">#REF!</definedName>
    <definedName name="______________vb100" localSheetId="22">#REF!</definedName>
    <definedName name="______________vb100" localSheetId="28">#REF!</definedName>
    <definedName name="______________vb100" localSheetId="35">#REF!</definedName>
    <definedName name="______________vb100">#REF!</definedName>
    <definedName name="_____________aaa1" localSheetId="18">#REF!</definedName>
    <definedName name="_____________aaa1" localSheetId="25">#REF!</definedName>
    <definedName name="_____________aaa1" localSheetId="29">#REF!</definedName>
    <definedName name="_____________aaa1" localSheetId="31">#REF!</definedName>
    <definedName name="_____________aaa1" localSheetId="15">#REF!</definedName>
    <definedName name="_____________aaa1" localSheetId="13">#REF!</definedName>
    <definedName name="_____________aaa1" localSheetId="17">#REF!</definedName>
    <definedName name="_____________aaa1" localSheetId="12">#REF!</definedName>
    <definedName name="_____________aaa1" localSheetId="22">#REF!</definedName>
    <definedName name="_____________aaa1" localSheetId="28">#REF!</definedName>
    <definedName name="_____________aaa1" localSheetId="35">#REF!</definedName>
    <definedName name="_____________aaa1">#REF!</definedName>
    <definedName name="_____________aaa2" localSheetId="18">#REF!</definedName>
    <definedName name="_____________aaa2" localSheetId="25">#REF!</definedName>
    <definedName name="_____________aaa2" localSheetId="29">#REF!</definedName>
    <definedName name="_____________aaa2" localSheetId="31">#REF!</definedName>
    <definedName name="_____________aaa2" localSheetId="15">#REF!</definedName>
    <definedName name="_____________aaa2" localSheetId="13">#REF!</definedName>
    <definedName name="_____________aaa2" localSheetId="17">#REF!</definedName>
    <definedName name="_____________aaa2" localSheetId="12">#REF!</definedName>
    <definedName name="_____________aaa2" localSheetId="22">#REF!</definedName>
    <definedName name="_____________aaa2" localSheetId="28">#REF!</definedName>
    <definedName name="_____________aaa2" localSheetId="35">#REF!</definedName>
    <definedName name="_____________aaa2">#REF!</definedName>
    <definedName name="_____________aaa3" localSheetId="18">#REF!</definedName>
    <definedName name="_____________aaa3" localSheetId="25">#REF!</definedName>
    <definedName name="_____________aaa3" localSheetId="29">#REF!</definedName>
    <definedName name="_____________aaa3" localSheetId="31">#REF!</definedName>
    <definedName name="_____________aaa3" localSheetId="15">#REF!</definedName>
    <definedName name="_____________aaa3" localSheetId="13">#REF!</definedName>
    <definedName name="_____________aaa3" localSheetId="17">#REF!</definedName>
    <definedName name="_____________aaa3" localSheetId="12">#REF!</definedName>
    <definedName name="_____________aaa3" localSheetId="22">#REF!</definedName>
    <definedName name="_____________aaa3" localSheetId="28">#REF!</definedName>
    <definedName name="_____________aaa3" localSheetId="35">#REF!</definedName>
    <definedName name="_____________aaa3">#REF!</definedName>
    <definedName name="_____________aaa4" localSheetId="18">#REF!</definedName>
    <definedName name="_____________aaa4" localSheetId="25">#REF!</definedName>
    <definedName name="_____________aaa4" localSheetId="29">#REF!</definedName>
    <definedName name="_____________aaa4" localSheetId="31">#REF!</definedName>
    <definedName name="_____________aaa4" localSheetId="15">#REF!</definedName>
    <definedName name="_____________aaa4" localSheetId="13">#REF!</definedName>
    <definedName name="_____________aaa4" localSheetId="17">#REF!</definedName>
    <definedName name="_____________aaa4" localSheetId="12">#REF!</definedName>
    <definedName name="_____________aaa4" localSheetId="22">#REF!</definedName>
    <definedName name="_____________aaa4" localSheetId="28">#REF!</definedName>
    <definedName name="_____________aaa4" localSheetId="35">#REF!</definedName>
    <definedName name="_____________aaa4">#REF!</definedName>
    <definedName name="_____________aaa5" localSheetId="18">#REF!</definedName>
    <definedName name="_____________aaa5" localSheetId="25">#REF!</definedName>
    <definedName name="_____________aaa5" localSheetId="29">#REF!</definedName>
    <definedName name="_____________aaa5" localSheetId="31">#REF!</definedName>
    <definedName name="_____________aaa5" localSheetId="15">#REF!</definedName>
    <definedName name="_____________aaa5" localSheetId="13">#REF!</definedName>
    <definedName name="_____________aaa5" localSheetId="17">#REF!</definedName>
    <definedName name="_____________aaa5" localSheetId="12">#REF!</definedName>
    <definedName name="_____________aaa5" localSheetId="22">#REF!</definedName>
    <definedName name="_____________aaa5" localSheetId="28">#REF!</definedName>
    <definedName name="_____________aaa5" localSheetId="35">#REF!</definedName>
    <definedName name="_____________aaa5">#REF!</definedName>
    <definedName name="_____________aaa6" localSheetId="18">#REF!</definedName>
    <definedName name="_____________aaa6" localSheetId="25">#REF!</definedName>
    <definedName name="_____________aaa6" localSheetId="29">#REF!</definedName>
    <definedName name="_____________aaa6" localSheetId="31">#REF!</definedName>
    <definedName name="_____________aaa6" localSheetId="15">#REF!</definedName>
    <definedName name="_____________aaa6" localSheetId="13">#REF!</definedName>
    <definedName name="_____________aaa6" localSheetId="17">#REF!</definedName>
    <definedName name="_____________aaa6" localSheetId="12">#REF!</definedName>
    <definedName name="_____________aaa6" localSheetId="22">#REF!</definedName>
    <definedName name="_____________aaa6" localSheetId="28">#REF!</definedName>
    <definedName name="_____________aaa6" localSheetId="35">#REF!</definedName>
    <definedName name="_____________aaa6">#REF!</definedName>
    <definedName name="_____________aaa7" localSheetId="18">#REF!</definedName>
    <definedName name="_____________aaa7" localSheetId="25">#REF!</definedName>
    <definedName name="_____________aaa7" localSheetId="29">#REF!</definedName>
    <definedName name="_____________aaa7" localSheetId="31">#REF!</definedName>
    <definedName name="_____________aaa7" localSheetId="15">#REF!</definedName>
    <definedName name="_____________aaa7" localSheetId="13">#REF!</definedName>
    <definedName name="_____________aaa7" localSheetId="17">#REF!</definedName>
    <definedName name="_____________aaa7" localSheetId="12">#REF!</definedName>
    <definedName name="_____________aaa7" localSheetId="22">#REF!</definedName>
    <definedName name="_____________aaa7" localSheetId="28">#REF!</definedName>
    <definedName name="_____________aaa7" localSheetId="35">#REF!</definedName>
    <definedName name="_____________aaa7">#REF!</definedName>
    <definedName name="_____________aaa8" localSheetId="18">#REF!</definedName>
    <definedName name="_____________aaa8" localSheetId="25">#REF!</definedName>
    <definedName name="_____________aaa8" localSheetId="29">#REF!</definedName>
    <definedName name="_____________aaa8" localSheetId="31">#REF!</definedName>
    <definedName name="_____________aaa8" localSheetId="15">#REF!</definedName>
    <definedName name="_____________aaa8" localSheetId="13">#REF!</definedName>
    <definedName name="_____________aaa8" localSheetId="17">#REF!</definedName>
    <definedName name="_____________aaa8" localSheetId="12">#REF!</definedName>
    <definedName name="_____________aaa8" localSheetId="22">#REF!</definedName>
    <definedName name="_____________aaa8" localSheetId="28">#REF!</definedName>
    <definedName name="_____________aaa8" localSheetId="35">#REF!</definedName>
    <definedName name="_____________aaa8">#REF!</definedName>
    <definedName name="_____________c20041" localSheetId="18">#REF!</definedName>
    <definedName name="_____________c20041" localSheetId="25">#REF!</definedName>
    <definedName name="_____________c20041" localSheetId="29">#REF!</definedName>
    <definedName name="_____________c20041" localSheetId="31">#REF!</definedName>
    <definedName name="_____________c20041" localSheetId="15">#REF!</definedName>
    <definedName name="_____________c20041" localSheetId="13">#REF!</definedName>
    <definedName name="_____________c20041" localSheetId="17">#REF!</definedName>
    <definedName name="_____________c20041" localSheetId="12">#REF!</definedName>
    <definedName name="_____________c20041" localSheetId="22">#REF!</definedName>
    <definedName name="_____________c20041" localSheetId="28">#REF!</definedName>
    <definedName name="_____________c20041" localSheetId="35">#REF!</definedName>
    <definedName name="_____________c20041">#REF!</definedName>
    <definedName name="_____________ess1" localSheetId="18">#REF!</definedName>
    <definedName name="_____________ess1" localSheetId="25">#REF!</definedName>
    <definedName name="_____________ess1" localSheetId="29">#REF!</definedName>
    <definedName name="_____________ess1" localSheetId="31">#REF!</definedName>
    <definedName name="_____________ess1" localSheetId="15">#REF!</definedName>
    <definedName name="_____________ess1" localSheetId="13">#REF!</definedName>
    <definedName name="_____________ess1" localSheetId="17">#REF!</definedName>
    <definedName name="_____________ess1" localSheetId="12">#REF!</definedName>
    <definedName name="_____________ess1" localSheetId="22">#REF!</definedName>
    <definedName name="_____________ess1" localSheetId="28">#REF!</definedName>
    <definedName name="_____________ess1" localSheetId="35">#REF!</definedName>
    <definedName name="_____________ess1">#REF!</definedName>
    <definedName name="_____________FRF4">'[4]FX Rates'!$G$10</definedName>
    <definedName name="_____________FRU2003" localSheetId="18">#REF!</definedName>
    <definedName name="_____________FRU2003" localSheetId="25">#REF!</definedName>
    <definedName name="_____________FRU2003" localSheetId="29">#REF!</definedName>
    <definedName name="_____________FRU2003" localSheetId="31">#REF!</definedName>
    <definedName name="_____________FRU2003" localSheetId="15">#REF!</definedName>
    <definedName name="_____________FRU2003" localSheetId="13">#REF!</definedName>
    <definedName name="_____________FRU2003" localSheetId="17">#REF!</definedName>
    <definedName name="_____________FRU2003" localSheetId="12">#REF!</definedName>
    <definedName name="_____________FRU2003" localSheetId="22">#REF!</definedName>
    <definedName name="_____________FRU2003" localSheetId="28">#REF!</definedName>
    <definedName name="_____________FRU2003" localSheetId="35">#REF!</definedName>
    <definedName name="_____________FRU2003">#REF!</definedName>
    <definedName name="_____________GBP4">'[4]FX Rates'!$G$9</definedName>
    <definedName name="_____________pg1" localSheetId="18">#REF!</definedName>
    <definedName name="_____________pg1" localSheetId="25">#REF!</definedName>
    <definedName name="_____________pg1" localSheetId="29">#REF!</definedName>
    <definedName name="_____________pg1" localSheetId="31">#REF!</definedName>
    <definedName name="_____________pg1" localSheetId="15">#REF!</definedName>
    <definedName name="_____________pg1" localSheetId="13">#REF!</definedName>
    <definedName name="_____________pg1" localSheetId="17">#REF!</definedName>
    <definedName name="_____________pg1" localSheetId="12">#REF!</definedName>
    <definedName name="_____________pg1" localSheetId="22">#REF!</definedName>
    <definedName name="_____________pg1" localSheetId="28">#REF!</definedName>
    <definedName name="_____________pg1" localSheetId="35">#REF!</definedName>
    <definedName name="_____________pg1">#REF!</definedName>
    <definedName name="_____________pg2" localSheetId="18">#REF!</definedName>
    <definedName name="_____________pg2" localSheetId="25">#REF!</definedName>
    <definedName name="_____________pg2" localSheetId="29">#REF!</definedName>
    <definedName name="_____________pg2" localSheetId="31">#REF!</definedName>
    <definedName name="_____________pg2" localSheetId="15">#REF!</definedName>
    <definedName name="_____________pg2" localSheetId="13">#REF!</definedName>
    <definedName name="_____________pg2" localSheetId="17">#REF!</definedName>
    <definedName name="_____________pg2" localSheetId="12">#REF!</definedName>
    <definedName name="_____________pg2" localSheetId="22">#REF!</definedName>
    <definedName name="_____________pg2" localSheetId="28">#REF!</definedName>
    <definedName name="_____________pg2" localSheetId="35">#REF!</definedName>
    <definedName name="_____________pg2">#REF!</definedName>
    <definedName name="_____________R" localSheetId="18">#REF!</definedName>
    <definedName name="_____________R" localSheetId="25">#REF!</definedName>
    <definedName name="_____________R" localSheetId="29">#REF!</definedName>
    <definedName name="_____________R" localSheetId="31">#REF!</definedName>
    <definedName name="_____________R" localSheetId="15">#REF!</definedName>
    <definedName name="_____________R" localSheetId="13">#REF!</definedName>
    <definedName name="_____________R" localSheetId="17">#REF!</definedName>
    <definedName name="_____________R" localSheetId="12">#REF!</definedName>
    <definedName name="_____________R" localSheetId="22">#REF!</definedName>
    <definedName name="_____________R" localSheetId="28">#REF!</definedName>
    <definedName name="_____________R" localSheetId="35">#REF!</definedName>
    <definedName name="_____________R">#REF!</definedName>
    <definedName name="_____________R2000ssta" localSheetId="18">#REF!</definedName>
    <definedName name="_____________R2000ssta" localSheetId="25">#REF!</definedName>
    <definedName name="_____________R2000ssta" localSheetId="29">#REF!</definedName>
    <definedName name="_____________R2000ssta" localSheetId="31">#REF!</definedName>
    <definedName name="_____________R2000ssta" localSheetId="15">#REF!</definedName>
    <definedName name="_____________R2000ssta" localSheetId="13">#REF!</definedName>
    <definedName name="_____________R2000ssta" localSheetId="17">#REF!</definedName>
    <definedName name="_____________R2000ssta" localSheetId="12">#REF!</definedName>
    <definedName name="_____________R2000ssta" localSheetId="22">#REF!</definedName>
    <definedName name="_____________R2000ssta" localSheetId="28">#REF!</definedName>
    <definedName name="_____________R2000ssta" localSheetId="35">#REF!</definedName>
    <definedName name="_____________R2000ssta">#REF!</definedName>
    <definedName name="_____________SC16" localSheetId="18">#REF!</definedName>
    <definedName name="_____________SC16" localSheetId="25">#REF!</definedName>
    <definedName name="_____________SC16" localSheetId="29">#REF!</definedName>
    <definedName name="_____________SC16" localSheetId="31">#REF!</definedName>
    <definedName name="_____________SC16" localSheetId="15">#REF!</definedName>
    <definedName name="_____________SC16" localSheetId="13">#REF!</definedName>
    <definedName name="_____________SC16" localSheetId="17">#REF!</definedName>
    <definedName name="_____________SC16" localSheetId="12">#REF!</definedName>
    <definedName name="_____________SC16" localSheetId="22">#REF!</definedName>
    <definedName name="_____________SC16" localSheetId="28">#REF!</definedName>
    <definedName name="_____________SC16" localSheetId="35">#REF!</definedName>
    <definedName name="_____________SC16">#REF!</definedName>
    <definedName name="_____________SET2" localSheetId="18">#REF!</definedName>
    <definedName name="_____________SET2" localSheetId="25">#REF!</definedName>
    <definedName name="_____________SET2" localSheetId="29">#REF!</definedName>
    <definedName name="_____________SET2" localSheetId="31">#REF!</definedName>
    <definedName name="_____________SET2" localSheetId="15">#REF!</definedName>
    <definedName name="_____________SET2" localSheetId="13">#REF!</definedName>
    <definedName name="_____________SET2" localSheetId="17">#REF!</definedName>
    <definedName name="_____________SET2" localSheetId="12">#REF!</definedName>
    <definedName name="_____________SET2" localSheetId="22">#REF!</definedName>
    <definedName name="_____________SET2" localSheetId="28">#REF!</definedName>
    <definedName name="_____________SET2" localSheetId="35">#REF!</definedName>
    <definedName name="_____________SET2">#REF!</definedName>
    <definedName name="_____________SYN1" localSheetId="18">#REF!</definedName>
    <definedName name="_____________SYN1" localSheetId="25">#REF!</definedName>
    <definedName name="_____________SYN1" localSheetId="29">#REF!</definedName>
    <definedName name="_____________SYN1" localSheetId="31">#REF!</definedName>
    <definedName name="_____________SYN1" localSheetId="15">#REF!</definedName>
    <definedName name="_____________SYN1" localSheetId="13">#REF!</definedName>
    <definedName name="_____________SYN1" localSheetId="17">#REF!</definedName>
    <definedName name="_____________SYN1" localSheetId="12">#REF!</definedName>
    <definedName name="_____________SYN1" localSheetId="22">#REF!</definedName>
    <definedName name="_____________SYN1" localSheetId="28">#REF!</definedName>
    <definedName name="_____________SYN1" localSheetId="35">#REF!</definedName>
    <definedName name="_____________SYN1">#REF!</definedName>
    <definedName name="_____________SYN2" localSheetId="18">#REF!</definedName>
    <definedName name="_____________SYN2" localSheetId="25">#REF!</definedName>
    <definedName name="_____________SYN2" localSheetId="29">#REF!</definedName>
    <definedName name="_____________SYN2" localSheetId="31">#REF!</definedName>
    <definedName name="_____________SYN2" localSheetId="15">#REF!</definedName>
    <definedName name="_____________SYN2" localSheetId="13">#REF!</definedName>
    <definedName name="_____________SYN2" localSheetId="17">#REF!</definedName>
    <definedName name="_____________SYN2" localSheetId="12">#REF!</definedName>
    <definedName name="_____________SYN2" localSheetId="22">#REF!</definedName>
    <definedName name="_____________SYN2" localSheetId="28">#REF!</definedName>
    <definedName name="_____________SYN2" localSheetId="35">#REF!</definedName>
    <definedName name="_____________SYN2">#REF!</definedName>
    <definedName name="_____________UNI1999" localSheetId="18">#REF!</definedName>
    <definedName name="_____________UNI1999" localSheetId="25">#REF!</definedName>
    <definedName name="_____________UNI1999" localSheetId="29">#REF!</definedName>
    <definedName name="_____________UNI1999" localSheetId="31">#REF!</definedName>
    <definedName name="_____________UNI1999" localSheetId="15">#REF!</definedName>
    <definedName name="_____________UNI1999" localSheetId="13">#REF!</definedName>
    <definedName name="_____________UNI1999" localSheetId="17">#REF!</definedName>
    <definedName name="_____________UNI1999" localSheetId="12">#REF!</definedName>
    <definedName name="_____________UNI1999" localSheetId="22">#REF!</definedName>
    <definedName name="_____________UNI1999" localSheetId="28">#REF!</definedName>
    <definedName name="_____________UNI1999" localSheetId="35">#REF!</definedName>
    <definedName name="_____________UNI1999">#REF!</definedName>
    <definedName name="_____________UNI2000" localSheetId="18">#REF!</definedName>
    <definedName name="_____________UNI2000" localSheetId="25">#REF!</definedName>
    <definedName name="_____________UNI2000" localSheetId="29">#REF!</definedName>
    <definedName name="_____________UNI2000" localSheetId="31">#REF!</definedName>
    <definedName name="_____________UNI2000" localSheetId="15">#REF!</definedName>
    <definedName name="_____________UNI2000" localSheetId="13">#REF!</definedName>
    <definedName name="_____________UNI2000" localSheetId="17">#REF!</definedName>
    <definedName name="_____________UNI2000" localSheetId="12">#REF!</definedName>
    <definedName name="_____________UNI2000" localSheetId="22">#REF!</definedName>
    <definedName name="_____________UNI2000" localSheetId="28">#REF!</definedName>
    <definedName name="_____________UNI2000" localSheetId="35">#REF!</definedName>
    <definedName name="_____________UNI2000">#REF!</definedName>
    <definedName name="_____________UNI2001" localSheetId="18">#REF!</definedName>
    <definedName name="_____________UNI2001" localSheetId="25">#REF!</definedName>
    <definedName name="_____________UNI2001" localSheetId="29">#REF!</definedName>
    <definedName name="_____________UNI2001" localSheetId="31">#REF!</definedName>
    <definedName name="_____________UNI2001" localSheetId="15">#REF!</definedName>
    <definedName name="_____________UNI2001" localSheetId="13">#REF!</definedName>
    <definedName name="_____________UNI2001" localSheetId="17">#REF!</definedName>
    <definedName name="_____________UNI2001" localSheetId="12">#REF!</definedName>
    <definedName name="_____________UNI2001" localSheetId="22">#REF!</definedName>
    <definedName name="_____________UNI2001" localSheetId="28">#REF!</definedName>
    <definedName name="_____________UNI2001" localSheetId="35">#REF!</definedName>
    <definedName name="_____________UNI2001">#REF!</definedName>
    <definedName name="_____________vb100" localSheetId="18">#REF!</definedName>
    <definedName name="_____________vb100" localSheetId="25">#REF!</definedName>
    <definedName name="_____________vb100" localSheetId="29">#REF!</definedName>
    <definedName name="_____________vb100" localSheetId="31">#REF!</definedName>
    <definedName name="_____________vb100" localSheetId="15">#REF!</definedName>
    <definedName name="_____________vb100" localSheetId="13">#REF!</definedName>
    <definedName name="_____________vb100" localSheetId="17">#REF!</definedName>
    <definedName name="_____________vb100" localSheetId="12">#REF!</definedName>
    <definedName name="_____________vb100" localSheetId="22">#REF!</definedName>
    <definedName name="_____________vb100" localSheetId="28">#REF!</definedName>
    <definedName name="_____________vb100" localSheetId="35">#REF!</definedName>
    <definedName name="_____________vb100">#REF!</definedName>
    <definedName name="____________aaa1" localSheetId="18">#REF!</definedName>
    <definedName name="____________aaa1" localSheetId="25">#REF!</definedName>
    <definedName name="____________aaa1" localSheetId="29">#REF!</definedName>
    <definedName name="____________aaa1" localSheetId="31">#REF!</definedName>
    <definedName name="____________aaa1" localSheetId="15">#REF!</definedName>
    <definedName name="____________aaa1" localSheetId="13">#REF!</definedName>
    <definedName name="____________aaa1" localSheetId="17">#REF!</definedName>
    <definedName name="____________aaa1" localSheetId="12">#REF!</definedName>
    <definedName name="____________aaa1" localSheetId="22">#REF!</definedName>
    <definedName name="____________aaa1" localSheetId="28">#REF!</definedName>
    <definedName name="____________aaa1" localSheetId="35">#REF!</definedName>
    <definedName name="____________aaa1">#REF!</definedName>
    <definedName name="____________aaa2" localSheetId="18">#REF!</definedName>
    <definedName name="____________aaa2" localSheetId="25">#REF!</definedName>
    <definedName name="____________aaa2" localSheetId="29">#REF!</definedName>
    <definedName name="____________aaa2" localSheetId="31">#REF!</definedName>
    <definedName name="____________aaa2" localSheetId="15">#REF!</definedName>
    <definedName name="____________aaa2" localSheetId="13">#REF!</definedName>
    <definedName name="____________aaa2" localSheetId="17">#REF!</definedName>
    <definedName name="____________aaa2" localSheetId="12">#REF!</definedName>
    <definedName name="____________aaa2" localSheetId="22">#REF!</definedName>
    <definedName name="____________aaa2" localSheetId="28">#REF!</definedName>
    <definedName name="____________aaa2" localSheetId="35">#REF!</definedName>
    <definedName name="____________aaa2">#REF!</definedName>
    <definedName name="____________aaa3" localSheetId="18">#REF!</definedName>
    <definedName name="____________aaa3" localSheetId="25">#REF!</definedName>
    <definedName name="____________aaa3" localSheetId="29">#REF!</definedName>
    <definedName name="____________aaa3" localSheetId="31">#REF!</definedName>
    <definedName name="____________aaa3" localSheetId="15">#REF!</definedName>
    <definedName name="____________aaa3" localSheetId="13">#REF!</definedName>
    <definedName name="____________aaa3" localSheetId="17">#REF!</definedName>
    <definedName name="____________aaa3" localSheetId="12">#REF!</definedName>
    <definedName name="____________aaa3" localSheetId="22">#REF!</definedName>
    <definedName name="____________aaa3" localSheetId="28">#REF!</definedName>
    <definedName name="____________aaa3" localSheetId="35">#REF!</definedName>
    <definedName name="____________aaa3">#REF!</definedName>
    <definedName name="____________aaa4" localSheetId="18">#REF!</definedName>
    <definedName name="____________aaa4" localSheetId="25">#REF!</definedName>
    <definedName name="____________aaa4" localSheetId="29">#REF!</definedName>
    <definedName name="____________aaa4" localSheetId="31">#REF!</definedName>
    <definedName name="____________aaa4" localSheetId="15">#REF!</definedName>
    <definedName name="____________aaa4" localSheetId="13">#REF!</definedName>
    <definedName name="____________aaa4" localSheetId="17">#REF!</definedName>
    <definedName name="____________aaa4" localSheetId="12">#REF!</definedName>
    <definedName name="____________aaa4" localSheetId="22">#REF!</definedName>
    <definedName name="____________aaa4" localSheetId="28">#REF!</definedName>
    <definedName name="____________aaa4" localSheetId="35">#REF!</definedName>
    <definedName name="____________aaa4">#REF!</definedName>
    <definedName name="____________aaa5" localSheetId="18">#REF!</definedName>
    <definedName name="____________aaa5" localSheetId="25">#REF!</definedName>
    <definedName name="____________aaa5" localSheetId="29">#REF!</definedName>
    <definedName name="____________aaa5" localSheetId="31">#REF!</definedName>
    <definedName name="____________aaa5" localSheetId="15">#REF!</definedName>
    <definedName name="____________aaa5" localSheetId="13">#REF!</definedName>
    <definedName name="____________aaa5" localSheetId="17">#REF!</definedName>
    <definedName name="____________aaa5" localSheetId="12">#REF!</definedName>
    <definedName name="____________aaa5" localSheetId="22">#REF!</definedName>
    <definedName name="____________aaa5" localSheetId="28">#REF!</definedName>
    <definedName name="____________aaa5" localSheetId="35">#REF!</definedName>
    <definedName name="____________aaa5">#REF!</definedName>
    <definedName name="____________aaa6" localSheetId="18">#REF!</definedName>
    <definedName name="____________aaa6" localSheetId="25">#REF!</definedName>
    <definedName name="____________aaa6" localSheetId="29">#REF!</definedName>
    <definedName name="____________aaa6" localSheetId="31">#REF!</definedName>
    <definedName name="____________aaa6" localSheetId="15">#REF!</definedName>
    <definedName name="____________aaa6" localSheetId="13">#REF!</definedName>
    <definedName name="____________aaa6" localSheetId="17">#REF!</definedName>
    <definedName name="____________aaa6" localSheetId="12">#REF!</definedName>
    <definedName name="____________aaa6" localSheetId="22">#REF!</definedName>
    <definedName name="____________aaa6" localSheetId="28">#REF!</definedName>
    <definedName name="____________aaa6" localSheetId="35">#REF!</definedName>
    <definedName name="____________aaa6">#REF!</definedName>
    <definedName name="____________aaa7" localSheetId="18">#REF!</definedName>
    <definedName name="____________aaa7" localSheetId="25">#REF!</definedName>
    <definedName name="____________aaa7" localSheetId="29">#REF!</definedName>
    <definedName name="____________aaa7" localSheetId="31">#REF!</definedName>
    <definedName name="____________aaa7" localSheetId="15">#REF!</definedName>
    <definedName name="____________aaa7" localSheetId="13">#REF!</definedName>
    <definedName name="____________aaa7" localSheetId="17">#REF!</definedName>
    <definedName name="____________aaa7" localSheetId="12">#REF!</definedName>
    <definedName name="____________aaa7" localSheetId="22">#REF!</definedName>
    <definedName name="____________aaa7" localSheetId="28">#REF!</definedName>
    <definedName name="____________aaa7" localSheetId="35">#REF!</definedName>
    <definedName name="____________aaa7">#REF!</definedName>
    <definedName name="____________aaa8" localSheetId="18">#REF!</definedName>
    <definedName name="____________aaa8" localSheetId="25">#REF!</definedName>
    <definedName name="____________aaa8" localSheetId="29">#REF!</definedName>
    <definedName name="____________aaa8" localSheetId="31">#REF!</definedName>
    <definedName name="____________aaa8" localSheetId="15">#REF!</definedName>
    <definedName name="____________aaa8" localSheetId="13">#REF!</definedName>
    <definedName name="____________aaa8" localSheetId="17">#REF!</definedName>
    <definedName name="____________aaa8" localSheetId="12">#REF!</definedName>
    <definedName name="____________aaa8" localSheetId="22">#REF!</definedName>
    <definedName name="____________aaa8" localSheetId="28">#REF!</definedName>
    <definedName name="____________aaa8" localSheetId="35">#REF!</definedName>
    <definedName name="____________aaa8">#REF!</definedName>
    <definedName name="____________c20041" localSheetId="18">#REF!</definedName>
    <definedName name="____________c20041" localSheetId="25">#REF!</definedName>
    <definedName name="____________c20041" localSheetId="29">#REF!</definedName>
    <definedName name="____________c20041" localSheetId="31">#REF!</definedName>
    <definedName name="____________c20041" localSheetId="15">#REF!</definedName>
    <definedName name="____________c20041" localSheetId="13">#REF!</definedName>
    <definedName name="____________c20041" localSheetId="17">#REF!</definedName>
    <definedName name="____________c20041" localSheetId="12">#REF!</definedName>
    <definedName name="____________c20041" localSheetId="22">#REF!</definedName>
    <definedName name="____________c20041" localSheetId="28">#REF!</definedName>
    <definedName name="____________c20041" localSheetId="35">#REF!</definedName>
    <definedName name="____________c20041">#REF!</definedName>
    <definedName name="____________ess1" localSheetId="18">#REF!</definedName>
    <definedName name="____________ess1" localSheetId="25">#REF!</definedName>
    <definedName name="____________ess1" localSheetId="29">#REF!</definedName>
    <definedName name="____________ess1" localSheetId="31">#REF!</definedName>
    <definedName name="____________ess1" localSheetId="15">#REF!</definedName>
    <definedName name="____________ess1" localSheetId="13">#REF!</definedName>
    <definedName name="____________ess1" localSheetId="17">#REF!</definedName>
    <definedName name="____________ess1" localSheetId="12">#REF!</definedName>
    <definedName name="____________ess1" localSheetId="22">#REF!</definedName>
    <definedName name="____________ess1" localSheetId="28">#REF!</definedName>
    <definedName name="____________ess1" localSheetId="35">#REF!</definedName>
    <definedName name="____________ess1">#REF!</definedName>
    <definedName name="____________FRF4">'[4]FX Rates'!$G$10</definedName>
    <definedName name="____________FRU2003" localSheetId="18">#REF!</definedName>
    <definedName name="____________FRU2003" localSheetId="25">#REF!</definedName>
    <definedName name="____________FRU2003" localSheetId="29">#REF!</definedName>
    <definedName name="____________FRU2003" localSheetId="31">#REF!</definedName>
    <definedName name="____________FRU2003" localSheetId="15">#REF!</definedName>
    <definedName name="____________FRU2003" localSheetId="13">#REF!</definedName>
    <definedName name="____________FRU2003" localSheetId="17">#REF!</definedName>
    <definedName name="____________FRU2003" localSheetId="12">#REF!</definedName>
    <definedName name="____________FRU2003" localSheetId="22">#REF!</definedName>
    <definedName name="____________FRU2003" localSheetId="28">#REF!</definedName>
    <definedName name="____________FRU2003" localSheetId="35">#REF!</definedName>
    <definedName name="____________FRU2003">#REF!</definedName>
    <definedName name="____________GBP4">'[4]FX Rates'!$G$9</definedName>
    <definedName name="____________pg1" localSheetId="18">#REF!</definedName>
    <definedName name="____________pg1" localSheetId="25">#REF!</definedName>
    <definedName name="____________pg1" localSheetId="29">#REF!</definedName>
    <definedName name="____________pg1" localSheetId="31">#REF!</definedName>
    <definedName name="____________pg1" localSheetId="15">#REF!</definedName>
    <definedName name="____________pg1" localSheetId="13">#REF!</definedName>
    <definedName name="____________pg1" localSheetId="17">#REF!</definedName>
    <definedName name="____________pg1" localSheetId="12">#REF!</definedName>
    <definedName name="____________pg1" localSheetId="22">#REF!</definedName>
    <definedName name="____________pg1" localSheetId="28">#REF!</definedName>
    <definedName name="____________pg1" localSheetId="35">#REF!</definedName>
    <definedName name="____________pg1">#REF!</definedName>
    <definedName name="____________pg2" localSheetId="18">#REF!</definedName>
    <definedName name="____________pg2" localSheetId="25">#REF!</definedName>
    <definedName name="____________pg2" localSheetId="29">#REF!</definedName>
    <definedName name="____________pg2" localSheetId="31">#REF!</definedName>
    <definedName name="____________pg2" localSheetId="15">#REF!</definedName>
    <definedName name="____________pg2" localSheetId="13">#REF!</definedName>
    <definedName name="____________pg2" localSheetId="17">#REF!</definedName>
    <definedName name="____________pg2" localSheetId="12">#REF!</definedName>
    <definedName name="____________pg2" localSheetId="22">#REF!</definedName>
    <definedName name="____________pg2" localSheetId="28">#REF!</definedName>
    <definedName name="____________pg2" localSheetId="35">#REF!</definedName>
    <definedName name="____________pg2">#REF!</definedName>
    <definedName name="____________R" localSheetId="18">#REF!</definedName>
    <definedName name="____________R" localSheetId="25">#REF!</definedName>
    <definedName name="____________R" localSheetId="29">#REF!</definedName>
    <definedName name="____________R" localSheetId="31">#REF!</definedName>
    <definedName name="____________R" localSheetId="15">#REF!</definedName>
    <definedName name="____________R" localSheetId="13">#REF!</definedName>
    <definedName name="____________R" localSheetId="17">#REF!</definedName>
    <definedName name="____________R" localSheetId="12">#REF!</definedName>
    <definedName name="____________R" localSheetId="22">#REF!</definedName>
    <definedName name="____________R" localSheetId="28">#REF!</definedName>
    <definedName name="____________R" localSheetId="35">#REF!</definedName>
    <definedName name="____________R">#REF!</definedName>
    <definedName name="____________R2000ssta" localSheetId="18">#REF!</definedName>
    <definedName name="____________R2000ssta" localSheetId="25">#REF!</definedName>
    <definedName name="____________R2000ssta" localSheetId="29">#REF!</definedName>
    <definedName name="____________R2000ssta" localSheetId="31">#REF!</definedName>
    <definedName name="____________R2000ssta" localSheetId="15">#REF!</definedName>
    <definedName name="____________R2000ssta" localSheetId="13">#REF!</definedName>
    <definedName name="____________R2000ssta" localSheetId="17">#REF!</definedName>
    <definedName name="____________R2000ssta" localSheetId="12">#REF!</definedName>
    <definedName name="____________R2000ssta" localSheetId="22">#REF!</definedName>
    <definedName name="____________R2000ssta" localSheetId="28">#REF!</definedName>
    <definedName name="____________R2000ssta" localSheetId="35">#REF!</definedName>
    <definedName name="____________R2000ssta">#REF!</definedName>
    <definedName name="____________SC16" localSheetId="18">#REF!</definedName>
    <definedName name="____________SC16" localSheetId="25">#REF!</definedName>
    <definedName name="____________SC16" localSheetId="29">#REF!</definedName>
    <definedName name="____________SC16" localSheetId="31">#REF!</definedName>
    <definedName name="____________SC16" localSheetId="15">#REF!</definedName>
    <definedName name="____________SC16" localSheetId="13">#REF!</definedName>
    <definedName name="____________SC16" localSheetId="17">#REF!</definedName>
    <definedName name="____________SC16" localSheetId="12">#REF!</definedName>
    <definedName name="____________SC16" localSheetId="22">#REF!</definedName>
    <definedName name="____________SC16" localSheetId="28">#REF!</definedName>
    <definedName name="____________SC16" localSheetId="35">#REF!</definedName>
    <definedName name="____________SC16">#REF!</definedName>
    <definedName name="____________SET2" localSheetId="18">#REF!</definedName>
    <definedName name="____________SET2" localSheetId="25">#REF!</definedName>
    <definedName name="____________SET2" localSheetId="29">#REF!</definedName>
    <definedName name="____________SET2" localSheetId="31">#REF!</definedName>
    <definedName name="____________SET2" localSheetId="15">#REF!</definedName>
    <definedName name="____________SET2" localSheetId="13">#REF!</definedName>
    <definedName name="____________SET2" localSheetId="17">#REF!</definedName>
    <definedName name="____________SET2" localSheetId="12">#REF!</definedName>
    <definedName name="____________SET2" localSheetId="22">#REF!</definedName>
    <definedName name="____________SET2" localSheetId="28">#REF!</definedName>
    <definedName name="____________SET2" localSheetId="35">#REF!</definedName>
    <definedName name="____________SET2">#REF!</definedName>
    <definedName name="____________SYN1" localSheetId="18">#REF!</definedName>
    <definedName name="____________SYN1" localSheetId="25">#REF!</definedName>
    <definedName name="____________SYN1" localSheetId="29">#REF!</definedName>
    <definedName name="____________SYN1" localSheetId="31">#REF!</definedName>
    <definedName name="____________SYN1" localSheetId="15">#REF!</definedName>
    <definedName name="____________SYN1" localSheetId="13">#REF!</definedName>
    <definedName name="____________SYN1" localSheetId="17">#REF!</definedName>
    <definedName name="____________SYN1" localSheetId="12">#REF!</definedName>
    <definedName name="____________SYN1" localSheetId="22">#REF!</definedName>
    <definedName name="____________SYN1" localSheetId="28">#REF!</definedName>
    <definedName name="____________SYN1" localSheetId="35">#REF!</definedName>
    <definedName name="____________SYN1">#REF!</definedName>
    <definedName name="____________SYN2" localSheetId="18">#REF!</definedName>
    <definedName name="____________SYN2" localSheetId="25">#REF!</definedName>
    <definedName name="____________SYN2" localSheetId="29">#REF!</definedName>
    <definedName name="____________SYN2" localSheetId="31">#REF!</definedName>
    <definedName name="____________SYN2" localSheetId="15">#REF!</definedName>
    <definedName name="____________SYN2" localSheetId="13">#REF!</definedName>
    <definedName name="____________SYN2" localSheetId="17">#REF!</definedName>
    <definedName name="____________SYN2" localSheetId="12">#REF!</definedName>
    <definedName name="____________SYN2" localSheetId="22">#REF!</definedName>
    <definedName name="____________SYN2" localSheetId="28">#REF!</definedName>
    <definedName name="____________SYN2" localSheetId="35">#REF!</definedName>
    <definedName name="____________SYN2">#REF!</definedName>
    <definedName name="____________UNI1999" localSheetId="18">#REF!</definedName>
    <definedName name="____________UNI1999" localSheetId="25">#REF!</definedName>
    <definedName name="____________UNI1999" localSheetId="29">#REF!</definedName>
    <definedName name="____________UNI1999" localSheetId="31">#REF!</definedName>
    <definedName name="____________UNI1999" localSheetId="15">#REF!</definedName>
    <definedName name="____________UNI1999" localSheetId="13">#REF!</definedName>
    <definedName name="____________UNI1999" localSheetId="17">#REF!</definedName>
    <definedName name="____________UNI1999" localSheetId="12">#REF!</definedName>
    <definedName name="____________UNI1999" localSheetId="22">#REF!</definedName>
    <definedName name="____________UNI1999" localSheetId="28">#REF!</definedName>
    <definedName name="____________UNI1999" localSheetId="35">#REF!</definedName>
    <definedName name="____________UNI1999">#REF!</definedName>
    <definedName name="____________UNI2000" localSheetId="18">#REF!</definedName>
    <definedName name="____________UNI2000" localSheetId="25">#REF!</definedName>
    <definedName name="____________UNI2000" localSheetId="29">#REF!</definedName>
    <definedName name="____________UNI2000" localSheetId="31">#REF!</definedName>
    <definedName name="____________UNI2000" localSheetId="15">#REF!</definedName>
    <definedName name="____________UNI2000" localSheetId="13">#REF!</definedName>
    <definedName name="____________UNI2000" localSheetId="17">#REF!</definedName>
    <definedName name="____________UNI2000" localSheetId="12">#REF!</definedName>
    <definedName name="____________UNI2000" localSheetId="22">#REF!</definedName>
    <definedName name="____________UNI2000" localSheetId="28">#REF!</definedName>
    <definedName name="____________UNI2000" localSheetId="35">#REF!</definedName>
    <definedName name="____________UNI2000">#REF!</definedName>
    <definedName name="____________UNI2001" localSheetId="18">#REF!</definedName>
    <definedName name="____________UNI2001" localSheetId="25">#REF!</definedName>
    <definedName name="____________UNI2001" localSheetId="29">#REF!</definedName>
    <definedName name="____________UNI2001" localSheetId="31">#REF!</definedName>
    <definedName name="____________UNI2001" localSheetId="15">#REF!</definedName>
    <definedName name="____________UNI2001" localSheetId="13">#REF!</definedName>
    <definedName name="____________UNI2001" localSheetId="17">#REF!</definedName>
    <definedName name="____________UNI2001" localSheetId="12">#REF!</definedName>
    <definedName name="____________UNI2001" localSheetId="22">#REF!</definedName>
    <definedName name="____________UNI2001" localSheetId="28">#REF!</definedName>
    <definedName name="____________UNI2001" localSheetId="35">#REF!</definedName>
    <definedName name="____________UNI2001">#REF!</definedName>
    <definedName name="____________vb100" localSheetId="18">#REF!</definedName>
    <definedName name="____________vb100" localSheetId="25">#REF!</definedName>
    <definedName name="____________vb100" localSheetId="29">#REF!</definedName>
    <definedName name="____________vb100" localSheetId="31">#REF!</definedName>
    <definedName name="____________vb100" localSheetId="15">#REF!</definedName>
    <definedName name="____________vb100" localSheetId="13">#REF!</definedName>
    <definedName name="____________vb100" localSheetId="17">#REF!</definedName>
    <definedName name="____________vb100" localSheetId="12">#REF!</definedName>
    <definedName name="____________vb100" localSheetId="22">#REF!</definedName>
    <definedName name="____________vb100" localSheetId="28">#REF!</definedName>
    <definedName name="____________vb100" localSheetId="35">#REF!</definedName>
    <definedName name="____________vb100">#REF!</definedName>
    <definedName name="___________aaa1" localSheetId="18">#REF!</definedName>
    <definedName name="___________aaa1" localSheetId="25">#REF!</definedName>
    <definedName name="___________aaa1" localSheetId="29">#REF!</definedName>
    <definedName name="___________aaa1" localSheetId="31">#REF!</definedName>
    <definedName name="___________aaa1" localSheetId="15">#REF!</definedName>
    <definedName name="___________aaa1" localSheetId="13">#REF!</definedName>
    <definedName name="___________aaa1" localSheetId="17">#REF!</definedName>
    <definedName name="___________aaa1" localSheetId="12">#REF!</definedName>
    <definedName name="___________aaa1" localSheetId="22">#REF!</definedName>
    <definedName name="___________aaa1" localSheetId="28">#REF!</definedName>
    <definedName name="___________aaa1" localSheetId="35">#REF!</definedName>
    <definedName name="___________aaa1">#REF!</definedName>
    <definedName name="___________aaa2" localSheetId="18">#REF!</definedName>
    <definedName name="___________aaa2" localSheetId="25">#REF!</definedName>
    <definedName name="___________aaa2" localSheetId="29">#REF!</definedName>
    <definedName name="___________aaa2" localSheetId="31">#REF!</definedName>
    <definedName name="___________aaa2" localSheetId="15">#REF!</definedName>
    <definedName name="___________aaa2" localSheetId="13">#REF!</definedName>
    <definedName name="___________aaa2" localSheetId="17">#REF!</definedName>
    <definedName name="___________aaa2" localSheetId="12">#REF!</definedName>
    <definedName name="___________aaa2" localSheetId="22">#REF!</definedName>
    <definedName name="___________aaa2" localSheetId="28">#REF!</definedName>
    <definedName name="___________aaa2" localSheetId="35">#REF!</definedName>
    <definedName name="___________aaa2">#REF!</definedName>
    <definedName name="___________aaa3" localSheetId="18">#REF!</definedName>
    <definedName name="___________aaa3" localSheetId="25">#REF!</definedName>
    <definedName name="___________aaa3" localSheetId="29">#REF!</definedName>
    <definedName name="___________aaa3" localSheetId="31">#REF!</definedName>
    <definedName name="___________aaa3" localSheetId="15">#REF!</definedName>
    <definedName name="___________aaa3" localSheetId="13">#REF!</definedName>
    <definedName name="___________aaa3" localSheetId="17">#REF!</definedName>
    <definedName name="___________aaa3" localSheetId="12">#REF!</definedName>
    <definedName name="___________aaa3" localSheetId="22">#REF!</definedName>
    <definedName name="___________aaa3" localSheetId="28">#REF!</definedName>
    <definedName name="___________aaa3" localSheetId="35">#REF!</definedName>
    <definedName name="___________aaa3">#REF!</definedName>
    <definedName name="___________aaa4" localSheetId="18">#REF!</definedName>
    <definedName name="___________aaa4" localSheetId="25">#REF!</definedName>
    <definedName name="___________aaa4" localSheetId="29">#REF!</definedName>
    <definedName name="___________aaa4" localSheetId="31">#REF!</definedName>
    <definedName name="___________aaa4" localSheetId="15">#REF!</definedName>
    <definedName name="___________aaa4" localSheetId="13">#REF!</definedName>
    <definedName name="___________aaa4" localSheetId="17">#REF!</definedName>
    <definedName name="___________aaa4" localSheetId="12">#REF!</definedName>
    <definedName name="___________aaa4" localSheetId="22">#REF!</definedName>
    <definedName name="___________aaa4" localSheetId="28">#REF!</definedName>
    <definedName name="___________aaa4" localSheetId="35">#REF!</definedName>
    <definedName name="___________aaa4">#REF!</definedName>
    <definedName name="___________aaa5" localSheetId="18">#REF!</definedName>
    <definedName name="___________aaa5" localSheetId="25">#REF!</definedName>
    <definedName name="___________aaa5" localSheetId="29">#REF!</definedName>
    <definedName name="___________aaa5" localSheetId="31">#REF!</definedName>
    <definedName name="___________aaa5" localSheetId="15">#REF!</definedName>
    <definedName name="___________aaa5" localSheetId="13">#REF!</definedName>
    <definedName name="___________aaa5" localSheetId="17">#REF!</definedName>
    <definedName name="___________aaa5" localSheetId="12">#REF!</definedName>
    <definedName name="___________aaa5" localSheetId="22">#REF!</definedName>
    <definedName name="___________aaa5" localSheetId="28">#REF!</definedName>
    <definedName name="___________aaa5" localSheetId="35">#REF!</definedName>
    <definedName name="___________aaa5">#REF!</definedName>
    <definedName name="___________aaa6" localSheetId="18">#REF!</definedName>
    <definedName name="___________aaa6" localSheetId="25">#REF!</definedName>
    <definedName name="___________aaa6" localSheetId="29">#REF!</definedName>
    <definedName name="___________aaa6" localSheetId="31">#REF!</definedName>
    <definedName name="___________aaa6" localSheetId="15">#REF!</definedName>
    <definedName name="___________aaa6" localSheetId="13">#REF!</definedName>
    <definedName name="___________aaa6" localSheetId="17">#REF!</definedName>
    <definedName name="___________aaa6" localSheetId="12">#REF!</definedName>
    <definedName name="___________aaa6" localSheetId="22">#REF!</definedName>
    <definedName name="___________aaa6" localSheetId="28">#REF!</definedName>
    <definedName name="___________aaa6" localSheetId="35">#REF!</definedName>
    <definedName name="___________aaa6">#REF!</definedName>
    <definedName name="___________aaa7" localSheetId="18">#REF!</definedName>
    <definedName name="___________aaa7" localSheetId="25">#REF!</definedName>
    <definedName name="___________aaa7" localSheetId="29">#REF!</definedName>
    <definedName name="___________aaa7" localSheetId="31">#REF!</definedName>
    <definedName name="___________aaa7" localSheetId="15">#REF!</definedName>
    <definedName name="___________aaa7" localSheetId="13">#REF!</definedName>
    <definedName name="___________aaa7" localSheetId="17">#REF!</definedName>
    <definedName name="___________aaa7" localSheetId="12">#REF!</definedName>
    <definedName name="___________aaa7" localSheetId="22">#REF!</definedName>
    <definedName name="___________aaa7" localSheetId="28">#REF!</definedName>
    <definedName name="___________aaa7" localSheetId="35">#REF!</definedName>
    <definedName name="___________aaa7">#REF!</definedName>
    <definedName name="___________aaa8" localSheetId="18">#REF!</definedName>
    <definedName name="___________aaa8" localSheetId="25">#REF!</definedName>
    <definedName name="___________aaa8" localSheetId="29">#REF!</definedName>
    <definedName name="___________aaa8" localSheetId="31">#REF!</definedName>
    <definedName name="___________aaa8" localSheetId="15">#REF!</definedName>
    <definedName name="___________aaa8" localSheetId="13">#REF!</definedName>
    <definedName name="___________aaa8" localSheetId="17">#REF!</definedName>
    <definedName name="___________aaa8" localSheetId="12">#REF!</definedName>
    <definedName name="___________aaa8" localSheetId="22">#REF!</definedName>
    <definedName name="___________aaa8" localSheetId="28">#REF!</definedName>
    <definedName name="___________aaa8" localSheetId="35">#REF!</definedName>
    <definedName name="___________aaa8">#REF!</definedName>
    <definedName name="___________B1" localSheetId="18">#N/A</definedName>
    <definedName name="___________B1" localSheetId="25">Activation!Tx_intérêt_par_an/#REF!</definedName>
    <definedName name="___________B1" localSheetId="29">'Amortissment boa'!Tx_intérêt_par_an/#REF!</definedName>
    <definedName name="___________B1" localSheetId="31">'Amortissment Cboa'!Tx_intérêt_par_an/#REF!</definedName>
    <definedName name="___________B1" localSheetId="15">#N/A</definedName>
    <definedName name="___________B1" localSheetId="13">#N/A</definedName>
    <definedName name="___________B1" localSheetId="19">#N/A</definedName>
    <definedName name="___________B1" localSheetId="17">#N/A</definedName>
    <definedName name="___________B1" localSheetId="12">#N/A</definedName>
    <definedName name="___________B1" localSheetId="22">[5]!Tx_intérêt_par_an/#REF!</definedName>
    <definedName name="___________B1" localSheetId="28">'SYNTHESE BOA'!Tx_intérêt_par_an/#REF!</definedName>
    <definedName name="___________B1" localSheetId="35">'Taxe 5%'!Tx_intérêt_par_an/#REF!</definedName>
    <definedName name="___________B1">[0]!Tx_intérêt_par_an/#REF!</definedName>
    <definedName name="___________bbb1">#N/A</definedName>
    <definedName name="___________c20041" localSheetId="18">#REF!</definedName>
    <definedName name="___________c20041" localSheetId="25">#REF!</definedName>
    <definedName name="___________c20041" localSheetId="29">#REF!</definedName>
    <definedName name="___________c20041" localSheetId="31">#REF!</definedName>
    <definedName name="___________c20041" localSheetId="15">#REF!</definedName>
    <definedName name="___________c20041" localSheetId="13">#REF!</definedName>
    <definedName name="___________c20041" localSheetId="17">#REF!</definedName>
    <definedName name="___________c20041" localSheetId="12">#REF!</definedName>
    <definedName name="___________c20041" localSheetId="22">#REF!</definedName>
    <definedName name="___________c20041" localSheetId="28">#REF!</definedName>
    <definedName name="___________c20041" localSheetId="35">#REF!</definedName>
    <definedName name="___________c20041">#REF!</definedName>
    <definedName name="___________DAT1" localSheetId="18">#REF!</definedName>
    <definedName name="___________DAT1" localSheetId="25">#REF!</definedName>
    <definedName name="___________DAT1" localSheetId="29">#REF!</definedName>
    <definedName name="___________DAT1" localSheetId="31">#REF!</definedName>
    <definedName name="___________DAT1" localSheetId="15">#REF!</definedName>
    <definedName name="___________DAT1" localSheetId="13">#REF!</definedName>
    <definedName name="___________DAT1" localSheetId="17">#REF!</definedName>
    <definedName name="___________DAT1" localSheetId="12">#REF!</definedName>
    <definedName name="___________DAT1" localSheetId="22">#REF!</definedName>
    <definedName name="___________DAT1" localSheetId="28">#REF!</definedName>
    <definedName name="___________DAT1" localSheetId="35">#REF!</definedName>
    <definedName name="___________DAT1">#REF!</definedName>
    <definedName name="___________DAT10" localSheetId="18">#REF!</definedName>
    <definedName name="___________DAT10" localSheetId="25">#REF!</definedName>
    <definedName name="___________DAT10" localSheetId="29">#REF!</definedName>
    <definedName name="___________DAT10" localSheetId="31">#REF!</definedName>
    <definedName name="___________DAT10" localSheetId="15">#REF!</definedName>
    <definedName name="___________DAT10" localSheetId="13">#REF!</definedName>
    <definedName name="___________DAT10" localSheetId="17">#REF!</definedName>
    <definedName name="___________DAT10" localSheetId="12">#REF!</definedName>
    <definedName name="___________DAT10" localSheetId="22">#REF!</definedName>
    <definedName name="___________DAT10" localSheetId="28">#REF!</definedName>
    <definedName name="___________DAT10" localSheetId="35">#REF!</definedName>
    <definedName name="___________DAT10">#REF!</definedName>
    <definedName name="___________DAT11" localSheetId="18">#REF!</definedName>
    <definedName name="___________DAT11" localSheetId="25">#REF!</definedName>
    <definedName name="___________DAT11" localSheetId="29">#REF!</definedName>
    <definedName name="___________DAT11" localSheetId="31">#REF!</definedName>
    <definedName name="___________DAT11" localSheetId="15">#REF!</definedName>
    <definedName name="___________DAT11" localSheetId="13">#REF!</definedName>
    <definedName name="___________DAT11" localSheetId="17">#REF!</definedName>
    <definedName name="___________DAT11" localSheetId="12">#REF!</definedName>
    <definedName name="___________DAT11" localSheetId="22">#REF!</definedName>
    <definedName name="___________DAT11" localSheetId="28">#REF!</definedName>
    <definedName name="___________DAT11" localSheetId="35">#REF!</definedName>
    <definedName name="___________DAT11">#REF!</definedName>
    <definedName name="___________DAT12" localSheetId="18">#REF!</definedName>
    <definedName name="___________DAT12" localSheetId="25">#REF!</definedName>
    <definedName name="___________DAT12" localSheetId="29">#REF!</definedName>
    <definedName name="___________DAT12" localSheetId="31">#REF!</definedName>
    <definedName name="___________DAT12" localSheetId="15">#REF!</definedName>
    <definedName name="___________DAT12" localSheetId="13">#REF!</definedName>
    <definedName name="___________DAT12" localSheetId="17">#REF!</definedName>
    <definedName name="___________DAT12" localSheetId="12">#REF!</definedName>
    <definedName name="___________DAT12" localSheetId="22">#REF!</definedName>
    <definedName name="___________DAT12" localSheetId="28">#REF!</definedName>
    <definedName name="___________DAT12" localSheetId="35">#REF!</definedName>
    <definedName name="___________DAT12">#REF!</definedName>
    <definedName name="___________DAT13" localSheetId="18">#REF!</definedName>
    <definedName name="___________DAT13" localSheetId="25">#REF!</definedName>
    <definedName name="___________DAT13" localSheetId="29">#REF!</definedName>
    <definedName name="___________DAT13" localSheetId="31">#REF!</definedName>
    <definedName name="___________DAT13" localSheetId="15">#REF!</definedName>
    <definedName name="___________DAT13" localSheetId="13">#REF!</definedName>
    <definedName name="___________DAT13" localSheetId="17">#REF!</definedName>
    <definedName name="___________DAT13" localSheetId="12">#REF!</definedName>
    <definedName name="___________DAT13" localSheetId="22">#REF!</definedName>
    <definedName name="___________DAT13" localSheetId="28">#REF!</definedName>
    <definedName name="___________DAT13" localSheetId="35">#REF!</definedName>
    <definedName name="___________DAT13">#REF!</definedName>
    <definedName name="___________DAT14" localSheetId="18">#REF!</definedName>
    <definedName name="___________DAT14" localSheetId="25">#REF!</definedName>
    <definedName name="___________DAT14" localSheetId="29">#REF!</definedName>
    <definedName name="___________DAT14" localSheetId="31">#REF!</definedName>
    <definedName name="___________DAT14" localSheetId="15">#REF!</definedName>
    <definedName name="___________DAT14" localSheetId="13">#REF!</definedName>
    <definedName name="___________DAT14" localSheetId="17">#REF!</definedName>
    <definedName name="___________DAT14" localSheetId="12">#REF!</definedName>
    <definedName name="___________DAT14" localSheetId="22">#REF!</definedName>
    <definedName name="___________DAT14" localSheetId="28">#REF!</definedName>
    <definedName name="___________DAT14" localSheetId="35">#REF!</definedName>
    <definedName name="___________DAT14">#REF!</definedName>
    <definedName name="___________DAT15" localSheetId="18">#REF!</definedName>
    <definedName name="___________DAT15" localSheetId="25">#REF!</definedName>
    <definedName name="___________DAT15" localSheetId="29">#REF!</definedName>
    <definedName name="___________DAT15" localSheetId="31">#REF!</definedName>
    <definedName name="___________DAT15" localSheetId="15">#REF!</definedName>
    <definedName name="___________DAT15" localSheetId="13">#REF!</definedName>
    <definedName name="___________DAT15" localSheetId="17">#REF!</definedName>
    <definedName name="___________DAT15" localSheetId="12">#REF!</definedName>
    <definedName name="___________DAT15" localSheetId="22">#REF!</definedName>
    <definedName name="___________DAT15" localSheetId="28">#REF!</definedName>
    <definedName name="___________DAT15" localSheetId="35">#REF!</definedName>
    <definedName name="___________DAT15">#REF!</definedName>
    <definedName name="___________DAT16" localSheetId="18">#REF!</definedName>
    <definedName name="___________DAT16" localSheetId="25">#REF!</definedName>
    <definedName name="___________DAT16" localSheetId="29">#REF!</definedName>
    <definedName name="___________DAT16" localSheetId="31">#REF!</definedName>
    <definedName name="___________DAT16" localSheetId="15">#REF!</definedName>
    <definedName name="___________DAT16" localSheetId="13">#REF!</definedName>
    <definedName name="___________DAT16" localSheetId="17">#REF!</definedName>
    <definedName name="___________DAT16" localSheetId="12">#REF!</definedName>
    <definedName name="___________DAT16" localSheetId="22">#REF!</definedName>
    <definedName name="___________DAT16" localSheetId="28">#REF!</definedName>
    <definedName name="___________DAT16" localSheetId="35">#REF!</definedName>
    <definedName name="___________DAT16">#REF!</definedName>
    <definedName name="___________DAT17" localSheetId="18">#REF!</definedName>
    <definedName name="___________DAT17" localSheetId="25">#REF!</definedName>
    <definedName name="___________DAT17" localSheetId="29">#REF!</definedName>
    <definedName name="___________DAT17" localSheetId="31">#REF!</definedName>
    <definedName name="___________DAT17" localSheetId="15">#REF!</definedName>
    <definedName name="___________DAT17" localSheetId="13">#REF!</definedName>
    <definedName name="___________DAT17" localSheetId="17">#REF!</definedName>
    <definedName name="___________DAT17" localSheetId="12">#REF!</definedName>
    <definedName name="___________DAT17" localSheetId="22">#REF!</definedName>
    <definedName name="___________DAT17" localSheetId="28">#REF!</definedName>
    <definedName name="___________DAT17" localSheetId="35">#REF!</definedName>
    <definedName name="___________DAT17">#REF!</definedName>
    <definedName name="___________DAT18" localSheetId="18">#REF!</definedName>
    <definedName name="___________DAT18" localSheetId="25">#REF!</definedName>
    <definedName name="___________DAT18" localSheetId="29">#REF!</definedName>
    <definedName name="___________DAT18" localSheetId="31">#REF!</definedName>
    <definedName name="___________DAT18" localSheetId="15">#REF!</definedName>
    <definedName name="___________DAT18" localSheetId="13">#REF!</definedName>
    <definedName name="___________DAT18" localSheetId="17">#REF!</definedName>
    <definedName name="___________DAT18" localSheetId="12">#REF!</definedName>
    <definedName name="___________DAT18" localSheetId="22">#REF!</definedName>
    <definedName name="___________DAT18" localSheetId="28">#REF!</definedName>
    <definedName name="___________DAT18" localSheetId="35">#REF!</definedName>
    <definedName name="___________DAT18">#REF!</definedName>
    <definedName name="___________DAT19" localSheetId="18">#REF!</definedName>
    <definedName name="___________DAT19" localSheetId="25">#REF!</definedName>
    <definedName name="___________DAT19" localSheetId="29">#REF!</definedName>
    <definedName name="___________DAT19" localSheetId="31">#REF!</definedName>
    <definedName name="___________DAT19" localSheetId="15">#REF!</definedName>
    <definedName name="___________DAT19" localSheetId="13">#REF!</definedName>
    <definedName name="___________DAT19" localSheetId="17">#REF!</definedName>
    <definedName name="___________DAT19" localSheetId="12">#REF!</definedName>
    <definedName name="___________DAT19" localSheetId="22">#REF!</definedName>
    <definedName name="___________DAT19" localSheetId="28">#REF!</definedName>
    <definedName name="___________DAT19" localSheetId="35">#REF!</definedName>
    <definedName name="___________DAT19">#REF!</definedName>
    <definedName name="___________DAT2" localSheetId="18">#REF!</definedName>
    <definedName name="___________DAT2" localSheetId="25">#REF!</definedName>
    <definedName name="___________DAT2" localSheetId="29">#REF!</definedName>
    <definedName name="___________DAT2" localSheetId="31">#REF!</definedName>
    <definedName name="___________DAT2" localSheetId="15">#REF!</definedName>
    <definedName name="___________DAT2" localSheetId="13">#REF!</definedName>
    <definedName name="___________DAT2" localSheetId="17">#REF!</definedName>
    <definedName name="___________DAT2" localSheetId="12">#REF!</definedName>
    <definedName name="___________DAT2" localSheetId="22">#REF!</definedName>
    <definedName name="___________DAT2" localSheetId="28">#REF!</definedName>
    <definedName name="___________DAT2" localSheetId="35">#REF!</definedName>
    <definedName name="___________DAT2">#REF!</definedName>
    <definedName name="___________DAT3" localSheetId="18">#REF!</definedName>
    <definedName name="___________DAT3" localSheetId="25">#REF!</definedName>
    <definedName name="___________DAT3" localSheetId="29">#REF!</definedName>
    <definedName name="___________DAT3" localSheetId="31">#REF!</definedName>
    <definedName name="___________DAT3" localSheetId="15">#REF!</definedName>
    <definedName name="___________DAT3" localSheetId="13">#REF!</definedName>
    <definedName name="___________DAT3" localSheetId="17">#REF!</definedName>
    <definedName name="___________DAT3" localSheetId="12">#REF!</definedName>
    <definedName name="___________DAT3" localSheetId="22">#REF!</definedName>
    <definedName name="___________DAT3" localSheetId="28">#REF!</definedName>
    <definedName name="___________DAT3" localSheetId="35">#REF!</definedName>
    <definedName name="___________DAT3">#REF!</definedName>
    <definedName name="___________DAT4" localSheetId="18">#REF!</definedName>
    <definedName name="___________DAT4" localSheetId="25">#REF!</definedName>
    <definedName name="___________DAT4" localSheetId="29">#REF!</definedName>
    <definedName name="___________DAT4" localSheetId="31">#REF!</definedName>
    <definedName name="___________DAT4" localSheetId="15">#REF!</definedName>
    <definedName name="___________DAT4" localSheetId="13">#REF!</definedName>
    <definedName name="___________DAT4" localSheetId="17">#REF!</definedName>
    <definedName name="___________DAT4" localSheetId="12">#REF!</definedName>
    <definedName name="___________DAT4" localSheetId="22">#REF!</definedName>
    <definedName name="___________DAT4" localSheetId="28">#REF!</definedName>
    <definedName name="___________DAT4" localSheetId="35">#REF!</definedName>
    <definedName name="___________DAT4">#REF!</definedName>
    <definedName name="___________DAT5" localSheetId="18">#REF!</definedName>
    <definedName name="___________DAT5" localSheetId="25">#REF!</definedName>
    <definedName name="___________DAT5" localSheetId="29">#REF!</definedName>
    <definedName name="___________DAT5" localSheetId="31">#REF!</definedName>
    <definedName name="___________DAT5" localSheetId="15">#REF!</definedName>
    <definedName name="___________DAT5" localSheetId="13">#REF!</definedName>
    <definedName name="___________DAT5" localSheetId="17">#REF!</definedName>
    <definedName name="___________DAT5" localSheetId="12">#REF!</definedName>
    <definedName name="___________DAT5" localSheetId="22">#REF!</definedName>
    <definedName name="___________DAT5" localSheetId="28">#REF!</definedName>
    <definedName name="___________DAT5" localSheetId="35">#REF!</definedName>
    <definedName name="___________DAT5">#REF!</definedName>
    <definedName name="___________DAT6" localSheetId="18">#REF!</definedName>
    <definedName name="___________DAT6" localSheetId="25">#REF!</definedName>
    <definedName name="___________DAT6" localSheetId="29">#REF!</definedName>
    <definedName name="___________DAT6" localSheetId="31">#REF!</definedName>
    <definedName name="___________DAT6" localSheetId="15">#REF!</definedName>
    <definedName name="___________DAT6" localSheetId="13">#REF!</definedName>
    <definedName name="___________DAT6" localSheetId="17">#REF!</definedName>
    <definedName name="___________DAT6" localSheetId="12">#REF!</definedName>
    <definedName name="___________DAT6" localSheetId="22">#REF!</definedName>
    <definedName name="___________DAT6" localSheetId="28">#REF!</definedName>
    <definedName name="___________DAT6" localSheetId="35">#REF!</definedName>
    <definedName name="___________DAT6">#REF!</definedName>
    <definedName name="___________DAT7" localSheetId="18">#REF!</definedName>
    <definedName name="___________DAT7" localSheetId="25">#REF!</definedName>
    <definedName name="___________DAT7" localSheetId="29">#REF!</definedName>
    <definedName name="___________DAT7" localSheetId="31">#REF!</definedName>
    <definedName name="___________DAT7" localSheetId="15">#REF!</definedName>
    <definedName name="___________DAT7" localSheetId="13">#REF!</definedName>
    <definedName name="___________DAT7" localSheetId="17">#REF!</definedName>
    <definedName name="___________DAT7" localSheetId="12">#REF!</definedName>
    <definedName name="___________DAT7" localSheetId="22">#REF!</definedName>
    <definedName name="___________DAT7" localSheetId="28">#REF!</definedName>
    <definedName name="___________DAT7" localSheetId="35">#REF!</definedName>
    <definedName name="___________DAT7">#REF!</definedName>
    <definedName name="___________DAT8" localSheetId="18">#REF!</definedName>
    <definedName name="___________DAT8" localSheetId="25">#REF!</definedName>
    <definedName name="___________DAT8" localSheetId="29">#REF!</definedName>
    <definedName name="___________DAT8" localSheetId="31">#REF!</definedName>
    <definedName name="___________DAT8" localSheetId="15">#REF!</definedName>
    <definedName name="___________DAT8" localSheetId="13">#REF!</definedName>
    <definedName name="___________DAT8" localSheetId="17">#REF!</definedName>
    <definedName name="___________DAT8" localSheetId="12">#REF!</definedName>
    <definedName name="___________DAT8" localSheetId="22">#REF!</definedName>
    <definedName name="___________DAT8" localSheetId="28">#REF!</definedName>
    <definedName name="___________DAT8" localSheetId="35">#REF!</definedName>
    <definedName name="___________DAT8">#REF!</definedName>
    <definedName name="___________DAT9" localSheetId="18">#REF!</definedName>
    <definedName name="___________DAT9" localSheetId="25">#REF!</definedName>
    <definedName name="___________DAT9" localSheetId="29">#REF!</definedName>
    <definedName name="___________DAT9" localSheetId="31">#REF!</definedName>
    <definedName name="___________DAT9" localSheetId="15">#REF!</definedName>
    <definedName name="___________DAT9" localSheetId="13">#REF!</definedName>
    <definedName name="___________DAT9" localSheetId="17">#REF!</definedName>
    <definedName name="___________DAT9" localSheetId="12">#REF!</definedName>
    <definedName name="___________DAT9" localSheetId="22">#REF!</definedName>
    <definedName name="___________DAT9" localSheetId="28">#REF!</definedName>
    <definedName name="___________DAT9" localSheetId="35">#REF!</definedName>
    <definedName name="___________DAT9">#REF!</definedName>
    <definedName name="___________eng2" localSheetId="18">#N/A</definedName>
    <definedName name="___________eng2" localSheetId="25">Activation!Tx_intérêt_par_an/#REF!</definedName>
    <definedName name="___________eng2" localSheetId="29">'Amortissment boa'!Tx_intérêt_par_an/#REF!</definedName>
    <definedName name="___________eng2" localSheetId="31">'Amortissment Cboa'!Tx_intérêt_par_an/#REF!</definedName>
    <definedName name="___________eng2" localSheetId="15">#N/A</definedName>
    <definedName name="___________eng2" localSheetId="13">#N/A</definedName>
    <definedName name="___________eng2" localSheetId="19">#N/A</definedName>
    <definedName name="___________eng2" localSheetId="17">#N/A</definedName>
    <definedName name="___________eng2" localSheetId="12">#N/A</definedName>
    <definedName name="___________eng2" localSheetId="22">[5]!Tx_intérêt_par_an/#REF!</definedName>
    <definedName name="___________eng2" localSheetId="28">'SYNTHESE BOA'!Tx_intérêt_par_an/#REF!</definedName>
    <definedName name="___________eng2" localSheetId="35">'Taxe 5%'!Tx_intérêt_par_an/#REF!</definedName>
    <definedName name="___________eng2">[0]!Tx_intérêt_par_an/#REF!</definedName>
    <definedName name="___________eng3" localSheetId="18">[6]!___________eng3</definedName>
    <definedName name="___________eng3" localSheetId="25">[6]!___________eng3</definedName>
    <definedName name="___________eng3" localSheetId="29">[6]!___________eng3</definedName>
    <definedName name="___________eng3" localSheetId="31">[6]!___________eng3</definedName>
    <definedName name="___________eng3" localSheetId="15">[6]!___________eng3</definedName>
    <definedName name="___________eng3" localSheetId="13">[6]!___________eng3</definedName>
    <definedName name="___________eng3" localSheetId="19">[7]!___________eng3</definedName>
    <definedName name="___________eng3" localSheetId="17">[6]!___________eng3</definedName>
    <definedName name="___________eng3" localSheetId="12">[6]!___________eng3</definedName>
    <definedName name="___________eng3" localSheetId="22">[8]!___________eng3</definedName>
    <definedName name="___________eng3">[6]!___________eng3</definedName>
    <definedName name="___________eng4" localSheetId="18">#N/A</definedName>
    <definedName name="___________eng4" localSheetId="25">Activation!Tx_intérêt_par_an/#REF!</definedName>
    <definedName name="___________eng4" localSheetId="29">'Amortissment boa'!Tx_intérêt_par_an/#REF!</definedName>
    <definedName name="___________eng4" localSheetId="31">'Amortissment Cboa'!Tx_intérêt_par_an/#REF!</definedName>
    <definedName name="___________eng4" localSheetId="15">#N/A</definedName>
    <definedName name="___________eng4" localSheetId="13">#N/A</definedName>
    <definedName name="___________eng4" localSheetId="19">#N/A</definedName>
    <definedName name="___________eng4" localSheetId="17">#N/A</definedName>
    <definedName name="___________eng4" localSheetId="12">#N/A</definedName>
    <definedName name="___________eng4" localSheetId="22">[5]!Tx_intérêt_par_an/#REF!</definedName>
    <definedName name="___________eng4" localSheetId="28">'SYNTHESE BOA'!Tx_intérêt_par_an/#REF!</definedName>
    <definedName name="___________eng4" localSheetId="35">'Taxe 5%'!Tx_intérêt_par_an/#REF!</definedName>
    <definedName name="___________eng4">[0]!Tx_intérêt_par_an/#REF!</definedName>
    <definedName name="___________ess1" localSheetId="18">#REF!</definedName>
    <definedName name="___________ess1" localSheetId="25">#REF!</definedName>
    <definedName name="___________ess1" localSheetId="29">#REF!</definedName>
    <definedName name="___________ess1" localSheetId="31">#REF!</definedName>
    <definedName name="___________ess1" localSheetId="15">#REF!</definedName>
    <definedName name="___________ess1" localSheetId="13">#REF!</definedName>
    <definedName name="___________ess1" localSheetId="17">#REF!</definedName>
    <definedName name="___________ess1" localSheetId="12">#REF!</definedName>
    <definedName name="___________ess1" localSheetId="22">#REF!</definedName>
    <definedName name="___________ess1" localSheetId="28">#REF!</definedName>
    <definedName name="___________ess1" localSheetId="35">#REF!</definedName>
    <definedName name="___________ess1">#REF!</definedName>
    <definedName name="___________FRF4">'[4]FX Rates'!$G$10</definedName>
    <definedName name="___________FRU2003" localSheetId="18">#REF!</definedName>
    <definedName name="___________FRU2003" localSheetId="25">#REF!</definedName>
    <definedName name="___________FRU2003" localSheetId="29">#REF!</definedName>
    <definedName name="___________FRU2003" localSheetId="31">#REF!</definedName>
    <definedName name="___________FRU2003" localSheetId="15">#REF!</definedName>
    <definedName name="___________FRU2003" localSheetId="13">#REF!</definedName>
    <definedName name="___________FRU2003" localSheetId="17">#REF!</definedName>
    <definedName name="___________FRU2003" localSheetId="12">#REF!</definedName>
    <definedName name="___________FRU2003" localSheetId="22">#REF!</definedName>
    <definedName name="___________FRU2003" localSheetId="28">#REF!</definedName>
    <definedName name="___________FRU2003" localSheetId="35">#REF!</definedName>
    <definedName name="___________FRU2003">#REF!</definedName>
    <definedName name="___________GBP4">'[4]FX Rates'!$G$9</definedName>
    <definedName name="___________mar1" localSheetId="18">[9]BATIMENT!#REF!</definedName>
    <definedName name="___________mar1" localSheetId="29">[9]BATIMENT!#REF!</definedName>
    <definedName name="___________mar1" localSheetId="31">[9]BATIMENT!#REF!</definedName>
    <definedName name="___________mar1" localSheetId="15">[9]BATIMENT!#REF!</definedName>
    <definedName name="___________mar1" localSheetId="13">[9]BATIMENT!#REF!</definedName>
    <definedName name="___________mar1" localSheetId="17">[9]BATIMENT!#REF!</definedName>
    <definedName name="___________mar1" localSheetId="12">[9]BATIMENT!#REF!</definedName>
    <definedName name="___________mar1" localSheetId="22">[9]BATIMENT!#REF!</definedName>
    <definedName name="___________mar1" localSheetId="28">[9]BATIMENT!#REF!</definedName>
    <definedName name="___________mar1" localSheetId="35">[9]BATIMENT!#REF!</definedName>
    <definedName name="___________mar1">[9]BATIMENT!#REF!</definedName>
    <definedName name="___________OUJ2" localSheetId="18">#REF!</definedName>
    <definedName name="___________OUJ2" localSheetId="25">#REF!</definedName>
    <definedName name="___________OUJ2" localSheetId="29">#REF!</definedName>
    <definedName name="___________OUJ2" localSheetId="31">#REF!</definedName>
    <definedName name="___________OUJ2" localSheetId="15">#REF!</definedName>
    <definedName name="___________OUJ2" localSheetId="13">#REF!</definedName>
    <definedName name="___________OUJ2" localSheetId="17">#REF!</definedName>
    <definedName name="___________OUJ2" localSheetId="12">#REF!</definedName>
    <definedName name="___________OUJ2" localSheetId="22">#REF!</definedName>
    <definedName name="___________OUJ2" localSheetId="28">#REF!</definedName>
    <definedName name="___________OUJ2" localSheetId="35">#REF!</definedName>
    <definedName name="___________OUJ2">#REF!</definedName>
    <definedName name="___________pg1" localSheetId="18">#REF!</definedName>
    <definedName name="___________pg1" localSheetId="25">#REF!</definedName>
    <definedName name="___________pg1" localSheetId="29">#REF!</definedName>
    <definedName name="___________pg1" localSheetId="31">#REF!</definedName>
    <definedName name="___________pg1" localSheetId="15">#REF!</definedName>
    <definedName name="___________pg1" localSheetId="13">#REF!</definedName>
    <definedName name="___________pg1" localSheetId="17">#REF!</definedName>
    <definedName name="___________pg1" localSheetId="12">#REF!</definedName>
    <definedName name="___________pg1" localSheetId="22">#REF!</definedName>
    <definedName name="___________pg1" localSheetId="28">#REF!</definedName>
    <definedName name="___________pg1" localSheetId="35">#REF!</definedName>
    <definedName name="___________pg1">#REF!</definedName>
    <definedName name="___________pg2" localSheetId="18">#REF!</definedName>
    <definedName name="___________pg2" localSheetId="25">#REF!</definedName>
    <definedName name="___________pg2" localSheetId="29">#REF!</definedName>
    <definedName name="___________pg2" localSheetId="31">#REF!</definedName>
    <definedName name="___________pg2" localSheetId="15">#REF!</definedName>
    <definedName name="___________pg2" localSheetId="13">#REF!</definedName>
    <definedName name="___________pg2" localSheetId="17">#REF!</definedName>
    <definedName name="___________pg2" localSheetId="12">#REF!</definedName>
    <definedName name="___________pg2" localSheetId="22">#REF!</definedName>
    <definedName name="___________pg2" localSheetId="28">#REF!</definedName>
    <definedName name="___________pg2" localSheetId="35">#REF!</definedName>
    <definedName name="___________pg2">#REF!</definedName>
    <definedName name="___________R" localSheetId="18">#REF!</definedName>
    <definedName name="___________R" localSheetId="25">#REF!</definedName>
    <definedName name="___________R" localSheetId="29">#REF!</definedName>
    <definedName name="___________R" localSheetId="31">#REF!</definedName>
    <definedName name="___________R" localSheetId="15">#REF!</definedName>
    <definedName name="___________R" localSheetId="13">#REF!</definedName>
    <definedName name="___________R" localSheetId="17">#REF!</definedName>
    <definedName name="___________R" localSheetId="12">#REF!</definedName>
    <definedName name="___________R" localSheetId="22">#REF!</definedName>
    <definedName name="___________R" localSheetId="28">#REF!</definedName>
    <definedName name="___________R" localSheetId="35">#REF!</definedName>
    <definedName name="___________R">#REF!</definedName>
    <definedName name="___________R2000ssta" localSheetId="18">#REF!</definedName>
    <definedName name="___________R2000ssta" localSheetId="25">#REF!</definedName>
    <definedName name="___________R2000ssta" localSheetId="29">#REF!</definedName>
    <definedName name="___________R2000ssta" localSheetId="31">#REF!</definedName>
    <definedName name="___________R2000ssta" localSheetId="15">#REF!</definedName>
    <definedName name="___________R2000ssta" localSheetId="13">#REF!</definedName>
    <definedName name="___________R2000ssta" localSheetId="17">#REF!</definedName>
    <definedName name="___________R2000ssta" localSheetId="12">#REF!</definedName>
    <definedName name="___________R2000ssta" localSheetId="22">#REF!</definedName>
    <definedName name="___________R2000ssta" localSheetId="28">#REF!</definedName>
    <definedName name="___________R2000ssta" localSheetId="35">#REF!</definedName>
    <definedName name="___________R2000ssta">#REF!</definedName>
    <definedName name="___________R2000ssta___0">[10]R2000ssta!$A$1:$IV$32000</definedName>
    <definedName name="___________R2000ssta___12" localSheetId="18">#REF!</definedName>
    <definedName name="___________R2000ssta___12" localSheetId="25">#REF!</definedName>
    <definedName name="___________R2000ssta___12" localSheetId="29">#REF!</definedName>
    <definedName name="___________R2000ssta___12" localSheetId="31">#REF!</definedName>
    <definedName name="___________R2000ssta___12" localSheetId="15">#REF!</definedName>
    <definedName name="___________R2000ssta___12" localSheetId="13">#REF!</definedName>
    <definedName name="___________R2000ssta___12" localSheetId="17">#REF!</definedName>
    <definedName name="___________R2000ssta___12" localSheetId="12">#REF!</definedName>
    <definedName name="___________R2000ssta___12" localSheetId="22">#REF!</definedName>
    <definedName name="___________R2000ssta___12" localSheetId="28">#REF!</definedName>
    <definedName name="___________R2000ssta___12" localSheetId="35">#REF!</definedName>
    <definedName name="___________R2000ssta___12">#REF!</definedName>
    <definedName name="___________R2000ssta___14">[11]R2000ssta!$A$1:$IV$32000</definedName>
    <definedName name="___________R2000ssta___16">[11]R2000ssta!$A$1:$IV$32000</definedName>
    <definedName name="___________R2000ssta___27">[10]R2000ssta!$A$1:$IV$32000</definedName>
    <definedName name="___________R2000ssta___5">[10]R2000ssta!$A$1:$IV$32000</definedName>
    <definedName name="___________SC16" localSheetId="18">#REF!</definedName>
    <definedName name="___________SC16" localSheetId="25">#REF!</definedName>
    <definedName name="___________SC16" localSheetId="29">#REF!</definedName>
    <definedName name="___________SC16" localSheetId="31">#REF!</definedName>
    <definedName name="___________SC16" localSheetId="15">#REF!</definedName>
    <definedName name="___________SC16" localSheetId="13">#REF!</definedName>
    <definedName name="___________SC16" localSheetId="17">#REF!</definedName>
    <definedName name="___________SC16" localSheetId="12">#REF!</definedName>
    <definedName name="___________SC16" localSheetId="22">#REF!</definedName>
    <definedName name="___________SC16" localSheetId="28">#REF!</definedName>
    <definedName name="___________SC16" localSheetId="35">#REF!</definedName>
    <definedName name="___________SC16">#REF!</definedName>
    <definedName name="___________SET2" localSheetId="18">#REF!</definedName>
    <definedName name="___________SET2" localSheetId="25">#REF!</definedName>
    <definedName name="___________SET2" localSheetId="29">#REF!</definedName>
    <definedName name="___________SET2" localSheetId="31">#REF!</definedName>
    <definedName name="___________SET2" localSheetId="15">#REF!</definedName>
    <definedName name="___________SET2" localSheetId="13">#REF!</definedName>
    <definedName name="___________SET2" localSheetId="17">#REF!</definedName>
    <definedName name="___________SET2" localSheetId="12">#REF!</definedName>
    <definedName name="___________SET2" localSheetId="22">#REF!</definedName>
    <definedName name="___________SET2" localSheetId="28">#REF!</definedName>
    <definedName name="___________SET2" localSheetId="35">#REF!</definedName>
    <definedName name="___________SET2">#REF!</definedName>
    <definedName name="___________SYN1" localSheetId="18">#REF!</definedName>
    <definedName name="___________SYN1" localSheetId="25">#REF!</definedName>
    <definedName name="___________SYN1" localSheetId="29">#REF!</definedName>
    <definedName name="___________SYN1" localSheetId="31">#REF!</definedName>
    <definedName name="___________SYN1" localSheetId="15">#REF!</definedName>
    <definedName name="___________SYN1" localSheetId="13">#REF!</definedName>
    <definedName name="___________SYN1" localSheetId="17">#REF!</definedName>
    <definedName name="___________SYN1" localSheetId="12">#REF!</definedName>
    <definedName name="___________SYN1" localSheetId="22">#REF!</definedName>
    <definedName name="___________SYN1" localSheetId="28">#REF!</definedName>
    <definedName name="___________SYN1" localSheetId="35">#REF!</definedName>
    <definedName name="___________SYN1">#REF!</definedName>
    <definedName name="___________SYN2" localSheetId="18">#REF!</definedName>
    <definedName name="___________SYN2" localSheetId="25">#REF!</definedName>
    <definedName name="___________SYN2" localSheetId="29">#REF!</definedName>
    <definedName name="___________SYN2" localSheetId="31">#REF!</definedName>
    <definedName name="___________SYN2" localSheetId="15">#REF!</definedName>
    <definedName name="___________SYN2" localSheetId="13">#REF!</definedName>
    <definedName name="___________SYN2" localSheetId="17">#REF!</definedName>
    <definedName name="___________SYN2" localSheetId="12">#REF!</definedName>
    <definedName name="___________SYN2" localSheetId="22">#REF!</definedName>
    <definedName name="___________SYN2" localSheetId="28">#REF!</definedName>
    <definedName name="___________SYN2" localSheetId="35">#REF!</definedName>
    <definedName name="___________SYN2">#REF!</definedName>
    <definedName name="___________TAE2001" localSheetId="18">#REF!</definedName>
    <definedName name="___________TAE2001" localSheetId="25">#REF!</definedName>
    <definedName name="___________TAE2001" localSheetId="29">#REF!</definedName>
    <definedName name="___________TAE2001" localSheetId="31">#REF!</definedName>
    <definedName name="___________TAE2001" localSheetId="15">#REF!</definedName>
    <definedName name="___________TAE2001" localSheetId="13">#REF!</definedName>
    <definedName name="___________TAE2001" localSheetId="17">#REF!</definedName>
    <definedName name="___________TAE2001" localSheetId="12">#REF!</definedName>
    <definedName name="___________TAE2001" localSheetId="22">#REF!</definedName>
    <definedName name="___________TAE2001" localSheetId="28">#REF!</definedName>
    <definedName name="___________TAE2001" localSheetId="35">#REF!</definedName>
    <definedName name="___________TAE2001">#REF!</definedName>
    <definedName name="___________TAE2002" localSheetId="18">#REF!</definedName>
    <definedName name="___________TAE2002" localSheetId="25">#REF!</definedName>
    <definedName name="___________TAE2002" localSheetId="29">#REF!</definedName>
    <definedName name="___________TAE2002" localSheetId="31">#REF!</definedName>
    <definedName name="___________TAE2002" localSheetId="15">#REF!</definedName>
    <definedName name="___________TAE2002" localSheetId="13">#REF!</definedName>
    <definedName name="___________TAE2002" localSheetId="17">#REF!</definedName>
    <definedName name="___________TAE2002" localSheetId="12">#REF!</definedName>
    <definedName name="___________TAE2002" localSheetId="22">#REF!</definedName>
    <definedName name="___________TAE2002" localSheetId="28">#REF!</definedName>
    <definedName name="___________TAE2002" localSheetId="35">#REF!</definedName>
    <definedName name="___________TAE2002">#REF!</definedName>
    <definedName name="___________UNI1999" localSheetId="18">#REF!</definedName>
    <definedName name="___________UNI1999" localSheetId="25">#REF!</definedName>
    <definedName name="___________UNI1999" localSheetId="29">#REF!</definedName>
    <definedName name="___________UNI1999" localSheetId="31">#REF!</definedName>
    <definedName name="___________UNI1999" localSheetId="15">#REF!</definedName>
    <definedName name="___________UNI1999" localSheetId="13">#REF!</definedName>
    <definedName name="___________UNI1999" localSheetId="17">#REF!</definedName>
    <definedName name="___________UNI1999" localSheetId="12">#REF!</definedName>
    <definedName name="___________UNI1999" localSheetId="22">#REF!</definedName>
    <definedName name="___________UNI1999" localSheetId="28">#REF!</definedName>
    <definedName name="___________UNI1999" localSheetId="35">#REF!</definedName>
    <definedName name="___________UNI1999">#REF!</definedName>
    <definedName name="___________UNI2000" localSheetId="18">#REF!</definedName>
    <definedName name="___________UNI2000" localSheetId="25">#REF!</definedName>
    <definedName name="___________UNI2000" localSheetId="29">#REF!</definedName>
    <definedName name="___________UNI2000" localSheetId="31">#REF!</definedName>
    <definedName name="___________UNI2000" localSheetId="15">#REF!</definedName>
    <definedName name="___________UNI2000" localSheetId="13">#REF!</definedName>
    <definedName name="___________UNI2000" localSheetId="17">#REF!</definedName>
    <definedName name="___________UNI2000" localSheetId="12">#REF!</definedName>
    <definedName name="___________UNI2000" localSheetId="22">#REF!</definedName>
    <definedName name="___________UNI2000" localSheetId="28">#REF!</definedName>
    <definedName name="___________UNI2000" localSheetId="35">#REF!</definedName>
    <definedName name="___________UNI2000">#REF!</definedName>
    <definedName name="___________UNI2001" localSheetId="18">#REF!</definedName>
    <definedName name="___________UNI2001" localSheetId="25">#REF!</definedName>
    <definedName name="___________UNI2001" localSheetId="29">#REF!</definedName>
    <definedName name="___________UNI2001" localSheetId="31">#REF!</definedName>
    <definedName name="___________UNI2001" localSheetId="15">#REF!</definedName>
    <definedName name="___________UNI2001" localSheetId="13">#REF!</definedName>
    <definedName name="___________UNI2001" localSheetId="17">#REF!</definedName>
    <definedName name="___________UNI2001" localSheetId="12">#REF!</definedName>
    <definedName name="___________UNI2001" localSheetId="22">#REF!</definedName>
    <definedName name="___________UNI2001" localSheetId="28">#REF!</definedName>
    <definedName name="___________UNI2001" localSheetId="35">#REF!</definedName>
    <definedName name="___________UNI2001">#REF!</definedName>
    <definedName name="___________vb100" localSheetId="18">#REF!</definedName>
    <definedName name="___________vb100" localSheetId="25">#REF!</definedName>
    <definedName name="___________vb100" localSheetId="29">#REF!</definedName>
    <definedName name="___________vb100" localSheetId="31">#REF!</definedName>
    <definedName name="___________vb100" localSheetId="15">#REF!</definedName>
    <definedName name="___________vb100" localSheetId="13">#REF!</definedName>
    <definedName name="___________vb100" localSheetId="17">#REF!</definedName>
    <definedName name="___________vb100" localSheetId="12">#REF!</definedName>
    <definedName name="___________vb100" localSheetId="22">#REF!</definedName>
    <definedName name="___________vb100" localSheetId="28">#REF!</definedName>
    <definedName name="___________vb100" localSheetId="35">#REF!</definedName>
    <definedName name="___________vb100">#REF!</definedName>
    <definedName name="___________YR1">[12]data!$C$2</definedName>
    <definedName name="___________YR2">[12]data!$C$3</definedName>
    <definedName name="___________YR3">[12]data!$C$4</definedName>
    <definedName name="___________YR4">[12]data!$C$5</definedName>
    <definedName name="__________aaa1" localSheetId="18">#REF!</definedName>
    <definedName name="__________aaa1" localSheetId="25">#REF!</definedName>
    <definedName name="__________aaa1" localSheetId="29">#REF!</definedName>
    <definedName name="__________aaa1" localSheetId="31">#REF!</definedName>
    <definedName name="__________aaa1" localSheetId="15">#REF!</definedName>
    <definedName name="__________aaa1" localSheetId="13">#REF!</definedName>
    <definedName name="__________aaa1" localSheetId="17">#REF!</definedName>
    <definedName name="__________aaa1" localSheetId="12">#REF!</definedName>
    <definedName name="__________aaa1" localSheetId="22">#REF!</definedName>
    <definedName name="__________aaa1" localSheetId="28">#REF!</definedName>
    <definedName name="__________aaa1" localSheetId="35">#REF!</definedName>
    <definedName name="__________aaa1">#REF!</definedName>
    <definedName name="__________aaa2" localSheetId="18">#REF!</definedName>
    <definedName name="__________aaa2" localSheetId="25">#REF!</definedName>
    <definedName name="__________aaa2" localSheetId="29">#REF!</definedName>
    <definedName name="__________aaa2" localSheetId="31">#REF!</definedName>
    <definedName name="__________aaa2" localSheetId="15">#REF!</definedName>
    <definedName name="__________aaa2" localSheetId="13">#REF!</definedName>
    <definedName name="__________aaa2" localSheetId="17">#REF!</definedName>
    <definedName name="__________aaa2" localSheetId="12">#REF!</definedName>
    <definedName name="__________aaa2" localSheetId="22">#REF!</definedName>
    <definedName name="__________aaa2" localSheetId="28">#REF!</definedName>
    <definedName name="__________aaa2" localSheetId="35">#REF!</definedName>
    <definedName name="__________aaa2">#REF!</definedName>
    <definedName name="__________aaa3" localSheetId="18">#REF!</definedName>
    <definedName name="__________aaa3" localSheetId="25">#REF!</definedName>
    <definedName name="__________aaa3" localSheetId="29">#REF!</definedName>
    <definedName name="__________aaa3" localSheetId="31">#REF!</definedName>
    <definedName name="__________aaa3" localSheetId="15">#REF!</definedName>
    <definedName name="__________aaa3" localSheetId="13">#REF!</definedName>
    <definedName name="__________aaa3" localSheetId="17">#REF!</definedName>
    <definedName name="__________aaa3" localSheetId="12">#REF!</definedName>
    <definedName name="__________aaa3" localSheetId="22">#REF!</definedName>
    <definedName name="__________aaa3" localSheetId="28">#REF!</definedName>
    <definedName name="__________aaa3" localSheetId="35">#REF!</definedName>
    <definedName name="__________aaa3">#REF!</definedName>
    <definedName name="__________aaa4" localSheetId="18">#REF!</definedName>
    <definedName name="__________aaa4" localSheetId="25">#REF!</definedName>
    <definedName name="__________aaa4" localSheetId="29">#REF!</definedName>
    <definedName name="__________aaa4" localSheetId="31">#REF!</definedName>
    <definedName name="__________aaa4" localSheetId="15">#REF!</definedName>
    <definedName name="__________aaa4" localSheetId="13">#REF!</definedName>
    <definedName name="__________aaa4" localSheetId="17">#REF!</definedName>
    <definedName name="__________aaa4" localSheetId="12">#REF!</definedName>
    <definedName name="__________aaa4" localSheetId="22">#REF!</definedName>
    <definedName name="__________aaa4" localSheetId="28">#REF!</definedName>
    <definedName name="__________aaa4" localSheetId="35">#REF!</definedName>
    <definedName name="__________aaa4">#REF!</definedName>
    <definedName name="__________aaa5" localSheetId="18">#REF!</definedName>
    <definedName name="__________aaa5" localSheetId="25">#REF!</definedName>
    <definedName name="__________aaa5" localSheetId="29">#REF!</definedName>
    <definedName name="__________aaa5" localSheetId="31">#REF!</definedName>
    <definedName name="__________aaa5" localSheetId="15">#REF!</definedName>
    <definedName name="__________aaa5" localSheetId="13">#REF!</definedName>
    <definedName name="__________aaa5" localSheetId="17">#REF!</definedName>
    <definedName name="__________aaa5" localSheetId="12">#REF!</definedName>
    <definedName name="__________aaa5" localSheetId="22">#REF!</definedName>
    <definedName name="__________aaa5" localSheetId="28">#REF!</definedName>
    <definedName name="__________aaa5" localSheetId="35">#REF!</definedName>
    <definedName name="__________aaa5">#REF!</definedName>
    <definedName name="__________aaa6" localSheetId="18">#REF!</definedName>
    <definedName name="__________aaa6" localSheetId="25">#REF!</definedName>
    <definedName name="__________aaa6" localSheetId="29">#REF!</definedName>
    <definedName name="__________aaa6" localSheetId="31">#REF!</definedName>
    <definedName name="__________aaa6" localSheetId="15">#REF!</definedName>
    <definedName name="__________aaa6" localSheetId="13">#REF!</definedName>
    <definedName name="__________aaa6" localSheetId="17">#REF!</definedName>
    <definedName name="__________aaa6" localSheetId="12">#REF!</definedName>
    <definedName name="__________aaa6" localSheetId="22">#REF!</definedName>
    <definedName name="__________aaa6" localSheetId="28">#REF!</definedName>
    <definedName name="__________aaa6" localSheetId="35">#REF!</definedName>
    <definedName name="__________aaa6">#REF!</definedName>
    <definedName name="__________aaa7" localSheetId="18">#REF!</definedName>
    <definedName name="__________aaa7" localSheetId="25">#REF!</definedName>
    <definedName name="__________aaa7" localSheetId="29">#REF!</definedName>
    <definedName name="__________aaa7" localSheetId="31">#REF!</definedName>
    <definedName name="__________aaa7" localSheetId="15">#REF!</definedName>
    <definedName name="__________aaa7" localSheetId="13">#REF!</definedName>
    <definedName name="__________aaa7" localSheetId="17">#REF!</definedName>
    <definedName name="__________aaa7" localSheetId="12">#REF!</definedName>
    <definedName name="__________aaa7" localSheetId="22">#REF!</definedName>
    <definedName name="__________aaa7" localSheetId="28">#REF!</definedName>
    <definedName name="__________aaa7" localSheetId="35">#REF!</definedName>
    <definedName name="__________aaa7">#REF!</definedName>
    <definedName name="__________aaa8" localSheetId="18">#REF!</definedName>
    <definedName name="__________aaa8" localSheetId="25">#REF!</definedName>
    <definedName name="__________aaa8" localSheetId="29">#REF!</definedName>
    <definedName name="__________aaa8" localSheetId="31">#REF!</definedName>
    <definedName name="__________aaa8" localSheetId="15">#REF!</definedName>
    <definedName name="__________aaa8" localSheetId="13">#REF!</definedName>
    <definedName name="__________aaa8" localSheetId="17">#REF!</definedName>
    <definedName name="__________aaa8" localSheetId="12">#REF!</definedName>
    <definedName name="__________aaa8" localSheetId="22">#REF!</definedName>
    <definedName name="__________aaa8" localSheetId="28">#REF!</definedName>
    <definedName name="__________aaa8" localSheetId="35">#REF!</definedName>
    <definedName name="__________aaa8">#REF!</definedName>
    <definedName name="__________B1" localSheetId="18">#N/A</definedName>
    <definedName name="__________B1" localSheetId="25">Activation!Tx_intérêt_par_an/#REF!</definedName>
    <definedName name="__________B1" localSheetId="29">'Amortissment boa'!Tx_intérêt_par_an/#REF!</definedName>
    <definedName name="__________B1" localSheetId="31">'Amortissment Cboa'!Tx_intérêt_par_an/#REF!</definedName>
    <definedName name="__________B1" localSheetId="15">#N/A</definedName>
    <definedName name="__________B1" localSheetId="13">#N/A</definedName>
    <definedName name="__________B1" localSheetId="19">#N/A</definedName>
    <definedName name="__________B1" localSheetId="17">#N/A</definedName>
    <definedName name="__________B1" localSheetId="12">#N/A</definedName>
    <definedName name="__________B1" localSheetId="22">[5]!Tx_intérêt_par_an/#REF!</definedName>
    <definedName name="__________B1" localSheetId="28">'SYNTHESE BOA'!Tx_intérêt_par_an/#REF!</definedName>
    <definedName name="__________B1" localSheetId="35">'Taxe 5%'!Tx_intérêt_par_an/#REF!</definedName>
    <definedName name="__________B1">[0]!Tx_intérêt_par_an/#REF!</definedName>
    <definedName name="__________bbb1">#N/A</definedName>
    <definedName name="__________c20041" localSheetId="18">#REF!</definedName>
    <definedName name="__________c20041" localSheetId="25">#REF!</definedName>
    <definedName name="__________c20041" localSheetId="29">#REF!</definedName>
    <definedName name="__________c20041" localSheetId="31">#REF!</definedName>
    <definedName name="__________c20041" localSheetId="15">#REF!</definedName>
    <definedName name="__________c20041" localSheetId="13">#REF!</definedName>
    <definedName name="__________c20041" localSheetId="17">#REF!</definedName>
    <definedName name="__________c20041" localSheetId="12">#REF!</definedName>
    <definedName name="__________c20041" localSheetId="22">#REF!</definedName>
    <definedName name="__________c20041" localSheetId="28">#REF!</definedName>
    <definedName name="__________c20041" localSheetId="35">#REF!</definedName>
    <definedName name="__________c20041">#REF!</definedName>
    <definedName name="__________DAT1" localSheetId="18">#REF!</definedName>
    <definedName name="__________DAT1" localSheetId="25">#REF!</definedName>
    <definedName name="__________DAT1" localSheetId="29">#REF!</definedName>
    <definedName name="__________DAT1" localSheetId="31">#REF!</definedName>
    <definedName name="__________DAT1" localSheetId="15">#REF!</definedName>
    <definedName name="__________DAT1" localSheetId="13">#REF!</definedName>
    <definedName name="__________DAT1" localSheetId="17">#REF!</definedName>
    <definedName name="__________DAT1" localSheetId="12">#REF!</definedName>
    <definedName name="__________DAT1" localSheetId="22">#REF!</definedName>
    <definedName name="__________DAT1" localSheetId="28">#REF!</definedName>
    <definedName name="__________DAT1" localSheetId="35">#REF!</definedName>
    <definedName name="__________DAT1">#REF!</definedName>
    <definedName name="__________DAT10" localSheetId="18">#REF!</definedName>
    <definedName name="__________DAT10" localSheetId="25">#REF!</definedName>
    <definedName name="__________DAT10" localSheetId="29">#REF!</definedName>
    <definedName name="__________DAT10" localSheetId="31">#REF!</definedName>
    <definedName name="__________DAT10" localSheetId="15">#REF!</definedName>
    <definedName name="__________DAT10" localSheetId="13">#REF!</definedName>
    <definedName name="__________DAT10" localSheetId="17">#REF!</definedName>
    <definedName name="__________DAT10" localSheetId="12">#REF!</definedName>
    <definedName name="__________DAT10" localSheetId="22">#REF!</definedName>
    <definedName name="__________DAT10" localSheetId="28">#REF!</definedName>
    <definedName name="__________DAT10" localSheetId="35">#REF!</definedName>
    <definedName name="__________DAT10">#REF!</definedName>
    <definedName name="__________DAT11" localSheetId="18">#REF!</definedName>
    <definedName name="__________DAT11" localSheetId="25">#REF!</definedName>
    <definedName name="__________DAT11" localSheetId="29">#REF!</definedName>
    <definedName name="__________DAT11" localSheetId="31">#REF!</definedName>
    <definedName name="__________DAT11" localSheetId="15">#REF!</definedName>
    <definedName name="__________DAT11" localSheetId="13">#REF!</definedName>
    <definedName name="__________DAT11" localSheetId="17">#REF!</definedName>
    <definedName name="__________DAT11" localSheetId="12">#REF!</definedName>
    <definedName name="__________DAT11" localSheetId="22">#REF!</definedName>
    <definedName name="__________DAT11" localSheetId="28">#REF!</definedName>
    <definedName name="__________DAT11" localSheetId="35">#REF!</definedName>
    <definedName name="__________DAT11">#REF!</definedName>
    <definedName name="__________DAT12" localSheetId="18">#REF!</definedName>
    <definedName name="__________DAT12" localSheetId="25">#REF!</definedName>
    <definedName name="__________DAT12" localSheetId="29">#REF!</definedName>
    <definedName name="__________DAT12" localSheetId="31">#REF!</definedName>
    <definedName name="__________DAT12" localSheetId="15">#REF!</definedName>
    <definedName name="__________DAT12" localSheetId="13">#REF!</definedName>
    <definedName name="__________DAT12" localSheetId="17">#REF!</definedName>
    <definedName name="__________DAT12" localSheetId="12">#REF!</definedName>
    <definedName name="__________DAT12" localSheetId="22">#REF!</definedName>
    <definedName name="__________DAT12" localSheetId="28">#REF!</definedName>
    <definedName name="__________DAT12" localSheetId="35">#REF!</definedName>
    <definedName name="__________DAT12">#REF!</definedName>
    <definedName name="__________DAT13" localSheetId="18">#REF!</definedName>
    <definedName name="__________DAT13" localSheetId="25">#REF!</definedName>
    <definedName name="__________DAT13" localSheetId="29">#REF!</definedName>
    <definedName name="__________DAT13" localSheetId="31">#REF!</definedName>
    <definedName name="__________DAT13" localSheetId="15">#REF!</definedName>
    <definedName name="__________DAT13" localSheetId="13">#REF!</definedName>
    <definedName name="__________DAT13" localSheetId="17">#REF!</definedName>
    <definedName name="__________DAT13" localSheetId="12">#REF!</definedName>
    <definedName name="__________DAT13" localSheetId="22">#REF!</definedName>
    <definedName name="__________DAT13" localSheetId="28">#REF!</definedName>
    <definedName name="__________DAT13" localSheetId="35">#REF!</definedName>
    <definedName name="__________DAT13">#REF!</definedName>
    <definedName name="__________DAT14" localSheetId="18">#REF!</definedName>
    <definedName name="__________DAT14" localSheetId="25">#REF!</definedName>
    <definedName name="__________DAT14" localSheetId="29">#REF!</definedName>
    <definedName name="__________DAT14" localSheetId="31">#REF!</definedName>
    <definedName name="__________DAT14" localSheetId="15">#REF!</definedName>
    <definedName name="__________DAT14" localSheetId="13">#REF!</definedName>
    <definedName name="__________DAT14" localSheetId="17">#REF!</definedName>
    <definedName name="__________DAT14" localSheetId="12">#REF!</definedName>
    <definedName name="__________DAT14" localSheetId="22">#REF!</definedName>
    <definedName name="__________DAT14" localSheetId="28">#REF!</definedName>
    <definedName name="__________DAT14" localSheetId="35">#REF!</definedName>
    <definedName name="__________DAT14">#REF!</definedName>
    <definedName name="__________DAT15" localSheetId="18">#REF!</definedName>
    <definedName name="__________DAT15" localSheetId="25">#REF!</definedName>
    <definedName name="__________DAT15" localSheetId="29">#REF!</definedName>
    <definedName name="__________DAT15" localSheetId="31">#REF!</definedName>
    <definedName name="__________DAT15" localSheetId="15">#REF!</definedName>
    <definedName name="__________DAT15" localSheetId="13">#REF!</definedName>
    <definedName name="__________DAT15" localSheetId="17">#REF!</definedName>
    <definedName name="__________DAT15" localSheetId="12">#REF!</definedName>
    <definedName name="__________DAT15" localSheetId="22">#REF!</definedName>
    <definedName name="__________DAT15" localSheetId="28">#REF!</definedName>
    <definedName name="__________DAT15" localSheetId="35">#REF!</definedName>
    <definedName name="__________DAT15">#REF!</definedName>
    <definedName name="__________DAT16" localSheetId="18">#REF!</definedName>
    <definedName name="__________DAT16" localSheetId="25">#REF!</definedName>
    <definedName name="__________DAT16" localSheetId="29">#REF!</definedName>
    <definedName name="__________DAT16" localSheetId="31">#REF!</definedName>
    <definedName name="__________DAT16" localSheetId="15">#REF!</definedName>
    <definedName name="__________DAT16" localSheetId="13">#REF!</definedName>
    <definedName name="__________DAT16" localSheetId="17">#REF!</definedName>
    <definedName name="__________DAT16" localSheetId="12">#REF!</definedName>
    <definedName name="__________DAT16" localSheetId="22">#REF!</definedName>
    <definedName name="__________DAT16" localSheetId="28">#REF!</definedName>
    <definedName name="__________DAT16" localSheetId="35">#REF!</definedName>
    <definedName name="__________DAT16">#REF!</definedName>
    <definedName name="__________DAT17" localSheetId="18">#REF!</definedName>
    <definedName name="__________DAT17" localSheetId="25">#REF!</definedName>
    <definedName name="__________DAT17" localSheetId="29">#REF!</definedName>
    <definedName name="__________DAT17" localSheetId="31">#REF!</definedName>
    <definedName name="__________DAT17" localSheetId="15">#REF!</definedName>
    <definedName name="__________DAT17" localSheetId="13">#REF!</definedName>
    <definedName name="__________DAT17" localSheetId="17">#REF!</definedName>
    <definedName name="__________DAT17" localSheetId="12">#REF!</definedName>
    <definedName name="__________DAT17" localSheetId="22">#REF!</definedName>
    <definedName name="__________DAT17" localSheetId="28">#REF!</definedName>
    <definedName name="__________DAT17" localSheetId="35">#REF!</definedName>
    <definedName name="__________DAT17">#REF!</definedName>
    <definedName name="__________DAT18" localSheetId="18">#REF!</definedName>
    <definedName name="__________DAT18" localSheetId="25">#REF!</definedName>
    <definedName name="__________DAT18" localSheetId="29">#REF!</definedName>
    <definedName name="__________DAT18" localSheetId="31">#REF!</definedName>
    <definedName name="__________DAT18" localSheetId="15">#REF!</definedName>
    <definedName name="__________DAT18" localSheetId="13">#REF!</definedName>
    <definedName name="__________DAT18" localSheetId="17">#REF!</definedName>
    <definedName name="__________DAT18" localSheetId="12">#REF!</definedName>
    <definedName name="__________DAT18" localSheetId="22">#REF!</definedName>
    <definedName name="__________DAT18" localSheetId="28">#REF!</definedName>
    <definedName name="__________DAT18" localSheetId="35">#REF!</definedName>
    <definedName name="__________DAT18">#REF!</definedName>
    <definedName name="__________DAT19" localSheetId="18">#REF!</definedName>
    <definedName name="__________DAT19" localSheetId="25">#REF!</definedName>
    <definedName name="__________DAT19" localSheetId="29">#REF!</definedName>
    <definedName name="__________DAT19" localSheetId="31">#REF!</definedName>
    <definedName name="__________DAT19" localSheetId="15">#REF!</definedName>
    <definedName name="__________DAT19" localSheetId="13">#REF!</definedName>
    <definedName name="__________DAT19" localSheetId="17">#REF!</definedName>
    <definedName name="__________DAT19" localSheetId="12">#REF!</definedName>
    <definedName name="__________DAT19" localSheetId="22">#REF!</definedName>
    <definedName name="__________DAT19" localSheetId="28">#REF!</definedName>
    <definedName name="__________DAT19" localSheetId="35">#REF!</definedName>
    <definedName name="__________DAT19">#REF!</definedName>
    <definedName name="__________DAT2" localSheetId="18">#REF!</definedName>
    <definedName name="__________DAT2" localSheetId="25">#REF!</definedName>
    <definedName name="__________DAT2" localSheetId="29">#REF!</definedName>
    <definedName name="__________DAT2" localSheetId="31">#REF!</definedName>
    <definedName name="__________DAT2" localSheetId="15">#REF!</definedName>
    <definedName name="__________DAT2" localSheetId="13">#REF!</definedName>
    <definedName name="__________DAT2" localSheetId="17">#REF!</definedName>
    <definedName name="__________DAT2" localSheetId="12">#REF!</definedName>
    <definedName name="__________DAT2" localSheetId="22">#REF!</definedName>
    <definedName name="__________DAT2" localSheetId="28">#REF!</definedName>
    <definedName name="__________DAT2" localSheetId="35">#REF!</definedName>
    <definedName name="__________DAT2">#REF!</definedName>
    <definedName name="__________DAT3" localSheetId="18">#REF!</definedName>
    <definedName name="__________DAT3" localSheetId="25">#REF!</definedName>
    <definedName name="__________DAT3" localSheetId="29">#REF!</definedName>
    <definedName name="__________DAT3" localSheetId="31">#REF!</definedName>
    <definedName name="__________DAT3" localSheetId="15">#REF!</definedName>
    <definedName name="__________DAT3" localSheetId="13">#REF!</definedName>
    <definedName name="__________DAT3" localSheetId="17">#REF!</definedName>
    <definedName name="__________DAT3" localSheetId="12">#REF!</definedName>
    <definedName name="__________DAT3" localSheetId="22">#REF!</definedName>
    <definedName name="__________DAT3" localSheetId="28">#REF!</definedName>
    <definedName name="__________DAT3" localSheetId="35">#REF!</definedName>
    <definedName name="__________DAT3">#REF!</definedName>
    <definedName name="__________DAT4" localSheetId="18">#REF!</definedName>
    <definedName name="__________DAT4" localSheetId="25">#REF!</definedName>
    <definedName name="__________DAT4" localSheetId="29">#REF!</definedName>
    <definedName name="__________DAT4" localSheetId="31">#REF!</definedName>
    <definedName name="__________DAT4" localSheetId="15">#REF!</definedName>
    <definedName name="__________DAT4" localSheetId="13">#REF!</definedName>
    <definedName name="__________DAT4" localSheetId="17">#REF!</definedName>
    <definedName name="__________DAT4" localSheetId="12">#REF!</definedName>
    <definedName name="__________DAT4" localSheetId="22">#REF!</definedName>
    <definedName name="__________DAT4" localSheetId="28">#REF!</definedName>
    <definedName name="__________DAT4" localSheetId="35">#REF!</definedName>
    <definedName name="__________DAT4">#REF!</definedName>
    <definedName name="__________DAT5" localSheetId="18">#REF!</definedName>
    <definedName name="__________DAT5" localSheetId="25">#REF!</definedName>
    <definedName name="__________DAT5" localSheetId="29">#REF!</definedName>
    <definedName name="__________DAT5" localSheetId="31">#REF!</definedName>
    <definedName name="__________DAT5" localSheetId="15">#REF!</definedName>
    <definedName name="__________DAT5" localSheetId="13">#REF!</definedName>
    <definedName name="__________DAT5" localSheetId="17">#REF!</definedName>
    <definedName name="__________DAT5" localSheetId="12">#REF!</definedName>
    <definedName name="__________DAT5" localSheetId="22">#REF!</definedName>
    <definedName name="__________DAT5" localSheetId="28">#REF!</definedName>
    <definedName name="__________DAT5" localSheetId="35">#REF!</definedName>
    <definedName name="__________DAT5">#REF!</definedName>
    <definedName name="__________DAT6" localSheetId="18">#REF!</definedName>
    <definedName name="__________DAT6" localSheetId="25">#REF!</definedName>
    <definedName name="__________DAT6" localSheetId="29">#REF!</definedName>
    <definedName name="__________DAT6" localSheetId="31">#REF!</definedName>
    <definedName name="__________DAT6" localSheetId="15">#REF!</definedName>
    <definedName name="__________DAT6" localSheetId="13">#REF!</definedName>
    <definedName name="__________DAT6" localSheetId="17">#REF!</definedName>
    <definedName name="__________DAT6" localSheetId="12">#REF!</definedName>
    <definedName name="__________DAT6" localSheetId="22">#REF!</definedName>
    <definedName name="__________DAT6" localSheetId="28">#REF!</definedName>
    <definedName name="__________DAT6" localSheetId="35">#REF!</definedName>
    <definedName name="__________DAT6">#REF!</definedName>
    <definedName name="__________DAT7" localSheetId="18">#REF!</definedName>
    <definedName name="__________DAT7" localSheetId="25">#REF!</definedName>
    <definedName name="__________DAT7" localSheetId="29">#REF!</definedName>
    <definedName name="__________DAT7" localSheetId="31">#REF!</definedName>
    <definedName name="__________DAT7" localSheetId="15">#REF!</definedName>
    <definedName name="__________DAT7" localSheetId="13">#REF!</definedName>
    <definedName name="__________DAT7" localSheetId="17">#REF!</definedName>
    <definedName name="__________DAT7" localSheetId="12">#REF!</definedName>
    <definedName name="__________DAT7" localSheetId="22">#REF!</definedName>
    <definedName name="__________DAT7" localSheetId="28">#REF!</definedName>
    <definedName name="__________DAT7" localSheetId="35">#REF!</definedName>
    <definedName name="__________DAT7">#REF!</definedName>
    <definedName name="__________DAT8" localSheetId="18">#REF!</definedName>
    <definedName name="__________DAT8" localSheetId="25">#REF!</definedName>
    <definedName name="__________DAT8" localSheetId="29">#REF!</definedName>
    <definedName name="__________DAT8" localSheetId="31">#REF!</definedName>
    <definedName name="__________DAT8" localSheetId="15">#REF!</definedName>
    <definedName name="__________DAT8" localSheetId="13">#REF!</definedName>
    <definedName name="__________DAT8" localSheetId="17">#REF!</definedName>
    <definedName name="__________DAT8" localSheetId="12">#REF!</definedName>
    <definedName name="__________DAT8" localSheetId="22">#REF!</definedName>
    <definedName name="__________DAT8" localSheetId="28">#REF!</definedName>
    <definedName name="__________DAT8" localSheetId="35">#REF!</definedName>
    <definedName name="__________DAT8">#REF!</definedName>
    <definedName name="__________DAT9" localSheetId="18">#REF!</definedName>
    <definedName name="__________DAT9" localSheetId="25">#REF!</definedName>
    <definedName name="__________DAT9" localSheetId="29">#REF!</definedName>
    <definedName name="__________DAT9" localSheetId="31">#REF!</definedName>
    <definedName name="__________DAT9" localSheetId="15">#REF!</definedName>
    <definedName name="__________DAT9" localSheetId="13">#REF!</definedName>
    <definedName name="__________DAT9" localSheetId="17">#REF!</definedName>
    <definedName name="__________DAT9" localSheetId="12">#REF!</definedName>
    <definedName name="__________DAT9" localSheetId="22">#REF!</definedName>
    <definedName name="__________DAT9" localSheetId="28">#REF!</definedName>
    <definedName name="__________DAT9" localSheetId="35">#REF!</definedName>
    <definedName name="__________DAT9">#REF!</definedName>
    <definedName name="__________eng2" localSheetId="18">#N/A</definedName>
    <definedName name="__________eng2" localSheetId="25">Activation!Tx_intérêt_par_an/#REF!</definedName>
    <definedName name="__________eng2" localSheetId="29">'Amortissment boa'!Tx_intérêt_par_an/#REF!</definedName>
    <definedName name="__________eng2" localSheetId="31">'Amortissment Cboa'!Tx_intérêt_par_an/#REF!</definedName>
    <definedName name="__________eng2" localSheetId="15">#N/A</definedName>
    <definedName name="__________eng2" localSheetId="13">#N/A</definedName>
    <definedName name="__________eng2" localSheetId="19">#N/A</definedName>
    <definedName name="__________eng2" localSheetId="17">#N/A</definedName>
    <definedName name="__________eng2" localSheetId="12">#N/A</definedName>
    <definedName name="__________eng2" localSheetId="22">[5]!Tx_intérêt_par_an/#REF!</definedName>
    <definedName name="__________eng2" localSheetId="28">'SYNTHESE BOA'!Tx_intérêt_par_an/#REF!</definedName>
    <definedName name="__________eng2" localSheetId="35">'Taxe 5%'!Tx_intérêt_par_an/#REF!</definedName>
    <definedName name="__________eng2">[0]!Tx_intérêt_par_an/#REF!</definedName>
    <definedName name="__________eng3" localSheetId="18">[6]!__________eng3</definedName>
    <definedName name="__________eng3" localSheetId="25">[6]!__________eng3</definedName>
    <definedName name="__________eng3" localSheetId="29">[6]!__________eng3</definedName>
    <definedName name="__________eng3" localSheetId="31">[6]!__________eng3</definedName>
    <definedName name="__________eng3" localSheetId="15">[6]!__________eng3</definedName>
    <definedName name="__________eng3" localSheetId="13">[6]!__________eng3</definedName>
    <definedName name="__________eng3" localSheetId="19">[7]!__________eng3</definedName>
    <definedName name="__________eng3" localSheetId="17">[6]!__________eng3</definedName>
    <definedName name="__________eng3" localSheetId="12">[6]!__________eng3</definedName>
    <definedName name="__________eng3" localSheetId="22">[8]!__________eng3</definedName>
    <definedName name="__________eng3">[6]!__________eng3</definedName>
    <definedName name="__________eng4" localSheetId="18">#N/A</definedName>
    <definedName name="__________eng4" localSheetId="25">Activation!Tx_intérêt_par_an/#REF!</definedName>
    <definedName name="__________eng4" localSheetId="29">'Amortissment boa'!Tx_intérêt_par_an/#REF!</definedName>
    <definedName name="__________eng4" localSheetId="31">'Amortissment Cboa'!Tx_intérêt_par_an/#REF!</definedName>
    <definedName name="__________eng4" localSheetId="15">#N/A</definedName>
    <definedName name="__________eng4" localSheetId="13">#N/A</definedName>
    <definedName name="__________eng4" localSheetId="19">#N/A</definedName>
    <definedName name="__________eng4" localSheetId="17">#N/A</definedName>
    <definedName name="__________eng4" localSheetId="12">#N/A</definedName>
    <definedName name="__________eng4" localSheetId="22">[5]!Tx_intérêt_par_an/#REF!</definedName>
    <definedName name="__________eng4" localSheetId="28">'SYNTHESE BOA'!Tx_intérêt_par_an/#REF!</definedName>
    <definedName name="__________eng4" localSheetId="35">'Taxe 5%'!Tx_intérêt_par_an/#REF!</definedName>
    <definedName name="__________eng4">[0]!Tx_intérêt_par_an/#REF!</definedName>
    <definedName name="__________ess1" localSheetId="18">#REF!</definedName>
    <definedName name="__________ess1" localSheetId="25">#REF!</definedName>
    <definedName name="__________ess1" localSheetId="29">#REF!</definedName>
    <definedName name="__________ess1" localSheetId="31">#REF!</definedName>
    <definedName name="__________ess1" localSheetId="15">#REF!</definedName>
    <definedName name="__________ess1" localSheetId="13">#REF!</definedName>
    <definedName name="__________ess1" localSheetId="17">#REF!</definedName>
    <definedName name="__________ess1" localSheetId="12">#REF!</definedName>
    <definedName name="__________ess1" localSheetId="22">#REF!</definedName>
    <definedName name="__________ess1" localSheetId="28">#REF!</definedName>
    <definedName name="__________ess1" localSheetId="35">#REF!</definedName>
    <definedName name="__________ess1">#REF!</definedName>
    <definedName name="__________FRF4">'[4]FX Rates'!$G$10</definedName>
    <definedName name="__________FRU2003" localSheetId="18">#REF!</definedName>
    <definedName name="__________FRU2003" localSheetId="25">#REF!</definedName>
    <definedName name="__________FRU2003" localSheetId="29">#REF!</definedName>
    <definedName name="__________FRU2003" localSheetId="31">#REF!</definedName>
    <definedName name="__________FRU2003" localSheetId="15">#REF!</definedName>
    <definedName name="__________FRU2003" localSheetId="13">#REF!</definedName>
    <definedName name="__________FRU2003" localSheetId="17">#REF!</definedName>
    <definedName name="__________FRU2003" localSheetId="12">#REF!</definedName>
    <definedName name="__________FRU2003" localSheetId="22">#REF!</definedName>
    <definedName name="__________FRU2003" localSheetId="28">#REF!</definedName>
    <definedName name="__________FRU2003" localSheetId="35">#REF!</definedName>
    <definedName name="__________FRU2003">#REF!</definedName>
    <definedName name="__________GBP4">'[4]FX Rates'!$G$9</definedName>
    <definedName name="__________mar1" localSheetId="18">[9]BATIMENT!#REF!</definedName>
    <definedName name="__________mar1" localSheetId="29">[9]BATIMENT!#REF!</definedName>
    <definedName name="__________mar1" localSheetId="31">[9]BATIMENT!#REF!</definedName>
    <definedName name="__________mar1" localSheetId="15">[9]BATIMENT!#REF!</definedName>
    <definedName name="__________mar1" localSheetId="13">[9]BATIMENT!#REF!</definedName>
    <definedName name="__________mar1" localSheetId="17">[9]BATIMENT!#REF!</definedName>
    <definedName name="__________mar1" localSheetId="12">[9]BATIMENT!#REF!</definedName>
    <definedName name="__________mar1" localSheetId="22">[9]BATIMENT!#REF!</definedName>
    <definedName name="__________mar1" localSheetId="28">[9]BATIMENT!#REF!</definedName>
    <definedName name="__________mar1" localSheetId="35">[9]BATIMENT!#REF!</definedName>
    <definedName name="__________mar1">[9]BATIMENT!#REF!</definedName>
    <definedName name="__________OUJ2" localSheetId="18">#REF!</definedName>
    <definedName name="__________OUJ2" localSheetId="25">#REF!</definedName>
    <definedName name="__________OUJ2" localSheetId="29">#REF!</definedName>
    <definedName name="__________OUJ2" localSheetId="31">#REF!</definedName>
    <definedName name="__________OUJ2" localSheetId="15">#REF!</definedName>
    <definedName name="__________OUJ2" localSheetId="13">#REF!</definedName>
    <definedName name="__________OUJ2" localSheetId="17">#REF!</definedName>
    <definedName name="__________OUJ2" localSheetId="12">#REF!</definedName>
    <definedName name="__________OUJ2" localSheetId="22">#REF!</definedName>
    <definedName name="__________OUJ2" localSheetId="28">#REF!</definedName>
    <definedName name="__________OUJ2" localSheetId="35">#REF!</definedName>
    <definedName name="__________OUJ2">#REF!</definedName>
    <definedName name="__________pg1" localSheetId="18">#REF!</definedName>
    <definedName name="__________pg1" localSheetId="25">#REF!</definedName>
    <definedName name="__________pg1" localSheetId="29">#REF!</definedName>
    <definedName name="__________pg1" localSheetId="31">#REF!</definedName>
    <definedName name="__________pg1" localSheetId="15">#REF!</definedName>
    <definedName name="__________pg1" localSheetId="13">#REF!</definedName>
    <definedName name="__________pg1" localSheetId="17">#REF!</definedName>
    <definedName name="__________pg1" localSheetId="12">#REF!</definedName>
    <definedName name="__________pg1" localSheetId="22">#REF!</definedName>
    <definedName name="__________pg1" localSheetId="28">#REF!</definedName>
    <definedName name="__________pg1" localSheetId="35">#REF!</definedName>
    <definedName name="__________pg1">#REF!</definedName>
    <definedName name="__________pg2" localSheetId="18">#REF!</definedName>
    <definedName name="__________pg2" localSheetId="25">#REF!</definedName>
    <definedName name="__________pg2" localSheetId="29">#REF!</definedName>
    <definedName name="__________pg2" localSheetId="31">#REF!</definedName>
    <definedName name="__________pg2" localSheetId="15">#REF!</definedName>
    <definedName name="__________pg2" localSheetId="13">#REF!</definedName>
    <definedName name="__________pg2" localSheetId="17">#REF!</definedName>
    <definedName name="__________pg2" localSheetId="12">#REF!</definedName>
    <definedName name="__________pg2" localSheetId="22">#REF!</definedName>
    <definedName name="__________pg2" localSheetId="28">#REF!</definedName>
    <definedName name="__________pg2" localSheetId="35">#REF!</definedName>
    <definedName name="__________pg2">#REF!</definedName>
    <definedName name="__________R" localSheetId="18">#REF!</definedName>
    <definedName name="__________R" localSheetId="25">#REF!</definedName>
    <definedName name="__________R" localSheetId="29">#REF!</definedName>
    <definedName name="__________R" localSheetId="31">#REF!</definedName>
    <definedName name="__________R" localSheetId="15">#REF!</definedName>
    <definedName name="__________R" localSheetId="13">#REF!</definedName>
    <definedName name="__________R" localSheetId="17">#REF!</definedName>
    <definedName name="__________R" localSheetId="12">#REF!</definedName>
    <definedName name="__________R" localSheetId="22">#REF!</definedName>
    <definedName name="__________R" localSheetId="28">#REF!</definedName>
    <definedName name="__________R" localSheetId="35">#REF!</definedName>
    <definedName name="__________R">#REF!</definedName>
    <definedName name="__________R2000ssta" localSheetId="18">#REF!</definedName>
    <definedName name="__________R2000ssta" localSheetId="25">#REF!</definedName>
    <definedName name="__________R2000ssta" localSheetId="29">#REF!</definedName>
    <definedName name="__________R2000ssta" localSheetId="31">#REF!</definedName>
    <definedName name="__________R2000ssta" localSheetId="15">#REF!</definedName>
    <definedName name="__________R2000ssta" localSheetId="13">#REF!</definedName>
    <definedName name="__________R2000ssta" localSheetId="17">#REF!</definedName>
    <definedName name="__________R2000ssta" localSheetId="12">#REF!</definedName>
    <definedName name="__________R2000ssta" localSheetId="22">#REF!</definedName>
    <definedName name="__________R2000ssta" localSheetId="28">#REF!</definedName>
    <definedName name="__________R2000ssta" localSheetId="35">#REF!</definedName>
    <definedName name="__________R2000ssta">#REF!</definedName>
    <definedName name="__________R2000ssta___0">[10]R2000ssta!$A$1:$IV$32000</definedName>
    <definedName name="__________R2000ssta___12" localSheetId="18">#REF!</definedName>
    <definedName name="__________R2000ssta___12" localSheetId="25">#REF!</definedName>
    <definedName name="__________R2000ssta___12" localSheetId="29">#REF!</definedName>
    <definedName name="__________R2000ssta___12" localSheetId="31">#REF!</definedName>
    <definedName name="__________R2000ssta___12" localSheetId="15">#REF!</definedName>
    <definedName name="__________R2000ssta___12" localSheetId="13">#REF!</definedName>
    <definedName name="__________R2000ssta___12" localSheetId="17">#REF!</definedName>
    <definedName name="__________R2000ssta___12" localSheetId="12">#REF!</definedName>
    <definedName name="__________R2000ssta___12" localSheetId="22">#REF!</definedName>
    <definedName name="__________R2000ssta___12" localSheetId="28">#REF!</definedName>
    <definedName name="__________R2000ssta___12" localSheetId="35">#REF!</definedName>
    <definedName name="__________R2000ssta___12">#REF!</definedName>
    <definedName name="__________R2000ssta___14">[11]R2000ssta!$A$1:$IV$32000</definedName>
    <definedName name="__________R2000ssta___16">[11]R2000ssta!$A$1:$IV$32000</definedName>
    <definedName name="__________R2000ssta___27">[10]R2000ssta!$A$1:$IV$32000</definedName>
    <definedName name="__________R2000ssta___5">[10]R2000ssta!$A$1:$IV$32000</definedName>
    <definedName name="__________SC16" localSheetId="18">#REF!</definedName>
    <definedName name="__________SC16" localSheetId="25">#REF!</definedName>
    <definedName name="__________SC16" localSheetId="29">#REF!</definedName>
    <definedName name="__________SC16" localSheetId="31">#REF!</definedName>
    <definedName name="__________SC16" localSheetId="15">#REF!</definedName>
    <definedName name="__________SC16" localSheetId="13">#REF!</definedName>
    <definedName name="__________SC16" localSheetId="17">#REF!</definedName>
    <definedName name="__________SC16" localSheetId="12">#REF!</definedName>
    <definedName name="__________SC16" localSheetId="22">#REF!</definedName>
    <definedName name="__________SC16" localSheetId="28">#REF!</definedName>
    <definedName name="__________SC16" localSheetId="35">#REF!</definedName>
    <definedName name="__________SC16">#REF!</definedName>
    <definedName name="__________SET2" localSheetId="18">#REF!</definedName>
    <definedName name="__________SET2" localSheetId="25">#REF!</definedName>
    <definedName name="__________SET2" localSheetId="29">#REF!</definedName>
    <definedName name="__________SET2" localSheetId="31">#REF!</definedName>
    <definedName name="__________SET2" localSheetId="15">#REF!</definedName>
    <definedName name="__________SET2" localSheetId="13">#REF!</definedName>
    <definedName name="__________SET2" localSheetId="17">#REF!</definedName>
    <definedName name="__________SET2" localSheetId="12">#REF!</definedName>
    <definedName name="__________SET2" localSheetId="22">#REF!</definedName>
    <definedName name="__________SET2" localSheetId="28">#REF!</definedName>
    <definedName name="__________SET2" localSheetId="35">#REF!</definedName>
    <definedName name="__________SET2">#REF!</definedName>
    <definedName name="__________SYN1" localSheetId="18">#REF!</definedName>
    <definedName name="__________SYN1" localSheetId="25">#REF!</definedName>
    <definedName name="__________SYN1" localSheetId="29">#REF!</definedName>
    <definedName name="__________SYN1" localSheetId="31">#REF!</definedName>
    <definedName name="__________SYN1" localSheetId="15">#REF!</definedName>
    <definedName name="__________SYN1" localSheetId="13">#REF!</definedName>
    <definedName name="__________SYN1" localSheetId="17">#REF!</definedName>
    <definedName name="__________SYN1" localSheetId="12">#REF!</definedName>
    <definedName name="__________SYN1" localSheetId="22">#REF!</definedName>
    <definedName name="__________SYN1" localSheetId="28">#REF!</definedName>
    <definedName name="__________SYN1" localSheetId="35">#REF!</definedName>
    <definedName name="__________SYN1">#REF!</definedName>
    <definedName name="__________SYN2" localSheetId="18">#REF!</definedName>
    <definedName name="__________SYN2" localSheetId="25">#REF!</definedName>
    <definedName name="__________SYN2" localSheetId="29">#REF!</definedName>
    <definedName name="__________SYN2" localSheetId="31">#REF!</definedName>
    <definedName name="__________SYN2" localSheetId="15">#REF!</definedName>
    <definedName name="__________SYN2" localSheetId="13">#REF!</definedName>
    <definedName name="__________SYN2" localSheetId="17">#REF!</definedName>
    <definedName name="__________SYN2" localSheetId="12">#REF!</definedName>
    <definedName name="__________SYN2" localSheetId="22">#REF!</definedName>
    <definedName name="__________SYN2" localSheetId="28">#REF!</definedName>
    <definedName name="__________SYN2" localSheetId="35">#REF!</definedName>
    <definedName name="__________SYN2">#REF!</definedName>
    <definedName name="__________TAE2001" localSheetId="18">#REF!</definedName>
    <definedName name="__________TAE2001" localSheetId="25">#REF!</definedName>
    <definedName name="__________TAE2001" localSheetId="29">#REF!</definedName>
    <definedName name="__________TAE2001" localSheetId="31">#REF!</definedName>
    <definedName name="__________TAE2001" localSheetId="15">#REF!</definedName>
    <definedName name="__________TAE2001" localSheetId="13">#REF!</definedName>
    <definedName name="__________TAE2001" localSheetId="17">#REF!</definedName>
    <definedName name="__________TAE2001" localSheetId="12">#REF!</definedName>
    <definedName name="__________TAE2001" localSheetId="22">#REF!</definedName>
    <definedName name="__________TAE2001" localSheetId="28">#REF!</definedName>
    <definedName name="__________TAE2001" localSheetId="35">#REF!</definedName>
    <definedName name="__________TAE2001">#REF!</definedName>
    <definedName name="__________TAE2002" localSheetId="18">#REF!</definedName>
    <definedName name="__________TAE2002" localSheetId="25">#REF!</definedName>
    <definedName name="__________TAE2002" localSheetId="29">#REF!</definedName>
    <definedName name="__________TAE2002" localSheetId="31">#REF!</definedName>
    <definedName name="__________TAE2002" localSheetId="15">#REF!</definedName>
    <definedName name="__________TAE2002" localSheetId="13">#REF!</definedName>
    <definedName name="__________TAE2002" localSheetId="17">#REF!</definedName>
    <definedName name="__________TAE2002" localSheetId="12">#REF!</definedName>
    <definedName name="__________TAE2002" localSheetId="22">#REF!</definedName>
    <definedName name="__________TAE2002" localSheetId="28">#REF!</definedName>
    <definedName name="__________TAE2002" localSheetId="35">#REF!</definedName>
    <definedName name="__________TAE2002">#REF!</definedName>
    <definedName name="__________UNI1999" localSheetId="18">#REF!</definedName>
    <definedName name="__________UNI1999" localSheetId="25">#REF!</definedName>
    <definedName name="__________UNI1999" localSheetId="29">#REF!</definedName>
    <definedName name="__________UNI1999" localSheetId="31">#REF!</definedName>
    <definedName name="__________UNI1999" localSheetId="15">#REF!</definedName>
    <definedName name="__________UNI1999" localSheetId="13">#REF!</definedName>
    <definedName name="__________UNI1999" localSheetId="17">#REF!</definedName>
    <definedName name="__________UNI1999" localSheetId="12">#REF!</definedName>
    <definedName name="__________UNI1999" localSheetId="22">#REF!</definedName>
    <definedName name="__________UNI1999" localSheetId="28">#REF!</definedName>
    <definedName name="__________UNI1999" localSheetId="35">#REF!</definedName>
    <definedName name="__________UNI1999">#REF!</definedName>
    <definedName name="__________UNI2000" localSheetId="18">#REF!</definedName>
    <definedName name="__________UNI2000" localSheetId="25">#REF!</definedName>
    <definedName name="__________UNI2000" localSheetId="29">#REF!</definedName>
    <definedName name="__________UNI2000" localSheetId="31">#REF!</definedName>
    <definedName name="__________UNI2000" localSheetId="15">#REF!</definedName>
    <definedName name="__________UNI2000" localSheetId="13">#REF!</definedName>
    <definedName name="__________UNI2000" localSheetId="17">#REF!</definedName>
    <definedName name="__________UNI2000" localSheetId="12">#REF!</definedName>
    <definedName name="__________UNI2000" localSheetId="22">#REF!</definedName>
    <definedName name="__________UNI2000" localSheetId="28">#REF!</definedName>
    <definedName name="__________UNI2000" localSheetId="35">#REF!</definedName>
    <definedName name="__________UNI2000">#REF!</definedName>
    <definedName name="__________UNI2001" localSheetId="18">#REF!</definedName>
    <definedName name="__________UNI2001" localSheetId="25">#REF!</definedName>
    <definedName name="__________UNI2001" localSheetId="29">#REF!</definedName>
    <definedName name="__________UNI2001" localSheetId="31">#REF!</definedName>
    <definedName name="__________UNI2001" localSheetId="15">#REF!</definedName>
    <definedName name="__________UNI2001" localSheetId="13">#REF!</definedName>
    <definedName name="__________UNI2001" localSheetId="17">#REF!</definedName>
    <definedName name="__________UNI2001" localSheetId="12">#REF!</definedName>
    <definedName name="__________UNI2001" localSheetId="22">#REF!</definedName>
    <definedName name="__________UNI2001" localSheetId="28">#REF!</definedName>
    <definedName name="__________UNI2001" localSheetId="35">#REF!</definedName>
    <definedName name="__________UNI2001">#REF!</definedName>
    <definedName name="__________vb100" localSheetId="18">#REF!</definedName>
    <definedName name="__________vb100" localSheetId="25">#REF!</definedName>
    <definedName name="__________vb100" localSheetId="29">#REF!</definedName>
    <definedName name="__________vb100" localSheetId="31">#REF!</definedName>
    <definedName name="__________vb100" localSheetId="15">#REF!</definedName>
    <definedName name="__________vb100" localSheetId="13">#REF!</definedName>
    <definedName name="__________vb100" localSheetId="17">#REF!</definedName>
    <definedName name="__________vb100" localSheetId="12">#REF!</definedName>
    <definedName name="__________vb100" localSheetId="22">#REF!</definedName>
    <definedName name="__________vb100" localSheetId="28">#REF!</definedName>
    <definedName name="__________vb100" localSheetId="35">#REF!</definedName>
    <definedName name="__________vb100">#REF!</definedName>
    <definedName name="__________YR1">[12]data!$C$2</definedName>
    <definedName name="__________YR2">[12]data!$C$3</definedName>
    <definedName name="__________YR3">[12]data!$C$4</definedName>
    <definedName name="__________YR4">[12]data!$C$5</definedName>
    <definedName name="_________aaa1" localSheetId="18">#REF!</definedName>
    <definedName name="_________aaa1" localSheetId="25">#REF!</definedName>
    <definedName name="_________aaa1" localSheetId="29">#REF!</definedName>
    <definedName name="_________aaa1" localSheetId="31">#REF!</definedName>
    <definedName name="_________aaa1" localSheetId="15">#REF!</definedName>
    <definedName name="_________aaa1" localSheetId="13">#REF!</definedName>
    <definedName name="_________aaa1" localSheetId="17">#REF!</definedName>
    <definedName name="_________aaa1" localSheetId="12">#REF!</definedName>
    <definedName name="_________aaa1" localSheetId="22">#REF!</definedName>
    <definedName name="_________aaa1" localSheetId="28">#REF!</definedName>
    <definedName name="_________aaa1" localSheetId="35">#REF!</definedName>
    <definedName name="_________aaa1">#REF!</definedName>
    <definedName name="_________aaa2" localSheetId="18">#REF!</definedName>
    <definedName name="_________aaa2" localSheetId="25">#REF!</definedName>
    <definedName name="_________aaa2" localSheetId="29">#REF!</definedName>
    <definedName name="_________aaa2" localSheetId="31">#REF!</definedName>
    <definedName name="_________aaa2" localSheetId="15">#REF!</definedName>
    <definedName name="_________aaa2" localSheetId="13">#REF!</definedName>
    <definedName name="_________aaa2" localSheetId="17">#REF!</definedName>
    <definedName name="_________aaa2" localSheetId="12">#REF!</definedName>
    <definedName name="_________aaa2" localSheetId="22">#REF!</definedName>
    <definedName name="_________aaa2" localSheetId="28">#REF!</definedName>
    <definedName name="_________aaa2" localSheetId="35">#REF!</definedName>
    <definedName name="_________aaa2">#REF!</definedName>
    <definedName name="_________aaa3" localSheetId="18">#REF!</definedName>
    <definedName name="_________aaa3" localSheetId="25">#REF!</definedName>
    <definedName name="_________aaa3" localSheetId="29">#REF!</definedName>
    <definedName name="_________aaa3" localSheetId="31">#REF!</definedName>
    <definedName name="_________aaa3" localSheetId="15">#REF!</definedName>
    <definedName name="_________aaa3" localSheetId="13">#REF!</definedName>
    <definedName name="_________aaa3" localSheetId="17">#REF!</definedName>
    <definedName name="_________aaa3" localSheetId="12">#REF!</definedName>
    <definedName name="_________aaa3" localSheetId="22">#REF!</definedName>
    <definedName name="_________aaa3" localSheetId="28">#REF!</definedName>
    <definedName name="_________aaa3" localSheetId="35">#REF!</definedName>
    <definedName name="_________aaa3">#REF!</definedName>
    <definedName name="_________aaa4" localSheetId="18">#REF!</definedName>
    <definedName name="_________aaa4" localSheetId="25">#REF!</definedName>
    <definedName name="_________aaa4" localSheetId="29">#REF!</definedName>
    <definedName name="_________aaa4" localSheetId="31">#REF!</definedName>
    <definedName name="_________aaa4" localSheetId="15">#REF!</definedName>
    <definedName name="_________aaa4" localSheetId="13">#REF!</definedName>
    <definedName name="_________aaa4" localSheetId="17">#REF!</definedName>
    <definedName name="_________aaa4" localSheetId="12">#REF!</definedName>
    <definedName name="_________aaa4" localSheetId="22">#REF!</definedName>
    <definedName name="_________aaa4" localSheetId="28">#REF!</definedName>
    <definedName name="_________aaa4" localSheetId="35">#REF!</definedName>
    <definedName name="_________aaa4">#REF!</definedName>
    <definedName name="_________aaa5" localSheetId="18">#REF!</definedName>
    <definedName name="_________aaa5" localSheetId="25">#REF!</definedName>
    <definedName name="_________aaa5" localSheetId="29">#REF!</definedName>
    <definedName name="_________aaa5" localSheetId="31">#REF!</definedName>
    <definedName name="_________aaa5" localSheetId="15">#REF!</definedName>
    <definedName name="_________aaa5" localSheetId="13">#REF!</definedName>
    <definedName name="_________aaa5" localSheetId="17">#REF!</definedName>
    <definedName name="_________aaa5" localSheetId="12">#REF!</definedName>
    <definedName name="_________aaa5" localSheetId="22">#REF!</definedName>
    <definedName name="_________aaa5" localSheetId="28">#REF!</definedName>
    <definedName name="_________aaa5" localSheetId="35">#REF!</definedName>
    <definedName name="_________aaa5">#REF!</definedName>
    <definedName name="_________aaa6" localSheetId="18">#REF!</definedName>
    <definedName name="_________aaa6" localSheetId="25">#REF!</definedName>
    <definedName name="_________aaa6" localSheetId="29">#REF!</definedName>
    <definedName name="_________aaa6" localSheetId="31">#REF!</definedName>
    <definedName name="_________aaa6" localSheetId="15">#REF!</definedName>
    <definedName name="_________aaa6" localSheetId="13">#REF!</definedName>
    <definedName name="_________aaa6" localSheetId="17">#REF!</definedName>
    <definedName name="_________aaa6" localSheetId="12">#REF!</definedName>
    <definedName name="_________aaa6" localSheetId="22">#REF!</definedName>
    <definedName name="_________aaa6" localSheetId="28">#REF!</definedName>
    <definedName name="_________aaa6" localSheetId="35">#REF!</definedName>
    <definedName name="_________aaa6">#REF!</definedName>
    <definedName name="_________aaa7" localSheetId="18">#REF!</definedName>
    <definedName name="_________aaa7" localSheetId="25">#REF!</definedName>
    <definedName name="_________aaa7" localSheetId="29">#REF!</definedName>
    <definedName name="_________aaa7" localSheetId="31">#REF!</definedName>
    <definedName name="_________aaa7" localSheetId="15">#REF!</definedName>
    <definedName name="_________aaa7" localSheetId="13">#REF!</definedName>
    <definedName name="_________aaa7" localSheetId="17">#REF!</definedName>
    <definedName name="_________aaa7" localSheetId="12">#REF!</definedName>
    <definedName name="_________aaa7" localSheetId="22">#REF!</definedName>
    <definedName name="_________aaa7" localSheetId="28">#REF!</definedName>
    <definedName name="_________aaa7" localSheetId="35">#REF!</definedName>
    <definedName name="_________aaa7">#REF!</definedName>
    <definedName name="_________aaa8" localSheetId="18">#REF!</definedName>
    <definedName name="_________aaa8" localSheetId="25">#REF!</definedName>
    <definedName name="_________aaa8" localSheetId="29">#REF!</definedName>
    <definedName name="_________aaa8" localSheetId="31">#REF!</definedName>
    <definedName name="_________aaa8" localSheetId="15">#REF!</definedName>
    <definedName name="_________aaa8" localSheetId="13">#REF!</definedName>
    <definedName name="_________aaa8" localSheetId="17">#REF!</definedName>
    <definedName name="_________aaa8" localSheetId="12">#REF!</definedName>
    <definedName name="_________aaa8" localSheetId="22">#REF!</definedName>
    <definedName name="_________aaa8" localSheetId="28">#REF!</definedName>
    <definedName name="_________aaa8" localSheetId="35">#REF!</definedName>
    <definedName name="_________aaa8">#REF!</definedName>
    <definedName name="_________B1">#N/A</definedName>
    <definedName name="_________bbb1">#N/A</definedName>
    <definedName name="_________c20041" localSheetId="18">#REF!</definedName>
    <definedName name="_________c20041" localSheetId="25">#REF!</definedName>
    <definedName name="_________c20041" localSheetId="29">#REF!</definedName>
    <definedName name="_________c20041" localSheetId="31">#REF!</definedName>
    <definedName name="_________c20041" localSheetId="15">#REF!</definedName>
    <definedName name="_________c20041" localSheetId="13">#REF!</definedName>
    <definedName name="_________c20041" localSheetId="17">#REF!</definedName>
    <definedName name="_________c20041" localSheetId="12">#REF!</definedName>
    <definedName name="_________c20041" localSheetId="22">#REF!</definedName>
    <definedName name="_________c20041" localSheetId="28">#REF!</definedName>
    <definedName name="_________c20041" localSheetId="35">#REF!</definedName>
    <definedName name="_________c20041">#REF!</definedName>
    <definedName name="_________DAT1">#N/A</definedName>
    <definedName name="_________DAT10">#N/A</definedName>
    <definedName name="_________DAT11">#N/A</definedName>
    <definedName name="_________DAT12">#N/A</definedName>
    <definedName name="_________DAT13">#N/A</definedName>
    <definedName name="_________DAT14">#N/A</definedName>
    <definedName name="_________DAT15">#N/A</definedName>
    <definedName name="_________DAT16">#N/A</definedName>
    <definedName name="_________DAT17">#N/A</definedName>
    <definedName name="_________DAT18">#N/A</definedName>
    <definedName name="_________DAT19">#N/A</definedName>
    <definedName name="_________DAT2">#N/A</definedName>
    <definedName name="_________DAT3">#N/A</definedName>
    <definedName name="_________DAT4">#N/A</definedName>
    <definedName name="_________DAT5">#N/A</definedName>
    <definedName name="_________DAT6">#N/A</definedName>
    <definedName name="_________DAT7">#N/A</definedName>
    <definedName name="_________DAT8">#N/A</definedName>
    <definedName name="_________DAT9">#N/A</definedName>
    <definedName name="_________eng2">#N/A</definedName>
    <definedName name="_________eng3" localSheetId="18">[6]!_________eng3</definedName>
    <definedName name="_________eng3" localSheetId="25">[6]!_________eng3</definedName>
    <definedName name="_________eng3" localSheetId="29">[6]!_________eng3</definedName>
    <definedName name="_________eng3" localSheetId="31">[6]!_________eng3</definedName>
    <definedName name="_________eng3" localSheetId="15">[6]!_________eng3</definedName>
    <definedName name="_________eng3" localSheetId="13">[6]!_________eng3</definedName>
    <definedName name="_________eng3" localSheetId="19">[7]!_________eng3</definedName>
    <definedName name="_________eng3" localSheetId="17">[6]!_________eng3</definedName>
    <definedName name="_________eng3" localSheetId="12">[6]!_________eng3</definedName>
    <definedName name="_________eng3" localSheetId="22">[8]!_________eng3</definedName>
    <definedName name="_________eng3">[6]!_________eng3</definedName>
    <definedName name="_________eng4">#N/A</definedName>
    <definedName name="_________ess1" localSheetId="18">#REF!</definedName>
    <definedName name="_________ess1" localSheetId="25">#REF!</definedName>
    <definedName name="_________ess1" localSheetId="29">#REF!</definedName>
    <definedName name="_________ess1" localSheetId="31">#REF!</definedName>
    <definedName name="_________ess1" localSheetId="15">#REF!</definedName>
    <definedName name="_________ess1" localSheetId="13">#REF!</definedName>
    <definedName name="_________ess1" localSheetId="17">#REF!</definedName>
    <definedName name="_________ess1" localSheetId="12">#REF!</definedName>
    <definedName name="_________ess1" localSheetId="22">#REF!</definedName>
    <definedName name="_________ess1" localSheetId="28">#REF!</definedName>
    <definedName name="_________ess1" localSheetId="35">#REF!</definedName>
    <definedName name="_________ess1">#REF!</definedName>
    <definedName name="_________FRF4">'[4]FX Rates'!$G$10</definedName>
    <definedName name="_________FRU2003" localSheetId="18">#REF!</definedName>
    <definedName name="_________FRU2003" localSheetId="25">#REF!</definedName>
    <definedName name="_________FRU2003" localSheetId="29">#REF!</definedName>
    <definedName name="_________FRU2003" localSheetId="31">#REF!</definedName>
    <definedName name="_________FRU2003" localSheetId="15">#REF!</definedName>
    <definedName name="_________FRU2003" localSheetId="13">#REF!</definedName>
    <definedName name="_________FRU2003" localSheetId="17">#REF!</definedName>
    <definedName name="_________FRU2003" localSheetId="12">#REF!</definedName>
    <definedName name="_________FRU2003" localSheetId="22">#REF!</definedName>
    <definedName name="_________FRU2003" localSheetId="28">#REF!</definedName>
    <definedName name="_________FRU2003" localSheetId="35">#REF!</definedName>
    <definedName name="_________FRU2003">#REF!</definedName>
    <definedName name="_________GBP4">'[4]FX Rates'!$G$9</definedName>
    <definedName name="_________mar1">#N/A</definedName>
    <definedName name="_________OUJ2">#N/A</definedName>
    <definedName name="_________pg1" localSheetId="18">#REF!</definedName>
    <definedName name="_________pg1" localSheetId="25">#REF!</definedName>
    <definedName name="_________pg1" localSheetId="29">#REF!</definedName>
    <definedName name="_________pg1" localSheetId="31">#REF!</definedName>
    <definedName name="_________pg1" localSheetId="15">#REF!</definedName>
    <definedName name="_________pg1" localSheetId="13">#REF!</definedName>
    <definedName name="_________pg1" localSheetId="17">#REF!</definedName>
    <definedName name="_________pg1" localSheetId="12">#REF!</definedName>
    <definedName name="_________pg1" localSheetId="22">#REF!</definedName>
    <definedName name="_________pg1" localSheetId="28">#REF!</definedName>
    <definedName name="_________pg1" localSheetId="35">#REF!</definedName>
    <definedName name="_________pg1">#REF!</definedName>
    <definedName name="_________pg2" localSheetId="18">#REF!</definedName>
    <definedName name="_________pg2" localSheetId="25">#REF!</definedName>
    <definedName name="_________pg2" localSheetId="29">#REF!</definedName>
    <definedName name="_________pg2" localSheetId="31">#REF!</definedName>
    <definedName name="_________pg2" localSheetId="15">#REF!</definedName>
    <definedName name="_________pg2" localSheetId="13">#REF!</definedName>
    <definedName name="_________pg2" localSheetId="17">#REF!</definedName>
    <definedName name="_________pg2" localSheetId="12">#REF!</definedName>
    <definedName name="_________pg2" localSheetId="22">#REF!</definedName>
    <definedName name="_________pg2" localSheetId="28">#REF!</definedName>
    <definedName name="_________pg2" localSheetId="35">#REF!</definedName>
    <definedName name="_________pg2">#REF!</definedName>
    <definedName name="_________R" localSheetId="18">#REF!</definedName>
    <definedName name="_________R" localSheetId="25">#REF!</definedName>
    <definedName name="_________R" localSheetId="29">#REF!</definedName>
    <definedName name="_________R" localSheetId="31">#REF!</definedName>
    <definedName name="_________R" localSheetId="15">#REF!</definedName>
    <definedName name="_________R" localSheetId="13">#REF!</definedName>
    <definedName name="_________R" localSheetId="17">#REF!</definedName>
    <definedName name="_________R" localSheetId="12">#REF!</definedName>
    <definedName name="_________R" localSheetId="22">#REF!</definedName>
    <definedName name="_________R" localSheetId="28">#REF!</definedName>
    <definedName name="_________R" localSheetId="35">#REF!</definedName>
    <definedName name="_________R">#REF!</definedName>
    <definedName name="_________R2000ssta" localSheetId="18">#REF!</definedName>
    <definedName name="_________R2000ssta" localSheetId="25">#REF!</definedName>
    <definedName name="_________R2000ssta" localSheetId="29">#REF!</definedName>
    <definedName name="_________R2000ssta" localSheetId="31">#REF!</definedName>
    <definedName name="_________R2000ssta" localSheetId="15">#REF!</definedName>
    <definedName name="_________R2000ssta" localSheetId="13">#REF!</definedName>
    <definedName name="_________R2000ssta" localSheetId="17">#REF!</definedName>
    <definedName name="_________R2000ssta" localSheetId="12">#REF!</definedName>
    <definedName name="_________R2000ssta" localSheetId="22">#REF!</definedName>
    <definedName name="_________R2000ssta" localSheetId="28">#REF!</definedName>
    <definedName name="_________R2000ssta" localSheetId="35">#REF!</definedName>
    <definedName name="_________R2000ssta">#REF!</definedName>
    <definedName name="_________R2000ssta___0">#N/A</definedName>
    <definedName name="_________R2000ssta___12">#N/A</definedName>
    <definedName name="_________R2000ssta___14">#N/A</definedName>
    <definedName name="_________R2000ssta___16">#N/A</definedName>
    <definedName name="_________R2000ssta___27">#N/A</definedName>
    <definedName name="_________R2000ssta___5">#N/A</definedName>
    <definedName name="_________SC16" localSheetId="18">#REF!</definedName>
    <definedName name="_________SC16" localSheetId="25">#REF!</definedName>
    <definedName name="_________SC16" localSheetId="29">#REF!</definedName>
    <definedName name="_________SC16" localSheetId="31">#REF!</definedName>
    <definedName name="_________SC16" localSheetId="15">#REF!</definedName>
    <definedName name="_________SC16" localSheetId="13">#REF!</definedName>
    <definedName name="_________SC16" localSheetId="17">#REF!</definedName>
    <definedName name="_________SC16" localSheetId="12">#REF!</definedName>
    <definedName name="_________SC16" localSheetId="22">#REF!</definedName>
    <definedName name="_________SC16" localSheetId="28">#REF!</definedName>
    <definedName name="_________SC16" localSheetId="35">#REF!</definedName>
    <definedName name="_________SC16">#REF!</definedName>
    <definedName name="_________SET2" localSheetId="18">#REF!</definedName>
    <definedName name="_________SET2" localSheetId="25">#REF!</definedName>
    <definedName name="_________SET2" localSheetId="29">#REF!</definedName>
    <definedName name="_________SET2" localSheetId="31">#REF!</definedName>
    <definedName name="_________SET2" localSheetId="15">#REF!</definedName>
    <definedName name="_________SET2" localSheetId="13">#REF!</definedName>
    <definedName name="_________SET2" localSheetId="17">#REF!</definedName>
    <definedName name="_________SET2" localSheetId="12">#REF!</definedName>
    <definedName name="_________SET2" localSheetId="22">#REF!</definedName>
    <definedName name="_________SET2" localSheetId="28">#REF!</definedName>
    <definedName name="_________SET2" localSheetId="35">#REF!</definedName>
    <definedName name="_________SET2">#REF!</definedName>
    <definedName name="_________SYN1" localSheetId="18">#REF!</definedName>
    <definedName name="_________SYN1" localSheetId="25">#REF!</definedName>
    <definedName name="_________SYN1" localSheetId="29">#REF!</definedName>
    <definedName name="_________SYN1" localSheetId="31">#REF!</definedName>
    <definedName name="_________SYN1" localSheetId="15">#REF!</definedName>
    <definedName name="_________SYN1" localSheetId="13">#REF!</definedName>
    <definedName name="_________SYN1" localSheetId="17">#REF!</definedName>
    <definedName name="_________SYN1" localSheetId="12">#REF!</definedName>
    <definedName name="_________SYN1" localSheetId="22">#REF!</definedName>
    <definedName name="_________SYN1" localSheetId="28">#REF!</definedName>
    <definedName name="_________SYN1" localSheetId="35">#REF!</definedName>
    <definedName name="_________SYN1">#REF!</definedName>
    <definedName name="_________SYN2" localSheetId="18">#REF!</definedName>
    <definedName name="_________SYN2" localSheetId="25">#REF!</definedName>
    <definedName name="_________SYN2" localSheetId="29">#REF!</definedName>
    <definedName name="_________SYN2" localSheetId="31">#REF!</definedName>
    <definedName name="_________SYN2" localSheetId="15">#REF!</definedName>
    <definedName name="_________SYN2" localSheetId="13">#REF!</definedName>
    <definedName name="_________SYN2" localSheetId="17">#REF!</definedName>
    <definedName name="_________SYN2" localSheetId="12">#REF!</definedName>
    <definedName name="_________SYN2" localSheetId="22">#REF!</definedName>
    <definedName name="_________SYN2" localSheetId="28">#REF!</definedName>
    <definedName name="_________SYN2" localSheetId="35">#REF!</definedName>
    <definedName name="_________SYN2">#REF!</definedName>
    <definedName name="_________TAE2001">#N/A</definedName>
    <definedName name="_________TAE2002">#N/A</definedName>
    <definedName name="_________UNI1999" localSheetId="18">#REF!</definedName>
    <definedName name="_________UNI1999" localSheetId="25">#REF!</definedName>
    <definedName name="_________UNI1999" localSheetId="29">#REF!</definedName>
    <definedName name="_________UNI1999" localSheetId="31">#REF!</definedName>
    <definedName name="_________UNI1999" localSheetId="15">#REF!</definedName>
    <definedName name="_________UNI1999" localSheetId="13">#REF!</definedName>
    <definedName name="_________UNI1999" localSheetId="17">#REF!</definedName>
    <definedName name="_________UNI1999" localSheetId="12">#REF!</definedName>
    <definedName name="_________UNI1999" localSheetId="22">#REF!</definedName>
    <definedName name="_________UNI1999" localSheetId="28">#REF!</definedName>
    <definedName name="_________UNI1999" localSheetId="35">#REF!</definedName>
    <definedName name="_________UNI1999">#REF!</definedName>
    <definedName name="_________UNI2000" localSheetId="18">#REF!</definedName>
    <definedName name="_________UNI2000" localSheetId="25">#REF!</definedName>
    <definedName name="_________UNI2000" localSheetId="29">#REF!</definedName>
    <definedName name="_________UNI2000" localSheetId="31">#REF!</definedName>
    <definedName name="_________UNI2000" localSheetId="15">#REF!</definedName>
    <definedName name="_________UNI2000" localSheetId="13">#REF!</definedName>
    <definedName name="_________UNI2000" localSheetId="17">#REF!</definedName>
    <definedName name="_________UNI2000" localSheetId="12">#REF!</definedName>
    <definedName name="_________UNI2000" localSheetId="22">#REF!</definedName>
    <definedName name="_________UNI2000" localSheetId="28">#REF!</definedName>
    <definedName name="_________UNI2000" localSheetId="35">#REF!</definedName>
    <definedName name="_________UNI2000">#REF!</definedName>
    <definedName name="_________UNI2001" localSheetId="18">#REF!</definedName>
    <definedName name="_________UNI2001" localSheetId="25">#REF!</definedName>
    <definedName name="_________UNI2001" localSheetId="29">#REF!</definedName>
    <definedName name="_________UNI2001" localSheetId="31">#REF!</definedName>
    <definedName name="_________UNI2001" localSheetId="15">#REF!</definedName>
    <definedName name="_________UNI2001" localSheetId="13">#REF!</definedName>
    <definedName name="_________UNI2001" localSheetId="17">#REF!</definedName>
    <definedName name="_________UNI2001" localSheetId="12">#REF!</definedName>
    <definedName name="_________UNI2001" localSheetId="22">#REF!</definedName>
    <definedName name="_________UNI2001" localSheetId="28">#REF!</definedName>
    <definedName name="_________UNI2001" localSheetId="35">#REF!</definedName>
    <definedName name="_________UNI2001">#REF!</definedName>
    <definedName name="_________vb100" localSheetId="18">#REF!</definedName>
    <definedName name="_________vb100" localSheetId="25">#REF!</definedName>
    <definedName name="_________vb100" localSheetId="29">#REF!</definedName>
    <definedName name="_________vb100" localSheetId="31">#REF!</definedName>
    <definedName name="_________vb100" localSheetId="15">#REF!</definedName>
    <definedName name="_________vb100" localSheetId="13">#REF!</definedName>
    <definedName name="_________vb100" localSheetId="17">#REF!</definedName>
    <definedName name="_________vb100" localSheetId="12">#REF!</definedName>
    <definedName name="_________vb100" localSheetId="22">#REF!</definedName>
    <definedName name="_________vb100" localSheetId="28">#REF!</definedName>
    <definedName name="_________vb100" localSheetId="35">#REF!</definedName>
    <definedName name="_________vb100">#REF!</definedName>
    <definedName name="_________YR1">#N/A</definedName>
    <definedName name="_________YR2">#N/A</definedName>
    <definedName name="_________YR3">#N/A</definedName>
    <definedName name="_________YR4">#N/A</definedName>
    <definedName name="________1BudgetPôleFixe03" localSheetId="18">#REF!</definedName>
    <definedName name="________1BudgetPôleFixe03" localSheetId="25">#REF!</definedName>
    <definedName name="________1BudgetPôleFixe03" localSheetId="29">#REF!</definedName>
    <definedName name="________1BudgetPôleFixe03" localSheetId="31">#REF!</definedName>
    <definedName name="________1BudgetPôleFixe03" localSheetId="15">#REF!</definedName>
    <definedName name="________1BudgetPôleFixe03" localSheetId="13">#REF!</definedName>
    <definedName name="________1BudgetPôleFixe03" localSheetId="17">#REF!</definedName>
    <definedName name="________1BudgetPôleFixe03" localSheetId="12">#REF!</definedName>
    <definedName name="________1BudgetPôleFixe03" localSheetId="22">#REF!</definedName>
    <definedName name="________1BudgetPôleFixe03" localSheetId="28">#REF!</definedName>
    <definedName name="________1BudgetPôleFixe03" localSheetId="35">#REF!</definedName>
    <definedName name="________1BudgetPôleFixe03">#REF!</definedName>
    <definedName name="________aaa1" localSheetId="18">#REF!</definedName>
    <definedName name="________aaa1" localSheetId="25">#REF!</definedName>
    <definedName name="________aaa1" localSheetId="29">#REF!</definedName>
    <definedName name="________aaa1" localSheetId="31">#REF!</definedName>
    <definedName name="________aaa1" localSheetId="15">#REF!</definedName>
    <definedName name="________aaa1" localSheetId="13">#REF!</definedName>
    <definedName name="________aaa1" localSheetId="17">#REF!</definedName>
    <definedName name="________aaa1" localSheetId="12">#REF!</definedName>
    <definedName name="________aaa1" localSheetId="22">#REF!</definedName>
    <definedName name="________aaa1" localSheetId="28">#REF!</definedName>
    <definedName name="________aaa1" localSheetId="35">#REF!</definedName>
    <definedName name="________aaa1">#REF!</definedName>
    <definedName name="________aaa2" localSheetId="18">#REF!</definedName>
    <definedName name="________aaa2" localSheetId="25">#REF!</definedName>
    <definedName name="________aaa2" localSheetId="29">#REF!</definedName>
    <definedName name="________aaa2" localSheetId="31">#REF!</definedName>
    <definedName name="________aaa2" localSheetId="15">#REF!</definedName>
    <definedName name="________aaa2" localSheetId="13">#REF!</definedName>
    <definedName name="________aaa2" localSheetId="17">#REF!</definedName>
    <definedName name="________aaa2" localSheetId="12">#REF!</definedName>
    <definedName name="________aaa2" localSheetId="22">#REF!</definedName>
    <definedName name="________aaa2" localSheetId="28">#REF!</definedName>
    <definedName name="________aaa2" localSheetId="35">#REF!</definedName>
    <definedName name="________aaa2">#REF!</definedName>
    <definedName name="________aaa3" localSheetId="18">#REF!</definedName>
    <definedName name="________aaa3" localSheetId="25">#REF!</definedName>
    <definedName name="________aaa3" localSheetId="29">#REF!</definedName>
    <definedName name="________aaa3" localSheetId="31">#REF!</definedName>
    <definedName name="________aaa3" localSheetId="15">#REF!</definedName>
    <definedName name="________aaa3" localSheetId="13">#REF!</definedName>
    <definedName name="________aaa3" localSheetId="17">#REF!</definedName>
    <definedName name="________aaa3" localSheetId="12">#REF!</definedName>
    <definedName name="________aaa3" localSheetId="22">#REF!</definedName>
    <definedName name="________aaa3" localSheetId="28">#REF!</definedName>
    <definedName name="________aaa3" localSheetId="35">#REF!</definedName>
    <definedName name="________aaa3">#REF!</definedName>
    <definedName name="________aaa4" localSheetId="18">#REF!</definedName>
    <definedName name="________aaa4" localSheetId="25">#REF!</definedName>
    <definedName name="________aaa4" localSheetId="29">#REF!</definedName>
    <definedName name="________aaa4" localSheetId="31">#REF!</definedName>
    <definedName name="________aaa4" localSheetId="15">#REF!</definedName>
    <definedName name="________aaa4" localSheetId="13">#REF!</definedName>
    <definedName name="________aaa4" localSheetId="17">#REF!</definedName>
    <definedName name="________aaa4" localSheetId="12">#REF!</definedName>
    <definedName name="________aaa4" localSheetId="22">#REF!</definedName>
    <definedName name="________aaa4" localSheetId="28">#REF!</definedName>
    <definedName name="________aaa4" localSheetId="35">#REF!</definedName>
    <definedName name="________aaa4">#REF!</definedName>
    <definedName name="________aaa5" localSheetId="18">#REF!</definedName>
    <definedName name="________aaa5" localSheetId="25">#REF!</definedName>
    <definedName name="________aaa5" localSheetId="29">#REF!</definedName>
    <definedName name="________aaa5" localSheetId="31">#REF!</definedName>
    <definedName name="________aaa5" localSheetId="15">#REF!</definedName>
    <definedName name="________aaa5" localSheetId="13">#REF!</definedName>
    <definedName name="________aaa5" localSheetId="17">#REF!</definedName>
    <definedName name="________aaa5" localSheetId="12">#REF!</definedName>
    <definedName name="________aaa5" localSheetId="22">#REF!</definedName>
    <definedName name="________aaa5" localSheetId="28">#REF!</definedName>
    <definedName name="________aaa5" localSheetId="35">#REF!</definedName>
    <definedName name="________aaa5">#REF!</definedName>
    <definedName name="________aaa6" localSheetId="18">#REF!</definedName>
    <definedName name="________aaa6" localSheetId="25">#REF!</definedName>
    <definedName name="________aaa6" localSheetId="29">#REF!</definedName>
    <definedName name="________aaa6" localSheetId="31">#REF!</definedName>
    <definedName name="________aaa6" localSheetId="15">#REF!</definedName>
    <definedName name="________aaa6" localSheetId="13">#REF!</definedName>
    <definedName name="________aaa6" localSheetId="17">#REF!</definedName>
    <definedName name="________aaa6" localSheetId="12">#REF!</definedName>
    <definedName name="________aaa6" localSheetId="22">#REF!</definedName>
    <definedName name="________aaa6" localSheetId="28">#REF!</definedName>
    <definedName name="________aaa6" localSheetId="35">#REF!</definedName>
    <definedName name="________aaa6">#REF!</definedName>
    <definedName name="________aaa7" localSheetId="18">#REF!</definedName>
    <definedName name="________aaa7" localSheetId="25">#REF!</definedName>
    <definedName name="________aaa7" localSheetId="29">#REF!</definedName>
    <definedName name="________aaa7" localSheetId="31">#REF!</definedName>
    <definedName name="________aaa7" localSheetId="15">#REF!</definedName>
    <definedName name="________aaa7" localSheetId="13">#REF!</definedName>
    <definedName name="________aaa7" localSheetId="17">#REF!</definedName>
    <definedName name="________aaa7" localSheetId="12">#REF!</definedName>
    <definedName name="________aaa7" localSheetId="22">#REF!</definedName>
    <definedName name="________aaa7" localSheetId="28">#REF!</definedName>
    <definedName name="________aaa7" localSheetId="35">#REF!</definedName>
    <definedName name="________aaa7">#REF!</definedName>
    <definedName name="________aaa8" localSheetId="18">#REF!</definedName>
    <definedName name="________aaa8" localSheetId="25">#REF!</definedName>
    <definedName name="________aaa8" localSheetId="29">#REF!</definedName>
    <definedName name="________aaa8" localSheetId="31">#REF!</definedName>
    <definedName name="________aaa8" localSheetId="15">#REF!</definedName>
    <definedName name="________aaa8" localSheetId="13">#REF!</definedName>
    <definedName name="________aaa8" localSheetId="17">#REF!</definedName>
    <definedName name="________aaa8" localSheetId="12">#REF!</definedName>
    <definedName name="________aaa8" localSheetId="22">#REF!</definedName>
    <definedName name="________aaa8" localSheetId="28">#REF!</definedName>
    <definedName name="________aaa8" localSheetId="35">#REF!</definedName>
    <definedName name="________aaa8">#REF!</definedName>
    <definedName name="________B1">#N/A</definedName>
    <definedName name="________bbb1">#N/A</definedName>
    <definedName name="________c20041" localSheetId="18">#REF!</definedName>
    <definedName name="________c20041" localSheetId="25">#REF!</definedName>
    <definedName name="________c20041" localSheetId="29">#REF!</definedName>
    <definedName name="________c20041" localSheetId="31">#REF!</definedName>
    <definedName name="________c20041" localSheetId="15">#REF!</definedName>
    <definedName name="________c20041" localSheetId="13">#REF!</definedName>
    <definedName name="________c20041" localSheetId="17">#REF!</definedName>
    <definedName name="________c20041" localSheetId="12">#REF!</definedName>
    <definedName name="________c20041" localSheetId="22">#REF!</definedName>
    <definedName name="________c20041" localSheetId="28">#REF!</definedName>
    <definedName name="________c20041" localSheetId="35">#REF!</definedName>
    <definedName name="________c20041">#REF!</definedName>
    <definedName name="________DAT1">#N/A</definedName>
    <definedName name="________DAT10">#N/A</definedName>
    <definedName name="________DAT11">#N/A</definedName>
    <definedName name="________DAT12">#N/A</definedName>
    <definedName name="________DAT13">#N/A</definedName>
    <definedName name="________DAT14">#N/A</definedName>
    <definedName name="________DAT15">#N/A</definedName>
    <definedName name="________DAT16">#N/A</definedName>
    <definedName name="________DAT17">#N/A</definedName>
    <definedName name="________DAT18">#N/A</definedName>
    <definedName name="________DAT19">#N/A</definedName>
    <definedName name="________DAT2">#N/A</definedName>
    <definedName name="________DAT3">#N/A</definedName>
    <definedName name="________DAT4">#N/A</definedName>
    <definedName name="________DAT5">#N/A</definedName>
    <definedName name="________DAT6">#N/A</definedName>
    <definedName name="________DAT7">#N/A</definedName>
    <definedName name="________DAT8">#N/A</definedName>
    <definedName name="________DAT9">#N/A</definedName>
    <definedName name="________eng2">#N/A</definedName>
    <definedName name="________eng3" localSheetId="18">[6]!________eng3</definedName>
    <definedName name="________eng3" localSheetId="25">[6]!________eng3</definedName>
    <definedName name="________eng3" localSheetId="29">[6]!________eng3</definedName>
    <definedName name="________eng3" localSheetId="31">[6]!________eng3</definedName>
    <definedName name="________eng3" localSheetId="15">[6]!________eng3</definedName>
    <definedName name="________eng3" localSheetId="13">[6]!________eng3</definedName>
    <definedName name="________eng3" localSheetId="19">[7]!________eng3</definedName>
    <definedName name="________eng3" localSheetId="17">[6]!________eng3</definedName>
    <definedName name="________eng3" localSheetId="12">[6]!________eng3</definedName>
    <definedName name="________eng3" localSheetId="22">[8]!________eng3</definedName>
    <definedName name="________eng3">[6]!________eng3</definedName>
    <definedName name="________eng4">#N/A</definedName>
    <definedName name="________ess1" localSheetId="18">#REF!</definedName>
    <definedName name="________ess1" localSheetId="25">#REF!</definedName>
    <definedName name="________ess1" localSheetId="29">#REF!</definedName>
    <definedName name="________ess1" localSheetId="31">#REF!</definedName>
    <definedName name="________ess1" localSheetId="15">#REF!</definedName>
    <definedName name="________ess1" localSheetId="13">#REF!</definedName>
    <definedName name="________ess1" localSheetId="17">#REF!</definedName>
    <definedName name="________ess1" localSheetId="12">#REF!</definedName>
    <definedName name="________ess1" localSheetId="22">#REF!</definedName>
    <definedName name="________ess1" localSheetId="28">#REF!</definedName>
    <definedName name="________ess1" localSheetId="35">#REF!</definedName>
    <definedName name="________ess1">#REF!</definedName>
    <definedName name="________FRF4">'[4]FX Rates'!$G$10</definedName>
    <definedName name="________FRU2003" localSheetId="18">#REF!</definedName>
    <definedName name="________FRU2003" localSheetId="25">#REF!</definedName>
    <definedName name="________FRU2003" localSheetId="29">#REF!</definedName>
    <definedName name="________FRU2003" localSheetId="31">#REF!</definedName>
    <definedName name="________FRU2003" localSheetId="15">#REF!</definedName>
    <definedName name="________FRU2003" localSheetId="13">#REF!</definedName>
    <definedName name="________FRU2003" localSheetId="17">#REF!</definedName>
    <definedName name="________FRU2003" localSheetId="12">#REF!</definedName>
    <definedName name="________FRU2003" localSheetId="22">#REF!</definedName>
    <definedName name="________FRU2003" localSheetId="28">#REF!</definedName>
    <definedName name="________FRU2003" localSheetId="35">#REF!</definedName>
    <definedName name="________FRU2003">#REF!</definedName>
    <definedName name="________GBP4">'[4]FX Rates'!$G$9</definedName>
    <definedName name="________mar1">#N/A</definedName>
    <definedName name="________OUJ2">#N/A</definedName>
    <definedName name="________pg1" localSheetId="18">#REF!</definedName>
    <definedName name="________pg1" localSheetId="25">#REF!</definedName>
    <definedName name="________pg1" localSheetId="29">#REF!</definedName>
    <definedName name="________pg1" localSheetId="31">#REF!</definedName>
    <definedName name="________pg1" localSheetId="15">#REF!</definedName>
    <definedName name="________pg1" localSheetId="13">#REF!</definedName>
    <definedName name="________pg1" localSheetId="17">#REF!</definedName>
    <definedName name="________pg1" localSheetId="12">#REF!</definedName>
    <definedName name="________pg1" localSheetId="22">#REF!</definedName>
    <definedName name="________pg1" localSheetId="28">#REF!</definedName>
    <definedName name="________pg1" localSheetId="35">#REF!</definedName>
    <definedName name="________pg1">#REF!</definedName>
    <definedName name="________pg2" localSheetId="18">#REF!</definedName>
    <definedName name="________pg2" localSheetId="25">#REF!</definedName>
    <definedName name="________pg2" localSheetId="29">#REF!</definedName>
    <definedName name="________pg2" localSheetId="31">#REF!</definedName>
    <definedName name="________pg2" localSheetId="15">#REF!</definedName>
    <definedName name="________pg2" localSheetId="13">#REF!</definedName>
    <definedName name="________pg2" localSheetId="17">#REF!</definedName>
    <definedName name="________pg2" localSheetId="12">#REF!</definedName>
    <definedName name="________pg2" localSheetId="22">#REF!</definedName>
    <definedName name="________pg2" localSheetId="28">#REF!</definedName>
    <definedName name="________pg2" localSheetId="35">#REF!</definedName>
    <definedName name="________pg2">#REF!</definedName>
    <definedName name="________R" localSheetId="18">#REF!</definedName>
    <definedName name="________R" localSheetId="25">#REF!</definedName>
    <definedName name="________R" localSheetId="29">#REF!</definedName>
    <definedName name="________R" localSheetId="31">#REF!</definedName>
    <definedName name="________R" localSheetId="15">#REF!</definedName>
    <definedName name="________R" localSheetId="13">#REF!</definedName>
    <definedName name="________R" localSheetId="17">#REF!</definedName>
    <definedName name="________R" localSheetId="12">#REF!</definedName>
    <definedName name="________R" localSheetId="22">#REF!</definedName>
    <definedName name="________R" localSheetId="28">#REF!</definedName>
    <definedName name="________R" localSheetId="35">#REF!</definedName>
    <definedName name="________R">#REF!</definedName>
    <definedName name="________R2000ssta" localSheetId="18">#REF!</definedName>
    <definedName name="________R2000ssta" localSheetId="25">#REF!</definedName>
    <definedName name="________R2000ssta" localSheetId="29">#REF!</definedName>
    <definedName name="________R2000ssta" localSheetId="31">#REF!</definedName>
    <definedName name="________R2000ssta" localSheetId="15">#REF!</definedName>
    <definedName name="________R2000ssta" localSheetId="13">#REF!</definedName>
    <definedName name="________R2000ssta" localSheetId="17">#REF!</definedName>
    <definedName name="________R2000ssta" localSheetId="12">#REF!</definedName>
    <definedName name="________R2000ssta" localSheetId="22">#REF!</definedName>
    <definedName name="________R2000ssta" localSheetId="28">#REF!</definedName>
    <definedName name="________R2000ssta" localSheetId="35">#REF!</definedName>
    <definedName name="________R2000ssta">#REF!</definedName>
    <definedName name="________R2000ssta___0">#N/A</definedName>
    <definedName name="________R2000ssta___12">#N/A</definedName>
    <definedName name="________R2000ssta___14">#N/A</definedName>
    <definedName name="________R2000ssta___16">#N/A</definedName>
    <definedName name="________R2000ssta___27">#N/A</definedName>
    <definedName name="________R2000ssta___5">#N/A</definedName>
    <definedName name="________SC16" localSheetId="18">#REF!</definedName>
    <definedName name="________SC16" localSheetId="25">#REF!</definedName>
    <definedName name="________SC16" localSheetId="29">#REF!</definedName>
    <definedName name="________SC16" localSheetId="31">#REF!</definedName>
    <definedName name="________SC16" localSheetId="15">#REF!</definedName>
    <definedName name="________SC16" localSheetId="13">#REF!</definedName>
    <definedName name="________SC16" localSheetId="17">#REF!</definedName>
    <definedName name="________SC16" localSheetId="12">#REF!</definedName>
    <definedName name="________SC16" localSheetId="22">#REF!</definedName>
    <definedName name="________SC16" localSheetId="28">#REF!</definedName>
    <definedName name="________SC16" localSheetId="35">#REF!</definedName>
    <definedName name="________SC16">#REF!</definedName>
    <definedName name="________SET2" localSheetId="18">#REF!</definedName>
    <definedName name="________SET2" localSheetId="25">#REF!</definedName>
    <definedName name="________SET2" localSheetId="29">#REF!</definedName>
    <definedName name="________SET2" localSheetId="31">#REF!</definedName>
    <definedName name="________SET2" localSheetId="15">#REF!</definedName>
    <definedName name="________SET2" localSheetId="13">#REF!</definedName>
    <definedName name="________SET2" localSheetId="17">#REF!</definedName>
    <definedName name="________SET2" localSheetId="12">#REF!</definedName>
    <definedName name="________SET2" localSheetId="22">#REF!</definedName>
    <definedName name="________SET2" localSheetId="28">#REF!</definedName>
    <definedName name="________SET2" localSheetId="35">#REF!</definedName>
    <definedName name="________SET2">#REF!</definedName>
    <definedName name="________SYN1" localSheetId="18">#REF!</definedName>
    <definedName name="________SYN1" localSheetId="25">#REF!</definedName>
    <definedName name="________SYN1" localSheetId="29">#REF!</definedName>
    <definedName name="________SYN1" localSheetId="31">#REF!</definedName>
    <definedName name="________SYN1" localSheetId="15">#REF!</definedName>
    <definedName name="________SYN1" localSheetId="13">#REF!</definedName>
    <definedName name="________SYN1" localSheetId="17">#REF!</definedName>
    <definedName name="________SYN1" localSheetId="12">#REF!</definedName>
    <definedName name="________SYN1" localSheetId="22">#REF!</definedName>
    <definedName name="________SYN1" localSheetId="28">#REF!</definedName>
    <definedName name="________SYN1" localSheetId="35">#REF!</definedName>
    <definedName name="________SYN1">#REF!</definedName>
    <definedName name="________SYN2" localSheetId="18">#REF!</definedName>
    <definedName name="________SYN2" localSheetId="25">#REF!</definedName>
    <definedName name="________SYN2" localSheetId="29">#REF!</definedName>
    <definedName name="________SYN2" localSheetId="31">#REF!</definedName>
    <definedName name="________SYN2" localSheetId="15">#REF!</definedName>
    <definedName name="________SYN2" localSheetId="13">#REF!</definedName>
    <definedName name="________SYN2" localSheetId="17">#REF!</definedName>
    <definedName name="________SYN2" localSheetId="12">#REF!</definedName>
    <definedName name="________SYN2" localSheetId="22">#REF!</definedName>
    <definedName name="________SYN2" localSheetId="28">#REF!</definedName>
    <definedName name="________SYN2" localSheetId="35">#REF!</definedName>
    <definedName name="________SYN2">#REF!</definedName>
    <definedName name="________TAE2001">#N/A</definedName>
    <definedName name="________TAE2002">#N/A</definedName>
    <definedName name="________UNI1999" localSheetId="18">#REF!</definedName>
    <definedName name="________UNI1999" localSheetId="25">#REF!</definedName>
    <definedName name="________UNI1999" localSheetId="29">#REF!</definedName>
    <definedName name="________UNI1999" localSheetId="31">#REF!</definedName>
    <definedName name="________UNI1999" localSheetId="15">#REF!</definedName>
    <definedName name="________UNI1999" localSheetId="13">#REF!</definedName>
    <definedName name="________UNI1999" localSheetId="17">#REF!</definedName>
    <definedName name="________UNI1999" localSheetId="12">#REF!</definedName>
    <definedName name="________UNI1999" localSheetId="22">#REF!</definedName>
    <definedName name="________UNI1999" localSheetId="28">#REF!</definedName>
    <definedName name="________UNI1999" localSheetId="35">#REF!</definedName>
    <definedName name="________UNI1999">#REF!</definedName>
    <definedName name="________UNI2000" localSheetId="18">#REF!</definedName>
    <definedName name="________UNI2000" localSheetId="25">#REF!</definedName>
    <definedName name="________UNI2000" localSheetId="29">#REF!</definedName>
    <definedName name="________UNI2000" localSheetId="31">#REF!</definedName>
    <definedName name="________UNI2000" localSheetId="15">#REF!</definedName>
    <definedName name="________UNI2000" localSheetId="13">#REF!</definedName>
    <definedName name="________UNI2000" localSheetId="17">#REF!</definedName>
    <definedName name="________UNI2000" localSheetId="12">#REF!</definedName>
    <definedName name="________UNI2000" localSheetId="22">#REF!</definedName>
    <definedName name="________UNI2000" localSheetId="28">#REF!</definedName>
    <definedName name="________UNI2000" localSheetId="35">#REF!</definedName>
    <definedName name="________UNI2000">#REF!</definedName>
    <definedName name="________UNI2001" localSheetId="18">#REF!</definedName>
    <definedName name="________UNI2001" localSheetId="25">#REF!</definedName>
    <definedName name="________UNI2001" localSheetId="29">#REF!</definedName>
    <definedName name="________UNI2001" localSheetId="31">#REF!</definedName>
    <definedName name="________UNI2001" localSheetId="15">#REF!</definedName>
    <definedName name="________UNI2001" localSheetId="13">#REF!</definedName>
    <definedName name="________UNI2001" localSheetId="17">#REF!</definedName>
    <definedName name="________UNI2001" localSheetId="12">#REF!</definedName>
    <definedName name="________UNI2001" localSheetId="22">#REF!</definedName>
    <definedName name="________UNI2001" localSheetId="28">#REF!</definedName>
    <definedName name="________UNI2001" localSheetId="35">#REF!</definedName>
    <definedName name="________UNI2001">#REF!</definedName>
    <definedName name="________vb100" localSheetId="18">#REF!</definedName>
    <definedName name="________vb100" localSheetId="25">#REF!</definedName>
    <definedName name="________vb100" localSheetId="29">#REF!</definedName>
    <definedName name="________vb100" localSheetId="31">#REF!</definedName>
    <definedName name="________vb100" localSheetId="15">#REF!</definedName>
    <definedName name="________vb100" localSheetId="13">#REF!</definedName>
    <definedName name="________vb100" localSheetId="17">#REF!</definedName>
    <definedName name="________vb100" localSheetId="12">#REF!</definedName>
    <definedName name="________vb100" localSheetId="22">#REF!</definedName>
    <definedName name="________vb100" localSheetId="28">#REF!</definedName>
    <definedName name="________vb100" localSheetId="35">#REF!</definedName>
    <definedName name="________vb100">#REF!</definedName>
    <definedName name="________YR1">#N/A</definedName>
    <definedName name="________YR2">#N/A</definedName>
    <definedName name="________YR3">#N/A</definedName>
    <definedName name="________YR4">#N/A</definedName>
    <definedName name="_______1Budget_PAF_03">[13]Bud_OPEX_Analytique_DAL_04!$A$6:$R$44</definedName>
    <definedName name="_______1BudgetPôleFixe03" localSheetId="18">#REF!</definedName>
    <definedName name="_______1BudgetPôleFixe03" localSheetId="25">#REF!</definedName>
    <definedName name="_______1BudgetPôleFixe03" localSheetId="29">#REF!</definedName>
    <definedName name="_______1BudgetPôleFixe03" localSheetId="31">#REF!</definedName>
    <definedName name="_______1BudgetPôleFixe03" localSheetId="15">#REF!</definedName>
    <definedName name="_______1BudgetPôleFixe03" localSheetId="13">#REF!</definedName>
    <definedName name="_______1BudgetPôleFixe03" localSheetId="17">#REF!</definedName>
    <definedName name="_______1BudgetPôleFixe03" localSheetId="12">#REF!</definedName>
    <definedName name="_______1BudgetPôleFixe03" localSheetId="22">#REF!</definedName>
    <definedName name="_______1BudgetPôleFixe03" localSheetId="28">#REF!</definedName>
    <definedName name="_______1BudgetPôleFixe03" localSheetId="35">#REF!</definedName>
    <definedName name="_______1BudgetPôleFixe03">#REF!</definedName>
    <definedName name="_______aaa1" localSheetId="18">#REF!</definedName>
    <definedName name="_______aaa1" localSheetId="25">#REF!</definedName>
    <definedName name="_______aaa1" localSheetId="29">#REF!</definedName>
    <definedName name="_______aaa1" localSheetId="31">#REF!</definedName>
    <definedName name="_______aaa1" localSheetId="15">#REF!</definedName>
    <definedName name="_______aaa1" localSheetId="13">#REF!</definedName>
    <definedName name="_______aaa1" localSheetId="17">#REF!</definedName>
    <definedName name="_______aaa1" localSheetId="12">#REF!</definedName>
    <definedName name="_______aaa1" localSheetId="22">#REF!</definedName>
    <definedName name="_______aaa1" localSheetId="28">#REF!</definedName>
    <definedName name="_______aaa1" localSheetId="35">#REF!</definedName>
    <definedName name="_______aaa1">#REF!</definedName>
    <definedName name="_______aaa2" localSheetId="18">#REF!</definedName>
    <definedName name="_______aaa2" localSheetId="25">#REF!</definedName>
    <definedName name="_______aaa2" localSheetId="29">#REF!</definedName>
    <definedName name="_______aaa2" localSheetId="31">#REF!</definedName>
    <definedName name="_______aaa2" localSheetId="15">#REF!</definedName>
    <definedName name="_______aaa2" localSheetId="13">#REF!</definedName>
    <definedName name="_______aaa2" localSheetId="17">#REF!</definedName>
    <definedName name="_______aaa2" localSheetId="12">#REF!</definedName>
    <definedName name="_______aaa2" localSheetId="22">#REF!</definedName>
    <definedName name="_______aaa2" localSheetId="28">#REF!</definedName>
    <definedName name="_______aaa2" localSheetId="35">#REF!</definedName>
    <definedName name="_______aaa2">#REF!</definedName>
    <definedName name="_______aaa3" localSheetId="18">#REF!</definedName>
    <definedName name="_______aaa3" localSheetId="25">#REF!</definedName>
    <definedName name="_______aaa3" localSheetId="29">#REF!</definedName>
    <definedName name="_______aaa3" localSheetId="31">#REF!</definedName>
    <definedName name="_______aaa3" localSheetId="15">#REF!</definedName>
    <definedName name="_______aaa3" localSheetId="13">#REF!</definedName>
    <definedName name="_______aaa3" localSheetId="17">#REF!</definedName>
    <definedName name="_______aaa3" localSheetId="12">#REF!</definedName>
    <definedName name="_______aaa3" localSheetId="22">#REF!</definedName>
    <definedName name="_______aaa3" localSheetId="28">#REF!</definedName>
    <definedName name="_______aaa3" localSheetId="35">#REF!</definedName>
    <definedName name="_______aaa3">#REF!</definedName>
    <definedName name="_______aaa4" localSheetId="18">#REF!</definedName>
    <definedName name="_______aaa4" localSheetId="25">#REF!</definedName>
    <definedName name="_______aaa4" localSheetId="29">#REF!</definedName>
    <definedName name="_______aaa4" localSheetId="31">#REF!</definedName>
    <definedName name="_______aaa4" localSheetId="15">#REF!</definedName>
    <definedName name="_______aaa4" localSheetId="13">#REF!</definedName>
    <definedName name="_______aaa4" localSheetId="17">#REF!</definedName>
    <definedName name="_______aaa4" localSheetId="12">#REF!</definedName>
    <definedName name="_______aaa4" localSheetId="22">#REF!</definedName>
    <definedName name="_______aaa4" localSheetId="28">#REF!</definedName>
    <definedName name="_______aaa4" localSheetId="35">#REF!</definedName>
    <definedName name="_______aaa4">#REF!</definedName>
    <definedName name="_______aaa5" localSheetId="18">#REF!</definedName>
    <definedName name="_______aaa5" localSheetId="25">#REF!</definedName>
    <definedName name="_______aaa5" localSheetId="29">#REF!</definedName>
    <definedName name="_______aaa5" localSheetId="31">#REF!</definedName>
    <definedName name="_______aaa5" localSheetId="15">#REF!</definedName>
    <definedName name="_______aaa5" localSheetId="13">#REF!</definedName>
    <definedName name="_______aaa5" localSheetId="17">#REF!</definedName>
    <definedName name="_______aaa5" localSheetId="12">#REF!</definedName>
    <definedName name="_______aaa5" localSheetId="22">#REF!</definedName>
    <definedName name="_______aaa5" localSheetId="28">#REF!</definedName>
    <definedName name="_______aaa5" localSheetId="35">#REF!</definedName>
    <definedName name="_______aaa5">#REF!</definedName>
    <definedName name="_______aaa6" localSheetId="18">#REF!</definedName>
    <definedName name="_______aaa6" localSheetId="25">#REF!</definedName>
    <definedName name="_______aaa6" localSheetId="29">#REF!</definedName>
    <definedName name="_______aaa6" localSheetId="31">#REF!</definedName>
    <definedName name="_______aaa6" localSheetId="15">#REF!</definedName>
    <definedName name="_______aaa6" localSheetId="13">#REF!</definedName>
    <definedName name="_______aaa6" localSheetId="17">#REF!</definedName>
    <definedName name="_______aaa6" localSheetId="12">#REF!</definedName>
    <definedName name="_______aaa6" localSheetId="22">#REF!</definedName>
    <definedName name="_______aaa6" localSheetId="28">#REF!</definedName>
    <definedName name="_______aaa6" localSheetId="35">#REF!</definedName>
    <definedName name="_______aaa6">#REF!</definedName>
    <definedName name="_______aaa7" localSheetId="18">#REF!</definedName>
    <definedName name="_______aaa7" localSheetId="25">#REF!</definedName>
    <definedName name="_______aaa7" localSheetId="29">#REF!</definedName>
    <definedName name="_______aaa7" localSheetId="31">#REF!</definedName>
    <definedName name="_______aaa7" localSheetId="15">#REF!</definedName>
    <definedName name="_______aaa7" localSheetId="13">#REF!</definedName>
    <definedName name="_______aaa7" localSheetId="17">#REF!</definedName>
    <definedName name="_______aaa7" localSheetId="12">#REF!</definedName>
    <definedName name="_______aaa7" localSheetId="22">#REF!</definedName>
    <definedName name="_______aaa7" localSheetId="28">#REF!</definedName>
    <definedName name="_______aaa7" localSheetId="35">#REF!</definedName>
    <definedName name="_______aaa7">#REF!</definedName>
    <definedName name="_______aaa8" localSheetId="18">#REF!</definedName>
    <definedName name="_______aaa8" localSheetId="25">#REF!</definedName>
    <definedName name="_______aaa8" localSheetId="29">#REF!</definedName>
    <definedName name="_______aaa8" localSheetId="31">#REF!</definedName>
    <definedName name="_______aaa8" localSheetId="15">#REF!</definedName>
    <definedName name="_______aaa8" localSheetId="13">#REF!</definedName>
    <definedName name="_______aaa8" localSheetId="17">#REF!</definedName>
    <definedName name="_______aaa8" localSheetId="12">#REF!</definedName>
    <definedName name="_______aaa8" localSheetId="22">#REF!</definedName>
    <definedName name="_______aaa8" localSheetId="28">#REF!</definedName>
    <definedName name="_______aaa8" localSheetId="35">#REF!</definedName>
    <definedName name="_______aaa8">#REF!</definedName>
    <definedName name="_______B1">#N/A</definedName>
    <definedName name="_______bbb1">#N/A</definedName>
    <definedName name="_______c20041" localSheetId="18">#REF!</definedName>
    <definedName name="_______c20041" localSheetId="25">#REF!</definedName>
    <definedName name="_______c20041" localSheetId="29">#REF!</definedName>
    <definedName name="_______c20041" localSheetId="31">#REF!</definedName>
    <definedName name="_______c20041" localSheetId="15">#REF!</definedName>
    <definedName name="_______c20041" localSheetId="13">#REF!</definedName>
    <definedName name="_______c20041" localSheetId="17">#REF!</definedName>
    <definedName name="_______c20041" localSheetId="12">#REF!</definedName>
    <definedName name="_______c20041" localSheetId="22">#REF!</definedName>
    <definedName name="_______c20041" localSheetId="28">#REF!</definedName>
    <definedName name="_______c20041" localSheetId="35">#REF!</definedName>
    <definedName name="_______c20041">#REF!</definedName>
    <definedName name="_______DAT1">#N/A</definedName>
    <definedName name="_______DAT10">#N/A</definedName>
    <definedName name="_______DAT11">#N/A</definedName>
    <definedName name="_______DAT12">#N/A</definedName>
    <definedName name="_______DAT13">#N/A</definedName>
    <definedName name="_______DAT14">#N/A</definedName>
    <definedName name="_______DAT15">#N/A</definedName>
    <definedName name="_______DAT16">#N/A</definedName>
    <definedName name="_______DAT17">#N/A</definedName>
    <definedName name="_______DAT18">#N/A</definedName>
    <definedName name="_______DAT19">#N/A</definedName>
    <definedName name="_______DAT2">#N/A</definedName>
    <definedName name="_______DAT3">#N/A</definedName>
    <definedName name="_______DAT4">#N/A</definedName>
    <definedName name="_______DAT5">#N/A</definedName>
    <definedName name="_______DAT6">#N/A</definedName>
    <definedName name="_______DAT7">#N/A</definedName>
    <definedName name="_______DAT8">#N/A</definedName>
    <definedName name="_______DAT9">#N/A</definedName>
    <definedName name="_______eng2">#N/A</definedName>
    <definedName name="_______eng3" localSheetId="18">[6]!_______eng3</definedName>
    <definedName name="_______eng3" localSheetId="25">[6]!_______eng3</definedName>
    <definedName name="_______eng3" localSheetId="29">[6]!_______eng3</definedName>
    <definedName name="_______eng3" localSheetId="31">[6]!_______eng3</definedName>
    <definedName name="_______eng3" localSheetId="15">[6]!_______eng3</definedName>
    <definedName name="_______eng3" localSheetId="13">[6]!_______eng3</definedName>
    <definedName name="_______eng3" localSheetId="19">[7]!_______eng3</definedName>
    <definedName name="_______eng3" localSheetId="17">[6]!_______eng3</definedName>
    <definedName name="_______eng3" localSheetId="12">[6]!_______eng3</definedName>
    <definedName name="_______eng3" localSheetId="22">[8]!_______eng3</definedName>
    <definedName name="_______eng3">[6]!_______eng3</definedName>
    <definedName name="_______eng4">#N/A</definedName>
    <definedName name="_______ess1" localSheetId="18">#REF!</definedName>
    <definedName name="_______ess1" localSheetId="25">#REF!</definedName>
    <definedName name="_______ess1" localSheetId="29">#REF!</definedName>
    <definedName name="_______ess1" localSheetId="31">#REF!</definedName>
    <definedName name="_______ess1" localSheetId="15">#REF!</definedName>
    <definedName name="_______ess1" localSheetId="13">#REF!</definedName>
    <definedName name="_______ess1" localSheetId="17">#REF!</definedName>
    <definedName name="_______ess1" localSheetId="12">#REF!</definedName>
    <definedName name="_______ess1" localSheetId="22">#REF!</definedName>
    <definedName name="_______ess1" localSheetId="28">#REF!</definedName>
    <definedName name="_______ess1" localSheetId="35">#REF!</definedName>
    <definedName name="_______ess1">#REF!</definedName>
    <definedName name="_______FRF4">'[4]FX Rates'!$G$10</definedName>
    <definedName name="_______FRU2003" localSheetId="18">#REF!</definedName>
    <definedName name="_______FRU2003" localSheetId="25">#REF!</definedName>
    <definedName name="_______FRU2003" localSheetId="29">#REF!</definedName>
    <definedName name="_______FRU2003" localSheetId="31">#REF!</definedName>
    <definedName name="_______FRU2003" localSheetId="15">#REF!</definedName>
    <definedName name="_______FRU2003" localSheetId="13">#REF!</definedName>
    <definedName name="_______FRU2003" localSheetId="17">#REF!</definedName>
    <definedName name="_______FRU2003" localSheetId="12">#REF!</definedName>
    <definedName name="_______FRU2003" localSheetId="22">#REF!</definedName>
    <definedName name="_______FRU2003" localSheetId="28">#REF!</definedName>
    <definedName name="_______FRU2003" localSheetId="35">#REF!</definedName>
    <definedName name="_______FRU2003">#REF!</definedName>
    <definedName name="_______GBP4">'[4]FX Rates'!$G$9</definedName>
    <definedName name="_______mar1">#N/A</definedName>
    <definedName name="_______OUJ2">#N/A</definedName>
    <definedName name="_______pg1" localSheetId="18">#REF!</definedName>
    <definedName name="_______pg1" localSheetId="25">#REF!</definedName>
    <definedName name="_______pg1" localSheetId="29">#REF!</definedName>
    <definedName name="_______pg1" localSheetId="31">#REF!</definedName>
    <definedName name="_______pg1" localSheetId="15">#REF!</definedName>
    <definedName name="_______pg1" localSheetId="13">#REF!</definedName>
    <definedName name="_______pg1" localSheetId="17">#REF!</definedName>
    <definedName name="_______pg1" localSheetId="12">#REF!</definedName>
    <definedName name="_______pg1" localSheetId="22">#REF!</definedName>
    <definedName name="_______pg1" localSheetId="28">#REF!</definedName>
    <definedName name="_______pg1" localSheetId="35">#REF!</definedName>
    <definedName name="_______pg1">#REF!</definedName>
    <definedName name="_______pg2" localSheetId="18">#REF!</definedName>
    <definedName name="_______pg2" localSheetId="25">#REF!</definedName>
    <definedName name="_______pg2" localSheetId="29">#REF!</definedName>
    <definedName name="_______pg2" localSheetId="31">#REF!</definedName>
    <definedName name="_______pg2" localSheetId="15">#REF!</definedName>
    <definedName name="_______pg2" localSheetId="13">#REF!</definedName>
    <definedName name="_______pg2" localSheetId="17">#REF!</definedName>
    <definedName name="_______pg2" localSheetId="12">#REF!</definedName>
    <definedName name="_______pg2" localSheetId="22">#REF!</definedName>
    <definedName name="_______pg2" localSheetId="28">#REF!</definedName>
    <definedName name="_______pg2" localSheetId="35">#REF!</definedName>
    <definedName name="_______pg2">#REF!</definedName>
    <definedName name="_______R" localSheetId="18">#REF!</definedName>
    <definedName name="_______R" localSheetId="25">#REF!</definedName>
    <definedName name="_______R" localSheetId="29">#REF!</definedName>
    <definedName name="_______R" localSheetId="31">#REF!</definedName>
    <definedName name="_______R" localSheetId="15">#REF!</definedName>
    <definedName name="_______R" localSheetId="13">#REF!</definedName>
    <definedName name="_______R" localSheetId="17">#REF!</definedName>
    <definedName name="_______R" localSheetId="12">#REF!</definedName>
    <definedName name="_______R" localSheetId="22">#REF!</definedName>
    <definedName name="_______R" localSheetId="28">#REF!</definedName>
    <definedName name="_______R" localSheetId="35">#REF!</definedName>
    <definedName name="_______R">#REF!</definedName>
    <definedName name="_______R2000ssta" localSheetId="18">#REF!</definedName>
    <definedName name="_______R2000ssta" localSheetId="25">#REF!</definedName>
    <definedName name="_______R2000ssta" localSheetId="29">#REF!</definedName>
    <definedName name="_______R2000ssta" localSheetId="31">#REF!</definedName>
    <definedName name="_______R2000ssta" localSheetId="15">#REF!</definedName>
    <definedName name="_______R2000ssta" localSheetId="13">#REF!</definedName>
    <definedName name="_______R2000ssta" localSheetId="17">#REF!</definedName>
    <definedName name="_______R2000ssta" localSheetId="12">#REF!</definedName>
    <definedName name="_______R2000ssta" localSheetId="22">#REF!</definedName>
    <definedName name="_______R2000ssta" localSheetId="28">#REF!</definedName>
    <definedName name="_______R2000ssta" localSheetId="35">#REF!</definedName>
    <definedName name="_______R2000ssta">#REF!</definedName>
    <definedName name="_______R2000ssta___0">#N/A</definedName>
    <definedName name="_______R2000ssta___12">#N/A</definedName>
    <definedName name="_______R2000ssta___14">#N/A</definedName>
    <definedName name="_______R2000ssta___16">#N/A</definedName>
    <definedName name="_______R2000ssta___27">#N/A</definedName>
    <definedName name="_______R2000ssta___5">#N/A</definedName>
    <definedName name="_______SC16" localSheetId="18">#REF!</definedName>
    <definedName name="_______SC16" localSheetId="25">#REF!</definedName>
    <definedName name="_______SC16" localSheetId="29">#REF!</definedName>
    <definedName name="_______SC16" localSheetId="31">#REF!</definedName>
    <definedName name="_______SC16" localSheetId="15">#REF!</definedName>
    <definedName name="_______SC16" localSheetId="13">#REF!</definedName>
    <definedName name="_______SC16" localSheetId="17">#REF!</definedName>
    <definedName name="_______SC16" localSheetId="12">#REF!</definedName>
    <definedName name="_______SC16" localSheetId="22">#REF!</definedName>
    <definedName name="_______SC16" localSheetId="28">#REF!</definedName>
    <definedName name="_______SC16" localSheetId="35">#REF!</definedName>
    <definedName name="_______SC16">#REF!</definedName>
    <definedName name="_______SET2" localSheetId="18">#REF!</definedName>
    <definedName name="_______SET2" localSheetId="25">#REF!</definedName>
    <definedName name="_______SET2" localSheetId="29">#REF!</definedName>
    <definedName name="_______SET2" localSheetId="31">#REF!</definedName>
    <definedName name="_______SET2" localSheetId="15">#REF!</definedName>
    <definedName name="_______SET2" localSheetId="13">#REF!</definedName>
    <definedName name="_______SET2" localSheetId="17">#REF!</definedName>
    <definedName name="_______SET2" localSheetId="12">#REF!</definedName>
    <definedName name="_______SET2" localSheetId="22">#REF!</definedName>
    <definedName name="_______SET2" localSheetId="28">#REF!</definedName>
    <definedName name="_______SET2" localSheetId="35">#REF!</definedName>
    <definedName name="_______SET2">#REF!</definedName>
    <definedName name="_______SYN1" localSheetId="18">#REF!</definedName>
    <definedName name="_______SYN1" localSheetId="25">#REF!</definedName>
    <definedName name="_______SYN1" localSheetId="29">#REF!</definedName>
    <definedName name="_______SYN1" localSheetId="31">#REF!</definedName>
    <definedName name="_______SYN1" localSheetId="15">#REF!</definedName>
    <definedName name="_______SYN1" localSheetId="13">#REF!</definedName>
    <definedName name="_______SYN1" localSheetId="17">#REF!</definedName>
    <definedName name="_______SYN1" localSheetId="12">#REF!</definedName>
    <definedName name="_______SYN1" localSheetId="22">#REF!</definedName>
    <definedName name="_______SYN1" localSheetId="28">#REF!</definedName>
    <definedName name="_______SYN1" localSheetId="35">#REF!</definedName>
    <definedName name="_______SYN1">#REF!</definedName>
    <definedName name="_______SYN2" localSheetId="18">#REF!</definedName>
    <definedName name="_______SYN2" localSheetId="25">#REF!</definedName>
    <definedName name="_______SYN2" localSheetId="29">#REF!</definedName>
    <definedName name="_______SYN2" localSheetId="31">#REF!</definedName>
    <definedName name="_______SYN2" localSheetId="15">#REF!</definedName>
    <definedName name="_______SYN2" localSheetId="13">#REF!</definedName>
    <definedName name="_______SYN2" localSheetId="17">#REF!</definedName>
    <definedName name="_______SYN2" localSheetId="12">#REF!</definedName>
    <definedName name="_______SYN2" localSheetId="22">#REF!</definedName>
    <definedName name="_______SYN2" localSheetId="28">#REF!</definedName>
    <definedName name="_______SYN2" localSheetId="35">#REF!</definedName>
    <definedName name="_______SYN2">#REF!</definedName>
    <definedName name="_______TAE2001">#N/A</definedName>
    <definedName name="_______TAE2002">#N/A</definedName>
    <definedName name="_______UNI1999" localSheetId="18">#REF!</definedName>
    <definedName name="_______UNI1999" localSheetId="25">#REF!</definedName>
    <definedName name="_______UNI1999" localSheetId="29">#REF!</definedName>
    <definedName name="_______UNI1999" localSheetId="31">#REF!</definedName>
    <definedName name="_______UNI1999" localSheetId="15">#REF!</definedName>
    <definedName name="_______UNI1999" localSheetId="13">#REF!</definedName>
    <definedName name="_______UNI1999" localSheetId="17">#REF!</definedName>
    <definedName name="_______UNI1999" localSheetId="12">#REF!</definedName>
    <definedName name="_______UNI1999" localSheetId="22">#REF!</definedName>
    <definedName name="_______UNI1999" localSheetId="28">#REF!</definedName>
    <definedName name="_______UNI1999" localSheetId="35">#REF!</definedName>
    <definedName name="_______UNI1999">#REF!</definedName>
    <definedName name="_______UNI2000" localSheetId="18">#REF!</definedName>
    <definedName name="_______UNI2000" localSheetId="25">#REF!</definedName>
    <definedName name="_______UNI2000" localSheetId="29">#REF!</definedName>
    <definedName name="_______UNI2000" localSheetId="31">#REF!</definedName>
    <definedName name="_______UNI2000" localSheetId="15">#REF!</definedName>
    <definedName name="_______UNI2000" localSheetId="13">#REF!</definedName>
    <definedName name="_______UNI2000" localSheetId="17">#REF!</definedName>
    <definedName name="_______UNI2000" localSheetId="12">#REF!</definedName>
    <definedName name="_______UNI2000" localSheetId="22">#REF!</definedName>
    <definedName name="_______UNI2000" localSheetId="28">#REF!</definedName>
    <definedName name="_______UNI2000" localSheetId="35">#REF!</definedName>
    <definedName name="_______UNI2000">#REF!</definedName>
    <definedName name="_______UNI2001" localSheetId="18">#REF!</definedName>
    <definedName name="_______UNI2001" localSheetId="25">#REF!</definedName>
    <definedName name="_______UNI2001" localSheetId="29">#REF!</definedName>
    <definedName name="_______UNI2001" localSheetId="31">#REF!</definedName>
    <definedName name="_______UNI2001" localSheetId="15">#REF!</definedName>
    <definedName name="_______UNI2001" localSheetId="13">#REF!</definedName>
    <definedName name="_______UNI2001" localSheetId="17">#REF!</definedName>
    <definedName name="_______UNI2001" localSheetId="12">#REF!</definedName>
    <definedName name="_______UNI2001" localSheetId="22">#REF!</definedName>
    <definedName name="_______UNI2001" localSheetId="28">#REF!</definedName>
    <definedName name="_______UNI2001" localSheetId="35">#REF!</definedName>
    <definedName name="_______UNI2001">#REF!</definedName>
    <definedName name="_______vb100" localSheetId="18">#REF!</definedName>
    <definedName name="_______vb100" localSheetId="25">#REF!</definedName>
    <definedName name="_______vb100" localSheetId="29">#REF!</definedName>
    <definedName name="_______vb100" localSheetId="31">#REF!</definedName>
    <definedName name="_______vb100" localSheetId="15">#REF!</definedName>
    <definedName name="_______vb100" localSheetId="13">#REF!</definedName>
    <definedName name="_______vb100" localSheetId="17">#REF!</definedName>
    <definedName name="_______vb100" localSheetId="12">#REF!</definedName>
    <definedName name="_______vb100" localSheetId="22">#REF!</definedName>
    <definedName name="_______vb100" localSheetId="28">#REF!</definedName>
    <definedName name="_______vb100" localSheetId="35">#REF!</definedName>
    <definedName name="_______vb100">#REF!</definedName>
    <definedName name="_______YR1">#N/A</definedName>
    <definedName name="_______YR2">#N/A</definedName>
    <definedName name="_______YR3">#N/A</definedName>
    <definedName name="_______YR4">#N/A</definedName>
    <definedName name="______1Budget_PAF_03">#N/A</definedName>
    <definedName name="______1BudgetPôleFixe03">#N/A</definedName>
    <definedName name="______aaa1" localSheetId="18">#REF!</definedName>
    <definedName name="______aaa1" localSheetId="25">#REF!</definedName>
    <definedName name="______aaa1" localSheetId="29">#REF!</definedName>
    <definedName name="______aaa1" localSheetId="31">#REF!</definedName>
    <definedName name="______aaa1" localSheetId="15">#REF!</definedName>
    <definedName name="______aaa1" localSheetId="13">#REF!</definedName>
    <definedName name="______aaa1" localSheetId="17">#REF!</definedName>
    <definedName name="______aaa1" localSheetId="12">#REF!</definedName>
    <definedName name="______aaa1" localSheetId="22">#REF!</definedName>
    <definedName name="______aaa1" localSheetId="28">#REF!</definedName>
    <definedName name="______aaa1" localSheetId="35">#REF!</definedName>
    <definedName name="______aaa1">#REF!</definedName>
    <definedName name="______aaa2" localSheetId="18">#REF!</definedName>
    <definedName name="______aaa2" localSheetId="25">#REF!</definedName>
    <definedName name="______aaa2" localSheetId="29">#REF!</definedName>
    <definedName name="______aaa2" localSheetId="31">#REF!</definedName>
    <definedName name="______aaa2" localSheetId="15">#REF!</definedName>
    <definedName name="______aaa2" localSheetId="13">#REF!</definedName>
    <definedName name="______aaa2" localSheetId="17">#REF!</definedName>
    <definedName name="______aaa2" localSheetId="12">#REF!</definedName>
    <definedName name="______aaa2" localSheetId="22">#REF!</definedName>
    <definedName name="______aaa2" localSheetId="28">#REF!</definedName>
    <definedName name="______aaa2" localSheetId="35">#REF!</definedName>
    <definedName name="______aaa2">#REF!</definedName>
    <definedName name="______aaa3" localSheetId="18">#REF!</definedName>
    <definedName name="______aaa3" localSheetId="25">#REF!</definedName>
    <definedName name="______aaa3" localSheetId="29">#REF!</definedName>
    <definedName name="______aaa3" localSheetId="31">#REF!</definedName>
    <definedName name="______aaa3" localSheetId="15">#REF!</definedName>
    <definedName name="______aaa3" localSheetId="13">#REF!</definedName>
    <definedName name="______aaa3" localSheetId="17">#REF!</definedName>
    <definedName name="______aaa3" localSheetId="12">#REF!</definedName>
    <definedName name="______aaa3" localSheetId="22">#REF!</definedName>
    <definedName name="______aaa3" localSheetId="28">#REF!</definedName>
    <definedName name="______aaa3" localSheetId="35">#REF!</definedName>
    <definedName name="______aaa3">#REF!</definedName>
    <definedName name="______aaa4" localSheetId="18">#REF!</definedName>
    <definedName name="______aaa4" localSheetId="25">#REF!</definedName>
    <definedName name="______aaa4" localSheetId="29">#REF!</definedName>
    <definedName name="______aaa4" localSheetId="31">#REF!</definedName>
    <definedName name="______aaa4" localSheetId="15">#REF!</definedName>
    <definedName name="______aaa4" localSheetId="13">#REF!</definedName>
    <definedName name="______aaa4" localSheetId="17">#REF!</definedName>
    <definedName name="______aaa4" localSheetId="12">#REF!</definedName>
    <definedName name="______aaa4" localSheetId="22">#REF!</definedName>
    <definedName name="______aaa4" localSheetId="28">#REF!</definedName>
    <definedName name="______aaa4" localSheetId="35">#REF!</definedName>
    <definedName name="______aaa4">#REF!</definedName>
    <definedName name="______aaa5" localSheetId="18">#REF!</definedName>
    <definedName name="______aaa5" localSheetId="25">#REF!</definedName>
    <definedName name="______aaa5" localSheetId="29">#REF!</definedName>
    <definedName name="______aaa5" localSheetId="31">#REF!</definedName>
    <definedName name="______aaa5" localSheetId="15">#REF!</definedName>
    <definedName name="______aaa5" localSheetId="13">#REF!</definedName>
    <definedName name="______aaa5" localSheetId="17">#REF!</definedName>
    <definedName name="______aaa5" localSheetId="12">#REF!</definedName>
    <definedName name="______aaa5" localSheetId="22">#REF!</definedName>
    <definedName name="______aaa5" localSheetId="28">#REF!</definedName>
    <definedName name="______aaa5" localSheetId="35">#REF!</definedName>
    <definedName name="______aaa5">#REF!</definedName>
    <definedName name="______aaa6" localSheetId="18">#REF!</definedName>
    <definedName name="______aaa6" localSheetId="25">#REF!</definedName>
    <definedName name="______aaa6" localSheetId="29">#REF!</definedName>
    <definedName name="______aaa6" localSheetId="31">#REF!</definedName>
    <definedName name="______aaa6" localSheetId="15">#REF!</definedName>
    <definedName name="______aaa6" localSheetId="13">#REF!</definedName>
    <definedName name="______aaa6" localSheetId="17">#REF!</definedName>
    <definedName name="______aaa6" localSheetId="12">#REF!</definedName>
    <definedName name="______aaa6" localSheetId="22">#REF!</definedName>
    <definedName name="______aaa6" localSheetId="28">#REF!</definedName>
    <definedName name="______aaa6" localSheetId="35">#REF!</definedName>
    <definedName name="______aaa6">#REF!</definedName>
    <definedName name="______aaa7" localSheetId="18">#REF!</definedName>
    <definedName name="______aaa7" localSheetId="25">#REF!</definedName>
    <definedName name="______aaa7" localSheetId="29">#REF!</definedName>
    <definedName name="______aaa7" localSheetId="31">#REF!</definedName>
    <definedName name="______aaa7" localSheetId="15">#REF!</definedName>
    <definedName name="______aaa7" localSheetId="13">#REF!</definedName>
    <definedName name="______aaa7" localSheetId="17">#REF!</definedName>
    <definedName name="______aaa7" localSheetId="12">#REF!</definedName>
    <definedName name="______aaa7" localSheetId="22">#REF!</definedName>
    <definedName name="______aaa7" localSheetId="28">#REF!</definedName>
    <definedName name="______aaa7" localSheetId="35">#REF!</definedName>
    <definedName name="______aaa7">#REF!</definedName>
    <definedName name="______aaa8" localSheetId="18">#REF!</definedName>
    <definedName name="______aaa8" localSheetId="25">#REF!</definedName>
    <definedName name="______aaa8" localSheetId="29">#REF!</definedName>
    <definedName name="______aaa8" localSheetId="31">#REF!</definedName>
    <definedName name="______aaa8" localSheetId="15">#REF!</definedName>
    <definedName name="______aaa8" localSheetId="13">#REF!</definedName>
    <definedName name="______aaa8" localSheetId="17">#REF!</definedName>
    <definedName name="______aaa8" localSheetId="12">#REF!</definedName>
    <definedName name="______aaa8" localSheetId="22">#REF!</definedName>
    <definedName name="______aaa8" localSheetId="28">#REF!</definedName>
    <definedName name="______aaa8" localSheetId="35">#REF!</definedName>
    <definedName name="______aaa8">#REF!</definedName>
    <definedName name="______B1">#N/A</definedName>
    <definedName name="______bbb1">#N/A</definedName>
    <definedName name="______c20041" localSheetId="18">#REF!</definedName>
    <definedName name="______c20041" localSheetId="25">#REF!</definedName>
    <definedName name="______c20041" localSheetId="29">#REF!</definedName>
    <definedName name="______c20041" localSheetId="31">#REF!</definedName>
    <definedName name="______c20041" localSheetId="15">#REF!</definedName>
    <definedName name="______c20041" localSheetId="13">#REF!</definedName>
    <definedName name="______c20041" localSheetId="17">#REF!</definedName>
    <definedName name="______c20041" localSheetId="12">#REF!</definedName>
    <definedName name="______c20041" localSheetId="22">#REF!</definedName>
    <definedName name="______c20041" localSheetId="28">#REF!</definedName>
    <definedName name="______c20041" localSheetId="35">#REF!</definedName>
    <definedName name="______c20041">#REF!</definedName>
    <definedName name="______DAT1">#N/A</definedName>
    <definedName name="______DAT10">#N/A</definedName>
    <definedName name="______DAT11">#N/A</definedName>
    <definedName name="______DAT12">#N/A</definedName>
    <definedName name="______DAT13">#N/A</definedName>
    <definedName name="______DAT14">#N/A</definedName>
    <definedName name="______DAT15">#N/A</definedName>
    <definedName name="______DAT16">#N/A</definedName>
    <definedName name="______DAT17">#N/A</definedName>
    <definedName name="______DAT18">#N/A</definedName>
    <definedName name="______DAT19">#N/A</definedName>
    <definedName name="______DAT2">#N/A</definedName>
    <definedName name="______DAT3">#N/A</definedName>
    <definedName name="______DAT4">#N/A</definedName>
    <definedName name="______DAT5">#N/A</definedName>
    <definedName name="______DAT6">#N/A</definedName>
    <definedName name="______DAT7">#N/A</definedName>
    <definedName name="______DAT8">#N/A</definedName>
    <definedName name="______DAT9">#N/A</definedName>
    <definedName name="______eng2">#N/A</definedName>
    <definedName name="______eng3" localSheetId="18">[6]!______eng3</definedName>
    <definedName name="______eng3" localSheetId="25">[6]!______eng3</definedName>
    <definedName name="______eng3" localSheetId="29">[6]!______eng3</definedName>
    <definedName name="______eng3" localSheetId="31">[6]!______eng3</definedName>
    <definedName name="______eng3" localSheetId="15">[6]!______eng3</definedName>
    <definedName name="______eng3" localSheetId="13">[6]!______eng3</definedName>
    <definedName name="______eng3" localSheetId="19">[7]!______eng3</definedName>
    <definedName name="______eng3" localSheetId="17">[6]!______eng3</definedName>
    <definedName name="______eng3" localSheetId="12">[6]!______eng3</definedName>
    <definedName name="______eng3" localSheetId="22">[8]!______eng3</definedName>
    <definedName name="______eng3">[6]!______eng3</definedName>
    <definedName name="______eng4">#N/A</definedName>
    <definedName name="______ess1" localSheetId="18">#REF!</definedName>
    <definedName name="______ess1" localSheetId="25">#REF!</definedName>
    <definedName name="______ess1" localSheetId="29">#REF!</definedName>
    <definedName name="______ess1" localSheetId="31">#REF!</definedName>
    <definedName name="______ess1" localSheetId="15">#REF!</definedName>
    <definedName name="______ess1" localSheetId="13">#REF!</definedName>
    <definedName name="______ess1" localSheetId="17">#REF!</definedName>
    <definedName name="______ess1" localSheetId="12">#REF!</definedName>
    <definedName name="______ess1" localSheetId="22">#REF!</definedName>
    <definedName name="______ess1" localSheetId="28">#REF!</definedName>
    <definedName name="______ess1" localSheetId="35">#REF!</definedName>
    <definedName name="______ess1">#REF!</definedName>
    <definedName name="______FRF4">'[14]FX Rates'!$G$10</definedName>
    <definedName name="______FRU2003" localSheetId="18">#REF!</definedName>
    <definedName name="______FRU2003" localSheetId="25">#REF!</definedName>
    <definedName name="______FRU2003" localSheetId="29">#REF!</definedName>
    <definedName name="______FRU2003" localSheetId="31">#REF!</definedName>
    <definedName name="______FRU2003" localSheetId="15">#REF!</definedName>
    <definedName name="______FRU2003" localSheetId="13">#REF!</definedName>
    <definedName name="______FRU2003" localSheetId="17">#REF!</definedName>
    <definedName name="______FRU2003" localSheetId="12">#REF!</definedName>
    <definedName name="______FRU2003" localSheetId="22">#REF!</definedName>
    <definedName name="______FRU2003" localSheetId="28">#REF!</definedName>
    <definedName name="______FRU2003" localSheetId="35">#REF!</definedName>
    <definedName name="______FRU2003">#REF!</definedName>
    <definedName name="______GBP4">'[14]FX Rates'!$G$9</definedName>
    <definedName name="______mar1">#N/A</definedName>
    <definedName name="______OUJ2">#N/A</definedName>
    <definedName name="______pg1" localSheetId="18">#REF!</definedName>
    <definedName name="______pg1" localSheetId="25">#REF!</definedName>
    <definedName name="______pg1" localSheetId="29">#REF!</definedName>
    <definedName name="______pg1" localSheetId="31">#REF!</definedName>
    <definedName name="______pg1" localSheetId="15">#REF!</definedName>
    <definedName name="______pg1" localSheetId="13">#REF!</definedName>
    <definedName name="______pg1" localSheetId="17">#REF!</definedName>
    <definedName name="______pg1" localSheetId="12">#REF!</definedName>
    <definedName name="______pg1" localSheetId="22">#REF!</definedName>
    <definedName name="______pg1" localSheetId="28">#REF!</definedName>
    <definedName name="______pg1" localSheetId="35">#REF!</definedName>
    <definedName name="______pg1">#REF!</definedName>
    <definedName name="______pg2" localSheetId="18">#REF!</definedName>
    <definedName name="______pg2" localSheetId="25">#REF!</definedName>
    <definedName name="______pg2" localSheetId="29">#REF!</definedName>
    <definedName name="______pg2" localSheetId="31">#REF!</definedName>
    <definedName name="______pg2" localSheetId="15">#REF!</definedName>
    <definedName name="______pg2" localSheetId="13">#REF!</definedName>
    <definedName name="______pg2" localSheetId="17">#REF!</definedName>
    <definedName name="______pg2" localSheetId="12">#REF!</definedName>
    <definedName name="______pg2" localSheetId="22">#REF!</definedName>
    <definedName name="______pg2" localSheetId="28">#REF!</definedName>
    <definedName name="______pg2" localSheetId="35">#REF!</definedName>
    <definedName name="______pg2">#REF!</definedName>
    <definedName name="______R" localSheetId="18">#REF!</definedName>
    <definedName name="______R" localSheetId="25">#REF!</definedName>
    <definedName name="______R" localSheetId="29">#REF!</definedName>
    <definedName name="______R" localSheetId="31">#REF!</definedName>
    <definedName name="______R" localSheetId="15">#REF!</definedName>
    <definedName name="______R" localSheetId="13">#REF!</definedName>
    <definedName name="______R" localSheetId="17">#REF!</definedName>
    <definedName name="______R" localSheetId="12">#REF!</definedName>
    <definedName name="______R" localSheetId="22">#REF!</definedName>
    <definedName name="______R" localSheetId="28">#REF!</definedName>
    <definedName name="______R" localSheetId="35">#REF!</definedName>
    <definedName name="______R">#REF!</definedName>
    <definedName name="______R2000ssta" localSheetId="18">#REF!</definedName>
    <definedName name="______R2000ssta" localSheetId="25">#REF!</definedName>
    <definedName name="______R2000ssta" localSheetId="29">#REF!</definedName>
    <definedName name="______R2000ssta" localSheetId="31">#REF!</definedName>
    <definedName name="______R2000ssta" localSheetId="15">#REF!</definedName>
    <definedName name="______R2000ssta" localSheetId="13">#REF!</definedName>
    <definedName name="______R2000ssta" localSheetId="17">#REF!</definedName>
    <definedName name="______R2000ssta" localSheetId="12">#REF!</definedName>
    <definedName name="______R2000ssta" localSheetId="22">#REF!</definedName>
    <definedName name="______R2000ssta" localSheetId="28">#REF!</definedName>
    <definedName name="______R2000ssta" localSheetId="35">#REF!</definedName>
    <definedName name="______R2000ssta">#REF!</definedName>
    <definedName name="______R2000ssta___0">#N/A</definedName>
    <definedName name="______R2000ssta___12">#N/A</definedName>
    <definedName name="______R2000ssta___14">#N/A</definedName>
    <definedName name="______R2000ssta___16">#N/A</definedName>
    <definedName name="______R2000ssta___27">#N/A</definedName>
    <definedName name="______R2000ssta___5">#N/A</definedName>
    <definedName name="______SC16" localSheetId="18">#REF!</definedName>
    <definedName name="______SC16" localSheetId="25">#REF!</definedName>
    <definedName name="______SC16" localSheetId="29">#REF!</definedName>
    <definedName name="______SC16" localSheetId="31">#REF!</definedName>
    <definedName name="______SC16" localSheetId="15">#REF!</definedName>
    <definedName name="______SC16" localSheetId="13">#REF!</definedName>
    <definedName name="______SC16" localSheetId="17">#REF!</definedName>
    <definedName name="______SC16" localSheetId="12">#REF!</definedName>
    <definedName name="______SC16" localSheetId="22">#REF!</definedName>
    <definedName name="______SC16" localSheetId="28">#REF!</definedName>
    <definedName name="______SC16" localSheetId="35">#REF!</definedName>
    <definedName name="______SC16">#REF!</definedName>
    <definedName name="______SET2" localSheetId="18">#REF!</definedName>
    <definedName name="______SET2" localSheetId="25">#REF!</definedName>
    <definedName name="______SET2" localSheetId="29">#REF!</definedName>
    <definedName name="______SET2" localSheetId="31">#REF!</definedName>
    <definedName name="______SET2" localSheetId="15">#REF!</definedName>
    <definedName name="______SET2" localSheetId="13">#REF!</definedName>
    <definedName name="______SET2" localSheetId="17">#REF!</definedName>
    <definedName name="______SET2" localSheetId="12">#REF!</definedName>
    <definedName name="______SET2" localSheetId="22">#REF!</definedName>
    <definedName name="______SET2" localSheetId="28">#REF!</definedName>
    <definedName name="______SET2" localSheetId="35">#REF!</definedName>
    <definedName name="______SET2">#REF!</definedName>
    <definedName name="______SYN1" localSheetId="18">#REF!</definedName>
    <definedName name="______SYN1" localSheetId="25">#REF!</definedName>
    <definedName name="______SYN1" localSheetId="29">#REF!</definedName>
    <definedName name="______SYN1" localSheetId="31">#REF!</definedName>
    <definedName name="______SYN1" localSheetId="15">#REF!</definedName>
    <definedName name="______SYN1" localSheetId="13">#REF!</definedName>
    <definedName name="______SYN1" localSheetId="17">#REF!</definedName>
    <definedName name="______SYN1" localSheetId="12">#REF!</definedName>
    <definedName name="______SYN1" localSheetId="22">#REF!</definedName>
    <definedName name="______SYN1" localSheetId="28">#REF!</definedName>
    <definedName name="______SYN1" localSheetId="35">#REF!</definedName>
    <definedName name="______SYN1">#REF!</definedName>
    <definedName name="______SYN2" localSheetId="18">#REF!</definedName>
    <definedName name="______SYN2" localSheetId="25">#REF!</definedName>
    <definedName name="______SYN2" localSheetId="29">#REF!</definedName>
    <definedName name="______SYN2" localSheetId="31">#REF!</definedName>
    <definedName name="______SYN2" localSheetId="15">#REF!</definedName>
    <definedName name="______SYN2" localSheetId="13">#REF!</definedName>
    <definedName name="______SYN2" localSheetId="17">#REF!</definedName>
    <definedName name="______SYN2" localSheetId="12">#REF!</definedName>
    <definedName name="______SYN2" localSheetId="22">#REF!</definedName>
    <definedName name="______SYN2" localSheetId="28">#REF!</definedName>
    <definedName name="______SYN2" localSheetId="35">#REF!</definedName>
    <definedName name="______SYN2">#REF!</definedName>
    <definedName name="______TAE2001">#N/A</definedName>
    <definedName name="______TAE2002">#N/A</definedName>
    <definedName name="______UNI1999" localSheetId="18">#REF!</definedName>
    <definedName name="______UNI1999" localSheetId="25">#REF!</definedName>
    <definedName name="______UNI1999" localSheetId="29">#REF!</definedName>
    <definedName name="______UNI1999" localSheetId="31">#REF!</definedName>
    <definedName name="______UNI1999" localSheetId="15">#REF!</definedName>
    <definedName name="______UNI1999" localSheetId="13">#REF!</definedName>
    <definedName name="______UNI1999" localSheetId="17">#REF!</definedName>
    <definedName name="______UNI1999" localSheetId="12">#REF!</definedName>
    <definedName name="______UNI1999" localSheetId="22">#REF!</definedName>
    <definedName name="______UNI1999" localSheetId="28">#REF!</definedName>
    <definedName name="______UNI1999" localSheetId="35">#REF!</definedName>
    <definedName name="______UNI1999">#REF!</definedName>
    <definedName name="______UNI2000" localSheetId="18">#REF!</definedName>
    <definedName name="______UNI2000" localSheetId="25">#REF!</definedName>
    <definedName name="______UNI2000" localSheetId="29">#REF!</definedName>
    <definedName name="______UNI2000" localSheetId="31">#REF!</definedName>
    <definedName name="______UNI2000" localSheetId="15">#REF!</definedName>
    <definedName name="______UNI2000" localSheetId="13">#REF!</definedName>
    <definedName name="______UNI2000" localSheetId="17">#REF!</definedName>
    <definedName name="______UNI2000" localSheetId="12">#REF!</definedName>
    <definedName name="______UNI2000" localSheetId="22">#REF!</definedName>
    <definedName name="______UNI2000" localSheetId="28">#REF!</definedName>
    <definedName name="______UNI2000" localSheetId="35">#REF!</definedName>
    <definedName name="______UNI2000">#REF!</definedName>
    <definedName name="______UNI2001" localSheetId="18">#REF!</definedName>
    <definedName name="______UNI2001" localSheetId="25">#REF!</definedName>
    <definedName name="______UNI2001" localSheetId="29">#REF!</definedName>
    <definedName name="______UNI2001" localSheetId="31">#REF!</definedName>
    <definedName name="______UNI2001" localSheetId="15">#REF!</definedName>
    <definedName name="______UNI2001" localSheetId="13">#REF!</definedName>
    <definedName name="______UNI2001" localSheetId="17">#REF!</definedName>
    <definedName name="______UNI2001" localSheetId="12">#REF!</definedName>
    <definedName name="______UNI2001" localSheetId="22">#REF!</definedName>
    <definedName name="______UNI2001" localSheetId="28">#REF!</definedName>
    <definedName name="______UNI2001" localSheetId="35">#REF!</definedName>
    <definedName name="______UNI2001">#REF!</definedName>
    <definedName name="______vb100" localSheetId="18">#REF!</definedName>
    <definedName name="______vb100" localSheetId="25">#REF!</definedName>
    <definedName name="______vb100" localSheetId="29">#REF!</definedName>
    <definedName name="______vb100" localSheetId="31">#REF!</definedName>
    <definedName name="______vb100" localSheetId="15">#REF!</definedName>
    <definedName name="______vb100" localSheetId="13">#REF!</definedName>
    <definedName name="______vb100" localSheetId="17">#REF!</definedName>
    <definedName name="______vb100" localSheetId="12">#REF!</definedName>
    <definedName name="______vb100" localSheetId="22">#REF!</definedName>
    <definedName name="______vb100" localSheetId="28">#REF!</definedName>
    <definedName name="______vb100" localSheetId="35">#REF!</definedName>
    <definedName name="______vb100">#REF!</definedName>
    <definedName name="______YR1">#N/A</definedName>
    <definedName name="______YR2">#N/A</definedName>
    <definedName name="______YR3">#N/A</definedName>
    <definedName name="______YR4">#N/A</definedName>
    <definedName name="_____0">#N/A</definedName>
    <definedName name="_____12">#N/A</definedName>
    <definedName name="_____14">#N/A</definedName>
    <definedName name="_____16">#N/A</definedName>
    <definedName name="_____1Budget_PAF_03">#N/A</definedName>
    <definedName name="_____1BudgetPôleFixe03">#N/A</definedName>
    <definedName name="_____2">#N/A</definedName>
    <definedName name="_____2_" localSheetId="18">#REF!</definedName>
    <definedName name="_____2_" localSheetId="25">#REF!</definedName>
    <definedName name="_____2_" localSheetId="29">#REF!</definedName>
    <definedName name="_____2_" localSheetId="31">#REF!</definedName>
    <definedName name="_____2_" localSheetId="15">#REF!</definedName>
    <definedName name="_____2_" localSheetId="13">#REF!</definedName>
    <definedName name="_____2_" localSheetId="17">#REF!</definedName>
    <definedName name="_____2_" localSheetId="12">#REF!</definedName>
    <definedName name="_____2_" localSheetId="22">#REF!</definedName>
    <definedName name="_____2_" localSheetId="28">#REF!</definedName>
    <definedName name="_____2_" localSheetId="35">#REF!</definedName>
    <definedName name="_____2_">#REF!</definedName>
    <definedName name="_____25">#N/A</definedName>
    <definedName name="_____26">#N/A</definedName>
    <definedName name="_____27">#N/A</definedName>
    <definedName name="_____28">#N/A</definedName>
    <definedName name="_____4">#N/A</definedName>
    <definedName name="_____5">#N/A</definedName>
    <definedName name="_____6">#N/A</definedName>
    <definedName name="_____7">#N/A</definedName>
    <definedName name="_____aaa1" localSheetId="18">#REF!</definedName>
    <definedName name="_____aaa1" localSheetId="25">#REF!</definedName>
    <definedName name="_____aaa1" localSheetId="29">#REF!</definedName>
    <definedName name="_____aaa1" localSheetId="31">#REF!</definedName>
    <definedName name="_____aaa1" localSheetId="15">#REF!</definedName>
    <definedName name="_____aaa1" localSheetId="13">#REF!</definedName>
    <definedName name="_____aaa1" localSheetId="17">#REF!</definedName>
    <definedName name="_____aaa1" localSheetId="12">#REF!</definedName>
    <definedName name="_____aaa1" localSheetId="22">#REF!</definedName>
    <definedName name="_____aaa1" localSheetId="28">#REF!</definedName>
    <definedName name="_____aaa1" localSheetId="35">#REF!</definedName>
    <definedName name="_____aaa1">#REF!</definedName>
    <definedName name="_____aaa2" localSheetId="18">#REF!</definedName>
    <definedName name="_____aaa2" localSheetId="25">#REF!</definedName>
    <definedName name="_____aaa2" localSheetId="29">#REF!</definedName>
    <definedName name="_____aaa2" localSheetId="31">#REF!</definedName>
    <definedName name="_____aaa2" localSheetId="15">#REF!</definedName>
    <definedName name="_____aaa2" localSheetId="13">#REF!</definedName>
    <definedName name="_____aaa2" localSheetId="17">#REF!</definedName>
    <definedName name="_____aaa2" localSheetId="12">#REF!</definedName>
    <definedName name="_____aaa2" localSheetId="22">#REF!</definedName>
    <definedName name="_____aaa2" localSheetId="28">#REF!</definedName>
    <definedName name="_____aaa2" localSheetId="35">#REF!</definedName>
    <definedName name="_____aaa2">#REF!</definedName>
    <definedName name="_____aaa3" localSheetId="18">#REF!</definedName>
    <definedName name="_____aaa3" localSheetId="25">#REF!</definedName>
    <definedName name="_____aaa3" localSheetId="29">#REF!</definedName>
    <definedName name="_____aaa3" localSheetId="31">#REF!</definedName>
    <definedName name="_____aaa3" localSheetId="15">#REF!</definedName>
    <definedName name="_____aaa3" localSheetId="13">#REF!</definedName>
    <definedName name="_____aaa3" localSheetId="17">#REF!</definedName>
    <definedName name="_____aaa3" localSheetId="12">#REF!</definedName>
    <definedName name="_____aaa3" localSheetId="22">#REF!</definedName>
    <definedName name="_____aaa3" localSheetId="28">#REF!</definedName>
    <definedName name="_____aaa3" localSheetId="35">#REF!</definedName>
    <definedName name="_____aaa3">#REF!</definedName>
    <definedName name="_____aaa4" localSheetId="18">#REF!</definedName>
    <definedName name="_____aaa4" localSheetId="25">#REF!</definedName>
    <definedName name="_____aaa4" localSheetId="29">#REF!</definedName>
    <definedName name="_____aaa4" localSheetId="31">#REF!</definedName>
    <definedName name="_____aaa4" localSheetId="15">#REF!</definedName>
    <definedName name="_____aaa4" localSheetId="13">#REF!</definedName>
    <definedName name="_____aaa4" localSheetId="17">#REF!</definedName>
    <definedName name="_____aaa4" localSheetId="12">#REF!</definedName>
    <definedName name="_____aaa4" localSheetId="22">#REF!</definedName>
    <definedName name="_____aaa4" localSheetId="28">#REF!</definedName>
    <definedName name="_____aaa4" localSheetId="35">#REF!</definedName>
    <definedName name="_____aaa4">#REF!</definedName>
    <definedName name="_____aaa5" localSheetId="18">#REF!</definedName>
    <definedName name="_____aaa5" localSheetId="25">#REF!</definedName>
    <definedName name="_____aaa5" localSheetId="29">#REF!</definedName>
    <definedName name="_____aaa5" localSheetId="31">#REF!</definedName>
    <definedName name="_____aaa5" localSheetId="15">#REF!</definedName>
    <definedName name="_____aaa5" localSheetId="13">#REF!</definedName>
    <definedName name="_____aaa5" localSheetId="17">#REF!</definedName>
    <definedName name="_____aaa5" localSheetId="12">#REF!</definedName>
    <definedName name="_____aaa5" localSheetId="22">#REF!</definedName>
    <definedName name="_____aaa5" localSheetId="28">#REF!</definedName>
    <definedName name="_____aaa5" localSheetId="35">#REF!</definedName>
    <definedName name="_____aaa5">#REF!</definedName>
    <definedName name="_____aaa6" localSheetId="18">#REF!</definedName>
    <definedName name="_____aaa6" localSheetId="25">#REF!</definedName>
    <definedName name="_____aaa6" localSheetId="29">#REF!</definedName>
    <definedName name="_____aaa6" localSheetId="31">#REF!</definedName>
    <definedName name="_____aaa6" localSheetId="15">#REF!</definedName>
    <definedName name="_____aaa6" localSheetId="13">#REF!</definedName>
    <definedName name="_____aaa6" localSheetId="17">#REF!</definedName>
    <definedName name="_____aaa6" localSheetId="12">#REF!</definedName>
    <definedName name="_____aaa6" localSheetId="22">#REF!</definedName>
    <definedName name="_____aaa6" localSheetId="28">#REF!</definedName>
    <definedName name="_____aaa6" localSheetId="35">#REF!</definedName>
    <definedName name="_____aaa6">#REF!</definedName>
    <definedName name="_____aaa7" localSheetId="18">#REF!</definedName>
    <definedName name="_____aaa7" localSheetId="25">#REF!</definedName>
    <definedName name="_____aaa7" localSheetId="29">#REF!</definedName>
    <definedName name="_____aaa7" localSheetId="31">#REF!</definedName>
    <definedName name="_____aaa7" localSheetId="15">#REF!</definedName>
    <definedName name="_____aaa7" localSheetId="13">#REF!</definedName>
    <definedName name="_____aaa7" localSheetId="17">#REF!</definedName>
    <definedName name="_____aaa7" localSheetId="12">#REF!</definedName>
    <definedName name="_____aaa7" localSheetId="22">#REF!</definedName>
    <definedName name="_____aaa7" localSheetId="28">#REF!</definedName>
    <definedName name="_____aaa7" localSheetId="35">#REF!</definedName>
    <definedName name="_____aaa7">#REF!</definedName>
    <definedName name="_____aaa8" localSheetId="18">#REF!</definedName>
    <definedName name="_____aaa8" localSheetId="25">#REF!</definedName>
    <definedName name="_____aaa8" localSheetId="29">#REF!</definedName>
    <definedName name="_____aaa8" localSheetId="31">#REF!</definedName>
    <definedName name="_____aaa8" localSheetId="15">#REF!</definedName>
    <definedName name="_____aaa8" localSheetId="13">#REF!</definedName>
    <definedName name="_____aaa8" localSheetId="17">#REF!</definedName>
    <definedName name="_____aaa8" localSheetId="12">#REF!</definedName>
    <definedName name="_____aaa8" localSheetId="22">#REF!</definedName>
    <definedName name="_____aaa8" localSheetId="28">#REF!</definedName>
    <definedName name="_____aaa8" localSheetId="35">#REF!</definedName>
    <definedName name="_____aaa8">#REF!</definedName>
    <definedName name="_____B1">#N/A</definedName>
    <definedName name="_____bbb1">#N/A</definedName>
    <definedName name="_____c20041" localSheetId="18">#REF!</definedName>
    <definedName name="_____c20041" localSheetId="25">#REF!</definedName>
    <definedName name="_____c20041" localSheetId="29">#REF!</definedName>
    <definedName name="_____c20041" localSheetId="31">#REF!</definedName>
    <definedName name="_____c20041" localSheetId="15">#REF!</definedName>
    <definedName name="_____c20041" localSheetId="13">#REF!</definedName>
    <definedName name="_____c20041" localSheetId="17">#REF!</definedName>
    <definedName name="_____c20041" localSheetId="12">#REF!</definedName>
    <definedName name="_____c20041" localSheetId="22">#REF!</definedName>
    <definedName name="_____c20041" localSheetId="28">#REF!</definedName>
    <definedName name="_____c20041" localSheetId="35">#REF!</definedName>
    <definedName name="_____c20041">#REF!</definedName>
    <definedName name="_____DAT1">#N/A</definedName>
    <definedName name="_____DAT10">#N/A</definedName>
    <definedName name="_____DAT11">#N/A</definedName>
    <definedName name="_____DAT12">#N/A</definedName>
    <definedName name="_____DAT13">#N/A</definedName>
    <definedName name="_____DAT14">#N/A</definedName>
    <definedName name="_____DAT15">#N/A</definedName>
    <definedName name="_____DAT16">#N/A</definedName>
    <definedName name="_____DAT17">#N/A</definedName>
    <definedName name="_____DAT18">#N/A</definedName>
    <definedName name="_____DAT19">#N/A</definedName>
    <definedName name="_____DAT2">#N/A</definedName>
    <definedName name="_____DAT3">#N/A</definedName>
    <definedName name="_____DAT4">#N/A</definedName>
    <definedName name="_____DAT5">#N/A</definedName>
    <definedName name="_____DAT6">#N/A</definedName>
    <definedName name="_____DAT7">#N/A</definedName>
    <definedName name="_____DAT8">#N/A</definedName>
    <definedName name="_____DAT9">#N/A</definedName>
    <definedName name="_____eng2">#N/A</definedName>
    <definedName name="_____eng3" localSheetId="18">[6]!_____eng3</definedName>
    <definedName name="_____eng3" localSheetId="25">[6]!_____eng3</definedName>
    <definedName name="_____eng3" localSheetId="29">[6]!_____eng3</definedName>
    <definedName name="_____eng3" localSheetId="31">[6]!_____eng3</definedName>
    <definedName name="_____eng3" localSheetId="15">[6]!_____eng3</definedName>
    <definedName name="_____eng3" localSheetId="13">[6]!_____eng3</definedName>
    <definedName name="_____eng3" localSheetId="19">[7]!_____eng3</definedName>
    <definedName name="_____eng3" localSheetId="17">[6]!_____eng3</definedName>
    <definedName name="_____eng3" localSheetId="12">[6]!_____eng3</definedName>
    <definedName name="_____eng3" localSheetId="22">[8]!_____eng3</definedName>
    <definedName name="_____eng3">[6]!_____eng3</definedName>
    <definedName name="_____eng4">#N/A</definedName>
    <definedName name="_____ess1" localSheetId="18">#REF!</definedName>
    <definedName name="_____ess1" localSheetId="25">#REF!</definedName>
    <definedName name="_____ess1" localSheetId="29">#REF!</definedName>
    <definedName name="_____ess1" localSheetId="31">#REF!</definedName>
    <definedName name="_____ess1" localSheetId="15">#REF!</definedName>
    <definedName name="_____ess1" localSheetId="13">#REF!</definedName>
    <definedName name="_____ess1" localSheetId="17">#REF!</definedName>
    <definedName name="_____ess1" localSheetId="12">#REF!</definedName>
    <definedName name="_____ess1" localSheetId="22">#REF!</definedName>
    <definedName name="_____ess1" localSheetId="28">#REF!</definedName>
    <definedName name="_____ess1" localSheetId="35">#REF!</definedName>
    <definedName name="_____ess1">#REF!</definedName>
    <definedName name="_____FRF4">'[14]FX Rates'!$G$10</definedName>
    <definedName name="_____FRU2003" localSheetId="18">#REF!</definedName>
    <definedName name="_____FRU2003" localSheetId="25">#REF!</definedName>
    <definedName name="_____FRU2003" localSheetId="29">#REF!</definedName>
    <definedName name="_____FRU2003" localSheetId="31">#REF!</definedName>
    <definedName name="_____FRU2003" localSheetId="15">#REF!</definedName>
    <definedName name="_____FRU2003" localSheetId="13">#REF!</definedName>
    <definedName name="_____FRU2003" localSheetId="17">#REF!</definedName>
    <definedName name="_____FRU2003" localSheetId="12">#REF!</definedName>
    <definedName name="_____FRU2003" localSheetId="22">#REF!</definedName>
    <definedName name="_____FRU2003" localSheetId="28">#REF!</definedName>
    <definedName name="_____FRU2003" localSheetId="35">#REF!</definedName>
    <definedName name="_____FRU2003">#REF!</definedName>
    <definedName name="_____GBP4">'[14]FX Rates'!$G$9</definedName>
    <definedName name="_____mar1">#N/A</definedName>
    <definedName name="_____OUJ2">#N/A</definedName>
    <definedName name="_____pg1" localSheetId="18">#REF!</definedName>
    <definedName name="_____pg1" localSheetId="25">#REF!</definedName>
    <definedName name="_____pg1" localSheetId="29">#REF!</definedName>
    <definedName name="_____pg1" localSheetId="31">#REF!</definedName>
    <definedName name="_____pg1" localSheetId="15">#REF!</definedName>
    <definedName name="_____pg1" localSheetId="13">#REF!</definedName>
    <definedName name="_____pg1" localSheetId="17">#REF!</definedName>
    <definedName name="_____pg1" localSheetId="12">#REF!</definedName>
    <definedName name="_____pg1" localSheetId="22">#REF!</definedName>
    <definedName name="_____pg1" localSheetId="28">#REF!</definedName>
    <definedName name="_____pg1" localSheetId="35">#REF!</definedName>
    <definedName name="_____pg1">#REF!</definedName>
    <definedName name="_____pg2" localSheetId="18">#REF!</definedName>
    <definedName name="_____pg2" localSheetId="25">#REF!</definedName>
    <definedName name="_____pg2" localSheetId="29">#REF!</definedName>
    <definedName name="_____pg2" localSheetId="31">#REF!</definedName>
    <definedName name="_____pg2" localSheetId="15">#REF!</definedName>
    <definedName name="_____pg2" localSheetId="13">#REF!</definedName>
    <definedName name="_____pg2" localSheetId="17">#REF!</definedName>
    <definedName name="_____pg2" localSheetId="12">#REF!</definedName>
    <definedName name="_____pg2" localSheetId="22">#REF!</definedName>
    <definedName name="_____pg2" localSheetId="28">#REF!</definedName>
    <definedName name="_____pg2" localSheetId="35">#REF!</definedName>
    <definedName name="_____pg2">#REF!</definedName>
    <definedName name="_____R" localSheetId="18">#REF!</definedName>
    <definedName name="_____R" localSheetId="25">#REF!</definedName>
    <definedName name="_____R" localSheetId="29">#REF!</definedName>
    <definedName name="_____R" localSheetId="31">#REF!</definedName>
    <definedName name="_____R" localSheetId="15">#REF!</definedName>
    <definedName name="_____R" localSheetId="13">#REF!</definedName>
    <definedName name="_____R" localSheetId="17">#REF!</definedName>
    <definedName name="_____R" localSheetId="12">#REF!</definedName>
    <definedName name="_____R" localSheetId="22">#REF!</definedName>
    <definedName name="_____R" localSheetId="28">#REF!</definedName>
    <definedName name="_____R" localSheetId="35">#REF!</definedName>
    <definedName name="_____R">#REF!</definedName>
    <definedName name="_____R2000ssta" localSheetId="18">#REF!</definedName>
    <definedName name="_____R2000ssta" localSheetId="25">#REF!</definedName>
    <definedName name="_____R2000ssta" localSheetId="29">#REF!</definedName>
    <definedName name="_____R2000ssta" localSheetId="31">#REF!</definedName>
    <definedName name="_____R2000ssta" localSheetId="15">#REF!</definedName>
    <definedName name="_____R2000ssta" localSheetId="13">#REF!</definedName>
    <definedName name="_____R2000ssta" localSheetId="17">#REF!</definedName>
    <definedName name="_____R2000ssta" localSheetId="12">#REF!</definedName>
    <definedName name="_____R2000ssta" localSheetId="22">#REF!</definedName>
    <definedName name="_____R2000ssta" localSheetId="28">#REF!</definedName>
    <definedName name="_____R2000ssta" localSheetId="35">#REF!</definedName>
    <definedName name="_____R2000ssta">#REF!</definedName>
    <definedName name="_____R2000ssta___0">#N/A</definedName>
    <definedName name="_____R2000ssta___12">#N/A</definedName>
    <definedName name="_____R2000ssta___14">#N/A</definedName>
    <definedName name="_____R2000ssta___16">#N/A</definedName>
    <definedName name="_____R2000ssta___27">#N/A</definedName>
    <definedName name="_____R2000ssta___5">#N/A</definedName>
    <definedName name="_____SC16" localSheetId="18">#REF!</definedName>
    <definedName name="_____SC16" localSheetId="25">#REF!</definedName>
    <definedName name="_____SC16" localSheetId="29">#REF!</definedName>
    <definedName name="_____SC16" localSheetId="31">#REF!</definedName>
    <definedName name="_____SC16" localSheetId="15">#REF!</definedName>
    <definedName name="_____SC16" localSheetId="13">#REF!</definedName>
    <definedName name="_____SC16" localSheetId="17">#REF!</definedName>
    <definedName name="_____SC16" localSheetId="12">#REF!</definedName>
    <definedName name="_____SC16" localSheetId="22">#REF!</definedName>
    <definedName name="_____SC16" localSheetId="28">#REF!</definedName>
    <definedName name="_____SC16" localSheetId="35">#REF!</definedName>
    <definedName name="_____SC16">#REF!</definedName>
    <definedName name="_____SET2" localSheetId="18">#REF!</definedName>
    <definedName name="_____SET2" localSheetId="25">#REF!</definedName>
    <definedName name="_____SET2" localSheetId="29">#REF!</definedName>
    <definedName name="_____SET2" localSheetId="31">#REF!</definedName>
    <definedName name="_____SET2" localSheetId="15">#REF!</definedName>
    <definedName name="_____SET2" localSheetId="13">#REF!</definedName>
    <definedName name="_____SET2" localSheetId="17">#REF!</definedName>
    <definedName name="_____SET2" localSheetId="12">#REF!</definedName>
    <definedName name="_____SET2" localSheetId="22">#REF!</definedName>
    <definedName name="_____SET2" localSheetId="28">#REF!</definedName>
    <definedName name="_____SET2" localSheetId="35">#REF!</definedName>
    <definedName name="_____SET2">#REF!</definedName>
    <definedName name="_____SYN1" localSheetId="18">#REF!</definedName>
    <definedName name="_____SYN1" localSheetId="25">#REF!</definedName>
    <definedName name="_____SYN1" localSheetId="29">#REF!</definedName>
    <definedName name="_____SYN1" localSheetId="31">#REF!</definedName>
    <definedName name="_____SYN1" localSheetId="15">#REF!</definedName>
    <definedName name="_____SYN1" localSheetId="13">#REF!</definedName>
    <definedName name="_____SYN1" localSheetId="17">#REF!</definedName>
    <definedName name="_____SYN1" localSheetId="12">#REF!</definedName>
    <definedName name="_____SYN1" localSheetId="22">#REF!</definedName>
    <definedName name="_____SYN1" localSheetId="28">#REF!</definedName>
    <definedName name="_____SYN1" localSheetId="35">#REF!</definedName>
    <definedName name="_____SYN1">#REF!</definedName>
    <definedName name="_____SYN2" localSheetId="18">#REF!</definedName>
    <definedName name="_____SYN2" localSheetId="25">#REF!</definedName>
    <definedName name="_____SYN2" localSheetId="29">#REF!</definedName>
    <definedName name="_____SYN2" localSheetId="31">#REF!</definedName>
    <definedName name="_____SYN2" localSheetId="15">#REF!</definedName>
    <definedName name="_____SYN2" localSheetId="13">#REF!</definedName>
    <definedName name="_____SYN2" localSheetId="17">#REF!</definedName>
    <definedName name="_____SYN2" localSheetId="12">#REF!</definedName>
    <definedName name="_____SYN2" localSheetId="22">#REF!</definedName>
    <definedName name="_____SYN2" localSheetId="28">#REF!</definedName>
    <definedName name="_____SYN2" localSheetId="35">#REF!</definedName>
    <definedName name="_____SYN2">#REF!</definedName>
    <definedName name="_____TAE2001">#N/A</definedName>
    <definedName name="_____TAE2002">#N/A</definedName>
    <definedName name="_____UNI1999" localSheetId="18">#REF!</definedName>
    <definedName name="_____UNI1999" localSheetId="25">#REF!</definedName>
    <definedName name="_____UNI1999" localSheetId="29">#REF!</definedName>
    <definedName name="_____UNI1999" localSheetId="31">#REF!</definedName>
    <definedName name="_____UNI1999" localSheetId="15">#REF!</definedName>
    <definedName name="_____UNI1999" localSheetId="13">#REF!</definedName>
    <definedName name="_____UNI1999" localSheetId="17">#REF!</definedName>
    <definedName name="_____UNI1999" localSheetId="12">#REF!</definedName>
    <definedName name="_____UNI1999" localSheetId="22">#REF!</definedName>
    <definedName name="_____UNI1999" localSheetId="28">#REF!</definedName>
    <definedName name="_____UNI1999" localSheetId="35">#REF!</definedName>
    <definedName name="_____UNI1999">#REF!</definedName>
    <definedName name="_____UNI2000" localSheetId="18">#REF!</definedName>
    <definedName name="_____UNI2000" localSheetId="25">#REF!</definedName>
    <definedName name="_____UNI2000" localSheetId="29">#REF!</definedName>
    <definedName name="_____UNI2000" localSheetId="31">#REF!</definedName>
    <definedName name="_____UNI2000" localSheetId="15">#REF!</definedName>
    <definedName name="_____UNI2000" localSheetId="13">#REF!</definedName>
    <definedName name="_____UNI2000" localSheetId="17">#REF!</definedName>
    <definedName name="_____UNI2000" localSheetId="12">#REF!</definedName>
    <definedName name="_____UNI2000" localSheetId="22">#REF!</definedName>
    <definedName name="_____UNI2000" localSheetId="28">#REF!</definedName>
    <definedName name="_____UNI2000" localSheetId="35">#REF!</definedName>
    <definedName name="_____UNI2000">#REF!</definedName>
    <definedName name="_____UNI2001" localSheetId="18">#REF!</definedName>
    <definedName name="_____UNI2001" localSheetId="25">#REF!</definedName>
    <definedName name="_____UNI2001" localSheetId="29">#REF!</definedName>
    <definedName name="_____UNI2001" localSheetId="31">#REF!</definedName>
    <definedName name="_____UNI2001" localSheetId="15">#REF!</definedName>
    <definedName name="_____UNI2001" localSheetId="13">#REF!</definedName>
    <definedName name="_____UNI2001" localSheetId="17">#REF!</definedName>
    <definedName name="_____UNI2001" localSheetId="12">#REF!</definedName>
    <definedName name="_____UNI2001" localSheetId="22">#REF!</definedName>
    <definedName name="_____UNI2001" localSheetId="28">#REF!</definedName>
    <definedName name="_____UNI2001" localSheetId="35">#REF!</definedName>
    <definedName name="_____UNI2001">#REF!</definedName>
    <definedName name="_____vb100" localSheetId="18">#REF!</definedName>
    <definedName name="_____vb100" localSheetId="25">#REF!</definedName>
    <definedName name="_____vb100" localSheetId="29">#REF!</definedName>
    <definedName name="_____vb100" localSheetId="31">#REF!</definedName>
    <definedName name="_____vb100" localSheetId="15">#REF!</definedName>
    <definedName name="_____vb100" localSheetId="13">#REF!</definedName>
    <definedName name="_____vb100" localSheetId="17">#REF!</definedName>
    <definedName name="_____vb100" localSheetId="12">#REF!</definedName>
    <definedName name="_____vb100" localSheetId="22">#REF!</definedName>
    <definedName name="_____vb100" localSheetId="28">#REF!</definedName>
    <definedName name="_____vb100" localSheetId="35">#REF!</definedName>
    <definedName name="_____vb100">#REF!</definedName>
    <definedName name="_____YR1">#N/A</definedName>
    <definedName name="_____YR2">#N/A</definedName>
    <definedName name="_____YR3">#N/A</definedName>
    <definedName name="_____YR4">#N/A</definedName>
    <definedName name="____0">#N/A</definedName>
    <definedName name="____12">#N/A</definedName>
    <definedName name="____14">#N/A</definedName>
    <definedName name="____16">#N/A</definedName>
    <definedName name="____1Budget_PAF_03">#N/A</definedName>
    <definedName name="____1BudgetPôleFixe03">#N/A</definedName>
    <definedName name="____2">#N/A</definedName>
    <definedName name="____2_" localSheetId="18">#REF!</definedName>
    <definedName name="____2_" localSheetId="25">#REF!</definedName>
    <definedName name="____2_" localSheetId="29">#REF!</definedName>
    <definedName name="____2_" localSheetId="31">#REF!</definedName>
    <definedName name="____2_" localSheetId="15">#REF!</definedName>
    <definedName name="____2_" localSheetId="13">#REF!</definedName>
    <definedName name="____2_" localSheetId="17">#REF!</definedName>
    <definedName name="____2_" localSheetId="12">#REF!</definedName>
    <definedName name="____2_" localSheetId="22">#REF!</definedName>
    <definedName name="____2_" localSheetId="28">#REF!</definedName>
    <definedName name="____2_" localSheetId="35">#REF!</definedName>
    <definedName name="____2_">#REF!</definedName>
    <definedName name="____25">#N/A</definedName>
    <definedName name="____26">#N/A</definedName>
    <definedName name="____27">#N/A</definedName>
    <definedName name="____4">#N/A</definedName>
    <definedName name="____5">#N/A</definedName>
    <definedName name="____7">#N/A</definedName>
    <definedName name="____aaa1" localSheetId="18">#REF!</definedName>
    <definedName name="____aaa1" localSheetId="25">#REF!</definedName>
    <definedName name="____aaa1" localSheetId="29">#REF!</definedName>
    <definedName name="____aaa1" localSheetId="31">#REF!</definedName>
    <definedName name="____aaa1" localSheetId="15">#REF!</definedName>
    <definedName name="____aaa1" localSheetId="13">#REF!</definedName>
    <definedName name="____aaa1" localSheetId="17">#REF!</definedName>
    <definedName name="____aaa1" localSheetId="12">#REF!</definedName>
    <definedName name="____aaa1" localSheetId="22">#REF!</definedName>
    <definedName name="____aaa1" localSheetId="28">#REF!</definedName>
    <definedName name="____aaa1" localSheetId="35">#REF!</definedName>
    <definedName name="____aaa1">#REF!</definedName>
    <definedName name="____aaa2" localSheetId="18">#REF!</definedName>
    <definedName name="____aaa2" localSheetId="25">#REF!</definedName>
    <definedName name="____aaa2" localSheetId="29">#REF!</definedName>
    <definedName name="____aaa2" localSheetId="31">#REF!</definedName>
    <definedName name="____aaa2" localSheetId="15">#REF!</definedName>
    <definedName name="____aaa2" localSheetId="13">#REF!</definedName>
    <definedName name="____aaa2" localSheetId="17">#REF!</definedName>
    <definedName name="____aaa2" localSheetId="12">#REF!</definedName>
    <definedName name="____aaa2" localSheetId="22">#REF!</definedName>
    <definedName name="____aaa2" localSheetId="28">#REF!</definedName>
    <definedName name="____aaa2" localSheetId="35">#REF!</definedName>
    <definedName name="____aaa2">#REF!</definedName>
    <definedName name="____aaa3" localSheetId="18">#REF!</definedName>
    <definedName name="____aaa3" localSheetId="25">#REF!</definedName>
    <definedName name="____aaa3" localSheetId="29">#REF!</definedName>
    <definedName name="____aaa3" localSheetId="31">#REF!</definedName>
    <definedName name="____aaa3" localSheetId="15">#REF!</definedName>
    <definedName name="____aaa3" localSheetId="13">#REF!</definedName>
    <definedName name="____aaa3" localSheetId="17">#REF!</definedName>
    <definedName name="____aaa3" localSheetId="12">#REF!</definedName>
    <definedName name="____aaa3" localSheetId="22">#REF!</definedName>
    <definedName name="____aaa3" localSheetId="28">#REF!</definedName>
    <definedName name="____aaa3" localSheetId="35">#REF!</definedName>
    <definedName name="____aaa3">#REF!</definedName>
    <definedName name="____aaa4" localSheetId="18">#REF!</definedName>
    <definedName name="____aaa4" localSheetId="25">#REF!</definedName>
    <definedName name="____aaa4" localSheetId="29">#REF!</definedName>
    <definedName name="____aaa4" localSheetId="31">#REF!</definedName>
    <definedName name="____aaa4" localSheetId="15">#REF!</definedName>
    <definedName name="____aaa4" localSheetId="13">#REF!</definedName>
    <definedName name="____aaa4" localSheetId="17">#REF!</definedName>
    <definedName name="____aaa4" localSheetId="12">#REF!</definedName>
    <definedName name="____aaa4" localSheetId="22">#REF!</definedName>
    <definedName name="____aaa4" localSheetId="28">#REF!</definedName>
    <definedName name="____aaa4" localSheetId="35">#REF!</definedName>
    <definedName name="____aaa4">#REF!</definedName>
    <definedName name="____aaa5" localSheetId="18">#REF!</definedName>
    <definedName name="____aaa5" localSheetId="25">#REF!</definedName>
    <definedName name="____aaa5" localSheetId="29">#REF!</definedName>
    <definedName name="____aaa5" localSheetId="31">#REF!</definedName>
    <definedName name="____aaa5" localSheetId="15">#REF!</definedName>
    <definedName name="____aaa5" localSheetId="13">#REF!</definedName>
    <definedName name="____aaa5" localSheetId="17">#REF!</definedName>
    <definedName name="____aaa5" localSheetId="12">#REF!</definedName>
    <definedName name="____aaa5" localSheetId="22">#REF!</definedName>
    <definedName name="____aaa5" localSheetId="28">#REF!</definedName>
    <definedName name="____aaa5" localSheetId="35">#REF!</definedName>
    <definedName name="____aaa5">#REF!</definedName>
    <definedName name="____aaa6" localSheetId="18">#REF!</definedName>
    <definedName name="____aaa6" localSheetId="25">#REF!</definedName>
    <definedName name="____aaa6" localSheetId="29">#REF!</definedName>
    <definedName name="____aaa6" localSheetId="31">#REF!</definedName>
    <definedName name="____aaa6" localSheetId="15">#REF!</definedName>
    <definedName name="____aaa6" localSheetId="13">#REF!</definedName>
    <definedName name="____aaa6" localSheetId="17">#REF!</definedName>
    <definedName name="____aaa6" localSheetId="12">#REF!</definedName>
    <definedName name="____aaa6" localSheetId="22">#REF!</definedName>
    <definedName name="____aaa6" localSheetId="28">#REF!</definedName>
    <definedName name="____aaa6" localSheetId="35">#REF!</definedName>
    <definedName name="____aaa6">#REF!</definedName>
    <definedName name="____aaa7" localSheetId="18">#REF!</definedName>
    <definedName name="____aaa7" localSheetId="25">#REF!</definedName>
    <definedName name="____aaa7" localSheetId="29">#REF!</definedName>
    <definedName name="____aaa7" localSheetId="31">#REF!</definedName>
    <definedName name="____aaa7" localSheetId="15">#REF!</definedName>
    <definedName name="____aaa7" localSheetId="13">#REF!</definedName>
    <definedName name="____aaa7" localSheetId="17">#REF!</definedName>
    <definedName name="____aaa7" localSheetId="12">#REF!</definedName>
    <definedName name="____aaa7" localSheetId="22">#REF!</definedName>
    <definedName name="____aaa7" localSheetId="28">#REF!</definedName>
    <definedName name="____aaa7" localSheetId="35">#REF!</definedName>
    <definedName name="____aaa7">#REF!</definedName>
    <definedName name="____aaa8" localSheetId="18">#REF!</definedName>
    <definedName name="____aaa8" localSheetId="25">#REF!</definedName>
    <definedName name="____aaa8" localSheetId="29">#REF!</definedName>
    <definedName name="____aaa8" localSheetId="31">#REF!</definedName>
    <definedName name="____aaa8" localSheetId="15">#REF!</definedName>
    <definedName name="____aaa8" localSheetId="13">#REF!</definedName>
    <definedName name="____aaa8" localSheetId="17">#REF!</definedName>
    <definedName name="____aaa8" localSheetId="12">#REF!</definedName>
    <definedName name="____aaa8" localSheetId="22">#REF!</definedName>
    <definedName name="____aaa8" localSheetId="28">#REF!</definedName>
    <definedName name="____aaa8" localSheetId="35">#REF!</definedName>
    <definedName name="____aaa8">#REF!</definedName>
    <definedName name="____B1">#N/A</definedName>
    <definedName name="____bbb1">#N/A</definedName>
    <definedName name="____c20041" localSheetId="18">#REF!</definedName>
    <definedName name="____c20041" localSheetId="25">#REF!</definedName>
    <definedName name="____c20041" localSheetId="29">#REF!</definedName>
    <definedName name="____c20041" localSheetId="31">#REF!</definedName>
    <definedName name="____c20041" localSheetId="15">#REF!</definedName>
    <definedName name="____c20041" localSheetId="13">#REF!</definedName>
    <definedName name="____c20041" localSheetId="17">#REF!</definedName>
    <definedName name="____c20041" localSheetId="12">#REF!</definedName>
    <definedName name="____c20041" localSheetId="22">#REF!</definedName>
    <definedName name="____c20041" localSheetId="28">#REF!</definedName>
    <definedName name="____c20041" localSheetId="35">#REF!</definedName>
    <definedName name="____c20041">#REF!</definedName>
    <definedName name="____DAT1">#N/A</definedName>
    <definedName name="____DAT10">#N/A</definedName>
    <definedName name="____DAT11">#N/A</definedName>
    <definedName name="____DAT12">#N/A</definedName>
    <definedName name="____DAT13">#N/A</definedName>
    <definedName name="____DAT14">#N/A</definedName>
    <definedName name="____DAT15">#N/A</definedName>
    <definedName name="____DAT16">#N/A</definedName>
    <definedName name="____DAT17">#N/A</definedName>
    <definedName name="____DAT18">#N/A</definedName>
    <definedName name="____DAT19">#N/A</definedName>
    <definedName name="____DAT2">#N/A</definedName>
    <definedName name="____DAT3">#N/A</definedName>
    <definedName name="____DAT4">#N/A</definedName>
    <definedName name="____DAT5">#N/A</definedName>
    <definedName name="____DAT6">#N/A</definedName>
    <definedName name="____DAT7">#N/A</definedName>
    <definedName name="____DAT8">#N/A</definedName>
    <definedName name="____DAT9">#N/A</definedName>
    <definedName name="____eng2">#N/A</definedName>
    <definedName name="____eng3" localSheetId="18">[6]!____eng3</definedName>
    <definedName name="____eng3" localSheetId="25">[6]!____eng3</definedName>
    <definedName name="____eng3" localSheetId="29">[6]!____eng3</definedName>
    <definedName name="____eng3" localSheetId="31">[6]!____eng3</definedName>
    <definedName name="____eng3" localSheetId="15">[6]!____eng3</definedName>
    <definedName name="____eng3" localSheetId="13">[6]!____eng3</definedName>
    <definedName name="____eng3" localSheetId="19">[7]!____eng3</definedName>
    <definedName name="____eng3" localSheetId="17">[6]!____eng3</definedName>
    <definedName name="____eng3" localSheetId="12">[6]!____eng3</definedName>
    <definedName name="____eng3" localSheetId="22">[8]!____eng3</definedName>
    <definedName name="____eng3">[6]!____eng3</definedName>
    <definedName name="____eng4">#N/A</definedName>
    <definedName name="____ess1" localSheetId="18">#REF!</definedName>
    <definedName name="____ess1" localSheetId="25">#REF!</definedName>
    <definedName name="____ess1" localSheetId="29">#REF!</definedName>
    <definedName name="____ess1" localSheetId="31">#REF!</definedName>
    <definedName name="____ess1" localSheetId="15">#REF!</definedName>
    <definedName name="____ess1" localSheetId="13">#REF!</definedName>
    <definedName name="____ess1" localSheetId="17">#REF!</definedName>
    <definedName name="____ess1" localSheetId="12">#REF!</definedName>
    <definedName name="____ess1" localSheetId="22">#REF!</definedName>
    <definedName name="____ess1" localSheetId="28">#REF!</definedName>
    <definedName name="____ess1" localSheetId="35">#REF!</definedName>
    <definedName name="____ess1">#REF!</definedName>
    <definedName name="____FRF4">'[15]FX Rates'!$G$10</definedName>
    <definedName name="____FRU2003" localSheetId="18">#REF!</definedName>
    <definedName name="____FRU2003" localSheetId="25">#REF!</definedName>
    <definedName name="____FRU2003" localSheetId="29">#REF!</definedName>
    <definedName name="____FRU2003" localSheetId="31">#REF!</definedName>
    <definedName name="____FRU2003" localSheetId="15">#REF!</definedName>
    <definedName name="____FRU2003" localSheetId="13">#REF!</definedName>
    <definedName name="____FRU2003" localSheetId="17">#REF!</definedName>
    <definedName name="____FRU2003" localSheetId="12">#REF!</definedName>
    <definedName name="____FRU2003" localSheetId="22">#REF!</definedName>
    <definedName name="____FRU2003" localSheetId="28">#REF!</definedName>
    <definedName name="____FRU2003" localSheetId="35">#REF!</definedName>
    <definedName name="____FRU2003">#REF!</definedName>
    <definedName name="____GBP4">'[15]FX Rates'!$G$9</definedName>
    <definedName name="____mar1">#N/A</definedName>
    <definedName name="____OUJ2">#N/A</definedName>
    <definedName name="____pg1" localSheetId="18">#REF!</definedName>
    <definedName name="____pg1" localSheetId="25">#REF!</definedName>
    <definedName name="____pg1" localSheetId="29">#REF!</definedName>
    <definedName name="____pg1" localSheetId="31">#REF!</definedName>
    <definedName name="____pg1" localSheetId="15">#REF!</definedName>
    <definedName name="____pg1" localSheetId="13">#REF!</definedName>
    <definedName name="____pg1" localSheetId="17">#REF!</definedName>
    <definedName name="____pg1" localSheetId="12">#REF!</definedName>
    <definedName name="____pg1" localSheetId="22">#REF!</definedName>
    <definedName name="____pg1" localSheetId="28">#REF!</definedName>
    <definedName name="____pg1" localSheetId="35">#REF!</definedName>
    <definedName name="____pg1">#REF!</definedName>
    <definedName name="____pg2" localSheetId="18">#REF!</definedName>
    <definedName name="____pg2" localSheetId="25">#REF!</definedName>
    <definedName name="____pg2" localSheetId="29">#REF!</definedName>
    <definedName name="____pg2" localSheetId="31">#REF!</definedName>
    <definedName name="____pg2" localSheetId="15">#REF!</definedName>
    <definedName name="____pg2" localSheetId="13">#REF!</definedName>
    <definedName name="____pg2" localSheetId="17">#REF!</definedName>
    <definedName name="____pg2" localSheetId="12">#REF!</definedName>
    <definedName name="____pg2" localSheetId="22">#REF!</definedName>
    <definedName name="____pg2" localSheetId="28">#REF!</definedName>
    <definedName name="____pg2" localSheetId="35">#REF!</definedName>
    <definedName name="____pg2">#REF!</definedName>
    <definedName name="____R" localSheetId="18">#REF!</definedName>
    <definedName name="____R" localSheetId="25">#REF!</definedName>
    <definedName name="____R" localSheetId="29">#REF!</definedName>
    <definedName name="____R" localSheetId="31">#REF!</definedName>
    <definedName name="____R" localSheetId="15">#REF!</definedName>
    <definedName name="____R" localSheetId="13">#REF!</definedName>
    <definedName name="____R" localSheetId="17">#REF!</definedName>
    <definedName name="____R" localSheetId="12">#REF!</definedName>
    <definedName name="____R" localSheetId="22">#REF!</definedName>
    <definedName name="____R" localSheetId="28">#REF!</definedName>
    <definedName name="____R" localSheetId="35">#REF!</definedName>
    <definedName name="____R">#REF!</definedName>
    <definedName name="____R2000ssta" localSheetId="18">#REF!</definedName>
    <definedName name="____R2000ssta" localSheetId="25">#REF!</definedName>
    <definedName name="____R2000ssta" localSheetId="29">#REF!</definedName>
    <definedName name="____R2000ssta" localSheetId="31">#REF!</definedName>
    <definedName name="____R2000ssta" localSheetId="15">#REF!</definedName>
    <definedName name="____R2000ssta" localSheetId="13">#REF!</definedName>
    <definedName name="____R2000ssta" localSheetId="19">#REF!</definedName>
    <definedName name="____R2000ssta" localSheetId="17">#REF!</definedName>
    <definedName name="____R2000ssta" localSheetId="12">#REF!</definedName>
    <definedName name="____R2000ssta" localSheetId="22">#REF!</definedName>
    <definedName name="____R2000ssta" localSheetId="28">#REF!</definedName>
    <definedName name="____R2000ssta" localSheetId="35">#REF!</definedName>
    <definedName name="____R2000ssta">#REF!</definedName>
    <definedName name="____R2000ssta___0">#N/A</definedName>
    <definedName name="____R2000ssta___12">#N/A</definedName>
    <definedName name="____R2000ssta___14">#N/A</definedName>
    <definedName name="____R2000ssta___16">#N/A</definedName>
    <definedName name="____R2000ssta___27">#N/A</definedName>
    <definedName name="____R2000ssta___5">#N/A</definedName>
    <definedName name="____SC16" localSheetId="18">#REF!</definedName>
    <definedName name="____SC16" localSheetId="25">#REF!</definedName>
    <definedName name="____SC16" localSheetId="29">#REF!</definedName>
    <definedName name="____SC16" localSheetId="31">#REF!</definedName>
    <definedName name="____SC16" localSheetId="15">#REF!</definedName>
    <definedName name="____SC16" localSheetId="13">#REF!</definedName>
    <definedName name="____SC16" localSheetId="17">#REF!</definedName>
    <definedName name="____SC16" localSheetId="12">#REF!</definedName>
    <definedName name="____SC16" localSheetId="22">#REF!</definedName>
    <definedName name="____SC16" localSheetId="28">#REF!</definedName>
    <definedName name="____SC16" localSheetId="35">#REF!</definedName>
    <definedName name="____SC16">#REF!</definedName>
    <definedName name="____SET2" localSheetId="18">#REF!</definedName>
    <definedName name="____SET2" localSheetId="25">#REF!</definedName>
    <definedName name="____SET2" localSheetId="29">#REF!</definedName>
    <definedName name="____SET2" localSheetId="31">#REF!</definedName>
    <definedName name="____SET2" localSheetId="15">#REF!</definedName>
    <definedName name="____SET2" localSheetId="13">#REF!</definedName>
    <definedName name="____SET2" localSheetId="17">#REF!</definedName>
    <definedName name="____SET2" localSheetId="12">#REF!</definedName>
    <definedName name="____SET2" localSheetId="22">#REF!</definedName>
    <definedName name="____SET2" localSheetId="28">#REF!</definedName>
    <definedName name="____SET2" localSheetId="35">#REF!</definedName>
    <definedName name="____SET2">#REF!</definedName>
    <definedName name="____SYN1" localSheetId="18">#REF!</definedName>
    <definedName name="____SYN1" localSheetId="25">#REF!</definedName>
    <definedName name="____SYN1" localSheetId="29">#REF!</definedName>
    <definedName name="____SYN1" localSheetId="31">#REF!</definedName>
    <definedName name="____SYN1" localSheetId="15">#REF!</definedName>
    <definedName name="____SYN1" localSheetId="13">#REF!</definedName>
    <definedName name="____SYN1" localSheetId="17">#REF!</definedName>
    <definedName name="____SYN1" localSheetId="12">#REF!</definedName>
    <definedName name="____SYN1" localSheetId="22">#REF!</definedName>
    <definedName name="____SYN1" localSheetId="28">#REF!</definedName>
    <definedName name="____SYN1" localSheetId="35">#REF!</definedName>
    <definedName name="____SYN1">#REF!</definedName>
    <definedName name="____SYN2" localSheetId="18">#REF!</definedName>
    <definedName name="____SYN2" localSheetId="25">#REF!</definedName>
    <definedName name="____SYN2" localSheetId="29">#REF!</definedName>
    <definedName name="____SYN2" localSheetId="31">#REF!</definedName>
    <definedName name="____SYN2" localSheetId="15">#REF!</definedName>
    <definedName name="____SYN2" localSheetId="13">#REF!</definedName>
    <definedName name="____SYN2" localSheetId="17">#REF!</definedName>
    <definedName name="____SYN2" localSheetId="12">#REF!</definedName>
    <definedName name="____SYN2" localSheetId="22">#REF!</definedName>
    <definedName name="____SYN2" localSheetId="28">#REF!</definedName>
    <definedName name="____SYN2" localSheetId="35">#REF!</definedName>
    <definedName name="____SYN2">#REF!</definedName>
    <definedName name="____TAE2001">#N/A</definedName>
    <definedName name="____TAE2002">#N/A</definedName>
    <definedName name="____UNI1999" localSheetId="18">#REF!</definedName>
    <definedName name="____UNI1999" localSheetId="25">#REF!</definedName>
    <definedName name="____UNI1999" localSheetId="29">#REF!</definedName>
    <definedName name="____UNI1999" localSheetId="31">#REF!</definedName>
    <definedName name="____UNI1999" localSheetId="15">#REF!</definedName>
    <definedName name="____UNI1999" localSheetId="13">#REF!</definedName>
    <definedName name="____UNI1999" localSheetId="17">#REF!</definedName>
    <definedName name="____UNI1999" localSheetId="12">#REF!</definedName>
    <definedName name="____UNI1999" localSheetId="22">#REF!</definedName>
    <definedName name="____UNI1999" localSheetId="28">#REF!</definedName>
    <definedName name="____UNI1999" localSheetId="35">#REF!</definedName>
    <definedName name="____UNI1999">#REF!</definedName>
    <definedName name="____UNI2000" localSheetId="18">#REF!</definedName>
    <definedName name="____UNI2000" localSheetId="25">#REF!</definedName>
    <definedName name="____UNI2000" localSheetId="29">#REF!</definedName>
    <definedName name="____UNI2000" localSheetId="31">#REF!</definedName>
    <definedName name="____UNI2000" localSheetId="15">#REF!</definedName>
    <definedName name="____UNI2000" localSheetId="13">#REF!</definedName>
    <definedName name="____UNI2000" localSheetId="17">#REF!</definedName>
    <definedName name="____UNI2000" localSheetId="12">#REF!</definedName>
    <definedName name="____UNI2000" localSheetId="22">#REF!</definedName>
    <definedName name="____UNI2000" localSheetId="28">#REF!</definedName>
    <definedName name="____UNI2000" localSheetId="35">#REF!</definedName>
    <definedName name="____UNI2000">#REF!</definedName>
    <definedName name="____UNI2001" localSheetId="18">#REF!</definedName>
    <definedName name="____UNI2001" localSheetId="25">#REF!</definedName>
    <definedName name="____UNI2001" localSheetId="29">#REF!</definedName>
    <definedName name="____UNI2001" localSheetId="31">#REF!</definedName>
    <definedName name="____UNI2001" localSheetId="15">#REF!</definedName>
    <definedName name="____UNI2001" localSheetId="13">#REF!</definedName>
    <definedName name="____UNI2001" localSheetId="17">#REF!</definedName>
    <definedName name="____UNI2001" localSheetId="12">#REF!</definedName>
    <definedName name="____UNI2001" localSheetId="22">#REF!</definedName>
    <definedName name="____UNI2001" localSheetId="28">#REF!</definedName>
    <definedName name="____UNI2001" localSheetId="35">#REF!</definedName>
    <definedName name="____UNI2001">#REF!</definedName>
    <definedName name="____vb100" localSheetId="18">#REF!</definedName>
    <definedName name="____vb100" localSheetId="25">#REF!</definedName>
    <definedName name="____vb100" localSheetId="29">#REF!</definedName>
    <definedName name="____vb100" localSheetId="31">#REF!</definedName>
    <definedName name="____vb100" localSheetId="15">#REF!</definedName>
    <definedName name="____vb100" localSheetId="13">#REF!</definedName>
    <definedName name="____vb100" localSheetId="17">#REF!</definedName>
    <definedName name="____vb100" localSheetId="12">#REF!</definedName>
    <definedName name="____vb100" localSheetId="22">#REF!</definedName>
    <definedName name="____vb100" localSheetId="28">#REF!</definedName>
    <definedName name="____vb100" localSheetId="35">#REF!</definedName>
    <definedName name="____vb100">#REF!</definedName>
    <definedName name="____YR1">#N/A</definedName>
    <definedName name="____YR2">#N/A</definedName>
    <definedName name="____YR3">#N/A</definedName>
    <definedName name="____YR4">#N/A</definedName>
    <definedName name="___1_" localSheetId="18">#REF!</definedName>
    <definedName name="___1_" localSheetId="25">#REF!</definedName>
    <definedName name="___1_" localSheetId="29">#REF!</definedName>
    <definedName name="___1_" localSheetId="31">#REF!</definedName>
    <definedName name="___1_" localSheetId="15">#REF!</definedName>
    <definedName name="___1_" localSheetId="13">#REF!</definedName>
    <definedName name="___1_" localSheetId="17">#REF!</definedName>
    <definedName name="___1_" localSheetId="12">#REF!</definedName>
    <definedName name="___1_" localSheetId="22">#REF!</definedName>
    <definedName name="___1_" localSheetId="28">#REF!</definedName>
    <definedName name="___1_" localSheetId="35">#REF!</definedName>
    <definedName name="___1_">#REF!</definedName>
    <definedName name="___1Budget_PAF_03">#N/A</definedName>
    <definedName name="___1BudgetPôleFixe03">#N/A</definedName>
    <definedName name="___2_" localSheetId="18">#REF!</definedName>
    <definedName name="___2_" localSheetId="25">#REF!</definedName>
    <definedName name="___2_" localSheetId="29">#REF!</definedName>
    <definedName name="___2_" localSheetId="31">#REF!</definedName>
    <definedName name="___2_" localSheetId="15">#REF!</definedName>
    <definedName name="___2_" localSheetId="13">#REF!</definedName>
    <definedName name="___2_" localSheetId="17">#REF!</definedName>
    <definedName name="___2_" localSheetId="12">#REF!</definedName>
    <definedName name="___2_" localSheetId="22">#REF!</definedName>
    <definedName name="___2_" localSheetId="28">#REF!</definedName>
    <definedName name="___2_" localSheetId="35">#REF!</definedName>
    <definedName name="___2_">#REF!</definedName>
    <definedName name="___3_0KRa" localSheetId="18">'[16]SC - Marketing'!#REF!</definedName>
    <definedName name="___3_0KRa" localSheetId="29">'[16]SC - Marketing'!#REF!</definedName>
    <definedName name="___3_0KRa" localSheetId="31">'[16]SC - Marketing'!#REF!</definedName>
    <definedName name="___3_0KRa" localSheetId="15">'[16]SC - Marketing'!#REF!</definedName>
    <definedName name="___3_0KRa" localSheetId="13">'[16]SC - Marketing'!#REF!</definedName>
    <definedName name="___3_0KRa" localSheetId="17">'[16]SC - Marketing'!#REF!</definedName>
    <definedName name="___3_0KRa" localSheetId="12">'[16]SC - Marketing'!#REF!</definedName>
    <definedName name="___3_0KRa" localSheetId="22">'[16]SC - Marketing'!#REF!</definedName>
    <definedName name="___3_0KRa" localSheetId="28">'[16]SC - Marketing'!#REF!</definedName>
    <definedName name="___3_0KRa" localSheetId="35">'[16]SC - Marketing'!#REF!</definedName>
    <definedName name="___3_0KRa">'[16]SC - Marketing'!#REF!</definedName>
    <definedName name="___4_" localSheetId="18">#REF!</definedName>
    <definedName name="___4_" localSheetId="25">#REF!</definedName>
    <definedName name="___4_" localSheetId="29">#REF!</definedName>
    <definedName name="___4_" localSheetId="31">#REF!</definedName>
    <definedName name="___4_" localSheetId="15">#REF!</definedName>
    <definedName name="___4_" localSheetId="13">#REF!</definedName>
    <definedName name="___4_" localSheetId="17">#REF!</definedName>
    <definedName name="___4_" localSheetId="12">#REF!</definedName>
    <definedName name="___4_" localSheetId="22">#REF!</definedName>
    <definedName name="___4_" localSheetId="28">#REF!</definedName>
    <definedName name="___4_" localSheetId="35">#REF!</definedName>
    <definedName name="___4_">#REF!</definedName>
    <definedName name="___aaa1" localSheetId="18">#REF!</definedName>
    <definedName name="___aaa1" localSheetId="25">#REF!</definedName>
    <definedName name="___aaa1" localSheetId="29">#REF!</definedName>
    <definedName name="___aaa1" localSheetId="31">#REF!</definedName>
    <definedName name="___aaa1" localSheetId="15">#REF!</definedName>
    <definedName name="___aaa1" localSheetId="13">#REF!</definedName>
    <definedName name="___aaa1" localSheetId="17">#REF!</definedName>
    <definedName name="___aaa1" localSheetId="12">#REF!</definedName>
    <definedName name="___aaa1" localSheetId="22">#REF!</definedName>
    <definedName name="___aaa1" localSheetId="28">#REF!</definedName>
    <definedName name="___aaa1" localSheetId="35">#REF!</definedName>
    <definedName name="___aaa1">#REF!</definedName>
    <definedName name="___aaa2" localSheetId="18">#REF!</definedName>
    <definedName name="___aaa2" localSheetId="25">#REF!</definedName>
    <definedName name="___aaa2" localSheetId="29">#REF!</definedName>
    <definedName name="___aaa2" localSheetId="31">#REF!</definedName>
    <definedName name="___aaa2" localSheetId="15">#REF!</definedName>
    <definedName name="___aaa2" localSheetId="13">#REF!</definedName>
    <definedName name="___aaa2" localSheetId="17">#REF!</definedName>
    <definedName name="___aaa2" localSheetId="12">#REF!</definedName>
    <definedName name="___aaa2" localSheetId="22">#REF!</definedName>
    <definedName name="___aaa2" localSheetId="28">#REF!</definedName>
    <definedName name="___aaa2" localSheetId="35">#REF!</definedName>
    <definedName name="___aaa2">#REF!</definedName>
    <definedName name="___aaa3" localSheetId="18">#REF!</definedName>
    <definedName name="___aaa3" localSheetId="25">#REF!</definedName>
    <definedName name="___aaa3" localSheetId="29">#REF!</definedName>
    <definedName name="___aaa3" localSheetId="31">#REF!</definedName>
    <definedName name="___aaa3" localSheetId="15">#REF!</definedName>
    <definedName name="___aaa3" localSheetId="13">#REF!</definedName>
    <definedName name="___aaa3" localSheetId="17">#REF!</definedName>
    <definedName name="___aaa3" localSheetId="12">#REF!</definedName>
    <definedName name="___aaa3" localSheetId="22">#REF!</definedName>
    <definedName name="___aaa3" localSheetId="28">#REF!</definedName>
    <definedName name="___aaa3" localSheetId="35">#REF!</definedName>
    <definedName name="___aaa3">#REF!</definedName>
    <definedName name="___aaa4" localSheetId="18">#REF!</definedName>
    <definedName name="___aaa4" localSheetId="25">#REF!</definedName>
    <definedName name="___aaa4" localSheetId="29">#REF!</definedName>
    <definedName name="___aaa4" localSheetId="31">#REF!</definedName>
    <definedName name="___aaa4" localSheetId="15">#REF!</definedName>
    <definedName name="___aaa4" localSheetId="13">#REF!</definedName>
    <definedName name="___aaa4" localSheetId="17">#REF!</definedName>
    <definedName name="___aaa4" localSheetId="12">#REF!</definedName>
    <definedName name="___aaa4" localSheetId="22">#REF!</definedName>
    <definedName name="___aaa4" localSheetId="28">#REF!</definedName>
    <definedName name="___aaa4" localSheetId="35">#REF!</definedName>
    <definedName name="___aaa4">#REF!</definedName>
    <definedName name="___aaa5" localSheetId="18">#REF!</definedName>
    <definedName name="___aaa5" localSheetId="25">#REF!</definedName>
    <definedName name="___aaa5" localSheetId="29">#REF!</definedName>
    <definedName name="___aaa5" localSheetId="31">#REF!</definedName>
    <definedName name="___aaa5" localSheetId="15">#REF!</definedName>
    <definedName name="___aaa5" localSheetId="13">#REF!</definedName>
    <definedName name="___aaa5" localSheetId="17">#REF!</definedName>
    <definedName name="___aaa5" localSheetId="12">#REF!</definedName>
    <definedName name="___aaa5" localSheetId="22">#REF!</definedName>
    <definedName name="___aaa5" localSheetId="28">#REF!</definedName>
    <definedName name="___aaa5" localSheetId="35">#REF!</definedName>
    <definedName name="___aaa5">#REF!</definedName>
    <definedName name="___aaa6" localSheetId="18">#REF!</definedName>
    <definedName name="___aaa6" localSheetId="25">#REF!</definedName>
    <definedName name="___aaa6" localSheetId="29">#REF!</definedName>
    <definedName name="___aaa6" localSheetId="31">#REF!</definedName>
    <definedName name="___aaa6" localSheetId="15">#REF!</definedName>
    <definedName name="___aaa6" localSheetId="13">#REF!</definedName>
    <definedName name="___aaa6" localSheetId="17">#REF!</definedName>
    <definedName name="___aaa6" localSheetId="12">#REF!</definedName>
    <definedName name="___aaa6" localSheetId="22">#REF!</definedName>
    <definedName name="___aaa6" localSheetId="28">#REF!</definedName>
    <definedName name="___aaa6" localSheetId="35">#REF!</definedName>
    <definedName name="___aaa6">#REF!</definedName>
    <definedName name="___aaa7" localSheetId="18">#REF!</definedName>
    <definedName name="___aaa7" localSheetId="25">#REF!</definedName>
    <definedName name="___aaa7" localSheetId="29">#REF!</definedName>
    <definedName name="___aaa7" localSheetId="31">#REF!</definedName>
    <definedName name="___aaa7" localSheetId="15">#REF!</definedName>
    <definedName name="___aaa7" localSheetId="13">#REF!</definedName>
    <definedName name="___aaa7" localSheetId="17">#REF!</definedName>
    <definedName name="___aaa7" localSheetId="12">#REF!</definedName>
    <definedName name="___aaa7" localSheetId="22">#REF!</definedName>
    <definedName name="___aaa7" localSheetId="28">#REF!</definedName>
    <definedName name="___aaa7" localSheetId="35">#REF!</definedName>
    <definedName name="___aaa7">#REF!</definedName>
    <definedName name="___aaa8" localSheetId="18">#REF!</definedName>
    <definedName name="___aaa8" localSheetId="25">#REF!</definedName>
    <definedName name="___aaa8" localSheetId="29">#REF!</definedName>
    <definedName name="___aaa8" localSheetId="31">#REF!</definedName>
    <definedName name="___aaa8" localSheetId="15">#REF!</definedName>
    <definedName name="___aaa8" localSheetId="13">#REF!</definedName>
    <definedName name="___aaa8" localSheetId="17">#REF!</definedName>
    <definedName name="___aaa8" localSheetId="12">#REF!</definedName>
    <definedName name="___aaa8" localSheetId="22">#REF!</definedName>
    <definedName name="___aaa8" localSheetId="28">#REF!</definedName>
    <definedName name="___aaa8" localSheetId="35">#REF!</definedName>
    <definedName name="___aaa8">#REF!</definedName>
    <definedName name="___B1">#N/A</definedName>
    <definedName name="___bbb1">#N/A</definedName>
    <definedName name="___c20041" localSheetId="18">#REF!</definedName>
    <definedName name="___c20041" localSheetId="25">#REF!</definedName>
    <definedName name="___c20041" localSheetId="29">#REF!</definedName>
    <definedName name="___c20041" localSheetId="31">#REF!</definedName>
    <definedName name="___c20041" localSheetId="15">#REF!</definedName>
    <definedName name="___c20041" localSheetId="13">#REF!</definedName>
    <definedName name="___c20041" localSheetId="17">#REF!</definedName>
    <definedName name="___c20041" localSheetId="12">#REF!</definedName>
    <definedName name="___c20041" localSheetId="22">#REF!</definedName>
    <definedName name="___c20041" localSheetId="28">#REF!</definedName>
    <definedName name="___c20041" localSheetId="35">#REF!</definedName>
    <definedName name="___c20041">#REF!</definedName>
    <definedName name="___DAT1">#N/A</definedName>
    <definedName name="___DAT10">#N/A</definedName>
    <definedName name="___DAT11">#N/A</definedName>
    <definedName name="___DAT12">#N/A</definedName>
    <definedName name="___DAT13">#N/A</definedName>
    <definedName name="___DAT14">#N/A</definedName>
    <definedName name="___DAT15">#N/A</definedName>
    <definedName name="___DAT16">#N/A</definedName>
    <definedName name="___DAT17">#N/A</definedName>
    <definedName name="___DAT18">#N/A</definedName>
    <definedName name="___DAT19">#N/A</definedName>
    <definedName name="___DAT2">#N/A</definedName>
    <definedName name="___DAT3">#N/A</definedName>
    <definedName name="___DAT4">#N/A</definedName>
    <definedName name="___DAT5">#N/A</definedName>
    <definedName name="___DAT6">#N/A</definedName>
    <definedName name="___DAT7">#N/A</definedName>
    <definedName name="___DAT8">#N/A</definedName>
    <definedName name="___DAT9">#N/A</definedName>
    <definedName name="___eng2">#N/A</definedName>
    <definedName name="___eng3">#N/A</definedName>
    <definedName name="___eng4">#N/A</definedName>
    <definedName name="___ess1" localSheetId="18">#REF!</definedName>
    <definedName name="___ess1" localSheetId="25">#REF!</definedName>
    <definedName name="___ess1" localSheetId="29">#REF!</definedName>
    <definedName name="___ess1" localSheetId="31">#REF!</definedName>
    <definedName name="___ess1" localSheetId="15">#REF!</definedName>
    <definedName name="___ess1" localSheetId="13">#REF!</definedName>
    <definedName name="___ess1" localSheetId="17">#REF!</definedName>
    <definedName name="___ess1" localSheetId="12">#REF!</definedName>
    <definedName name="___ess1" localSheetId="22">#REF!</definedName>
    <definedName name="___ess1" localSheetId="28">#REF!</definedName>
    <definedName name="___ess1" localSheetId="35">#REF!</definedName>
    <definedName name="___ess1">#REF!</definedName>
    <definedName name="___FRF4">'[17]FX Rates'!$G$10</definedName>
    <definedName name="___FRU2003" localSheetId="18">#REF!</definedName>
    <definedName name="___FRU2003" localSheetId="25">#REF!</definedName>
    <definedName name="___FRU2003" localSheetId="29">#REF!</definedName>
    <definedName name="___FRU2003" localSheetId="31">#REF!</definedName>
    <definedName name="___FRU2003" localSheetId="15">#REF!</definedName>
    <definedName name="___FRU2003" localSheetId="13">#REF!</definedName>
    <definedName name="___FRU2003" localSheetId="17">#REF!</definedName>
    <definedName name="___FRU2003" localSheetId="12">#REF!</definedName>
    <definedName name="___FRU2003" localSheetId="22">#REF!</definedName>
    <definedName name="___FRU2003" localSheetId="28">#REF!</definedName>
    <definedName name="___FRU2003" localSheetId="35">#REF!</definedName>
    <definedName name="___FRU2003">#REF!</definedName>
    <definedName name="___GBP4">'[17]FX Rates'!$G$9</definedName>
    <definedName name="___mar1">#N/A</definedName>
    <definedName name="___OUJ2">#N/A</definedName>
    <definedName name="___pg1" localSheetId="18">#REF!</definedName>
    <definedName name="___pg1" localSheetId="25">#REF!</definedName>
    <definedName name="___pg1" localSheetId="29">#REF!</definedName>
    <definedName name="___pg1" localSheetId="31">#REF!</definedName>
    <definedName name="___pg1" localSheetId="15">#REF!</definedName>
    <definedName name="___pg1" localSheetId="13">#REF!</definedName>
    <definedName name="___pg1" localSheetId="17">#REF!</definedName>
    <definedName name="___pg1" localSheetId="12">#REF!</definedName>
    <definedName name="___pg1" localSheetId="22">#REF!</definedName>
    <definedName name="___pg1" localSheetId="28">#REF!</definedName>
    <definedName name="___pg1" localSheetId="35">#REF!</definedName>
    <definedName name="___pg1">#REF!</definedName>
    <definedName name="___pg2" localSheetId="18">#REF!</definedName>
    <definedName name="___pg2" localSheetId="25">#REF!</definedName>
    <definedName name="___pg2" localSheetId="29">#REF!</definedName>
    <definedName name="___pg2" localSheetId="31">#REF!</definedName>
    <definedName name="___pg2" localSheetId="15">#REF!</definedName>
    <definedName name="___pg2" localSheetId="13">#REF!</definedName>
    <definedName name="___pg2" localSheetId="17">#REF!</definedName>
    <definedName name="___pg2" localSheetId="12">#REF!</definedName>
    <definedName name="___pg2" localSheetId="22">#REF!</definedName>
    <definedName name="___pg2" localSheetId="28">#REF!</definedName>
    <definedName name="___pg2" localSheetId="35">#REF!</definedName>
    <definedName name="___pg2">#REF!</definedName>
    <definedName name="___R" localSheetId="18">#REF!</definedName>
    <definedName name="___R" localSheetId="25">#REF!</definedName>
    <definedName name="___R" localSheetId="29">#REF!</definedName>
    <definedName name="___R" localSheetId="31">#REF!</definedName>
    <definedName name="___R" localSheetId="15">#REF!</definedName>
    <definedName name="___R" localSheetId="13">#REF!</definedName>
    <definedName name="___R" localSheetId="17">#REF!</definedName>
    <definedName name="___R" localSheetId="12">#REF!</definedName>
    <definedName name="___R" localSheetId="22">#REF!</definedName>
    <definedName name="___R" localSheetId="28">#REF!</definedName>
    <definedName name="___R" localSheetId="35">#REF!</definedName>
    <definedName name="___R">#REF!</definedName>
    <definedName name="___R2000ssta" localSheetId="18">#REF!</definedName>
    <definedName name="___R2000ssta" localSheetId="25">#REF!</definedName>
    <definedName name="___R2000ssta" localSheetId="29">#REF!</definedName>
    <definedName name="___R2000ssta" localSheetId="31">#REF!</definedName>
    <definedName name="___R2000ssta" localSheetId="15">#REF!</definedName>
    <definedName name="___R2000ssta" localSheetId="13">#REF!</definedName>
    <definedName name="___R2000ssta" localSheetId="17">#REF!</definedName>
    <definedName name="___R2000ssta" localSheetId="12">#REF!</definedName>
    <definedName name="___R2000ssta" localSheetId="22">#REF!</definedName>
    <definedName name="___R2000ssta" localSheetId="28">#REF!</definedName>
    <definedName name="___R2000ssta" localSheetId="35">#REF!</definedName>
    <definedName name="___R2000ssta">#REF!</definedName>
    <definedName name="___R2000ssta___0">#N/A</definedName>
    <definedName name="___R2000ssta___12">#N/A</definedName>
    <definedName name="___R2000ssta___14">#N/A</definedName>
    <definedName name="___R2000ssta___16">#N/A</definedName>
    <definedName name="___R2000ssta___27">#N/A</definedName>
    <definedName name="___R2000ssta___5">#N/A</definedName>
    <definedName name="___SC16" localSheetId="18">#REF!</definedName>
    <definedName name="___SC16" localSheetId="25">#REF!</definedName>
    <definedName name="___SC16" localSheetId="29">#REF!</definedName>
    <definedName name="___SC16" localSheetId="31">#REF!</definedName>
    <definedName name="___SC16" localSheetId="15">#REF!</definedName>
    <definedName name="___SC16" localSheetId="13">#REF!</definedName>
    <definedName name="___SC16" localSheetId="17">#REF!</definedName>
    <definedName name="___SC16" localSheetId="12">#REF!</definedName>
    <definedName name="___SC16" localSheetId="22">#REF!</definedName>
    <definedName name="___SC16" localSheetId="28">#REF!</definedName>
    <definedName name="___SC16" localSheetId="35">#REF!</definedName>
    <definedName name="___SC16">#REF!</definedName>
    <definedName name="___SET2" localSheetId="18">#REF!</definedName>
    <definedName name="___SET2" localSheetId="25">#REF!</definedName>
    <definedName name="___SET2" localSheetId="29">#REF!</definedName>
    <definedName name="___SET2" localSheetId="31">#REF!</definedName>
    <definedName name="___SET2" localSheetId="15">#REF!</definedName>
    <definedName name="___SET2" localSheetId="13">#REF!</definedName>
    <definedName name="___SET2" localSheetId="17">#REF!</definedName>
    <definedName name="___SET2" localSheetId="12">#REF!</definedName>
    <definedName name="___SET2" localSheetId="22">#REF!</definedName>
    <definedName name="___SET2" localSheetId="28">#REF!</definedName>
    <definedName name="___SET2" localSheetId="35">#REF!</definedName>
    <definedName name="___SET2">#REF!</definedName>
    <definedName name="___SYN1" localSheetId="18">#REF!</definedName>
    <definedName name="___SYN1" localSheetId="25">#REF!</definedName>
    <definedName name="___SYN1" localSheetId="29">#REF!</definedName>
    <definedName name="___SYN1" localSheetId="31">#REF!</definedName>
    <definedName name="___SYN1" localSheetId="15">#REF!</definedName>
    <definedName name="___SYN1" localSheetId="13">#REF!</definedName>
    <definedName name="___SYN1" localSheetId="17">#REF!</definedName>
    <definedName name="___SYN1" localSheetId="12">#REF!</definedName>
    <definedName name="___SYN1" localSheetId="22">#REF!</definedName>
    <definedName name="___SYN1" localSheetId="28">#REF!</definedName>
    <definedName name="___SYN1" localSheetId="35">#REF!</definedName>
    <definedName name="___SYN1">#REF!</definedName>
    <definedName name="___SYN2" localSheetId="18">#REF!</definedName>
    <definedName name="___SYN2" localSheetId="25">#REF!</definedName>
    <definedName name="___SYN2" localSheetId="29">#REF!</definedName>
    <definedName name="___SYN2" localSheetId="31">#REF!</definedName>
    <definedName name="___SYN2" localSheetId="15">#REF!</definedName>
    <definedName name="___SYN2" localSheetId="13">#REF!</definedName>
    <definedName name="___SYN2" localSheetId="17">#REF!</definedName>
    <definedName name="___SYN2" localSheetId="12">#REF!</definedName>
    <definedName name="___SYN2" localSheetId="22">#REF!</definedName>
    <definedName name="___SYN2" localSheetId="28">#REF!</definedName>
    <definedName name="___SYN2" localSheetId="35">#REF!</definedName>
    <definedName name="___SYN2">#REF!</definedName>
    <definedName name="___TAE2001">#N/A</definedName>
    <definedName name="___TAE2002">#N/A</definedName>
    <definedName name="___UNI1999" localSheetId="18">#REF!</definedName>
    <definedName name="___UNI1999" localSheetId="25">#REF!</definedName>
    <definedName name="___UNI1999" localSheetId="29">#REF!</definedName>
    <definedName name="___UNI1999" localSheetId="31">#REF!</definedName>
    <definedName name="___UNI1999" localSheetId="15">#REF!</definedName>
    <definedName name="___UNI1999" localSheetId="13">#REF!</definedName>
    <definedName name="___UNI1999" localSheetId="17">#REF!</definedName>
    <definedName name="___UNI1999" localSheetId="12">#REF!</definedName>
    <definedName name="___UNI1999" localSheetId="22">#REF!</definedName>
    <definedName name="___UNI1999" localSheetId="28">#REF!</definedName>
    <definedName name="___UNI1999" localSheetId="35">#REF!</definedName>
    <definedName name="___UNI1999">#REF!</definedName>
    <definedName name="___UNI2000" localSheetId="18">#REF!</definedName>
    <definedName name="___UNI2000" localSheetId="25">#REF!</definedName>
    <definedName name="___UNI2000" localSheetId="29">#REF!</definedName>
    <definedName name="___UNI2000" localSheetId="31">#REF!</definedName>
    <definedName name="___UNI2000" localSheetId="15">#REF!</definedName>
    <definedName name="___UNI2000" localSheetId="13">#REF!</definedName>
    <definedName name="___UNI2000" localSheetId="17">#REF!</definedName>
    <definedName name="___UNI2000" localSheetId="12">#REF!</definedName>
    <definedName name="___UNI2000" localSheetId="22">#REF!</definedName>
    <definedName name="___UNI2000" localSheetId="28">#REF!</definedName>
    <definedName name="___UNI2000" localSheetId="35">#REF!</definedName>
    <definedName name="___UNI2000">#REF!</definedName>
    <definedName name="___UNI2001" localSheetId="18">#REF!</definedName>
    <definedName name="___UNI2001" localSheetId="25">#REF!</definedName>
    <definedName name="___UNI2001" localSheetId="29">#REF!</definedName>
    <definedName name="___UNI2001" localSheetId="31">#REF!</definedName>
    <definedName name="___UNI2001" localSheetId="15">#REF!</definedName>
    <definedName name="___UNI2001" localSheetId="13">#REF!</definedName>
    <definedName name="___UNI2001" localSheetId="17">#REF!</definedName>
    <definedName name="___UNI2001" localSheetId="12">#REF!</definedName>
    <definedName name="___UNI2001" localSheetId="22">#REF!</definedName>
    <definedName name="___UNI2001" localSheetId="28">#REF!</definedName>
    <definedName name="___UNI2001" localSheetId="35">#REF!</definedName>
    <definedName name="___UNI2001">#REF!</definedName>
    <definedName name="___vb100" localSheetId="18">#REF!</definedName>
    <definedName name="___vb100" localSheetId="25">#REF!</definedName>
    <definedName name="___vb100" localSheetId="29">#REF!</definedName>
    <definedName name="___vb100" localSheetId="31">#REF!</definedName>
    <definedName name="___vb100" localSheetId="15">#REF!</definedName>
    <definedName name="___vb100" localSheetId="13">#REF!</definedName>
    <definedName name="___vb100" localSheetId="17">#REF!</definedName>
    <definedName name="___vb100" localSheetId="12">#REF!</definedName>
    <definedName name="___vb100" localSheetId="22">#REF!</definedName>
    <definedName name="___vb100" localSheetId="28">#REF!</definedName>
    <definedName name="___vb100" localSheetId="35">#REF!</definedName>
    <definedName name="___vb100">#REF!</definedName>
    <definedName name="___YR1">#N/A</definedName>
    <definedName name="___YR2">#N/A</definedName>
    <definedName name="___YR3">#N/A</definedName>
    <definedName name="___YR4">#N/A</definedName>
    <definedName name="__0">#N/A</definedName>
    <definedName name="__0___0">#N/A</definedName>
    <definedName name="__0___12">#N/A</definedName>
    <definedName name="__0___14">#N/A</definedName>
    <definedName name="__0S">#N/A</definedName>
    <definedName name="__0S___0">#N/A</definedName>
    <definedName name="__0S___12">#N/A</definedName>
    <definedName name="__0S___14">#N/A</definedName>
    <definedName name="__1_" localSheetId="18">#REF!</definedName>
    <definedName name="__1_" localSheetId="25">#REF!</definedName>
    <definedName name="__1_" localSheetId="29">#REF!</definedName>
    <definedName name="__1_" localSheetId="31">#REF!</definedName>
    <definedName name="__1_" localSheetId="15">#REF!</definedName>
    <definedName name="__1_" localSheetId="13">#REF!</definedName>
    <definedName name="__1_" localSheetId="17">#REF!</definedName>
    <definedName name="__1_" localSheetId="12">#REF!</definedName>
    <definedName name="__1_" localSheetId="22">#REF!</definedName>
    <definedName name="__1_" localSheetId="28">#REF!</definedName>
    <definedName name="__1_" localSheetId="35">#REF!</definedName>
    <definedName name="__1_">#REF!</definedName>
    <definedName name="__123Graph_A" localSheetId="18" hidden="1">[18]Rend98_99!#REF!</definedName>
    <definedName name="__123Graph_A" localSheetId="29" hidden="1">[18]Rend98_99!#REF!</definedName>
    <definedName name="__123Graph_A" localSheetId="31" hidden="1">[18]Rend98_99!#REF!</definedName>
    <definedName name="__123Graph_A" localSheetId="15" hidden="1">[18]Rend98_99!#REF!</definedName>
    <definedName name="__123Graph_A" localSheetId="13" hidden="1">[18]Rend98_99!#REF!</definedName>
    <definedName name="__123Graph_A" localSheetId="17" hidden="1">[18]Rend98_99!#REF!</definedName>
    <definedName name="__123Graph_A" localSheetId="12" hidden="1">[18]Rend98_99!#REF!</definedName>
    <definedName name="__123Graph_A" localSheetId="22" hidden="1">[18]Rend98_99!#REF!</definedName>
    <definedName name="__123Graph_A" localSheetId="28" hidden="1">[18]Rend98_99!#REF!</definedName>
    <definedName name="__123Graph_A" localSheetId="35" hidden="1">[18]Rend98_99!#REF!</definedName>
    <definedName name="__123Graph_A" hidden="1">[18]Rend98_99!#REF!</definedName>
    <definedName name="__123Graph_AGRAPH1" hidden="1">[19]A!$C$248:$C$250</definedName>
    <definedName name="__123Graph_AGRAPH2" hidden="1">[19]A!$K$242:$K$242</definedName>
    <definedName name="__123Graph_AGRAPH3" hidden="1">[19]A!$C$248:$C$250</definedName>
    <definedName name="__123Graph_AGRAPH4" hidden="1">[19]A!$C$249:$G$249</definedName>
    <definedName name="__123Graph_AGRAPH5" hidden="1">[19]A!$R$202:$R$212</definedName>
    <definedName name="__123Graph_AGRAPH6" hidden="1">[19]A!$R$203:$R$212</definedName>
    <definedName name="__123Graph_B" localSheetId="18" hidden="1">'[20]DCT_titu98+Rend'!#REF!</definedName>
    <definedName name="__123Graph_B" localSheetId="29" hidden="1">'[20]DCT_titu98+Rend'!#REF!</definedName>
    <definedName name="__123Graph_B" localSheetId="31" hidden="1">'[20]DCT_titu98+Rend'!#REF!</definedName>
    <definedName name="__123Graph_B" localSheetId="15" hidden="1">'[20]DCT_titu98+Rend'!#REF!</definedName>
    <definedName name="__123Graph_B" localSheetId="13" hidden="1">'[20]DCT_titu98+Rend'!#REF!</definedName>
    <definedName name="__123Graph_B" localSheetId="17" hidden="1">'[20]DCT_titu98+Rend'!#REF!</definedName>
    <definedName name="__123Graph_B" localSheetId="12" hidden="1">'[20]DCT_titu98+Rend'!#REF!</definedName>
    <definedName name="__123Graph_B" localSheetId="22" hidden="1">'[20]DCT_titu98+Rend'!#REF!</definedName>
    <definedName name="__123Graph_B" localSheetId="28" hidden="1">'[20]DCT_titu98+Rend'!#REF!</definedName>
    <definedName name="__123Graph_B" localSheetId="35" hidden="1">'[20]DCT_titu98+Rend'!#REF!</definedName>
    <definedName name="__123Graph_B" hidden="1">'[20]DCT_titu98+Rend'!#REF!</definedName>
    <definedName name="__123Graph_BGRAPH1" hidden="1">[19]A!$D$248:$D$250</definedName>
    <definedName name="__123Graph_BGRAPH3" hidden="1">[19]A!$D$248:$D$250</definedName>
    <definedName name="__123Graph_BGRAPH4" hidden="1">[19]A!$C$250:$G$250</definedName>
    <definedName name="__123Graph_BGRAPH5" hidden="1">[19]A!$S$202:$S$212</definedName>
    <definedName name="__123Graph_BGRAPH6" hidden="1">[19]A!$S$203:$S$212</definedName>
    <definedName name="__123Graph_CGRAPH1" hidden="1">[19]A!$E$248:$E$250</definedName>
    <definedName name="__123Graph_CGRAPH3" hidden="1">[19]A!$E$248:$E$250</definedName>
    <definedName name="__123Graph_D" hidden="1">'[21]Detail mensuel'!$D$1:$D$1</definedName>
    <definedName name="__123Graph_DGRAPH1" hidden="1">[19]A!$F$248:$F$250</definedName>
    <definedName name="__123Graph_DGRAPH3" hidden="1">[19]A!$F$248:$F$250</definedName>
    <definedName name="__123Graph_EGRAPH1" hidden="1">[19]A!$G$248:$G$250</definedName>
    <definedName name="__123Graph_EGRAPH3" hidden="1">[19]A!$G$248:$G$250</definedName>
    <definedName name="__123Graph_LBL_AGRAPH6" hidden="1">[19]A!$R$203:$R$213</definedName>
    <definedName name="__123Graph_LBL_BGRAPH6" hidden="1">[19]A!$S$203:$S$213</definedName>
    <definedName name="__123Graph_X" localSheetId="18" hidden="1">[18]Rend98_99!#REF!</definedName>
    <definedName name="__123Graph_X" localSheetId="29" hidden="1">[18]Rend98_99!#REF!</definedName>
    <definedName name="__123Graph_X" localSheetId="31" hidden="1">[18]Rend98_99!#REF!</definedName>
    <definedName name="__123Graph_X" localSheetId="15" hidden="1">[18]Rend98_99!#REF!</definedName>
    <definedName name="__123Graph_X" localSheetId="13" hidden="1">[18]Rend98_99!#REF!</definedName>
    <definedName name="__123Graph_X" localSheetId="17" hidden="1">[18]Rend98_99!#REF!</definedName>
    <definedName name="__123Graph_X" localSheetId="12" hidden="1">[18]Rend98_99!#REF!</definedName>
    <definedName name="__123Graph_X" localSheetId="22" hidden="1">[18]Rend98_99!#REF!</definedName>
    <definedName name="__123Graph_X" localSheetId="28" hidden="1">[18]Rend98_99!#REF!</definedName>
    <definedName name="__123Graph_X" localSheetId="35" hidden="1">[18]Rend98_99!#REF!</definedName>
    <definedName name="__123Graph_X" hidden="1">[18]Rend98_99!#REF!</definedName>
    <definedName name="__123Graph_XGRAPH1" hidden="1">[19]A!$B$248:$B$250</definedName>
    <definedName name="__123Graph_XGRAPH3" hidden="1">[19]A!$B$248:$B$250</definedName>
    <definedName name="__123Graph_XGRAPH4" hidden="1">[19]A!$C$248:$G$248</definedName>
    <definedName name="__123Graph_XGRAPH5" hidden="1">[19]A!$Q$202:$Q$212</definedName>
    <definedName name="__123Graph_XGRAPH6" hidden="1">[19]A!$Q$203:$Q$212</definedName>
    <definedName name="__14_0__123Grap" localSheetId="18" hidden="1">#REF!</definedName>
    <definedName name="__14_0__123Grap" localSheetId="25" hidden="1">#REF!</definedName>
    <definedName name="__14_0__123Grap" localSheetId="29" hidden="1">#REF!</definedName>
    <definedName name="__14_0__123Grap" localSheetId="31" hidden="1">#REF!</definedName>
    <definedName name="__14_0__123Grap" localSheetId="15" hidden="1">#REF!</definedName>
    <definedName name="__14_0__123Grap" localSheetId="13" hidden="1">#REF!</definedName>
    <definedName name="__14_0__123Grap" localSheetId="17" hidden="1">#REF!</definedName>
    <definedName name="__14_0__123Grap" localSheetId="12" hidden="1">#REF!</definedName>
    <definedName name="__14_0__123Grap" localSheetId="22" hidden="1">#REF!</definedName>
    <definedName name="__14_0__123Grap" localSheetId="28" hidden="1">#REF!</definedName>
    <definedName name="__14_0__123Grap" localSheetId="35" hidden="1">#REF!</definedName>
    <definedName name="__14_0__123Grap" hidden="1">#REF!</definedName>
    <definedName name="__1Budget_PAF_03">#N/A</definedName>
    <definedName name="__1BudgetPôleFixe03">#N/A</definedName>
    <definedName name="__2_" localSheetId="18">#REF!</definedName>
    <definedName name="__2_" localSheetId="25">#REF!</definedName>
    <definedName name="__2_" localSheetId="29">#REF!</definedName>
    <definedName name="__2_" localSheetId="31">#REF!</definedName>
    <definedName name="__2_" localSheetId="15">#REF!</definedName>
    <definedName name="__2_" localSheetId="13">#REF!</definedName>
    <definedName name="__2_" localSheetId="17">#REF!</definedName>
    <definedName name="__2_" localSheetId="12">#REF!</definedName>
    <definedName name="__2_" localSheetId="22">#REF!</definedName>
    <definedName name="__2_" localSheetId="28">#REF!</definedName>
    <definedName name="__2_" localSheetId="35">#REF!</definedName>
    <definedName name="__2_">#REF!</definedName>
    <definedName name="__3_0KRa" localSheetId="18">'[22]SC - Marketing'!#REF!</definedName>
    <definedName name="__3_0KRa" localSheetId="29">'[22]SC - Marketing'!#REF!</definedName>
    <definedName name="__3_0KRa" localSheetId="31">'[22]SC - Marketing'!#REF!</definedName>
    <definedName name="__3_0KRa" localSheetId="15">'[22]SC - Marketing'!#REF!</definedName>
    <definedName name="__3_0KRa" localSheetId="13">'[22]SC - Marketing'!#REF!</definedName>
    <definedName name="__3_0KRa" localSheetId="17">'[22]SC - Marketing'!#REF!</definedName>
    <definedName name="__3_0KRa" localSheetId="12">'[22]SC - Marketing'!#REF!</definedName>
    <definedName name="__3_0KRa" localSheetId="22">'[22]SC - Marketing'!#REF!</definedName>
    <definedName name="__3_0KRa" localSheetId="28">'[22]SC - Marketing'!#REF!</definedName>
    <definedName name="__3_0KRa" localSheetId="35">'[22]SC - Marketing'!#REF!</definedName>
    <definedName name="__3_0KRa">'[22]SC - Marketing'!#REF!</definedName>
    <definedName name="__4_" localSheetId="18">#REF!</definedName>
    <definedName name="__4_" localSheetId="25">#REF!</definedName>
    <definedName name="__4_" localSheetId="29">#REF!</definedName>
    <definedName name="__4_" localSheetId="31">#REF!</definedName>
    <definedName name="__4_" localSheetId="15">#REF!</definedName>
    <definedName name="__4_" localSheetId="13">#REF!</definedName>
    <definedName name="__4_" localSheetId="17">#REF!</definedName>
    <definedName name="__4_" localSheetId="12">#REF!</definedName>
    <definedName name="__4_" localSheetId="22">#REF!</definedName>
    <definedName name="__4_" localSheetId="28">#REF!</definedName>
    <definedName name="__4_" localSheetId="35">#REF!</definedName>
    <definedName name="__4_">#REF!</definedName>
    <definedName name="__4_0" localSheetId="18">#REF!</definedName>
    <definedName name="__4_0" localSheetId="25">#REF!</definedName>
    <definedName name="__4_0" localSheetId="29">#REF!</definedName>
    <definedName name="__4_0" localSheetId="31">#REF!</definedName>
    <definedName name="__4_0" localSheetId="15">#REF!</definedName>
    <definedName name="__4_0" localSheetId="13">#REF!</definedName>
    <definedName name="__4_0" localSheetId="17">#REF!</definedName>
    <definedName name="__4_0" localSheetId="12">#REF!</definedName>
    <definedName name="__4_0" localSheetId="22">#REF!</definedName>
    <definedName name="__4_0" localSheetId="28">#REF!</definedName>
    <definedName name="__4_0" localSheetId="35">#REF!</definedName>
    <definedName name="__4_0">#REF!</definedName>
    <definedName name="__5_0__123Grap" localSheetId="18" hidden="1">#REF!</definedName>
    <definedName name="__5_0__123Grap" localSheetId="25" hidden="1">#REF!</definedName>
    <definedName name="__5_0__123Grap" localSheetId="29" hidden="1">#REF!</definedName>
    <definedName name="__5_0__123Grap" localSheetId="31" hidden="1">#REF!</definedName>
    <definedName name="__5_0__123Grap" localSheetId="15" hidden="1">#REF!</definedName>
    <definedName name="__5_0__123Grap" localSheetId="13" hidden="1">#REF!</definedName>
    <definedName name="__5_0__123Grap" localSheetId="17" hidden="1">#REF!</definedName>
    <definedName name="__5_0__123Grap" localSheetId="12" hidden="1">#REF!</definedName>
    <definedName name="__5_0__123Grap" localSheetId="22" hidden="1">#REF!</definedName>
    <definedName name="__5_0__123Grap" localSheetId="28" hidden="1">#REF!</definedName>
    <definedName name="__5_0__123Grap" localSheetId="35" hidden="1">#REF!</definedName>
    <definedName name="__5_0__123Grap" hidden="1">#REF!</definedName>
    <definedName name="__6_0KRa" localSheetId="18">'[23]SC - Marketing'!#REF!</definedName>
    <definedName name="__6_0KRa" localSheetId="29">'[23]SC - Marketing'!#REF!</definedName>
    <definedName name="__6_0KRa" localSheetId="31">'[23]SC - Marketing'!#REF!</definedName>
    <definedName name="__6_0KRa" localSheetId="15">'[23]SC - Marketing'!#REF!</definedName>
    <definedName name="__6_0KRa" localSheetId="13">'[23]SC - Marketing'!#REF!</definedName>
    <definedName name="__6_0KRa" localSheetId="17">'[23]SC - Marketing'!#REF!</definedName>
    <definedName name="__6_0KRa" localSheetId="12">'[23]SC - Marketing'!#REF!</definedName>
    <definedName name="__6_0KRa" localSheetId="22">'[23]SC - Marketing'!#REF!</definedName>
    <definedName name="__6_0KRa" localSheetId="28">'[23]SC - Marketing'!#REF!</definedName>
    <definedName name="__6_0KRa" localSheetId="35">'[23]SC - Marketing'!#REF!</definedName>
    <definedName name="__6_0KRa">'[23]SC - Marketing'!#REF!</definedName>
    <definedName name="__6_0S" localSheetId="18">'[24]#REF'!#REF!</definedName>
    <definedName name="__6_0S" localSheetId="29">'[24]#REF'!#REF!</definedName>
    <definedName name="__6_0S" localSheetId="31">'[24]#REF'!#REF!</definedName>
    <definedName name="__6_0S" localSheetId="15">'[24]#REF'!#REF!</definedName>
    <definedName name="__6_0S" localSheetId="13">'[24]#REF'!#REF!</definedName>
    <definedName name="__6_0S" localSheetId="17">'[24]#REF'!#REF!</definedName>
    <definedName name="__6_0S" localSheetId="12">'[24]#REF'!#REF!</definedName>
    <definedName name="__6_0S" localSheetId="22">'[24]#REF'!#REF!</definedName>
    <definedName name="__6_0S" localSheetId="28">'[24]#REF'!#REF!</definedName>
    <definedName name="__6_0S" localSheetId="35">'[24]#REF'!#REF!</definedName>
    <definedName name="__6_0S">'[24]#REF'!#REF!</definedName>
    <definedName name="__aaa1" localSheetId="18">#REF!</definedName>
    <definedName name="__aaa1" localSheetId="25">#REF!</definedName>
    <definedName name="__aaa1" localSheetId="29">#REF!</definedName>
    <definedName name="__aaa1" localSheetId="31">#REF!</definedName>
    <definedName name="__aaa1" localSheetId="15">#REF!</definedName>
    <definedName name="__aaa1" localSheetId="13">#REF!</definedName>
    <definedName name="__aaa1" localSheetId="17">#REF!</definedName>
    <definedName name="__aaa1" localSheetId="12">#REF!</definedName>
    <definedName name="__aaa1" localSheetId="22">#REF!</definedName>
    <definedName name="__aaa1" localSheetId="28">#REF!</definedName>
    <definedName name="__aaa1" localSheetId="35">#REF!</definedName>
    <definedName name="__aaa1">#REF!</definedName>
    <definedName name="__aaa2" localSheetId="18">#REF!</definedName>
    <definedName name="__aaa2" localSheetId="25">#REF!</definedName>
    <definedName name="__aaa2" localSheetId="29">#REF!</definedName>
    <definedName name="__aaa2" localSheetId="31">#REF!</definedName>
    <definedName name="__aaa2" localSheetId="15">#REF!</definedName>
    <definedName name="__aaa2" localSheetId="13">#REF!</definedName>
    <definedName name="__aaa2" localSheetId="17">#REF!</definedName>
    <definedName name="__aaa2" localSheetId="12">#REF!</definedName>
    <definedName name="__aaa2" localSheetId="22">#REF!</definedName>
    <definedName name="__aaa2" localSheetId="28">#REF!</definedName>
    <definedName name="__aaa2" localSheetId="35">#REF!</definedName>
    <definedName name="__aaa2">#REF!</definedName>
    <definedName name="__aaa3" localSheetId="18">#REF!</definedName>
    <definedName name="__aaa3" localSheetId="25">#REF!</definedName>
    <definedName name="__aaa3" localSheetId="29">#REF!</definedName>
    <definedName name="__aaa3" localSheetId="31">#REF!</definedName>
    <definedName name="__aaa3" localSheetId="15">#REF!</definedName>
    <definedName name="__aaa3" localSheetId="13">#REF!</definedName>
    <definedName name="__aaa3" localSheetId="17">#REF!</definedName>
    <definedName name="__aaa3" localSheetId="12">#REF!</definedName>
    <definedName name="__aaa3" localSheetId="22">#REF!</definedName>
    <definedName name="__aaa3" localSheetId="28">#REF!</definedName>
    <definedName name="__aaa3" localSheetId="35">#REF!</definedName>
    <definedName name="__aaa3">#REF!</definedName>
    <definedName name="__aaa4" localSheetId="18">#REF!</definedName>
    <definedName name="__aaa4" localSheetId="25">#REF!</definedName>
    <definedName name="__aaa4" localSheetId="29">#REF!</definedName>
    <definedName name="__aaa4" localSheetId="31">#REF!</definedName>
    <definedName name="__aaa4" localSheetId="15">#REF!</definedName>
    <definedName name="__aaa4" localSheetId="13">#REF!</definedName>
    <definedName name="__aaa4" localSheetId="17">#REF!</definedName>
    <definedName name="__aaa4" localSheetId="12">#REF!</definedName>
    <definedName name="__aaa4" localSheetId="22">#REF!</definedName>
    <definedName name="__aaa4" localSheetId="28">#REF!</definedName>
    <definedName name="__aaa4" localSheetId="35">#REF!</definedName>
    <definedName name="__aaa4">#REF!</definedName>
    <definedName name="__aaa5" localSheetId="18">#REF!</definedName>
    <definedName name="__aaa5" localSheetId="25">#REF!</definedName>
    <definedName name="__aaa5" localSheetId="29">#REF!</definedName>
    <definedName name="__aaa5" localSheetId="31">#REF!</definedName>
    <definedName name="__aaa5" localSheetId="15">#REF!</definedName>
    <definedName name="__aaa5" localSheetId="13">#REF!</definedName>
    <definedName name="__aaa5" localSheetId="17">#REF!</definedName>
    <definedName name="__aaa5" localSheetId="12">#REF!</definedName>
    <definedName name="__aaa5" localSheetId="22">#REF!</definedName>
    <definedName name="__aaa5" localSheetId="28">#REF!</definedName>
    <definedName name="__aaa5" localSheetId="35">#REF!</definedName>
    <definedName name="__aaa5">#REF!</definedName>
    <definedName name="__aaa6" localSheetId="18">#REF!</definedName>
    <definedName name="__aaa6" localSheetId="25">#REF!</definedName>
    <definedName name="__aaa6" localSheetId="29">#REF!</definedName>
    <definedName name="__aaa6" localSheetId="31">#REF!</definedName>
    <definedName name="__aaa6" localSheetId="15">#REF!</definedName>
    <definedName name="__aaa6" localSheetId="13">#REF!</definedName>
    <definedName name="__aaa6" localSheetId="17">#REF!</definedName>
    <definedName name="__aaa6" localSheetId="12">#REF!</definedName>
    <definedName name="__aaa6" localSheetId="22">#REF!</definedName>
    <definedName name="__aaa6" localSheetId="28">#REF!</definedName>
    <definedName name="__aaa6" localSheetId="35">#REF!</definedName>
    <definedName name="__aaa6">#REF!</definedName>
    <definedName name="__aaa7" localSheetId="18">#REF!</definedName>
    <definedName name="__aaa7" localSheetId="25">#REF!</definedName>
    <definedName name="__aaa7" localSheetId="29">#REF!</definedName>
    <definedName name="__aaa7" localSheetId="31">#REF!</definedName>
    <definedName name="__aaa7" localSheetId="15">#REF!</definedName>
    <definedName name="__aaa7" localSheetId="13">#REF!</definedName>
    <definedName name="__aaa7" localSheetId="17">#REF!</definedName>
    <definedName name="__aaa7" localSheetId="12">#REF!</definedName>
    <definedName name="__aaa7" localSheetId="22">#REF!</definedName>
    <definedName name="__aaa7" localSheetId="28">#REF!</definedName>
    <definedName name="__aaa7" localSheetId="35">#REF!</definedName>
    <definedName name="__aaa7">#REF!</definedName>
    <definedName name="__aaa8" localSheetId="18">#REF!</definedName>
    <definedName name="__aaa8" localSheetId="25">#REF!</definedName>
    <definedName name="__aaa8" localSheetId="29">#REF!</definedName>
    <definedName name="__aaa8" localSheetId="31">#REF!</definedName>
    <definedName name="__aaa8" localSheetId="15">#REF!</definedName>
    <definedName name="__aaa8" localSheetId="13">#REF!</definedName>
    <definedName name="__aaa8" localSheetId="17">#REF!</definedName>
    <definedName name="__aaa8" localSheetId="12">#REF!</definedName>
    <definedName name="__aaa8" localSheetId="22">#REF!</definedName>
    <definedName name="__aaa8" localSheetId="28">#REF!</definedName>
    <definedName name="__aaa8" localSheetId="35">#REF!</definedName>
    <definedName name="__aaa8">#REF!</definedName>
    <definedName name="__ag1" localSheetId="28">#N/A</definedName>
    <definedName name="__ag1" localSheetId="35">'Taxe 5%'!__ag1</definedName>
    <definedName name="__ag1">'Taxe 5%'!__ag1</definedName>
    <definedName name="__B1">#N/A</definedName>
    <definedName name="__bbb1">#N/A</definedName>
    <definedName name="__c20041" localSheetId="18">#REF!</definedName>
    <definedName name="__c20041" localSheetId="25">#REF!</definedName>
    <definedName name="__c20041" localSheetId="29">#REF!</definedName>
    <definedName name="__c20041" localSheetId="31">#REF!</definedName>
    <definedName name="__c20041" localSheetId="15">#REF!</definedName>
    <definedName name="__c20041" localSheetId="13">#REF!</definedName>
    <definedName name="__c20041" localSheetId="17">#REF!</definedName>
    <definedName name="__c20041" localSheetId="12">#REF!</definedName>
    <definedName name="__c20041" localSheetId="22">#REF!</definedName>
    <definedName name="__c20041" localSheetId="28">#REF!</definedName>
    <definedName name="__c20041" localSheetId="35">#REF!</definedName>
    <definedName name="__c20041">#REF!</definedName>
    <definedName name="__DAT1">#N/A</definedName>
    <definedName name="__DAT10">#N/A</definedName>
    <definedName name="__DAT11">#N/A</definedName>
    <definedName name="__DAT12">#N/A</definedName>
    <definedName name="__DAT13">#N/A</definedName>
    <definedName name="__DAT14">#N/A</definedName>
    <definedName name="__DAT15">#N/A</definedName>
    <definedName name="__DAT16">#N/A</definedName>
    <definedName name="__DAT17">#N/A</definedName>
    <definedName name="__DAT18">#N/A</definedName>
    <definedName name="__DAT19">#N/A</definedName>
    <definedName name="__DAT2">#N/A</definedName>
    <definedName name="__DAT3">#N/A</definedName>
    <definedName name="__DAT4">#N/A</definedName>
    <definedName name="__DAT5">#N/A</definedName>
    <definedName name="__DAT6">#N/A</definedName>
    <definedName name="__DAT7">#N/A</definedName>
    <definedName name="__DAT8">#N/A</definedName>
    <definedName name="__DAT9">#N/A</definedName>
    <definedName name="__eng2">#N/A</definedName>
    <definedName name="__eng3">#N/A</definedName>
    <definedName name="__eng4">#N/A</definedName>
    <definedName name="__ess1" localSheetId="18">#REF!</definedName>
    <definedName name="__ess1" localSheetId="25">#REF!</definedName>
    <definedName name="__ess1" localSheetId="29">#REF!</definedName>
    <definedName name="__ess1" localSheetId="31">#REF!</definedName>
    <definedName name="__ess1" localSheetId="15">#REF!</definedName>
    <definedName name="__ess1" localSheetId="13">#REF!</definedName>
    <definedName name="__ess1" localSheetId="17">#REF!</definedName>
    <definedName name="__ess1" localSheetId="12">#REF!</definedName>
    <definedName name="__ess1" localSheetId="22">#REF!</definedName>
    <definedName name="__ess1" localSheetId="28">#REF!</definedName>
    <definedName name="__ess1" localSheetId="35">#REF!</definedName>
    <definedName name="__ess1">#REF!</definedName>
    <definedName name="__FDS_HYPERLINK_TOGGLE_STATE__">"ON"</definedName>
    <definedName name="__FRF4">'[17]FX Rates'!$G$10</definedName>
    <definedName name="__FRU2003" localSheetId="18">#REF!</definedName>
    <definedName name="__FRU2003" localSheetId="25">#REF!</definedName>
    <definedName name="__FRU2003" localSheetId="29">#REF!</definedName>
    <definedName name="__FRU2003" localSheetId="31">#REF!</definedName>
    <definedName name="__FRU2003" localSheetId="15">#REF!</definedName>
    <definedName name="__FRU2003" localSheetId="13">#REF!</definedName>
    <definedName name="__FRU2003" localSheetId="17">#REF!</definedName>
    <definedName name="__FRU2003" localSheetId="12">#REF!</definedName>
    <definedName name="__FRU2003" localSheetId="22">#REF!</definedName>
    <definedName name="__FRU2003" localSheetId="28">#REF!</definedName>
    <definedName name="__FRU2003" localSheetId="35">#REF!</definedName>
    <definedName name="__FRU2003">#REF!</definedName>
    <definedName name="__GBP4">'[17]FX Rates'!$G$9</definedName>
    <definedName name="__IntlFixup">TRUE</definedName>
    <definedName name="__mar1">#N/A</definedName>
    <definedName name="__MM1" localSheetId="18">[25]Ventes!#REF!</definedName>
    <definedName name="__MM1" localSheetId="29">[25]Ventes!#REF!</definedName>
    <definedName name="__MM1" localSheetId="31">[25]Ventes!#REF!</definedName>
    <definedName name="__MM1" localSheetId="15">[25]Ventes!#REF!</definedName>
    <definedName name="__MM1" localSheetId="13">[25]Ventes!#REF!</definedName>
    <definedName name="__MM1" localSheetId="17">[25]Ventes!#REF!</definedName>
    <definedName name="__MM1" localSheetId="12">[25]Ventes!#REF!</definedName>
    <definedName name="__MM1" localSheetId="22">[25]Ventes!#REF!</definedName>
    <definedName name="__MM1" localSheetId="28">[25]Ventes!#REF!</definedName>
    <definedName name="__MM1" localSheetId="35">[25]Ventes!#REF!</definedName>
    <definedName name="__MM1">[25]Ventes!#REF!</definedName>
    <definedName name="__OUJ2">#N/A</definedName>
    <definedName name="__pg1" localSheetId="18">#REF!</definedName>
    <definedName name="__pg1" localSheetId="25">#REF!</definedName>
    <definedName name="__pg1" localSheetId="29">#REF!</definedName>
    <definedName name="__pg1" localSheetId="31">#REF!</definedName>
    <definedName name="__pg1" localSheetId="15">#REF!</definedName>
    <definedName name="__pg1" localSheetId="13">#REF!</definedName>
    <definedName name="__pg1" localSheetId="17">#REF!</definedName>
    <definedName name="__pg1" localSheetId="12">#REF!</definedName>
    <definedName name="__pg1" localSheetId="22">#REF!</definedName>
    <definedName name="__pg1" localSheetId="28">#REF!</definedName>
    <definedName name="__pg1" localSheetId="35">#REF!</definedName>
    <definedName name="__pg1">#REF!</definedName>
    <definedName name="__pg2" localSheetId="18">#REF!</definedName>
    <definedName name="__pg2" localSheetId="25">#REF!</definedName>
    <definedName name="__pg2" localSheetId="29">#REF!</definedName>
    <definedName name="__pg2" localSheetId="31">#REF!</definedName>
    <definedName name="__pg2" localSheetId="15">#REF!</definedName>
    <definedName name="__pg2" localSheetId="13">#REF!</definedName>
    <definedName name="__pg2" localSheetId="17">#REF!</definedName>
    <definedName name="__pg2" localSheetId="12">#REF!</definedName>
    <definedName name="__pg2" localSheetId="22">#REF!</definedName>
    <definedName name="__pg2" localSheetId="28">#REF!</definedName>
    <definedName name="__pg2" localSheetId="35">#REF!</definedName>
    <definedName name="__pg2">#REF!</definedName>
    <definedName name="__R" localSheetId="18">#REF!</definedName>
    <definedName name="__R" localSheetId="25">#REF!</definedName>
    <definedName name="__R" localSheetId="29">#REF!</definedName>
    <definedName name="__R" localSheetId="31">#REF!</definedName>
    <definedName name="__R" localSheetId="15">#REF!</definedName>
    <definedName name="__R" localSheetId="13">#REF!</definedName>
    <definedName name="__R" localSheetId="17">#REF!</definedName>
    <definedName name="__R" localSheetId="12">#REF!</definedName>
    <definedName name="__R" localSheetId="22">#REF!</definedName>
    <definedName name="__R" localSheetId="28">#REF!</definedName>
    <definedName name="__R" localSheetId="35">#REF!</definedName>
    <definedName name="__R">#REF!</definedName>
    <definedName name="__R2000ssta" localSheetId="18">#REF!</definedName>
    <definedName name="__R2000ssta" localSheetId="25">#REF!</definedName>
    <definedName name="__R2000ssta" localSheetId="29">#REF!</definedName>
    <definedName name="__R2000ssta" localSheetId="31">#REF!</definedName>
    <definedName name="__R2000ssta" localSheetId="15">#REF!</definedName>
    <definedName name="__R2000ssta" localSheetId="13">#REF!</definedName>
    <definedName name="__R2000ssta" localSheetId="17">#REF!</definedName>
    <definedName name="__R2000ssta" localSheetId="12">#REF!</definedName>
    <definedName name="__R2000ssta" localSheetId="22">#REF!</definedName>
    <definedName name="__R2000ssta" localSheetId="28">#REF!</definedName>
    <definedName name="__R2000ssta" localSheetId="35">#REF!</definedName>
    <definedName name="__R2000ssta">#REF!</definedName>
    <definedName name="__R2000ssta___0">#N/A</definedName>
    <definedName name="__R2000ssta___12">#N/A</definedName>
    <definedName name="__R2000ssta___14">#N/A</definedName>
    <definedName name="__R2000ssta___16">#N/A</definedName>
    <definedName name="__R2000ssta___27">#N/A</definedName>
    <definedName name="__R2000ssta___5">#N/A</definedName>
    <definedName name="__SC16" localSheetId="18">#REF!</definedName>
    <definedName name="__SC16" localSheetId="25">#REF!</definedName>
    <definedName name="__SC16" localSheetId="29">#REF!</definedName>
    <definedName name="__SC16" localSheetId="31">#REF!</definedName>
    <definedName name="__SC16" localSheetId="15">#REF!</definedName>
    <definedName name="__SC16" localSheetId="13">#REF!</definedName>
    <definedName name="__SC16" localSheetId="17">#REF!</definedName>
    <definedName name="__SC16" localSheetId="12">#REF!</definedName>
    <definedName name="__SC16" localSheetId="22">#REF!</definedName>
    <definedName name="__SC16" localSheetId="28">#REF!</definedName>
    <definedName name="__SC16" localSheetId="35">#REF!</definedName>
    <definedName name="__SC16">#REF!</definedName>
    <definedName name="__SET2" localSheetId="18">#REF!</definedName>
    <definedName name="__SET2" localSheetId="25">#REF!</definedName>
    <definedName name="__SET2" localSheetId="29">#REF!</definedName>
    <definedName name="__SET2" localSheetId="31">#REF!</definedName>
    <definedName name="__SET2" localSheetId="15">#REF!</definedName>
    <definedName name="__SET2" localSheetId="13">#REF!</definedName>
    <definedName name="__SET2" localSheetId="17">#REF!</definedName>
    <definedName name="__SET2" localSheetId="12">#REF!</definedName>
    <definedName name="__SET2" localSheetId="22">#REF!</definedName>
    <definedName name="__SET2" localSheetId="28">#REF!</definedName>
    <definedName name="__SET2" localSheetId="35">#REF!</definedName>
    <definedName name="__SET2">#REF!</definedName>
    <definedName name="__st1">'[25]Rapport Période'!$D$2</definedName>
    <definedName name="__ST10">'[25]Rapport Période'!$M$2</definedName>
    <definedName name="__ST11">'[25]Rapport Période'!$N$2</definedName>
    <definedName name="__ST12">'[25]Rapport Période'!$O$2</definedName>
    <definedName name="__ST13" localSheetId="18">'[25]Rapport Période'!#REF!</definedName>
    <definedName name="__ST13" localSheetId="29">'[25]Rapport Période'!#REF!</definedName>
    <definedName name="__ST13" localSheetId="31">'[25]Rapport Période'!#REF!</definedName>
    <definedName name="__ST13" localSheetId="15">'[25]Rapport Période'!#REF!</definedName>
    <definedName name="__ST13" localSheetId="13">'[25]Rapport Période'!#REF!</definedName>
    <definedName name="__ST13" localSheetId="17">'[25]Rapport Période'!#REF!</definedName>
    <definedName name="__ST13" localSheetId="12">'[25]Rapport Période'!#REF!</definedName>
    <definedName name="__ST13" localSheetId="22">'[25]Rapport Période'!#REF!</definedName>
    <definedName name="__ST13" localSheetId="28">'[25]Rapport Période'!#REF!</definedName>
    <definedName name="__ST13" localSheetId="35">'[25]Rapport Période'!#REF!</definedName>
    <definedName name="__ST13">'[25]Rapport Période'!#REF!</definedName>
    <definedName name="__ST14" localSheetId="18">'[25]Rapport Période'!#REF!</definedName>
    <definedName name="__ST14" localSheetId="29">'[25]Rapport Période'!#REF!</definedName>
    <definedName name="__ST14" localSheetId="31">'[25]Rapport Période'!#REF!</definedName>
    <definedName name="__ST14" localSheetId="15">'[25]Rapport Période'!#REF!</definedName>
    <definedName name="__ST14" localSheetId="13">'[25]Rapport Période'!#REF!</definedName>
    <definedName name="__ST14" localSheetId="17">'[25]Rapport Période'!#REF!</definedName>
    <definedName name="__ST14" localSheetId="12">'[25]Rapport Période'!#REF!</definedName>
    <definedName name="__ST14" localSheetId="22">'[25]Rapport Période'!#REF!</definedName>
    <definedName name="__ST14" localSheetId="28">'[25]Rapport Période'!#REF!</definedName>
    <definedName name="__ST14" localSheetId="35">'[25]Rapport Période'!#REF!</definedName>
    <definedName name="__ST14">'[25]Rapport Période'!#REF!</definedName>
    <definedName name="__ST15" localSheetId="18">'[25]Rapport Période'!#REF!</definedName>
    <definedName name="__ST15" localSheetId="29">'[25]Rapport Période'!#REF!</definedName>
    <definedName name="__ST15" localSheetId="31">'[25]Rapport Période'!#REF!</definedName>
    <definedName name="__ST15" localSheetId="15">'[25]Rapport Période'!#REF!</definedName>
    <definedName name="__ST15" localSheetId="13">'[25]Rapport Période'!#REF!</definedName>
    <definedName name="__ST15" localSheetId="17">'[25]Rapport Période'!#REF!</definedName>
    <definedName name="__ST15" localSheetId="12">'[25]Rapport Période'!#REF!</definedName>
    <definedName name="__ST15" localSheetId="22">'[25]Rapport Période'!#REF!</definedName>
    <definedName name="__ST15" localSheetId="28">'[25]Rapport Période'!#REF!</definedName>
    <definedName name="__ST15" localSheetId="35">'[25]Rapport Période'!#REF!</definedName>
    <definedName name="__ST15">'[25]Rapport Période'!#REF!</definedName>
    <definedName name="__ST16" localSheetId="18">'[25]Rapport Période'!#REF!</definedName>
    <definedName name="__ST16" localSheetId="29">'[25]Rapport Période'!#REF!</definedName>
    <definedName name="__ST16" localSheetId="31">'[25]Rapport Période'!#REF!</definedName>
    <definedName name="__ST16" localSheetId="15">'[25]Rapport Période'!#REF!</definedName>
    <definedName name="__ST16" localSheetId="13">'[25]Rapport Période'!#REF!</definedName>
    <definedName name="__ST16" localSheetId="17">'[25]Rapport Période'!#REF!</definedName>
    <definedName name="__ST16" localSheetId="12">'[25]Rapport Période'!#REF!</definedName>
    <definedName name="__ST16" localSheetId="22">'[25]Rapport Période'!#REF!</definedName>
    <definedName name="__ST16" localSheetId="28">'[25]Rapport Période'!#REF!</definedName>
    <definedName name="__ST16" localSheetId="35">'[25]Rapport Période'!#REF!</definedName>
    <definedName name="__ST16">'[25]Rapport Période'!#REF!</definedName>
    <definedName name="__ST17" localSheetId="18">'[25]Rapport Période'!#REF!</definedName>
    <definedName name="__ST17" localSheetId="29">'[25]Rapport Période'!#REF!</definedName>
    <definedName name="__ST17" localSheetId="31">'[25]Rapport Période'!#REF!</definedName>
    <definedName name="__ST17" localSheetId="15">'[25]Rapport Période'!#REF!</definedName>
    <definedName name="__ST17" localSheetId="13">'[25]Rapport Période'!#REF!</definedName>
    <definedName name="__ST17" localSheetId="17">'[25]Rapport Période'!#REF!</definedName>
    <definedName name="__ST17" localSheetId="12">'[25]Rapport Période'!#REF!</definedName>
    <definedName name="__ST17" localSheetId="22">'[25]Rapport Période'!#REF!</definedName>
    <definedName name="__ST17" localSheetId="28">'[25]Rapport Période'!#REF!</definedName>
    <definedName name="__ST17" localSheetId="35">'[25]Rapport Période'!#REF!</definedName>
    <definedName name="__ST17">'[25]Rapport Période'!#REF!</definedName>
    <definedName name="__ST18" localSheetId="18">'[25]Rapport Période'!#REF!</definedName>
    <definedName name="__ST18" localSheetId="29">'[25]Rapport Période'!#REF!</definedName>
    <definedName name="__ST18" localSheetId="31">'[25]Rapport Période'!#REF!</definedName>
    <definedName name="__ST18" localSheetId="15">'[25]Rapport Période'!#REF!</definedName>
    <definedName name="__ST18" localSheetId="13">'[25]Rapport Période'!#REF!</definedName>
    <definedName name="__ST18" localSheetId="17">'[25]Rapport Période'!#REF!</definedName>
    <definedName name="__ST18" localSheetId="12">'[25]Rapport Période'!#REF!</definedName>
    <definedName name="__ST18" localSheetId="22">'[25]Rapport Période'!#REF!</definedName>
    <definedName name="__ST18" localSheetId="28">'[25]Rapport Période'!#REF!</definedName>
    <definedName name="__ST18" localSheetId="35">'[25]Rapport Période'!#REF!</definedName>
    <definedName name="__ST18">'[25]Rapport Période'!#REF!</definedName>
    <definedName name="__ST19" localSheetId="18">'[25]Rapport Période'!#REF!</definedName>
    <definedName name="__ST19" localSheetId="29">'[25]Rapport Période'!#REF!</definedName>
    <definedName name="__ST19" localSheetId="31">'[25]Rapport Période'!#REF!</definedName>
    <definedName name="__ST19" localSheetId="15">'[25]Rapport Période'!#REF!</definedName>
    <definedName name="__ST19" localSheetId="13">'[25]Rapport Période'!#REF!</definedName>
    <definedName name="__ST19" localSheetId="17">'[25]Rapport Période'!#REF!</definedName>
    <definedName name="__ST19" localSheetId="12">'[25]Rapport Période'!#REF!</definedName>
    <definedName name="__ST19" localSheetId="22">'[25]Rapport Période'!#REF!</definedName>
    <definedName name="__ST19" localSheetId="28">'[25]Rapport Période'!#REF!</definedName>
    <definedName name="__ST19" localSheetId="35">'[25]Rapport Période'!#REF!</definedName>
    <definedName name="__ST19">'[25]Rapport Période'!#REF!</definedName>
    <definedName name="__ST2">'[25]Rapport Période'!$E$2</definedName>
    <definedName name="__ST20" localSheetId="18">'[25]Rapport Période'!#REF!</definedName>
    <definedName name="__ST20" localSheetId="29">'[25]Rapport Période'!#REF!</definedName>
    <definedName name="__ST20" localSheetId="31">'[25]Rapport Période'!#REF!</definedName>
    <definedName name="__ST20" localSheetId="15">'[25]Rapport Période'!#REF!</definedName>
    <definedName name="__ST20" localSheetId="13">'[25]Rapport Période'!#REF!</definedName>
    <definedName name="__ST20" localSheetId="17">'[25]Rapport Période'!#REF!</definedName>
    <definedName name="__ST20" localSheetId="12">'[25]Rapport Période'!#REF!</definedName>
    <definedName name="__ST20" localSheetId="22">'[25]Rapport Période'!#REF!</definedName>
    <definedName name="__ST20" localSheetId="28">'[25]Rapport Période'!#REF!</definedName>
    <definedName name="__ST20" localSheetId="35">'[25]Rapport Période'!#REF!</definedName>
    <definedName name="__ST20">'[25]Rapport Période'!#REF!</definedName>
    <definedName name="__ST21" localSheetId="18">'[25]Rapport Période'!#REF!</definedName>
    <definedName name="__ST21" localSheetId="29">'[25]Rapport Période'!#REF!</definedName>
    <definedName name="__ST21" localSheetId="31">'[25]Rapport Période'!#REF!</definedName>
    <definedName name="__ST21" localSheetId="15">'[25]Rapport Période'!#REF!</definedName>
    <definedName name="__ST21" localSheetId="13">'[25]Rapport Période'!#REF!</definedName>
    <definedName name="__ST21" localSheetId="17">'[25]Rapport Période'!#REF!</definedName>
    <definedName name="__ST21" localSheetId="12">'[25]Rapport Période'!#REF!</definedName>
    <definedName name="__ST21" localSheetId="22">'[25]Rapport Période'!#REF!</definedName>
    <definedName name="__ST21" localSheetId="28">'[25]Rapport Période'!#REF!</definedName>
    <definedName name="__ST21" localSheetId="35">'[25]Rapport Période'!#REF!</definedName>
    <definedName name="__ST21">'[25]Rapport Période'!#REF!</definedName>
    <definedName name="__ST22" localSheetId="18">'[25]Rapport Période'!#REF!</definedName>
    <definedName name="__ST22" localSheetId="29">'[25]Rapport Période'!#REF!</definedName>
    <definedName name="__ST22" localSheetId="31">'[25]Rapport Période'!#REF!</definedName>
    <definedName name="__ST22" localSheetId="15">'[25]Rapport Période'!#REF!</definedName>
    <definedName name="__ST22" localSheetId="13">'[25]Rapport Période'!#REF!</definedName>
    <definedName name="__ST22" localSheetId="17">'[25]Rapport Période'!#REF!</definedName>
    <definedName name="__ST22" localSheetId="12">'[25]Rapport Période'!#REF!</definedName>
    <definedName name="__ST22" localSheetId="22">'[25]Rapport Période'!#REF!</definedName>
    <definedName name="__ST22" localSheetId="28">'[25]Rapport Période'!#REF!</definedName>
    <definedName name="__ST22" localSheetId="35">'[25]Rapport Période'!#REF!</definedName>
    <definedName name="__ST22">'[25]Rapport Période'!#REF!</definedName>
    <definedName name="__ST23" localSheetId="18">'[25]Rapport Période'!#REF!</definedName>
    <definedName name="__ST23" localSheetId="29">'[25]Rapport Période'!#REF!</definedName>
    <definedName name="__ST23" localSheetId="31">'[25]Rapport Période'!#REF!</definedName>
    <definedName name="__ST23" localSheetId="15">'[25]Rapport Période'!#REF!</definedName>
    <definedName name="__ST23" localSheetId="13">'[25]Rapport Période'!#REF!</definedName>
    <definedName name="__ST23" localSheetId="17">'[25]Rapport Période'!#REF!</definedName>
    <definedName name="__ST23" localSheetId="12">'[25]Rapport Période'!#REF!</definedName>
    <definedName name="__ST23" localSheetId="22">'[25]Rapport Période'!#REF!</definedName>
    <definedName name="__ST23" localSheetId="28">'[25]Rapport Période'!#REF!</definedName>
    <definedName name="__ST23" localSheetId="35">'[25]Rapport Période'!#REF!</definedName>
    <definedName name="__ST23">'[25]Rapport Période'!#REF!</definedName>
    <definedName name="__ST24" localSheetId="18">'[25]Rapport Période'!#REF!</definedName>
    <definedName name="__ST24" localSheetId="29">'[25]Rapport Période'!#REF!</definedName>
    <definedName name="__ST24" localSheetId="31">'[25]Rapport Période'!#REF!</definedName>
    <definedName name="__ST24" localSheetId="15">'[25]Rapport Période'!#REF!</definedName>
    <definedName name="__ST24" localSheetId="13">'[25]Rapport Période'!#REF!</definedName>
    <definedName name="__ST24" localSheetId="17">'[25]Rapport Période'!#REF!</definedName>
    <definedName name="__ST24" localSheetId="12">'[25]Rapport Période'!#REF!</definedName>
    <definedName name="__ST24" localSheetId="22">'[25]Rapport Période'!#REF!</definedName>
    <definedName name="__ST24" localSheetId="28">'[25]Rapport Période'!#REF!</definedName>
    <definedName name="__ST24" localSheetId="35">'[25]Rapport Période'!#REF!</definedName>
    <definedName name="__ST24">'[25]Rapport Période'!#REF!</definedName>
    <definedName name="__ST25" localSheetId="18">'[25]Rapport Période'!#REF!</definedName>
    <definedName name="__ST25" localSheetId="29">'[25]Rapport Période'!#REF!</definedName>
    <definedName name="__ST25" localSheetId="31">'[25]Rapport Période'!#REF!</definedName>
    <definedName name="__ST25" localSheetId="15">'[25]Rapport Période'!#REF!</definedName>
    <definedName name="__ST25" localSheetId="13">'[25]Rapport Période'!#REF!</definedName>
    <definedName name="__ST25" localSheetId="17">'[25]Rapport Période'!#REF!</definedName>
    <definedName name="__ST25" localSheetId="12">'[25]Rapport Période'!#REF!</definedName>
    <definedName name="__ST25" localSheetId="22">'[25]Rapport Période'!#REF!</definedName>
    <definedName name="__ST25" localSheetId="28">'[25]Rapport Période'!#REF!</definedName>
    <definedName name="__ST25" localSheetId="35">'[25]Rapport Période'!#REF!</definedName>
    <definedName name="__ST25">'[25]Rapport Période'!#REF!</definedName>
    <definedName name="__ST26" localSheetId="18">'[25]Rapport Période'!#REF!</definedName>
    <definedName name="__ST26" localSheetId="29">'[25]Rapport Période'!#REF!</definedName>
    <definedName name="__ST26" localSheetId="31">'[25]Rapport Période'!#REF!</definedName>
    <definedName name="__ST26" localSheetId="15">'[25]Rapport Période'!#REF!</definedName>
    <definedName name="__ST26" localSheetId="13">'[25]Rapport Période'!#REF!</definedName>
    <definedName name="__ST26" localSheetId="17">'[25]Rapport Période'!#REF!</definedName>
    <definedName name="__ST26" localSheetId="12">'[25]Rapport Période'!#REF!</definedName>
    <definedName name="__ST26" localSheetId="22">'[25]Rapport Période'!#REF!</definedName>
    <definedName name="__ST26" localSheetId="28">'[25]Rapport Période'!#REF!</definedName>
    <definedName name="__ST26" localSheetId="35">'[25]Rapport Période'!#REF!</definedName>
    <definedName name="__ST26">'[25]Rapport Période'!#REF!</definedName>
    <definedName name="__ST27" localSheetId="18">'[25]Rapport Période'!#REF!</definedName>
    <definedName name="__ST27" localSheetId="29">'[25]Rapport Période'!#REF!</definedName>
    <definedName name="__ST27" localSheetId="31">'[25]Rapport Période'!#REF!</definedName>
    <definedName name="__ST27" localSheetId="15">'[25]Rapport Période'!#REF!</definedName>
    <definedName name="__ST27" localSheetId="13">'[25]Rapport Période'!#REF!</definedName>
    <definedName name="__ST27" localSheetId="17">'[25]Rapport Période'!#REF!</definedName>
    <definedName name="__ST27" localSheetId="12">'[25]Rapport Période'!#REF!</definedName>
    <definedName name="__ST27" localSheetId="22">'[25]Rapport Période'!#REF!</definedName>
    <definedName name="__ST27" localSheetId="28">'[25]Rapport Période'!#REF!</definedName>
    <definedName name="__ST27" localSheetId="35">'[25]Rapport Période'!#REF!</definedName>
    <definedName name="__ST27">'[25]Rapport Période'!#REF!</definedName>
    <definedName name="__ST28" localSheetId="18">'[25]Rapport Période'!#REF!</definedName>
    <definedName name="__ST28" localSheetId="29">'[25]Rapport Période'!#REF!</definedName>
    <definedName name="__ST28" localSheetId="31">'[25]Rapport Période'!#REF!</definedName>
    <definedName name="__ST28" localSheetId="15">'[25]Rapport Période'!#REF!</definedName>
    <definedName name="__ST28" localSheetId="13">'[25]Rapport Période'!#REF!</definedName>
    <definedName name="__ST28" localSheetId="17">'[25]Rapport Période'!#REF!</definedName>
    <definedName name="__ST28" localSheetId="12">'[25]Rapport Période'!#REF!</definedName>
    <definedName name="__ST28" localSheetId="22">'[25]Rapport Période'!#REF!</definedName>
    <definedName name="__ST28" localSheetId="28">'[25]Rapport Période'!#REF!</definedName>
    <definedName name="__ST28" localSheetId="35">'[25]Rapport Période'!#REF!</definedName>
    <definedName name="__ST28">'[25]Rapport Période'!#REF!</definedName>
    <definedName name="__ST29" localSheetId="18">'[25]Rapport Période'!#REF!</definedName>
    <definedName name="__ST29" localSheetId="29">'[25]Rapport Période'!#REF!</definedName>
    <definedName name="__ST29" localSheetId="31">'[25]Rapport Période'!#REF!</definedName>
    <definedName name="__ST29" localSheetId="15">'[25]Rapport Période'!#REF!</definedName>
    <definedName name="__ST29" localSheetId="13">'[25]Rapport Période'!#REF!</definedName>
    <definedName name="__ST29" localSheetId="17">'[25]Rapport Période'!#REF!</definedName>
    <definedName name="__ST29" localSheetId="12">'[25]Rapport Période'!#REF!</definedName>
    <definedName name="__ST29" localSheetId="22">'[25]Rapport Période'!#REF!</definedName>
    <definedName name="__ST29" localSheetId="28">'[25]Rapport Période'!#REF!</definedName>
    <definedName name="__ST29" localSheetId="35">'[25]Rapport Période'!#REF!</definedName>
    <definedName name="__ST29">'[25]Rapport Période'!#REF!</definedName>
    <definedName name="__ST3">'[25]Rapport Période'!$F$2</definedName>
    <definedName name="__ST30" localSheetId="18">'[25]Rapport Période'!#REF!</definedName>
    <definedName name="__ST30" localSheetId="29">'[25]Rapport Période'!#REF!</definedName>
    <definedName name="__ST30" localSheetId="31">'[25]Rapport Période'!#REF!</definedName>
    <definedName name="__ST30" localSheetId="15">'[25]Rapport Période'!#REF!</definedName>
    <definedName name="__ST30" localSheetId="13">'[25]Rapport Période'!#REF!</definedName>
    <definedName name="__ST30" localSheetId="17">'[25]Rapport Période'!#REF!</definedName>
    <definedName name="__ST30" localSheetId="12">'[25]Rapport Période'!#REF!</definedName>
    <definedName name="__ST30" localSheetId="22">'[25]Rapport Période'!#REF!</definedName>
    <definedName name="__ST30" localSheetId="28">'[25]Rapport Période'!#REF!</definedName>
    <definedName name="__ST30" localSheetId="35">'[25]Rapport Période'!#REF!</definedName>
    <definedName name="__ST30">'[25]Rapport Période'!#REF!</definedName>
    <definedName name="__ST4">'[25]Rapport Période'!$G$2</definedName>
    <definedName name="__ST5">'[25]Rapport Période'!$H$2</definedName>
    <definedName name="__ST6">'[25]Rapport Période'!$I$2</definedName>
    <definedName name="__ST7">'[25]Rapport Période'!$J$2</definedName>
    <definedName name="__ST8">'[25]Rapport Période'!$K$2</definedName>
    <definedName name="__ST9">'[25]Rapport Période'!$L$2</definedName>
    <definedName name="__SYN1" localSheetId="18">#REF!</definedName>
    <definedName name="__SYN1" localSheetId="25">#REF!</definedName>
    <definedName name="__SYN1" localSheetId="29">#REF!</definedName>
    <definedName name="__SYN1" localSheetId="31">#REF!</definedName>
    <definedName name="__SYN1" localSheetId="15">#REF!</definedName>
    <definedName name="__SYN1" localSheetId="13">#REF!</definedName>
    <definedName name="__SYN1" localSheetId="17">#REF!</definedName>
    <definedName name="__SYN1" localSheetId="12">#REF!</definedName>
    <definedName name="__SYN1" localSheetId="22">#REF!</definedName>
    <definedName name="__SYN1" localSheetId="28">#REF!</definedName>
    <definedName name="__SYN1" localSheetId="35">#REF!</definedName>
    <definedName name="__SYN1">#REF!</definedName>
    <definedName name="__SYN2" localSheetId="18">#REF!</definedName>
    <definedName name="__SYN2" localSheetId="25">#REF!</definedName>
    <definedName name="__SYN2" localSheetId="29">#REF!</definedName>
    <definedName name="__SYN2" localSheetId="31">#REF!</definedName>
    <definedName name="__SYN2" localSheetId="15">#REF!</definedName>
    <definedName name="__SYN2" localSheetId="13">#REF!</definedName>
    <definedName name="__SYN2" localSheetId="17">#REF!</definedName>
    <definedName name="__SYN2" localSheetId="12">#REF!</definedName>
    <definedName name="__SYN2" localSheetId="22">#REF!</definedName>
    <definedName name="__SYN2" localSheetId="28">#REF!</definedName>
    <definedName name="__SYN2" localSheetId="35">#REF!</definedName>
    <definedName name="__SYN2">#REF!</definedName>
    <definedName name="__TAE2001">#N/A</definedName>
    <definedName name="__TAE2002">#N/A</definedName>
    <definedName name="__UNI1999" localSheetId="18">#REF!</definedName>
    <definedName name="__UNI1999" localSheetId="25">#REF!</definedName>
    <definedName name="__UNI1999" localSheetId="29">#REF!</definedName>
    <definedName name="__UNI1999" localSheetId="31">#REF!</definedName>
    <definedName name="__UNI1999" localSheetId="15">#REF!</definedName>
    <definedName name="__UNI1999" localSheetId="13">#REF!</definedName>
    <definedName name="__UNI1999" localSheetId="17">#REF!</definedName>
    <definedName name="__UNI1999" localSheetId="12">#REF!</definedName>
    <definedName name="__UNI1999" localSheetId="22">#REF!</definedName>
    <definedName name="__UNI1999" localSheetId="28">#REF!</definedName>
    <definedName name="__UNI1999" localSheetId="35">#REF!</definedName>
    <definedName name="__UNI1999">#REF!</definedName>
    <definedName name="__UNI2000" localSheetId="18">#REF!</definedName>
    <definedName name="__UNI2000" localSheetId="25">#REF!</definedName>
    <definedName name="__UNI2000" localSheetId="29">#REF!</definedName>
    <definedName name="__UNI2000" localSheetId="31">#REF!</definedName>
    <definedName name="__UNI2000" localSheetId="15">#REF!</definedName>
    <definedName name="__UNI2000" localSheetId="13">#REF!</definedName>
    <definedName name="__UNI2000" localSheetId="17">#REF!</definedName>
    <definedName name="__UNI2000" localSheetId="12">#REF!</definedName>
    <definedName name="__UNI2000" localSheetId="22">#REF!</definedName>
    <definedName name="__UNI2000" localSheetId="28">#REF!</definedName>
    <definedName name="__UNI2000" localSheetId="35">#REF!</definedName>
    <definedName name="__UNI2000">#REF!</definedName>
    <definedName name="__UNI2001" localSheetId="18">#REF!</definedName>
    <definedName name="__UNI2001" localSheetId="25">#REF!</definedName>
    <definedName name="__UNI2001" localSheetId="29">#REF!</definedName>
    <definedName name="__UNI2001" localSheetId="31">#REF!</definedName>
    <definedName name="__UNI2001" localSheetId="15">#REF!</definedName>
    <definedName name="__UNI2001" localSheetId="13">#REF!</definedName>
    <definedName name="__UNI2001" localSheetId="17">#REF!</definedName>
    <definedName name="__UNI2001" localSheetId="12">#REF!</definedName>
    <definedName name="__UNI2001" localSheetId="22">#REF!</definedName>
    <definedName name="__UNI2001" localSheetId="28">#REF!</definedName>
    <definedName name="__UNI2001" localSheetId="35">#REF!</definedName>
    <definedName name="__UNI2001">#REF!</definedName>
    <definedName name="__vb100" localSheetId="18">#REF!</definedName>
    <definedName name="__vb100" localSheetId="25">#REF!</definedName>
    <definedName name="__vb100" localSheetId="29">#REF!</definedName>
    <definedName name="__vb100" localSheetId="31">#REF!</definedName>
    <definedName name="__vb100" localSheetId="15">#REF!</definedName>
    <definedName name="__vb100" localSheetId="13">#REF!</definedName>
    <definedName name="__vb100" localSheetId="17">#REF!</definedName>
    <definedName name="__vb100" localSheetId="12">#REF!</definedName>
    <definedName name="__vb100" localSheetId="22">#REF!</definedName>
    <definedName name="__vb100" localSheetId="28">#REF!</definedName>
    <definedName name="__vb100" localSheetId="35">#REF!</definedName>
    <definedName name="__vb100">#REF!</definedName>
    <definedName name="__x1" localSheetId="28">#N/A</definedName>
    <definedName name="__x1" localSheetId="35">'Taxe 5%'!__x1</definedName>
    <definedName name="__x1">'Taxe 5%'!__x1</definedName>
    <definedName name="__xlfn.RTD">#NAME?</definedName>
    <definedName name="__YR1">#N/A</definedName>
    <definedName name="__YR2">#N/A</definedName>
    <definedName name="__YR3">#N/A</definedName>
    <definedName name="__YR4">#N/A</definedName>
    <definedName name="_0" localSheetId="18">#REF!</definedName>
    <definedName name="_0" localSheetId="25">#REF!</definedName>
    <definedName name="_0" localSheetId="29">#REF!</definedName>
    <definedName name="_0" localSheetId="31">#REF!</definedName>
    <definedName name="_0" localSheetId="15">#REF!</definedName>
    <definedName name="_0" localSheetId="13">#REF!</definedName>
    <definedName name="_0" localSheetId="17">#REF!</definedName>
    <definedName name="_0" localSheetId="12">#REF!</definedName>
    <definedName name="_0" localSheetId="22">#REF!</definedName>
    <definedName name="_0" localSheetId="28">#REF!</definedName>
    <definedName name="_0" localSheetId="35">#REF!</definedName>
    <definedName name="_0">#REF!</definedName>
    <definedName name="_0___0">#N/A</definedName>
    <definedName name="_0___12">#N/A</definedName>
    <definedName name="_0___14">#N/A</definedName>
    <definedName name="_0___16">#N/A</definedName>
    <definedName name="_0___2">#N/A</definedName>
    <definedName name="_0___25">#N/A</definedName>
    <definedName name="_0___26">#N/A</definedName>
    <definedName name="_0___27">#N/A</definedName>
    <definedName name="_0___4">#N/A</definedName>
    <definedName name="_0___5">#N/A</definedName>
    <definedName name="_0___7">#N/A</definedName>
    <definedName name="_0C" localSheetId="18">#REF!</definedName>
    <definedName name="_0C" localSheetId="25">#REF!</definedName>
    <definedName name="_0C" localSheetId="29">#REF!</definedName>
    <definedName name="_0C" localSheetId="31">#REF!</definedName>
    <definedName name="_0C" localSheetId="15">#REF!</definedName>
    <definedName name="_0C" localSheetId="13">#REF!</definedName>
    <definedName name="_0C" localSheetId="17">#REF!</definedName>
    <definedName name="_0C" localSheetId="12">#REF!</definedName>
    <definedName name="_0C" localSheetId="22">#REF!</definedName>
    <definedName name="_0C" localSheetId="28">#REF!</definedName>
    <definedName name="_0C" localSheetId="35">#REF!</definedName>
    <definedName name="_0C">#REF!</definedName>
    <definedName name="_0C___0">#N/A</definedName>
    <definedName name="_0C___12">#N/A</definedName>
    <definedName name="_0C___14">#N/A</definedName>
    <definedName name="_0C___16">#N/A</definedName>
    <definedName name="_0C___2">#N/A</definedName>
    <definedName name="_0C___25">#N/A</definedName>
    <definedName name="_0C___26">#N/A</definedName>
    <definedName name="_0C___27">#N/A</definedName>
    <definedName name="_0C___4">#N/A</definedName>
    <definedName name="_0C___5">#N/A</definedName>
    <definedName name="_0C___7">#N/A</definedName>
    <definedName name="_1_" localSheetId="18">#REF!</definedName>
    <definedName name="_1_" localSheetId="25">#REF!</definedName>
    <definedName name="_1_" localSheetId="29">#REF!</definedName>
    <definedName name="_1_" localSheetId="31">#REF!</definedName>
    <definedName name="_1_" localSheetId="15">#REF!</definedName>
    <definedName name="_1_" localSheetId="13">#REF!</definedName>
    <definedName name="_1_" localSheetId="17">#REF!</definedName>
    <definedName name="_1_" localSheetId="12">#REF!</definedName>
    <definedName name="_1_" localSheetId="22">#REF!</definedName>
    <definedName name="_1_" localSheetId="28">#REF!</definedName>
    <definedName name="_1_" localSheetId="35">#REF!</definedName>
    <definedName name="_1_">#REF!</definedName>
    <definedName name="_1_1_97_Balance" localSheetId="18">#REF!</definedName>
    <definedName name="_1_1_97_Balance" localSheetId="25">#REF!</definedName>
    <definedName name="_1_1_97_Balance" localSheetId="29">#REF!</definedName>
    <definedName name="_1_1_97_Balance" localSheetId="31">#REF!</definedName>
    <definedName name="_1_1_97_Balance" localSheetId="15">#REF!</definedName>
    <definedName name="_1_1_97_Balance" localSheetId="13">#REF!</definedName>
    <definedName name="_1_1_97_Balance" localSheetId="17">#REF!</definedName>
    <definedName name="_1_1_97_Balance" localSheetId="12">#REF!</definedName>
    <definedName name="_1_1_97_Balance" localSheetId="22">#REF!</definedName>
    <definedName name="_1_1_97_Balance" localSheetId="28">#REF!</definedName>
    <definedName name="_1_1_97_Balance" localSheetId="35">#REF!</definedName>
    <definedName name="_1_1_97_Balance">#REF!</definedName>
    <definedName name="_10_" localSheetId="18">#REF!</definedName>
    <definedName name="_10_" localSheetId="25">#REF!</definedName>
    <definedName name="_10_" localSheetId="29">#REF!</definedName>
    <definedName name="_10_" localSheetId="31">#REF!</definedName>
    <definedName name="_10_" localSheetId="15">#REF!</definedName>
    <definedName name="_10_" localSheetId="13">#REF!</definedName>
    <definedName name="_10_" localSheetId="17">#REF!</definedName>
    <definedName name="_10_" localSheetId="12">#REF!</definedName>
    <definedName name="_10_" localSheetId="22">#REF!</definedName>
    <definedName name="_10_" localSheetId="28">#REF!</definedName>
    <definedName name="_10_" localSheetId="35">#REF!</definedName>
    <definedName name="_10_">#REF!</definedName>
    <definedName name="_10_???">#N/A</definedName>
    <definedName name="_10_0__123Grap" localSheetId="18" hidden="1">#REF!</definedName>
    <definedName name="_10_0__123Grap" localSheetId="25" hidden="1">#REF!</definedName>
    <definedName name="_10_0__123Grap" localSheetId="29" hidden="1">#REF!</definedName>
    <definedName name="_10_0__123Grap" localSheetId="31" hidden="1">#REF!</definedName>
    <definedName name="_10_0__123Grap" localSheetId="15" hidden="1">#REF!</definedName>
    <definedName name="_10_0__123Grap" localSheetId="13" hidden="1">#REF!</definedName>
    <definedName name="_10_0__123Grap" localSheetId="17" hidden="1">#REF!</definedName>
    <definedName name="_10_0__123Grap" localSheetId="12" hidden="1">#REF!</definedName>
    <definedName name="_10_0__123Grap" localSheetId="22" hidden="1">#REF!</definedName>
    <definedName name="_10_0__123Grap" localSheetId="28" hidden="1">#REF!</definedName>
    <definedName name="_10_0__123Grap" localSheetId="35" hidden="1">#REF!</definedName>
    <definedName name="_10_0__123Grap" hidden="1">#REF!</definedName>
    <definedName name="_10_0KRa" localSheetId="18">'[26]SC - Marketing'!#REF!</definedName>
    <definedName name="_10_0KRa" localSheetId="29">'[26]SC - Marketing'!#REF!</definedName>
    <definedName name="_10_0KRa" localSheetId="31">'[26]SC - Marketing'!#REF!</definedName>
    <definedName name="_10_0KRa" localSheetId="15">'[26]SC - Marketing'!#REF!</definedName>
    <definedName name="_10_0KRa" localSheetId="13">'[26]SC - Marketing'!#REF!</definedName>
    <definedName name="_10_0KRa" localSheetId="17">'[26]SC - Marketing'!#REF!</definedName>
    <definedName name="_10_0KRa" localSheetId="12">'[26]SC - Marketing'!#REF!</definedName>
    <definedName name="_10_0KRa" localSheetId="22">'[26]SC - Marketing'!#REF!</definedName>
    <definedName name="_10_0KRa" localSheetId="28">'[26]SC - Marketing'!#REF!</definedName>
    <definedName name="_10_0KRa" localSheetId="35">'[26]SC - Marketing'!#REF!</definedName>
    <definedName name="_10_0KRa">'[26]SC - Marketing'!#REF!</definedName>
    <definedName name="_10_123Grap" localSheetId="18" hidden="1">#REF!</definedName>
    <definedName name="_10_123Grap" localSheetId="25" hidden="1">#REF!</definedName>
    <definedName name="_10_123Grap" localSheetId="29" hidden="1">#REF!</definedName>
    <definedName name="_10_123Grap" localSheetId="31" hidden="1">#REF!</definedName>
    <definedName name="_10_123Grap" localSheetId="15" hidden="1">#REF!</definedName>
    <definedName name="_10_123Grap" localSheetId="13" hidden="1">#REF!</definedName>
    <definedName name="_10_123Grap" localSheetId="17" hidden="1">#REF!</definedName>
    <definedName name="_10_123Grap" localSheetId="12" hidden="1">#REF!</definedName>
    <definedName name="_10_123Grap" localSheetId="22" hidden="1">#REF!</definedName>
    <definedName name="_10_123Grap" localSheetId="28" hidden="1">#REF!</definedName>
    <definedName name="_10_123Grap" localSheetId="35" hidden="1">#REF!</definedName>
    <definedName name="_10_123Grap" hidden="1">#REF!</definedName>
    <definedName name="_10_1BudgetPôleFixe03">#N/A</definedName>
    <definedName name="_104_1BudgetPôleFixe03" localSheetId="18">#REF!</definedName>
    <definedName name="_104_1BudgetPôleFixe03" localSheetId="25">#REF!</definedName>
    <definedName name="_104_1BudgetPôleFixe03" localSheetId="29">#REF!</definedName>
    <definedName name="_104_1BudgetPôleFixe03" localSheetId="31">#REF!</definedName>
    <definedName name="_104_1BudgetPôleFixe03" localSheetId="15">#REF!</definedName>
    <definedName name="_104_1BudgetPôleFixe03" localSheetId="13">#REF!</definedName>
    <definedName name="_104_1BudgetPôleFixe03" localSheetId="17">#REF!</definedName>
    <definedName name="_104_1BudgetPôleFixe03" localSheetId="12">#REF!</definedName>
    <definedName name="_104_1BudgetPôleFixe03" localSheetId="22">#REF!</definedName>
    <definedName name="_104_1BudgetPôleFixe03" localSheetId="28">#REF!</definedName>
    <definedName name="_104_1BudgetPôleFixe03" localSheetId="35">#REF!</definedName>
    <definedName name="_104_1BudgetPôleFixe03">#REF!</definedName>
    <definedName name="_106ÿ__Rev_In_Ca" localSheetId="18">#REF!</definedName>
    <definedName name="_106ÿ__Rev_In_Ca" localSheetId="25">#REF!</definedName>
    <definedName name="_106ÿ__Rev_In_Ca" localSheetId="29">#REF!</definedName>
    <definedName name="_106ÿ__Rev_In_Ca" localSheetId="31">#REF!</definedName>
    <definedName name="_106ÿ__Rev_In_Ca" localSheetId="15">#REF!</definedName>
    <definedName name="_106ÿ__Rev_In_Ca" localSheetId="13">#REF!</definedName>
    <definedName name="_106ÿ__Rev_In_Ca" localSheetId="17">#REF!</definedName>
    <definedName name="_106ÿ__Rev_In_Ca" localSheetId="12">#REF!</definedName>
    <definedName name="_106ÿ__Rev_In_Ca" localSheetId="22">#REF!</definedName>
    <definedName name="_106ÿ__Rev_In_Ca" localSheetId="28">#REF!</definedName>
    <definedName name="_106ÿ__Rev_In_Ca" localSheetId="35">#REF!</definedName>
    <definedName name="_106ÿ__Rev_In_Ca">#REF!</definedName>
    <definedName name="_109__123Graph_LBL_ACHART_1" localSheetId="29" hidden="1">[27]synthgraph!#REF!</definedName>
    <definedName name="_109__123Graph_LBL_ACHART_1" localSheetId="31" hidden="1">[27]synthgraph!#REF!</definedName>
    <definedName name="_109__123Graph_LBL_ACHART_1" localSheetId="28" hidden="1">[27]synthgraph!#REF!</definedName>
    <definedName name="_109__123Graph_LBL_ACHART_1" localSheetId="35" hidden="1">[27]synthgraph!#REF!</definedName>
    <definedName name="_109__123Graph_LBL_ACHART_1" hidden="1">[27]synthgraph!#REF!</definedName>
    <definedName name="_10S" localSheetId="18">#REF!</definedName>
    <definedName name="_10S" localSheetId="25">#REF!</definedName>
    <definedName name="_10S" localSheetId="29">#REF!</definedName>
    <definedName name="_10S" localSheetId="31">#REF!</definedName>
    <definedName name="_10S" localSheetId="15">#REF!</definedName>
    <definedName name="_10S" localSheetId="13">#REF!</definedName>
    <definedName name="_10S" localSheetId="17">#REF!</definedName>
    <definedName name="_10S" localSheetId="12">#REF!</definedName>
    <definedName name="_10S" localSheetId="22">#REF!</definedName>
    <definedName name="_10S" localSheetId="28">#REF!</definedName>
    <definedName name="_10S" localSheetId="35">#REF!</definedName>
    <definedName name="_10S">#REF!</definedName>
    <definedName name="_11__123Graph_BCHART_1" localSheetId="29" hidden="1">[27]synthgraph!#REF!</definedName>
    <definedName name="_11__123Graph_BCHART_1" localSheetId="31" hidden="1">[27]synthgraph!#REF!</definedName>
    <definedName name="_11__123Graph_BCHART_1" localSheetId="28" hidden="1">[27]synthgraph!#REF!</definedName>
    <definedName name="_11__123Graph_BCHART_1" localSheetId="35" hidden="1">[27]synthgraph!#REF!</definedName>
    <definedName name="_11__123Graph_BCHART_1" hidden="1">[27]synthgraph!#REF!</definedName>
    <definedName name="_11_0">#N/A</definedName>
    <definedName name="_110__123Graph_LBL_ACHART_2" hidden="1">'[28]synthgraph DCF'!$G$7:$G$7</definedName>
    <definedName name="_111__123Graph_LBL_ACHART_3" localSheetId="29" hidden="1">#REF!</definedName>
    <definedName name="_111__123Graph_LBL_ACHART_3" localSheetId="31" hidden="1">#REF!</definedName>
    <definedName name="_111__123Graph_LBL_ACHART_3" localSheetId="28" hidden="1">#REF!</definedName>
    <definedName name="_111__123Graph_LBL_ACHART_3" localSheetId="35" hidden="1">#REF!</definedName>
    <definedName name="_111__123Graph_LBL_ACHART_3" hidden="1">#REF!</definedName>
    <definedName name="_11S" localSheetId="18">#REF!</definedName>
    <definedName name="_11S" localSheetId="25">#REF!</definedName>
    <definedName name="_11S" localSheetId="29">#REF!</definedName>
    <definedName name="_11S" localSheetId="31">#REF!</definedName>
    <definedName name="_11S" localSheetId="15">#REF!</definedName>
    <definedName name="_11S" localSheetId="13">#REF!</definedName>
    <definedName name="_11S" localSheetId="17">#REF!</definedName>
    <definedName name="_11S" localSheetId="12">#REF!</definedName>
    <definedName name="_11S" localSheetId="22">#REF!</definedName>
    <definedName name="_11S" localSheetId="28">#REF!</definedName>
    <definedName name="_11S" localSheetId="35">#REF!</definedName>
    <definedName name="_11S">#REF!</definedName>
    <definedName name="_11ÿ_0CAPEX" localSheetId="18">'[29]Capex-C'!#REF!</definedName>
    <definedName name="_11ÿ_0CAPEX" localSheetId="29">'[29]Capex-C'!#REF!</definedName>
    <definedName name="_11ÿ_0CAPEX" localSheetId="31">'[29]Capex-C'!#REF!</definedName>
    <definedName name="_11ÿ_0CAPEX" localSheetId="15">'[29]Capex-C'!#REF!</definedName>
    <definedName name="_11ÿ_0CAPEX" localSheetId="13">'[29]Capex-C'!#REF!</definedName>
    <definedName name="_11ÿ_0CAPEX" localSheetId="17">'[29]Capex-C'!#REF!</definedName>
    <definedName name="_11ÿ_0CAPEX" localSheetId="12">'[29]Capex-C'!#REF!</definedName>
    <definedName name="_11ÿ_0CAPEX" localSheetId="22">'[29]Capex-C'!#REF!</definedName>
    <definedName name="_11ÿ_0CAPEX" localSheetId="28">'[29]Capex-C'!#REF!</definedName>
    <definedName name="_11ÿ_0CAPEX" localSheetId="35">'[29]Capex-C'!#REF!</definedName>
    <definedName name="_11ÿ_0CAPEX">'[29]Capex-C'!#REF!</definedName>
    <definedName name="_12_" localSheetId="18">#REF!</definedName>
    <definedName name="_12_" localSheetId="25">#REF!</definedName>
    <definedName name="_12_" localSheetId="29">#REF!</definedName>
    <definedName name="_12_" localSheetId="31">#REF!</definedName>
    <definedName name="_12_" localSheetId="15">#REF!</definedName>
    <definedName name="_12_" localSheetId="13">#REF!</definedName>
    <definedName name="_12_" localSheetId="17">#REF!</definedName>
    <definedName name="_12_" localSheetId="12">#REF!</definedName>
    <definedName name="_12_" localSheetId="22">#REF!</definedName>
    <definedName name="_12_" localSheetId="28">#REF!</definedName>
    <definedName name="_12_" localSheetId="35">#REF!</definedName>
    <definedName name="_12_">#REF!</definedName>
    <definedName name="_12__123Graph_BCHART_2" hidden="1">'[28]synthgraph DCF'!$I$7:$I$7</definedName>
    <definedName name="_12_0" localSheetId="18">#REF!</definedName>
    <definedName name="_12_0" localSheetId="25">#REF!</definedName>
    <definedName name="_12_0" localSheetId="29">#REF!</definedName>
    <definedName name="_12_0" localSheetId="31">#REF!</definedName>
    <definedName name="_12_0" localSheetId="15">#REF!</definedName>
    <definedName name="_12_0" localSheetId="13">#REF!</definedName>
    <definedName name="_12_0" localSheetId="17">#REF!</definedName>
    <definedName name="_12_0" localSheetId="12">#REF!</definedName>
    <definedName name="_12_0" localSheetId="22">#REF!</definedName>
    <definedName name="_12_0" localSheetId="28">#REF!</definedName>
    <definedName name="_12_0" localSheetId="35">#REF!</definedName>
    <definedName name="_12_0">#REF!</definedName>
    <definedName name="_12_0KRa" localSheetId="18">'[26]SC - Marketing'!#REF!</definedName>
    <definedName name="_12_0KRa" localSheetId="29">'[26]SC - Marketing'!#REF!</definedName>
    <definedName name="_12_0KRa" localSheetId="31">'[26]SC - Marketing'!#REF!</definedName>
    <definedName name="_12_0KRa" localSheetId="15">'[26]SC - Marketing'!#REF!</definedName>
    <definedName name="_12_0KRa" localSheetId="13">'[26]SC - Marketing'!#REF!</definedName>
    <definedName name="_12_0KRa" localSheetId="17">'[26]SC - Marketing'!#REF!</definedName>
    <definedName name="_12_0KRa" localSheetId="12">'[26]SC - Marketing'!#REF!</definedName>
    <definedName name="_12_0KRa" localSheetId="22">'[26]SC - Marketing'!#REF!</definedName>
    <definedName name="_12_0KRa" localSheetId="28">'[26]SC - Marketing'!#REF!</definedName>
    <definedName name="_12_0KRa" localSheetId="35">'[26]SC - Marketing'!#REF!</definedName>
    <definedName name="_12_0KRa">'[26]SC - Marketing'!#REF!</definedName>
    <definedName name="_12_0S" localSheetId="18">'[30]#REF'!#REF!</definedName>
    <definedName name="_12_0S" localSheetId="29">'[30]#REF'!#REF!</definedName>
    <definedName name="_12_0S" localSheetId="31">'[30]#REF'!#REF!</definedName>
    <definedName name="_12_0S" localSheetId="15">'[30]#REF'!#REF!</definedName>
    <definedName name="_12_0S" localSheetId="13">'[30]#REF'!#REF!</definedName>
    <definedName name="_12_0S" localSheetId="17">'[30]#REF'!#REF!</definedName>
    <definedName name="_12_0S" localSheetId="12">'[30]#REF'!#REF!</definedName>
    <definedName name="_12_0S" localSheetId="22">'[30]#REF'!#REF!</definedName>
    <definedName name="_12_0S" localSheetId="28">'[30]#REF'!#REF!</definedName>
    <definedName name="_12_0S" localSheetId="35">'[30]#REF'!#REF!</definedName>
    <definedName name="_12_0S">'[30]#REF'!#REF!</definedName>
    <definedName name="_129__123Graph_LBL_DCHART_1" localSheetId="29" hidden="1">[27]synthgraph!#REF!</definedName>
    <definedName name="_129__123Graph_LBL_DCHART_1" localSheetId="31" hidden="1">[27]synthgraph!#REF!</definedName>
    <definedName name="_129__123Graph_LBL_DCHART_1" localSheetId="28" hidden="1">[27]synthgraph!#REF!</definedName>
    <definedName name="_129__123Graph_LBL_DCHART_1" localSheetId="35" hidden="1">[27]synthgraph!#REF!</definedName>
    <definedName name="_129__123Graph_LBL_DCHART_1" hidden="1">[27]synthgraph!#REF!</definedName>
    <definedName name="_12ÿ_0CAPEX_" localSheetId="18">'[29]Capex-C'!#REF!</definedName>
    <definedName name="_12ÿ_0CAPEX_" localSheetId="29">'[29]Capex-C'!#REF!</definedName>
    <definedName name="_12ÿ_0CAPEX_" localSheetId="31">'[29]Capex-C'!#REF!</definedName>
    <definedName name="_12ÿ_0CAPEX_" localSheetId="15">'[29]Capex-C'!#REF!</definedName>
    <definedName name="_12ÿ_0CAPEX_" localSheetId="13">'[29]Capex-C'!#REF!</definedName>
    <definedName name="_12ÿ_0CAPEX_" localSheetId="17">'[29]Capex-C'!#REF!</definedName>
    <definedName name="_12ÿ_0CAPEX_" localSheetId="12">'[29]Capex-C'!#REF!</definedName>
    <definedName name="_12ÿ_0CAPEX_" localSheetId="22">'[29]Capex-C'!#REF!</definedName>
    <definedName name="_12ÿ_0CAPEX_" localSheetId="28">'[29]Capex-C'!#REF!</definedName>
    <definedName name="_12ÿ_0CAPEX_" localSheetId="35">'[29]Capex-C'!#REF!</definedName>
    <definedName name="_12ÿ_0CAPEX_">'[29]Capex-C'!#REF!</definedName>
    <definedName name="_13__123Graph_BCHART_3" localSheetId="29" hidden="1">#REF!</definedName>
    <definedName name="_13__123Graph_BCHART_3" localSheetId="31" hidden="1">#REF!</definedName>
    <definedName name="_13__123Graph_BCHART_3" localSheetId="28" hidden="1">#REF!</definedName>
    <definedName name="_13__123Graph_BCHART_3" localSheetId="35" hidden="1">#REF!</definedName>
    <definedName name="_13__123Graph_BCHART_3" hidden="1">#REF!</definedName>
    <definedName name="_13_0" localSheetId="18">#REF!</definedName>
    <definedName name="_13_0" localSheetId="25">#REF!</definedName>
    <definedName name="_13_0" localSheetId="29">#REF!</definedName>
    <definedName name="_13_0" localSheetId="31">#REF!</definedName>
    <definedName name="_13_0" localSheetId="15">#REF!</definedName>
    <definedName name="_13_0" localSheetId="13">#REF!</definedName>
    <definedName name="_13_0" localSheetId="17">#REF!</definedName>
    <definedName name="_13_0" localSheetId="12">#REF!</definedName>
    <definedName name="_13_0" localSheetId="22">#REF!</definedName>
    <definedName name="_13_0" localSheetId="28">#REF!</definedName>
    <definedName name="_13_0" localSheetId="35">#REF!</definedName>
    <definedName name="_13_0">#REF!</definedName>
    <definedName name="_13_0__123Grap" localSheetId="18" hidden="1">#REF!</definedName>
    <definedName name="_13_0__123Grap" localSheetId="25" hidden="1">#REF!</definedName>
    <definedName name="_13_0__123Grap" localSheetId="29" hidden="1">#REF!</definedName>
    <definedName name="_13_0__123Grap" localSheetId="31" hidden="1">#REF!</definedName>
    <definedName name="_13_0__123Grap" localSheetId="15" hidden="1">#REF!</definedName>
    <definedName name="_13_0__123Grap" localSheetId="13" hidden="1">#REF!</definedName>
    <definedName name="_13_0__123Grap" localSheetId="17" hidden="1">#REF!</definedName>
    <definedName name="_13_0__123Grap" localSheetId="12" hidden="1">#REF!</definedName>
    <definedName name="_13_0__123Grap" localSheetId="22" hidden="1">#REF!</definedName>
    <definedName name="_13_0__123Grap" localSheetId="28" hidden="1">#REF!</definedName>
    <definedName name="_13_0__123Grap" localSheetId="35" hidden="1">#REF!</definedName>
    <definedName name="_13_0__123Grap" hidden="1">#REF!</definedName>
    <definedName name="_130__123Graph_LBL_DCHART_2" hidden="1">'[28]synthgraph DCF'!$H$7:$H$7</definedName>
    <definedName name="_131__123Graph_XCHART_2" hidden="1">'[28]synthgraph DCF'!$C$7:$C$7</definedName>
    <definedName name="_13ÿ_0CAPEX_billing_VMS_" localSheetId="18">'[29]Capex-C'!#REF!</definedName>
    <definedName name="_13ÿ_0CAPEX_billing_VMS_" localSheetId="29">'[29]Capex-C'!#REF!</definedName>
    <definedName name="_13ÿ_0CAPEX_billing_VMS_" localSheetId="31">'[29]Capex-C'!#REF!</definedName>
    <definedName name="_13ÿ_0CAPEX_billing_VMS_" localSheetId="15">'[29]Capex-C'!#REF!</definedName>
    <definedName name="_13ÿ_0CAPEX_billing_VMS_" localSheetId="13">'[29]Capex-C'!#REF!</definedName>
    <definedName name="_13ÿ_0CAPEX_billing_VMS_" localSheetId="17">'[29]Capex-C'!#REF!</definedName>
    <definedName name="_13ÿ_0CAPEX_billing_VMS_" localSheetId="12">'[29]Capex-C'!#REF!</definedName>
    <definedName name="_13ÿ_0CAPEX_billing_VMS_" localSheetId="22">'[29]Capex-C'!#REF!</definedName>
    <definedName name="_13ÿ_0CAPEX_billing_VMS_" localSheetId="28">'[29]Capex-C'!#REF!</definedName>
    <definedName name="_13ÿ_0CAPEX_billing_VMS_" localSheetId="35">'[29]Capex-C'!#REF!</definedName>
    <definedName name="_13ÿ_0CAPEX_billing_VMS_">'[29]Capex-C'!#REF!</definedName>
    <definedName name="_14_" localSheetId="18">#REF!</definedName>
    <definedName name="_14_" localSheetId="25">#REF!</definedName>
    <definedName name="_14_" localSheetId="29">#REF!</definedName>
    <definedName name="_14_" localSheetId="31">#REF!</definedName>
    <definedName name="_14_" localSheetId="15">#REF!</definedName>
    <definedName name="_14_" localSheetId="13">#REF!</definedName>
    <definedName name="_14_" localSheetId="17">#REF!</definedName>
    <definedName name="_14_" localSheetId="12">#REF!</definedName>
    <definedName name="_14_" localSheetId="22">#REF!</definedName>
    <definedName name="_14_" localSheetId="28">#REF!</definedName>
    <definedName name="_14_" localSheetId="35">#REF!</definedName>
    <definedName name="_14_">#REF!</definedName>
    <definedName name="_14_0" localSheetId="18">#REF!</definedName>
    <definedName name="_14_0" localSheetId="25">#REF!</definedName>
    <definedName name="_14_0" localSheetId="29">#REF!</definedName>
    <definedName name="_14_0" localSheetId="31">#REF!</definedName>
    <definedName name="_14_0" localSheetId="15">#REF!</definedName>
    <definedName name="_14_0" localSheetId="13">#REF!</definedName>
    <definedName name="_14_0" localSheetId="17">#REF!</definedName>
    <definedName name="_14_0" localSheetId="12">#REF!</definedName>
    <definedName name="_14_0" localSheetId="22">#REF!</definedName>
    <definedName name="_14_0" localSheetId="28">#REF!</definedName>
    <definedName name="_14_0" localSheetId="35">#REF!</definedName>
    <definedName name="_14_0">#REF!</definedName>
    <definedName name="_14_0__123Grap" hidden="1">#N/A</definedName>
    <definedName name="_144_123Grap" localSheetId="18" hidden="1">#REF!</definedName>
    <definedName name="_144_123Grap" localSheetId="25" hidden="1">#REF!</definedName>
    <definedName name="_144_123Grap" localSheetId="29" hidden="1">#REF!</definedName>
    <definedName name="_144_123Grap" localSheetId="31" hidden="1">#REF!</definedName>
    <definedName name="_144_123Grap" localSheetId="15" hidden="1">#REF!</definedName>
    <definedName name="_144_123Grap" localSheetId="13" hidden="1">#REF!</definedName>
    <definedName name="_144_123Grap" localSheetId="17" hidden="1">#REF!</definedName>
    <definedName name="_144_123Grap" localSheetId="12" hidden="1">#REF!</definedName>
    <definedName name="_144_123Grap" localSheetId="22" hidden="1">#REF!</definedName>
    <definedName name="_144_123Grap" localSheetId="28" hidden="1">#REF!</definedName>
    <definedName name="_144_123Grap" localSheetId="35" hidden="1">#REF!</definedName>
    <definedName name="_144_123Grap" hidden="1">#REF!</definedName>
    <definedName name="_14ÿ_0CAPEX_Civil_Wo" localSheetId="18">'[29]Capex-C'!#REF!</definedName>
    <definedName name="_14ÿ_0CAPEX_Civil_Wo" localSheetId="29">'[29]Capex-C'!#REF!</definedName>
    <definedName name="_14ÿ_0CAPEX_Civil_Wo" localSheetId="31">'[29]Capex-C'!#REF!</definedName>
    <definedName name="_14ÿ_0CAPEX_Civil_Wo" localSheetId="15">'[29]Capex-C'!#REF!</definedName>
    <definedName name="_14ÿ_0CAPEX_Civil_Wo" localSheetId="13">'[29]Capex-C'!#REF!</definedName>
    <definedName name="_14ÿ_0CAPEX_Civil_Wo" localSheetId="17">'[29]Capex-C'!#REF!</definedName>
    <definedName name="_14ÿ_0CAPEX_Civil_Wo" localSheetId="12">'[29]Capex-C'!#REF!</definedName>
    <definedName name="_14ÿ_0CAPEX_Civil_Wo" localSheetId="22">'[29]Capex-C'!#REF!</definedName>
    <definedName name="_14ÿ_0CAPEX_Civil_Wo" localSheetId="28">'[29]Capex-C'!#REF!</definedName>
    <definedName name="_14ÿ_0CAPEX_Civil_Wo" localSheetId="35">'[29]Capex-C'!#REF!</definedName>
    <definedName name="_14ÿ_0CAPEX_Civil_Wo">'[29]Capex-C'!#REF!</definedName>
    <definedName name="_15__123Graph_BCHART_5" localSheetId="29" hidden="1">[31]MEX95IB!#REF!</definedName>
    <definedName name="_15__123Graph_BCHART_5" localSheetId="31" hidden="1">[31]MEX95IB!#REF!</definedName>
    <definedName name="_15__123Graph_BCHART_5" localSheetId="28" hidden="1">[31]MEX95IB!#REF!</definedName>
    <definedName name="_15__123Graph_BCHART_5" localSheetId="35" hidden="1">[31]MEX95IB!#REF!</definedName>
    <definedName name="_15__123Graph_BCHART_5" hidden="1">[31]MEX95IB!#REF!</definedName>
    <definedName name="_15ÿ_0CAPEX_computer_softw" localSheetId="18">'[29]Capex-C'!#REF!</definedName>
    <definedName name="_15ÿ_0CAPEX_computer_softw" localSheetId="29">'[29]Capex-C'!#REF!</definedName>
    <definedName name="_15ÿ_0CAPEX_computer_softw" localSheetId="31">'[29]Capex-C'!#REF!</definedName>
    <definedName name="_15ÿ_0CAPEX_computer_softw" localSheetId="15">'[29]Capex-C'!#REF!</definedName>
    <definedName name="_15ÿ_0CAPEX_computer_softw" localSheetId="13">'[29]Capex-C'!#REF!</definedName>
    <definedName name="_15ÿ_0CAPEX_computer_softw" localSheetId="17">'[29]Capex-C'!#REF!</definedName>
    <definedName name="_15ÿ_0CAPEX_computer_softw" localSheetId="12">'[29]Capex-C'!#REF!</definedName>
    <definedName name="_15ÿ_0CAPEX_computer_softw" localSheetId="22">'[29]Capex-C'!#REF!</definedName>
    <definedName name="_15ÿ_0CAPEX_computer_softw" localSheetId="28">'[29]Capex-C'!#REF!</definedName>
    <definedName name="_15ÿ_0CAPEX_computer_softw" localSheetId="35">'[29]Capex-C'!#REF!</definedName>
    <definedName name="_15ÿ_0CAPEX_computer_softw">'[29]Capex-C'!#REF!</definedName>
    <definedName name="_16_0S" localSheetId="18">#REF!</definedName>
    <definedName name="_16_0S" localSheetId="25">#REF!</definedName>
    <definedName name="_16_0S" localSheetId="29">#REF!</definedName>
    <definedName name="_16_0S" localSheetId="31">#REF!</definedName>
    <definedName name="_16_0S" localSheetId="15">#REF!</definedName>
    <definedName name="_16_0S" localSheetId="13">#REF!</definedName>
    <definedName name="_16_0S" localSheetId="17">#REF!</definedName>
    <definedName name="_16_0S" localSheetId="12">#REF!</definedName>
    <definedName name="_16_0S" localSheetId="22">#REF!</definedName>
    <definedName name="_16_0S" localSheetId="28">#REF!</definedName>
    <definedName name="_16_0S" localSheetId="35">#REF!</definedName>
    <definedName name="_16_0S">#REF!</definedName>
    <definedName name="_16ÿ_0CAPEX_Equipm" localSheetId="18">'[29]Capex-C'!#REF!</definedName>
    <definedName name="_16ÿ_0CAPEX_Equipm" localSheetId="29">'[29]Capex-C'!#REF!</definedName>
    <definedName name="_16ÿ_0CAPEX_Equipm" localSheetId="31">'[29]Capex-C'!#REF!</definedName>
    <definedName name="_16ÿ_0CAPEX_Equipm" localSheetId="15">'[29]Capex-C'!#REF!</definedName>
    <definedName name="_16ÿ_0CAPEX_Equipm" localSheetId="13">'[29]Capex-C'!#REF!</definedName>
    <definedName name="_16ÿ_0CAPEX_Equipm" localSheetId="17">'[29]Capex-C'!#REF!</definedName>
    <definedName name="_16ÿ_0CAPEX_Equipm" localSheetId="12">'[29]Capex-C'!#REF!</definedName>
    <definedName name="_16ÿ_0CAPEX_Equipm" localSheetId="22">'[29]Capex-C'!#REF!</definedName>
    <definedName name="_16ÿ_0CAPEX_Equipm" localSheetId="28">'[29]Capex-C'!#REF!</definedName>
    <definedName name="_16ÿ_0CAPEX_Equipm" localSheetId="35">'[29]Capex-C'!#REF!</definedName>
    <definedName name="_16ÿ_0CAPEX_Equipm">'[29]Capex-C'!#REF!</definedName>
    <definedName name="_17__123Graph_DCHART_1" localSheetId="29" hidden="1">[27]synthgraph!#REF!</definedName>
    <definedName name="_17__123Graph_DCHART_1" localSheetId="31" hidden="1">[27]synthgraph!#REF!</definedName>
    <definedName name="_17__123Graph_DCHART_1" localSheetId="28" hidden="1">[27]synthgraph!#REF!</definedName>
    <definedName name="_17__123Graph_DCHART_1" localSheetId="35" hidden="1">[27]synthgraph!#REF!</definedName>
    <definedName name="_17__123Graph_DCHART_1" hidden="1">[27]synthgraph!#REF!</definedName>
    <definedName name="_17_0" localSheetId="18">#REF!</definedName>
    <definedName name="_17_0" localSheetId="25">#REF!</definedName>
    <definedName name="_17_0" localSheetId="29">#REF!</definedName>
    <definedName name="_17_0" localSheetId="31">#REF!</definedName>
    <definedName name="_17_0" localSheetId="15">#REF!</definedName>
    <definedName name="_17_0" localSheetId="13">#REF!</definedName>
    <definedName name="_17_0" localSheetId="17">#REF!</definedName>
    <definedName name="_17_0" localSheetId="12">#REF!</definedName>
    <definedName name="_17_0" localSheetId="22">#REF!</definedName>
    <definedName name="_17_0" localSheetId="28">#REF!</definedName>
    <definedName name="_17_0" localSheetId="35">#REF!</definedName>
    <definedName name="_17_0">#REF!</definedName>
    <definedName name="_17_0S">#N/A</definedName>
    <definedName name="_17_1Budget_PAF_03">#N/A</definedName>
    <definedName name="_173_0" localSheetId="18">#REF!</definedName>
    <definedName name="_173_0" localSheetId="25">#REF!</definedName>
    <definedName name="_173_0" localSheetId="29">#REF!</definedName>
    <definedName name="_173_0" localSheetId="31">#REF!</definedName>
    <definedName name="_173_0" localSheetId="15">#REF!</definedName>
    <definedName name="_173_0" localSheetId="13">#REF!</definedName>
    <definedName name="_173_0" localSheetId="17">#REF!</definedName>
    <definedName name="_173_0" localSheetId="12">#REF!</definedName>
    <definedName name="_173_0" localSheetId="22">#REF!</definedName>
    <definedName name="_173_0" localSheetId="28">#REF!</definedName>
    <definedName name="_173_0" localSheetId="35">#REF!</definedName>
    <definedName name="_173_0">#REF!</definedName>
    <definedName name="_17ÿ_0CAPEX_Gateway_Equipm" localSheetId="18">'[29]Capex-C'!#REF!</definedName>
    <definedName name="_17ÿ_0CAPEX_Gateway_Equipm" localSheetId="29">'[29]Capex-C'!#REF!</definedName>
    <definedName name="_17ÿ_0CAPEX_Gateway_Equipm" localSheetId="31">'[29]Capex-C'!#REF!</definedName>
    <definedName name="_17ÿ_0CAPEX_Gateway_Equipm" localSheetId="15">'[29]Capex-C'!#REF!</definedName>
    <definedName name="_17ÿ_0CAPEX_Gateway_Equipm" localSheetId="13">'[29]Capex-C'!#REF!</definedName>
    <definedName name="_17ÿ_0CAPEX_Gateway_Equipm" localSheetId="17">'[29]Capex-C'!#REF!</definedName>
    <definedName name="_17ÿ_0CAPEX_Gateway_Equipm" localSheetId="12">'[29]Capex-C'!#REF!</definedName>
    <definedName name="_17ÿ_0CAPEX_Gateway_Equipm" localSheetId="22">'[29]Capex-C'!#REF!</definedName>
    <definedName name="_17ÿ_0CAPEX_Gateway_Equipm" localSheetId="28">'[29]Capex-C'!#REF!</definedName>
    <definedName name="_17ÿ_0CAPEX_Gateway_Equipm" localSheetId="35">'[29]Capex-C'!#REF!</definedName>
    <definedName name="_17ÿ_0CAPEX_Gateway_Equipm">'[29]Capex-C'!#REF!</definedName>
    <definedName name="_18__123Graph_DCHART_2" hidden="1">'[28]synthgraph DCF'!$L$7:$L$7</definedName>
    <definedName name="_18_0__123Grap" localSheetId="18" hidden="1">#REF!</definedName>
    <definedName name="_18_0__123Grap" localSheetId="25" hidden="1">#REF!</definedName>
    <definedName name="_18_0__123Grap" localSheetId="29" hidden="1">#REF!</definedName>
    <definedName name="_18_0__123Grap" localSheetId="31" hidden="1">#REF!</definedName>
    <definedName name="_18_0__123Grap" localSheetId="15" hidden="1">#REF!</definedName>
    <definedName name="_18_0__123Grap" localSheetId="13" hidden="1">#REF!</definedName>
    <definedName name="_18_0__123Grap" localSheetId="17" hidden="1">#REF!</definedName>
    <definedName name="_18_0__123Grap" localSheetId="12" hidden="1">#REF!</definedName>
    <definedName name="_18_0__123Grap" localSheetId="22" hidden="1">#REF!</definedName>
    <definedName name="_18_0__123Grap" localSheetId="28" hidden="1">#REF!</definedName>
    <definedName name="_18_0__123Grap" localSheetId="35" hidden="1">#REF!</definedName>
    <definedName name="_18_0__123Grap" hidden="1">#REF!</definedName>
    <definedName name="_18_0KRa" localSheetId="18">'[23]SC - Marketing'!#REF!</definedName>
    <definedName name="_18_0KRa" localSheetId="29">'[23]SC - Marketing'!#REF!</definedName>
    <definedName name="_18_0KRa" localSheetId="31">'[23]SC - Marketing'!#REF!</definedName>
    <definedName name="_18_0KRa" localSheetId="15">'[23]SC - Marketing'!#REF!</definedName>
    <definedName name="_18_0KRa" localSheetId="13">'[23]SC - Marketing'!#REF!</definedName>
    <definedName name="_18_0KRa" localSheetId="17">'[23]SC - Marketing'!#REF!</definedName>
    <definedName name="_18_0KRa" localSheetId="12">'[23]SC - Marketing'!#REF!</definedName>
    <definedName name="_18_0KRa" localSheetId="22">'[23]SC - Marketing'!#REF!</definedName>
    <definedName name="_18_0KRa" localSheetId="28">'[23]SC - Marketing'!#REF!</definedName>
    <definedName name="_18_0KRa" localSheetId="35">'[23]SC - Marketing'!#REF!</definedName>
    <definedName name="_18_0KRa">'[23]SC - Marketing'!#REF!</definedName>
    <definedName name="_18_0S" localSheetId="18">'[32]#REF'!#REF!</definedName>
    <definedName name="_18_0S" localSheetId="29">'[32]#REF'!#REF!</definedName>
    <definedName name="_18_0S" localSheetId="31">'[32]#REF'!#REF!</definedName>
    <definedName name="_18_0S" localSheetId="15">'[32]#REF'!#REF!</definedName>
    <definedName name="_18_0S" localSheetId="13">'[32]#REF'!#REF!</definedName>
    <definedName name="_18_0S" localSheetId="17">'[32]#REF'!#REF!</definedName>
    <definedName name="_18_0S" localSheetId="12">'[32]#REF'!#REF!</definedName>
    <definedName name="_18_0S" localSheetId="22">'[32]#REF'!#REF!</definedName>
    <definedName name="_18_0S" localSheetId="28">'[32]#REF'!#REF!</definedName>
    <definedName name="_18_0S" localSheetId="35">'[32]#REF'!#REF!</definedName>
    <definedName name="_18_0S">'[32]#REF'!#REF!</definedName>
    <definedName name="_18_1BudgetPôleFixe03">#N/A</definedName>
    <definedName name="_18S">#N/A</definedName>
    <definedName name="_18ÿ_0CAPEX_Licence_" localSheetId="18">'[29]Capex-C'!#REF!</definedName>
    <definedName name="_18ÿ_0CAPEX_Licence_" localSheetId="29">'[29]Capex-C'!#REF!</definedName>
    <definedName name="_18ÿ_0CAPEX_Licence_" localSheetId="31">'[29]Capex-C'!#REF!</definedName>
    <definedName name="_18ÿ_0CAPEX_Licence_" localSheetId="15">'[29]Capex-C'!#REF!</definedName>
    <definedName name="_18ÿ_0CAPEX_Licence_" localSheetId="13">'[29]Capex-C'!#REF!</definedName>
    <definedName name="_18ÿ_0CAPEX_Licence_" localSheetId="17">'[29]Capex-C'!#REF!</definedName>
    <definedName name="_18ÿ_0CAPEX_Licence_" localSheetId="12">'[29]Capex-C'!#REF!</definedName>
    <definedName name="_18ÿ_0CAPEX_Licence_" localSheetId="22">'[29]Capex-C'!#REF!</definedName>
    <definedName name="_18ÿ_0CAPEX_Licence_" localSheetId="28">'[29]Capex-C'!#REF!</definedName>
    <definedName name="_18ÿ_0CAPEX_Licence_" localSheetId="35">'[29]Capex-C'!#REF!</definedName>
    <definedName name="_18ÿ_0CAPEX_Licence_">'[29]Capex-C'!#REF!</definedName>
    <definedName name="_19_???">#N/A</definedName>
    <definedName name="_19_0__123Grap" localSheetId="18" hidden="1">#REF!</definedName>
    <definedName name="_19_0__123Grap" localSheetId="25" hidden="1">#REF!</definedName>
    <definedName name="_19_0__123Grap" localSheetId="29" hidden="1">#REF!</definedName>
    <definedName name="_19_0__123Grap" localSheetId="31" hidden="1">#REF!</definedName>
    <definedName name="_19_0__123Grap" localSheetId="15" hidden="1">#REF!</definedName>
    <definedName name="_19_0__123Grap" localSheetId="13" hidden="1">#REF!</definedName>
    <definedName name="_19_0__123Grap" localSheetId="17" hidden="1">#REF!</definedName>
    <definedName name="_19_0__123Grap" localSheetId="12" hidden="1">#REF!</definedName>
    <definedName name="_19_0__123Grap" localSheetId="22" hidden="1">#REF!</definedName>
    <definedName name="_19_0__123Grap" localSheetId="28" hidden="1">#REF!</definedName>
    <definedName name="_19_0__123Grap" localSheetId="35" hidden="1">#REF!</definedName>
    <definedName name="_19_0__123Grap" hidden="1">#REF!</definedName>
    <definedName name="_19_1Budget_PAF_03">#N/A</definedName>
    <definedName name="_1993" localSheetId="18">'[1]Cur Q v Plan'!#REF!</definedName>
    <definedName name="_1993" localSheetId="25">'[1]Cur Q v Plan'!#REF!</definedName>
    <definedName name="_1993" localSheetId="29">'[1]Cur Q v Plan'!#REF!</definedName>
    <definedName name="_1993" localSheetId="31">'[1]Cur Q v Plan'!#REF!</definedName>
    <definedName name="_1993" localSheetId="15">'[1]Cur Q v Plan'!#REF!</definedName>
    <definedName name="_1993" localSheetId="13">'[1]Cur Q v Plan'!#REF!</definedName>
    <definedName name="_1993" localSheetId="17">'[1]Cur Q v Plan'!#REF!</definedName>
    <definedName name="_1993" localSheetId="12">'[1]Cur Q v Plan'!#REF!</definedName>
    <definedName name="_1993" localSheetId="22">'[2]Cur Q v Plan'!#REF!</definedName>
    <definedName name="_1993" localSheetId="28">'[1]Cur Q v Plan'!#REF!</definedName>
    <definedName name="_1993" localSheetId="35">'[1]Cur Q v Plan'!#REF!</definedName>
    <definedName name="_1993">'[1]Cur Q v Plan'!#REF!</definedName>
    <definedName name="_19ÿ_0CAPEX_Microw" localSheetId="18">'[29]Capex-C'!#REF!</definedName>
    <definedName name="_19ÿ_0CAPEX_Microw" localSheetId="29">'[29]Capex-C'!#REF!</definedName>
    <definedName name="_19ÿ_0CAPEX_Microw" localSheetId="31">'[29]Capex-C'!#REF!</definedName>
    <definedName name="_19ÿ_0CAPEX_Microw" localSheetId="15">'[29]Capex-C'!#REF!</definedName>
    <definedName name="_19ÿ_0CAPEX_Microw" localSheetId="13">'[29]Capex-C'!#REF!</definedName>
    <definedName name="_19ÿ_0CAPEX_Microw" localSheetId="17">'[29]Capex-C'!#REF!</definedName>
    <definedName name="_19ÿ_0CAPEX_Microw" localSheetId="12">'[29]Capex-C'!#REF!</definedName>
    <definedName name="_19ÿ_0CAPEX_Microw" localSheetId="22">'[29]Capex-C'!#REF!</definedName>
    <definedName name="_19ÿ_0CAPEX_Microw" localSheetId="28">'[29]Capex-C'!#REF!</definedName>
    <definedName name="_19ÿ_0CAPEX_Microw" localSheetId="35">'[29]Capex-C'!#REF!</definedName>
    <definedName name="_19ÿ_0CAPEX_Microw">'[29]Capex-C'!#REF!</definedName>
    <definedName name="_1Budget_PAF_03">#N/A</definedName>
    <definedName name="_1BudgetPôleFixe03" localSheetId="18">#REF!</definedName>
    <definedName name="_1BudgetPôleFixe03" localSheetId="25">#REF!</definedName>
    <definedName name="_1BudgetPôleFixe03" localSheetId="29">#REF!</definedName>
    <definedName name="_1BudgetPôleFixe03" localSheetId="31">#REF!</definedName>
    <definedName name="_1BudgetPôleFixe03" localSheetId="15">#REF!</definedName>
    <definedName name="_1BudgetPôleFixe03" localSheetId="13">#REF!</definedName>
    <definedName name="_1BudgetPôleFixe03" localSheetId="17">#REF!</definedName>
    <definedName name="_1BudgetPôleFixe03" localSheetId="12">#REF!</definedName>
    <definedName name="_1BudgetPôleFixe03" localSheetId="22">#REF!</definedName>
    <definedName name="_1BudgetPôleFixe03" localSheetId="28">#REF!</definedName>
    <definedName name="_1BudgetPôleFixe03" localSheetId="35">#REF!</definedName>
    <definedName name="_1BudgetPôleFixe03">#REF!</definedName>
    <definedName name="_2_" localSheetId="18">#REF!</definedName>
    <definedName name="_2_" localSheetId="25">#REF!</definedName>
    <definedName name="_2_" localSheetId="29">#REF!</definedName>
    <definedName name="_2_" localSheetId="31">#REF!</definedName>
    <definedName name="_2_" localSheetId="15">#REF!</definedName>
    <definedName name="_2_" localSheetId="13">#REF!</definedName>
    <definedName name="_2_" localSheetId="17">#REF!</definedName>
    <definedName name="_2_" localSheetId="12">#REF!</definedName>
    <definedName name="_2_" localSheetId="22">#REF!</definedName>
    <definedName name="_2_" localSheetId="28">#REF!</definedName>
    <definedName name="_2_" localSheetId="35">#REF!</definedName>
    <definedName name="_2_">#REF!</definedName>
    <definedName name="_20__123Graph_LBL_ACHART_1" localSheetId="29" hidden="1">[27]synthgraph!#REF!</definedName>
    <definedName name="_20__123Graph_LBL_ACHART_1" localSheetId="31" hidden="1">[27]synthgraph!#REF!</definedName>
    <definedName name="_20__123Graph_LBL_ACHART_1" localSheetId="28" hidden="1">[27]synthgraph!#REF!</definedName>
    <definedName name="_20__123Graph_LBL_ACHART_1" localSheetId="35" hidden="1">[27]synthgraph!#REF!</definedName>
    <definedName name="_20__123Graph_LBL_ACHART_1" hidden="1">[27]synthgraph!#REF!</definedName>
    <definedName name="_20__GM" localSheetId="29">'[33]DETAIL REPORT'!#REF!</definedName>
    <definedName name="_20__GM" localSheetId="31">'[33]DETAIL REPORT'!#REF!</definedName>
    <definedName name="_20__GM" localSheetId="28">'[33]DETAIL REPORT'!#REF!</definedName>
    <definedName name="_20__GM" localSheetId="35">'[33]DETAIL REPORT'!#REF!</definedName>
    <definedName name="_20__GM">'[33]DETAIL REPORT'!#REF!</definedName>
    <definedName name="_20_1BudgetPôleFixe03">#N/A</definedName>
    <definedName name="_200" localSheetId="18">#REF!</definedName>
    <definedName name="_200" localSheetId="25">#REF!</definedName>
    <definedName name="_200" localSheetId="29">#REF!</definedName>
    <definedName name="_200" localSheetId="31">#REF!</definedName>
    <definedName name="_200" localSheetId="15">#REF!</definedName>
    <definedName name="_200" localSheetId="13">#REF!</definedName>
    <definedName name="_200" localSheetId="17">#REF!</definedName>
    <definedName name="_200" localSheetId="12">#REF!</definedName>
    <definedName name="_200" localSheetId="22">#REF!</definedName>
    <definedName name="_200" localSheetId="28">#REF!</definedName>
    <definedName name="_200" localSheetId="35">#REF!</definedName>
    <definedName name="_200">#REF!</definedName>
    <definedName name="_200___0">#N/A</definedName>
    <definedName name="_200___12">#N/A</definedName>
    <definedName name="_200___14">#N/A</definedName>
    <definedName name="_200___16">#N/A</definedName>
    <definedName name="_200___2">#N/A</definedName>
    <definedName name="_200___25">#N/A</definedName>
    <definedName name="_200___26">#N/A</definedName>
    <definedName name="_200___27">#N/A</definedName>
    <definedName name="_200___4">#N/A</definedName>
    <definedName name="_200___5">#N/A</definedName>
    <definedName name="_200___7">#N/A</definedName>
    <definedName name="_202_0__123Grap" localSheetId="18" hidden="1">#REF!</definedName>
    <definedName name="_202_0__123Grap" localSheetId="25" hidden="1">#REF!</definedName>
    <definedName name="_202_0__123Grap" localSheetId="29" hidden="1">#REF!</definedName>
    <definedName name="_202_0__123Grap" localSheetId="31" hidden="1">#REF!</definedName>
    <definedName name="_202_0__123Grap" localSheetId="15" hidden="1">#REF!</definedName>
    <definedName name="_202_0__123Grap" localSheetId="13" hidden="1">#REF!</definedName>
    <definedName name="_202_0__123Grap" localSheetId="17" hidden="1">#REF!</definedName>
    <definedName name="_202_0__123Grap" localSheetId="12" hidden="1">#REF!</definedName>
    <definedName name="_202_0__123Grap" localSheetId="22" hidden="1">#REF!</definedName>
    <definedName name="_202_0__123Grap" localSheetId="28" hidden="1">#REF!</definedName>
    <definedName name="_202_0__123Grap" localSheetId="35" hidden="1">#REF!</definedName>
    <definedName name="_202_0__123Grap" hidden="1">#REF!</definedName>
    <definedName name="_20S" localSheetId="18">#REF!</definedName>
    <definedName name="_20S" localSheetId="25">#REF!</definedName>
    <definedName name="_20S" localSheetId="29">#REF!</definedName>
    <definedName name="_20S" localSheetId="31">#REF!</definedName>
    <definedName name="_20S" localSheetId="15">#REF!</definedName>
    <definedName name="_20S" localSheetId="13">#REF!</definedName>
    <definedName name="_20S" localSheetId="17">#REF!</definedName>
    <definedName name="_20S" localSheetId="12">#REF!</definedName>
    <definedName name="_20S" localSheetId="22">#REF!</definedName>
    <definedName name="_20S" localSheetId="28">#REF!</definedName>
    <definedName name="_20S" localSheetId="35">#REF!</definedName>
    <definedName name="_20S">#REF!</definedName>
    <definedName name="_20ÿ_0CAPEX_office_furnit" localSheetId="18">'[29]Capex-C'!#REF!</definedName>
    <definedName name="_20ÿ_0CAPEX_office_furnit" localSheetId="29">'[29]Capex-C'!#REF!</definedName>
    <definedName name="_20ÿ_0CAPEX_office_furnit" localSheetId="31">'[29]Capex-C'!#REF!</definedName>
    <definedName name="_20ÿ_0CAPEX_office_furnit" localSheetId="15">'[29]Capex-C'!#REF!</definedName>
    <definedName name="_20ÿ_0CAPEX_office_furnit" localSheetId="13">'[29]Capex-C'!#REF!</definedName>
    <definedName name="_20ÿ_0CAPEX_office_furnit" localSheetId="17">'[29]Capex-C'!#REF!</definedName>
    <definedName name="_20ÿ_0CAPEX_office_furnit" localSheetId="12">'[29]Capex-C'!#REF!</definedName>
    <definedName name="_20ÿ_0CAPEX_office_furnit" localSheetId="22">'[29]Capex-C'!#REF!</definedName>
    <definedName name="_20ÿ_0CAPEX_office_furnit" localSheetId="28">'[29]Capex-C'!#REF!</definedName>
    <definedName name="_20ÿ_0CAPEX_office_furnit" localSheetId="35">'[29]Capex-C'!#REF!</definedName>
    <definedName name="_20ÿ_0CAPEX_office_furnit">'[29]Capex-C'!#REF!</definedName>
    <definedName name="_21__123Graph_LBL_ACHART_2" hidden="1">'[28]synthgraph DCF'!$G$7:$G$7</definedName>
    <definedName name="_21_0KRa" localSheetId="18">'[34]SC - Marketing'!#REF!</definedName>
    <definedName name="_21_0KRa" localSheetId="29">'[34]SC - Marketing'!#REF!</definedName>
    <definedName name="_21_0KRa" localSheetId="31">'[34]SC - Marketing'!#REF!</definedName>
    <definedName name="_21_0KRa" localSheetId="15">'[34]SC - Marketing'!#REF!</definedName>
    <definedName name="_21_0KRa" localSheetId="13">'[34]SC - Marketing'!#REF!</definedName>
    <definedName name="_21_0KRa" localSheetId="17">'[34]SC - Marketing'!#REF!</definedName>
    <definedName name="_21_0KRa" localSheetId="12">'[34]SC - Marketing'!#REF!</definedName>
    <definedName name="_21_0KRa" localSheetId="22">'[34]SC - Marketing'!#REF!</definedName>
    <definedName name="_21_0KRa" localSheetId="28">'[34]SC - Marketing'!#REF!</definedName>
    <definedName name="_21_0KRa" localSheetId="35">'[34]SC - Marketing'!#REF!</definedName>
    <definedName name="_21_0KRa">'[34]SC - Marketing'!#REF!</definedName>
    <definedName name="_21_123Grap" localSheetId="18" hidden="1">#REF!</definedName>
    <definedName name="_21_123Grap" localSheetId="25" hidden="1">#REF!</definedName>
    <definedName name="_21_123Grap" localSheetId="29" hidden="1">#REF!</definedName>
    <definedName name="_21_123Grap" localSheetId="31" hidden="1">#REF!</definedName>
    <definedName name="_21_123Grap" localSheetId="15" hidden="1">#REF!</definedName>
    <definedName name="_21_123Grap" localSheetId="13" hidden="1">#REF!</definedName>
    <definedName name="_21_123Grap" localSheetId="17" hidden="1">#REF!</definedName>
    <definedName name="_21_123Grap" localSheetId="12" hidden="1">#REF!</definedName>
    <definedName name="_21_123Grap" localSheetId="22" hidden="1">#REF!</definedName>
    <definedName name="_21_123Grap" localSheetId="28" hidden="1">#REF!</definedName>
    <definedName name="_21_123Grap" localSheetId="35" hidden="1">#REF!</definedName>
    <definedName name="_21_123Grap" hidden="1">#REF!</definedName>
    <definedName name="_211_I_1_6">#N/A</definedName>
    <definedName name="_212" localSheetId="18">#REF!</definedName>
    <definedName name="_212" localSheetId="25">#REF!</definedName>
    <definedName name="_212" localSheetId="29">#REF!</definedName>
    <definedName name="_212" localSheetId="31">#REF!</definedName>
    <definedName name="_212" localSheetId="15">#REF!</definedName>
    <definedName name="_212" localSheetId="13">#REF!</definedName>
    <definedName name="_212" localSheetId="17">#REF!</definedName>
    <definedName name="_212" localSheetId="12">#REF!</definedName>
    <definedName name="_212" localSheetId="22">#REF!</definedName>
    <definedName name="_212" localSheetId="28">#REF!</definedName>
    <definedName name="_212" localSheetId="35">#REF!</definedName>
    <definedName name="_212">#REF!</definedName>
    <definedName name="_212___0">#N/A</definedName>
    <definedName name="_212___12">#N/A</definedName>
    <definedName name="_212___14">#N/A</definedName>
    <definedName name="_212___16">#N/A</definedName>
    <definedName name="_212___2">#N/A</definedName>
    <definedName name="_212___25">#N/A</definedName>
    <definedName name="_212___26">#N/A</definedName>
    <definedName name="_212___27">#N/A</definedName>
    <definedName name="_212___4">#N/A</definedName>
    <definedName name="_212___5">#N/A</definedName>
    <definedName name="_212___7">#N/A</definedName>
    <definedName name="_214" localSheetId="18">#REF!</definedName>
    <definedName name="_214" localSheetId="25">#REF!</definedName>
    <definedName name="_214" localSheetId="29">#REF!</definedName>
    <definedName name="_214" localSheetId="31">#REF!</definedName>
    <definedName name="_214" localSheetId="15">#REF!</definedName>
    <definedName name="_214" localSheetId="13">#REF!</definedName>
    <definedName name="_214" localSheetId="17">#REF!</definedName>
    <definedName name="_214" localSheetId="12">#REF!</definedName>
    <definedName name="_214" localSheetId="22">#REF!</definedName>
    <definedName name="_214" localSheetId="28">#REF!</definedName>
    <definedName name="_214" localSheetId="35">#REF!</definedName>
    <definedName name="_214">#REF!</definedName>
    <definedName name="_214___0">#N/A</definedName>
    <definedName name="_214___12">#N/A</definedName>
    <definedName name="_214___14">#N/A</definedName>
    <definedName name="_214___16">#N/A</definedName>
    <definedName name="_214___2">#N/A</definedName>
    <definedName name="_214___25">#N/A</definedName>
    <definedName name="_214___26">#N/A</definedName>
    <definedName name="_214___27">#N/A</definedName>
    <definedName name="_214___4">#N/A</definedName>
    <definedName name="_214___5">#N/A</definedName>
    <definedName name="_214___7">#N/A</definedName>
    <definedName name="_216" localSheetId="18">#REF!</definedName>
    <definedName name="_216" localSheetId="25">#REF!</definedName>
    <definedName name="_216" localSheetId="29">#REF!</definedName>
    <definedName name="_216" localSheetId="31">#REF!</definedName>
    <definedName name="_216" localSheetId="15">#REF!</definedName>
    <definedName name="_216" localSheetId="13">#REF!</definedName>
    <definedName name="_216" localSheetId="17">#REF!</definedName>
    <definedName name="_216" localSheetId="12">#REF!</definedName>
    <definedName name="_216" localSheetId="22">#REF!</definedName>
    <definedName name="_216" localSheetId="28">#REF!</definedName>
    <definedName name="_216" localSheetId="35">#REF!</definedName>
    <definedName name="_216">#REF!</definedName>
    <definedName name="_216___0">#N/A</definedName>
    <definedName name="_216___12">#N/A</definedName>
    <definedName name="_216___14">#N/A</definedName>
    <definedName name="_216___16">#N/A</definedName>
    <definedName name="_216___2">#N/A</definedName>
    <definedName name="_216___25">#N/A</definedName>
    <definedName name="_216___26">#N/A</definedName>
    <definedName name="_216___27">#N/A</definedName>
    <definedName name="_216___4">#N/A</definedName>
    <definedName name="_216___5">#N/A</definedName>
    <definedName name="_216___7">#N/A</definedName>
    <definedName name="_21ÿ_0CAPEX_Subscri" localSheetId="18">'[29]Capex-C'!#REF!</definedName>
    <definedName name="_21ÿ_0CAPEX_Subscri" localSheetId="29">'[29]Capex-C'!#REF!</definedName>
    <definedName name="_21ÿ_0CAPEX_Subscri" localSheetId="31">'[29]Capex-C'!#REF!</definedName>
    <definedName name="_21ÿ_0CAPEX_Subscri" localSheetId="15">'[29]Capex-C'!#REF!</definedName>
    <definedName name="_21ÿ_0CAPEX_Subscri" localSheetId="13">'[29]Capex-C'!#REF!</definedName>
    <definedName name="_21ÿ_0CAPEX_Subscri" localSheetId="17">'[29]Capex-C'!#REF!</definedName>
    <definedName name="_21ÿ_0CAPEX_Subscri" localSheetId="12">'[29]Capex-C'!#REF!</definedName>
    <definedName name="_21ÿ_0CAPEX_Subscri" localSheetId="22">'[29]Capex-C'!#REF!</definedName>
    <definedName name="_21ÿ_0CAPEX_Subscri" localSheetId="28">'[29]Capex-C'!#REF!</definedName>
    <definedName name="_21ÿ_0CAPEX_Subscri" localSheetId="35">'[29]Capex-C'!#REF!</definedName>
    <definedName name="_21ÿ_0CAPEX_Subscri">'[29]Capex-C'!#REF!</definedName>
    <definedName name="_22_???">#N/A</definedName>
    <definedName name="_22__123Graph_LBL_ACHART_3" localSheetId="29" hidden="1">#REF!</definedName>
    <definedName name="_22__123Graph_LBL_ACHART_3" localSheetId="31" hidden="1">#REF!</definedName>
    <definedName name="_22__123Graph_LBL_ACHART_3" localSheetId="28" hidden="1">#REF!</definedName>
    <definedName name="_22__123Graph_LBL_ACHART_3" localSheetId="35" hidden="1">#REF!</definedName>
    <definedName name="_22__123Graph_LBL_ACHART_3" hidden="1">#REF!</definedName>
    <definedName name="_22_0__123Grap" localSheetId="18" hidden="1">#REF!</definedName>
    <definedName name="_22_0__123Grap" localSheetId="25" hidden="1">#REF!</definedName>
    <definedName name="_22_0__123Grap" localSheetId="29" hidden="1">#REF!</definedName>
    <definedName name="_22_0__123Grap" localSheetId="31" hidden="1">#REF!</definedName>
    <definedName name="_22_0__123Grap" localSheetId="15" hidden="1">#REF!</definedName>
    <definedName name="_22_0__123Grap" localSheetId="13" hidden="1">#REF!</definedName>
    <definedName name="_22_0__123Grap" localSheetId="17" hidden="1">#REF!</definedName>
    <definedName name="_22_0__123Grap" localSheetId="12" hidden="1">#REF!</definedName>
    <definedName name="_22_0__123Grap" localSheetId="22" hidden="1">#REF!</definedName>
    <definedName name="_22_0__123Grap" localSheetId="28" hidden="1">#REF!</definedName>
    <definedName name="_22_0__123Grap" localSheetId="35" hidden="1">#REF!</definedName>
    <definedName name="_22_0__123Grap" hidden="1">#REF!</definedName>
    <definedName name="_22_0S" localSheetId="18">'[35]#REF'!#REF!</definedName>
    <definedName name="_22_0S" localSheetId="29">'[35]#REF'!#REF!</definedName>
    <definedName name="_22_0S" localSheetId="31">'[35]#REF'!#REF!</definedName>
    <definedName name="_22_0S" localSheetId="15">'[35]#REF'!#REF!</definedName>
    <definedName name="_22_0S" localSheetId="13">'[35]#REF'!#REF!</definedName>
    <definedName name="_22_0S" localSheetId="17">'[35]#REF'!#REF!</definedName>
    <definedName name="_22_0S" localSheetId="12">'[35]#REF'!#REF!</definedName>
    <definedName name="_22_0S" localSheetId="22">'[35]#REF'!#REF!</definedName>
    <definedName name="_22_0S" localSheetId="28">'[35]#REF'!#REF!</definedName>
    <definedName name="_22_0S" localSheetId="35">'[35]#REF'!#REF!</definedName>
    <definedName name="_22_0S">'[35]#REF'!#REF!</definedName>
    <definedName name="_22ÿ_0Cum._Invest_bill" localSheetId="18">'[29]Capex-C'!#REF!</definedName>
    <definedName name="_22ÿ_0Cum._Invest_bill" localSheetId="29">'[29]Capex-C'!#REF!</definedName>
    <definedName name="_22ÿ_0Cum._Invest_bill" localSheetId="31">'[29]Capex-C'!#REF!</definedName>
    <definedName name="_22ÿ_0Cum._Invest_bill" localSheetId="15">'[29]Capex-C'!#REF!</definedName>
    <definedName name="_22ÿ_0Cum._Invest_bill" localSheetId="13">'[29]Capex-C'!#REF!</definedName>
    <definedName name="_22ÿ_0Cum._Invest_bill" localSheetId="17">'[29]Capex-C'!#REF!</definedName>
    <definedName name="_22ÿ_0Cum._Invest_bill" localSheetId="12">'[29]Capex-C'!#REF!</definedName>
    <definedName name="_22ÿ_0Cum._Invest_bill" localSheetId="22">'[29]Capex-C'!#REF!</definedName>
    <definedName name="_22ÿ_0Cum._Invest_bill" localSheetId="28">'[29]Capex-C'!#REF!</definedName>
    <definedName name="_22ÿ_0Cum._Invest_bill" localSheetId="35">'[29]Capex-C'!#REF!</definedName>
    <definedName name="_22ÿ_0Cum._Invest_bill">'[29]Capex-C'!#REF!</definedName>
    <definedName name="_232_IV_3_1">#N/A</definedName>
    <definedName name="_232_IV_4_1">#N/A</definedName>
    <definedName name="_232_VI_1_6">#N/A</definedName>
    <definedName name="_232_VI_4_1">#N/A</definedName>
    <definedName name="_232_VI_4_2">#N/A</definedName>
    <definedName name="_233_V_1_6">#N/A</definedName>
    <definedName name="_233_V_4_1">#N/A</definedName>
    <definedName name="_233_V_4_2">#N/A</definedName>
    <definedName name="_235_VII_1_6">#N/A</definedName>
    <definedName name="_235_VII_2_1">#N/A</definedName>
    <definedName name="_235_VII_3_1">#N/A</definedName>
    <definedName name="_235_VII_3_5">#N/A</definedName>
    <definedName name="_23ÿ_0Depr_base_bill" localSheetId="18">'[29]Capex-C'!#REF!</definedName>
    <definedName name="_23ÿ_0Depr_base_bill" localSheetId="29">'[29]Capex-C'!#REF!</definedName>
    <definedName name="_23ÿ_0Depr_base_bill" localSheetId="31">'[29]Capex-C'!#REF!</definedName>
    <definedName name="_23ÿ_0Depr_base_bill" localSheetId="15">'[29]Capex-C'!#REF!</definedName>
    <definedName name="_23ÿ_0Depr_base_bill" localSheetId="13">'[29]Capex-C'!#REF!</definedName>
    <definedName name="_23ÿ_0Depr_base_bill" localSheetId="17">'[29]Capex-C'!#REF!</definedName>
    <definedName name="_23ÿ_0Depr_base_bill" localSheetId="12">'[29]Capex-C'!#REF!</definedName>
    <definedName name="_23ÿ_0Depr_base_bill" localSheetId="22">'[29]Capex-C'!#REF!</definedName>
    <definedName name="_23ÿ_0Depr_base_bill" localSheetId="28">'[29]Capex-C'!#REF!</definedName>
    <definedName name="_23ÿ_0Depr_base_bill" localSheetId="35">'[29]Capex-C'!#REF!</definedName>
    <definedName name="_23ÿ_0Depr_base_bill">'[29]Capex-C'!#REF!</definedName>
    <definedName name="_24_" localSheetId="18">#REF!</definedName>
    <definedName name="_24_" localSheetId="25">#REF!</definedName>
    <definedName name="_24_" localSheetId="29">#REF!</definedName>
    <definedName name="_24_" localSheetId="31">#REF!</definedName>
    <definedName name="_24_" localSheetId="15">#REF!</definedName>
    <definedName name="_24_" localSheetId="13">#REF!</definedName>
    <definedName name="_24_" localSheetId="17">#REF!</definedName>
    <definedName name="_24_" localSheetId="12">#REF!</definedName>
    <definedName name="_24_" localSheetId="22">#REF!</definedName>
    <definedName name="_24_" localSheetId="28">#REF!</definedName>
    <definedName name="_24_" localSheetId="35">#REF!</definedName>
    <definedName name="_24_">#REF!</definedName>
    <definedName name="_24__123Graph_LBL_DCHART_1" localSheetId="29" hidden="1">[27]synthgraph!#REF!</definedName>
    <definedName name="_24__123Graph_LBL_DCHART_1" localSheetId="31" hidden="1">[27]synthgraph!#REF!</definedName>
    <definedName name="_24__123Graph_LBL_DCHART_1" localSheetId="28" hidden="1">[27]synthgraph!#REF!</definedName>
    <definedName name="_24__123Graph_LBL_DCHART_1" localSheetId="35" hidden="1">[27]synthgraph!#REF!</definedName>
    <definedName name="_24__123Graph_LBL_DCHART_1" hidden="1">[27]synthgraph!#REF!</definedName>
    <definedName name="_24_0S" localSheetId="18">'[32]#REF'!#REF!</definedName>
    <definedName name="_24_0S" localSheetId="29">'[32]#REF'!#REF!</definedName>
    <definedName name="_24_0S" localSheetId="31">'[32]#REF'!#REF!</definedName>
    <definedName name="_24_0S" localSheetId="15">'[32]#REF'!#REF!</definedName>
    <definedName name="_24_0S" localSheetId="13">'[32]#REF'!#REF!</definedName>
    <definedName name="_24_0S" localSheetId="17">'[32]#REF'!#REF!</definedName>
    <definedName name="_24_0S" localSheetId="12">'[32]#REF'!#REF!</definedName>
    <definedName name="_24_0S" localSheetId="22">'[32]#REF'!#REF!</definedName>
    <definedName name="_24_0S" localSheetId="28">'[32]#REF'!#REF!</definedName>
    <definedName name="_24_0S" localSheetId="35">'[32]#REF'!#REF!</definedName>
    <definedName name="_24_0S">'[32]#REF'!#REF!</definedName>
    <definedName name="_24ÿ_0Depr_base_equipm" localSheetId="18">'[29]Capex-C'!#REF!</definedName>
    <definedName name="_24ÿ_0Depr_base_equipm" localSheetId="29">'[29]Capex-C'!#REF!</definedName>
    <definedName name="_24ÿ_0Depr_base_equipm" localSheetId="31">'[29]Capex-C'!#REF!</definedName>
    <definedName name="_24ÿ_0Depr_base_equipm" localSheetId="15">'[29]Capex-C'!#REF!</definedName>
    <definedName name="_24ÿ_0Depr_base_equipm" localSheetId="13">'[29]Capex-C'!#REF!</definedName>
    <definedName name="_24ÿ_0Depr_base_equipm" localSheetId="17">'[29]Capex-C'!#REF!</definedName>
    <definedName name="_24ÿ_0Depr_base_equipm" localSheetId="12">'[29]Capex-C'!#REF!</definedName>
    <definedName name="_24ÿ_0Depr_base_equipm" localSheetId="22">'[29]Capex-C'!#REF!</definedName>
    <definedName name="_24ÿ_0Depr_base_equipm" localSheetId="28">'[29]Capex-C'!#REF!</definedName>
    <definedName name="_24ÿ_0Depr_base_equipm" localSheetId="35">'[29]Capex-C'!#REF!</definedName>
    <definedName name="_24ÿ_0Depr_base_equipm">'[29]Capex-C'!#REF!</definedName>
    <definedName name="_25__123Graph_LBL_DCHART_2" hidden="1">'[28]synthgraph DCF'!$H$7:$H$7</definedName>
    <definedName name="_25_0" localSheetId="18">#REF!</definedName>
    <definedName name="_25_0" localSheetId="25">#REF!</definedName>
    <definedName name="_25_0" localSheetId="29">#REF!</definedName>
    <definedName name="_25_0" localSheetId="31">#REF!</definedName>
    <definedName name="_25_0" localSheetId="15">#REF!</definedName>
    <definedName name="_25_0" localSheetId="13">#REF!</definedName>
    <definedName name="_25_0" localSheetId="17">#REF!</definedName>
    <definedName name="_25_0" localSheetId="12">#REF!</definedName>
    <definedName name="_25_0" localSheetId="22">#REF!</definedName>
    <definedName name="_25_0" localSheetId="28">#REF!</definedName>
    <definedName name="_25_0" localSheetId="35">#REF!</definedName>
    <definedName name="_25_0">#REF!</definedName>
    <definedName name="_25_1Budget_PAF_03">#N/A</definedName>
    <definedName name="_25ÿ_0Depr_bill" localSheetId="18">'[29]Capex-C'!#REF!</definedName>
    <definedName name="_25ÿ_0Depr_bill" localSheetId="29">'[29]Capex-C'!#REF!</definedName>
    <definedName name="_25ÿ_0Depr_bill" localSheetId="31">'[29]Capex-C'!#REF!</definedName>
    <definedName name="_25ÿ_0Depr_bill" localSheetId="15">'[29]Capex-C'!#REF!</definedName>
    <definedName name="_25ÿ_0Depr_bill" localSheetId="13">'[29]Capex-C'!#REF!</definedName>
    <definedName name="_25ÿ_0Depr_bill" localSheetId="17">'[29]Capex-C'!#REF!</definedName>
    <definedName name="_25ÿ_0Depr_bill" localSheetId="12">'[29]Capex-C'!#REF!</definedName>
    <definedName name="_25ÿ_0Depr_bill" localSheetId="22">'[29]Capex-C'!#REF!</definedName>
    <definedName name="_25ÿ_0Depr_bill" localSheetId="28">'[29]Capex-C'!#REF!</definedName>
    <definedName name="_25ÿ_0Depr_bill" localSheetId="35">'[29]Capex-C'!#REF!</definedName>
    <definedName name="_25ÿ_0Depr_bill">'[29]Capex-C'!#REF!</definedName>
    <definedName name="_26_" localSheetId="18">#REF!</definedName>
    <definedName name="_26_" localSheetId="25">#REF!</definedName>
    <definedName name="_26_" localSheetId="29">#REF!</definedName>
    <definedName name="_26_" localSheetId="31">#REF!</definedName>
    <definedName name="_26_" localSheetId="15">#REF!</definedName>
    <definedName name="_26_" localSheetId="13">#REF!</definedName>
    <definedName name="_26_" localSheetId="17">#REF!</definedName>
    <definedName name="_26_" localSheetId="12">#REF!</definedName>
    <definedName name="_26_" localSheetId="22">#REF!</definedName>
    <definedName name="_26_" localSheetId="28">#REF!</definedName>
    <definedName name="_26_" localSheetId="35">#REF!</definedName>
    <definedName name="_26_">#REF!</definedName>
    <definedName name="_26__123Graph_XCHART_2" hidden="1">'[28]synthgraph DCF'!$C$7:$C$7</definedName>
    <definedName name="_26_1BudgetPôleFixe03">#N/A</definedName>
    <definedName name="_261S" localSheetId="18">#REF!</definedName>
    <definedName name="_261S" localSheetId="25">#REF!</definedName>
    <definedName name="_261S" localSheetId="29">#REF!</definedName>
    <definedName name="_261S" localSheetId="31">#REF!</definedName>
    <definedName name="_261S" localSheetId="15">#REF!</definedName>
    <definedName name="_261S" localSheetId="13">#REF!</definedName>
    <definedName name="_261S" localSheetId="17">#REF!</definedName>
    <definedName name="_261S" localSheetId="12">#REF!</definedName>
    <definedName name="_261S" localSheetId="22">#REF!</definedName>
    <definedName name="_261S" localSheetId="28">#REF!</definedName>
    <definedName name="_261S" localSheetId="35">#REF!</definedName>
    <definedName name="_261S">#REF!</definedName>
    <definedName name="_26ÿ_0Depr_civil_wo" localSheetId="18">'[29]Capex-C'!#REF!</definedName>
    <definedName name="_26ÿ_0Depr_civil_wo" localSheetId="29">'[29]Capex-C'!#REF!</definedName>
    <definedName name="_26ÿ_0Depr_civil_wo" localSheetId="31">'[29]Capex-C'!#REF!</definedName>
    <definedName name="_26ÿ_0Depr_civil_wo" localSheetId="15">'[29]Capex-C'!#REF!</definedName>
    <definedName name="_26ÿ_0Depr_civil_wo" localSheetId="13">'[29]Capex-C'!#REF!</definedName>
    <definedName name="_26ÿ_0Depr_civil_wo" localSheetId="17">'[29]Capex-C'!#REF!</definedName>
    <definedName name="_26ÿ_0Depr_civil_wo" localSheetId="12">'[29]Capex-C'!#REF!</definedName>
    <definedName name="_26ÿ_0Depr_civil_wo" localSheetId="22">'[29]Capex-C'!#REF!</definedName>
    <definedName name="_26ÿ_0Depr_civil_wo" localSheetId="28">'[29]Capex-C'!#REF!</definedName>
    <definedName name="_26ÿ_0Depr_civil_wo" localSheetId="35">'[29]Capex-C'!#REF!</definedName>
    <definedName name="_26ÿ_0Depr_civil_wo">'[29]Capex-C'!#REF!</definedName>
    <definedName name="_27_0" localSheetId="29">#REF!</definedName>
    <definedName name="_27_0" localSheetId="31">#REF!</definedName>
    <definedName name="_27_0" localSheetId="28">#REF!</definedName>
    <definedName name="_27_0" localSheetId="35">#REF!</definedName>
    <definedName name="_27_0">#REF!</definedName>
    <definedName name="_27_0S" localSheetId="18">'[35]#REF'!#REF!</definedName>
    <definedName name="_27_0S" localSheetId="29">'[35]#REF'!#REF!</definedName>
    <definedName name="_27_0S" localSheetId="31">'[35]#REF'!#REF!</definedName>
    <definedName name="_27_0S" localSheetId="15">'[35]#REF'!#REF!</definedName>
    <definedName name="_27_0S" localSheetId="13">'[35]#REF'!#REF!</definedName>
    <definedName name="_27_0S" localSheetId="17">'[35]#REF'!#REF!</definedName>
    <definedName name="_27_0S" localSheetId="12">'[35]#REF'!#REF!</definedName>
    <definedName name="_27_0S" localSheetId="22">'[35]#REF'!#REF!</definedName>
    <definedName name="_27_0S" localSheetId="28">'[35]#REF'!#REF!</definedName>
    <definedName name="_27_0S" localSheetId="35">'[35]#REF'!#REF!</definedName>
    <definedName name="_27_0S">'[35]#REF'!#REF!</definedName>
    <definedName name="_27ÿ_0Depr_computer_softw" localSheetId="18">'[29]Capex-C'!#REF!</definedName>
    <definedName name="_27ÿ_0Depr_computer_softw" localSheetId="29">'[29]Capex-C'!#REF!</definedName>
    <definedName name="_27ÿ_0Depr_computer_softw" localSheetId="31">'[29]Capex-C'!#REF!</definedName>
    <definedName name="_27ÿ_0Depr_computer_softw" localSheetId="15">'[29]Capex-C'!#REF!</definedName>
    <definedName name="_27ÿ_0Depr_computer_softw" localSheetId="13">'[29]Capex-C'!#REF!</definedName>
    <definedName name="_27ÿ_0Depr_computer_softw" localSheetId="17">'[29]Capex-C'!#REF!</definedName>
    <definedName name="_27ÿ_0Depr_computer_softw" localSheetId="12">'[29]Capex-C'!#REF!</definedName>
    <definedName name="_27ÿ_0Depr_computer_softw" localSheetId="22">'[29]Capex-C'!#REF!</definedName>
    <definedName name="_27ÿ_0Depr_computer_softw" localSheetId="28">'[29]Capex-C'!#REF!</definedName>
    <definedName name="_27ÿ_0Depr_computer_softw" localSheetId="35">'[29]Capex-C'!#REF!</definedName>
    <definedName name="_27ÿ_0Depr_computer_softw">'[29]Capex-C'!#REF!</definedName>
    <definedName name="_28_" localSheetId="18">#REF!</definedName>
    <definedName name="_28_" localSheetId="25">#REF!</definedName>
    <definedName name="_28_" localSheetId="29">#REF!</definedName>
    <definedName name="_28_" localSheetId="31">#REF!</definedName>
    <definedName name="_28_" localSheetId="15">#REF!</definedName>
    <definedName name="_28_" localSheetId="13">#REF!</definedName>
    <definedName name="_28_" localSheetId="17">#REF!</definedName>
    <definedName name="_28_" localSheetId="12">#REF!</definedName>
    <definedName name="_28_" localSheetId="22">#REF!</definedName>
    <definedName name="_28_" localSheetId="28">#REF!</definedName>
    <definedName name="_28_" localSheetId="35">#REF!</definedName>
    <definedName name="_28_">#REF!</definedName>
    <definedName name="_28___0KRa" localSheetId="18">'[16]SC - Marketing'!#REF!</definedName>
    <definedName name="_28___0KRa" localSheetId="29">'[16]SC - Marketing'!#REF!</definedName>
    <definedName name="_28___0KRa" localSheetId="31">'[16]SC - Marketing'!#REF!</definedName>
    <definedName name="_28___0KRa" localSheetId="15">'[16]SC - Marketing'!#REF!</definedName>
    <definedName name="_28___0KRa" localSheetId="13">'[16]SC - Marketing'!#REF!</definedName>
    <definedName name="_28___0KRa" localSheetId="17">'[16]SC - Marketing'!#REF!</definedName>
    <definedName name="_28___0KRa" localSheetId="12">'[16]SC - Marketing'!#REF!</definedName>
    <definedName name="_28___0KRa" localSheetId="22">'[16]SC - Marketing'!#REF!</definedName>
    <definedName name="_28___0KRa" localSheetId="28">'[16]SC - Marketing'!#REF!</definedName>
    <definedName name="_28___0KRa" localSheetId="35">'[16]SC - Marketing'!#REF!</definedName>
    <definedName name="_28___0KRa">'[16]SC - Marketing'!#REF!</definedName>
    <definedName name="_28ÿ_0Depr_equipm" localSheetId="18">'[29]Capex-C'!#REF!</definedName>
    <definedName name="_28ÿ_0Depr_equipm" localSheetId="29">'[29]Capex-C'!#REF!</definedName>
    <definedName name="_28ÿ_0Depr_equipm" localSheetId="31">'[29]Capex-C'!#REF!</definedName>
    <definedName name="_28ÿ_0Depr_equipm" localSheetId="15">'[29]Capex-C'!#REF!</definedName>
    <definedName name="_28ÿ_0Depr_equipm" localSheetId="13">'[29]Capex-C'!#REF!</definedName>
    <definedName name="_28ÿ_0Depr_equipm" localSheetId="17">'[29]Capex-C'!#REF!</definedName>
    <definedName name="_28ÿ_0Depr_equipm" localSheetId="12">'[29]Capex-C'!#REF!</definedName>
    <definedName name="_28ÿ_0Depr_equipm" localSheetId="22">'[29]Capex-C'!#REF!</definedName>
    <definedName name="_28ÿ_0Depr_equipm" localSheetId="28">'[29]Capex-C'!#REF!</definedName>
    <definedName name="_28ÿ_0Depr_equipm" localSheetId="35">'[29]Capex-C'!#REF!</definedName>
    <definedName name="_28ÿ_0Depr_equipm">'[29]Capex-C'!#REF!</definedName>
    <definedName name="_29_0__123Grap" localSheetId="18" hidden="1">#REF!</definedName>
    <definedName name="_29_0__123Grap" localSheetId="25" hidden="1">#REF!</definedName>
    <definedName name="_29_0__123Grap" localSheetId="29" hidden="1">#REF!</definedName>
    <definedName name="_29_0__123Grap" localSheetId="31" hidden="1">#REF!</definedName>
    <definedName name="_29_0__123Grap" localSheetId="15" hidden="1">#REF!</definedName>
    <definedName name="_29_0__123Grap" localSheetId="13" hidden="1">#REF!</definedName>
    <definedName name="_29_0__123Grap" localSheetId="17" hidden="1">#REF!</definedName>
    <definedName name="_29_0__123Grap" localSheetId="12" hidden="1">#REF!</definedName>
    <definedName name="_29_0__123Grap" localSheetId="22" hidden="1">#REF!</definedName>
    <definedName name="_29_0__123Grap" localSheetId="28" hidden="1">#REF!</definedName>
    <definedName name="_29_0__123Grap" localSheetId="35" hidden="1">#REF!</definedName>
    <definedName name="_29_0__123Grap" hidden="1">#REF!</definedName>
    <definedName name="_295ÿ_0Rev_In_Ca" localSheetId="18">#REF!</definedName>
    <definedName name="_295ÿ_0Rev_In_Ca" localSheetId="25">#REF!</definedName>
    <definedName name="_295ÿ_0Rev_In_Ca" localSheetId="29">#REF!</definedName>
    <definedName name="_295ÿ_0Rev_In_Ca" localSheetId="31">#REF!</definedName>
    <definedName name="_295ÿ_0Rev_In_Ca" localSheetId="15">#REF!</definedName>
    <definedName name="_295ÿ_0Rev_In_Ca" localSheetId="13">#REF!</definedName>
    <definedName name="_295ÿ_0Rev_In_Ca" localSheetId="17">#REF!</definedName>
    <definedName name="_295ÿ_0Rev_In_Ca" localSheetId="12">#REF!</definedName>
    <definedName name="_295ÿ_0Rev_In_Ca" localSheetId="22">#REF!</definedName>
    <definedName name="_295ÿ_0Rev_In_Ca" localSheetId="28">#REF!</definedName>
    <definedName name="_295ÿ_0Rev_In_Ca" localSheetId="35">#REF!</definedName>
    <definedName name="_295ÿ_0Rev_In_Ca">#REF!</definedName>
    <definedName name="_29ÿ_0Depr_lice" localSheetId="18">'[29]Capex-C'!#REF!</definedName>
    <definedName name="_29ÿ_0Depr_lice" localSheetId="29">'[29]Capex-C'!#REF!</definedName>
    <definedName name="_29ÿ_0Depr_lice" localSheetId="31">'[29]Capex-C'!#REF!</definedName>
    <definedName name="_29ÿ_0Depr_lice" localSheetId="15">'[29]Capex-C'!#REF!</definedName>
    <definedName name="_29ÿ_0Depr_lice" localSheetId="13">'[29]Capex-C'!#REF!</definedName>
    <definedName name="_29ÿ_0Depr_lice" localSheetId="17">'[29]Capex-C'!#REF!</definedName>
    <definedName name="_29ÿ_0Depr_lice" localSheetId="12">'[29]Capex-C'!#REF!</definedName>
    <definedName name="_29ÿ_0Depr_lice" localSheetId="22">'[29]Capex-C'!#REF!</definedName>
    <definedName name="_29ÿ_0Depr_lice" localSheetId="28">'[29]Capex-C'!#REF!</definedName>
    <definedName name="_29ÿ_0Depr_lice" localSheetId="35">'[29]Capex-C'!#REF!</definedName>
    <definedName name="_29ÿ_0Depr_lice">'[29]Capex-C'!#REF!</definedName>
    <definedName name="_2C" localSheetId="18">#REF!</definedName>
    <definedName name="_2C" localSheetId="25">#REF!</definedName>
    <definedName name="_2C" localSheetId="29">#REF!</definedName>
    <definedName name="_2C" localSheetId="31">#REF!</definedName>
    <definedName name="_2C" localSheetId="15">#REF!</definedName>
    <definedName name="_2C" localSheetId="13">#REF!</definedName>
    <definedName name="_2C" localSheetId="17">#REF!</definedName>
    <definedName name="_2C" localSheetId="12">#REF!</definedName>
    <definedName name="_2C" localSheetId="22">#REF!</definedName>
    <definedName name="_2C" localSheetId="28">#REF!</definedName>
    <definedName name="_2C" localSheetId="35">#REF!</definedName>
    <definedName name="_2C">#REF!</definedName>
    <definedName name="_2C___0">#N/A</definedName>
    <definedName name="_2C___12">#N/A</definedName>
    <definedName name="_2C___14">#N/A</definedName>
    <definedName name="_2C___16">#N/A</definedName>
    <definedName name="_2C___2">#N/A</definedName>
    <definedName name="_2C___25">#N/A</definedName>
    <definedName name="_2C___26">#N/A</definedName>
    <definedName name="_2C___27">#N/A</definedName>
    <definedName name="_2C___4">#N/A</definedName>
    <definedName name="_2C___5">#N/A</definedName>
    <definedName name="_2C___7">#N/A</definedName>
    <definedName name="_3" localSheetId="18">[36]CH95!#REF!</definedName>
    <definedName name="_3" localSheetId="29">[36]CH95!#REF!</definedName>
    <definedName name="_3" localSheetId="31">[36]CH95!#REF!</definedName>
    <definedName name="_3" localSheetId="15">[36]CH95!#REF!</definedName>
    <definedName name="_3" localSheetId="13">[36]CH95!#REF!</definedName>
    <definedName name="_3" localSheetId="17">[36]CH95!#REF!</definedName>
    <definedName name="_3" localSheetId="12">[36]CH95!#REF!</definedName>
    <definedName name="_3" localSheetId="22">[36]CH95!#REF!</definedName>
    <definedName name="_3" localSheetId="28">[36]CH95!#REF!</definedName>
    <definedName name="_3" localSheetId="35">[36]CH95!#REF!</definedName>
    <definedName name="_3">[36]CH95!#REF!</definedName>
    <definedName name="_3_" localSheetId="18">#REF!</definedName>
    <definedName name="_3_" localSheetId="25">#REF!</definedName>
    <definedName name="_3_" localSheetId="29">#REF!</definedName>
    <definedName name="_3_" localSheetId="31">#REF!</definedName>
    <definedName name="_3_" localSheetId="15">#REF!</definedName>
    <definedName name="_3_" localSheetId="13">#REF!</definedName>
    <definedName name="_3_" localSheetId="17">#REF!</definedName>
    <definedName name="_3_" localSheetId="12">#REF!</definedName>
    <definedName name="_3_" localSheetId="22">#REF!</definedName>
    <definedName name="_3_" localSheetId="28">#REF!</definedName>
    <definedName name="_3_" localSheetId="35">#REF!</definedName>
    <definedName name="_3_">#REF!</definedName>
    <definedName name="_3___0">#N/A</definedName>
    <definedName name="_3___12">#N/A</definedName>
    <definedName name="_3_0KRa" localSheetId="18">'[26]SC - Marketing'!#REF!</definedName>
    <definedName name="_3_0KRa" localSheetId="29">'[26]SC - Marketing'!#REF!</definedName>
    <definedName name="_3_0KRa" localSheetId="31">'[26]SC - Marketing'!#REF!</definedName>
    <definedName name="_3_0KRa" localSheetId="15">'[26]SC - Marketing'!#REF!</definedName>
    <definedName name="_3_0KRa" localSheetId="13">'[26]SC - Marketing'!#REF!</definedName>
    <definedName name="_3_0KRa" localSheetId="17">'[26]SC - Marketing'!#REF!</definedName>
    <definedName name="_3_0KRa" localSheetId="12">'[26]SC - Marketing'!#REF!</definedName>
    <definedName name="_3_0KRa" localSheetId="22">'[26]SC - Marketing'!#REF!</definedName>
    <definedName name="_3_0KRa" localSheetId="28">'[26]SC - Marketing'!#REF!</definedName>
    <definedName name="_3_0KRa" localSheetId="35">'[26]SC - Marketing'!#REF!</definedName>
    <definedName name="_3_0KRa">'[26]SC - Marketing'!#REF!</definedName>
    <definedName name="_3_123Grap" localSheetId="18" hidden="1">#REF!</definedName>
    <definedName name="_3_123Grap" localSheetId="25" hidden="1">#REF!</definedName>
    <definedName name="_3_123Grap" localSheetId="29" hidden="1">#REF!</definedName>
    <definedName name="_3_123Grap" localSheetId="31" hidden="1">#REF!</definedName>
    <definedName name="_3_123Grap" localSheetId="15" hidden="1">#REF!</definedName>
    <definedName name="_3_123Grap" localSheetId="13" hidden="1">#REF!</definedName>
    <definedName name="_3_123Grap" localSheetId="17" hidden="1">#REF!</definedName>
    <definedName name="_3_123Grap" localSheetId="12" hidden="1">#REF!</definedName>
    <definedName name="_3_123Grap" localSheetId="22" hidden="1">#REF!</definedName>
    <definedName name="_3_123Grap" localSheetId="28" hidden="1">#REF!</definedName>
    <definedName name="_3_123Grap" localSheetId="35" hidden="1">#REF!</definedName>
    <definedName name="_3_123Grap" hidden="1">#REF!</definedName>
    <definedName name="_30__123Graph_ACHART_1" localSheetId="18" hidden="1">[27]synthgraph!#REF!</definedName>
    <definedName name="_30__123Graph_ACHART_1" localSheetId="29" hidden="1">[27]synthgraph!#REF!</definedName>
    <definedName name="_30__123Graph_ACHART_1" localSheetId="31" hidden="1">[27]synthgraph!#REF!</definedName>
    <definedName name="_30__123Graph_ACHART_1" localSheetId="15" hidden="1">[27]synthgraph!#REF!</definedName>
    <definedName name="_30__123Graph_ACHART_1" localSheetId="13" hidden="1">[27]synthgraph!#REF!</definedName>
    <definedName name="_30__123Graph_ACHART_1" localSheetId="17" hidden="1">[27]synthgraph!#REF!</definedName>
    <definedName name="_30__123Graph_ACHART_1" localSheetId="12" hidden="1">[27]synthgraph!#REF!</definedName>
    <definedName name="_30__123Graph_ACHART_1" localSheetId="22" hidden="1">[27]synthgraph!#REF!</definedName>
    <definedName name="_30__123Graph_ACHART_1" localSheetId="28" hidden="1">[27]synthgraph!#REF!</definedName>
    <definedName name="_30__123Graph_ACHART_1" localSheetId="35" hidden="1">[27]synthgraph!#REF!</definedName>
    <definedName name="_30__123Graph_ACHART_1" hidden="1">[27]synthgraph!#REF!</definedName>
    <definedName name="_30__GM" localSheetId="29">'[33]DETAIL REPORT'!#REF!</definedName>
    <definedName name="_30__GM" localSheetId="31">'[33]DETAIL REPORT'!#REF!</definedName>
    <definedName name="_30__GM" localSheetId="28">'[33]DETAIL REPORT'!#REF!</definedName>
    <definedName name="_30__GM" localSheetId="35">'[33]DETAIL REPORT'!#REF!</definedName>
    <definedName name="_30__GM">'[33]DETAIL REPORT'!#REF!</definedName>
    <definedName name="_30ÿ_0Depr_office_furnit" localSheetId="18">'[29]Capex-C'!#REF!</definedName>
    <definedName name="_30ÿ_0Depr_office_furnit" localSheetId="29">'[29]Capex-C'!#REF!</definedName>
    <definedName name="_30ÿ_0Depr_office_furnit" localSheetId="31">'[29]Capex-C'!#REF!</definedName>
    <definedName name="_30ÿ_0Depr_office_furnit" localSheetId="15">'[29]Capex-C'!#REF!</definedName>
    <definedName name="_30ÿ_0Depr_office_furnit" localSheetId="13">'[29]Capex-C'!#REF!</definedName>
    <definedName name="_30ÿ_0Depr_office_furnit" localSheetId="17">'[29]Capex-C'!#REF!</definedName>
    <definedName name="_30ÿ_0Depr_office_furnit" localSheetId="12">'[29]Capex-C'!#REF!</definedName>
    <definedName name="_30ÿ_0Depr_office_furnit" localSheetId="22">'[29]Capex-C'!#REF!</definedName>
    <definedName name="_30ÿ_0Depr_office_furnit" localSheetId="28">'[29]Capex-C'!#REF!</definedName>
    <definedName name="_30ÿ_0Depr_office_furnit" localSheetId="35">'[29]Capex-C'!#REF!</definedName>
    <definedName name="_30ÿ_0Depr_office_furnit">'[29]Capex-C'!#REF!</definedName>
    <definedName name="_31__123Graph_ACHART_2" hidden="1">'[28]synthgraph DCF'!$G$7:$G$7</definedName>
    <definedName name="_31_12_88">#N/A</definedName>
    <definedName name="_31ÿ_0GSM_In" localSheetId="18">'[29]Capex-C'!#REF!</definedName>
    <definedName name="_31ÿ_0GSM_In" localSheetId="29">'[29]Capex-C'!#REF!</definedName>
    <definedName name="_31ÿ_0GSM_In" localSheetId="31">'[29]Capex-C'!#REF!</definedName>
    <definedName name="_31ÿ_0GSM_In" localSheetId="15">'[29]Capex-C'!#REF!</definedName>
    <definedName name="_31ÿ_0GSM_In" localSheetId="13">'[29]Capex-C'!#REF!</definedName>
    <definedName name="_31ÿ_0GSM_In" localSheetId="17">'[29]Capex-C'!#REF!</definedName>
    <definedName name="_31ÿ_0GSM_In" localSheetId="12">'[29]Capex-C'!#REF!</definedName>
    <definedName name="_31ÿ_0GSM_In" localSheetId="22">'[29]Capex-C'!#REF!</definedName>
    <definedName name="_31ÿ_0GSM_In" localSheetId="28">'[29]Capex-C'!#REF!</definedName>
    <definedName name="_31ÿ_0GSM_In" localSheetId="35">'[29]Capex-C'!#REF!</definedName>
    <definedName name="_31ÿ_0GSM_In">'[29]Capex-C'!#REF!</definedName>
    <definedName name="_32__123Graph_ACHART_1" localSheetId="29" hidden="1">[27]synthgraph!#REF!</definedName>
    <definedName name="_32__123Graph_ACHART_1" localSheetId="31" hidden="1">[27]synthgraph!#REF!</definedName>
    <definedName name="_32__123Graph_ACHART_1" localSheetId="28" hidden="1">[27]synthgraph!#REF!</definedName>
    <definedName name="_32__123Graph_ACHART_1" localSheetId="35" hidden="1">[27]synthgraph!#REF!</definedName>
    <definedName name="_32__123Graph_ACHART_1" hidden="1">[27]synthgraph!#REF!</definedName>
    <definedName name="_32__123Graph_ACHART_3" localSheetId="18" hidden="1">#REF!</definedName>
    <definedName name="_32__123Graph_ACHART_3" localSheetId="25" hidden="1">#REF!</definedName>
    <definedName name="_32__123Graph_ACHART_3" localSheetId="29" hidden="1">#REF!</definedName>
    <definedName name="_32__123Graph_ACHART_3" localSheetId="31" hidden="1">#REF!</definedName>
    <definedName name="_32__123Graph_ACHART_3" localSheetId="15" hidden="1">#REF!</definedName>
    <definedName name="_32__123Graph_ACHART_3" localSheetId="13" hidden="1">#REF!</definedName>
    <definedName name="_32__123Graph_ACHART_3" localSheetId="17" hidden="1">#REF!</definedName>
    <definedName name="_32__123Graph_ACHART_3" localSheetId="12" hidden="1">#REF!</definedName>
    <definedName name="_32__123Graph_ACHART_3" localSheetId="22" hidden="1">#REF!</definedName>
    <definedName name="_32__123Graph_ACHART_3" localSheetId="28" hidden="1">#REF!</definedName>
    <definedName name="_32__123Graph_ACHART_3" localSheetId="35" hidden="1">#REF!</definedName>
    <definedName name="_32__123Graph_ACHART_3" hidden="1">#REF!</definedName>
    <definedName name="_32ÿ_0Invest" localSheetId="18">'[29]Capex-C'!#REF!</definedName>
    <definedName name="_32ÿ_0Invest" localSheetId="29">'[29]Capex-C'!#REF!</definedName>
    <definedName name="_32ÿ_0Invest" localSheetId="31">'[29]Capex-C'!#REF!</definedName>
    <definedName name="_32ÿ_0Invest" localSheetId="15">'[29]Capex-C'!#REF!</definedName>
    <definedName name="_32ÿ_0Invest" localSheetId="13">'[29]Capex-C'!#REF!</definedName>
    <definedName name="_32ÿ_0Invest" localSheetId="17">'[29]Capex-C'!#REF!</definedName>
    <definedName name="_32ÿ_0Invest" localSheetId="12">'[29]Capex-C'!#REF!</definedName>
    <definedName name="_32ÿ_0Invest" localSheetId="22">'[29]Capex-C'!#REF!</definedName>
    <definedName name="_32ÿ_0Invest" localSheetId="28">'[29]Capex-C'!#REF!</definedName>
    <definedName name="_32ÿ_0Invest" localSheetId="35">'[29]Capex-C'!#REF!</definedName>
    <definedName name="_32ÿ_0Invest">'[29]Capex-C'!#REF!</definedName>
    <definedName name="_33__123Graph_ACHART_2" hidden="1">'[28]synthgraph DCF'!$G$7:$G$7</definedName>
    <definedName name="_330ÿ__Rev_In_Ca" localSheetId="18">#REF!</definedName>
    <definedName name="_330ÿ__Rev_In_Ca" localSheetId="25">#REF!</definedName>
    <definedName name="_330ÿ__Rev_In_Ca" localSheetId="29">#REF!</definedName>
    <definedName name="_330ÿ__Rev_In_Ca" localSheetId="31">#REF!</definedName>
    <definedName name="_330ÿ__Rev_In_Ca" localSheetId="15">#REF!</definedName>
    <definedName name="_330ÿ__Rev_In_Ca" localSheetId="13">#REF!</definedName>
    <definedName name="_330ÿ__Rev_In_Ca" localSheetId="17">#REF!</definedName>
    <definedName name="_330ÿ__Rev_In_Ca" localSheetId="12">#REF!</definedName>
    <definedName name="_330ÿ__Rev_In_Ca" localSheetId="22">#REF!</definedName>
    <definedName name="_330ÿ__Rev_In_Ca" localSheetId="28">#REF!</definedName>
    <definedName name="_330ÿ__Rev_In_Ca" localSheetId="35">#REF!</definedName>
    <definedName name="_330ÿ__Rev_In_Ca">#REF!</definedName>
    <definedName name="_33ÿ_0Invest_" localSheetId="18">'[29]Capex-C'!#REF!</definedName>
    <definedName name="_33ÿ_0Invest_" localSheetId="29">'[29]Capex-C'!#REF!</definedName>
    <definedName name="_33ÿ_0Invest_" localSheetId="31">'[29]Capex-C'!#REF!</definedName>
    <definedName name="_33ÿ_0Invest_" localSheetId="15">'[29]Capex-C'!#REF!</definedName>
    <definedName name="_33ÿ_0Invest_" localSheetId="13">'[29]Capex-C'!#REF!</definedName>
    <definedName name="_33ÿ_0Invest_" localSheetId="17">'[29]Capex-C'!#REF!</definedName>
    <definedName name="_33ÿ_0Invest_" localSheetId="12">'[29]Capex-C'!#REF!</definedName>
    <definedName name="_33ÿ_0Invest_" localSheetId="22">'[29]Capex-C'!#REF!</definedName>
    <definedName name="_33ÿ_0Invest_" localSheetId="28">'[29]Capex-C'!#REF!</definedName>
    <definedName name="_33ÿ_0Invest_" localSheetId="35">'[29]Capex-C'!#REF!</definedName>
    <definedName name="_33ÿ_0Invest_">'[29]Capex-C'!#REF!</definedName>
    <definedName name="_34__123Graph_ACHART_3" localSheetId="29" hidden="1">#REF!</definedName>
    <definedName name="_34__123Graph_ACHART_3" localSheetId="31" hidden="1">#REF!</definedName>
    <definedName name="_34__123Graph_ACHART_3" localSheetId="28" hidden="1">#REF!</definedName>
    <definedName name="_34__123Graph_ACHART_3" localSheetId="35" hidden="1">#REF!</definedName>
    <definedName name="_34__123Graph_ACHART_3" hidden="1">#REF!</definedName>
    <definedName name="_34__123Graph_BCHART_1" localSheetId="18" hidden="1">[27]synthgraph!#REF!</definedName>
    <definedName name="_34__123Graph_BCHART_1" localSheetId="29" hidden="1">[27]synthgraph!#REF!</definedName>
    <definedName name="_34__123Graph_BCHART_1" localSheetId="31" hidden="1">[27]synthgraph!#REF!</definedName>
    <definedName name="_34__123Graph_BCHART_1" localSheetId="15" hidden="1">[27]synthgraph!#REF!</definedName>
    <definedName name="_34__123Graph_BCHART_1" localSheetId="13" hidden="1">[27]synthgraph!#REF!</definedName>
    <definedName name="_34__123Graph_BCHART_1" localSheetId="17" hidden="1">[27]synthgraph!#REF!</definedName>
    <definedName name="_34__123Graph_BCHART_1" localSheetId="12" hidden="1">[27]synthgraph!#REF!</definedName>
    <definedName name="_34__123Graph_BCHART_1" localSheetId="22" hidden="1">[27]synthgraph!#REF!</definedName>
    <definedName name="_34__123Graph_BCHART_1" localSheetId="28" hidden="1">[27]synthgraph!#REF!</definedName>
    <definedName name="_34__123Graph_BCHART_1" localSheetId="35" hidden="1">[27]synthgraph!#REF!</definedName>
    <definedName name="_34__123Graph_BCHART_1" hidden="1">[27]synthgraph!#REF!</definedName>
    <definedName name="_34ÿ_0Invest_Gatew" localSheetId="18">'[29]Capex-C'!#REF!</definedName>
    <definedName name="_34ÿ_0Invest_Gatew" localSheetId="29">'[29]Capex-C'!#REF!</definedName>
    <definedName name="_34ÿ_0Invest_Gatew" localSheetId="31">'[29]Capex-C'!#REF!</definedName>
    <definedName name="_34ÿ_0Invest_Gatew" localSheetId="15">'[29]Capex-C'!#REF!</definedName>
    <definedName name="_34ÿ_0Invest_Gatew" localSheetId="13">'[29]Capex-C'!#REF!</definedName>
    <definedName name="_34ÿ_0Invest_Gatew" localSheetId="17">'[29]Capex-C'!#REF!</definedName>
    <definedName name="_34ÿ_0Invest_Gatew" localSheetId="12">'[29]Capex-C'!#REF!</definedName>
    <definedName name="_34ÿ_0Invest_Gatew" localSheetId="22">'[29]Capex-C'!#REF!</definedName>
    <definedName name="_34ÿ_0Invest_Gatew" localSheetId="28">'[29]Capex-C'!#REF!</definedName>
    <definedName name="_34ÿ_0Invest_Gatew" localSheetId="35">'[29]Capex-C'!#REF!</definedName>
    <definedName name="_34ÿ_0Invest_Gatew">'[29]Capex-C'!#REF!</definedName>
    <definedName name="_35__123Graph_BCHART_2" hidden="1">'[28]synthgraph DCF'!$I$7:$I$7</definedName>
    <definedName name="_35ÿ_0Invest_Microw" localSheetId="18">'[29]Capex-C'!#REF!</definedName>
    <definedName name="_35ÿ_0Invest_Microw" localSheetId="29">'[29]Capex-C'!#REF!</definedName>
    <definedName name="_35ÿ_0Invest_Microw" localSheetId="31">'[29]Capex-C'!#REF!</definedName>
    <definedName name="_35ÿ_0Invest_Microw" localSheetId="15">'[29]Capex-C'!#REF!</definedName>
    <definedName name="_35ÿ_0Invest_Microw" localSheetId="13">'[29]Capex-C'!#REF!</definedName>
    <definedName name="_35ÿ_0Invest_Microw" localSheetId="17">'[29]Capex-C'!#REF!</definedName>
    <definedName name="_35ÿ_0Invest_Microw" localSheetId="12">'[29]Capex-C'!#REF!</definedName>
    <definedName name="_35ÿ_0Invest_Microw" localSheetId="22">'[29]Capex-C'!#REF!</definedName>
    <definedName name="_35ÿ_0Invest_Microw" localSheetId="28">'[29]Capex-C'!#REF!</definedName>
    <definedName name="_35ÿ_0Invest_Microw" localSheetId="35">'[29]Capex-C'!#REF!</definedName>
    <definedName name="_35ÿ_0Invest_Microw">'[29]Capex-C'!#REF!</definedName>
    <definedName name="_36__123Graph_BCHART_3" localSheetId="18" hidden="1">#REF!</definedName>
    <definedName name="_36__123Graph_BCHART_3" localSheetId="25" hidden="1">#REF!</definedName>
    <definedName name="_36__123Graph_BCHART_3" localSheetId="29" hidden="1">#REF!</definedName>
    <definedName name="_36__123Graph_BCHART_3" localSheetId="31" hidden="1">#REF!</definedName>
    <definedName name="_36__123Graph_BCHART_3" localSheetId="15" hidden="1">#REF!</definedName>
    <definedName name="_36__123Graph_BCHART_3" localSheetId="13" hidden="1">#REF!</definedName>
    <definedName name="_36__123Graph_BCHART_3" localSheetId="17" hidden="1">#REF!</definedName>
    <definedName name="_36__123Graph_BCHART_3" localSheetId="12" hidden="1">#REF!</definedName>
    <definedName name="_36__123Graph_BCHART_3" localSheetId="22" hidden="1">#REF!</definedName>
    <definedName name="_36__123Graph_BCHART_3" localSheetId="28" hidden="1">#REF!</definedName>
    <definedName name="_36__123Graph_BCHART_3" localSheetId="35" hidden="1">#REF!</definedName>
    <definedName name="_36__123Graph_BCHART_3" hidden="1">#REF!</definedName>
    <definedName name="_36ÿ_0Number" localSheetId="18">'[29]Capex-C'!#REF!</definedName>
    <definedName name="_36ÿ_0Number" localSheetId="29">'[29]Capex-C'!#REF!</definedName>
    <definedName name="_36ÿ_0Number" localSheetId="31">'[29]Capex-C'!#REF!</definedName>
    <definedName name="_36ÿ_0Number" localSheetId="15">'[29]Capex-C'!#REF!</definedName>
    <definedName name="_36ÿ_0Number" localSheetId="13">'[29]Capex-C'!#REF!</definedName>
    <definedName name="_36ÿ_0Number" localSheetId="17">'[29]Capex-C'!#REF!</definedName>
    <definedName name="_36ÿ_0Number" localSheetId="12">'[29]Capex-C'!#REF!</definedName>
    <definedName name="_36ÿ_0Number" localSheetId="22">'[29]Capex-C'!#REF!</definedName>
    <definedName name="_36ÿ_0Number" localSheetId="28">'[29]Capex-C'!#REF!</definedName>
    <definedName name="_36ÿ_0Number" localSheetId="35">'[29]Capex-C'!#REF!</definedName>
    <definedName name="_36ÿ_0Number">'[29]Capex-C'!#REF!</definedName>
    <definedName name="_37_0__123Grap" localSheetId="18" hidden="1">#REF!</definedName>
    <definedName name="_37_0__123Grap" localSheetId="25" hidden="1">#REF!</definedName>
    <definedName name="_37_0__123Grap" localSheetId="29" hidden="1">#REF!</definedName>
    <definedName name="_37_0__123Grap" localSheetId="31" hidden="1">#REF!</definedName>
    <definedName name="_37_0__123Grap" localSheetId="15" hidden="1">#REF!</definedName>
    <definedName name="_37_0__123Grap" localSheetId="13" hidden="1">#REF!</definedName>
    <definedName name="_37_0__123Grap" localSheetId="17" hidden="1">#REF!</definedName>
    <definedName name="_37_0__123Grap" localSheetId="12" hidden="1">#REF!</definedName>
    <definedName name="_37_0__123Grap" localSheetId="22" hidden="1">#REF!</definedName>
    <definedName name="_37_0__123Grap" localSheetId="28" hidden="1">#REF!</definedName>
    <definedName name="_37_0__123Grap" localSheetId="35" hidden="1">#REF!</definedName>
    <definedName name="_37_0__123Grap" hidden="1">#REF!</definedName>
    <definedName name="_37S" localSheetId="18">#REF!</definedName>
    <definedName name="_37S" localSheetId="25">#REF!</definedName>
    <definedName name="_37S" localSheetId="29">#REF!</definedName>
    <definedName name="_37S" localSheetId="31">#REF!</definedName>
    <definedName name="_37S" localSheetId="15">#REF!</definedName>
    <definedName name="_37S" localSheetId="13">#REF!</definedName>
    <definedName name="_37S" localSheetId="17">#REF!</definedName>
    <definedName name="_37S" localSheetId="12">#REF!</definedName>
    <definedName name="_37S" localSheetId="22">#REF!</definedName>
    <definedName name="_37S" localSheetId="28">#REF!</definedName>
    <definedName name="_37S" localSheetId="35">#REF!</definedName>
    <definedName name="_37S">#REF!</definedName>
    <definedName name="_37ÿ_0Number_" localSheetId="18">'[29]Capex-C'!#REF!</definedName>
    <definedName name="_37ÿ_0Number_" localSheetId="29">'[29]Capex-C'!#REF!</definedName>
    <definedName name="_37ÿ_0Number_" localSheetId="31">'[29]Capex-C'!#REF!</definedName>
    <definedName name="_37ÿ_0Number_" localSheetId="15">'[29]Capex-C'!#REF!</definedName>
    <definedName name="_37ÿ_0Number_" localSheetId="13">'[29]Capex-C'!#REF!</definedName>
    <definedName name="_37ÿ_0Number_" localSheetId="17">'[29]Capex-C'!#REF!</definedName>
    <definedName name="_37ÿ_0Number_" localSheetId="12">'[29]Capex-C'!#REF!</definedName>
    <definedName name="_37ÿ_0Number_" localSheetId="22">'[29]Capex-C'!#REF!</definedName>
    <definedName name="_37ÿ_0Number_" localSheetId="28">'[29]Capex-C'!#REF!</definedName>
    <definedName name="_37ÿ_0Number_" localSheetId="35">'[29]Capex-C'!#REF!</definedName>
    <definedName name="_37ÿ_0Number_">'[29]Capex-C'!#REF!</definedName>
    <definedName name="_38__123Graph_BCHART_5" localSheetId="18" hidden="1">[31]MEX95IB!#REF!</definedName>
    <definedName name="_38__123Graph_BCHART_5" localSheetId="29" hidden="1">[31]MEX95IB!#REF!</definedName>
    <definedName name="_38__123Graph_BCHART_5" localSheetId="31" hidden="1">[31]MEX95IB!#REF!</definedName>
    <definedName name="_38__123Graph_BCHART_5" localSheetId="15" hidden="1">[31]MEX95IB!#REF!</definedName>
    <definedName name="_38__123Graph_BCHART_5" localSheetId="13" hidden="1">[31]MEX95IB!#REF!</definedName>
    <definedName name="_38__123Graph_BCHART_5" localSheetId="17" hidden="1">[31]MEX95IB!#REF!</definedName>
    <definedName name="_38__123Graph_BCHART_5" localSheetId="12" hidden="1">[31]MEX95IB!#REF!</definedName>
    <definedName name="_38__123Graph_BCHART_5" localSheetId="22" hidden="1">[31]MEX95IB!#REF!</definedName>
    <definedName name="_38__123Graph_BCHART_5" localSheetId="28" hidden="1">[31]MEX95IB!#REF!</definedName>
    <definedName name="_38__123Graph_BCHART_5" localSheetId="35" hidden="1">[31]MEX95IB!#REF!</definedName>
    <definedName name="_38__123Graph_BCHART_5" hidden="1">[31]MEX95IB!#REF!</definedName>
    <definedName name="_38ÿ_0Number_Gatew" localSheetId="18">'[29]Capex-C'!#REF!</definedName>
    <definedName name="_38ÿ_0Number_Gatew" localSheetId="29">'[29]Capex-C'!#REF!</definedName>
    <definedName name="_38ÿ_0Number_Gatew" localSheetId="31">'[29]Capex-C'!#REF!</definedName>
    <definedName name="_38ÿ_0Number_Gatew" localSheetId="15">'[29]Capex-C'!#REF!</definedName>
    <definedName name="_38ÿ_0Number_Gatew" localSheetId="13">'[29]Capex-C'!#REF!</definedName>
    <definedName name="_38ÿ_0Number_Gatew" localSheetId="17">'[29]Capex-C'!#REF!</definedName>
    <definedName name="_38ÿ_0Number_Gatew" localSheetId="12">'[29]Capex-C'!#REF!</definedName>
    <definedName name="_38ÿ_0Number_Gatew" localSheetId="22">'[29]Capex-C'!#REF!</definedName>
    <definedName name="_38ÿ_0Number_Gatew" localSheetId="28">'[29]Capex-C'!#REF!</definedName>
    <definedName name="_38ÿ_0Number_Gatew" localSheetId="35">'[29]Capex-C'!#REF!</definedName>
    <definedName name="_38ÿ_0Number_Gatew">'[29]Capex-C'!#REF!</definedName>
    <definedName name="_39_0__123Grap" localSheetId="29" hidden="1">#REF!</definedName>
    <definedName name="_39_0__123Grap" localSheetId="31" hidden="1">#REF!</definedName>
    <definedName name="_39_0__123Grap" localSheetId="28" hidden="1">#REF!</definedName>
    <definedName name="_39_0__123Grap" localSheetId="35" hidden="1">#REF!</definedName>
    <definedName name="_39_0__123Grap" hidden="1">#REF!</definedName>
    <definedName name="_39ÿ_0Number_Microw" localSheetId="18">'[29]Capex-C'!#REF!</definedName>
    <definedName name="_39ÿ_0Number_Microw" localSheetId="29">'[29]Capex-C'!#REF!</definedName>
    <definedName name="_39ÿ_0Number_Microw" localSheetId="31">'[29]Capex-C'!#REF!</definedName>
    <definedName name="_39ÿ_0Number_Microw" localSheetId="15">'[29]Capex-C'!#REF!</definedName>
    <definedName name="_39ÿ_0Number_Microw" localSheetId="13">'[29]Capex-C'!#REF!</definedName>
    <definedName name="_39ÿ_0Number_Microw" localSheetId="17">'[29]Capex-C'!#REF!</definedName>
    <definedName name="_39ÿ_0Number_Microw" localSheetId="12">'[29]Capex-C'!#REF!</definedName>
    <definedName name="_39ÿ_0Number_Microw" localSheetId="22">'[29]Capex-C'!#REF!</definedName>
    <definedName name="_39ÿ_0Number_Microw" localSheetId="28">'[29]Capex-C'!#REF!</definedName>
    <definedName name="_39ÿ_0Number_Microw" localSheetId="35">'[29]Capex-C'!#REF!</definedName>
    <definedName name="_39ÿ_0Number_Microw">'[29]Capex-C'!#REF!</definedName>
    <definedName name="_4_" localSheetId="18">#REF!</definedName>
    <definedName name="_4_" localSheetId="25">#REF!</definedName>
    <definedName name="_4_" localSheetId="29">#REF!</definedName>
    <definedName name="_4_" localSheetId="31">#REF!</definedName>
    <definedName name="_4_" localSheetId="15">#REF!</definedName>
    <definedName name="_4_" localSheetId="13">#REF!</definedName>
    <definedName name="_4_" localSheetId="17">#REF!</definedName>
    <definedName name="_4_" localSheetId="12">#REF!</definedName>
    <definedName name="_4_" localSheetId="22">#REF!</definedName>
    <definedName name="_4_" localSheetId="28">#REF!</definedName>
    <definedName name="_4_" localSheetId="35">#REF!</definedName>
    <definedName name="_4_">#REF!</definedName>
    <definedName name="_4_???">#N/A</definedName>
    <definedName name="_4_0" localSheetId="18">#REF!</definedName>
    <definedName name="_4_0" localSheetId="25">#REF!</definedName>
    <definedName name="_4_0" localSheetId="29">#REF!</definedName>
    <definedName name="_4_0" localSheetId="31">#REF!</definedName>
    <definedName name="_4_0" localSheetId="15">#REF!</definedName>
    <definedName name="_4_0" localSheetId="13">#REF!</definedName>
    <definedName name="_4_0" localSheetId="17">#REF!</definedName>
    <definedName name="_4_0" localSheetId="12">#REF!</definedName>
    <definedName name="_4_0" localSheetId="22">#REF!</definedName>
    <definedName name="_4_0" localSheetId="28">#REF!</definedName>
    <definedName name="_4_0" localSheetId="35">#REF!</definedName>
    <definedName name="_4_0">#REF!</definedName>
    <definedName name="_4_0KRa" localSheetId="18">'[37]SC - Marketing'!#REF!</definedName>
    <definedName name="_4_0KRa" localSheetId="25">'[37]SC - Marketing'!#REF!</definedName>
    <definedName name="_4_0KRa" localSheetId="29">'[37]SC - Marketing'!#REF!</definedName>
    <definedName name="_4_0KRa" localSheetId="31">'[37]SC - Marketing'!#REF!</definedName>
    <definedName name="_4_0KRa" localSheetId="15">'[37]SC - Marketing'!#REF!</definedName>
    <definedName name="_4_0KRa" localSheetId="13">'[37]SC - Marketing'!#REF!</definedName>
    <definedName name="_4_0KRa" localSheetId="17">'[37]SC - Marketing'!#REF!</definedName>
    <definedName name="_4_0KRa" localSheetId="12">'[37]SC - Marketing'!#REF!</definedName>
    <definedName name="_4_0KRa" localSheetId="22">'[38]SC - Marketing'!#REF!</definedName>
    <definedName name="_4_0KRa" localSheetId="28">'[37]SC - Marketing'!#REF!</definedName>
    <definedName name="_4_0KRa" localSheetId="35">'[37]SC - Marketing'!#REF!</definedName>
    <definedName name="_4_0KRa">'[37]SC - Marketing'!#REF!</definedName>
    <definedName name="_40__123Graph_DCHART_1" localSheetId="18" hidden="1">[27]synthgraph!#REF!</definedName>
    <definedName name="_40__123Graph_DCHART_1" localSheetId="29" hidden="1">[27]synthgraph!#REF!</definedName>
    <definedName name="_40__123Graph_DCHART_1" localSheetId="31" hidden="1">[27]synthgraph!#REF!</definedName>
    <definedName name="_40__123Graph_DCHART_1" localSheetId="15" hidden="1">[27]synthgraph!#REF!</definedName>
    <definedName name="_40__123Graph_DCHART_1" localSheetId="13" hidden="1">[27]synthgraph!#REF!</definedName>
    <definedName name="_40__123Graph_DCHART_1" localSheetId="17" hidden="1">[27]synthgraph!#REF!</definedName>
    <definedName name="_40__123Graph_DCHART_1" localSheetId="12" hidden="1">[27]synthgraph!#REF!</definedName>
    <definedName name="_40__123Graph_DCHART_1" localSheetId="22" hidden="1">[27]synthgraph!#REF!</definedName>
    <definedName name="_40__123Graph_DCHART_1" localSheetId="28" hidden="1">[27]synthgraph!#REF!</definedName>
    <definedName name="_40__123Graph_DCHART_1" localSheetId="35" hidden="1">[27]synthgraph!#REF!</definedName>
    <definedName name="_40__123Graph_DCHART_1" hidden="1">[27]synthgraph!#REF!</definedName>
    <definedName name="_402b" localSheetId="18">'[39]by dept'!#REF!</definedName>
    <definedName name="_402b" localSheetId="25">'[39]by dept'!#REF!</definedName>
    <definedName name="_402b" localSheetId="29">'[39]by dept'!#REF!</definedName>
    <definedName name="_402b" localSheetId="31">'[39]by dept'!#REF!</definedName>
    <definedName name="_402b" localSheetId="15">'[39]by dept'!#REF!</definedName>
    <definedName name="_402b" localSheetId="13">'[39]by dept'!#REF!</definedName>
    <definedName name="_402b" localSheetId="17">'[39]by dept'!#REF!</definedName>
    <definedName name="_402b" localSheetId="12">'[39]by dept'!#REF!</definedName>
    <definedName name="_402b" localSheetId="22">'[40]by dept'!#REF!</definedName>
    <definedName name="_402b" localSheetId="28">'[39]by dept'!#REF!</definedName>
    <definedName name="_402b" localSheetId="35">'[39]by dept'!#REF!</definedName>
    <definedName name="_402b">'[39]by dept'!#REF!</definedName>
    <definedName name="_40ÿ_0Price" localSheetId="18">'[29]Capex-C'!#REF!</definedName>
    <definedName name="_40ÿ_0Price" localSheetId="29">'[29]Capex-C'!#REF!</definedName>
    <definedName name="_40ÿ_0Price" localSheetId="31">'[29]Capex-C'!#REF!</definedName>
    <definedName name="_40ÿ_0Price" localSheetId="15">'[29]Capex-C'!#REF!</definedName>
    <definedName name="_40ÿ_0Price" localSheetId="13">'[29]Capex-C'!#REF!</definedName>
    <definedName name="_40ÿ_0Price" localSheetId="17">'[29]Capex-C'!#REF!</definedName>
    <definedName name="_40ÿ_0Price" localSheetId="12">'[29]Capex-C'!#REF!</definedName>
    <definedName name="_40ÿ_0Price" localSheetId="22">'[29]Capex-C'!#REF!</definedName>
    <definedName name="_40ÿ_0Price" localSheetId="28">'[29]Capex-C'!#REF!</definedName>
    <definedName name="_40ÿ_0Price" localSheetId="35">'[29]Capex-C'!#REF!</definedName>
    <definedName name="_40ÿ_0Price">'[29]Capex-C'!#REF!</definedName>
    <definedName name="_41__123Graph_DCHART_2" hidden="1">'[28]synthgraph DCF'!$L$7:$L$7</definedName>
    <definedName name="_41_0_0_K" localSheetId="29" hidden="1">[41]useless!#REF!</definedName>
    <definedName name="_41_0_0_K" localSheetId="31" hidden="1">[41]useless!#REF!</definedName>
    <definedName name="_41_0_0_K" localSheetId="28" hidden="1">[41]useless!#REF!</definedName>
    <definedName name="_41_0_0_K" localSheetId="35" hidden="1">[41]useless!#REF!</definedName>
    <definedName name="_41_0_0_K" hidden="1">[41]useless!#REF!</definedName>
    <definedName name="_410b" localSheetId="18">'[39]by dept'!#REF!</definedName>
    <definedName name="_410b" localSheetId="25">'[39]by dept'!#REF!</definedName>
    <definedName name="_410b" localSheetId="29">'[39]by dept'!#REF!</definedName>
    <definedName name="_410b" localSheetId="31">'[39]by dept'!#REF!</definedName>
    <definedName name="_410b" localSheetId="15">'[39]by dept'!#REF!</definedName>
    <definedName name="_410b" localSheetId="13">'[39]by dept'!#REF!</definedName>
    <definedName name="_410b" localSheetId="17">'[39]by dept'!#REF!</definedName>
    <definedName name="_410b" localSheetId="12">'[39]by dept'!#REF!</definedName>
    <definedName name="_410b" localSheetId="22">'[40]by dept'!#REF!</definedName>
    <definedName name="_410b" localSheetId="28">'[39]by dept'!#REF!</definedName>
    <definedName name="_410b" localSheetId="35">'[39]by dept'!#REF!</definedName>
    <definedName name="_410b">'[39]by dept'!#REF!</definedName>
    <definedName name="_418b" localSheetId="18">'[39]by dept'!#REF!</definedName>
    <definedName name="_418b" localSheetId="25">'[39]by dept'!#REF!</definedName>
    <definedName name="_418b" localSheetId="29">'[39]by dept'!#REF!</definedName>
    <definedName name="_418b" localSheetId="31">'[39]by dept'!#REF!</definedName>
    <definedName name="_418b" localSheetId="15">'[39]by dept'!#REF!</definedName>
    <definedName name="_418b" localSheetId="13">'[39]by dept'!#REF!</definedName>
    <definedName name="_418b" localSheetId="17">'[39]by dept'!#REF!</definedName>
    <definedName name="_418b" localSheetId="12">'[39]by dept'!#REF!</definedName>
    <definedName name="_418b" localSheetId="22">'[40]by dept'!#REF!</definedName>
    <definedName name="_418b" localSheetId="28">'[39]by dept'!#REF!</definedName>
    <definedName name="_418b" localSheetId="35">'[39]by dept'!#REF!</definedName>
    <definedName name="_418b">'[39]by dept'!#REF!</definedName>
    <definedName name="_41ÿ_0Price_" localSheetId="18">'[29]Capex-C'!#REF!</definedName>
    <definedName name="_41ÿ_0Price_" localSheetId="29">'[29]Capex-C'!#REF!</definedName>
    <definedName name="_41ÿ_0Price_" localSheetId="31">'[29]Capex-C'!#REF!</definedName>
    <definedName name="_41ÿ_0Price_" localSheetId="15">'[29]Capex-C'!#REF!</definedName>
    <definedName name="_41ÿ_0Price_" localSheetId="13">'[29]Capex-C'!#REF!</definedName>
    <definedName name="_41ÿ_0Price_" localSheetId="17">'[29]Capex-C'!#REF!</definedName>
    <definedName name="_41ÿ_0Price_" localSheetId="12">'[29]Capex-C'!#REF!</definedName>
    <definedName name="_41ÿ_0Price_" localSheetId="22">'[29]Capex-C'!#REF!</definedName>
    <definedName name="_41ÿ_0Price_" localSheetId="28">'[29]Capex-C'!#REF!</definedName>
    <definedName name="_41ÿ_0Price_" localSheetId="35">'[29]Capex-C'!#REF!</definedName>
    <definedName name="_41ÿ_0Price_">'[29]Capex-C'!#REF!</definedName>
    <definedName name="_420b" localSheetId="18">'[39]by dept'!#REF!</definedName>
    <definedName name="_420b" localSheetId="25">'[39]by dept'!#REF!</definedName>
    <definedName name="_420b" localSheetId="29">'[39]by dept'!#REF!</definedName>
    <definedName name="_420b" localSheetId="31">'[39]by dept'!#REF!</definedName>
    <definedName name="_420b" localSheetId="15">'[39]by dept'!#REF!</definedName>
    <definedName name="_420b" localSheetId="13">'[39]by dept'!#REF!</definedName>
    <definedName name="_420b" localSheetId="17">'[39]by dept'!#REF!</definedName>
    <definedName name="_420b" localSheetId="12">'[39]by dept'!#REF!</definedName>
    <definedName name="_420b" localSheetId="22">'[40]by dept'!#REF!</definedName>
    <definedName name="_420b" localSheetId="28">'[39]by dept'!#REF!</definedName>
    <definedName name="_420b" localSheetId="35">'[39]by dept'!#REF!</definedName>
    <definedName name="_420b">'[39]by dept'!#REF!</definedName>
    <definedName name="_423b" localSheetId="18">'[39]by dept'!#REF!</definedName>
    <definedName name="_423b" localSheetId="25">'[39]by dept'!#REF!</definedName>
    <definedName name="_423b" localSheetId="29">'[39]by dept'!#REF!</definedName>
    <definedName name="_423b" localSheetId="31">'[39]by dept'!#REF!</definedName>
    <definedName name="_423b" localSheetId="15">'[39]by dept'!#REF!</definedName>
    <definedName name="_423b" localSheetId="13">'[39]by dept'!#REF!</definedName>
    <definedName name="_423b" localSheetId="17">'[39]by dept'!#REF!</definedName>
    <definedName name="_423b" localSheetId="12">'[39]by dept'!#REF!</definedName>
    <definedName name="_423b" localSheetId="22">'[40]by dept'!#REF!</definedName>
    <definedName name="_423b" localSheetId="28">'[39]by dept'!#REF!</definedName>
    <definedName name="_423b" localSheetId="35">'[39]by dept'!#REF!</definedName>
    <definedName name="_423b">'[39]by dept'!#REF!</definedName>
    <definedName name="_42ÿ_0Price_Gate" localSheetId="18">'[29]Capex-C'!#REF!</definedName>
    <definedName name="_42ÿ_0Price_Gate" localSheetId="29">'[29]Capex-C'!#REF!</definedName>
    <definedName name="_42ÿ_0Price_Gate" localSheetId="31">'[29]Capex-C'!#REF!</definedName>
    <definedName name="_42ÿ_0Price_Gate" localSheetId="15">'[29]Capex-C'!#REF!</definedName>
    <definedName name="_42ÿ_0Price_Gate" localSheetId="13">'[29]Capex-C'!#REF!</definedName>
    <definedName name="_42ÿ_0Price_Gate" localSheetId="17">'[29]Capex-C'!#REF!</definedName>
    <definedName name="_42ÿ_0Price_Gate" localSheetId="12">'[29]Capex-C'!#REF!</definedName>
    <definedName name="_42ÿ_0Price_Gate" localSheetId="22">'[29]Capex-C'!#REF!</definedName>
    <definedName name="_42ÿ_0Price_Gate" localSheetId="28">'[29]Capex-C'!#REF!</definedName>
    <definedName name="_42ÿ_0Price_Gate" localSheetId="35">'[29]Capex-C'!#REF!</definedName>
    <definedName name="_42ÿ_0Price_Gate">'[29]Capex-C'!#REF!</definedName>
    <definedName name="_43__123Graph_LBL_ACHART_1" localSheetId="18" hidden="1">[27]synthgraph!#REF!</definedName>
    <definedName name="_43__123Graph_LBL_ACHART_1" localSheetId="29" hidden="1">[27]synthgraph!#REF!</definedName>
    <definedName name="_43__123Graph_LBL_ACHART_1" localSheetId="31" hidden="1">[27]synthgraph!#REF!</definedName>
    <definedName name="_43__123Graph_LBL_ACHART_1" localSheetId="15" hidden="1">[27]synthgraph!#REF!</definedName>
    <definedName name="_43__123Graph_LBL_ACHART_1" localSheetId="13" hidden="1">[27]synthgraph!#REF!</definedName>
    <definedName name="_43__123Graph_LBL_ACHART_1" localSheetId="17" hidden="1">[27]synthgraph!#REF!</definedName>
    <definedName name="_43__123Graph_LBL_ACHART_1" localSheetId="12" hidden="1">[27]synthgraph!#REF!</definedName>
    <definedName name="_43__123Graph_LBL_ACHART_1" localSheetId="22" hidden="1">[27]synthgraph!#REF!</definedName>
    <definedName name="_43__123Graph_LBL_ACHART_1" localSheetId="28" hidden="1">[27]synthgraph!#REF!</definedName>
    <definedName name="_43__123Graph_LBL_ACHART_1" localSheetId="35" hidden="1">[27]synthgraph!#REF!</definedName>
    <definedName name="_43__123Graph_LBL_ACHART_1" hidden="1">[27]synthgraph!#REF!</definedName>
    <definedName name="_43_0_0_S" localSheetId="29" hidden="1">[41]useless!#REF!</definedName>
    <definedName name="_43_0_0_S" localSheetId="31" hidden="1">[41]useless!#REF!</definedName>
    <definedName name="_43_0_0_S" localSheetId="28" hidden="1">[41]useless!#REF!</definedName>
    <definedName name="_43_0_0_S" localSheetId="35" hidden="1">[41]useless!#REF!</definedName>
    <definedName name="_43_0_0_S" hidden="1">[41]useless!#REF!</definedName>
    <definedName name="_432b" localSheetId="18">'[39]by dept'!#REF!</definedName>
    <definedName name="_432b" localSheetId="25">'[39]by dept'!#REF!</definedName>
    <definedName name="_432b" localSheetId="29">'[39]by dept'!#REF!</definedName>
    <definedName name="_432b" localSheetId="31">'[39]by dept'!#REF!</definedName>
    <definedName name="_432b" localSheetId="15">'[39]by dept'!#REF!</definedName>
    <definedName name="_432b" localSheetId="13">'[39]by dept'!#REF!</definedName>
    <definedName name="_432b" localSheetId="17">'[39]by dept'!#REF!</definedName>
    <definedName name="_432b" localSheetId="12">'[39]by dept'!#REF!</definedName>
    <definedName name="_432b" localSheetId="22">'[40]by dept'!#REF!</definedName>
    <definedName name="_432b" localSheetId="28">'[39]by dept'!#REF!</definedName>
    <definedName name="_432b" localSheetId="35">'[39]by dept'!#REF!</definedName>
    <definedName name="_432b">'[39]by dept'!#REF!</definedName>
    <definedName name="_435b" localSheetId="18">'[39]by dept'!#REF!</definedName>
    <definedName name="_435b" localSheetId="25">'[39]by dept'!#REF!</definedName>
    <definedName name="_435b" localSheetId="29">'[39]by dept'!#REF!</definedName>
    <definedName name="_435b" localSheetId="31">'[39]by dept'!#REF!</definedName>
    <definedName name="_435b" localSheetId="15">'[39]by dept'!#REF!</definedName>
    <definedName name="_435b" localSheetId="13">'[39]by dept'!#REF!</definedName>
    <definedName name="_435b" localSheetId="17">'[39]by dept'!#REF!</definedName>
    <definedName name="_435b" localSheetId="12">'[39]by dept'!#REF!</definedName>
    <definedName name="_435b" localSheetId="22">'[40]by dept'!#REF!</definedName>
    <definedName name="_435b" localSheetId="28">'[39]by dept'!#REF!</definedName>
    <definedName name="_435b" localSheetId="35">'[39]by dept'!#REF!</definedName>
    <definedName name="_435b">'[39]by dept'!#REF!</definedName>
    <definedName name="_43ÿ_0Price_Microw" localSheetId="18">'[29]Capex-C'!#REF!</definedName>
    <definedName name="_43ÿ_0Price_Microw" localSheetId="29">'[29]Capex-C'!#REF!</definedName>
    <definedName name="_43ÿ_0Price_Microw" localSheetId="31">'[29]Capex-C'!#REF!</definedName>
    <definedName name="_43ÿ_0Price_Microw" localSheetId="15">'[29]Capex-C'!#REF!</definedName>
    <definedName name="_43ÿ_0Price_Microw" localSheetId="13">'[29]Capex-C'!#REF!</definedName>
    <definedName name="_43ÿ_0Price_Microw" localSheetId="17">'[29]Capex-C'!#REF!</definedName>
    <definedName name="_43ÿ_0Price_Microw" localSheetId="12">'[29]Capex-C'!#REF!</definedName>
    <definedName name="_43ÿ_0Price_Microw" localSheetId="22">'[29]Capex-C'!#REF!</definedName>
    <definedName name="_43ÿ_0Price_Microw" localSheetId="28">'[29]Capex-C'!#REF!</definedName>
    <definedName name="_43ÿ_0Price_Microw" localSheetId="35">'[29]Capex-C'!#REF!</definedName>
    <definedName name="_43ÿ_0Price_Microw">'[29]Capex-C'!#REF!</definedName>
    <definedName name="_44__123Graph_LBL_ACHART_2" hidden="1">'[28]synthgraph DCF'!$G$7:$G$7</definedName>
    <definedName name="_44_0S" localSheetId="29">'[42]#REF'!#REF!</definedName>
    <definedName name="_44_0S" localSheetId="31">'[42]#REF'!#REF!</definedName>
    <definedName name="_44_0S" localSheetId="28">'[42]#REF'!#REF!</definedName>
    <definedName name="_44_0S" localSheetId="35">'[42]#REF'!#REF!</definedName>
    <definedName name="_44_0S">'[42]#REF'!#REF!</definedName>
    <definedName name="_44ÿ_0Rev_In_Ca" localSheetId="18">#REF!</definedName>
    <definedName name="_44ÿ_0Rev_In_Ca" localSheetId="25">#REF!</definedName>
    <definedName name="_44ÿ_0Rev_In_Ca" localSheetId="29">#REF!</definedName>
    <definedName name="_44ÿ_0Rev_In_Ca" localSheetId="31">#REF!</definedName>
    <definedName name="_44ÿ_0Rev_In_Ca" localSheetId="15">#REF!</definedName>
    <definedName name="_44ÿ_0Rev_In_Ca" localSheetId="13">#REF!</definedName>
    <definedName name="_44ÿ_0Rev_In_Ca" localSheetId="17">#REF!</definedName>
    <definedName name="_44ÿ_0Rev_In_Ca" localSheetId="12">#REF!</definedName>
    <definedName name="_44ÿ_0Rev_In_Ca" localSheetId="22">#REF!</definedName>
    <definedName name="_44ÿ_0Rev_In_Ca" localSheetId="28">#REF!</definedName>
    <definedName name="_44ÿ_0Rev_In_Ca" localSheetId="35">#REF!</definedName>
    <definedName name="_44ÿ_0Rev_In_Ca">#REF!</definedName>
    <definedName name="_45__123Graph_LBL_ACHART_3" localSheetId="18" hidden="1">#REF!</definedName>
    <definedName name="_45__123Graph_LBL_ACHART_3" localSheetId="25" hidden="1">#REF!</definedName>
    <definedName name="_45__123Graph_LBL_ACHART_3" localSheetId="29" hidden="1">#REF!</definedName>
    <definedName name="_45__123Graph_LBL_ACHART_3" localSheetId="31" hidden="1">#REF!</definedName>
    <definedName name="_45__123Graph_LBL_ACHART_3" localSheetId="15" hidden="1">#REF!</definedName>
    <definedName name="_45__123Graph_LBL_ACHART_3" localSheetId="13" hidden="1">#REF!</definedName>
    <definedName name="_45__123Graph_LBL_ACHART_3" localSheetId="17" hidden="1">#REF!</definedName>
    <definedName name="_45__123Graph_LBL_ACHART_3" localSheetId="12" hidden="1">#REF!</definedName>
    <definedName name="_45__123Graph_LBL_ACHART_3" localSheetId="22" hidden="1">#REF!</definedName>
    <definedName name="_45__123Graph_LBL_ACHART_3" localSheetId="28" hidden="1">#REF!</definedName>
    <definedName name="_45__123Graph_LBL_ACHART_3" localSheetId="35" hidden="1">#REF!</definedName>
    <definedName name="_45__123Graph_LBL_ACHART_3" hidden="1">#REF!</definedName>
    <definedName name="_45ÿ_0Tot_Fixed_Ass" localSheetId="18">'[29]Capex-C'!#REF!</definedName>
    <definedName name="_45ÿ_0Tot_Fixed_Ass" localSheetId="29">'[29]Capex-C'!#REF!</definedName>
    <definedName name="_45ÿ_0Tot_Fixed_Ass" localSheetId="31">'[29]Capex-C'!#REF!</definedName>
    <definedName name="_45ÿ_0Tot_Fixed_Ass" localSheetId="15">'[29]Capex-C'!#REF!</definedName>
    <definedName name="_45ÿ_0Tot_Fixed_Ass" localSheetId="13">'[29]Capex-C'!#REF!</definedName>
    <definedName name="_45ÿ_0Tot_Fixed_Ass" localSheetId="17">'[29]Capex-C'!#REF!</definedName>
    <definedName name="_45ÿ_0Tot_Fixed_Ass" localSheetId="12">'[29]Capex-C'!#REF!</definedName>
    <definedName name="_45ÿ_0Tot_Fixed_Ass" localSheetId="22">'[29]Capex-C'!#REF!</definedName>
    <definedName name="_45ÿ_0Tot_Fixed_Ass" localSheetId="28">'[29]Capex-C'!#REF!</definedName>
    <definedName name="_45ÿ_0Tot_Fixed_Ass" localSheetId="35">'[29]Capex-C'!#REF!</definedName>
    <definedName name="_45ÿ_0Tot_Fixed_Ass">'[29]Capex-C'!#REF!</definedName>
    <definedName name="_46_1Budget_PAF_03">[43]Bud_OPEX_Analytique_DAL_04!$A$6:$R$44</definedName>
    <definedName name="_46ÿ__CAPEX" localSheetId="18">'[29]Capex-C'!#REF!</definedName>
    <definedName name="_46ÿ__CAPEX" localSheetId="29">'[29]Capex-C'!#REF!</definedName>
    <definedName name="_46ÿ__CAPEX" localSheetId="31">'[29]Capex-C'!#REF!</definedName>
    <definedName name="_46ÿ__CAPEX" localSheetId="15">'[29]Capex-C'!#REF!</definedName>
    <definedName name="_46ÿ__CAPEX" localSheetId="13">'[29]Capex-C'!#REF!</definedName>
    <definedName name="_46ÿ__CAPEX" localSheetId="17">'[29]Capex-C'!#REF!</definedName>
    <definedName name="_46ÿ__CAPEX" localSheetId="12">'[29]Capex-C'!#REF!</definedName>
    <definedName name="_46ÿ__CAPEX" localSheetId="22">'[29]Capex-C'!#REF!</definedName>
    <definedName name="_46ÿ__CAPEX" localSheetId="28">'[29]Capex-C'!#REF!</definedName>
    <definedName name="_46ÿ__CAPEX" localSheetId="35">'[29]Capex-C'!#REF!</definedName>
    <definedName name="_46ÿ__CAPEX">'[29]Capex-C'!#REF!</definedName>
    <definedName name="_47__123Graph_LBL_DCHART_1" localSheetId="18" hidden="1">[27]synthgraph!#REF!</definedName>
    <definedName name="_47__123Graph_LBL_DCHART_1" localSheetId="29" hidden="1">[27]synthgraph!#REF!</definedName>
    <definedName name="_47__123Graph_LBL_DCHART_1" localSheetId="31" hidden="1">[27]synthgraph!#REF!</definedName>
    <definedName name="_47__123Graph_LBL_DCHART_1" localSheetId="15" hidden="1">[27]synthgraph!#REF!</definedName>
    <definedName name="_47__123Graph_LBL_DCHART_1" localSheetId="13" hidden="1">[27]synthgraph!#REF!</definedName>
    <definedName name="_47__123Graph_LBL_DCHART_1" localSheetId="17" hidden="1">[27]synthgraph!#REF!</definedName>
    <definedName name="_47__123Graph_LBL_DCHART_1" localSheetId="12" hidden="1">[27]synthgraph!#REF!</definedName>
    <definedName name="_47__123Graph_LBL_DCHART_1" localSheetId="22" hidden="1">[27]synthgraph!#REF!</definedName>
    <definedName name="_47__123Graph_LBL_DCHART_1" localSheetId="28" hidden="1">[27]synthgraph!#REF!</definedName>
    <definedName name="_47__123Graph_LBL_DCHART_1" localSheetId="35" hidden="1">[27]synthgraph!#REF!</definedName>
    <definedName name="_47__123Graph_LBL_DCHART_1" hidden="1">[27]synthgraph!#REF!</definedName>
    <definedName name="_47_1BudgetPôleFixe03" localSheetId="29">#REF!</definedName>
    <definedName name="_47_1BudgetPôleFixe03" localSheetId="31">#REF!</definedName>
    <definedName name="_47_1BudgetPôleFixe03" localSheetId="28">#REF!</definedName>
    <definedName name="_47_1BudgetPôleFixe03" localSheetId="35">#REF!</definedName>
    <definedName name="_47_1BudgetPôleFixe03">#REF!</definedName>
    <definedName name="_470b" localSheetId="18">'[39]by dept'!#REF!</definedName>
    <definedName name="_470b" localSheetId="25">'[39]by dept'!#REF!</definedName>
    <definedName name="_470b" localSheetId="29">'[39]by dept'!#REF!</definedName>
    <definedName name="_470b" localSheetId="31">'[39]by dept'!#REF!</definedName>
    <definedName name="_470b" localSheetId="15">'[39]by dept'!#REF!</definedName>
    <definedName name="_470b" localSheetId="13">'[39]by dept'!#REF!</definedName>
    <definedName name="_470b" localSheetId="17">'[39]by dept'!#REF!</definedName>
    <definedName name="_470b" localSheetId="12">'[39]by dept'!#REF!</definedName>
    <definedName name="_470b" localSheetId="22">'[40]by dept'!#REF!</definedName>
    <definedName name="_470b" localSheetId="28">'[39]by dept'!#REF!</definedName>
    <definedName name="_470b" localSheetId="35">'[39]by dept'!#REF!</definedName>
    <definedName name="_470b">'[39]by dept'!#REF!</definedName>
    <definedName name="_47ÿ__CAPEX_" localSheetId="18">'[29]Capex-C'!#REF!</definedName>
    <definedName name="_47ÿ__CAPEX_" localSheetId="29">'[29]Capex-C'!#REF!</definedName>
    <definedName name="_47ÿ__CAPEX_" localSheetId="31">'[29]Capex-C'!#REF!</definedName>
    <definedName name="_47ÿ__CAPEX_" localSheetId="15">'[29]Capex-C'!#REF!</definedName>
    <definedName name="_47ÿ__CAPEX_" localSheetId="13">'[29]Capex-C'!#REF!</definedName>
    <definedName name="_47ÿ__CAPEX_" localSheetId="17">'[29]Capex-C'!#REF!</definedName>
    <definedName name="_47ÿ__CAPEX_" localSheetId="12">'[29]Capex-C'!#REF!</definedName>
    <definedName name="_47ÿ__CAPEX_" localSheetId="22">'[29]Capex-C'!#REF!</definedName>
    <definedName name="_47ÿ__CAPEX_" localSheetId="28">'[29]Capex-C'!#REF!</definedName>
    <definedName name="_47ÿ__CAPEX_" localSheetId="35">'[29]Capex-C'!#REF!</definedName>
    <definedName name="_47ÿ__CAPEX_">'[29]Capex-C'!#REF!</definedName>
    <definedName name="_48__123Graph_LBL_DCHART_2" hidden="1">'[28]synthgraph DCF'!$H$7:$H$7</definedName>
    <definedName name="_48bal_sht" localSheetId="29">'[44]Recv Fcst'!#REF!</definedName>
    <definedName name="_48bal_sht" localSheetId="31">'[44]Recv Fcst'!#REF!</definedName>
    <definedName name="_48bal_sht" localSheetId="28">'[44]Recv Fcst'!#REF!</definedName>
    <definedName name="_48bal_sht" localSheetId="35">'[44]Recv Fcst'!#REF!</definedName>
    <definedName name="_48bal_sht">'[44]Recv Fcst'!#REF!</definedName>
    <definedName name="_48ÿ__CAPEX_billing_VMS_" localSheetId="18">'[29]Capex-C'!#REF!</definedName>
    <definedName name="_48ÿ__CAPEX_billing_VMS_" localSheetId="29">'[29]Capex-C'!#REF!</definedName>
    <definedName name="_48ÿ__CAPEX_billing_VMS_" localSheetId="31">'[29]Capex-C'!#REF!</definedName>
    <definedName name="_48ÿ__CAPEX_billing_VMS_" localSheetId="15">'[29]Capex-C'!#REF!</definedName>
    <definedName name="_48ÿ__CAPEX_billing_VMS_" localSheetId="13">'[29]Capex-C'!#REF!</definedName>
    <definedName name="_48ÿ__CAPEX_billing_VMS_" localSheetId="17">'[29]Capex-C'!#REF!</definedName>
    <definedName name="_48ÿ__CAPEX_billing_VMS_" localSheetId="12">'[29]Capex-C'!#REF!</definedName>
    <definedName name="_48ÿ__CAPEX_billing_VMS_" localSheetId="22">'[29]Capex-C'!#REF!</definedName>
    <definedName name="_48ÿ__CAPEX_billing_VMS_" localSheetId="28">'[29]Capex-C'!#REF!</definedName>
    <definedName name="_48ÿ__CAPEX_billing_VMS_" localSheetId="35">'[29]Capex-C'!#REF!</definedName>
    <definedName name="_48ÿ__CAPEX_billing_VMS_">'[29]Capex-C'!#REF!</definedName>
    <definedName name="_49__123Graph_XCHART_2" hidden="1">'[28]synthgraph DCF'!$C$7:$C$7</definedName>
    <definedName name="_49curr_cig_recv">'[44]Recv Fcst'!$E$30:$Q$30</definedName>
    <definedName name="_49ÿ__CAPEX_Civil_Wo" localSheetId="18">'[29]Capex-C'!#REF!</definedName>
    <definedName name="_49ÿ__CAPEX_Civil_Wo" localSheetId="29">'[29]Capex-C'!#REF!</definedName>
    <definedName name="_49ÿ__CAPEX_Civil_Wo" localSheetId="31">'[29]Capex-C'!#REF!</definedName>
    <definedName name="_49ÿ__CAPEX_Civil_Wo" localSheetId="15">'[29]Capex-C'!#REF!</definedName>
    <definedName name="_49ÿ__CAPEX_Civil_Wo" localSheetId="13">'[29]Capex-C'!#REF!</definedName>
    <definedName name="_49ÿ__CAPEX_Civil_Wo" localSheetId="17">'[29]Capex-C'!#REF!</definedName>
    <definedName name="_49ÿ__CAPEX_Civil_Wo" localSheetId="12">'[29]Capex-C'!#REF!</definedName>
    <definedName name="_49ÿ__CAPEX_Civil_Wo" localSheetId="22">'[29]Capex-C'!#REF!</definedName>
    <definedName name="_49ÿ__CAPEX_Civil_Wo" localSheetId="28">'[29]Capex-C'!#REF!</definedName>
    <definedName name="_49ÿ__CAPEX_Civil_Wo" localSheetId="35">'[29]Capex-C'!#REF!</definedName>
    <definedName name="_49ÿ__CAPEX_Civil_Wo">'[29]Capex-C'!#REF!</definedName>
    <definedName name="_4C" localSheetId="18">#REF!</definedName>
    <definedName name="_4C" localSheetId="25">#REF!</definedName>
    <definedName name="_4C" localSheetId="29">#REF!</definedName>
    <definedName name="_4C" localSheetId="31">#REF!</definedName>
    <definedName name="_4C" localSheetId="15">#REF!</definedName>
    <definedName name="_4C" localSheetId="13">#REF!</definedName>
    <definedName name="_4C" localSheetId="17">#REF!</definedName>
    <definedName name="_4C" localSheetId="12">#REF!</definedName>
    <definedName name="_4C" localSheetId="22">#REF!</definedName>
    <definedName name="_4C" localSheetId="28">#REF!</definedName>
    <definedName name="_4C" localSheetId="35">#REF!</definedName>
    <definedName name="_4C">#REF!</definedName>
    <definedName name="_4C___0">#N/A</definedName>
    <definedName name="_4C___12">#N/A</definedName>
    <definedName name="_4C___14">#N/A</definedName>
    <definedName name="_4C___16">#N/A</definedName>
    <definedName name="_4C___2">#N/A</definedName>
    <definedName name="_4C___25">#N/A</definedName>
    <definedName name="_4C___26">#N/A</definedName>
    <definedName name="_4C___27">#N/A</definedName>
    <definedName name="_4C___4">#N/A</definedName>
    <definedName name="_4C___5">#N/A</definedName>
    <definedName name="_4C___7">#N/A</definedName>
    <definedName name="_5_" localSheetId="18">#REF!</definedName>
    <definedName name="_5_" localSheetId="25">#REF!</definedName>
    <definedName name="_5_" localSheetId="29">#REF!</definedName>
    <definedName name="_5_" localSheetId="31">#REF!</definedName>
    <definedName name="_5_" localSheetId="15">#REF!</definedName>
    <definedName name="_5_" localSheetId="13">#REF!</definedName>
    <definedName name="_5_" localSheetId="17">#REF!</definedName>
    <definedName name="_5_" localSheetId="12">#REF!</definedName>
    <definedName name="_5_" localSheetId="22">#REF!</definedName>
    <definedName name="_5_" localSheetId="28">#REF!</definedName>
    <definedName name="_5_" localSheetId="35">#REF!</definedName>
    <definedName name="_5_">#REF!</definedName>
    <definedName name="_5_0__123Grap" localSheetId="18" hidden="1">#REF!</definedName>
    <definedName name="_5_0__123Grap" localSheetId="25" hidden="1">#REF!</definedName>
    <definedName name="_5_0__123Grap" localSheetId="29" hidden="1">#REF!</definedName>
    <definedName name="_5_0__123Grap" localSheetId="31" hidden="1">#REF!</definedName>
    <definedName name="_5_0__123Grap" localSheetId="15" hidden="1">#REF!</definedName>
    <definedName name="_5_0__123Grap" localSheetId="13" hidden="1">#REF!</definedName>
    <definedName name="_5_0__123Grap" localSheetId="17" hidden="1">#REF!</definedName>
    <definedName name="_5_0__123Grap" localSheetId="12" hidden="1">#REF!</definedName>
    <definedName name="_5_0__123Grap" localSheetId="22" hidden="1">#REF!</definedName>
    <definedName name="_5_0__123Grap" localSheetId="28" hidden="1">#REF!</definedName>
    <definedName name="_5_0__123Grap" localSheetId="35" hidden="1">#REF!</definedName>
    <definedName name="_5_0__123Grap" hidden="1">#REF!</definedName>
    <definedName name="_5_123Grap" localSheetId="18" hidden="1">#REF!</definedName>
    <definedName name="_5_123Grap" localSheetId="25" hidden="1">#REF!</definedName>
    <definedName name="_5_123Grap" localSheetId="29" hidden="1">#REF!</definedName>
    <definedName name="_5_123Grap" localSheetId="31" hidden="1">#REF!</definedName>
    <definedName name="_5_123Grap" localSheetId="15" hidden="1">#REF!</definedName>
    <definedName name="_5_123Grap" localSheetId="13" hidden="1">#REF!</definedName>
    <definedName name="_5_123Grap" localSheetId="17" hidden="1">#REF!</definedName>
    <definedName name="_5_123Grap" localSheetId="12" hidden="1">#REF!</definedName>
    <definedName name="_5_123Grap" localSheetId="22" hidden="1">#REF!</definedName>
    <definedName name="_5_123Grap" localSheetId="28" hidden="1">#REF!</definedName>
    <definedName name="_5_123Grap" localSheetId="35" hidden="1">#REF!</definedName>
    <definedName name="_5_123Grap" hidden="1">#REF!</definedName>
    <definedName name="_50_0S" localSheetId="18">#REF!</definedName>
    <definedName name="_50_0S" localSheetId="25">#REF!</definedName>
    <definedName name="_50_0S" localSheetId="29">#REF!</definedName>
    <definedName name="_50_0S" localSheetId="31">#REF!</definedName>
    <definedName name="_50_0S" localSheetId="15">#REF!</definedName>
    <definedName name="_50_0S" localSheetId="13">#REF!</definedName>
    <definedName name="_50_0S" localSheetId="17">#REF!</definedName>
    <definedName name="_50_0S" localSheetId="12">#REF!</definedName>
    <definedName name="_50_0S" localSheetId="22">#REF!</definedName>
    <definedName name="_50_0S" localSheetId="28">#REF!</definedName>
    <definedName name="_50_0S" localSheetId="35">#REF!</definedName>
    <definedName name="_50_0S">#REF!</definedName>
    <definedName name="_50S" localSheetId="29">#REF!</definedName>
    <definedName name="_50S" localSheetId="31">#REF!</definedName>
    <definedName name="_50S" localSheetId="28">#REF!</definedName>
    <definedName name="_50S" localSheetId="35">#REF!</definedName>
    <definedName name="_50S">#REF!</definedName>
    <definedName name="_50ÿ__CAPEX_computer_softw" localSheetId="18">'[29]Capex-C'!#REF!</definedName>
    <definedName name="_50ÿ__CAPEX_computer_softw" localSheetId="29">'[29]Capex-C'!#REF!</definedName>
    <definedName name="_50ÿ__CAPEX_computer_softw" localSheetId="31">'[29]Capex-C'!#REF!</definedName>
    <definedName name="_50ÿ__CAPEX_computer_softw" localSheetId="15">'[29]Capex-C'!#REF!</definedName>
    <definedName name="_50ÿ__CAPEX_computer_softw" localSheetId="13">'[29]Capex-C'!#REF!</definedName>
    <definedName name="_50ÿ__CAPEX_computer_softw" localSheetId="17">'[29]Capex-C'!#REF!</definedName>
    <definedName name="_50ÿ__CAPEX_computer_softw" localSheetId="12">'[29]Capex-C'!#REF!</definedName>
    <definedName name="_50ÿ__CAPEX_computer_softw" localSheetId="22">'[29]Capex-C'!#REF!</definedName>
    <definedName name="_50ÿ__CAPEX_computer_softw" localSheetId="28">'[29]Capex-C'!#REF!</definedName>
    <definedName name="_50ÿ__CAPEX_computer_softw" localSheetId="35">'[29]Capex-C'!#REF!</definedName>
    <definedName name="_50ÿ__CAPEX_computer_softw">'[29]Capex-C'!#REF!</definedName>
    <definedName name="_51___0" localSheetId="18">#REF!</definedName>
    <definedName name="_51___0" localSheetId="25">#REF!</definedName>
    <definedName name="_51___0" localSheetId="29">#REF!</definedName>
    <definedName name="_51___0" localSheetId="31">#REF!</definedName>
    <definedName name="_51___0" localSheetId="15">#REF!</definedName>
    <definedName name="_51___0" localSheetId="13">#REF!</definedName>
    <definedName name="_51___0" localSheetId="17">#REF!</definedName>
    <definedName name="_51___0" localSheetId="12">#REF!</definedName>
    <definedName name="_51___0" localSheetId="22">#REF!</definedName>
    <definedName name="_51___0" localSheetId="28">#REF!</definedName>
    <definedName name="_51___0" localSheetId="35">#REF!</definedName>
    <definedName name="_51___0">#REF!</definedName>
    <definedName name="_51_1Budget_PAF_03">#N/A</definedName>
    <definedName name="_51ÿ__CAPEX_Equipm" localSheetId="18">'[29]Capex-C'!#REF!</definedName>
    <definedName name="_51ÿ__CAPEX_Equipm" localSheetId="29">'[29]Capex-C'!#REF!</definedName>
    <definedName name="_51ÿ__CAPEX_Equipm" localSheetId="31">'[29]Capex-C'!#REF!</definedName>
    <definedName name="_51ÿ__CAPEX_Equipm" localSheetId="15">'[29]Capex-C'!#REF!</definedName>
    <definedName name="_51ÿ__CAPEX_Equipm" localSheetId="13">'[29]Capex-C'!#REF!</definedName>
    <definedName name="_51ÿ__CAPEX_Equipm" localSheetId="17">'[29]Capex-C'!#REF!</definedName>
    <definedName name="_51ÿ__CAPEX_Equipm" localSheetId="12">'[29]Capex-C'!#REF!</definedName>
    <definedName name="_51ÿ__CAPEX_Equipm" localSheetId="22">'[29]Capex-C'!#REF!</definedName>
    <definedName name="_51ÿ__CAPEX_Equipm" localSheetId="28">'[29]Capex-C'!#REF!</definedName>
    <definedName name="_51ÿ__CAPEX_Equipm" localSheetId="35">'[29]Capex-C'!#REF!</definedName>
    <definedName name="_51ÿ__CAPEX_Equipm">'[29]Capex-C'!#REF!</definedName>
    <definedName name="_52__123Graph_BCHART_1" localSheetId="29" hidden="1">[27]synthgraph!#REF!</definedName>
    <definedName name="_52__123Graph_BCHART_1" localSheetId="31" hidden="1">[27]synthgraph!#REF!</definedName>
    <definedName name="_52__123Graph_BCHART_1" localSheetId="28" hidden="1">[27]synthgraph!#REF!</definedName>
    <definedName name="_52__123Graph_BCHART_1" localSheetId="35" hidden="1">[27]synthgraph!#REF!</definedName>
    <definedName name="_52__123Graph_BCHART_1" hidden="1">[27]synthgraph!#REF!</definedName>
    <definedName name="_52_1BudgetPôleFixe03">#N/A</definedName>
    <definedName name="_52ÿ__CAPEX_Gateway_Equipm" localSheetId="18">'[29]Capex-C'!#REF!</definedName>
    <definedName name="_52ÿ__CAPEX_Gateway_Equipm" localSheetId="29">'[29]Capex-C'!#REF!</definedName>
    <definedName name="_52ÿ__CAPEX_Gateway_Equipm" localSheetId="31">'[29]Capex-C'!#REF!</definedName>
    <definedName name="_52ÿ__CAPEX_Gateway_Equipm" localSheetId="15">'[29]Capex-C'!#REF!</definedName>
    <definedName name="_52ÿ__CAPEX_Gateway_Equipm" localSheetId="13">'[29]Capex-C'!#REF!</definedName>
    <definedName name="_52ÿ__CAPEX_Gateway_Equipm" localSheetId="17">'[29]Capex-C'!#REF!</definedName>
    <definedName name="_52ÿ__CAPEX_Gateway_Equipm" localSheetId="12">'[29]Capex-C'!#REF!</definedName>
    <definedName name="_52ÿ__CAPEX_Gateway_Equipm" localSheetId="22">'[29]Capex-C'!#REF!</definedName>
    <definedName name="_52ÿ__CAPEX_Gateway_Equipm" localSheetId="28">'[29]Capex-C'!#REF!</definedName>
    <definedName name="_52ÿ__CAPEX_Gateway_Equipm" localSheetId="35">'[29]Capex-C'!#REF!</definedName>
    <definedName name="_52ÿ__CAPEX_Gateway_Equipm">'[29]Capex-C'!#REF!</definedName>
    <definedName name="_53___0__123Grap" localSheetId="18" hidden="1">#REF!</definedName>
    <definedName name="_53___0__123Grap" localSheetId="25" hidden="1">#REF!</definedName>
    <definedName name="_53___0__123Grap" localSheetId="29" hidden="1">#REF!</definedName>
    <definedName name="_53___0__123Grap" localSheetId="31" hidden="1">#REF!</definedName>
    <definedName name="_53___0__123Grap" localSheetId="15" hidden="1">#REF!</definedName>
    <definedName name="_53___0__123Grap" localSheetId="13" hidden="1">#REF!</definedName>
    <definedName name="_53___0__123Grap" localSheetId="17" hidden="1">#REF!</definedName>
    <definedName name="_53___0__123Grap" localSheetId="12" hidden="1">#REF!</definedName>
    <definedName name="_53___0__123Grap" localSheetId="22" hidden="1">#REF!</definedName>
    <definedName name="_53___0__123Grap" localSheetId="28" hidden="1">#REF!</definedName>
    <definedName name="_53___0__123Grap" localSheetId="35" hidden="1">#REF!</definedName>
    <definedName name="_53___0__123Grap" hidden="1">#REF!</definedName>
    <definedName name="_53__123Graph_BCHART_2" hidden="1">'[28]synthgraph DCF'!$I$7:$I$7</definedName>
    <definedName name="_53ÿ__CAPEX_Licence_" localSheetId="18">'[29]Capex-C'!#REF!</definedName>
    <definedName name="_53ÿ__CAPEX_Licence_" localSheetId="29">'[29]Capex-C'!#REF!</definedName>
    <definedName name="_53ÿ__CAPEX_Licence_" localSheetId="31">'[29]Capex-C'!#REF!</definedName>
    <definedName name="_53ÿ__CAPEX_Licence_" localSheetId="15">'[29]Capex-C'!#REF!</definedName>
    <definedName name="_53ÿ__CAPEX_Licence_" localSheetId="13">'[29]Capex-C'!#REF!</definedName>
    <definedName name="_53ÿ__CAPEX_Licence_" localSheetId="17">'[29]Capex-C'!#REF!</definedName>
    <definedName name="_53ÿ__CAPEX_Licence_" localSheetId="12">'[29]Capex-C'!#REF!</definedName>
    <definedName name="_53ÿ__CAPEX_Licence_" localSheetId="22">'[29]Capex-C'!#REF!</definedName>
    <definedName name="_53ÿ__CAPEX_Licence_" localSheetId="28">'[29]Capex-C'!#REF!</definedName>
    <definedName name="_53ÿ__CAPEX_Licence_" localSheetId="35">'[29]Capex-C'!#REF!</definedName>
    <definedName name="_53ÿ__CAPEX_Licence_">'[29]Capex-C'!#REF!</definedName>
    <definedName name="_54__123Graph_BCHART_3" localSheetId="29" hidden="1">#REF!</definedName>
    <definedName name="_54__123Graph_BCHART_3" localSheetId="31" hidden="1">#REF!</definedName>
    <definedName name="_54__123Graph_BCHART_3" localSheetId="28" hidden="1">#REF!</definedName>
    <definedName name="_54__123Graph_BCHART_3" localSheetId="35" hidden="1">#REF!</definedName>
    <definedName name="_54__123Graph_BCHART_3" hidden="1">#REF!</definedName>
    <definedName name="_54ÿ__CAPEX_Microw" localSheetId="18">'[29]Capex-C'!#REF!</definedName>
    <definedName name="_54ÿ__CAPEX_Microw" localSheetId="29">'[29]Capex-C'!#REF!</definedName>
    <definedName name="_54ÿ__CAPEX_Microw" localSheetId="31">'[29]Capex-C'!#REF!</definedName>
    <definedName name="_54ÿ__CAPEX_Microw" localSheetId="15">'[29]Capex-C'!#REF!</definedName>
    <definedName name="_54ÿ__CAPEX_Microw" localSheetId="13">'[29]Capex-C'!#REF!</definedName>
    <definedName name="_54ÿ__CAPEX_Microw" localSheetId="17">'[29]Capex-C'!#REF!</definedName>
    <definedName name="_54ÿ__CAPEX_Microw" localSheetId="12">'[29]Capex-C'!#REF!</definedName>
    <definedName name="_54ÿ__CAPEX_Microw" localSheetId="22">'[29]Capex-C'!#REF!</definedName>
    <definedName name="_54ÿ__CAPEX_Microw" localSheetId="28">'[29]Capex-C'!#REF!</definedName>
    <definedName name="_54ÿ__CAPEX_Microw" localSheetId="35">'[29]Capex-C'!#REF!</definedName>
    <definedName name="_54ÿ__CAPEX_Microw">'[29]Capex-C'!#REF!</definedName>
    <definedName name="_55___0S" localSheetId="18">'[30]#REF'!#REF!</definedName>
    <definedName name="_55___0S" localSheetId="29">'[30]#REF'!#REF!</definedName>
    <definedName name="_55___0S" localSheetId="31">'[30]#REF'!#REF!</definedName>
    <definedName name="_55___0S" localSheetId="15">'[30]#REF'!#REF!</definedName>
    <definedName name="_55___0S" localSheetId="13">'[30]#REF'!#REF!</definedName>
    <definedName name="_55___0S" localSheetId="17">'[30]#REF'!#REF!</definedName>
    <definedName name="_55___0S" localSheetId="12">'[30]#REF'!#REF!</definedName>
    <definedName name="_55___0S" localSheetId="22">'[30]#REF'!#REF!</definedName>
    <definedName name="_55___0S" localSheetId="28">'[30]#REF'!#REF!</definedName>
    <definedName name="_55___0S" localSheetId="35">'[30]#REF'!#REF!</definedName>
    <definedName name="_55___0S">'[30]#REF'!#REF!</definedName>
    <definedName name="_55ÿ__CAPEX_office_furnit" localSheetId="18">'[29]Capex-C'!#REF!</definedName>
    <definedName name="_55ÿ__CAPEX_office_furnit" localSheetId="29">'[29]Capex-C'!#REF!</definedName>
    <definedName name="_55ÿ__CAPEX_office_furnit" localSheetId="31">'[29]Capex-C'!#REF!</definedName>
    <definedName name="_55ÿ__CAPEX_office_furnit" localSheetId="15">'[29]Capex-C'!#REF!</definedName>
    <definedName name="_55ÿ__CAPEX_office_furnit" localSheetId="13">'[29]Capex-C'!#REF!</definedName>
    <definedName name="_55ÿ__CAPEX_office_furnit" localSheetId="17">'[29]Capex-C'!#REF!</definedName>
    <definedName name="_55ÿ__CAPEX_office_furnit" localSheetId="12">'[29]Capex-C'!#REF!</definedName>
    <definedName name="_55ÿ__CAPEX_office_furnit" localSheetId="22">'[29]Capex-C'!#REF!</definedName>
    <definedName name="_55ÿ__CAPEX_office_furnit" localSheetId="28">'[29]Capex-C'!#REF!</definedName>
    <definedName name="_55ÿ__CAPEX_office_furnit" localSheetId="35">'[29]Capex-C'!#REF!</definedName>
    <definedName name="_55ÿ__CAPEX_office_furnit">'[29]Capex-C'!#REF!</definedName>
    <definedName name="_56_" localSheetId="18">#REF!</definedName>
    <definedName name="_56_" localSheetId="25">#REF!</definedName>
    <definedName name="_56_" localSheetId="29">#REF!</definedName>
    <definedName name="_56_" localSheetId="31">#REF!</definedName>
    <definedName name="_56_" localSheetId="15">#REF!</definedName>
    <definedName name="_56_" localSheetId="13">#REF!</definedName>
    <definedName name="_56_" localSheetId="17">#REF!</definedName>
    <definedName name="_56_" localSheetId="12">#REF!</definedName>
    <definedName name="_56_" localSheetId="22">#REF!</definedName>
    <definedName name="_56_" localSheetId="28">#REF!</definedName>
    <definedName name="_56_" localSheetId="35">#REF!</definedName>
    <definedName name="_56_">#REF!</definedName>
    <definedName name="_56ÿ__CAPEX_Subscri" localSheetId="18">'[29]Capex-C'!#REF!</definedName>
    <definedName name="_56ÿ__CAPEX_Subscri" localSheetId="29">'[29]Capex-C'!#REF!</definedName>
    <definedName name="_56ÿ__CAPEX_Subscri" localSheetId="31">'[29]Capex-C'!#REF!</definedName>
    <definedName name="_56ÿ__CAPEX_Subscri" localSheetId="15">'[29]Capex-C'!#REF!</definedName>
    <definedName name="_56ÿ__CAPEX_Subscri" localSheetId="13">'[29]Capex-C'!#REF!</definedName>
    <definedName name="_56ÿ__CAPEX_Subscri" localSheetId="17">'[29]Capex-C'!#REF!</definedName>
    <definedName name="_56ÿ__CAPEX_Subscri" localSheetId="12">'[29]Capex-C'!#REF!</definedName>
    <definedName name="_56ÿ__CAPEX_Subscri" localSheetId="22">'[29]Capex-C'!#REF!</definedName>
    <definedName name="_56ÿ__CAPEX_Subscri" localSheetId="28">'[29]Capex-C'!#REF!</definedName>
    <definedName name="_56ÿ__CAPEX_Subscri" localSheetId="35">'[29]Capex-C'!#REF!</definedName>
    <definedName name="_56ÿ__CAPEX_Subscri">'[29]Capex-C'!#REF!</definedName>
    <definedName name="_57ÿ__Cum._Invest_bill" localSheetId="18">'[29]Capex-C'!#REF!</definedName>
    <definedName name="_57ÿ__Cum._Invest_bill" localSheetId="29">'[29]Capex-C'!#REF!</definedName>
    <definedName name="_57ÿ__Cum._Invest_bill" localSheetId="31">'[29]Capex-C'!#REF!</definedName>
    <definedName name="_57ÿ__Cum._Invest_bill" localSheetId="15">'[29]Capex-C'!#REF!</definedName>
    <definedName name="_57ÿ__Cum._Invest_bill" localSheetId="13">'[29]Capex-C'!#REF!</definedName>
    <definedName name="_57ÿ__Cum._Invest_bill" localSheetId="17">'[29]Capex-C'!#REF!</definedName>
    <definedName name="_57ÿ__Cum._Invest_bill" localSheetId="12">'[29]Capex-C'!#REF!</definedName>
    <definedName name="_57ÿ__Cum._Invest_bill" localSheetId="22">'[29]Capex-C'!#REF!</definedName>
    <definedName name="_57ÿ__Cum._Invest_bill" localSheetId="28">'[29]Capex-C'!#REF!</definedName>
    <definedName name="_57ÿ__Cum._Invest_bill" localSheetId="35">'[29]Capex-C'!#REF!</definedName>
    <definedName name="_57ÿ__Cum._Invest_bill">'[29]Capex-C'!#REF!</definedName>
    <definedName name="_58ÿ__Depr_base_bill" localSheetId="18">'[29]Capex-C'!#REF!</definedName>
    <definedName name="_58ÿ__Depr_base_bill" localSheetId="29">'[29]Capex-C'!#REF!</definedName>
    <definedName name="_58ÿ__Depr_base_bill" localSheetId="31">'[29]Capex-C'!#REF!</definedName>
    <definedName name="_58ÿ__Depr_base_bill" localSheetId="15">'[29]Capex-C'!#REF!</definedName>
    <definedName name="_58ÿ__Depr_base_bill" localSheetId="13">'[29]Capex-C'!#REF!</definedName>
    <definedName name="_58ÿ__Depr_base_bill" localSheetId="17">'[29]Capex-C'!#REF!</definedName>
    <definedName name="_58ÿ__Depr_base_bill" localSheetId="12">'[29]Capex-C'!#REF!</definedName>
    <definedName name="_58ÿ__Depr_base_bill" localSheetId="22">'[29]Capex-C'!#REF!</definedName>
    <definedName name="_58ÿ__Depr_base_bill" localSheetId="28">'[29]Capex-C'!#REF!</definedName>
    <definedName name="_58ÿ__Depr_base_bill" localSheetId="35">'[29]Capex-C'!#REF!</definedName>
    <definedName name="_58ÿ__Depr_base_bill">'[29]Capex-C'!#REF!</definedName>
    <definedName name="_59ÿ__Depr_base_equipm" localSheetId="18">'[29]Capex-C'!#REF!</definedName>
    <definedName name="_59ÿ__Depr_base_equipm" localSheetId="29">'[29]Capex-C'!#REF!</definedName>
    <definedName name="_59ÿ__Depr_base_equipm" localSheetId="31">'[29]Capex-C'!#REF!</definedName>
    <definedName name="_59ÿ__Depr_base_equipm" localSheetId="15">'[29]Capex-C'!#REF!</definedName>
    <definedName name="_59ÿ__Depr_base_equipm" localSheetId="13">'[29]Capex-C'!#REF!</definedName>
    <definedName name="_59ÿ__Depr_base_equipm" localSheetId="17">'[29]Capex-C'!#REF!</definedName>
    <definedName name="_59ÿ__Depr_base_equipm" localSheetId="12">'[29]Capex-C'!#REF!</definedName>
    <definedName name="_59ÿ__Depr_base_equipm" localSheetId="22">'[29]Capex-C'!#REF!</definedName>
    <definedName name="_59ÿ__Depr_base_equipm" localSheetId="28">'[29]Capex-C'!#REF!</definedName>
    <definedName name="_59ÿ__Depr_base_equipm" localSheetId="35">'[29]Capex-C'!#REF!</definedName>
    <definedName name="_59ÿ__Depr_base_equipm">'[29]Capex-C'!#REF!</definedName>
    <definedName name="_5KRa" localSheetId="18">'[45]SC - Marketing'!#REF!</definedName>
    <definedName name="_5KRa" localSheetId="29">'[45]SC - Marketing'!#REF!</definedName>
    <definedName name="_5KRa" localSheetId="31">'[45]SC - Marketing'!#REF!</definedName>
    <definedName name="_5KRa" localSheetId="15">'[45]SC - Marketing'!#REF!</definedName>
    <definedName name="_5KRa" localSheetId="13">'[45]SC - Marketing'!#REF!</definedName>
    <definedName name="_5KRa" localSheetId="17">'[45]SC - Marketing'!#REF!</definedName>
    <definedName name="_5KRa" localSheetId="12">'[45]SC - Marketing'!#REF!</definedName>
    <definedName name="_5KRa" localSheetId="22">'[45]SC - Marketing'!#REF!</definedName>
    <definedName name="_5KRa" localSheetId="28">'[45]SC - Marketing'!#REF!</definedName>
    <definedName name="_5KRa" localSheetId="35">'[45]SC - Marketing'!#REF!</definedName>
    <definedName name="_5KRa">'[45]SC - Marketing'!#REF!</definedName>
    <definedName name="_6_" localSheetId="18">#REF!</definedName>
    <definedName name="_6_" localSheetId="25">#REF!</definedName>
    <definedName name="_6_" localSheetId="29">#REF!</definedName>
    <definedName name="_6_" localSheetId="31">#REF!</definedName>
    <definedName name="_6_" localSheetId="15">#REF!</definedName>
    <definedName name="_6_" localSheetId="13">#REF!</definedName>
    <definedName name="_6_" localSheetId="17">#REF!</definedName>
    <definedName name="_6_" localSheetId="12">#REF!</definedName>
    <definedName name="_6_" localSheetId="22">#REF!</definedName>
    <definedName name="_6_" localSheetId="28">#REF!</definedName>
    <definedName name="_6_" localSheetId="35">#REF!</definedName>
    <definedName name="_6_">#REF!</definedName>
    <definedName name="_6_0" localSheetId="18">#REF!</definedName>
    <definedName name="_6_0" localSheetId="25">#REF!</definedName>
    <definedName name="_6_0" localSheetId="29">#REF!</definedName>
    <definedName name="_6_0" localSheetId="31">#REF!</definedName>
    <definedName name="_6_0" localSheetId="15">#REF!</definedName>
    <definedName name="_6_0" localSheetId="13">#REF!</definedName>
    <definedName name="_6_0" localSheetId="17">#REF!</definedName>
    <definedName name="_6_0" localSheetId="12">#REF!</definedName>
    <definedName name="_6_0" localSheetId="22">#REF!</definedName>
    <definedName name="_6_0" localSheetId="28">#REF!</definedName>
    <definedName name="_6_0" localSheetId="35">#REF!</definedName>
    <definedName name="_6_0">#REF!</definedName>
    <definedName name="_6_0__123Grap" localSheetId="18" hidden="1">#REF!</definedName>
    <definedName name="_6_0__123Grap" localSheetId="25" hidden="1">#REF!</definedName>
    <definedName name="_6_0__123Grap" localSheetId="29" hidden="1">#REF!</definedName>
    <definedName name="_6_0__123Grap" localSheetId="31" hidden="1">#REF!</definedName>
    <definedName name="_6_0__123Grap" localSheetId="15" hidden="1">#REF!</definedName>
    <definedName name="_6_0__123Grap" localSheetId="13" hidden="1">#REF!</definedName>
    <definedName name="_6_0__123Grap" localSheetId="17" hidden="1">#REF!</definedName>
    <definedName name="_6_0__123Grap" localSheetId="12" hidden="1">#REF!</definedName>
    <definedName name="_6_0__123Grap" localSheetId="22" hidden="1">#REF!</definedName>
    <definedName name="_6_0__123Grap" localSheetId="28" hidden="1">#REF!</definedName>
    <definedName name="_6_0__123Grap" localSheetId="35" hidden="1">#REF!</definedName>
    <definedName name="_6_0__123Grap" hidden="1">#REF!</definedName>
    <definedName name="_6_0KRa" localSheetId="18">'[16]SC - Marketing'!#REF!</definedName>
    <definedName name="_6_0KRa" localSheetId="29">'[16]SC - Marketing'!#REF!</definedName>
    <definedName name="_6_0KRa" localSheetId="31">'[16]SC - Marketing'!#REF!</definedName>
    <definedName name="_6_0KRa" localSheetId="15">'[16]SC - Marketing'!#REF!</definedName>
    <definedName name="_6_0KRa" localSheetId="13">'[16]SC - Marketing'!#REF!</definedName>
    <definedName name="_6_0KRa" localSheetId="17">'[16]SC - Marketing'!#REF!</definedName>
    <definedName name="_6_0KRa" localSheetId="12">'[16]SC - Marketing'!#REF!</definedName>
    <definedName name="_6_0KRa" localSheetId="22">'[16]SC - Marketing'!#REF!</definedName>
    <definedName name="_6_0KRa" localSheetId="28">'[16]SC - Marketing'!#REF!</definedName>
    <definedName name="_6_0KRa" localSheetId="35">'[16]SC - Marketing'!#REF!</definedName>
    <definedName name="_6_0KRa">'[16]SC - Marketing'!#REF!</definedName>
    <definedName name="_6_0S" localSheetId="18">'[35]#REF'!#REF!</definedName>
    <definedName name="_6_0S" localSheetId="29">'[35]#REF'!#REF!</definedName>
    <definedName name="_6_0S" localSheetId="31">'[35]#REF'!#REF!</definedName>
    <definedName name="_6_0S" localSheetId="15">'[35]#REF'!#REF!</definedName>
    <definedName name="_6_0S" localSheetId="13">'[35]#REF'!#REF!</definedName>
    <definedName name="_6_0S" localSheetId="17">'[35]#REF'!#REF!</definedName>
    <definedName name="_6_0S" localSheetId="12">'[35]#REF'!#REF!</definedName>
    <definedName name="_6_0S" localSheetId="22">'[35]#REF'!#REF!</definedName>
    <definedName name="_6_0S" localSheetId="28">'[35]#REF'!#REF!</definedName>
    <definedName name="_6_0S" localSheetId="35">'[35]#REF'!#REF!</definedName>
    <definedName name="_6_0S">'[35]#REF'!#REF!</definedName>
    <definedName name="_6_123Grap" localSheetId="18" hidden="1">#REF!</definedName>
    <definedName name="_6_123Grap" localSheetId="25" hidden="1">#REF!</definedName>
    <definedName name="_6_123Grap" localSheetId="29" hidden="1">#REF!</definedName>
    <definedName name="_6_123Grap" localSheetId="31" hidden="1">#REF!</definedName>
    <definedName name="_6_123Grap" localSheetId="15" hidden="1">#REF!</definedName>
    <definedName name="_6_123Grap" localSheetId="13" hidden="1">#REF!</definedName>
    <definedName name="_6_123Grap" localSheetId="17" hidden="1">#REF!</definedName>
    <definedName name="_6_123Grap" localSheetId="12" hidden="1">#REF!</definedName>
    <definedName name="_6_123Grap" localSheetId="22" hidden="1">#REF!</definedName>
    <definedName name="_6_123Grap" localSheetId="28" hidden="1">#REF!</definedName>
    <definedName name="_6_123Grap" localSheetId="35" hidden="1">#REF!</definedName>
    <definedName name="_6_123Grap" hidden="1">#REF!</definedName>
    <definedName name="_60ÿ__Depr_bill" localSheetId="18">'[29]Capex-C'!#REF!</definedName>
    <definedName name="_60ÿ__Depr_bill" localSheetId="29">'[29]Capex-C'!#REF!</definedName>
    <definedName name="_60ÿ__Depr_bill" localSheetId="31">'[29]Capex-C'!#REF!</definedName>
    <definedName name="_60ÿ__Depr_bill" localSheetId="15">'[29]Capex-C'!#REF!</definedName>
    <definedName name="_60ÿ__Depr_bill" localSheetId="13">'[29]Capex-C'!#REF!</definedName>
    <definedName name="_60ÿ__Depr_bill" localSheetId="17">'[29]Capex-C'!#REF!</definedName>
    <definedName name="_60ÿ__Depr_bill" localSheetId="12">'[29]Capex-C'!#REF!</definedName>
    <definedName name="_60ÿ__Depr_bill" localSheetId="22">'[29]Capex-C'!#REF!</definedName>
    <definedName name="_60ÿ__Depr_bill" localSheetId="28">'[29]Capex-C'!#REF!</definedName>
    <definedName name="_60ÿ__Depr_bill" localSheetId="35">'[29]Capex-C'!#REF!</definedName>
    <definedName name="_60ÿ__Depr_bill">'[29]Capex-C'!#REF!</definedName>
    <definedName name="_61220100">#N/A</definedName>
    <definedName name="_61220200">#N/A</definedName>
    <definedName name="_61220300">#N/A</definedName>
    <definedName name="_61220400">#N/A</definedName>
    <definedName name="_61220500">#N/A</definedName>
    <definedName name="_61220600">#N/A</definedName>
    <definedName name="_61220700">#N/A</definedName>
    <definedName name="_61220800">#N/A</definedName>
    <definedName name="_61251200">#N/A</definedName>
    <definedName name="_61251300">#N/A</definedName>
    <definedName name="_61253100">#N/A</definedName>
    <definedName name="_61253200">#N/A</definedName>
    <definedName name="_61261800">#N/A</definedName>
    <definedName name="_61311000">#N/A</definedName>
    <definedName name="_61312000">#N/A</definedName>
    <definedName name="_61313000">#N/A</definedName>
    <definedName name="_61318000">#N/A</definedName>
    <definedName name="_6133_1_3">#N/A</definedName>
    <definedName name="_61331100">#N/A</definedName>
    <definedName name="_61331300">#N/A</definedName>
    <definedName name="_61332100">#N/A</definedName>
    <definedName name="_61332300">#N/A</definedName>
    <definedName name="_61335000">#N/A</definedName>
    <definedName name="_61351100">#N/A</definedName>
    <definedName name="_61362000">#N/A</definedName>
    <definedName name="_61363000">#N/A</definedName>
    <definedName name="_61367000">#N/A</definedName>
    <definedName name="_61368000">#N/A</definedName>
    <definedName name="_61385000">#N/A</definedName>
    <definedName name="_61411000">#N/A</definedName>
    <definedName name="_61415100">#N/A</definedName>
    <definedName name="_61415200">#N/A</definedName>
    <definedName name="_61416000">#N/A</definedName>
    <definedName name="_61421200">#N/A</definedName>
    <definedName name="_61424000">#N/A</definedName>
    <definedName name="_61430100">#N/A</definedName>
    <definedName name="_61430200">#N/A</definedName>
    <definedName name="_61436000">#N/A</definedName>
    <definedName name="_61441000">#N/A</definedName>
    <definedName name="_61443000">#N/A</definedName>
    <definedName name="_61447000">#N/A</definedName>
    <definedName name="_61448000">#N/A</definedName>
    <definedName name="_61451000">#N/A</definedName>
    <definedName name="_61671000">#N/A</definedName>
    <definedName name="_61713100">#N/A</definedName>
    <definedName name="_61713600">#N/A</definedName>
    <definedName name="_61713800">#N/A</definedName>
    <definedName name="_61742200">#N/A</definedName>
    <definedName name="_61763000">#N/A</definedName>
    <definedName name="_61766000">#N/A</definedName>
    <definedName name="_61768000">#N/A</definedName>
    <definedName name="_61ÿ__Depr_civil_wo" localSheetId="18">'[29]Capex-C'!#REF!</definedName>
    <definedName name="_61ÿ__Depr_civil_wo" localSheetId="29">'[29]Capex-C'!#REF!</definedName>
    <definedName name="_61ÿ__Depr_civil_wo" localSheetId="31">'[29]Capex-C'!#REF!</definedName>
    <definedName name="_61ÿ__Depr_civil_wo" localSheetId="15">'[29]Capex-C'!#REF!</definedName>
    <definedName name="_61ÿ__Depr_civil_wo" localSheetId="13">'[29]Capex-C'!#REF!</definedName>
    <definedName name="_61ÿ__Depr_civil_wo" localSheetId="17">'[29]Capex-C'!#REF!</definedName>
    <definedName name="_61ÿ__Depr_civil_wo" localSheetId="12">'[29]Capex-C'!#REF!</definedName>
    <definedName name="_61ÿ__Depr_civil_wo" localSheetId="22">'[29]Capex-C'!#REF!</definedName>
    <definedName name="_61ÿ__Depr_civil_wo" localSheetId="28">'[29]Capex-C'!#REF!</definedName>
    <definedName name="_61ÿ__Depr_civil_wo" localSheetId="35">'[29]Capex-C'!#REF!</definedName>
    <definedName name="_61ÿ__Depr_civil_wo">'[29]Capex-C'!#REF!</definedName>
    <definedName name="_62ÿ__Depr_computer_softw" localSheetId="18">'[29]Capex-C'!#REF!</definedName>
    <definedName name="_62ÿ__Depr_computer_softw" localSheetId="29">'[29]Capex-C'!#REF!</definedName>
    <definedName name="_62ÿ__Depr_computer_softw" localSheetId="31">'[29]Capex-C'!#REF!</definedName>
    <definedName name="_62ÿ__Depr_computer_softw" localSheetId="15">'[29]Capex-C'!#REF!</definedName>
    <definedName name="_62ÿ__Depr_computer_softw" localSheetId="13">'[29]Capex-C'!#REF!</definedName>
    <definedName name="_62ÿ__Depr_computer_softw" localSheetId="17">'[29]Capex-C'!#REF!</definedName>
    <definedName name="_62ÿ__Depr_computer_softw" localSheetId="12">'[29]Capex-C'!#REF!</definedName>
    <definedName name="_62ÿ__Depr_computer_softw" localSheetId="22">'[29]Capex-C'!#REF!</definedName>
    <definedName name="_62ÿ__Depr_computer_softw" localSheetId="28">'[29]Capex-C'!#REF!</definedName>
    <definedName name="_62ÿ__Depr_computer_softw" localSheetId="35">'[29]Capex-C'!#REF!</definedName>
    <definedName name="_62ÿ__Depr_computer_softw">'[29]Capex-C'!#REF!</definedName>
    <definedName name="_63" localSheetId="18">[36]CH95!#REF!</definedName>
    <definedName name="_63" localSheetId="29">[36]CH95!#REF!</definedName>
    <definedName name="_63" localSheetId="31">[36]CH95!#REF!</definedName>
    <definedName name="_63" localSheetId="15">[36]CH95!#REF!</definedName>
    <definedName name="_63" localSheetId="13">[36]CH95!#REF!</definedName>
    <definedName name="_63" localSheetId="17">[36]CH95!#REF!</definedName>
    <definedName name="_63" localSheetId="12">[36]CH95!#REF!</definedName>
    <definedName name="_63" localSheetId="22">[36]CH95!#REF!</definedName>
    <definedName name="_63" localSheetId="28">[36]CH95!#REF!</definedName>
    <definedName name="_63" localSheetId="35">[36]CH95!#REF!</definedName>
    <definedName name="_63">[36]CH95!#REF!</definedName>
    <definedName name="_63___0">#N/A</definedName>
    <definedName name="_63___12">#N/A</definedName>
    <definedName name="_63_0" localSheetId="18">#REF!</definedName>
    <definedName name="_63_0" localSheetId="25">#REF!</definedName>
    <definedName name="_63_0" localSheetId="29">#REF!</definedName>
    <definedName name="_63_0" localSheetId="31">#REF!</definedName>
    <definedName name="_63_0" localSheetId="15">#REF!</definedName>
    <definedName name="_63_0" localSheetId="13">#REF!</definedName>
    <definedName name="_63_0" localSheetId="17">#REF!</definedName>
    <definedName name="_63_0" localSheetId="12">#REF!</definedName>
    <definedName name="_63_0" localSheetId="22">#REF!</definedName>
    <definedName name="_63_0" localSheetId="28">#REF!</definedName>
    <definedName name="_63_0" localSheetId="35">#REF!</definedName>
    <definedName name="_63_0">#REF!</definedName>
    <definedName name="_63ÿ__Depr_equipm" localSheetId="18">'[29]Capex-C'!#REF!</definedName>
    <definedName name="_63ÿ__Depr_equipm" localSheetId="29">'[29]Capex-C'!#REF!</definedName>
    <definedName name="_63ÿ__Depr_equipm" localSheetId="31">'[29]Capex-C'!#REF!</definedName>
    <definedName name="_63ÿ__Depr_equipm" localSheetId="15">'[29]Capex-C'!#REF!</definedName>
    <definedName name="_63ÿ__Depr_equipm" localSheetId="13">'[29]Capex-C'!#REF!</definedName>
    <definedName name="_63ÿ__Depr_equipm" localSheetId="17">'[29]Capex-C'!#REF!</definedName>
    <definedName name="_63ÿ__Depr_equipm" localSheetId="12">'[29]Capex-C'!#REF!</definedName>
    <definedName name="_63ÿ__Depr_equipm" localSheetId="22">'[29]Capex-C'!#REF!</definedName>
    <definedName name="_63ÿ__Depr_equipm" localSheetId="28">'[29]Capex-C'!#REF!</definedName>
    <definedName name="_63ÿ__Depr_equipm" localSheetId="35">'[29]Capex-C'!#REF!</definedName>
    <definedName name="_63ÿ__Depr_equipm">'[29]Capex-C'!#REF!</definedName>
    <definedName name="_64ÿ__Depr_lice" localSheetId="18">'[29]Capex-C'!#REF!</definedName>
    <definedName name="_64ÿ__Depr_lice" localSheetId="29">'[29]Capex-C'!#REF!</definedName>
    <definedName name="_64ÿ__Depr_lice" localSheetId="31">'[29]Capex-C'!#REF!</definedName>
    <definedName name="_64ÿ__Depr_lice" localSheetId="15">'[29]Capex-C'!#REF!</definedName>
    <definedName name="_64ÿ__Depr_lice" localSheetId="13">'[29]Capex-C'!#REF!</definedName>
    <definedName name="_64ÿ__Depr_lice" localSheetId="17">'[29]Capex-C'!#REF!</definedName>
    <definedName name="_64ÿ__Depr_lice" localSheetId="12">'[29]Capex-C'!#REF!</definedName>
    <definedName name="_64ÿ__Depr_lice" localSheetId="22">'[29]Capex-C'!#REF!</definedName>
    <definedName name="_64ÿ__Depr_lice" localSheetId="28">'[29]Capex-C'!#REF!</definedName>
    <definedName name="_64ÿ__Depr_lice" localSheetId="35">'[29]Capex-C'!#REF!</definedName>
    <definedName name="_64ÿ__Depr_lice">'[29]Capex-C'!#REF!</definedName>
    <definedName name="_657_0__123Grap" localSheetId="29" hidden="1">#REF!</definedName>
    <definedName name="_657_0__123Grap" localSheetId="31" hidden="1">#REF!</definedName>
    <definedName name="_657_0__123Grap" localSheetId="28" hidden="1">#REF!</definedName>
    <definedName name="_657_0__123Grap" localSheetId="35" hidden="1">#REF!</definedName>
    <definedName name="_657_0__123Grap" hidden="1">#REF!</definedName>
    <definedName name="_658_0__123Grap" localSheetId="29" hidden="1">#REF!</definedName>
    <definedName name="_658_0__123Grap" localSheetId="31" hidden="1">#REF!</definedName>
    <definedName name="_658_0__123Grap" localSheetId="28" hidden="1">#REF!</definedName>
    <definedName name="_658_0__123Grap" localSheetId="35" hidden="1">#REF!</definedName>
    <definedName name="_658_0__123Grap" hidden="1">#REF!</definedName>
    <definedName name="_659_0__123Grap" localSheetId="29" hidden="1">#REF!</definedName>
    <definedName name="_659_0__123Grap" localSheetId="31" hidden="1">#REF!</definedName>
    <definedName name="_659_0__123Grap" localSheetId="28" hidden="1">#REF!</definedName>
    <definedName name="_659_0__123Grap" localSheetId="35" hidden="1">#REF!</definedName>
    <definedName name="_659_0__123Grap" hidden="1">#REF!</definedName>
    <definedName name="_65ÿ__Depr_office_furnit" localSheetId="18">'[29]Capex-C'!#REF!</definedName>
    <definedName name="_65ÿ__Depr_office_furnit" localSheetId="29">'[29]Capex-C'!#REF!</definedName>
    <definedName name="_65ÿ__Depr_office_furnit" localSheetId="31">'[29]Capex-C'!#REF!</definedName>
    <definedName name="_65ÿ__Depr_office_furnit" localSheetId="15">'[29]Capex-C'!#REF!</definedName>
    <definedName name="_65ÿ__Depr_office_furnit" localSheetId="13">'[29]Capex-C'!#REF!</definedName>
    <definedName name="_65ÿ__Depr_office_furnit" localSheetId="17">'[29]Capex-C'!#REF!</definedName>
    <definedName name="_65ÿ__Depr_office_furnit" localSheetId="12">'[29]Capex-C'!#REF!</definedName>
    <definedName name="_65ÿ__Depr_office_furnit" localSheetId="22">'[29]Capex-C'!#REF!</definedName>
    <definedName name="_65ÿ__Depr_office_furnit" localSheetId="28">'[29]Capex-C'!#REF!</definedName>
    <definedName name="_65ÿ__Depr_office_furnit" localSheetId="35">'[29]Capex-C'!#REF!</definedName>
    <definedName name="_65ÿ__Depr_office_furnit">'[29]Capex-C'!#REF!</definedName>
    <definedName name="_660_0__123Grap" localSheetId="29" hidden="1">#REF!</definedName>
    <definedName name="_660_0__123Grap" localSheetId="31" hidden="1">#REF!</definedName>
    <definedName name="_660_0__123Grap" localSheetId="28" hidden="1">#REF!</definedName>
    <definedName name="_660_0__123Grap" localSheetId="35" hidden="1">#REF!</definedName>
    <definedName name="_660_0__123Grap" hidden="1">#REF!</definedName>
    <definedName name="_66ÿ__GSM_In" localSheetId="18">'[29]Capex-C'!#REF!</definedName>
    <definedName name="_66ÿ__GSM_In" localSheetId="29">'[29]Capex-C'!#REF!</definedName>
    <definedName name="_66ÿ__GSM_In" localSheetId="31">'[29]Capex-C'!#REF!</definedName>
    <definedName name="_66ÿ__GSM_In" localSheetId="15">'[29]Capex-C'!#REF!</definedName>
    <definedName name="_66ÿ__GSM_In" localSheetId="13">'[29]Capex-C'!#REF!</definedName>
    <definedName name="_66ÿ__GSM_In" localSheetId="17">'[29]Capex-C'!#REF!</definedName>
    <definedName name="_66ÿ__GSM_In" localSheetId="12">'[29]Capex-C'!#REF!</definedName>
    <definedName name="_66ÿ__GSM_In" localSheetId="22">'[29]Capex-C'!#REF!</definedName>
    <definedName name="_66ÿ__GSM_In" localSheetId="28">'[29]Capex-C'!#REF!</definedName>
    <definedName name="_66ÿ__GSM_In" localSheetId="35">'[29]Capex-C'!#REF!</definedName>
    <definedName name="_66ÿ__GSM_In">'[29]Capex-C'!#REF!</definedName>
    <definedName name="_678_0_0_K" localSheetId="29" hidden="1">[41]useless!#REF!</definedName>
    <definedName name="_678_0_0_K" localSheetId="31" hidden="1">[41]useless!#REF!</definedName>
    <definedName name="_678_0_0_K" localSheetId="28" hidden="1">[41]useless!#REF!</definedName>
    <definedName name="_678_0_0_K" localSheetId="35" hidden="1">[41]useless!#REF!</definedName>
    <definedName name="_678_0_0_K" hidden="1">[41]useless!#REF!</definedName>
    <definedName name="_67ÿ__Invest" localSheetId="18">'[29]Capex-C'!#REF!</definedName>
    <definedName name="_67ÿ__Invest" localSheetId="29">'[29]Capex-C'!#REF!</definedName>
    <definedName name="_67ÿ__Invest" localSheetId="31">'[29]Capex-C'!#REF!</definedName>
    <definedName name="_67ÿ__Invest" localSheetId="15">'[29]Capex-C'!#REF!</definedName>
    <definedName name="_67ÿ__Invest" localSheetId="13">'[29]Capex-C'!#REF!</definedName>
    <definedName name="_67ÿ__Invest" localSheetId="17">'[29]Capex-C'!#REF!</definedName>
    <definedName name="_67ÿ__Invest" localSheetId="12">'[29]Capex-C'!#REF!</definedName>
    <definedName name="_67ÿ__Invest" localSheetId="22">'[29]Capex-C'!#REF!</definedName>
    <definedName name="_67ÿ__Invest" localSheetId="28">'[29]Capex-C'!#REF!</definedName>
    <definedName name="_67ÿ__Invest" localSheetId="35">'[29]Capex-C'!#REF!</definedName>
    <definedName name="_67ÿ__Invest">'[29]Capex-C'!#REF!</definedName>
    <definedName name="_68ÿ__Invest_" localSheetId="18">'[29]Capex-C'!#REF!</definedName>
    <definedName name="_68ÿ__Invest_" localSheetId="29">'[29]Capex-C'!#REF!</definedName>
    <definedName name="_68ÿ__Invest_" localSheetId="31">'[29]Capex-C'!#REF!</definedName>
    <definedName name="_68ÿ__Invest_" localSheetId="15">'[29]Capex-C'!#REF!</definedName>
    <definedName name="_68ÿ__Invest_" localSheetId="13">'[29]Capex-C'!#REF!</definedName>
    <definedName name="_68ÿ__Invest_" localSheetId="17">'[29]Capex-C'!#REF!</definedName>
    <definedName name="_68ÿ__Invest_" localSheetId="12">'[29]Capex-C'!#REF!</definedName>
    <definedName name="_68ÿ__Invest_" localSheetId="22">'[29]Capex-C'!#REF!</definedName>
    <definedName name="_68ÿ__Invest_" localSheetId="28">'[29]Capex-C'!#REF!</definedName>
    <definedName name="_68ÿ__Invest_" localSheetId="35">'[29]Capex-C'!#REF!</definedName>
    <definedName name="_68ÿ__Invest_">'[29]Capex-C'!#REF!</definedName>
    <definedName name="_696_0_0_S" localSheetId="29" hidden="1">[41]useless!#REF!</definedName>
    <definedName name="_696_0_0_S" localSheetId="31" hidden="1">[41]useless!#REF!</definedName>
    <definedName name="_696_0_0_S" localSheetId="28" hidden="1">[41]useless!#REF!</definedName>
    <definedName name="_696_0_0_S" localSheetId="35" hidden="1">[41]useless!#REF!</definedName>
    <definedName name="_696_0_0_S" hidden="1">[41]useless!#REF!</definedName>
    <definedName name="_69ÿ__Invest_Gatew" localSheetId="18">'[29]Capex-C'!#REF!</definedName>
    <definedName name="_69ÿ__Invest_Gatew" localSheetId="29">'[29]Capex-C'!#REF!</definedName>
    <definedName name="_69ÿ__Invest_Gatew" localSheetId="31">'[29]Capex-C'!#REF!</definedName>
    <definedName name="_69ÿ__Invest_Gatew" localSheetId="15">'[29]Capex-C'!#REF!</definedName>
    <definedName name="_69ÿ__Invest_Gatew" localSheetId="13">'[29]Capex-C'!#REF!</definedName>
    <definedName name="_69ÿ__Invest_Gatew" localSheetId="17">'[29]Capex-C'!#REF!</definedName>
    <definedName name="_69ÿ__Invest_Gatew" localSheetId="12">'[29]Capex-C'!#REF!</definedName>
    <definedName name="_69ÿ__Invest_Gatew" localSheetId="22">'[29]Capex-C'!#REF!</definedName>
    <definedName name="_69ÿ__Invest_Gatew" localSheetId="28">'[29]Capex-C'!#REF!</definedName>
    <definedName name="_69ÿ__Invest_Gatew" localSheetId="35">'[29]Capex-C'!#REF!</definedName>
    <definedName name="_69ÿ__Invest_Gatew">'[29]Capex-C'!#REF!</definedName>
    <definedName name="_6C" localSheetId="18">#REF!</definedName>
    <definedName name="_6C" localSheetId="25">#REF!</definedName>
    <definedName name="_6C" localSheetId="29">#REF!</definedName>
    <definedName name="_6C" localSheetId="31">#REF!</definedName>
    <definedName name="_6C" localSheetId="15">#REF!</definedName>
    <definedName name="_6C" localSheetId="13">#REF!</definedName>
    <definedName name="_6C" localSheetId="17">#REF!</definedName>
    <definedName name="_6C" localSheetId="12">#REF!</definedName>
    <definedName name="_6C" localSheetId="22">#REF!</definedName>
    <definedName name="_6C" localSheetId="28">#REF!</definedName>
    <definedName name="_6C" localSheetId="35">#REF!</definedName>
    <definedName name="_6C">#REF!</definedName>
    <definedName name="_6C___0">#N/A</definedName>
    <definedName name="_6C___12">#N/A</definedName>
    <definedName name="_6C___14">#N/A</definedName>
    <definedName name="_6C___16">#N/A</definedName>
    <definedName name="_6C___2">#N/A</definedName>
    <definedName name="_6C___25">#N/A</definedName>
    <definedName name="_6C___26">#N/A</definedName>
    <definedName name="_6C___27">#N/A</definedName>
    <definedName name="_6C___4">#N/A</definedName>
    <definedName name="_6C___5">#N/A</definedName>
    <definedName name="_6C___7">#N/A</definedName>
    <definedName name="_7_" localSheetId="18">#REF!</definedName>
    <definedName name="_7_" localSheetId="25">#REF!</definedName>
    <definedName name="_7_" localSheetId="29">#REF!</definedName>
    <definedName name="_7_" localSheetId="31">#REF!</definedName>
    <definedName name="_7_" localSheetId="15">#REF!</definedName>
    <definedName name="_7_" localSheetId="13">#REF!</definedName>
    <definedName name="_7_" localSheetId="17">#REF!</definedName>
    <definedName name="_7_" localSheetId="12">#REF!</definedName>
    <definedName name="_7_" localSheetId="22">#REF!</definedName>
    <definedName name="_7_" localSheetId="28">#REF!</definedName>
    <definedName name="_7_" localSheetId="35">#REF!</definedName>
    <definedName name="_7_">#REF!</definedName>
    <definedName name="_7_???">#N/A</definedName>
    <definedName name="_7__123Graph_ACHART_1" localSheetId="29" hidden="1">[27]synthgraph!#REF!</definedName>
    <definedName name="_7__123Graph_ACHART_1" localSheetId="31" hidden="1">[27]synthgraph!#REF!</definedName>
    <definedName name="_7__123Graph_ACHART_1" localSheetId="28" hidden="1">[27]synthgraph!#REF!</definedName>
    <definedName name="_7__123Graph_ACHART_1" localSheetId="35" hidden="1">[27]synthgraph!#REF!</definedName>
    <definedName name="_7__123Graph_ACHART_1" hidden="1">[27]synthgraph!#REF!</definedName>
    <definedName name="_7_0" localSheetId="18">#REF!</definedName>
    <definedName name="_7_0" localSheetId="25">#REF!</definedName>
    <definedName name="_7_0" localSheetId="29">#REF!</definedName>
    <definedName name="_7_0" localSheetId="31">#REF!</definedName>
    <definedName name="_7_0" localSheetId="15">#REF!</definedName>
    <definedName name="_7_0" localSheetId="13">#REF!</definedName>
    <definedName name="_7_0" localSheetId="17">#REF!</definedName>
    <definedName name="_7_0" localSheetId="12">#REF!</definedName>
    <definedName name="_7_0" localSheetId="22">#REF!</definedName>
    <definedName name="_7_0" localSheetId="28">#REF!</definedName>
    <definedName name="_7_0" localSheetId="35">#REF!</definedName>
    <definedName name="_7_0">#REF!</definedName>
    <definedName name="_7_0__123Grap" localSheetId="18" hidden="1">#REF!</definedName>
    <definedName name="_7_0__123Grap" localSheetId="25" hidden="1">#REF!</definedName>
    <definedName name="_7_0__123Grap" localSheetId="29" hidden="1">#REF!</definedName>
    <definedName name="_7_0__123Grap" localSheetId="31" hidden="1">#REF!</definedName>
    <definedName name="_7_0__123Grap" localSheetId="15" hidden="1">#REF!</definedName>
    <definedName name="_7_0__123Grap" localSheetId="13" hidden="1">#REF!</definedName>
    <definedName name="_7_0__123Grap" localSheetId="17" hidden="1">#REF!</definedName>
    <definedName name="_7_0__123Grap" localSheetId="12" hidden="1">#REF!</definedName>
    <definedName name="_7_0__123Grap" localSheetId="22" hidden="1">#REF!</definedName>
    <definedName name="_7_0__123Grap" localSheetId="28" hidden="1">#REF!</definedName>
    <definedName name="_7_0__123Grap" localSheetId="35" hidden="1">#REF!</definedName>
    <definedName name="_7_0__123Grap" hidden="1">#REF!</definedName>
    <definedName name="_7_0KRa" localSheetId="18">#REF!</definedName>
    <definedName name="_7_0KRa" localSheetId="25">#REF!</definedName>
    <definedName name="_7_0KRa" localSheetId="29">#REF!</definedName>
    <definedName name="_7_0KRa" localSheetId="31">#REF!</definedName>
    <definedName name="_7_0KRa" localSheetId="15">#REF!</definedName>
    <definedName name="_7_0KRa" localSheetId="13">#REF!</definedName>
    <definedName name="_7_0KRa" localSheetId="17">#REF!</definedName>
    <definedName name="_7_0KRa" localSheetId="12">#REF!</definedName>
    <definedName name="_7_0KRa" localSheetId="22">#REF!</definedName>
    <definedName name="_7_0KRa" localSheetId="28">#REF!</definedName>
    <definedName name="_7_0KRa" localSheetId="35">#REF!</definedName>
    <definedName name="_7_0KRa">#REF!</definedName>
    <definedName name="_7_1Budget_PAF_03">#N/A</definedName>
    <definedName name="_70ÿ__Invest_Microw" localSheetId="18">'[29]Capex-C'!#REF!</definedName>
    <definedName name="_70ÿ__Invest_Microw" localSheetId="29">'[29]Capex-C'!#REF!</definedName>
    <definedName name="_70ÿ__Invest_Microw" localSheetId="31">'[29]Capex-C'!#REF!</definedName>
    <definedName name="_70ÿ__Invest_Microw" localSheetId="15">'[29]Capex-C'!#REF!</definedName>
    <definedName name="_70ÿ__Invest_Microw" localSheetId="13">'[29]Capex-C'!#REF!</definedName>
    <definedName name="_70ÿ__Invest_Microw" localSheetId="17">'[29]Capex-C'!#REF!</definedName>
    <definedName name="_70ÿ__Invest_Microw" localSheetId="12">'[29]Capex-C'!#REF!</definedName>
    <definedName name="_70ÿ__Invest_Microw" localSheetId="22">'[29]Capex-C'!#REF!</definedName>
    <definedName name="_70ÿ__Invest_Microw" localSheetId="28">'[29]Capex-C'!#REF!</definedName>
    <definedName name="_70ÿ__Invest_Microw" localSheetId="35">'[29]Capex-C'!#REF!</definedName>
    <definedName name="_70ÿ__Invest_Microw">'[29]Capex-C'!#REF!</definedName>
    <definedName name="_71_1Budget_PAF_03">#N/A</definedName>
    <definedName name="_71ÿ__Number" localSheetId="18">'[29]Capex-C'!#REF!</definedName>
    <definedName name="_71ÿ__Number" localSheetId="29">'[29]Capex-C'!#REF!</definedName>
    <definedName name="_71ÿ__Number" localSheetId="31">'[29]Capex-C'!#REF!</definedName>
    <definedName name="_71ÿ__Number" localSheetId="15">'[29]Capex-C'!#REF!</definedName>
    <definedName name="_71ÿ__Number" localSheetId="13">'[29]Capex-C'!#REF!</definedName>
    <definedName name="_71ÿ__Number" localSheetId="17">'[29]Capex-C'!#REF!</definedName>
    <definedName name="_71ÿ__Number" localSheetId="12">'[29]Capex-C'!#REF!</definedName>
    <definedName name="_71ÿ__Number" localSheetId="22">'[29]Capex-C'!#REF!</definedName>
    <definedName name="_71ÿ__Number" localSheetId="28">'[29]Capex-C'!#REF!</definedName>
    <definedName name="_71ÿ__Number" localSheetId="35">'[29]Capex-C'!#REF!</definedName>
    <definedName name="_71ÿ__Number">'[29]Capex-C'!#REF!</definedName>
    <definedName name="_71ÿ_0Rev_In_Ca" localSheetId="18">#REF!</definedName>
    <definedName name="_71ÿ_0Rev_In_Ca" localSheetId="25">#REF!</definedName>
    <definedName name="_71ÿ_0Rev_In_Ca" localSheetId="29">#REF!</definedName>
    <definedName name="_71ÿ_0Rev_In_Ca" localSheetId="31">#REF!</definedName>
    <definedName name="_71ÿ_0Rev_In_Ca" localSheetId="15">#REF!</definedName>
    <definedName name="_71ÿ_0Rev_In_Ca" localSheetId="13">#REF!</definedName>
    <definedName name="_71ÿ_0Rev_In_Ca" localSheetId="17">#REF!</definedName>
    <definedName name="_71ÿ_0Rev_In_Ca" localSheetId="12">#REF!</definedName>
    <definedName name="_71ÿ_0Rev_In_Ca" localSheetId="22">#REF!</definedName>
    <definedName name="_71ÿ_0Rev_In_Ca" localSheetId="28">#REF!</definedName>
    <definedName name="_71ÿ_0Rev_In_Ca" localSheetId="35">#REF!</definedName>
    <definedName name="_71ÿ_0Rev_In_Ca">#REF!</definedName>
    <definedName name="_72__123Graph_BCHART_5" localSheetId="29" hidden="1">[31]MEX95IB!#REF!</definedName>
    <definedName name="_72__123Graph_BCHART_5" localSheetId="31" hidden="1">[31]MEX95IB!#REF!</definedName>
    <definedName name="_72__123Graph_BCHART_5" localSheetId="28" hidden="1">[31]MEX95IB!#REF!</definedName>
    <definedName name="_72__123Graph_BCHART_5" localSheetId="35" hidden="1">[31]MEX95IB!#REF!</definedName>
    <definedName name="_72__123Graph_BCHART_5" hidden="1">[31]MEX95IB!#REF!</definedName>
    <definedName name="_72_1BudgetPôleFixe03">#N/A</definedName>
    <definedName name="_72ÿ__Number_" localSheetId="18">'[29]Capex-C'!#REF!</definedName>
    <definedName name="_72ÿ__Number_" localSheetId="29">'[29]Capex-C'!#REF!</definedName>
    <definedName name="_72ÿ__Number_" localSheetId="31">'[29]Capex-C'!#REF!</definedName>
    <definedName name="_72ÿ__Number_" localSheetId="15">'[29]Capex-C'!#REF!</definedName>
    <definedName name="_72ÿ__Number_" localSheetId="13">'[29]Capex-C'!#REF!</definedName>
    <definedName name="_72ÿ__Number_" localSheetId="17">'[29]Capex-C'!#REF!</definedName>
    <definedName name="_72ÿ__Number_" localSheetId="12">'[29]Capex-C'!#REF!</definedName>
    <definedName name="_72ÿ__Number_" localSheetId="22">'[29]Capex-C'!#REF!</definedName>
    <definedName name="_72ÿ__Number_" localSheetId="28">'[29]Capex-C'!#REF!</definedName>
    <definedName name="_72ÿ__Number_" localSheetId="35">'[29]Capex-C'!#REF!</definedName>
    <definedName name="_72ÿ__Number_">'[29]Capex-C'!#REF!</definedName>
    <definedName name="_73ÿ__Number_Gatew" localSheetId="18">'[29]Capex-C'!#REF!</definedName>
    <definedName name="_73ÿ__Number_Gatew" localSheetId="29">'[29]Capex-C'!#REF!</definedName>
    <definedName name="_73ÿ__Number_Gatew" localSheetId="31">'[29]Capex-C'!#REF!</definedName>
    <definedName name="_73ÿ__Number_Gatew" localSheetId="15">'[29]Capex-C'!#REF!</definedName>
    <definedName name="_73ÿ__Number_Gatew" localSheetId="13">'[29]Capex-C'!#REF!</definedName>
    <definedName name="_73ÿ__Number_Gatew" localSheetId="17">'[29]Capex-C'!#REF!</definedName>
    <definedName name="_73ÿ__Number_Gatew" localSheetId="12">'[29]Capex-C'!#REF!</definedName>
    <definedName name="_73ÿ__Number_Gatew" localSheetId="22">'[29]Capex-C'!#REF!</definedName>
    <definedName name="_73ÿ__Number_Gatew" localSheetId="28">'[29]Capex-C'!#REF!</definedName>
    <definedName name="_73ÿ__Number_Gatew" localSheetId="35">'[29]Capex-C'!#REF!</definedName>
    <definedName name="_73ÿ__Number_Gatew">'[29]Capex-C'!#REF!</definedName>
    <definedName name="_74ÿ__Number_Microw" localSheetId="18">'[29]Capex-C'!#REF!</definedName>
    <definedName name="_74ÿ__Number_Microw" localSheetId="29">'[29]Capex-C'!#REF!</definedName>
    <definedName name="_74ÿ__Number_Microw" localSheetId="31">'[29]Capex-C'!#REF!</definedName>
    <definedName name="_74ÿ__Number_Microw" localSheetId="15">'[29]Capex-C'!#REF!</definedName>
    <definedName name="_74ÿ__Number_Microw" localSheetId="13">'[29]Capex-C'!#REF!</definedName>
    <definedName name="_74ÿ__Number_Microw" localSheetId="17">'[29]Capex-C'!#REF!</definedName>
    <definedName name="_74ÿ__Number_Microw" localSheetId="12">'[29]Capex-C'!#REF!</definedName>
    <definedName name="_74ÿ__Number_Microw" localSheetId="22">'[29]Capex-C'!#REF!</definedName>
    <definedName name="_74ÿ__Number_Microw" localSheetId="28">'[29]Capex-C'!#REF!</definedName>
    <definedName name="_74ÿ__Number_Microw" localSheetId="35">'[29]Capex-C'!#REF!</definedName>
    <definedName name="_74ÿ__Number_Microw">'[29]Capex-C'!#REF!</definedName>
    <definedName name="_75ÿ__Price" localSheetId="18">'[29]Capex-C'!#REF!</definedName>
    <definedName name="_75ÿ__Price" localSheetId="29">'[29]Capex-C'!#REF!</definedName>
    <definedName name="_75ÿ__Price" localSheetId="31">'[29]Capex-C'!#REF!</definedName>
    <definedName name="_75ÿ__Price" localSheetId="15">'[29]Capex-C'!#REF!</definedName>
    <definedName name="_75ÿ__Price" localSheetId="13">'[29]Capex-C'!#REF!</definedName>
    <definedName name="_75ÿ__Price" localSheetId="17">'[29]Capex-C'!#REF!</definedName>
    <definedName name="_75ÿ__Price" localSheetId="12">'[29]Capex-C'!#REF!</definedName>
    <definedName name="_75ÿ__Price" localSheetId="22">'[29]Capex-C'!#REF!</definedName>
    <definedName name="_75ÿ__Price" localSheetId="28">'[29]Capex-C'!#REF!</definedName>
    <definedName name="_75ÿ__Price" localSheetId="35">'[29]Capex-C'!#REF!</definedName>
    <definedName name="_75ÿ__Price">'[29]Capex-C'!#REF!</definedName>
    <definedName name="_76_0__123Grap" localSheetId="18" hidden="1">#REF!</definedName>
    <definedName name="_76_0__123Grap" localSheetId="25" hidden="1">#REF!</definedName>
    <definedName name="_76_0__123Grap" localSheetId="29" hidden="1">#REF!</definedName>
    <definedName name="_76_0__123Grap" localSheetId="31" hidden="1">#REF!</definedName>
    <definedName name="_76_0__123Grap" localSheetId="15" hidden="1">#REF!</definedName>
    <definedName name="_76_0__123Grap" localSheetId="13" hidden="1">#REF!</definedName>
    <definedName name="_76_0__123Grap" localSheetId="17" hidden="1">#REF!</definedName>
    <definedName name="_76_0__123Grap" localSheetId="12" hidden="1">#REF!</definedName>
    <definedName name="_76_0__123Grap" localSheetId="22" hidden="1">#REF!</definedName>
    <definedName name="_76_0__123Grap" localSheetId="28" hidden="1">#REF!</definedName>
    <definedName name="_76_0__123Grap" localSheetId="35" hidden="1">#REF!</definedName>
    <definedName name="_76_0__123Grap" hidden="1">#REF!</definedName>
    <definedName name="_76ÿ__Price_" localSheetId="18">'[29]Capex-C'!#REF!</definedName>
    <definedName name="_76ÿ__Price_" localSheetId="29">'[29]Capex-C'!#REF!</definedName>
    <definedName name="_76ÿ__Price_" localSheetId="31">'[29]Capex-C'!#REF!</definedName>
    <definedName name="_76ÿ__Price_" localSheetId="15">'[29]Capex-C'!#REF!</definedName>
    <definedName name="_76ÿ__Price_" localSheetId="13">'[29]Capex-C'!#REF!</definedName>
    <definedName name="_76ÿ__Price_" localSheetId="17">'[29]Capex-C'!#REF!</definedName>
    <definedName name="_76ÿ__Price_" localSheetId="12">'[29]Capex-C'!#REF!</definedName>
    <definedName name="_76ÿ__Price_" localSheetId="22">'[29]Capex-C'!#REF!</definedName>
    <definedName name="_76ÿ__Price_" localSheetId="28">'[29]Capex-C'!#REF!</definedName>
    <definedName name="_76ÿ__Price_" localSheetId="35">'[29]Capex-C'!#REF!</definedName>
    <definedName name="_76ÿ__Price_">'[29]Capex-C'!#REF!</definedName>
    <definedName name="_77ÿ__Price_Gate" localSheetId="18">'[29]Capex-C'!#REF!</definedName>
    <definedName name="_77ÿ__Price_Gate" localSheetId="29">'[29]Capex-C'!#REF!</definedName>
    <definedName name="_77ÿ__Price_Gate" localSheetId="31">'[29]Capex-C'!#REF!</definedName>
    <definedName name="_77ÿ__Price_Gate" localSheetId="15">'[29]Capex-C'!#REF!</definedName>
    <definedName name="_77ÿ__Price_Gate" localSheetId="13">'[29]Capex-C'!#REF!</definedName>
    <definedName name="_77ÿ__Price_Gate" localSheetId="17">'[29]Capex-C'!#REF!</definedName>
    <definedName name="_77ÿ__Price_Gate" localSheetId="12">'[29]Capex-C'!#REF!</definedName>
    <definedName name="_77ÿ__Price_Gate" localSheetId="22">'[29]Capex-C'!#REF!</definedName>
    <definedName name="_77ÿ__Price_Gate" localSheetId="28">'[29]Capex-C'!#REF!</definedName>
    <definedName name="_77ÿ__Price_Gate" localSheetId="35">'[29]Capex-C'!#REF!</definedName>
    <definedName name="_77ÿ__Price_Gate">'[29]Capex-C'!#REF!</definedName>
    <definedName name="_78_0_0_K" localSheetId="18" hidden="1">[41]useless!#REF!</definedName>
    <definedName name="_78_0_0_K" localSheetId="29" hidden="1">[41]useless!#REF!</definedName>
    <definedName name="_78_0_0_K" localSheetId="31" hidden="1">[41]useless!#REF!</definedName>
    <definedName name="_78_0_0_K" localSheetId="15" hidden="1">[41]useless!#REF!</definedName>
    <definedName name="_78_0_0_K" localSheetId="13" hidden="1">[41]useless!#REF!</definedName>
    <definedName name="_78_0_0_K" localSheetId="17" hidden="1">[41]useless!#REF!</definedName>
    <definedName name="_78_0_0_K" localSheetId="12" hidden="1">[41]useless!#REF!</definedName>
    <definedName name="_78_0_0_K" localSheetId="22" hidden="1">[41]useless!#REF!</definedName>
    <definedName name="_78_0_0_K" localSheetId="28" hidden="1">[41]useless!#REF!</definedName>
    <definedName name="_78_0_0_K" localSheetId="35" hidden="1">[41]useless!#REF!</definedName>
    <definedName name="_78_0_0_K" hidden="1">[41]useless!#REF!</definedName>
    <definedName name="_78ÿ__Price_Microw" localSheetId="18">'[29]Capex-C'!#REF!</definedName>
    <definedName name="_78ÿ__Price_Microw" localSheetId="29">'[29]Capex-C'!#REF!</definedName>
    <definedName name="_78ÿ__Price_Microw" localSheetId="31">'[29]Capex-C'!#REF!</definedName>
    <definedName name="_78ÿ__Price_Microw" localSheetId="15">'[29]Capex-C'!#REF!</definedName>
    <definedName name="_78ÿ__Price_Microw" localSheetId="13">'[29]Capex-C'!#REF!</definedName>
    <definedName name="_78ÿ__Price_Microw" localSheetId="17">'[29]Capex-C'!#REF!</definedName>
    <definedName name="_78ÿ__Price_Microw" localSheetId="12">'[29]Capex-C'!#REF!</definedName>
    <definedName name="_78ÿ__Price_Microw" localSheetId="22">'[29]Capex-C'!#REF!</definedName>
    <definedName name="_78ÿ__Price_Microw" localSheetId="28">'[29]Capex-C'!#REF!</definedName>
    <definedName name="_78ÿ__Price_Microw" localSheetId="35">'[29]Capex-C'!#REF!</definedName>
    <definedName name="_78ÿ__Price_Microw">'[29]Capex-C'!#REF!</definedName>
    <definedName name="_79ÿ__Rev_In_Ca" localSheetId="18">#REF!</definedName>
    <definedName name="_79ÿ__Rev_In_Ca" localSheetId="25">#REF!</definedName>
    <definedName name="_79ÿ__Rev_In_Ca" localSheetId="29">#REF!</definedName>
    <definedName name="_79ÿ__Rev_In_Ca" localSheetId="31">#REF!</definedName>
    <definedName name="_79ÿ__Rev_In_Ca" localSheetId="15">#REF!</definedName>
    <definedName name="_79ÿ__Rev_In_Ca" localSheetId="13">#REF!</definedName>
    <definedName name="_79ÿ__Rev_In_Ca" localSheetId="17">#REF!</definedName>
    <definedName name="_79ÿ__Rev_In_Ca" localSheetId="12">#REF!</definedName>
    <definedName name="_79ÿ__Rev_In_Ca" localSheetId="22">#REF!</definedName>
    <definedName name="_79ÿ__Rev_In_Ca" localSheetId="28">#REF!</definedName>
    <definedName name="_79ÿ__Rev_In_Ca" localSheetId="35">#REF!</definedName>
    <definedName name="_79ÿ__Rev_In_Ca">#REF!</definedName>
    <definedName name="_8_" localSheetId="18">#REF!</definedName>
    <definedName name="_8_" localSheetId="25">#REF!</definedName>
    <definedName name="_8_" localSheetId="29">#REF!</definedName>
    <definedName name="_8_" localSheetId="31">#REF!</definedName>
    <definedName name="_8_" localSheetId="15">#REF!</definedName>
    <definedName name="_8_" localSheetId="13">#REF!</definedName>
    <definedName name="_8_" localSheetId="17">#REF!</definedName>
    <definedName name="_8_" localSheetId="12">#REF!</definedName>
    <definedName name="_8_" localSheetId="22">#REF!</definedName>
    <definedName name="_8_" localSheetId="28">#REF!</definedName>
    <definedName name="_8_" localSheetId="35">#REF!</definedName>
    <definedName name="_8_">#REF!</definedName>
    <definedName name="_8__123Graph_ACHART_2" hidden="1">'[28]synthgraph DCF'!$G$7:$G$7</definedName>
    <definedName name="_8_0" localSheetId="18">#REF!</definedName>
    <definedName name="_8_0" localSheetId="25">#REF!</definedName>
    <definedName name="_8_0" localSheetId="29">#REF!</definedName>
    <definedName name="_8_0" localSheetId="31">#REF!</definedName>
    <definedName name="_8_0" localSheetId="15">#REF!</definedName>
    <definedName name="_8_0" localSheetId="13">#REF!</definedName>
    <definedName name="_8_0" localSheetId="17">#REF!</definedName>
    <definedName name="_8_0" localSheetId="12">#REF!</definedName>
    <definedName name="_8_0" localSheetId="22">#REF!</definedName>
    <definedName name="_8_0" localSheetId="28">#REF!</definedName>
    <definedName name="_8_0" localSheetId="35">#REF!</definedName>
    <definedName name="_8_0">#REF!</definedName>
    <definedName name="_8_0__123Grap" localSheetId="18" hidden="1">#REF!</definedName>
    <definedName name="_8_0__123Grap" localSheetId="25" hidden="1">#REF!</definedName>
    <definedName name="_8_0__123Grap" localSheetId="29" hidden="1">#REF!</definedName>
    <definedName name="_8_0__123Grap" localSheetId="31" hidden="1">#REF!</definedName>
    <definedName name="_8_0__123Grap" localSheetId="15" hidden="1">#REF!</definedName>
    <definedName name="_8_0__123Grap" localSheetId="13" hidden="1">#REF!</definedName>
    <definedName name="_8_0__123Grap" localSheetId="17" hidden="1">#REF!</definedName>
    <definedName name="_8_0__123Grap" localSheetId="12" hidden="1">#REF!</definedName>
    <definedName name="_8_0__123Grap" localSheetId="22" hidden="1">#REF!</definedName>
    <definedName name="_8_0__123Grap" localSheetId="28" hidden="1">#REF!</definedName>
    <definedName name="_8_0__123Grap" localSheetId="35" hidden="1">#REF!</definedName>
    <definedName name="_8_0__123Grap" hidden="1">#REF!</definedName>
    <definedName name="_8_0KRa" localSheetId="18">'[46]SC - Marketing'!#REF!</definedName>
    <definedName name="_8_0KRa" localSheetId="29">'[46]SC - Marketing'!#REF!</definedName>
    <definedName name="_8_0KRa" localSheetId="31">'[46]SC - Marketing'!#REF!</definedName>
    <definedName name="_8_0KRa" localSheetId="15">'[46]SC - Marketing'!#REF!</definedName>
    <definedName name="_8_0KRa" localSheetId="13">'[46]SC - Marketing'!#REF!</definedName>
    <definedName name="_8_0KRa" localSheetId="17">'[46]SC - Marketing'!#REF!</definedName>
    <definedName name="_8_0KRa" localSheetId="12">'[46]SC - Marketing'!#REF!</definedName>
    <definedName name="_8_0KRa" localSheetId="22">'[46]SC - Marketing'!#REF!</definedName>
    <definedName name="_8_0KRa" localSheetId="28">'[46]SC - Marketing'!#REF!</definedName>
    <definedName name="_8_0KRa" localSheetId="35">'[46]SC - Marketing'!#REF!</definedName>
    <definedName name="_8_0KRa">'[46]SC - Marketing'!#REF!</definedName>
    <definedName name="_8_0S" localSheetId="18">'[30]#REF'!#REF!</definedName>
    <definedName name="_8_0S" localSheetId="29">'[30]#REF'!#REF!</definedName>
    <definedName name="_8_0S" localSheetId="31">'[30]#REF'!#REF!</definedName>
    <definedName name="_8_0S" localSheetId="15">'[30]#REF'!#REF!</definedName>
    <definedName name="_8_0S" localSheetId="13">'[30]#REF'!#REF!</definedName>
    <definedName name="_8_0S" localSheetId="17">'[30]#REF'!#REF!</definedName>
    <definedName name="_8_0S" localSheetId="12">'[30]#REF'!#REF!</definedName>
    <definedName name="_8_0S" localSheetId="22">'[30]#REF'!#REF!</definedName>
    <definedName name="_8_0S" localSheetId="28">'[30]#REF'!#REF!</definedName>
    <definedName name="_8_0S" localSheetId="35">'[30]#REF'!#REF!</definedName>
    <definedName name="_8_0S">'[30]#REF'!#REF!</definedName>
    <definedName name="_8_123Grap" hidden="1">#N/A</definedName>
    <definedName name="_8_1BudgetPôleFixe03">#N/A</definedName>
    <definedName name="_80_0_0_S" localSheetId="18" hidden="1">[41]useless!#REF!</definedName>
    <definedName name="_80_0_0_S" localSheetId="29" hidden="1">[41]useless!#REF!</definedName>
    <definedName name="_80_0_0_S" localSheetId="31" hidden="1">[41]useless!#REF!</definedName>
    <definedName name="_80_0_0_S" localSheetId="15" hidden="1">[41]useless!#REF!</definedName>
    <definedName name="_80_0_0_S" localSheetId="13" hidden="1">[41]useless!#REF!</definedName>
    <definedName name="_80_0_0_S" localSheetId="17" hidden="1">[41]useless!#REF!</definedName>
    <definedName name="_80_0_0_S" localSheetId="12" hidden="1">[41]useless!#REF!</definedName>
    <definedName name="_80_0_0_S" localSheetId="22" hidden="1">[41]useless!#REF!</definedName>
    <definedName name="_80_0_0_S" localSheetId="28" hidden="1">[41]useless!#REF!</definedName>
    <definedName name="_80_0_0_S" localSheetId="35" hidden="1">[41]useless!#REF!</definedName>
    <definedName name="_80_0_0_S" hidden="1">[41]useless!#REF!</definedName>
    <definedName name="_80ÿ__Tot_Fixed_Ass" localSheetId="18">'[29]Capex-C'!#REF!</definedName>
    <definedName name="_80ÿ__Tot_Fixed_Ass" localSheetId="29">'[29]Capex-C'!#REF!</definedName>
    <definedName name="_80ÿ__Tot_Fixed_Ass" localSheetId="31">'[29]Capex-C'!#REF!</definedName>
    <definedName name="_80ÿ__Tot_Fixed_Ass" localSheetId="15">'[29]Capex-C'!#REF!</definedName>
    <definedName name="_80ÿ__Tot_Fixed_Ass" localSheetId="13">'[29]Capex-C'!#REF!</definedName>
    <definedName name="_80ÿ__Tot_Fixed_Ass" localSheetId="17">'[29]Capex-C'!#REF!</definedName>
    <definedName name="_80ÿ__Tot_Fixed_Ass" localSheetId="12">'[29]Capex-C'!#REF!</definedName>
    <definedName name="_80ÿ__Tot_Fixed_Ass" localSheetId="22">'[29]Capex-C'!#REF!</definedName>
    <definedName name="_80ÿ__Tot_Fixed_Ass" localSheetId="28">'[29]Capex-C'!#REF!</definedName>
    <definedName name="_80ÿ__Tot_Fixed_Ass" localSheetId="35">'[29]Capex-C'!#REF!</definedName>
    <definedName name="_80ÿ__Tot_Fixed_Ass">'[29]Capex-C'!#REF!</definedName>
    <definedName name="_84_" localSheetId="18">#REF!</definedName>
    <definedName name="_84_" localSheetId="25">#REF!</definedName>
    <definedName name="_84_" localSheetId="29">#REF!</definedName>
    <definedName name="_84_" localSheetId="31">#REF!</definedName>
    <definedName name="_84_" localSheetId="15">#REF!</definedName>
    <definedName name="_84_" localSheetId="13">#REF!</definedName>
    <definedName name="_84_" localSheetId="17">#REF!</definedName>
    <definedName name="_84_" localSheetId="12">#REF!</definedName>
    <definedName name="_84_" localSheetId="22">#REF!</definedName>
    <definedName name="_84_" localSheetId="28">#REF!</definedName>
    <definedName name="_84_" localSheetId="35">#REF!</definedName>
    <definedName name="_84_">#REF!</definedName>
    <definedName name="_9__123Graph_ACHART_3" localSheetId="29" hidden="1">#REF!</definedName>
    <definedName name="_9__123Graph_ACHART_3" localSheetId="31" hidden="1">#REF!</definedName>
    <definedName name="_9__123Graph_ACHART_3" localSheetId="28" hidden="1">#REF!</definedName>
    <definedName name="_9__123Graph_ACHART_3" localSheetId="35" hidden="1">#REF!</definedName>
    <definedName name="_9__123Graph_ACHART_3" hidden="1">#REF!</definedName>
    <definedName name="_9_0" localSheetId="18">#REF!</definedName>
    <definedName name="_9_0" localSheetId="25">#REF!</definedName>
    <definedName name="_9_0" localSheetId="29">#REF!</definedName>
    <definedName name="_9_0" localSheetId="31">#REF!</definedName>
    <definedName name="_9_0" localSheetId="15">#REF!</definedName>
    <definedName name="_9_0" localSheetId="13">#REF!</definedName>
    <definedName name="_9_0" localSheetId="17">#REF!</definedName>
    <definedName name="_9_0" localSheetId="12">#REF!</definedName>
    <definedName name="_9_0" localSheetId="22">#REF!</definedName>
    <definedName name="_9_0" localSheetId="28">#REF!</definedName>
    <definedName name="_9_0" localSheetId="35">#REF!</definedName>
    <definedName name="_9_0">#REF!</definedName>
    <definedName name="_9_0KRa" localSheetId="18">'[23]SC - Marketing'!#REF!</definedName>
    <definedName name="_9_0KRa" localSheetId="29">'[23]SC - Marketing'!#REF!</definedName>
    <definedName name="_9_0KRa" localSheetId="31">'[23]SC - Marketing'!#REF!</definedName>
    <definedName name="_9_0KRa" localSheetId="15">'[23]SC - Marketing'!#REF!</definedName>
    <definedName name="_9_0KRa" localSheetId="13">'[23]SC - Marketing'!#REF!</definedName>
    <definedName name="_9_0KRa" localSheetId="17">'[23]SC - Marketing'!#REF!</definedName>
    <definedName name="_9_0KRa" localSheetId="12">'[23]SC - Marketing'!#REF!</definedName>
    <definedName name="_9_0KRa" localSheetId="22">'[23]SC - Marketing'!#REF!</definedName>
    <definedName name="_9_0KRa" localSheetId="28">'[23]SC - Marketing'!#REF!</definedName>
    <definedName name="_9_0KRa" localSheetId="35">'[23]SC - Marketing'!#REF!</definedName>
    <definedName name="_9_0KRa">'[23]SC - Marketing'!#REF!</definedName>
    <definedName name="_9_0S" localSheetId="18">#REF!</definedName>
    <definedName name="_9_0S" localSheetId="25">#REF!</definedName>
    <definedName name="_9_0S" localSheetId="29">#REF!</definedName>
    <definedName name="_9_0S" localSheetId="31">#REF!</definedName>
    <definedName name="_9_0S" localSheetId="15">#REF!</definedName>
    <definedName name="_9_0S" localSheetId="13">#REF!</definedName>
    <definedName name="_9_0S" localSheetId="17">#REF!</definedName>
    <definedName name="_9_0S" localSheetId="12">#REF!</definedName>
    <definedName name="_9_0S" localSheetId="22">#REF!</definedName>
    <definedName name="_9_0S" localSheetId="28">#REF!</definedName>
    <definedName name="_9_0S" localSheetId="35">#REF!</definedName>
    <definedName name="_9_0S">#REF!</definedName>
    <definedName name="_9_1Budget_PAF_03">#N/A</definedName>
    <definedName name="_90__123Graph_DCHART_1" localSheetId="29" hidden="1">[27]synthgraph!#REF!</definedName>
    <definedName name="_90__123Graph_DCHART_1" localSheetId="31" hidden="1">[27]synthgraph!#REF!</definedName>
    <definedName name="_90__123Graph_DCHART_1" localSheetId="28" hidden="1">[27]synthgraph!#REF!</definedName>
    <definedName name="_90__123Graph_DCHART_1" localSheetId="35" hidden="1">[27]synthgraph!#REF!</definedName>
    <definedName name="_90__123Graph_DCHART_1" hidden="1">[27]synthgraph!#REF!</definedName>
    <definedName name="_91__123Graph_DCHART_2" hidden="1">'[28]synthgraph DCF'!$L$7:$L$7</definedName>
    <definedName name="_92_0S" localSheetId="18">#REF!</definedName>
    <definedName name="_92_0S" localSheetId="25">#REF!</definedName>
    <definedName name="_92_0S" localSheetId="29">#REF!</definedName>
    <definedName name="_92_0S" localSheetId="31">#REF!</definedName>
    <definedName name="_92_0S" localSheetId="15">#REF!</definedName>
    <definedName name="_92_0S" localSheetId="13">#REF!</definedName>
    <definedName name="_92_0S" localSheetId="17">#REF!</definedName>
    <definedName name="_92_0S" localSheetId="12">#REF!</definedName>
    <definedName name="_92_0S" localSheetId="22">#REF!</definedName>
    <definedName name="_92_0S" localSheetId="28">#REF!</definedName>
    <definedName name="_92_0S" localSheetId="35">#REF!</definedName>
    <definedName name="_92_0S">#REF!</definedName>
    <definedName name="_94" localSheetId="18">#REF!</definedName>
    <definedName name="_94" localSheetId="25">#REF!</definedName>
    <definedName name="_94" localSheetId="29">#REF!</definedName>
    <definedName name="_94" localSheetId="31">#REF!</definedName>
    <definedName name="_94" localSheetId="15">#REF!</definedName>
    <definedName name="_94" localSheetId="13">#REF!</definedName>
    <definedName name="_94" localSheetId="17">#REF!</definedName>
    <definedName name="_94" localSheetId="12">#REF!</definedName>
    <definedName name="_94" localSheetId="22">#REF!</definedName>
    <definedName name="_94" localSheetId="28">#REF!</definedName>
    <definedName name="_94" localSheetId="35">#REF!</definedName>
    <definedName name="_94">#REF!</definedName>
    <definedName name="_94___0">#N/A</definedName>
    <definedName name="_94___12">#N/A</definedName>
    <definedName name="_94___14">#N/A</definedName>
    <definedName name="_94___16">#N/A</definedName>
    <definedName name="_94___2">#N/A</definedName>
    <definedName name="_94___25">#N/A</definedName>
    <definedName name="_94___26">#N/A</definedName>
    <definedName name="_94___27">#N/A</definedName>
    <definedName name="_94___4">#N/A</definedName>
    <definedName name="_94___5">#N/A</definedName>
    <definedName name="_94___7">#N/A</definedName>
    <definedName name="_98_1Budget_PAF_03">[13]Bud_OPEX_Analytique_DAL_04!$A$6:$R$44</definedName>
    <definedName name="_A10">[47]SV161!$C$19:$S$19</definedName>
    <definedName name="_A16">[47]SV161!$C$21:$S$21</definedName>
    <definedName name="_A30">[47]SV161!$C$22:$S$22</definedName>
    <definedName name="_A40">[47]SV161!$C$23:$S$23</definedName>
    <definedName name="_A50">[47]SV161!$C$24:$S$24</definedName>
    <definedName name="_aaa1" localSheetId="18">#REF!</definedName>
    <definedName name="_aaa1" localSheetId="25">#REF!</definedName>
    <definedName name="_aaa1" localSheetId="29">#REF!</definedName>
    <definedName name="_aaa1" localSheetId="31">#REF!</definedName>
    <definedName name="_aaa1" localSheetId="15">#REF!</definedName>
    <definedName name="_aaa1" localSheetId="13">#REF!</definedName>
    <definedName name="_aaa1" localSheetId="17">#REF!</definedName>
    <definedName name="_aaa1" localSheetId="12">#REF!</definedName>
    <definedName name="_aaa1" localSheetId="22">#REF!</definedName>
    <definedName name="_aaa1" localSheetId="28">#REF!</definedName>
    <definedName name="_aaa1" localSheetId="35">#REF!</definedName>
    <definedName name="_aaa1">#REF!</definedName>
    <definedName name="_aaa2" localSheetId="18">#REF!</definedName>
    <definedName name="_aaa2" localSheetId="25">#REF!</definedName>
    <definedName name="_aaa2" localSheetId="29">#REF!</definedName>
    <definedName name="_aaa2" localSheetId="31">#REF!</definedName>
    <definedName name="_aaa2" localSheetId="15">#REF!</definedName>
    <definedName name="_aaa2" localSheetId="13">#REF!</definedName>
    <definedName name="_aaa2" localSheetId="17">#REF!</definedName>
    <definedName name="_aaa2" localSheetId="12">#REF!</definedName>
    <definedName name="_aaa2" localSheetId="22">#REF!</definedName>
    <definedName name="_aaa2" localSheetId="28">#REF!</definedName>
    <definedName name="_aaa2" localSheetId="35">#REF!</definedName>
    <definedName name="_aaa2">#REF!</definedName>
    <definedName name="_aaa3" localSheetId="18">#REF!</definedName>
    <definedName name="_aaa3" localSheetId="25">#REF!</definedName>
    <definedName name="_aaa3" localSheetId="29">#REF!</definedName>
    <definedName name="_aaa3" localSheetId="31">#REF!</definedName>
    <definedName name="_aaa3" localSheetId="15">#REF!</definedName>
    <definedName name="_aaa3" localSheetId="13">#REF!</definedName>
    <definedName name="_aaa3" localSheetId="17">#REF!</definedName>
    <definedName name="_aaa3" localSheetId="12">#REF!</definedName>
    <definedName name="_aaa3" localSheetId="22">#REF!</definedName>
    <definedName name="_aaa3" localSheetId="28">#REF!</definedName>
    <definedName name="_aaa3" localSheetId="35">#REF!</definedName>
    <definedName name="_aaa3">#REF!</definedName>
    <definedName name="_aaa4" localSheetId="18">#REF!</definedName>
    <definedName name="_aaa4" localSheetId="25">#REF!</definedName>
    <definedName name="_aaa4" localSheetId="29">#REF!</definedName>
    <definedName name="_aaa4" localSheetId="31">#REF!</definedName>
    <definedName name="_aaa4" localSheetId="15">#REF!</definedName>
    <definedName name="_aaa4" localSheetId="13">#REF!</definedName>
    <definedName name="_aaa4" localSheetId="17">#REF!</definedName>
    <definedName name="_aaa4" localSheetId="12">#REF!</definedName>
    <definedName name="_aaa4" localSheetId="22">#REF!</definedName>
    <definedName name="_aaa4" localSheetId="28">#REF!</definedName>
    <definedName name="_aaa4" localSheetId="35">#REF!</definedName>
    <definedName name="_aaa4">#REF!</definedName>
    <definedName name="_aaa5" localSheetId="18">#REF!</definedName>
    <definedName name="_aaa5" localSheetId="25">#REF!</definedName>
    <definedName name="_aaa5" localSheetId="29">#REF!</definedName>
    <definedName name="_aaa5" localSheetId="31">#REF!</definedName>
    <definedName name="_aaa5" localSheetId="15">#REF!</definedName>
    <definedName name="_aaa5" localSheetId="13">#REF!</definedName>
    <definedName name="_aaa5" localSheetId="17">#REF!</definedName>
    <definedName name="_aaa5" localSheetId="12">#REF!</definedName>
    <definedName name="_aaa5" localSheetId="22">#REF!</definedName>
    <definedName name="_aaa5" localSheetId="28">#REF!</definedName>
    <definedName name="_aaa5" localSheetId="35">#REF!</definedName>
    <definedName name="_aaa5">#REF!</definedName>
    <definedName name="_aaa6" localSheetId="18">#REF!</definedName>
    <definedName name="_aaa6" localSheetId="25">#REF!</definedName>
    <definedName name="_aaa6" localSheetId="29">#REF!</definedName>
    <definedName name="_aaa6" localSheetId="31">#REF!</definedName>
    <definedName name="_aaa6" localSheetId="15">#REF!</definedName>
    <definedName name="_aaa6" localSheetId="13">#REF!</definedName>
    <definedName name="_aaa6" localSheetId="17">#REF!</definedName>
    <definedName name="_aaa6" localSheetId="12">#REF!</definedName>
    <definedName name="_aaa6" localSheetId="22">#REF!</definedName>
    <definedName name="_aaa6" localSheetId="28">#REF!</definedName>
    <definedName name="_aaa6" localSheetId="35">#REF!</definedName>
    <definedName name="_aaa6">#REF!</definedName>
    <definedName name="_aaa7" localSheetId="18">#REF!</definedName>
    <definedName name="_aaa7" localSheetId="25">#REF!</definedName>
    <definedName name="_aaa7" localSheetId="29">#REF!</definedName>
    <definedName name="_aaa7" localSheetId="31">#REF!</definedName>
    <definedName name="_aaa7" localSheetId="15">#REF!</definedName>
    <definedName name="_aaa7" localSheetId="13">#REF!</definedName>
    <definedName name="_aaa7" localSheetId="17">#REF!</definedName>
    <definedName name="_aaa7" localSheetId="12">#REF!</definedName>
    <definedName name="_aaa7" localSheetId="22">#REF!</definedName>
    <definedName name="_aaa7" localSheetId="28">#REF!</definedName>
    <definedName name="_aaa7" localSheetId="35">#REF!</definedName>
    <definedName name="_aaa7">#REF!</definedName>
    <definedName name="_aaa8" localSheetId="18">#REF!</definedName>
    <definedName name="_aaa8" localSheetId="25">#REF!</definedName>
    <definedName name="_aaa8" localSheetId="29">#REF!</definedName>
    <definedName name="_aaa8" localSheetId="31">#REF!</definedName>
    <definedName name="_aaa8" localSheetId="15">#REF!</definedName>
    <definedName name="_aaa8" localSheetId="13">#REF!</definedName>
    <definedName name="_aaa8" localSheetId="17">#REF!</definedName>
    <definedName name="_aaa8" localSheetId="12">#REF!</definedName>
    <definedName name="_aaa8" localSheetId="22">#REF!</definedName>
    <definedName name="_aaa8" localSheetId="28">#REF!</definedName>
    <definedName name="_aaa8" localSheetId="35">#REF!</definedName>
    <definedName name="_aaa8">#REF!</definedName>
    <definedName name="_ag1" localSheetId="28">#N/A</definedName>
    <definedName name="_ag1" localSheetId="35">'Taxe 5%'!_ag1</definedName>
    <definedName name="_ag1">'Taxe 5%'!_ag1</definedName>
    <definedName name="_ASP4" localSheetId="29">#REF!</definedName>
    <definedName name="_ASP4" localSheetId="31">#REF!</definedName>
    <definedName name="_ASP4" localSheetId="28">#REF!</definedName>
    <definedName name="_ASP4" localSheetId="35">#REF!</definedName>
    <definedName name="_ASP4">#REF!</definedName>
    <definedName name="_aut">"Glenn Luk, Deutsche Bank AG"</definedName>
    <definedName name="_B1">#N/A</definedName>
    <definedName name="_B10">[47]SV161!$C$30:$S$30</definedName>
    <definedName name="_B20">[47]SV161!$C$31:$S$31</definedName>
    <definedName name="_B30">[47]SV161!$C$32:$S$32</definedName>
    <definedName name="_bb1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localSheetId="18" hidden="1">#REF!</definedName>
    <definedName name="_bdm.00C0D9EF8BE14012A7E563CDFAAFF67A.edm" localSheetId="25" hidden="1">#REF!</definedName>
    <definedName name="_bdm.00C0D9EF8BE14012A7E563CDFAAFF67A.edm" localSheetId="29" hidden="1">#REF!</definedName>
    <definedName name="_bdm.00C0D9EF8BE14012A7E563CDFAAFF67A.edm" localSheetId="31" hidden="1">#REF!</definedName>
    <definedName name="_bdm.00C0D9EF8BE14012A7E563CDFAAFF67A.edm" localSheetId="15" hidden="1">#REF!</definedName>
    <definedName name="_bdm.00C0D9EF8BE14012A7E563CDFAAFF67A.edm" localSheetId="13" hidden="1">#REF!</definedName>
    <definedName name="_bdm.00C0D9EF8BE14012A7E563CDFAAFF67A.edm" localSheetId="17" hidden="1">#REF!</definedName>
    <definedName name="_bdm.00C0D9EF8BE14012A7E563CDFAAFF67A.edm" localSheetId="12" hidden="1">#REF!</definedName>
    <definedName name="_bdm.00C0D9EF8BE14012A7E563CDFAAFF67A.edm" localSheetId="22" hidden="1">#REF!</definedName>
    <definedName name="_bdm.00C0D9EF8BE14012A7E563CDFAAFF67A.edm" localSheetId="28" hidden="1">#REF!</definedName>
    <definedName name="_bdm.00C0D9EF8BE14012A7E563CDFAAFF67A.edm" localSheetId="35" hidden="1">#REF!</definedName>
    <definedName name="_bdm.00C0D9EF8BE14012A7E563CDFAAFF67A.edm" hidden="1">#REF!</definedName>
    <definedName name="_bdm.02AA2180B0084723AFFC9E4E6DA538AC.edm" localSheetId="18" hidden="1">#REF!</definedName>
    <definedName name="_bdm.02AA2180B0084723AFFC9E4E6DA538AC.edm" localSheetId="25" hidden="1">#REF!</definedName>
    <definedName name="_bdm.02AA2180B0084723AFFC9E4E6DA538AC.edm" localSheetId="29" hidden="1">#REF!</definedName>
    <definedName name="_bdm.02AA2180B0084723AFFC9E4E6DA538AC.edm" localSheetId="31" hidden="1">#REF!</definedName>
    <definedName name="_bdm.02AA2180B0084723AFFC9E4E6DA538AC.edm" localSheetId="15" hidden="1">#REF!</definedName>
    <definedName name="_bdm.02AA2180B0084723AFFC9E4E6DA538AC.edm" localSheetId="13" hidden="1">#REF!</definedName>
    <definedName name="_bdm.02AA2180B0084723AFFC9E4E6DA538AC.edm" localSheetId="17" hidden="1">#REF!</definedName>
    <definedName name="_bdm.02AA2180B0084723AFFC9E4E6DA538AC.edm" localSheetId="12" hidden="1">#REF!</definedName>
    <definedName name="_bdm.02AA2180B0084723AFFC9E4E6DA538AC.edm" localSheetId="22" hidden="1">#REF!</definedName>
    <definedName name="_bdm.02AA2180B0084723AFFC9E4E6DA538AC.edm" localSheetId="28" hidden="1">#REF!</definedName>
    <definedName name="_bdm.02AA2180B0084723AFFC9E4E6DA538AC.edm" localSheetId="35" hidden="1">#REF!</definedName>
    <definedName name="_bdm.02AA2180B0084723AFFC9E4E6DA538AC.edm" hidden="1">#REF!</definedName>
    <definedName name="_bdm.02EFED87DA6B440DAF356A06EA8CCE6D.edm" localSheetId="18" hidden="1">#REF!</definedName>
    <definedName name="_bdm.02EFED87DA6B440DAF356A06EA8CCE6D.edm" localSheetId="25" hidden="1">#REF!</definedName>
    <definedName name="_bdm.02EFED87DA6B440DAF356A06EA8CCE6D.edm" localSheetId="29" hidden="1">#REF!</definedName>
    <definedName name="_bdm.02EFED87DA6B440DAF356A06EA8CCE6D.edm" localSheetId="31" hidden="1">#REF!</definedName>
    <definedName name="_bdm.02EFED87DA6B440DAF356A06EA8CCE6D.edm" localSheetId="15" hidden="1">#REF!</definedName>
    <definedName name="_bdm.02EFED87DA6B440DAF356A06EA8CCE6D.edm" localSheetId="13" hidden="1">#REF!</definedName>
    <definedName name="_bdm.02EFED87DA6B440DAF356A06EA8CCE6D.edm" localSheetId="17" hidden="1">#REF!</definedName>
    <definedName name="_bdm.02EFED87DA6B440DAF356A06EA8CCE6D.edm" localSheetId="12" hidden="1">#REF!</definedName>
    <definedName name="_bdm.02EFED87DA6B440DAF356A06EA8CCE6D.edm" localSheetId="22" hidden="1">#REF!</definedName>
    <definedName name="_bdm.02EFED87DA6B440DAF356A06EA8CCE6D.edm" localSheetId="28" hidden="1">#REF!</definedName>
    <definedName name="_bdm.02EFED87DA6B440DAF356A06EA8CCE6D.edm" localSheetId="35" hidden="1">#REF!</definedName>
    <definedName name="_bdm.02EFED87DA6B440DAF356A06EA8CCE6D.edm" hidden="1">#REF!</definedName>
    <definedName name="_bdm.040230B8660F4BC9892D5A3F1707A1C8.edm" hidden="1">[48]Projections!$A:$IV</definedName>
    <definedName name="_bdm.053252EB6ED04855BFE51C3EB0837A6B.edm" localSheetId="18" hidden="1">#REF!</definedName>
    <definedName name="_bdm.053252EB6ED04855BFE51C3EB0837A6B.edm" localSheetId="25" hidden="1">#REF!</definedName>
    <definedName name="_bdm.053252EB6ED04855BFE51C3EB0837A6B.edm" localSheetId="29" hidden="1">#REF!</definedName>
    <definedName name="_bdm.053252EB6ED04855BFE51C3EB0837A6B.edm" localSheetId="31" hidden="1">#REF!</definedName>
    <definedName name="_bdm.053252EB6ED04855BFE51C3EB0837A6B.edm" localSheetId="15" hidden="1">#REF!</definedName>
    <definedName name="_bdm.053252EB6ED04855BFE51C3EB0837A6B.edm" localSheetId="13" hidden="1">#REF!</definedName>
    <definedName name="_bdm.053252EB6ED04855BFE51C3EB0837A6B.edm" localSheetId="17" hidden="1">#REF!</definedName>
    <definedName name="_bdm.053252EB6ED04855BFE51C3EB0837A6B.edm" localSheetId="12" hidden="1">#REF!</definedName>
    <definedName name="_bdm.053252EB6ED04855BFE51C3EB0837A6B.edm" localSheetId="22" hidden="1">#REF!</definedName>
    <definedName name="_bdm.053252EB6ED04855BFE51C3EB0837A6B.edm" localSheetId="28" hidden="1">#REF!</definedName>
    <definedName name="_bdm.053252EB6ED04855BFE51C3EB0837A6B.edm" localSheetId="35" hidden="1">#REF!</definedName>
    <definedName name="_bdm.053252EB6ED04855BFE51C3EB0837A6B.edm" hidden="1">#REF!</definedName>
    <definedName name="_bdm.0883F6F83E204B74B7DD1E975DA13ADD.edm" localSheetId="18" hidden="1">#REF!</definedName>
    <definedName name="_bdm.0883F6F83E204B74B7DD1E975DA13ADD.edm" localSheetId="25" hidden="1">#REF!</definedName>
    <definedName name="_bdm.0883F6F83E204B74B7DD1E975DA13ADD.edm" localSheetId="29" hidden="1">#REF!</definedName>
    <definedName name="_bdm.0883F6F83E204B74B7DD1E975DA13ADD.edm" localSheetId="31" hidden="1">#REF!</definedName>
    <definedName name="_bdm.0883F6F83E204B74B7DD1E975DA13ADD.edm" localSheetId="15" hidden="1">#REF!</definedName>
    <definedName name="_bdm.0883F6F83E204B74B7DD1E975DA13ADD.edm" localSheetId="13" hidden="1">#REF!</definedName>
    <definedName name="_bdm.0883F6F83E204B74B7DD1E975DA13ADD.edm" localSheetId="17" hidden="1">#REF!</definedName>
    <definedName name="_bdm.0883F6F83E204B74B7DD1E975DA13ADD.edm" localSheetId="12" hidden="1">#REF!</definedName>
    <definedName name="_bdm.0883F6F83E204B74B7DD1E975DA13ADD.edm" localSheetId="22" hidden="1">#REF!</definedName>
    <definedName name="_bdm.0883F6F83E204B74B7DD1E975DA13ADD.edm" localSheetId="28" hidden="1">#REF!</definedName>
    <definedName name="_bdm.0883F6F83E204B74B7DD1E975DA13ADD.edm" localSheetId="35" hidden="1">#REF!</definedName>
    <definedName name="_bdm.0883F6F83E204B74B7DD1E975DA13ADD.edm" hidden="1">#REF!</definedName>
    <definedName name="_bdm.08E492A671284214AD982BEB208B8F93.edm" localSheetId="18" hidden="1">#REF!</definedName>
    <definedName name="_bdm.08E492A671284214AD982BEB208B8F93.edm" localSheetId="25" hidden="1">#REF!</definedName>
    <definedName name="_bdm.08E492A671284214AD982BEB208B8F93.edm" localSheetId="29" hidden="1">#REF!</definedName>
    <definedName name="_bdm.08E492A671284214AD982BEB208B8F93.edm" localSheetId="31" hidden="1">#REF!</definedName>
    <definedName name="_bdm.08E492A671284214AD982BEB208B8F93.edm" localSheetId="15" hidden="1">#REF!</definedName>
    <definedName name="_bdm.08E492A671284214AD982BEB208B8F93.edm" localSheetId="13" hidden="1">#REF!</definedName>
    <definedName name="_bdm.08E492A671284214AD982BEB208B8F93.edm" localSheetId="17" hidden="1">#REF!</definedName>
    <definedName name="_bdm.08E492A671284214AD982BEB208B8F93.edm" localSheetId="12" hidden="1">#REF!</definedName>
    <definedName name="_bdm.08E492A671284214AD982BEB208B8F93.edm" localSheetId="22" hidden="1">#REF!</definedName>
    <definedName name="_bdm.08E492A671284214AD982BEB208B8F93.edm" localSheetId="28" hidden="1">#REF!</definedName>
    <definedName name="_bdm.08E492A671284214AD982BEB208B8F93.edm" localSheetId="35" hidden="1">#REF!</definedName>
    <definedName name="_bdm.08E492A671284214AD982BEB208B8F93.edm" hidden="1">#REF!</definedName>
    <definedName name="_bdm.09187C12D1CE45F193AE198DD6AE884F.edm" localSheetId="18" hidden="1">#REF!</definedName>
    <definedName name="_bdm.09187C12D1CE45F193AE198DD6AE884F.edm" localSheetId="25" hidden="1">#REF!</definedName>
    <definedName name="_bdm.09187C12D1CE45F193AE198DD6AE884F.edm" localSheetId="29" hidden="1">#REF!</definedName>
    <definedName name="_bdm.09187C12D1CE45F193AE198DD6AE884F.edm" localSheetId="31" hidden="1">#REF!</definedName>
    <definedName name="_bdm.09187C12D1CE45F193AE198DD6AE884F.edm" localSheetId="15" hidden="1">#REF!</definedName>
    <definedName name="_bdm.09187C12D1CE45F193AE198DD6AE884F.edm" localSheetId="13" hidden="1">#REF!</definedName>
    <definedName name="_bdm.09187C12D1CE45F193AE198DD6AE884F.edm" localSheetId="17" hidden="1">#REF!</definedName>
    <definedName name="_bdm.09187C12D1CE45F193AE198DD6AE884F.edm" localSheetId="12" hidden="1">#REF!</definedName>
    <definedName name="_bdm.09187C12D1CE45F193AE198DD6AE884F.edm" localSheetId="22" hidden="1">#REF!</definedName>
    <definedName name="_bdm.09187C12D1CE45F193AE198DD6AE884F.edm" localSheetId="28" hidden="1">#REF!</definedName>
    <definedName name="_bdm.09187C12D1CE45F193AE198DD6AE884F.edm" localSheetId="35" hidden="1">#REF!</definedName>
    <definedName name="_bdm.09187C12D1CE45F193AE198DD6AE884F.edm" hidden="1">#REF!</definedName>
    <definedName name="_bdm.0A4C5DE597874549B190FD467C6A1CC4.edm" localSheetId="18" hidden="1">#REF!</definedName>
    <definedName name="_bdm.0A4C5DE597874549B190FD467C6A1CC4.edm" localSheetId="25" hidden="1">#REF!</definedName>
    <definedName name="_bdm.0A4C5DE597874549B190FD467C6A1CC4.edm" localSheetId="29" hidden="1">#REF!</definedName>
    <definedName name="_bdm.0A4C5DE597874549B190FD467C6A1CC4.edm" localSheetId="31" hidden="1">#REF!</definedName>
    <definedName name="_bdm.0A4C5DE597874549B190FD467C6A1CC4.edm" localSheetId="15" hidden="1">#REF!</definedName>
    <definedName name="_bdm.0A4C5DE597874549B190FD467C6A1CC4.edm" localSheetId="13" hidden="1">#REF!</definedName>
    <definedName name="_bdm.0A4C5DE597874549B190FD467C6A1CC4.edm" localSheetId="17" hidden="1">#REF!</definedName>
    <definedName name="_bdm.0A4C5DE597874549B190FD467C6A1CC4.edm" localSheetId="12" hidden="1">#REF!</definedName>
    <definedName name="_bdm.0A4C5DE597874549B190FD467C6A1CC4.edm" localSheetId="22" hidden="1">#REF!</definedName>
    <definedName name="_bdm.0A4C5DE597874549B190FD467C6A1CC4.edm" localSheetId="28" hidden="1">#REF!</definedName>
    <definedName name="_bdm.0A4C5DE597874549B190FD467C6A1CC4.edm" localSheetId="35" hidden="1">#REF!</definedName>
    <definedName name="_bdm.0A4C5DE597874549B190FD467C6A1CC4.edm" hidden="1">#REF!</definedName>
    <definedName name="_bdm.0EBC0B70D2854C038F08EFF978C7C67A.edm" localSheetId="18" hidden="1">#REF!</definedName>
    <definedName name="_bdm.0EBC0B70D2854C038F08EFF978C7C67A.edm" localSheetId="25" hidden="1">#REF!</definedName>
    <definedName name="_bdm.0EBC0B70D2854C038F08EFF978C7C67A.edm" localSheetId="29" hidden="1">#REF!</definedName>
    <definedName name="_bdm.0EBC0B70D2854C038F08EFF978C7C67A.edm" localSheetId="31" hidden="1">#REF!</definedName>
    <definedName name="_bdm.0EBC0B70D2854C038F08EFF978C7C67A.edm" localSheetId="15" hidden="1">#REF!</definedName>
    <definedName name="_bdm.0EBC0B70D2854C038F08EFF978C7C67A.edm" localSheetId="13" hidden="1">#REF!</definedName>
    <definedName name="_bdm.0EBC0B70D2854C038F08EFF978C7C67A.edm" localSheetId="17" hidden="1">#REF!</definedName>
    <definedName name="_bdm.0EBC0B70D2854C038F08EFF978C7C67A.edm" localSheetId="12" hidden="1">#REF!</definedName>
    <definedName name="_bdm.0EBC0B70D2854C038F08EFF978C7C67A.edm" localSheetId="22" hidden="1">#REF!</definedName>
    <definedName name="_bdm.0EBC0B70D2854C038F08EFF978C7C67A.edm" localSheetId="28" hidden="1">#REF!</definedName>
    <definedName name="_bdm.0EBC0B70D2854C038F08EFF978C7C67A.edm" localSheetId="35" hidden="1">#REF!</definedName>
    <definedName name="_bdm.0EBC0B70D2854C038F08EFF978C7C67A.edm" hidden="1">#REF!</definedName>
    <definedName name="_bdm.15890F25A4484043AF3AE51860B59A14.edm" localSheetId="18" hidden="1">#REF!</definedName>
    <definedName name="_bdm.15890F25A4484043AF3AE51860B59A14.edm" localSheetId="25" hidden="1">#REF!</definedName>
    <definedName name="_bdm.15890F25A4484043AF3AE51860B59A14.edm" localSheetId="29" hidden="1">#REF!</definedName>
    <definedName name="_bdm.15890F25A4484043AF3AE51860B59A14.edm" localSheetId="31" hidden="1">#REF!</definedName>
    <definedName name="_bdm.15890F25A4484043AF3AE51860B59A14.edm" localSheetId="15" hidden="1">#REF!</definedName>
    <definedName name="_bdm.15890F25A4484043AF3AE51860B59A14.edm" localSheetId="13" hidden="1">#REF!</definedName>
    <definedName name="_bdm.15890F25A4484043AF3AE51860B59A14.edm" localSheetId="17" hidden="1">#REF!</definedName>
    <definedName name="_bdm.15890F25A4484043AF3AE51860B59A14.edm" localSheetId="12" hidden="1">#REF!</definedName>
    <definedName name="_bdm.15890F25A4484043AF3AE51860B59A14.edm" localSheetId="22" hidden="1">#REF!</definedName>
    <definedName name="_bdm.15890F25A4484043AF3AE51860B59A14.edm" localSheetId="28" hidden="1">#REF!</definedName>
    <definedName name="_bdm.15890F25A4484043AF3AE51860B59A14.edm" localSheetId="35" hidden="1">#REF!</definedName>
    <definedName name="_bdm.15890F25A4484043AF3AE51860B59A14.edm" hidden="1">#REF!</definedName>
    <definedName name="_bdm.170C77E1E37E4B33A5A3F1CF661EAD22.edm" localSheetId="18" hidden="1">#REF!</definedName>
    <definedName name="_bdm.170C77E1E37E4B33A5A3F1CF661EAD22.edm" localSheetId="25" hidden="1">#REF!</definedName>
    <definedName name="_bdm.170C77E1E37E4B33A5A3F1CF661EAD22.edm" localSheetId="29" hidden="1">#REF!</definedName>
    <definedName name="_bdm.170C77E1E37E4B33A5A3F1CF661EAD22.edm" localSheetId="31" hidden="1">#REF!</definedName>
    <definedName name="_bdm.170C77E1E37E4B33A5A3F1CF661EAD22.edm" localSheetId="15" hidden="1">#REF!</definedName>
    <definedName name="_bdm.170C77E1E37E4B33A5A3F1CF661EAD22.edm" localSheetId="13" hidden="1">#REF!</definedName>
    <definedName name="_bdm.170C77E1E37E4B33A5A3F1CF661EAD22.edm" localSheetId="17" hidden="1">#REF!</definedName>
    <definedName name="_bdm.170C77E1E37E4B33A5A3F1CF661EAD22.edm" localSheetId="12" hidden="1">#REF!</definedName>
    <definedName name="_bdm.170C77E1E37E4B33A5A3F1CF661EAD22.edm" localSheetId="22" hidden="1">#REF!</definedName>
    <definedName name="_bdm.170C77E1E37E4B33A5A3F1CF661EAD22.edm" localSheetId="28" hidden="1">#REF!</definedName>
    <definedName name="_bdm.170C77E1E37E4B33A5A3F1CF661EAD22.edm" localSheetId="35" hidden="1">#REF!</definedName>
    <definedName name="_bdm.170C77E1E37E4B33A5A3F1CF661EAD22.edm" hidden="1">#REF!</definedName>
    <definedName name="_bdm.18396CE513024A30AA8A76234D5FEFD0.edm" localSheetId="18" hidden="1">#REF!</definedName>
    <definedName name="_bdm.18396CE513024A30AA8A76234D5FEFD0.edm" localSheetId="25" hidden="1">#REF!</definedName>
    <definedName name="_bdm.18396CE513024A30AA8A76234D5FEFD0.edm" localSheetId="29" hidden="1">#REF!</definedName>
    <definedName name="_bdm.18396CE513024A30AA8A76234D5FEFD0.edm" localSheetId="31" hidden="1">#REF!</definedName>
    <definedName name="_bdm.18396CE513024A30AA8A76234D5FEFD0.edm" localSheetId="15" hidden="1">#REF!</definedName>
    <definedName name="_bdm.18396CE513024A30AA8A76234D5FEFD0.edm" localSheetId="13" hidden="1">#REF!</definedName>
    <definedName name="_bdm.18396CE513024A30AA8A76234D5FEFD0.edm" localSheetId="17" hidden="1">#REF!</definedName>
    <definedName name="_bdm.18396CE513024A30AA8A76234D5FEFD0.edm" localSheetId="12" hidden="1">#REF!</definedName>
    <definedName name="_bdm.18396CE513024A30AA8A76234D5FEFD0.edm" localSheetId="22" hidden="1">#REF!</definedName>
    <definedName name="_bdm.18396CE513024A30AA8A76234D5FEFD0.edm" localSheetId="28" hidden="1">#REF!</definedName>
    <definedName name="_bdm.18396CE513024A30AA8A76234D5FEFD0.edm" localSheetId="35" hidden="1">#REF!</definedName>
    <definedName name="_bdm.18396CE513024A30AA8A76234D5FEFD0.edm" hidden="1">#REF!</definedName>
    <definedName name="_bdm.2362C0156C8048FAA2961453BD7C4BCE.edm" localSheetId="18" hidden="1">#REF!</definedName>
    <definedName name="_bdm.2362C0156C8048FAA2961453BD7C4BCE.edm" localSheetId="25" hidden="1">#REF!</definedName>
    <definedName name="_bdm.2362C0156C8048FAA2961453BD7C4BCE.edm" localSheetId="29" hidden="1">#REF!</definedName>
    <definedName name="_bdm.2362C0156C8048FAA2961453BD7C4BCE.edm" localSheetId="31" hidden="1">#REF!</definedName>
    <definedName name="_bdm.2362C0156C8048FAA2961453BD7C4BCE.edm" localSheetId="15" hidden="1">#REF!</definedName>
    <definedName name="_bdm.2362C0156C8048FAA2961453BD7C4BCE.edm" localSheetId="13" hidden="1">#REF!</definedName>
    <definedName name="_bdm.2362C0156C8048FAA2961453BD7C4BCE.edm" localSheetId="17" hidden="1">#REF!</definedName>
    <definedName name="_bdm.2362C0156C8048FAA2961453BD7C4BCE.edm" localSheetId="12" hidden="1">#REF!</definedName>
    <definedName name="_bdm.2362C0156C8048FAA2961453BD7C4BCE.edm" localSheetId="22" hidden="1">#REF!</definedName>
    <definedName name="_bdm.2362C0156C8048FAA2961453BD7C4BCE.edm" localSheetId="28" hidden="1">#REF!</definedName>
    <definedName name="_bdm.2362C0156C8048FAA2961453BD7C4BCE.edm" localSheetId="35" hidden="1">#REF!</definedName>
    <definedName name="_bdm.2362C0156C8048FAA2961453BD7C4BCE.edm" hidden="1">#REF!</definedName>
    <definedName name="_bdm.29102105AB86426CAAC299DD444B5E4D.edm" localSheetId="18" hidden="1">#REF!</definedName>
    <definedName name="_bdm.29102105AB86426CAAC299DD444B5E4D.edm" localSheetId="25" hidden="1">#REF!</definedName>
    <definedName name="_bdm.29102105AB86426CAAC299DD444B5E4D.edm" localSheetId="29" hidden="1">#REF!</definedName>
    <definedName name="_bdm.29102105AB86426CAAC299DD444B5E4D.edm" localSheetId="31" hidden="1">#REF!</definedName>
    <definedName name="_bdm.29102105AB86426CAAC299DD444B5E4D.edm" localSheetId="15" hidden="1">#REF!</definedName>
    <definedName name="_bdm.29102105AB86426CAAC299DD444B5E4D.edm" localSheetId="13" hidden="1">#REF!</definedName>
    <definedName name="_bdm.29102105AB86426CAAC299DD444B5E4D.edm" localSheetId="17" hidden="1">#REF!</definedName>
    <definedName name="_bdm.29102105AB86426CAAC299DD444B5E4D.edm" localSheetId="12" hidden="1">#REF!</definedName>
    <definedName name="_bdm.29102105AB86426CAAC299DD444B5E4D.edm" localSheetId="22" hidden="1">#REF!</definedName>
    <definedName name="_bdm.29102105AB86426CAAC299DD444B5E4D.edm" localSheetId="28" hidden="1">#REF!</definedName>
    <definedName name="_bdm.29102105AB86426CAAC299DD444B5E4D.edm" localSheetId="35" hidden="1">#REF!</definedName>
    <definedName name="_bdm.29102105AB86426CAAC299DD444B5E4D.edm" hidden="1">#REF!</definedName>
    <definedName name="_bdm.2A38C861995B46C8991A97EA5A948A78.edm" localSheetId="18" hidden="1">#REF!</definedName>
    <definedName name="_bdm.2A38C861995B46C8991A97EA5A948A78.edm" localSheetId="25" hidden="1">#REF!</definedName>
    <definedName name="_bdm.2A38C861995B46C8991A97EA5A948A78.edm" localSheetId="29" hidden="1">#REF!</definedName>
    <definedName name="_bdm.2A38C861995B46C8991A97EA5A948A78.edm" localSheetId="31" hidden="1">#REF!</definedName>
    <definedName name="_bdm.2A38C861995B46C8991A97EA5A948A78.edm" localSheetId="15" hidden="1">#REF!</definedName>
    <definedName name="_bdm.2A38C861995B46C8991A97EA5A948A78.edm" localSheetId="13" hidden="1">#REF!</definedName>
    <definedName name="_bdm.2A38C861995B46C8991A97EA5A948A78.edm" localSheetId="17" hidden="1">#REF!</definedName>
    <definedName name="_bdm.2A38C861995B46C8991A97EA5A948A78.edm" localSheetId="12" hidden="1">#REF!</definedName>
    <definedName name="_bdm.2A38C861995B46C8991A97EA5A948A78.edm" localSheetId="22" hidden="1">#REF!</definedName>
    <definedName name="_bdm.2A38C861995B46C8991A97EA5A948A78.edm" localSheetId="28" hidden="1">#REF!</definedName>
    <definedName name="_bdm.2A38C861995B46C8991A97EA5A948A78.edm" localSheetId="35" hidden="1">#REF!</definedName>
    <definedName name="_bdm.2A38C861995B46C8991A97EA5A948A78.edm" hidden="1">#REF!</definedName>
    <definedName name="_bdm.2CBA471E682C48A3A10CD1024A462351.edm" localSheetId="18" hidden="1">#REF!</definedName>
    <definedName name="_bdm.2CBA471E682C48A3A10CD1024A462351.edm" localSheetId="25" hidden="1">#REF!</definedName>
    <definedName name="_bdm.2CBA471E682C48A3A10CD1024A462351.edm" localSheetId="29" hidden="1">#REF!</definedName>
    <definedName name="_bdm.2CBA471E682C48A3A10CD1024A462351.edm" localSheetId="31" hidden="1">#REF!</definedName>
    <definedName name="_bdm.2CBA471E682C48A3A10CD1024A462351.edm" localSheetId="15" hidden="1">#REF!</definedName>
    <definedName name="_bdm.2CBA471E682C48A3A10CD1024A462351.edm" localSheetId="13" hidden="1">#REF!</definedName>
    <definedName name="_bdm.2CBA471E682C48A3A10CD1024A462351.edm" localSheetId="17" hidden="1">#REF!</definedName>
    <definedName name="_bdm.2CBA471E682C48A3A10CD1024A462351.edm" localSheetId="12" hidden="1">#REF!</definedName>
    <definedName name="_bdm.2CBA471E682C48A3A10CD1024A462351.edm" localSheetId="22" hidden="1">#REF!</definedName>
    <definedName name="_bdm.2CBA471E682C48A3A10CD1024A462351.edm" localSheetId="28" hidden="1">#REF!</definedName>
    <definedName name="_bdm.2CBA471E682C48A3A10CD1024A462351.edm" localSheetId="35" hidden="1">#REF!</definedName>
    <definedName name="_bdm.2CBA471E682C48A3A10CD1024A462351.edm" hidden="1">#REF!</definedName>
    <definedName name="_bdm.2D161A2B7C76497F9F6D027C12375384.edm" localSheetId="18" hidden="1">#REF!</definedName>
    <definedName name="_bdm.2D161A2B7C76497F9F6D027C12375384.edm" localSheetId="25" hidden="1">#REF!</definedName>
    <definedName name="_bdm.2D161A2B7C76497F9F6D027C12375384.edm" localSheetId="29" hidden="1">#REF!</definedName>
    <definedName name="_bdm.2D161A2B7C76497F9F6D027C12375384.edm" localSheetId="31" hidden="1">#REF!</definedName>
    <definedName name="_bdm.2D161A2B7C76497F9F6D027C12375384.edm" localSheetId="15" hidden="1">#REF!</definedName>
    <definedName name="_bdm.2D161A2B7C76497F9F6D027C12375384.edm" localSheetId="13" hidden="1">#REF!</definedName>
    <definedName name="_bdm.2D161A2B7C76497F9F6D027C12375384.edm" localSheetId="17" hidden="1">#REF!</definedName>
    <definedName name="_bdm.2D161A2B7C76497F9F6D027C12375384.edm" localSheetId="12" hidden="1">#REF!</definedName>
    <definedName name="_bdm.2D161A2B7C76497F9F6D027C12375384.edm" localSheetId="22" hidden="1">#REF!</definedName>
    <definedName name="_bdm.2D161A2B7C76497F9F6D027C12375384.edm" localSheetId="28" hidden="1">#REF!</definedName>
    <definedName name="_bdm.2D161A2B7C76497F9F6D027C12375384.edm" localSheetId="35" hidden="1">#REF!</definedName>
    <definedName name="_bdm.2D161A2B7C76497F9F6D027C12375384.edm" hidden="1">#REF!</definedName>
    <definedName name="_bdm.2F477F25EFBE4C9BB3E9EC617CD64545.edm" localSheetId="18" hidden="1">#REF!</definedName>
    <definedName name="_bdm.2F477F25EFBE4C9BB3E9EC617CD64545.edm" localSheetId="25" hidden="1">#REF!</definedName>
    <definedName name="_bdm.2F477F25EFBE4C9BB3E9EC617CD64545.edm" localSheetId="29" hidden="1">#REF!</definedName>
    <definedName name="_bdm.2F477F25EFBE4C9BB3E9EC617CD64545.edm" localSheetId="31" hidden="1">#REF!</definedName>
    <definedName name="_bdm.2F477F25EFBE4C9BB3E9EC617CD64545.edm" localSheetId="15" hidden="1">#REF!</definedName>
    <definedName name="_bdm.2F477F25EFBE4C9BB3E9EC617CD64545.edm" localSheetId="13" hidden="1">#REF!</definedName>
    <definedName name="_bdm.2F477F25EFBE4C9BB3E9EC617CD64545.edm" localSheetId="17" hidden="1">#REF!</definedName>
    <definedName name="_bdm.2F477F25EFBE4C9BB3E9EC617CD64545.edm" localSheetId="12" hidden="1">#REF!</definedName>
    <definedName name="_bdm.2F477F25EFBE4C9BB3E9EC617CD64545.edm" localSheetId="22" hidden="1">#REF!</definedName>
    <definedName name="_bdm.2F477F25EFBE4C9BB3E9EC617CD64545.edm" localSheetId="28" hidden="1">#REF!</definedName>
    <definedName name="_bdm.2F477F25EFBE4C9BB3E9EC617CD64545.edm" localSheetId="35" hidden="1">#REF!</definedName>
    <definedName name="_bdm.2F477F25EFBE4C9BB3E9EC617CD64545.edm" hidden="1">#REF!</definedName>
    <definedName name="_bdm.304F174C8384432A9C14069F554DBEC0.edm" localSheetId="18" hidden="1">#REF!</definedName>
    <definedName name="_bdm.304F174C8384432A9C14069F554DBEC0.edm" localSheetId="25" hidden="1">#REF!</definedName>
    <definedName name="_bdm.304F174C8384432A9C14069F554DBEC0.edm" localSheetId="29" hidden="1">#REF!</definedName>
    <definedName name="_bdm.304F174C8384432A9C14069F554DBEC0.edm" localSheetId="31" hidden="1">#REF!</definedName>
    <definedName name="_bdm.304F174C8384432A9C14069F554DBEC0.edm" localSheetId="15" hidden="1">#REF!</definedName>
    <definedName name="_bdm.304F174C8384432A9C14069F554DBEC0.edm" localSheetId="13" hidden="1">#REF!</definedName>
    <definedName name="_bdm.304F174C8384432A9C14069F554DBEC0.edm" localSheetId="17" hidden="1">#REF!</definedName>
    <definedName name="_bdm.304F174C8384432A9C14069F554DBEC0.edm" localSheetId="12" hidden="1">#REF!</definedName>
    <definedName name="_bdm.304F174C8384432A9C14069F554DBEC0.edm" localSheetId="22" hidden="1">#REF!</definedName>
    <definedName name="_bdm.304F174C8384432A9C14069F554DBEC0.edm" localSheetId="28" hidden="1">#REF!</definedName>
    <definedName name="_bdm.304F174C8384432A9C14069F554DBEC0.edm" localSheetId="35" hidden="1">#REF!</definedName>
    <definedName name="_bdm.304F174C8384432A9C14069F554DBEC0.edm" hidden="1">#REF!</definedName>
    <definedName name="_bdm.31B8759EFE3D47B3BC99BC433F195FBF.edm" localSheetId="18" hidden="1">#REF!</definedName>
    <definedName name="_bdm.31B8759EFE3D47B3BC99BC433F195FBF.edm" localSheetId="25" hidden="1">#REF!</definedName>
    <definedName name="_bdm.31B8759EFE3D47B3BC99BC433F195FBF.edm" localSheetId="29" hidden="1">#REF!</definedName>
    <definedName name="_bdm.31B8759EFE3D47B3BC99BC433F195FBF.edm" localSheetId="31" hidden="1">#REF!</definedName>
    <definedName name="_bdm.31B8759EFE3D47B3BC99BC433F195FBF.edm" localSheetId="15" hidden="1">#REF!</definedName>
    <definedName name="_bdm.31B8759EFE3D47B3BC99BC433F195FBF.edm" localSheetId="13" hidden="1">#REF!</definedName>
    <definedName name="_bdm.31B8759EFE3D47B3BC99BC433F195FBF.edm" localSheetId="17" hidden="1">#REF!</definedName>
    <definedName name="_bdm.31B8759EFE3D47B3BC99BC433F195FBF.edm" localSheetId="12" hidden="1">#REF!</definedName>
    <definedName name="_bdm.31B8759EFE3D47B3BC99BC433F195FBF.edm" localSheetId="22" hidden="1">#REF!</definedName>
    <definedName name="_bdm.31B8759EFE3D47B3BC99BC433F195FBF.edm" localSheetId="28" hidden="1">#REF!</definedName>
    <definedName name="_bdm.31B8759EFE3D47B3BC99BC433F195FBF.edm" localSheetId="35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localSheetId="18" hidden="1">#REF!</definedName>
    <definedName name="_bdm.3BBFE8DA33C7499691935804E68E6B0C.edm" localSheetId="25" hidden="1">#REF!</definedName>
    <definedName name="_bdm.3BBFE8DA33C7499691935804E68E6B0C.edm" localSheetId="29" hidden="1">#REF!</definedName>
    <definedName name="_bdm.3BBFE8DA33C7499691935804E68E6B0C.edm" localSheetId="31" hidden="1">#REF!</definedName>
    <definedName name="_bdm.3BBFE8DA33C7499691935804E68E6B0C.edm" localSheetId="15" hidden="1">#REF!</definedName>
    <definedName name="_bdm.3BBFE8DA33C7499691935804E68E6B0C.edm" localSheetId="13" hidden="1">#REF!</definedName>
    <definedName name="_bdm.3BBFE8DA33C7499691935804E68E6B0C.edm" localSheetId="17" hidden="1">#REF!</definedName>
    <definedName name="_bdm.3BBFE8DA33C7499691935804E68E6B0C.edm" localSheetId="12" hidden="1">#REF!</definedName>
    <definedName name="_bdm.3BBFE8DA33C7499691935804E68E6B0C.edm" localSheetId="22" hidden="1">#REF!</definedName>
    <definedName name="_bdm.3BBFE8DA33C7499691935804E68E6B0C.edm" localSheetId="28" hidden="1">#REF!</definedName>
    <definedName name="_bdm.3BBFE8DA33C7499691935804E68E6B0C.edm" localSheetId="35" hidden="1">#REF!</definedName>
    <definedName name="_bdm.3BBFE8DA33C7499691935804E68E6B0C.edm" hidden="1">#REF!</definedName>
    <definedName name="_bdm.443898C1DDAE4E0995C2ED5F5203FEF4.edm" hidden="1">[49]SOTP!$A:$IV</definedName>
    <definedName name="_bdm.49565BF5FF794C539DBC82076000DC4B.edm" localSheetId="18" hidden="1">#REF!</definedName>
    <definedName name="_bdm.49565BF5FF794C539DBC82076000DC4B.edm" localSheetId="25" hidden="1">#REF!</definedName>
    <definedName name="_bdm.49565BF5FF794C539DBC82076000DC4B.edm" localSheetId="29" hidden="1">#REF!</definedName>
    <definedName name="_bdm.49565BF5FF794C539DBC82076000DC4B.edm" localSheetId="31" hidden="1">#REF!</definedName>
    <definedName name="_bdm.49565BF5FF794C539DBC82076000DC4B.edm" localSheetId="15" hidden="1">#REF!</definedName>
    <definedName name="_bdm.49565BF5FF794C539DBC82076000DC4B.edm" localSheetId="13" hidden="1">#REF!</definedName>
    <definedName name="_bdm.49565BF5FF794C539DBC82076000DC4B.edm" localSheetId="17" hidden="1">#REF!</definedName>
    <definedName name="_bdm.49565BF5FF794C539DBC82076000DC4B.edm" localSheetId="12" hidden="1">#REF!</definedName>
    <definedName name="_bdm.49565BF5FF794C539DBC82076000DC4B.edm" localSheetId="22" hidden="1">#REF!</definedName>
    <definedName name="_bdm.49565BF5FF794C539DBC82076000DC4B.edm" localSheetId="28" hidden="1">#REF!</definedName>
    <definedName name="_bdm.49565BF5FF794C539DBC82076000DC4B.edm" localSheetId="35" hidden="1">#REF!</definedName>
    <definedName name="_bdm.49565BF5FF794C539DBC82076000DC4B.edm" hidden="1">#REF!</definedName>
    <definedName name="_bdm.4A2A91CF59154905B89117F8831531D4.edm" localSheetId="18" hidden="1">#REF!</definedName>
    <definedName name="_bdm.4A2A91CF59154905B89117F8831531D4.edm" localSheetId="25" hidden="1">#REF!</definedName>
    <definedName name="_bdm.4A2A91CF59154905B89117F8831531D4.edm" localSheetId="29" hidden="1">#REF!</definedName>
    <definedName name="_bdm.4A2A91CF59154905B89117F8831531D4.edm" localSheetId="31" hidden="1">#REF!</definedName>
    <definedName name="_bdm.4A2A91CF59154905B89117F8831531D4.edm" localSheetId="15" hidden="1">#REF!</definedName>
    <definedName name="_bdm.4A2A91CF59154905B89117F8831531D4.edm" localSheetId="13" hidden="1">#REF!</definedName>
    <definedName name="_bdm.4A2A91CF59154905B89117F8831531D4.edm" localSheetId="17" hidden="1">#REF!</definedName>
    <definedName name="_bdm.4A2A91CF59154905B89117F8831531D4.edm" localSheetId="12" hidden="1">#REF!</definedName>
    <definedName name="_bdm.4A2A91CF59154905B89117F8831531D4.edm" localSheetId="22" hidden="1">#REF!</definedName>
    <definedName name="_bdm.4A2A91CF59154905B89117F8831531D4.edm" localSheetId="28" hidden="1">#REF!</definedName>
    <definedName name="_bdm.4A2A91CF59154905B89117F8831531D4.edm" localSheetId="35" hidden="1">#REF!</definedName>
    <definedName name="_bdm.4A2A91CF59154905B89117F8831531D4.edm" hidden="1">#REF!</definedName>
    <definedName name="_bdm.4B0774CF4D7546338C029DACD0AC04AF.edm" localSheetId="18" hidden="1">#REF!</definedName>
    <definedName name="_bdm.4B0774CF4D7546338C029DACD0AC04AF.edm" localSheetId="25" hidden="1">#REF!</definedName>
    <definedName name="_bdm.4B0774CF4D7546338C029DACD0AC04AF.edm" localSheetId="29" hidden="1">#REF!</definedName>
    <definedName name="_bdm.4B0774CF4D7546338C029DACD0AC04AF.edm" localSheetId="31" hidden="1">#REF!</definedName>
    <definedName name="_bdm.4B0774CF4D7546338C029DACD0AC04AF.edm" localSheetId="15" hidden="1">#REF!</definedName>
    <definedName name="_bdm.4B0774CF4D7546338C029DACD0AC04AF.edm" localSheetId="13" hidden="1">#REF!</definedName>
    <definedName name="_bdm.4B0774CF4D7546338C029DACD0AC04AF.edm" localSheetId="17" hidden="1">#REF!</definedName>
    <definedName name="_bdm.4B0774CF4D7546338C029DACD0AC04AF.edm" localSheetId="12" hidden="1">#REF!</definedName>
    <definedName name="_bdm.4B0774CF4D7546338C029DACD0AC04AF.edm" localSheetId="22" hidden="1">#REF!</definedName>
    <definedName name="_bdm.4B0774CF4D7546338C029DACD0AC04AF.edm" localSheetId="28" hidden="1">#REF!</definedName>
    <definedName name="_bdm.4B0774CF4D7546338C029DACD0AC04AF.edm" localSheetId="35" hidden="1">#REF!</definedName>
    <definedName name="_bdm.4B0774CF4D7546338C029DACD0AC04AF.edm" hidden="1">#REF!</definedName>
    <definedName name="_bdm.560CC529085E43E4B75093E97034EB37.edm" localSheetId="18" hidden="1">#REF!</definedName>
    <definedName name="_bdm.560CC529085E43E4B75093E97034EB37.edm" localSheetId="25" hidden="1">#REF!</definedName>
    <definedName name="_bdm.560CC529085E43E4B75093E97034EB37.edm" localSheetId="29" hidden="1">#REF!</definedName>
    <definedName name="_bdm.560CC529085E43E4B75093E97034EB37.edm" localSheetId="31" hidden="1">#REF!</definedName>
    <definedName name="_bdm.560CC529085E43E4B75093E97034EB37.edm" localSheetId="15" hidden="1">#REF!</definedName>
    <definedName name="_bdm.560CC529085E43E4B75093E97034EB37.edm" localSheetId="13" hidden="1">#REF!</definedName>
    <definedName name="_bdm.560CC529085E43E4B75093E97034EB37.edm" localSheetId="17" hidden="1">#REF!</definedName>
    <definedName name="_bdm.560CC529085E43E4B75093E97034EB37.edm" localSheetId="12" hidden="1">#REF!</definedName>
    <definedName name="_bdm.560CC529085E43E4B75093E97034EB37.edm" localSheetId="22" hidden="1">#REF!</definedName>
    <definedName name="_bdm.560CC529085E43E4B75093E97034EB37.edm" localSheetId="28" hidden="1">#REF!</definedName>
    <definedName name="_bdm.560CC529085E43E4B75093E97034EB37.edm" localSheetId="35" hidden="1">#REF!</definedName>
    <definedName name="_bdm.560CC529085E43E4B75093E97034EB37.edm" hidden="1">#REF!</definedName>
    <definedName name="_bdm.56F75FC2606341CFA60722E4964A61ED.edm" localSheetId="18" hidden="1">#REF!</definedName>
    <definedName name="_bdm.56F75FC2606341CFA60722E4964A61ED.edm" localSheetId="25" hidden="1">#REF!</definedName>
    <definedName name="_bdm.56F75FC2606341CFA60722E4964A61ED.edm" localSheetId="29" hidden="1">#REF!</definedName>
    <definedName name="_bdm.56F75FC2606341CFA60722E4964A61ED.edm" localSheetId="31" hidden="1">#REF!</definedName>
    <definedName name="_bdm.56F75FC2606341CFA60722E4964A61ED.edm" localSheetId="15" hidden="1">#REF!</definedName>
    <definedName name="_bdm.56F75FC2606341CFA60722E4964A61ED.edm" localSheetId="13" hidden="1">#REF!</definedName>
    <definedName name="_bdm.56F75FC2606341CFA60722E4964A61ED.edm" localSheetId="17" hidden="1">#REF!</definedName>
    <definedName name="_bdm.56F75FC2606341CFA60722E4964A61ED.edm" localSheetId="12" hidden="1">#REF!</definedName>
    <definedName name="_bdm.56F75FC2606341CFA60722E4964A61ED.edm" localSheetId="22" hidden="1">#REF!</definedName>
    <definedName name="_bdm.56F75FC2606341CFA60722E4964A61ED.edm" localSheetId="28" hidden="1">#REF!</definedName>
    <definedName name="_bdm.56F75FC2606341CFA60722E4964A61ED.edm" localSheetId="35" hidden="1">#REF!</definedName>
    <definedName name="_bdm.56F75FC2606341CFA60722E4964A61ED.edm" hidden="1">#REF!</definedName>
    <definedName name="_bdm.5B9FA6AD16274AF0A7F1EA71741F6425.edm" localSheetId="18" hidden="1">#REF!</definedName>
    <definedName name="_bdm.5B9FA6AD16274AF0A7F1EA71741F6425.edm" localSheetId="25" hidden="1">#REF!</definedName>
    <definedName name="_bdm.5B9FA6AD16274AF0A7F1EA71741F6425.edm" localSheetId="29" hidden="1">#REF!</definedName>
    <definedName name="_bdm.5B9FA6AD16274AF0A7F1EA71741F6425.edm" localSheetId="31" hidden="1">#REF!</definedName>
    <definedName name="_bdm.5B9FA6AD16274AF0A7F1EA71741F6425.edm" localSheetId="15" hidden="1">#REF!</definedName>
    <definedName name="_bdm.5B9FA6AD16274AF0A7F1EA71741F6425.edm" localSheetId="13" hidden="1">#REF!</definedName>
    <definedName name="_bdm.5B9FA6AD16274AF0A7F1EA71741F6425.edm" localSheetId="17" hidden="1">#REF!</definedName>
    <definedName name="_bdm.5B9FA6AD16274AF0A7F1EA71741F6425.edm" localSheetId="12" hidden="1">#REF!</definedName>
    <definedName name="_bdm.5B9FA6AD16274AF0A7F1EA71741F6425.edm" localSheetId="22" hidden="1">#REF!</definedName>
    <definedName name="_bdm.5B9FA6AD16274AF0A7F1EA71741F6425.edm" localSheetId="28" hidden="1">#REF!</definedName>
    <definedName name="_bdm.5B9FA6AD16274AF0A7F1EA71741F6425.edm" localSheetId="35" hidden="1">#REF!</definedName>
    <definedName name="_bdm.5B9FA6AD16274AF0A7F1EA71741F6425.edm" hidden="1">#REF!</definedName>
    <definedName name="_bdm.60AC218AF8CD42C485087DD4F01F6F68.edm" localSheetId="18" hidden="1">#REF!</definedName>
    <definedName name="_bdm.60AC218AF8CD42C485087DD4F01F6F68.edm" localSheetId="25" hidden="1">#REF!</definedName>
    <definedName name="_bdm.60AC218AF8CD42C485087DD4F01F6F68.edm" localSheetId="29" hidden="1">#REF!</definedName>
    <definedName name="_bdm.60AC218AF8CD42C485087DD4F01F6F68.edm" localSheetId="31" hidden="1">#REF!</definedName>
    <definedName name="_bdm.60AC218AF8CD42C485087DD4F01F6F68.edm" localSheetId="15" hidden="1">#REF!</definedName>
    <definedName name="_bdm.60AC218AF8CD42C485087DD4F01F6F68.edm" localSheetId="13" hidden="1">#REF!</definedName>
    <definedName name="_bdm.60AC218AF8CD42C485087DD4F01F6F68.edm" localSheetId="17" hidden="1">#REF!</definedName>
    <definedName name="_bdm.60AC218AF8CD42C485087DD4F01F6F68.edm" localSheetId="12" hidden="1">#REF!</definedName>
    <definedName name="_bdm.60AC218AF8CD42C485087DD4F01F6F68.edm" localSheetId="22" hidden="1">#REF!</definedName>
    <definedName name="_bdm.60AC218AF8CD42C485087DD4F01F6F68.edm" localSheetId="28" hidden="1">#REF!</definedName>
    <definedName name="_bdm.60AC218AF8CD42C485087DD4F01F6F68.edm" localSheetId="35" hidden="1">#REF!</definedName>
    <definedName name="_bdm.60AC218AF8CD42C485087DD4F01F6F68.edm" hidden="1">#REF!</definedName>
    <definedName name="_bdm.66391AB36C3E40E8A357D2E91544AB4E.edm" localSheetId="18" hidden="1">#REF!</definedName>
    <definedName name="_bdm.66391AB36C3E40E8A357D2E91544AB4E.edm" localSheetId="25" hidden="1">#REF!</definedName>
    <definedName name="_bdm.66391AB36C3E40E8A357D2E91544AB4E.edm" localSheetId="29" hidden="1">#REF!</definedName>
    <definedName name="_bdm.66391AB36C3E40E8A357D2E91544AB4E.edm" localSheetId="31" hidden="1">#REF!</definedName>
    <definedName name="_bdm.66391AB36C3E40E8A357D2E91544AB4E.edm" localSheetId="15" hidden="1">#REF!</definedName>
    <definedName name="_bdm.66391AB36C3E40E8A357D2E91544AB4E.edm" localSheetId="13" hidden="1">#REF!</definedName>
    <definedName name="_bdm.66391AB36C3E40E8A357D2E91544AB4E.edm" localSheetId="17" hidden="1">#REF!</definedName>
    <definedName name="_bdm.66391AB36C3E40E8A357D2E91544AB4E.edm" localSheetId="12" hidden="1">#REF!</definedName>
    <definedName name="_bdm.66391AB36C3E40E8A357D2E91544AB4E.edm" localSheetId="22" hidden="1">#REF!</definedName>
    <definedName name="_bdm.66391AB36C3E40E8A357D2E91544AB4E.edm" localSheetId="28" hidden="1">#REF!</definedName>
    <definedName name="_bdm.66391AB36C3E40E8A357D2E91544AB4E.edm" localSheetId="35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localSheetId="18" hidden="1">#REF!</definedName>
    <definedName name="_bdm.6E930F29C2E446FCB48CC686615AEB29.edm" localSheetId="25" hidden="1">#REF!</definedName>
    <definedName name="_bdm.6E930F29C2E446FCB48CC686615AEB29.edm" localSheetId="29" hidden="1">#REF!</definedName>
    <definedName name="_bdm.6E930F29C2E446FCB48CC686615AEB29.edm" localSheetId="31" hidden="1">#REF!</definedName>
    <definedName name="_bdm.6E930F29C2E446FCB48CC686615AEB29.edm" localSheetId="15" hidden="1">#REF!</definedName>
    <definedName name="_bdm.6E930F29C2E446FCB48CC686615AEB29.edm" localSheetId="13" hidden="1">#REF!</definedName>
    <definedName name="_bdm.6E930F29C2E446FCB48CC686615AEB29.edm" localSheetId="17" hidden="1">#REF!</definedName>
    <definedName name="_bdm.6E930F29C2E446FCB48CC686615AEB29.edm" localSheetId="12" hidden="1">#REF!</definedName>
    <definedName name="_bdm.6E930F29C2E446FCB48CC686615AEB29.edm" localSheetId="22" hidden="1">#REF!</definedName>
    <definedName name="_bdm.6E930F29C2E446FCB48CC686615AEB29.edm" localSheetId="28" hidden="1">#REF!</definedName>
    <definedName name="_bdm.6E930F29C2E446FCB48CC686615AEB29.edm" localSheetId="35" hidden="1">#REF!</definedName>
    <definedName name="_bdm.6E930F29C2E446FCB48CC686615AEB29.edm" hidden="1">#REF!</definedName>
    <definedName name="_bdm.72BD0D0733C3441895C8CE1A7032FD8C.edm" localSheetId="18" hidden="1">#REF!</definedName>
    <definedName name="_bdm.72BD0D0733C3441895C8CE1A7032FD8C.edm" localSheetId="25" hidden="1">#REF!</definedName>
    <definedName name="_bdm.72BD0D0733C3441895C8CE1A7032FD8C.edm" localSheetId="29" hidden="1">#REF!</definedName>
    <definedName name="_bdm.72BD0D0733C3441895C8CE1A7032FD8C.edm" localSheetId="31" hidden="1">#REF!</definedName>
    <definedName name="_bdm.72BD0D0733C3441895C8CE1A7032FD8C.edm" localSheetId="15" hidden="1">#REF!</definedName>
    <definedName name="_bdm.72BD0D0733C3441895C8CE1A7032FD8C.edm" localSheetId="13" hidden="1">#REF!</definedName>
    <definedName name="_bdm.72BD0D0733C3441895C8CE1A7032FD8C.edm" localSheetId="17" hidden="1">#REF!</definedName>
    <definedName name="_bdm.72BD0D0733C3441895C8CE1A7032FD8C.edm" localSheetId="12" hidden="1">#REF!</definedName>
    <definedName name="_bdm.72BD0D0733C3441895C8CE1A7032FD8C.edm" localSheetId="22" hidden="1">#REF!</definedName>
    <definedName name="_bdm.72BD0D0733C3441895C8CE1A7032FD8C.edm" localSheetId="28" hidden="1">#REF!</definedName>
    <definedName name="_bdm.72BD0D0733C3441895C8CE1A7032FD8C.edm" localSheetId="35" hidden="1">#REF!</definedName>
    <definedName name="_bdm.72BD0D0733C3441895C8CE1A7032FD8C.edm" hidden="1">#REF!</definedName>
    <definedName name="_bdm.798B66F4737D405D8E166AD903AD9133.edm" localSheetId="18" hidden="1">#REF!</definedName>
    <definedName name="_bdm.798B66F4737D405D8E166AD903AD9133.edm" localSheetId="25" hidden="1">#REF!</definedName>
    <definedName name="_bdm.798B66F4737D405D8E166AD903AD9133.edm" localSheetId="29" hidden="1">#REF!</definedName>
    <definedName name="_bdm.798B66F4737D405D8E166AD903AD9133.edm" localSheetId="31" hidden="1">#REF!</definedName>
    <definedName name="_bdm.798B66F4737D405D8E166AD903AD9133.edm" localSheetId="15" hidden="1">#REF!</definedName>
    <definedName name="_bdm.798B66F4737D405D8E166AD903AD9133.edm" localSheetId="13" hidden="1">#REF!</definedName>
    <definedName name="_bdm.798B66F4737D405D8E166AD903AD9133.edm" localSheetId="17" hidden="1">#REF!</definedName>
    <definedName name="_bdm.798B66F4737D405D8E166AD903AD9133.edm" localSheetId="12" hidden="1">#REF!</definedName>
    <definedName name="_bdm.798B66F4737D405D8E166AD903AD9133.edm" localSheetId="22" hidden="1">#REF!</definedName>
    <definedName name="_bdm.798B66F4737D405D8E166AD903AD9133.edm" localSheetId="28" hidden="1">#REF!</definedName>
    <definedName name="_bdm.798B66F4737D405D8E166AD903AD9133.edm" localSheetId="35" hidden="1">#REF!</definedName>
    <definedName name="_bdm.798B66F4737D405D8E166AD903AD9133.edm" hidden="1">#REF!</definedName>
    <definedName name="_bdm.7AAACA4672FE4AABB120B35F1F6BF722.edm" localSheetId="18" hidden="1">#REF!</definedName>
    <definedName name="_bdm.7AAACA4672FE4AABB120B35F1F6BF722.edm" localSheetId="25" hidden="1">#REF!</definedName>
    <definedName name="_bdm.7AAACA4672FE4AABB120B35F1F6BF722.edm" localSheetId="29" hidden="1">#REF!</definedName>
    <definedName name="_bdm.7AAACA4672FE4AABB120B35F1F6BF722.edm" localSheetId="31" hidden="1">#REF!</definedName>
    <definedName name="_bdm.7AAACA4672FE4AABB120B35F1F6BF722.edm" localSheetId="15" hidden="1">#REF!</definedName>
    <definedName name="_bdm.7AAACA4672FE4AABB120B35F1F6BF722.edm" localSheetId="13" hidden="1">#REF!</definedName>
    <definedName name="_bdm.7AAACA4672FE4AABB120B35F1F6BF722.edm" localSheetId="17" hidden="1">#REF!</definedName>
    <definedName name="_bdm.7AAACA4672FE4AABB120B35F1F6BF722.edm" localSheetId="12" hidden="1">#REF!</definedName>
    <definedName name="_bdm.7AAACA4672FE4AABB120B35F1F6BF722.edm" localSheetId="22" hidden="1">#REF!</definedName>
    <definedName name="_bdm.7AAACA4672FE4AABB120B35F1F6BF722.edm" localSheetId="28" hidden="1">#REF!</definedName>
    <definedName name="_bdm.7AAACA4672FE4AABB120B35F1F6BF722.edm" localSheetId="35" hidden="1">#REF!</definedName>
    <definedName name="_bdm.7AAACA4672FE4AABB120B35F1F6BF722.edm" hidden="1">#REF!</definedName>
    <definedName name="_bdm.7B7617E2CF8F4F46B33C5D7AD69D1EB7.edm" localSheetId="18" hidden="1">#REF!</definedName>
    <definedName name="_bdm.7B7617E2CF8F4F46B33C5D7AD69D1EB7.edm" localSheetId="25" hidden="1">#REF!</definedName>
    <definedName name="_bdm.7B7617E2CF8F4F46B33C5D7AD69D1EB7.edm" localSheetId="29" hidden="1">#REF!</definedName>
    <definedName name="_bdm.7B7617E2CF8F4F46B33C5D7AD69D1EB7.edm" localSheetId="31" hidden="1">#REF!</definedName>
    <definedName name="_bdm.7B7617E2CF8F4F46B33C5D7AD69D1EB7.edm" localSheetId="15" hidden="1">#REF!</definedName>
    <definedName name="_bdm.7B7617E2CF8F4F46B33C5D7AD69D1EB7.edm" localSheetId="13" hidden="1">#REF!</definedName>
    <definedName name="_bdm.7B7617E2CF8F4F46B33C5D7AD69D1EB7.edm" localSheetId="17" hidden="1">#REF!</definedName>
    <definedName name="_bdm.7B7617E2CF8F4F46B33C5D7AD69D1EB7.edm" localSheetId="12" hidden="1">#REF!</definedName>
    <definedName name="_bdm.7B7617E2CF8F4F46B33C5D7AD69D1EB7.edm" localSheetId="22" hidden="1">#REF!</definedName>
    <definedName name="_bdm.7B7617E2CF8F4F46B33C5D7AD69D1EB7.edm" localSheetId="28" hidden="1">#REF!</definedName>
    <definedName name="_bdm.7B7617E2CF8F4F46B33C5D7AD69D1EB7.edm" localSheetId="35" hidden="1">#REF!</definedName>
    <definedName name="_bdm.7B7617E2CF8F4F46B33C5D7AD69D1EB7.edm" hidden="1">#REF!</definedName>
    <definedName name="_bdm.7E482D0A6A9A490DB4BA7E9C662E504C.edm" hidden="1">[48]Banques!$A:$IV</definedName>
    <definedName name="_bdm.978AA887B7A0409D9BEB94DDCF92946A.edm" localSheetId="18" hidden="1">#REF!</definedName>
    <definedName name="_bdm.978AA887B7A0409D9BEB94DDCF92946A.edm" localSheetId="25" hidden="1">#REF!</definedName>
    <definedName name="_bdm.978AA887B7A0409D9BEB94DDCF92946A.edm" localSheetId="29" hidden="1">#REF!</definedName>
    <definedName name="_bdm.978AA887B7A0409D9BEB94DDCF92946A.edm" localSheetId="31" hidden="1">#REF!</definedName>
    <definedName name="_bdm.978AA887B7A0409D9BEB94DDCF92946A.edm" localSheetId="15" hidden="1">#REF!</definedName>
    <definedName name="_bdm.978AA887B7A0409D9BEB94DDCF92946A.edm" localSheetId="13" hidden="1">#REF!</definedName>
    <definedName name="_bdm.978AA887B7A0409D9BEB94DDCF92946A.edm" localSheetId="17" hidden="1">#REF!</definedName>
    <definedName name="_bdm.978AA887B7A0409D9BEB94DDCF92946A.edm" localSheetId="12" hidden="1">#REF!</definedName>
    <definedName name="_bdm.978AA887B7A0409D9BEB94DDCF92946A.edm" localSheetId="22" hidden="1">#REF!</definedName>
    <definedName name="_bdm.978AA887B7A0409D9BEB94DDCF92946A.edm" localSheetId="28" hidden="1">#REF!</definedName>
    <definedName name="_bdm.978AA887B7A0409D9BEB94DDCF92946A.edm" localSheetId="35" hidden="1">#REF!</definedName>
    <definedName name="_bdm.978AA887B7A0409D9BEB94DDCF92946A.edm" hidden="1">#REF!</definedName>
    <definedName name="_bdm.9ACBBA07335647B59AADC13E50D1989D.edm" localSheetId="18" hidden="1">#REF!</definedName>
    <definedName name="_bdm.9ACBBA07335647B59AADC13E50D1989D.edm" localSheetId="25" hidden="1">#REF!</definedName>
    <definedName name="_bdm.9ACBBA07335647B59AADC13E50D1989D.edm" localSheetId="29" hidden="1">#REF!</definedName>
    <definedName name="_bdm.9ACBBA07335647B59AADC13E50D1989D.edm" localSheetId="31" hidden="1">#REF!</definedName>
    <definedName name="_bdm.9ACBBA07335647B59AADC13E50D1989D.edm" localSheetId="15" hidden="1">#REF!</definedName>
    <definedName name="_bdm.9ACBBA07335647B59AADC13E50D1989D.edm" localSheetId="13" hidden="1">#REF!</definedName>
    <definedName name="_bdm.9ACBBA07335647B59AADC13E50D1989D.edm" localSheetId="17" hidden="1">#REF!</definedName>
    <definedName name="_bdm.9ACBBA07335647B59AADC13E50D1989D.edm" localSheetId="12" hidden="1">#REF!</definedName>
    <definedName name="_bdm.9ACBBA07335647B59AADC13E50D1989D.edm" localSheetId="22" hidden="1">#REF!</definedName>
    <definedName name="_bdm.9ACBBA07335647B59AADC13E50D1989D.edm" localSheetId="28" hidden="1">#REF!</definedName>
    <definedName name="_bdm.9ACBBA07335647B59AADC13E50D1989D.edm" localSheetId="35" hidden="1">#REF!</definedName>
    <definedName name="_bdm.9ACBBA07335647B59AADC13E50D1989D.edm" hidden="1">#REF!</definedName>
    <definedName name="_bdm.9E068CDE91E2433BBDF7C764830C46CA.edm" localSheetId="18" hidden="1">#REF!</definedName>
    <definedName name="_bdm.9E068CDE91E2433BBDF7C764830C46CA.edm" localSheetId="25" hidden="1">#REF!</definedName>
    <definedName name="_bdm.9E068CDE91E2433BBDF7C764830C46CA.edm" localSheetId="29" hidden="1">#REF!</definedName>
    <definedName name="_bdm.9E068CDE91E2433BBDF7C764830C46CA.edm" localSheetId="31" hidden="1">#REF!</definedName>
    <definedName name="_bdm.9E068CDE91E2433BBDF7C764830C46CA.edm" localSheetId="15" hidden="1">#REF!</definedName>
    <definedName name="_bdm.9E068CDE91E2433BBDF7C764830C46CA.edm" localSheetId="13" hidden="1">#REF!</definedName>
    <definedName name="_bdm.9E068CDE91E2433BBDF7C764830C46CA.edm" localSheetId="17" hidden="1">#REF!</definedName>
    <definedName name="_bdm.9E068CDE91E2433BBDF7C764830C46CA.edm" localSheetId="12" hidden="1">#REF!</definedName>
    <definedName name="_bdm.9E068CDE91E2433BBDF7C764830C46CA.edm" localSheetId="22" hidden="1">#REF!</definedName>
    <definedName name="_bdm.9E068CDE91E2433BBDF7C764830C46CA.edm" localSheetId="28" hidden="1">#REF!</definedName>
    <definedName name="_bdm.9E068CDE91E2433BBDF7C764830C46CA.edm" localSheetId="35" hidden="1">#REF!</definedName>
    <definedName name="_bdm.9E068CDE91E2433BBDF7C764830C46CA.edm" hidden="1">#REF!</definedName>
    <definedName name="_bdm.A28A9FABA82C4BC0ABDC9477F55B7009.edm" localSheetId="18" hidden="1">#REF!</definedName>
    <definedName name="_bdm.A28A9FABA82C4BC0ABDC9477F55B7009.edm" localSheetId="25" hidden="1">#REF!</definedName>
    <definedName name="_bdm.A28A9FABA82C4BC0ABDC9477F55B7009.edm" localSheetId="29" hidden="1">#REF!</definedName>
    <definedName name="_bdm.A28A9FABA82C4BC0ABDC9477F55B7009.edm" localSheetId="31" hidden="1">#REF!</definedName>
    <definedName name="_bdm.A28A9FABA82C4BC0ABDC9477F55B7009.edm" localSheetId="15" hidden="1">#REF!</definedName>
    <definedName name="_bdm.A28A9FABA82C4BC0ABDC9477F55B7009.edm" localSheetId="13" hidden="1">#REF!</definedName>
    <definedName name="_bdm.A28A9FABA82C4BC0ABDC9477F55B7009.edm" localSheetId="17" hidden="1">#REF!</definedName>
    <definedName name="_bdm.A28A9FABA82C4BC0ABDC9477F55B7009.edm" localSheetId="12" hidden="1">#REF!</definedName>
    <definedName name="_bdm.A28A9FABA82C4BC0ABDC9477F55B7009.edm" localSheetId="22" hidden="1">#REF!</definedName>
    <definedName name="_bdm.A28A9FABA82C4BC0ABDC9477F55B7009.edm" localSheetId="28" hidden="1">#REF!</definedName>
    <definedName name="_bdm.A28A9FABA82C4BC0ABDC9477F55B7009.edm" localSheetId="35" hidden="1">#REF!</definedName>
    <definedName name="_bdm.A28A9FABA82C4BC0ABDC9477F55B7009.edm" hidden="1">#REF!</definedName>
    <definedName name="_bdm.A34D1CF0DB9D498B8FD69EF70C6190B9.edm" localSheetId="18" hidden="1">#REF!</definedName>
    <definedName name="_bdm.A34D1CF0DB9D498B8FD69EF70C6190B9.edm" localSheetId="25" hidden="1">#REF!</definedName>
    <definedName name="_bdm.A34D1CF0DB9D498B8FD69EF70C6190B9.edm" localSheetId="29" hidden="1">#REF!</definedName>
    <definedName name="_bdm.A34D1CF0DB9D498B8FD69EF70C6190B9.edm" localSheetId="31" hidden="1">#REF!</definedName>
    <definedName name="_bdm.A34D1CF0DB9D498B8FD69EF70C6190B9.edm" localSheetId="15" hidden="1">#REF!</definedName>
    <definedName name="_bdm.A34D1CF0DB9D498B8FD69EF70C6190B9.edm" localSheetId="13" hidden="1">#REF!</definedName>
    <definedName name="_bdm.A34D1CF0DB9D498B8FD69EF70C6190B9.edm" localSheetId="17" hidden="1">#REF!</definedName>
    <definedName name="_bdm.A34D1CF0DB9D498B8FD69EF70C6190B9.edm" localSheetId="12" hidden="1">#REF!</definedName>
    <definedName name="_bdm.A34D1CF0DB9D498B8FD69EF70C6190B9.edm" localSheetId="22" hidden="1">#REF!</definedName>
    <definedName name="_bdm.A34D1CF0DB9D498B8FD69EF70C6190B9.edm" localSheetId="28" hidden="1">#REF!</definedName>
    <definedName name="_bdm.A34D1CF0DB9D498B8FD69EF70C6190B9.edm" localSheetId="35" hidden="1">#REF!</definedName>
    <definedName name="_bdm.A34D1CF0DB9D498B8FD69EF70C6190B9.edm" hidden="1">#REF!</definedName>
    <definedName name="_bdm.A3ACD61AA97041CDB0D389B5A3B28566.edm" localSheetId="18" hidden="1">#REF!</definedName>
    <definedName name="_bdm.A3ACD61AA97041CDB0D389B5A3B28566.edm" localSheetId="25" hidden="1">#REF!</definedName>
    <definedName name="_bdm.A3ACD61AA97041CDB0D389B5A3B28566.edm" localSheetId="29" hidden="1">#REF!</definedName>
    <definedName name="_bdm.A3ACD61AA97041CDB0D389B5A3B28566.edm" localSheetId="31" hidden="1">#REF!</definedName>
    <definedName name="_bdm.A3ACD61AA97041CDB0D389B5A3B28566.edm" localSheetId="15" hidden="1">#REF!</definedName>
    <definedName name="_bdm.A3ACD61AA97041CDB0D389B5A3B28566.edm" localSheetId="13" hidden="1">#REF!</definedName>
    <definedName name="_bdm.A3ACD61AA97041CDB0D389B5A3B28566.edm" localSheetId="17" hidden="1">#REF!</definedName>
    <definedName name="_bdm.A3ACD61AA97041CDB0D389B5A3B28566.edm" localSheetId="12" hidden="1">#REF!</definedName>
    <definedName name="_bdm.A3ACD61AA97041CDB0D389B5A3B28566.edm" localSheetId="22" hidden="1">#REF!</definedName>
    <definedName name="_bdm.A3ACD61AA97041CDB0D389B5A3B28566.edm" localSheetId="28" hidden="1">#REF!</definedName>
    <definedName name="_bdm.A3ACD61AA97041CDB0D389B5A3B28566.edm" localSheetId="35" hidden="1">#REF!</definedName>
    <definedName name="_bdm.A3ACD61AA97041CDB0D389B5A3B28566.edm" hidden="1">#REF!</definedName>
    <definedName name="_bdm.B5EBC1BF630646CF98990A90EE5C73A7.edm" hidden="1">'[49]Charts (2)'!$A:$IV</definedName>
    <definedName name="_bdm.B5F4FA410314435888E15E0CFF304D25.edm" hidden="1">[49]Charts!$A:$IV</definedName>
    <definedName name="_bdm.BB237A5F4F0D4DD1B8979E5B117F89E3.edm" localSheetId="18" hidden="1">#REF!</definedName>
    <definedName name="_bdm.BB237A5F4F0D4DD1B8979E5B117F89E3.edm" localSheetId="25" hidden="1">#REF!</definedName>
    <definedName name="_bdm.BB237A5F4F0D4DD1B8979E5B117F89E3.edm" localSheetId="29" hidden="1">#REF!</definedName>
    <definedName name="_bdm.BB237A5F4F0D4DD1B8979E5B117F89E3.edm" localSheetId="31" hidden="1">#REF!</definedName>
    <definedName name="_bdm.BB237A5F4F0D4DD1B8979E5B117F89E3.edm" localSheetId="15" hidden="1">#REF!</definedName>
    <definedName name="_bdm.BB237A5F4F0D4DD1B8979E5B117F89E3.edm" localSheetId="13" hidden="1">#REF!</definedName>
    <definedName name="_bdm.BB237A5F4F0D4DD1B8979E5B117F89E3.edm" localSheetId="17" hidden="1">#REF!</definedName>
    <definedName name="_bdm.BB237A5F4F0D4DD1B8979E5B117F89E3.edm" localSheetId="12" hidden="1">#REF!</definedName>
    <definedName name="_bdm.BB237A5F4F0D4DD1B8979E5B117F89E3.edm" localSheetId="22" hidden="1">#REF!</definedName>
    <definedName name="_bdm.BB237A5F4F0D4DD1B8979E5B117F89E3.edm" localSheetId="28" hidden="1">#REF!</definedName>
    <definedName name="_bdm.BB237A5F4F0D4DD1B8979E5B117F89E3.edm" localSheetId="35" hidden="1">#REF!</definedName>
    <definedName name="_bdm.BB237A5F4F0D4DD1B8979E5B117F89E3.edm" hidden="1">#REF!</definedName>
    <definedName name="_bdm.BCBEAFDCF30E4D8FA746679BF86222DE.edm" localSheetId="18" hidden="1">#REF!</definedName>
    <definedName name="_bdm.BCBEAFDCF30E4D8FA746679BF86222DE.edm" localSheetId="25" hidden="1">#REF!</definedName>
    <definedName name="_bdm.BCBEAFDCF30E4D8FA746679BF86222DE.edm" localSheetId="29" hidden="1">#REF!</definedName>
    <definedName name="_bdm.BCBEAFDCF30E4D8FA746679BF86222DE.edm" localSheetId="31" hidden="1">#REF!</definedName>
    <definedName name="_bdm.BCBEAFDCF30E4D8FA746679BF86222DE.edm" localSheetId="15" hidden="1">#REF!</definedName>
    <definedName name="_bdm.BCBEAFDCF30E4D8FA746679BF86222DE.edm" localSheetId="13" hidden="1">#REF!</definedName>
    <definedName name="_bdm.BCBEAFDCF30E4D8FA746679BF86222DE.edm" localSheetId="17" hidden="1">#REF!</definedName>
    <definedName name="_bdm.BCBEAFDCF30E4D8FA746679BF86222DE.edm" localSheetId="12" hidden="1">#REF!</definedName>
    <definedName name="_bdm.BCBEAFDCF30E4D8FA746679BF86222DE.edm" localSheetId="22" hidden="1">#REF!</definedName>
    <definedName name="_bdm.BCBEAFDCF30E4D8FA746679BF86222DE.edm" localSheetId="28" hidden="1">#REF!</definedName>
    <definedName name="_bdm.BCBEAFDCF30E4D8FA746679BF86222DE.edm" localSheetId="35" hidden="1">#REF!</definedName>
    <definedName name="_bdm.BCBEAFDCF30E4D8FA746679BF86222DE.edm" hidden="1">#REF!</definedName>
    <definedName name="_bdm.BCDC6A4BFB8F4261AAF69A1910BBFFAB.edm" localSheetId="18" hidden="1">#REF!</definedName>
    <definedName name="_bdm.BCDC6A4BFB8F4261AAF69A1910BBFFAB.edm" localSheetId="25" hidden="1">#REF!</definedName>
    <definedName name="_bdm.BCDC6A4BFB8F4261AAF69A1910BBFFAB.edm" localSheetId="29" hidden="1">#REF!</definedName>
    <definedName name="_bdm.BCDC6A4BFB8F4261AAF69A1910BBFFAB.edm" localSheetId="31" hidden="1">#REF!</definedName>
    <definedName name="_bdm.BCDC6A4BFB8F4261AAF69A1910BBFFAB.edm" localSheetId="15" hidden="1">#REF!</definedName>
    <definedName name="_bdm.BCDC6A4BFB8F4261AAF69A1910BBFFAB.edm" localSheetId="13" hidden="1">#REF!</definedName>
    <definedName name="_bdm.BCDC6A4BFB8F4261AAF69A1910BBFFAB.edm" localSheetId="17" hidden="1">#REF!</definedName>
    <definedName name="_bdm.BCDC6A4BFB8F4261AAF69A1910BBFFAB.edm" localSheetId="12" hidden="1">#REF!</definedName>
    <definedName name="_bdm.BCDC6A4BFB8F4261AAF69A1910BBFFAB.edm" localSheetId="22" hidden="1">#REF!</definedName>
    <definedName name="_bdm.BCDC6A4BFB8F4261AAF69A1910BBFFAB.edm" localSheetId="28" hidden="1">#REF!</definedName>
    <definedName name="_bdm.BCDC6A4BFB8F4261AAF69A1910BBFFAB.edm" localSheetId="35" hidden="1">#REF!</definedName>
    <definedName name="_bdm.BCDC6A4BFB8F4261AAF69A1910BBFFAB.edm" hidden="1">#REF!</definedName>
    <definedName name="_bdm.BF193DFCE64E4F0D81685B0562859DB2.edm" localSheetId="18" hidden="1">#REF!</definedName>
    <definedName name="_bdm.BF193DFCE64E4F0D81685B0562859DB2.edm" localSheetId="25" hidden="1">#REF!</definedName>
    <definedName name="_bdm.BF193DFCE64E4F0D81685B0562859DB2.edm" localSheetId="29" hidden="1">#REF!</definedName>
    <definedName name="_bdm.BF193DFCE64E4F0D81685B0562859DB2.edm" localSheetId="31" hidden="1">#REF!</definedName>
    <definedName name="_bdm.BF193DFCE64E4F0D81685B0562859DB2.edm" localSheetId="15" hidden="1">#REF!</definedName>
    <definedName name="_bdm.BF193DFCE64E4F0D81685B0562859DB2.edm" localSheetId="13" hidden="1">#REF!</definedName>
    <definedName name="_bdm.BF193DFCE64E4F0D81685B0562859DB2.edm" localSheetId="17" hidden="1">#REF!</definedName>
    <definedName name="_bdm.BF193DFCE64E4F0D81685B0562859DB2.edm" localSheetId="12" hidden="1">#REF!</definedName>
    <definedName name="_bdm.BF193DFCE64E4F0D81685B0562859DB2.edm" localSheetId="22" hidden="1">#REF!</definedName>
    <definedName name="_bdm.BF193DFCE64E4F0D81685B0562859DB2.edm" localSheetId="28" hidden="1">#REF!</definedName>
    <definedName name="_bdm.BF193DFCE64E4F0D81685B0562859DB2.edm" localSheetId="35" hidden="1">#REF!</definedName>
    <definedName name="_bdm.BF193DFCE64E4F0D81685B0562859DB2.edm" hidden="1">#REF!</definedName>
    <definedName name="_bdm.C05B16D046A7485D8A261ACBD07A322C.edm" hidden="1">'[48]Key historical financials'!$A:$IV</definedName>
    <definedName name="_bdm.C372A35933EB401BA3A6EC0685403139.edm" localSheetId="18" hidden="1">#REF!</definedName>
    <definedName name="_bdm.C372A35933EB401BA3A6EC0685403139.edm" localSheetId="25" hidden="1">#REF!</definedName>
    <definedName name="_bdm.C372A35933EB401BA3A6EC0685403139.edm" localSheetId="29" hidden="1">#REF!</definedName>
    <definedName name="_bdm.C372A35933EB401BA3A6EC0685403139.edm" localSheetId="31" hidden="1">#REF!</definedName>
    <definedName name="_bdm.C372A35933EB401BA3A6EC0685403139.edm" localSheetId="15" hidden="1">#REF!</definedName>
    <definedName name="_bdm.C372A35933EB401BA3A6EC0685403139.edm" localSheetId="13" hidden="1">#REF!</definedName>
    <definedName name="_bdm.C372A35933EB401BA3A6EC0685403139.edm" localSheetId="17" hidden="1">#REF!</definedName>
    <definedName name="_bdm.C372A35933EB401BA3A6EC0685403139.edm" localSheetId="12" hidden="1">#REF!</definedName>
    <definedName name="_bdm.C372A35933EB401BA3A6EC0685403139.edm" localSheetId="22" hidden="1">#REF!</definedName>
    <definedName name="_bdm.C372A35933EB401BA3A6EC0685403139.edm" localSheetId="28" hidden="1">#REF!</definedName>
    <definedName name="_bdm.C372A35933EB401BA3A6EC0685403139.edm" localSheetId="35" hidden="1">#REF!</definedName>
    <definedName name="_bdm.C372A35933EB401BA3A6EC0685403139.edm" hidden="1">#REF!</definedName>
    <definedName name="_bdm.C7A1F3F634A74A0F9EC4B07D8DBC668B.edm" localSheetId="18" hidden="1">#REF!</definedName>
    <definedName name="_bdm.C7A1F3F634A74A0F9EC4B07D8DBC668B.edm" localSheetId="25" hidden="1">#REF!</definedName>
    <definedName name="_bdm.C7A1F3F634A74A0F9EC4B07D8DBC668B.edm" localSheetId="29" hidden="1">#REF!</definedName>
    <definedName name="_bdm.C7A1F3F634A74A0F9EC4B07D8DBC668B.edm" localSheetId="31" hidden="1">#REF!</definedName>
    <definedName name="_bdm.C7A1F3F634A74A0F9EC4B07D8DBC668B.edm" localSheetId="15" hidden="1">#REF!</definedName>
    <definedName name="_bdm.C7A1F3F634A74A0F9EC4B07D8DBC668B.edm" localSheetId="13" hidden="1">#REF!</definedName>
    <definedName name="_bdm.C7A1F3F634A74A0F9EC4B07D8DBC668B.edm" localSheetId="17" hidden="1">#REF!</definedName>
    <definedName name="_bdm.C7A1F3F634A74A0F9EC4B07D8DBC668B.edm" localSheetId="12" hidden="1">#REF!</definedName>
    <definedName name="_bdm.C7A1F3F634A74A0F9EC4B07D8DBC668B.edm" localSheetId="22" hidden="1">#REF!</definedName>
    <definedName name="_bdm.C7A1F3F634A74A0F9EC4B07D8DBC668B.edm" localSheetId="28" hidden="1">#REF!</definedName>
    <definedName name="_bdm.C7A1F3F634A74A0F9EC4B07D8DBC668B.edm" localSheetId="35" hidden="1">#REF!</definedName>
    <definedName name="_bdm.C7A1F3F634A74A0F9EC4B07D8DBC668B.edm" hidden="1">#REF!</definedName>
    <definedName name="_bdm.C86D533D5E914EB487C2080BF18E83E4.edm" localSheetId="18" hidden="1">#REF!</definedName>
    <definedName name="_bdm.C86D533D5E914EB487C2080BF18E83E4.edm" localSheetId="25" hidden="1">#REF!</definedName>
    <definedName name="_bdm.C86D533D5E914EB487C2080BF18E83E4.edm" localSheetId="29" hidden="1">#REF!</definedName>
    <definedName name="_bdm.C86D533D5E914EB487C2080BF18E83E4.edm" localSheetId="31" hidden="1">#REF!</definedName>
    <definedName name="_bdm.C86D533D5E914EB487C2080BF18E83E4.edm" localSheetId="15" hidden="1">#REF!</definedName>
    <definedName name="_bdm.C86D533D5E914EB487C2080BF18E83E4.edm" localSheetId="13" hidden="1">#REF!</definedName>
    <definedName name="_bdm.C86D533D5E914EB487C2080BF18E83E4.edm" localSheetId="17" hidden="1">#REF!</definedName>
    <definedName name="_bdm.C86D533D5E914EB487C2080BF18E83E4.edm" localSheetId="12" hidden="1">#REF!</definedName>
    <definedName name="_bdm.C86D533D5E914EB487C2080BF18E83E4.edm" localSheetId="22" hidden="1">#REF!</definedName>
    <definedName name="_bdm.C86D533D5E914EB487C2080BF18E83E4.edm" localSheetId="28" hidden="1">#REF!</definedName>
    <definedName name="_bdm.C86D533D5E914EB487C2080BF18E83E4.edm" localSheetId="35" hidden="1">#REF!</definedName>
    <definedName name="_bdm.C86D533D5E914EB487C2080BF18E83E4.edm" hidden="1">#REF!</definedName>
    <definedName name="_bdm.C935CBCFCC734F7AB9CA5D1103224C93.edm" localSheetId="18" hidden="1">#REF!</definedName>
    <definedName name="_bdm.C935CBCFCC734F7AB9CA5D1103224C93.edm" localSheetId="25" hidden="1">#REF!</definedName>
    <definedName name="_bdm.C935CBCFCC734F7AB9CA5D1103224C93.edm" localSheetId="29" hidden="1">#REF!</definedName>
    <definedName name="_bdm.C935CBCFCC734F7AB9CA5D1103224C93.edm" localSheetId="31" hidden="1">#REF!</definedName>
    <definedName name="_bdm.C935CBCFCC734F7AB9CA5D1103224C93.edm" localSheetId="15" hidden="1">#REF!</definedName>
    <definedName name="_bdm.C935CBCFCC734F7AB9CA5D1103224C93.edm" localSheetId="13" hidden="1">#REF!</definedName>
    <definedName name="_bdm.C935CBCFCC734F7AB9CA5D1103224C93.edm" localSheetId="17" hidden="1">#REF!</definedName>
    <definedName name="_bdm.C935CBCFCC734F7AB9CA5D1103224C93.edm" localSheetId="12" hidden="1">#REF!</definedName>
    <definedName name="_bdm.C935CBCFCC734F7AB9CA5D1103224C93.edm" localSheetId="22" hidden="1">#REF!</definedName>
    <definedName name="_bdm.C935CBCFCC734F7AB9CA5D1103224C93.edm" localSheetId="28" hidden="1">#REF!</definedName>
    <definedName name="_bdm.C935CBCFCC734F7AB9CA5D1103224C93.edm" localSheetId="35" hidden="1">#REF!</definedName>
    <definedName name="_bdm.C935CBCFCC734F7AB9CA5D1103224C93.edm" hidden="1">#REF!</definedName>
    <definedName name="_bdm.CC87ADE021184A7094FC32CE14CFBA8E.edm" hidden="1">[48]OUTPUT!$A:$IV</definedName>
    <definedName name="_bdm.CDA74E3D7FAC4579B204406FAE55AE99.edm" localSheetId="18" hidden="1">#REF!</definedName>
    <definedName name="_bdm.CDA74E3D7FAC4579B204406FAE55AE99.edm" localSheetId="25" hidden="1">#REF!</definedName>
    <definedName name="_bdm.CDA74E3D7FAC4579B204406FAE55AE99.edm" localSheetId="29" hidden="1">#REF!</definedName>
    <definedName name="_bdm.CDA74E3D7FAC4579B204406FAE55AE99.edm" localSheetId="31" hidden="1">#REF!</definedName>
    <definedName name="_bdm.CDA74E3D7FAC4579B204406FAE55AE99.edm" localSheetId="15" hidden="1">#REF!</definedName>
    <definedName name="_bdm.CDA74E3D7FAC4579B204406FAE55AE99.edm" localSheetId="13" hidden="1">#REF!</definedName>
    <definedName name="_bdm.CDA74E3D7FAC4579B204406FAE55AE99.edm" localSheetId="17" hidden="1">#REF!</definedName>
    <definedName name="_bdm.CDA74E3D7FAC4579B204406FAE55AE99.edm" localSheetId="12" hidden="1">#REF!</definedName>
    <definedName name="_bdm.CDA74E3D7FAC4579B204406FAE55AE99.edm" localSheetId="22" hidden="1">#REF!</definedName>
    <definedName name="_bdm.CDA74E3D7FAC4579B204406FAE55AE99.edm" localSheetId="28" hidden="1">#REF!</definedName>
    <definedName name="_bdm.CDA74E3D7FAC4579B204406FAE55AE99.edm" localSheetId="35" hidden="1">#REF!</definedName>
    <definedName name="_bdm.CDA74E3D7FAC4579B204406FAE55AE99.edm" hidden="1">#REF!</definedName>
    <definedName name="_bdm.D53AE69ED9E841EFBC1CE6DD976C8FC6.edm" hidden="1">[50]Charts!$A:$IV</definedName>
    <definedName name="_bdm.D68F0F579E0F4D9F8EDE01C05C8CBDCB.edm" localSheetId="18" hidden="1">#REF!</definedName>
    <definedName name="_bdm.D68F0F579E0F4D9F8EDE01C05C8CBDCB.edm" localSheetId="25" hidden="1">#REF!</definedName>
    <definedName name="_bdm.D68F0F579E0F4D9F8EDE01C05C8CBDCB.edm" localSheetId="29" hidden="1">#REF!</definedName>
    <definedName name="_bdm.D68F0F579E0F4D9F8EDE01C05C8CBDCB.edm" localSheetId="31" hidden="1">#REF!</definedName>
    <definedName name="_bdm.D68F0F579E0F4D9F8EDE01C05C8CBDCB.edm" localSheetId="15" hidden="1">#REF!</definedName>
    <definedName name="_bdm.D68F0F579E0F4D9F8EDE01C05C8CBDCB.edm" localSheetId="13" hidden="1">#REF!</definedName>
    <definedName name="_bdm.D68F0F579E0F4D9F8EDE01C05C8CBDCB.edm" localSheetId="17" hidden="1">#REF!</definedName>
    <definedName name="_bdm.D68F0F579E0F4D9F8EDE01C05C8CBDCB.edm" localSheetId="12" hidden="1">#REF!</definedName>
    <definedName name="_bdm.D68F0F579E0F4D9F8EDE01C05C8CBDCB.edm" localSheetId="22" hidden="1">#REF!</definedName>
    <definedName name="_bdm.D68F0F579E0F4D9F8EDE01C05C8CBDCB.edm" localSheetId="28" hidden="1">#REF!</definedName>
    <definedName name="_bdm.D68F0F579E0F4D9F8EDE01C05C8CBDCB.edm" localSheetId="35" hidden="1">#REF!</definedName>
    <definedName name="_bdm.D68F0F579E0F4D9F8EDE01C05C8CBDCB.edm" hidden="1">#REF!</definedName>
    <definedName name="_bdm.DB7A4686E71E4C1FA433BF1FC8CD0FF0.edm" localSheetId="18" hidden="1">#REF!</definedName>
    <definedName name="_bdm.DB7A4686E71E4C1FA433BF1FC8CD0FF0.edm" localSheetId="25" hidden="1">#REF!</definedName>
    <definedName name="_bdm.DB7A4686E71E4C1FA433BF1FC8CD0FF0.edm" localSheetId="29" hidden="1">#REF!</definedName>
    <definedName name="_bdm.DB7A4686E71E4C1FA433BF1FC8CD0FF0.edm" localSheetId="31" hidden="1">#REF!</definedName>
    <definedName name="_bdm.DB7A4686E71E4C1FA433BF1FC8CD0FF0.edm" localSheetId="15" hidden="1">#REF!</definedName>
    <definedName name="_bdm.DB7A4686E71E4C1FA433BF1FC8CD0FF0.edm" localSheetId="13" hidden="1">#REF!</definedName>
    <definedName name="_bdm.DB7A4686E71E4C1FA433BF1FC8CD0FF0.edm" localSheetId="17" hidden="1">#REF!</definedName>
    <definedName name="_bdm.DB7A4686E71E4C1FA433BF1FC8CD0FF0.edm" localSheetId="12" hidden="1">#REF!</definedName>
    <definedName name="_bdm.DB7A4686E71E4C1FA433BF1FC8CD0FF0.edm" localSheetId="22" hidden="1">#REF!</definedName>
    <definedName name="_bdm.DB7A4686E71E4C1FA433BF1FC8CD0FF0.edm" localSheetId="28" hidden="1">#REF!</definedName>
    <definedName name="_bdm.DB7A4686E71E4C1FA433BF1FC8CD0FF0.edm" localSheetId="35" hidden="1">#REF!</definedName>
    <definedName name="_bdm.DB7A4686E71E4C1FA433BF1FC8CD0FF0.edm" hidden="1">#REF!</definedName>
    <definedName name="_bdm.DCF303DB6FEF4A7D95C8B1A06C3EDA7D.edm" localSheetId="18" hidden="1">#REF!</definedName>
    <definedName name="_bdm.DCF303DB6FEF4A7D95C8B1A06C3EDA7D.edm" localSheetId="25" hidden="1">#REF!</definedName>
    <definedName name="_bdm.DCF303DB6FEF4A7D95C8B1A06C3EDA7D.edm" localSheetId="29" hidden="1">#REF!</definedName>
    <definedName name="_bdm.DCF303DB6FEF4A7D95C8B1A06C3EDA7D.edm" localSheetId="31" hidden="1">#REF!</definedName>
    <definedName name="_bdm.DCF303DB6FEF4A7D95C8B1A06C3EDA7D.edm" localSheetId="15" hidden="1">#REF!</definedName>
    <definedName name="_bdm.DCF303DB6FEF4A7D95C8B1A06C3EDA7D.edm" localSheetId="13" hidden="1">#REF!</definedName>
    <definedName name="_bdm.DCF303DB6FEF4A7D95C8B1A06C3EDA7D.edm" localSheetId="17" hidden="1">#REF!</definedName>
    <definedName name="_bdm.DCF303DB6FEF4A7D95C8B1A06C3EDA7D.edm" localSheetId="12" hidden="1">#REF!</definedName>
    <definedName name="_bdm.DCF303DB6FEF4A7D95C8B1A06C3EDA7D.edm" localSheetId="22" hidden="1">#REF!</definedName>
    <definedName name="_bdm.DCF303DB6FEF4A7D95C8B1A06C3EDA7D.edm" localSheetId="28" hidden="1">#REF!</definedName>
    <definedName name="_bdm.DCF303DB6FEF4A7D95C8B1A06C3EDA7D.edm" localSheetId="35" hidden="1">#REF!</definedName>
    <definedName name="_bdm.DCF303DB6FEF4A7D95C8B1A06C3EDA7D.edm" hidden="1">#REF!</definedName>
    <definedName name="_bdm.E11B1C5716184E2EAE2F8DCD87BD458E.edm" localSheetId="18" hidden="1">#REF!</definedName>
    <definedName name="_bdm.E11B1C5716184E2EAE2F8DCD87BD458E.edm" localSheetId="25" hidden="1">#REF!</definedName>
    <definedName name="_bdm.E11B1C5716184E2EAE2F8DCD87BD458E.edm" localSheetId="29" hidden="1">#REF!</definedName>
    <definedName name="_bdm.E11B1C5716184E2EAE2F8DCD87BD458E.edm" localSheetId="31" hidden="1">#REF!</definedName>
    <definedName name="_bdm.E11B1C5716184E2EAE2F8DCD87BD458E.edm" localSheetId="15" hidden="1">#REF!</definedName>
    <definedName name="_bdm.E11B1C5716184E2EAE2F8DCD87BD458E.edm" localSheetId="13" hidden="1">#REF!</definedName>
    <definedName name="_bdm.E11B1C5716184E2EAE2F8DCD87BD458E.edm" localSheetId="17" hidden="1">#REF!</definedName>
    <definedName name="_bdm.E11B1C5716184E2EAE2F8DCD87BD458E.edm" localSheetId="12" hidden="1">#REF!</definedName>
    <definedName name="_bdm.E11B1C5716184E2EAE2F8DCD87BD458E.edm" localSheetId="22" hidden="1">#REF!</definedName>
    <definedName name="_bdm.E11B1C5716184E2EAE2F8DCD87BD458E.edm" localSheetId="28" hidden="1">#REF!</definedName>
    <definedName name="_bdm.E11B1C5716184E2EAE2F8DCD87BD458E.edm" localSheetId="35" hidden="1">#REF!</definedName>
    <definedName name="_bdm.E11B1C5716184E2EAE2F8DCD87BD458E.edm" hidden="1">#REF!</definedName>
    <definedName name="_bdm.E59BFABDE1194659AC464A4646E3BBFB.edm" hidden="1">'[49]Colour pannel'!$A:$IV</definedName>
    <definedName name="_bdm.EBAC93D9B4434258968CD782605A4122.edm" localSheetId="18" hidden="1">#REF!</definedName>
    <definedName name="_bdm.EBAC93D9B4434258968CD782605A4122.edm" localSheetId="25" hidden="1">#REF!</definedName>
    <definedName name="_bdm.EBAC93D9B4434258968CD782605A4122.edm" localSheetId="29" hidden="1">#REF!</definedName>
    <definedName name="_bdm.EBAC93D9B4434258968CD782605A4122.edm" localSheetId="31" hidden="1">#REF!</definedName>
    <definedName name="_bdm.EBAC93D9B4434258968CD782605A4122.edm" localSheetId="15" hidden="1">#REF!</definedName>
    <definedName name="_bdm.EBAC93D9B4434258968CD782605A4122.edm" localSheetId="13" hidden="1">#REF!</definedName>
    <definedName name="_bdm.EBAC93D9B4434258968CD782605A4122.edm" localSheetId="17" hidden="1">#REF!</definedName>
    <definedName name="_bdm.EBAC93D9B4434258968CD782605A4122.edm" localSheetId="12" hidden="1">#REF!</definedName>
    <definedName name="_bdm.EBAC93D9B4434258968CD782605A4122.edm" localSheetId="22" hidden="1">#REF!</definedName>
    <definedName name="_bdm.EBAC93D9B4434258968CD782605A4122.edm" localSheetId="28" hidden="1">#REF!</definedName>
    <definedName name="_bdm.EBAC93D9B4434258968CD782605A4122.edm" localSheetId="35" hidden="1">#REF!</definedName>
    <definedName name="_bdm.EBAC93D9B4434258968CD782605A4122.edm" hidden="1">#REF!</definedName>
    <definedName name="_bdm.ECF6D3394DBF44B7ABC5637DE6403FE6.edm" localSheetId="18" hidden="1">#REF!</definedName>
    <definedName name="_bdm.ECF6D3394DBF44B7ABC5637DE6403FE6.edm" localSheetId="25" hidden="1">#REF!</definedName>
    <definedName name="_bdm.ECF6D3394DBF44B7ABC5637DE6403FE6.edm" localSheetId="29" hidden="1">#REF!</definedName>
    <definedName name="_bdm.ECF6D3394DBF44B7ABC5637DE6403FE6.edm" localSheetId="31" hidden="1">#REF!</definedName>
    <definedName name="_bdm.ECF6D3394DBF44B7ABC5637DE6403FE6.edm" localSheetId="15" hidden="1">#REF!</definedName>
    <definedName name="_bdm.ECF6D3394DBF44B7ABC5637DE6403FE6.edm" localSheetId="13" hidden="1">#REF!</definedName>
    <definedName name="_bdm.ECF6D3394DBF44B7ABC5637DE6403FE6.edm" localSheetId="17" hidden="1">#REF!</definedName>
    <definedName name="_bdm.ECF6D3394DBF44B7ABC5637DE6403FE6.edm" localSheetId="12" hidden="1">#REF!</definedName>
    <definedName name="_bdm.ECF6D3394DBF44B7ABC5637DE6403FE6.edm" localSheetId="22" hidden="1">#REF!</definedName>
    <definedName name="_bdm.ECF6D3394DBF44B7ABC5637DE6403FE6.edm" localSheetId="28" hidden="1">#REF!</definedName>
    <definedName name="_bdm.ECF6D3394DBF44B7ABC5637DE6403FE6.edm" localSheetId="35" hidden="1">#REF!</definedName>
    <definedName name="_bdm.ECF6D3394DBF44B7ABC5637DE6403FE6.edm" hidden="1">#REF!</definedName>
    <definedName name="_bdm.F18B3776FEAF4F7AA1587EB080776343.edm" localSheetId="18" hidden="1">#REF!</definedName>
    <definedName name="_bdm.F18B3776FEAF4F7AA1587EB080776343.edm" localSheetId="25" hidden="1">#REF!</definedName>
    <definedName name="_bdm.F18B3776FEAF4F7AA1587EB080776343.edm" localSheetId="29" hidden="1">#REF!</definedName>
    <definedName name="_bdm.F18B3776FEAF4F7AA1587EB080776343.edm" localSheetId="31" hidden="1">#REF!</definedName>
    <definedName name="_bdm.F18B3776FEAF4F7AA1587EB080776343.edm" localSheetId="15" hidden="1">#REF!</definedName>
    <definedName name="_bdm.F18B3776FEAF4F7AA1587EB080776343.edm" localSheetId="13" hidden="1">#REF!</definedName>
    <definedName name="_bdm.F18B3776FEAF4F7AA1587EB080776343.edm" localSheetId="17" hidden="1">#REF!</definedName>
    <definedName name="_bdm.F18B3776FEAF4F7AA1587EB080776343.edm" localSheetId="12" hidden="1">#REF!</definedName>
    <definedName name="_bdm.F18B3776FEAF4F7AA1587EB080776343.edm" localSheetId="22" hidden="1">#REF!</definedName>
    <definedName name="_bdm.F18B3776FEAF4F7AA1587EB080776343.edm" localSheetId="28" hidden="1">#REF!</definedName>
    <definedName name="_bdm.F18B3776FEAF4F7AA1587EB080776343.edm" localSheetId="35" hidden="1">#REF!</definedName>
    <definedName name="_bdm.F18B3776FEAF4F7AA1587EB080776343.edm" hidden="1">#REF!</definedName>
    <definedName name="_bdm.F44AE91BFA0E46E8889BCA3BF81CDCFF.edm" localSheetId="18" hidden="1">#REF!</definedName>
    <definedName name="_bdm.F44AE91BFA0E46E8889BCA3BF81CDCFF.edm" localSheetId="25" hidden="1">#REF!</definedName>
    <definedName name="_bdm.F44AE91BFA0E46E8889BCA3BF81CDCFF.edm" localSheetId="29" hidden="1">#REF!</definedName>
    <definedName name="_bdm.F44AE91BFA0E46E8889BCA3BF81CDCFF.edm" localSheetId="31" hidden="1">#REF!</definedName>
    <definedName name="_bdm.F44AE91BFA0E46E8889BCA3BF81CDCFF.edm" localSheetId="15" hidden="1">#REF!</definedName>
    <definedName name="_bdm.F44AE91BFA0E46E8889BCA3BF81CDCFF.edm" localSheetId="13" hidden="1">#REF!</definedName>
    <definedName name="_bdm.F44AE91BFA0E46E8889BCA3BF81CDCFF.edm" localSheetId="17" hidden="1">#REF!</definedName>
    <definedName name="_bdm.F44AE91BFA0E46E8889BCA3BF81CDCFF.edm" localSheetId="12" hidden="1">#REF!</definedName>
    <definedName name="_bdm.F44AE91BFA0E46E8889BCA3BF81CDCFF.edm" localSheetId="22" hidden="1">#REF!</definedName>
    <definedName name="_bdm.F44AE91BFA0E46E8889BCA3BF81CDCFF.edm" localSheetId="28" hidden="1">#REF!</definedName>
    <definedName name="_bdm.F44AE91BFA0E46E8889BCA3BF81CDCFF.edm" localSheetId="35" hidden="1">#REF!</definedName>
    <definedName name="_bdm.F44AE91BFA0E46E8889BCA3BF81CDCFF.edm" hidden="1">#REF!</definedName>
    <definedName name="_c20041" localSheetId="18">#REF!</definedName>
    <definedName name="_c20041" localSheetId="25">#REF!</definedName>
    <definedName name="_c20041" localSheetId="29">#REF!</definedName>
    <definedName name="_c20041" localSheetId="31">#REF!</definedName>
    <definedName name="_c20041" localSheetId="15">#REF!</definedName>
    <definedName name="_c20041" localSheetId="13">#REF!</definedName>
    <definedName name="_c20041" localSheetId="17">#REF!</definedName>
    <definedName name="_c20041" localSheetId="12">#REF!</definedName>
    <definedName name="_c20041" localSheetId="22">#REF!</definedName>
    <definedName name="_c20041" localSheetId="28">#REF!</definedName>
    <definedName name="_c20041" localSheetId="35">#REF!</definedName>
    <definedName name="_c20041">#REF!</definedName>
    <definedName name="_CAT4" localSheetId="29">#REF!</definedName>
    <definedName name="_CAT4" localSheetId="31">#REF!</definedName>
    <definedName name="_CAT4" localSheetId="28">#REF!</definedName>
    <definedName name="_CAT4" localSheetId="35">#REF!</definedName>
    <definedName name="_CAT4">#REF!</definedName>
    <definedName name="_Co50" localSheetId="28" hidden="1">{#N/A,"DR",FALSE,"increm pf";#N/A,"MAMSI",FALSE,"increm pf";#N/A,"MAXI",FALSE,"increm pf";#N/A,"PCAM",FALSE,"increm pf";#N/A,"PHSV",FALSE,"increm pf";#N/A,"SIE",FALSE,"increm pf"}</definedName>
    <definedName name="_Co50" localSheetId="35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localSheetId="28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35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18">#REF!</definedName>
    <definedName name="_DAT1" localSheetId="25">#REF!</definedName>
    <definedName name="_DAT1" localSheetId="29">#REF!</definedName>
    <definedName name="_DAT1" localSheetId="31">#REF!</definedName>
    <definedName name="_DAT1" localSheetId="15">#REF!</definedName>
    <definedName name="_DAT1" localSheetId="13">#REF!</definedName>
    <definedName name="_DAT1" localSheetId="17">#REF!</definedName>
    <definedName name="_DAT1" localSheetId="12">#REF!</definedName>
    <definedName name="_DAT1" localSheetId="22">#REF!</definedName>
    <definedName name="_DAT1" localSheetId="28">#REF!</definedName>
    <definedName name="_DAT1" localSheetId="35">#REF!</definedName>
    <definedName name="_DAT1">#REF!</definedName>
    <definedName name="_DAT10" localSheetId="18">#REF!</definedName>
    <definedName name="_DAT10" localSheetId="25">#REF!</definedName>
    <definedName name="_DAT10" localSheetId="29">#REF!</definedName>
    <definedName name="_DAT10" localSheetId="31">#REF!</definedName>
    <definedName name="_DAT10" localSheetId="15">#REF!</definedName>
    <definedName name="_DAT10" localSheetId="13">#REF!</definedName>
    <definedName name="_DAT10" localSheetId="17">#REF!</definedName>
    <definedName name="_DAT10" localSheetId="12">#REF!</definedName>
    <definedName name="_DAT10" localSheetId="22">#REF!</definedName>
    <definedName name="_DAT10" localSheetId="28">#REF!</definedName>
    <definedName name="_DAT10" localSheetId="35">#REF!</definedName>
    <definedName name="_DAT10">#REF!</definedName>
    <definedName name="_dat100" localSheetId="29">'[51]FES  ATLAS'!#REF!</definedName>
    <definedName name="_dat100" localSheetId="31">'[51]FES  ATLAS'!#REF!</definedName>
    <definedName name="_dat100" localSheetId="28">'[51]FES  ATLAS'!#REF!</definedName>
    <definedName name="_dat100" localSheetId="35">'[51]FES  ATLAS'!#REF!</definedName>
    <definedName name="_dat100">'[51]FES  ATLAS'!#REF!</definedName>
    <definedName name="_DAT11" localSheetId="18">#REF!</definedName>
    <definedName name="_DAT11" localSheetId="25">#REF!</definedName>
    <definedName name="_DAT11" localSheetId="29">#REF!</definedName>
    <definedName name="_DAT11" localSheetId="31">#REF!</definedName>
    <definedName name="_DAT11" localSheetId="15">#REF!</definedName>
    <definedName name="_DAT11" localSheetId="13">#REF!</definedName>
    <definedName name="_DAT11" localSheetId="17">#REF!</definedName>
    <definedName name="_DAT11" localSheetId="12">#REF!</definedName>
    <definedName name="_DAT11" localSheetId="22">#REF!</definedName>
    <definedName name="_DAT11" localSheetId="28">#REF!</definedName>
    <definedName name="_DAT11" localSheetId="35">#REF!</definedName>
    <definedName name="_DAT11">#REF!</definedName>
    <definedName name="_DAT12" localSheetId="18">#REF!</definedName>
    <definedName name="_DAT12" localSheetId="25">#REF!</definedName>
    <definedName name="_DAT12" localSheetId="29">#REF!</definedName>
    <definedName name="_DAT12" localSheetId="31">#REF!</definedName>
    <definedName name="_DAT12" localSheetId="15">#REF!</definedName>
    <definedName name="_DAT12" localSheetId="13">#REF!</definedName>
    <definedName name="_DAT12" localSheetId="17">#REF!</definedName>
    <definedName name="_DAT12" localSheetId="12">#REF!</definedName>
    <definedName name="_DAT12" localSheetId="22">#REF!</definedName>
    <definedName name="_DAT12" localSheetId="28">#REF!</definedName>
    <definedName name="_DAT12" localSheetId="35">#REF!</definedName>
    <definedName name="_DAT12">#REF!</definedName>
    <definedName name="_dat120" localSheetId="29">'[52]FES  ATLAS'!#REF!</definedName>
    <definedName name="_dat120" localSheetId="31">'[52]FES  ATLAS'!#REF!</definedName>
    <definedName name="_dat120" localSheetId="28">'[52]FES  ATLAS'!#REF!</definedName>
    <definedName name="_dat120" localSheetId="35">'[52]FES  ATLAS'!#REF!</definedName>
    <definedName name="_dat120">'[52]FES  ATLAS'!#REF!</definedName>
    <definedName name="_DAT13" localSheetId="18">#REF!</definedName>
    <definedName name="_DAT13" localSheetId="25">#REF!</definedName>
    <definedName name="_DAT13" localSheetId="29">#REF!</definedName>
    <definedName name="_DAT13" localSheetId="31">#REF!</definedName>
    <definedName name="_DAT13" localSheetId="15">#REF!</definedName>
    <definedName name="_DAT13" localSheetId="13">#REF!</definedName>
    <definedName name="_DAT13" localSheetId="17">#REF!</definedName>
    <definedName name="_DAT13" localSheetId="12">#REF!</definedName>
    <definedName name="_DAT13" localSheetId="22">#REF!</definedName>
    <definedName name="_DAT13" localSheetId="28">#REF!</definedName>
    <definedName name="_DAT13" localSheetId="35">#REF!</definedName>
    <definedName name="_DAT13">#REF!</definedName>
    <definedName name="_DAT14" localSheetId="18">#REF!</definedName>
    <definedName name="_DAT14" localSheetId="25">#REF!</definedName>
    <definedName name="_DAT14" localSheetId="29">#REF!</definedName>
    <definedName name="_DAT14" localSheetId="31">#REF!</definedName>
    <definedName name="_DAT14" localSheetId="15">#REF!</definedName>
    <definedName name="_DAT14" localSheetId="13">#REF!</definedName>
    <definedName name="_DAT14" localSheetId="17">#REF!</definedName>
    <definedName name="_DAT14" localSheetId="12">#REF!</definedName>
    <definedName name="_DAT14" localSheetId="22">#REF!</definedName>
    <definedName name="_DAT14" localSheetId="28">#REF!</definedName>
    <definedName name="_DAT14" localSheetId="35">#REF!</definedName>
    <definedName name="_DAT14">#REF!</definedName>
    <definedName name="_DAT15" localSheetId="18">#REF!</definedName>
    <definedName name="_DAT15" localSheetId="25">#REF!</definedName>
    <definedName name="_DAT15" localSheetId="29">#REF!</definedName>
    <definedName name="_DAT15" localSheetId="31">#REF!</definedName>
    <definedName name="_DAT15" localSheetId="15">#REF!</definedName>
    <definedName name="_DAT15" localSheetId="13">#REF!</definedName>
    <definedName name="_DAT15" localSheetId="17">#REF!</definedName>
    <definedName name="_DAT15" localSheetId="12">#REF!</definedName>
    <definedName name="_DAT15" localSheetId="22">#REF!</definedName>
    <definedName name="_DAT15" localSheetId="28">#REF!</definedName>
    <definedName name="_DAT15" localSheetId="35">#REF!</definedName>
    <definedName name="_DAT15">#REF!</definedName>
    <definedName name="_DAT16" localSheetId="18">#REF!</definedName>
    <definedName name="_DAT16" localSheetId="25">#REF!</definedName>
    <definedName name="_DAT16" localSheetId="29">#REF!</definedName>
    <definedName name="_DAT16" localSheetId="31">#REF!</definedName>
    <definedName name="_DAT16" localSheetId="15">#REF!</definedName>
    <definedName name="_DAT16" localSheetId="13">#REF!</definedName>
    <definedName name="_DAT16" localSheetId="17">#REF!</definedName>
    <definedName name="_DAT16" localSheetId="12">#REF!</definedName>
    <definedName name="_DAT16" localSheetId="22">#REF!</definedName>
    <definedName name="_DAT16" localSheetId="28">#REF!</definedName>
    <definedName name="_DAT16" localSheetId="35">#REF!</definedName>
    <definedName name="_DAT16">#REF!</definedName>
    <definedName name="_DAT17" localSheetId="18">#REF!</definedName>
    <definedName name="_DAT17" localSheetId="25">#REF!</definedName>
    <definedName name="_DAT17" localSheetId="29">#REF!</definedName>
    <definedName name="_DAT17" localSheetId="31">#REF!</definedName>
    <definedName name="_DAT17" localSheetId="15">#REF!</definedName>
    <definedName name="_DAT17" localSheetId="13">#REF!</definedName>
    <definedName name="_DAT17" localSheetId="17">#REF!</definedName>
    <definedName name="_DAT17" localSheetId="12">#REF!</definedName>
    <definedName name="_DAT17" localSheetId="22">#REF!</definedName>
    <definedName name="_DAT17" localSheetId="28">#REF!</definedName>
    <definedName name="_DAT17" localSheetId="35">#REF!</definedName>
    <definedName name="_DAT17">#REF!</definedName>
    <definedName name="_DAT18" localSheetId="18">#REF!</definedName>
    <definedName name="_DAT18" localSheetId="25">#REF!</definedName>
    <definedName name="_DAT18" localSheetId="29">#REF!</definedName>
    <definedName name="_DAT18" localSheetId="31">#REF!</definedName>
    <definedName name="_DAT18" localSheetId="15">#REF!</definedName>
    <definedName name="_DAT18" localSheetId="13">#REF!</definedName>
    <definedName name="_DAT18" localSheetId="17">#REF!</definedName>
    <definedName name="_DAT18" localSheetId="12">#REF!</definedName>
    <definedName name="_DAT18" localSheetId="22">#REF!</definedName>
    <definedName name="_DAT18" localSheetId="28">#REF!</definedName>
    <definedName name="_DAT18" localSheetId="35">#REF!</definedName>
    <definedName name="_DAT18">#REF!</definedName>
    <definedName name="_DAT19" localSheetId="18">#REF!</definedName>
    <definedName name="_DAT19" localSheetId="25">#REF!</definedName>
    <definedName name="_DAT19" localSheetId="29">#REF!</definedName>
    <definedName name="_DAT19" localSheetId="31">#REF!</definedName>
    <definedName name="_DAT19" localSheetId="15">#REF!</definedName>
    <definedName name="_DAT19" localSheetId="13">#REF!</definedName>
    <definedName name="_DAT19" localSheetId="17">#REF!</definedName>
    <definedName name="_DAT19" localSheetId="12">#REF!</definedName>
    <definedName name="_DAT19" localSheetId="22">#REF!</definedName>
    <definedName name="_DAT19" localSheetId="28">#REF!</definedName>
    <definedName name="_DAT19" localSheetId="35">#REF!</definedName>
    <definedName name="_DAT19">#REF!</definedName>
    <definedName name="_DAT2" localSheetId="18">#REF!</definedName>
    <definedName name="_DAT2" localSheetId="25">#REF!</definedName>
    <definedName name="_DAT2" localSheetId="29">#REF!</definedName>
    <definedName name="_DAT2" localSheetId="31">#REF!</definedName>
    <definedName name="_DAT2" localSheetId="15">#REF!</definedName>
    <definedName name="_DAT2" localSheetId="13">#REF!</definedName>
    <definedName name="_DAT2" localSheetId="17">#REF!</definedName>
    <definedName name="_DAT2" localSheetId="12">#REF!</definedName>
    <definedName name="_DAT2" localSheetId="22">#REF!</definedName>
    <definedName name="_DAT2" localSheetId="28">#REF!</definedName>
    <definedName name="_DAT2" localSheetId="35">#REF!</definedName>
    <definedName name="_DAT2">#REF!</definedName>
    <definedName name="_DAT20" localSheetId="29">'[53]Frs ETR'!#REF!</definedName>
    <definedName name="_DAT20" localSheetId="31">'[53]Frs ETR'!#REF!</definedName>
    <definedName name="_DAT20" localSheetId="28">'[53]Frs ETR'!#REF!</definedName>
    <definedName name="_DAT20" localSheetId="35">'[53]Frs ETR'!#REF!</definedName>
    <definedName name="_DAT20">'[53]Frs ETR'!#REF!</definedName>
    <definedName name="_DAT21" localSheetId="29">#REF!</definedName>
    <definedName name="_DAT21" localSheetId="31">#REF!</definedName>
    <definedName name="_DAT21" localSheetId="28">#REF!</definedName>
    <definedName name="_DAT21" localSheetId="35">#REF!</definedName>
    <definedName name="_DAT21">#REF!</definedName>
    <definedName name="_DAT22" localSheetId="29">#REF!</definedName>
    <definedName name="_DAT22" localSheetId="31">#REF!</definedName>
    <definedName name="_DAT22" localSheetId="28">#REF!</definedName>
    <definedName name="_DAT22" localSheetId="35">#REF!</definedName>
    <definedName name="_DAT22">#REF!</definedName>
    <definedName name="_DAT23" localSheetId="29">#REF!</definedName>
    <definedName name="_DAT23" localSheetId="31">#REF!</definedName>
    <definedName name="_DAT23" localSheetId="28">#REF!</definedName>
    <definedName name="_DAT23" localSheetId="35">#REF!</definedName>
    <definedName name="_DAT23">#REF!</definedName>
    <definedName name="_DAT24" localSheetId="29">#REF!</definedName>
    <definedName name="_DAT24" localSheetId="31">#REF!</definedName>
    <definedName name="_DAT24" localSheetId="28">#REF!</definedName>
    <definedName name="_DAT24" localSheetId="35">#REF!</definedName>
    <definedName name="_DAT24">#REF!</definedName>
    <definedName name="_DAT25" localSheetId="29">#REF!</definedName>
    <definedName name="_DAT25" localSheetId="31">#REF!</definedName>
    <definedName name="_DAT25" localSheetId="28">#REF!</definedName>
    <definedName name="_DAT25" localSheetId="35">#REF!</definedName>
    <definedName name="_DAT25">#REF!</definedName>
    <definedName name="_DAT26" localSheetId="29">#REF!</definedName>
    <definedName name="_DAT26" localSheetId="31">#REF!</definedName>
    <definedName name="_DAT26" localSheetId="28">#REF!</definedName>
    <definedName name="_DAT26" localSheetId="35">#REF!</definedName>
    <definedName name="_DAT26">#REF!</definedName>
    <definedName name="_DAT27" localSheetId="29">#REF!</definedName>
    <definedName name="_DAT27" localSheetId="31">#REF!</definedName>
    <definedName name="_DAT27" localSheetId="28">#REF!</definedName>
    <definedName name="_DAT27" localSheetId="35">#REF!</definedName>
    <definedName name="_DAT27">#REF!</definedName>
    <definedName name="_DAT3" localSheetId="18">#REF!</definedName>
    <definedName name="_DAT3" localSheetId="25">#REF!</definedName>
    <definedName name="_DAT3" localSheetId="29">#REF!</definedName>
    <definedName name="_DAT3" localSheetId="31">#REF!</definedName>
    <definedName name="_DAT3" localSheetId="15">#REF!</definedName>
    <definedName name="_DAT3" localSheetId="13">#REF!</definedName>
    <definedName name="_DAT3" localSheetId="17">#REF!</definedName>
    <definedName name="_DAT3" localSheetId="12">#REF!</definedName>
    <definedName name="_DAT3" localSheetId="22">#REF!</definedName>
    <definedName name="_DAT3" localSheetId="28">#REF!</definedName>
    <definedName name="_DAT3" localSheetId="35">#REF!</definedName>
    <definedName name="_DAT3">#REF!</definedName>
    <definedName name="_DAT4" localSheetId="18">#REF!</definedName>
    <definedName name="_DAT4" localSheetId="25">#REF!</definedName>
    <definedName name="_DAT4" localSheetId="29">#REF!</definedName>
    <definedName name="_DAT4" localSheetId="31">#REF!</definedName>
    <definedName name="_DAT4" localSheetId="15">#REF!</definedName>
    <definedName name="_DAT4" localSheetId="13">#REF!</definedName>
    <definedName name="_DAT4" localSheetId="17">#REF!</definedName>
    <definedName name="_DAT4" localSheetId="12">#REF!</definedName>
    <definedName name="_DAT4" localSheetId="22">#REF!</definedName>
    <definedName name="_DAT4" localSheetId="28">#REF!</definedName>
    <definedName name="_DAT4" localSheetId="35">#REF!</definedName>
    <definedName name="_DAT4">#REF!</definedName>
    <definedName name="_DAT5" localSheetId="18">#REF!</definedName>
    <definedName name="_DAT5" localSheetId="25">#REF!</definedName>
    <definedName name="_DAT5" localSheetId="29">#REF!</definedName>
    <definedName name="_DAT5" localSheetId="31">#REF!</definedName>
    <definedName name="_DAT5" localSheetId="15">#REF!</definedName>
    <definedName name="_DAT5" localSheetId="13">#REF!</definedName>
    <definedName name="_DAT5" localSheetId="17">#REF!</definedName>
    <definedName name="_DAT5" localSheetId="12">#REF!</definedName>
    <definedName name="_DAT5" localSheetId="22">#REF!</definedName>
    <definedName name="_DAT5" localSheetId="28">#REF!</definedName>
    <definedName name="_DAT5" localSheetId="35">#REF!</definedName>
    <definedName name="_DAT5">#REF!</definedName>
    <definedName name="_DAT6" localSheetId="18">#REF!</definedName>
    <definedName name="_DAT6" localSheetId="25">#REF!</definedName>
    <definedName name="_DAT6" localSheetId="29">#REF!</definedName>
    <definedName name="_DAT6" localSheetId="31">#REF!</definedName>
    <definedName name="_DAT6" localSheetId="15">#REF!</definedName>
    <definedName name="_DAT6" localSheetId="13">#REF!</definedName>
    <definedName name="_DAT6" localSheetId="17">#REF!</definedName>
    <definedName name="_DAT6" localSheetId="12">#REF!</definedName>
    <definedName name="_DAT6" localSheetId="22">#REF!</definedName>
    <definedName name="_DAT6" localSheetId="28">#REF!</definedName>
    <definedName name="_DAT6" localSheetId="35">#REF!</definedName>
    <definedName name="_DAT6">#REF!</definedName>
    <definedName name="_DAT7" localSheetId="18">#REF!</definedName>
    <definedName name="_DAT7" localSheetId="25">#REF!</definedName>
    <definedName name="_DAT7" localSheetId="29">#REF!</definedName>
    <definedName name="_DAT7" localSheetId="31">#REF!</definedName>
    <definedName name="_DAT7" localSheetId="15">#REF!</definedName>
    <definedName name="_DAT7" localSheetId="13">#REF!</definedName>
    <definedName name="_DAT7" localSheetId="17">#REF!</definedName>
    <definedName name="_DAT7" localSheetId="12">#REF!</definedName>
    <definedName name="_DAT7" localSheetId="22">#REF!</definedName>
    <definedName name="_DAT7" localSheetId="28">#REF!</definedName>
    <definedName name="_DAT7" localSheetId="35">#REF!</definedName>
    <definedName name="_DAT7">#REF!</definedName>
    <definedName name="_DAT8" localSheetId="18">#REF!</definedName>
    <definedName name="_DAT8" localSheetId="25">#REF!</definedName>
    <definedName name="_DAT8" localSheetId="29">#REF!</definedName>
    <definedName name="_DAT8" localSheetId="31">#REF!</definedName>
    <definedName name="_DAT8" localSheetId="15">#REF!</definedName>
    <definedName name="_DAT8" localSheetId="13">#REF!</definedName>
    <definedName name="_DAT8" localSheetId="17">#REF!</definedName>
    <definedName name="_DAT8" localSheetId="12">#REF!</definedName>
    <definedName name="_DAT8" localSheetId="22">#REF!</definedName>
    <definedName name="_DAT8" localSheetId="28">#REF!</definedName>
    <definedName name="_DAT8" localSheetId="35">#REF!</definedName>
    <definedName name="_DAT8">#REF!</definedName>
    <definedName name="_DAT9" localSheetId="18">#REF!</definedName>
    <definedName name="_DAT9" localSheetId="25">#REF!</definedName>
    <definedName name="_DAT9" localSheetId="29">#REF!</definedName>
    <definedName name="_DAT9" localSheetId="31">#REF!</definedName>
    <definedName name="_DAT9" localSheetId="15">#REF!</definedName>
    <definedName name="_DAT9" localSheetId="13">#REF!</definedName>
    <definedName name="_DAT9" localSheetId="17">#REF!</definedName>
    <definedName name="_DAT9" localSheetId="12">#REF!</definedName>
    <definedName name="_DAT9" localSheetId="22">#REF!</definedName>
    <definedName name="_DAT9" localSheetId="28">#REF!</definedName>
    <definedName name="_DAT9" localSheetId="35">#REF!</definedName>
    <definedName name="_DAT9">#REF!</definedName>
    <definedName name="_DCF1" localSheetId="28" hidden="1">{#N/A,#N/A,FALSE,"DCF Summary";#N/A,#N/A,FALSE,"Casema";#N/A,#N/A,FALSE,"Casema NoTel";#N/A,#N/A,FALSE,"UK";#N/A,#N/A,FALSE,"RCF";#N/A,#N/A,FALSE,"Intercable CZ";#N/A,#N/A,FALSE,"Interkabel P"}</definedName>
    <definedName name="_DCF1" localSheetId="35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 localSheetId="18">[6]!_eng3</definedName>
    <definedName name="_eng3" localSheetId="25">[6]!_eng3</definedName>
    <definedName name="_eng3" localSheetId="29">[6]!_eng3</definedName>
    <definedName name="_eng3" localSheetId="31">[6]!_eng3</definedName>
    <definedName name="_eng3" localSheetId="15">[6]!_eng3</definedName>
    <definedName name="_eng3" localSheetId="13">[6]!_eng3</definedName>
    <definedName name="_eng3" localSheetId="19">[7]!_eng3</definedName>
    <definedName name="_eng3" localSheetId="17">[6]!_eng3</definedName>
    <definedName name="_eng3" localSheetId="12">[6]!_eng3</definedName>
    <definedName name="_eng3" localSheetId="22">[8]!_eng3</definedName>
    <definedName name="_eng3">[6]!_eng3</definedName>
    <definedName name="_eng4">#N/A</definedName>
    <definedName name="_ess1" localSheetId="18">#REF!</definedName>
    <definedName name="_ess1" localSheetId="25">#REF!</definedName>
    <definedName name="_ess1" localSheetId="29">#REF!</definedName>
    <definedName name="_ess1" localSheetId="31">#REF!</definedName>
    <definedName name="_ess1" localSheetId="15">#REF!</definedName>
    <definedName name="_ess1" localSheetId="13">#REF!</definedName>
    <definedName name="_ess1" localSheetId="17">#REF!</definedName>
    <definedName name="_ess1" localSheetId="12">#REF!</definedName>
    <definedName name="_ess1" localSheetId="22">#REF!</definedName>
    <definedName name="_ess1" localSheetId="28">#REF!</definedName>
    <definedName name="_ess1" localSheetId="35">#REF!</definedName>
    <definedName name="_ess1">#REF!</definedName>
    <definedName name="_Fill" localSheetId="18" hidden="1">#REF!</definedName>
    <definedName name="_Fill" localSheetId="25" hidden="1">#REF!</definedName>
    <definedName name="_Fill" localSheetId="29" hidden="1">#REF!</definedName>
    <definedName name="_Fill" localSheetId="31" hidden="1">#REF!</definedName>
    <definedName name="_Fill" localSheetId="15" hidden="1">#REF!</definedName>
    <definedName name="_Fill" localSheetId="13" hidden="1">#REF!</definedName>
    <definedName name="_Fill" localSheetId="17" hidden="1">#REF!</definedName>
    <definedName name="_Fill" localSheetId="12" hidden="1">#REF!</definedName>
    <definedName name="_Fill" localSheetId="22" hidden="1">#REF!</definedName>
    <definedName name="_Fill" localSheetId="28" hidden="1">#REF!</definedName>
    <definedName name="_Fill" localSheetId="35" hidden="1">#REF!</definedName>
    <definedName name="_Fill" hidden="1">#REF!</definedName>
    <definedName name="_xlnm._FilterDatabase" localSheetId="3" hidden="1">'BG '!$A$3:$AC$690</definedName>
    <definedName name="_xlnm._FilterDatabase" localSheetId="13" hidden="1">'Bilan-par flux'!$A$6:$BH$6</definedName>
    <definedName name="_FRF4" localSheetId="25">'[54]FX Rates'!$G$10</definedName>
    <definedName name="_FRF4" localSheetId="22">'[55]FX Rates'!$G$10</definedName>
    <definedName name="_FRF4">'[54]FX Rates'!$G$10</definedName>
    <definedName name="_FRU2003" localSheetId="18">#REF!</definedName>
    <definedName name="_FRU2003" localSheetId="25">#REF!</definedName>
    <definedName name="_FRU2003" localSheetId="29">#REF!</definedName>
    <definedName name="_FRU2003" localSheetId="31">#REF!</definedName>
    <definedName name="_FRU2003" localSheetId="15">#REF!</definedName>
    <definedName name="_FRU2003" localSheetId="13">#REF!</definedName>
    <definedName name="_FRU2003" localSheetId="17">#REF!</definedName>
    <definedName name="_FRU2003" localSheetId="12">#REF!</definedName>
    <definedName name="_FRU2003" localSheetId="22">#REF!</definedName>
    <definedName name="_FRU2003" localSheetId="28">#REF!</definedName>
    <definedName name="_FRU2003" localSheetId="35">#REF!</definedName>
    <definedName name="_FRU2003">#REF!</definedName>
    <definedName name="_GBP4" localSheetId="25">'[54]FX Rates'!$G$9</definedName>
    <definedName name="_GBP4" localSheetId="22">'[55]FX Rates'!$G$9</definedName>
    <definedName name="_GBP4">'[54]FX Rates'!$G$9</definedName>
    <definedName name="_GSRATES_1" hidden="1">"CT300001Latest          "</definedName>
    <definedName name="_GSRATES_COUNT" hidden="1">1</definedName>
    <definedName name="_Key1" localSheetId="18" hidden="1">#REF!</definedName>
    <definedName name="_Key1" localSheetId="25" hidden="1">#REF!</definedName>
    <definedName name="_Key1" localSheetId="29" hidden="1">#REF!</definedName>
    <definedName name="_Key1" localSheetId="31" hidden="1">#REF!</definedName>
    <definedName name="_Key1" localSheetId="15" hidden="1">#REF!</definedName>
    <definedName name="_Key1" localSheetId="13" hidden="1">#REF!</definedName>
    <definedName name="_Key1" localSheetId="17" hidden="1">#REF!</definedName>
    <definedName name="_Key1" localSheetId="12" hidden="1">#REF!</definedName>
    <definedName name="_Key1" localSheetId="22" hidden="1">#REF!</definedName>
    <definedName name="_Key1" localSheetId="28" hidden="1">#REF!</definedName>
    <definedName name="_Key1" localSheetId="35" hidden="1">#REF!</definedName>
    <definedName name="_Key1" hidden="1">#REF!</definedName>
    <definedName name="_Key2" localSheetId="18" hidden="1">#REF!</definedName>
    <definedName name="_Key2" localSheetId="25" hidden="1">#REF!</definedName>
    <definedName name="_Key2" localSheetId="29" hidden="1">#REF!</definedName>
    <definedName name="_Key2" localSheetId="31" hidden="1">#REF!</definedName>
    <definedName name="_Key2" localSheetId="15" hidden="1">#REF!</definedName>
    <definedName name="_Key2" localSheetId="13" hidden="1">#REF!</definedName>
    <definedName name="_Key2" localSheetId="17" hidden="1">#REF!</definedName>
    <definedName name="_Key2" localSheetId="12" hidden="1">#REF!</definedName>
    <definedName name="_Key2" localSheetId="22" hidden="1">#REF!</definedName>
    <definedName name="_Key2" localSheetId="28" hidden="1">#REF!</definedName>
    <definedName name="_Key2" localSheetId="35" hidden="1">#REF!</definedName>
    <definedName name="_Key2" hidden="1">#REF!</definedName>
    <definedName name="_L66">#NAME?</definedName>
    <definedName name="_M66">#NAME?</definedName>
    <definedName name="_mar1" localSheetId="18">'[56]CA Internet'!#REF!</definedName>
    <definedName name="_mar1" localSheetId="29">'[56]CA Internet'!#REF!</definedName>
    <definedName name="_mar1" localSheetId="31">'[56]CA Internet'!#REF!</definedName>
    <definedName name="_mar1" localSheetId="15">'[56]CA Internet'!#REF!</definedName>
    <definedName name="_mar1" localSheetId="13">'[56]CA Internet'!#REF!</definedName>
    <definedName name="_mar1" localSheetId="19">'[56]CA Internet'!#REF!</definedName>
    <definedName name="_mar1" localSheetId="17">'[56]CA Internet'!#REF!</definedName>
    <definedName name="_mar1" localSheetId="12">'[56]CA Internet'!#REF!</definedName>
    <definedName name="_mar1" localSheetId="22">'[56]CA Internet'!#REF!</definedName>
    <definedName name="_mar1" localSheetId="28">'[56]CA Internet'!#REF!</definedName>
    <definedName name="_mar1" localSheetId="35">'[56]CA Internet'!#REF!</definedName>
    <definedName name="_mar1">'[56]CA Internet'!#REF!</definedName>
    <definedName name="_mk56" localSheetId="18">#REF!</definedName>
    <definedName name="_mk56" localSheetId="25">#REF!</definedName>
    <definedName name="_mk56" localSheetId="29">#REF!</definedName>
    <definedName name="_mk56" localSheetId="31">#REF!</definedName>
    <definedName name="_mk56" localSheetId="15">#REF!</definedName>
    <definedName name="_mk56" localSheetId="13">#REF!</definedName>
    <definedName name="_mk56" localSheetId="17">#REF!</definedName>
    <definedName name="_mk56" localSheetId="12">#REF!</definedName>
    <definedName name="_mk56" localSheetId="22">#REF!</definedName>
    <definedName name="_mk56" localSheetId="28">#REF!</definedName>
    <definedName name="_mk56" localSheetId="35">#REF!</definedName>
    <definedName name="_mk56">#REF!</definedName>
    <definedName name="_ml89" localSheetId="18">#REF!</definedName>
    <definedName name="_ml89" localSheetId="25">#REF!</definedName>
    <definedName name="_ml89" localSheetId="29">#REF!</definedName>
    <definedName name="_ml89" localSheetId="31">#REF!</definedName>
    <definedName name="_ml89" localSheetId="15">#REF!</definedName>
    <definedName name="_ml89" localSheetId="13">#REF!</definedName>
    <definedName name="_ml89" localSheetId="17">#REF!</definedName>
    <definedName name="_ml89" localSheetId="12">#REF!</definedName>
    <definedName name="_ml89" localSheetId="22">#REF!</definedName>
    <definedName name="_ml89" localSheetId="28">#REF!</definedName>
    <definedName name="_ml89" localSheetId="35">#REF!</definedName>
    <definedName name="_ml89">#REF!</definedName>
    <definedName name="_MM1" localSheetId="18">[25]Ventes!#REF!</definedName>
    <definedName name="_MM1" localSheetId="29">[25]Ventes!#REF!</definedName>
    <definedName name="_MM1" localSheetId="31">[25]Ventes!#REF!</definedName>
    <definedName name="_MM1" localSheetId="15">[25]Ventes!#REF!</definedName>
    <definedName name="_MM1" localSheetId="13">[25]Ventes!#REF!</definedName>
    <definedName name="_MM1" localSheetId="19">[25]Ventes!#REF!</definedName>
    <definedName name="_MM1" localSheetId="17">[25]Ventes!#REF!</definedName>
    <definedName name="_MM1" localSheetId="12">[25]Ventes!#REF!</definedName>
    <definedName name="_MM1" localSheetId="22">[25]Ventes!#REF!</definedName>
    <definedName name="_MM1" localSheetId="28">[25]Ventes!#REF!</definedName>
    <definedName name="_MM1" localSheetId="35">[25]Ventes!#REF!</definedName>
    <definedName name="_MM1">[25]Ventes!#REF!</definedName>
    <definedName name="_mprb" localSheetId="18">'[39]by dept'!#REF!</definedName>
    <definedName name="_mprb" localSheetId="25">'[39]by dept'!#REF!</definedName>
    <definedName name="_mprb" localSheetId="29">'[39]by dept'!#REF!</definedName>
    <definedName name="_mprb" localSheetId="31">'[39]by dept'!#REF!</definedName>
    <definedName name="_mprb" localSheetId="15">'[39]by dept'!#REF!</definedName>
    <definedName name="_mprb" localSheetId="13">'[39]by dept'!#REF!</definedName>
    <definedName name="_mprb" localSheetId="17">'[39]by dept'!#REF!</definedName>
    <definedName name="_mprb" localSheetId="12">'[39]by dept'!#REF!</definedName>
    <definedName name="_mprb" localSheetId="22">'[40]by dept'!#REF!</definedName>
    <definedName name="_mprb" localSheetId="28">'[39]by dept'!#REF!</definedName>
    <definedName name="_mprb" localSheetId="35">'[39]by dept'!#REF!</definedName>
    <definedName name="_mprb">'[39]by dept'!#REF!</definedName>
    <definedName name="_NA">"n/a"</definedName>
    <definedName name="_NM">"n/m"</definedName>
    <definedName name="_ok1" localSheetId="2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 localSheetId="18">#REF!</definedName>
    <definedName name="_OUJ2" localSheetId="25">#REF!</definedName>
    <definedName name="_OUJ2" localSheetId="29">#REF!</definedName>
    <definedName name="_OUJ2" localSheetId="31">#REF!</definedName>
    <definedName name="_OUJ2" localSheetId="15">#REF!</definedName>
    <definedName name="_OUJ2" localSheetId="13">#REF!</definedName>
    <definedName name="_OUJ2" localSheetId="17">#REF!</definedName>
    <definedName name="_OUJ2" localSheetId="12">#REF!</definedName>
    <definedName name="_OUJ2" localSheetId="22">#REF!</definedName>
    <definedName name="_OUJ2" localSheetId="28">#REF!</definedName>
    <definedName name="_OUJ2" localSheetId="35">#REF!</definedName>
    <definedName name="_OUJ2">#REF!</definedName>
    <definedName name="_pg1" localSheetId="18">#REF!</definedName>
    <definedName name="_pg1" localSheetId="25">#REF!</definedName>
    <definedName name="_pg1" localSheetId="29">#REF!</definedName>
    <definedName name="_pg1" localSheetId="31">#REF!</definedName>
    <definedName name="_pg1" localSheetId="15">#REF!</definedName>
    <definedName name="_pg1" localSheetId="13">#REF!</definedName>
    <definedName name="_pg1" localSheetId="17">#REF!</definedName>
    <definedName name="_pg1" localSheetId="12">#REF!</definedName>
    <definedName name="_pg1" localSheetId="22">#REF!</definedName>
    <definedName name="_pg1" localSheetId="28">#REF!</definedName>
    <definedName name="_pg1" localSheetId="35">#REF!</definedName>
    <definedName name="_pg1">#REF!</definedName>
    <definedName name="_pg2" localSheetId="18">#REF!</definedName>
    <definedName name="_pg2" localSheetId="25">#REF!</definedName>
    <definedName name="_pg2" localSheetId="29">#REF!</definedName>
    <definedName name="_pg2" localSheetId="31">#REF!</definedName>
    <definedName name="_pg2" localSheetId="15">#REF!</definedName>
    <definedName name="_pg2" localSheetId="13">#REF!</definedName>
    <definedName name="_pg2" localSheetId="17">#REF!</definedName>
    <definedName name="_pg2" localSheetId="12">#REF!</definedName>
    <definedName name="_pg2" localSheetId="22">#REF!</definedName>
    <definedName name="_pg2" localSheetId="28">#REF!</definedName>
    <definedName name="_pg2" localSheetId="35">#REF!</definedName>
    <definedName name="_pg2">#REF!</definedName>
    <definedName name="_projectName">"Eagle"</definedName>
    <definedName name="_R" localSheetId="18">#REF!</definedName>
    <definedName name="_R" localSheetId="25">#REF!</definedName>
    <definedName name="_R" localSheetId="29">#REF!</definedName>
    <definedName name="_R" localSheetId="31">#REF!</definedName>
    <definedName name="_R" localSheetId="15">#REF!</definedName>
    <definedName name="_R" localSheetId="13">#REF!</definedName>
    <definedName name="_R" localSheetId="17">#REF!</definedName>
    <definedName name="_R" localSheetId="12">#REF!</definedName>
    <definedName name="_R" localSheetId="22">#REF!</definedName>
    <definedName name="_R" localSheetId="28">#REF!</definedName>
    <definedName name="_R" localSheetId="35">#REF!</definedName>
    <definedName name="_R">#REF!</definedName>
    <definedName name="_R2000ssta">[57]R2000ssta!$1:$1048576</definedName>
    <definedName name="_R2000ssta___0">#N/A</definedName>
    <definedName name="_R2000ssta___12">#N/A</definedName>
    <definedName name="_R2000ssta___14">#N/A</definedName>
    <definedName name="_R2000ssta___16">#N/A</definedName>
    <definedName name="_R2000ssta___27">#N/A</definedName>
    <definedName name="_R2000ssta___5">#N/A</definedName>
    <definedName name="_RCV1" localSheetId="29">#REF!,#REF!</definedName>
    <definedName name="_RCV1" localSheetId="31">#REF!,#REF!</definedName>
    <definedName name="_RCV1" localSheetId="28">#REF!,#REF!</definedName>
    <definedName name="_RCV1" localSheetId="35">#REF!,#REF!</definedName>
    <definedName name="_RCV1">#REF!,#REF!</definedName>
    <definedName name="_Regression_Out" localSheetId="18" hidden="1">#REF!</definedName>
    <definedName name="_Regression_Out" localSheetId="25" hidden="1">#REF!</definedName>
    <definedName name="_Regression_Out" localSheetId="29" hidden="1">#REF!</definedName>
    <definedName name="_Regression_Out" localSheetId="31" hidden="1">#REF!</definedName>
    <definedName name="_Regression_Out" localSheetId="15" hidden="1">#REF!</definedName>
    <definedName name="_Regression_Out" localSheetId="13" hidden="1">#REF!</definedName>
    <definedName name="_Regression_Out" localSheetId="17" hidden="1">#REF!</definedName>
    <definedName name="_Regression_Out" localSheetId="12" hidden="1">#REF!</definedName>
    <definedName name="_Regression_Out" localSheetId="22" hidden="1">#REF!</definedName>
    <definedName name="_Regression_Out" localSheetId="28" hidden="1">#REF!</definedName>
    <definedName name="_Regression_Out" localSheetId="35" hidden="1">#REF!</definedName>
    <definedName name="_Regression_Out" hidden="1">#REF!</definedName>
    <definedName name="_Regression_X" localSheetId="18" hidden="1">#REF!</definedName>
    <definedName name="_Regression_X" localSheetId="25" hidden="1">#REF!</definedName>
    <definedName name="_Regression_X" localSheetId="29" hidden="1">#REF!</definedName>
    <definedName name="_Regression_X" localSheetId="31" hidden="1">#REF!</definedName>
    <definedName name="_Regression_X" localSheetId="15" hidden="1">#REF!</definedName>
    <definedName name="_Regression_X" localSheetId="13" hidden="1">#REF!</definedName>
    <definedName name="_Regression_X" localSheetId="17" hidden="1">#REF!</definedName>
    <definedName name="_Regression_X" localSheetId="12" hidden="1">#REF!</definedName>
    <definedName name="_Regression_X" localSheetId="22" hidden="1">#REF!</definedName>
    <definedName name="_Regression_X" localSheetId="28" hidden="1">#REF!</definedName>
    <definedName name="_Regression_X" localSheetId="35" hidden="1">#REF!</definedName>
    <definedName name="_Regression_X" hidden="1">#REF!</definedName>
    <definedName name="_Regression_Y" localSheetId="18" hidden="1">#REF!</definedName>
    <definedName name="_Regression_Y" localSheetId="25" hidden="1">#REF!</definedName>
    <definedName name="_Regression_Y" localSheetId="29" hidden="1">#REF!</definedName>
    <definedName name="_Regression_Y" localSheetId="31" hidden="1">#REF!</definedName>
    <definedName name="_Regression_Y" localSheetId="15" hidden="1">#REF!</definedName>
    <definedName name="_Regression_Y" localSheetId="13" hidden="1">#REF!</definedName>
    <definedName name="_Regression_Y" localSheetId="17" hidden="1">#REF!</definedName>
    <definedName name="_Regression_Y" localSheetId="12" hidden="1">#REF!</definedName>
    <definedName name="_Regression_Y" localSheetId="22" hidden="1">#REF!</definedName>
    <definedName name="_Regression_Y" localSheetId="28" hidden="1">#REF!</definedName>
    <definedName name="_Regression_Y" localSheetId="35" hidden="1">#REF!</definedName>
    <definedName name="_Regression_Y" hidden="1">#REF!</definedName>
    <definedName name="_SC16" localSheetId="18">#REF!</definedName>
    <definedName name="_SC16" localSheetId="25">#REF!</definedName>
    <definedName name="_SC16" localSheetId="29">#REF!</definedName>
    <definedName name="_SC16" localSheetId="31">#REF!</definedName>
    <definedName name="_SC16" localSheetId="15">#REF!</definedName>
    <definedName name="_SC16" localSheetId="13">#REF!</definedName>
    <definedName name="_SC16" localSheetId="17">#REF!</definedName>
    <definedName name="_SC16" localSheetId="12">#REF!</definedName>
    <definedName name="_SC16" localSheetId="22">#REF!</definedName>
    <definedName name="_SC16" localSheetId="28">#REF!</definedName>
    <definedName name="_SC16" localSheetId="35">#REF!</definedName>
    <definedName name="_SC16">#REF!</definedName>
    <definedName name="_SET2" localSheetId="18">#REF!</definedName>
    <definedName name="_SET2" localSheetId="25">#REF!</definedName>
    <definedName name="_SET2" localSheetId="29">#REF!</definedName>
    <definedName name="_SET2" localSheetId="31">#REF!</definedName>
    <definedName name="_SET2" localSheetId="15">#REF!</definedName>
    <definedName name="_SET2" localSheetId="13">#REF!</definedName>
    <definedName name="_SET2" localSheetId="17">#REF!</definedName>
    <definedName name="_SET2" localSheetId="12">#REF!</definedName>
    <definedName name="_SET2" localSheetId="22">#REF!</definedName>
    <definedName name="_SET2" localSheetId="28">#REF!</definedName>
    <definedName name="_SET2" localSheetId="35">#REF!</definedName>
    <definedName name="_SET2">#REF!</definedName>
    <definedName name="_Sort" localSheetId="18" hidden="1">#REF!</definedName>
    <definedName name="_Sort" localSheetId="25" hidden="1">#REF!</definedName>
    <definedName name="_Sort" localSheetId="29" hidden="1">#REF!</definedName>
    <definedName name="_Sort" localSheetId="31" hidden="1">#REF!</definedName>
    <definedName name="_Sort" localSheetId="15" hidden="1">#REF!</definedName>
    <definedName name="_Sort" localSheetId="13" hidden="1">#REF!</definedName>
    <definedName name="_Sort" localSheetId="17" hidden="1">#REF!</definedName>
    <definedName name="_Sort" localSheetId="12" hidden="1">#REF!</definedName>
    <definedName name="_Sort" localSheetId="22" hidden="1">#REF!</definedName>
    <definedName name="_Sort" localSheetId="28" hidden="1">#REF!</definedName>
    <definedName name="_Sort" localSheetId="35" hidden="1">#REF!</definedName>
    <definedName name="_Sort" hidden="1">#REF!</definedName>
    <definedName name="_st1">'[25]Rapport Période'!$D$2</definedName>
    <definedName name="_ST10">'[25]Rapport Période'!$M$2</definedName>
    <definedName name="_ST11">'[25]Rapport Période'!$N$2</definedName>
    <definedName name="_ST12">'[25]Rapport Période'!$O$2</definedName>
    <definedName name="_ST13" localSheetId="18">'[25]Rapport Période'!#REF!</definedName>
    <definedName name="_ST13" localSheetId="29">'[25]Rapport Période'!#REF!</definedName>
    <definedName name="_ST13" localSheetId="31">'[25]Rapport Période'!#REF!</definedName>
    <definedName name="_ST13" localSheetId="15">'[25]Rapport Période'!#REF!</definedName>
    <definedName name="_ST13" localSheetId="13">'[25]Rapport Période'!#REF!</definedName>
    <definedName name="_ST13" localSheetId="17">'[25]Rapport Période'!#REF!</definedName>
    <definedName name="_ST13" localSheetId="12">'[25]Rapport Période'!#REF!</definedName>
    <definedName name="_ST13" localSheetId="22">'[25]Rapport Période'!#REF!</definedName>
    <definedName name="_ST13" localSheetId="28">'[25]Rapport Période'!#REF!</definedName>
    <definedName name="_ST13" localSheetId="35">'[25]Rapport Période'!#REF!</definedName>
    <definedName name="_ST13">'[25]Rapport Période'!#REF!</definedName>
    <definedName name="_ST14" localSheetId="18">'[25]Rapport Période'!#REF!</definedName>
    <definedName name="_ST14" localSheetId="29">'[25]Rapport Période'!#REF!</definedName>
    <definedName name="_ST14" localSheetId="31">'[25]Rapport Période'!#REF!</definedName>
    <definedName name="_ST14" localSheetId="15">'[25]Rapport Période'!#REF!</definedName>
    <definedName name="_ST14" localSheetId="13">'[25]Rapport Période'!#REF!</definedName>
    <definedName name="_ST14" localSheetId="17">'[25]Rapport Période'!#REF!</definedName>
    <definedName name="_ST14" localSheetId="12">'[25]Rapport Période'!#REF!</definedName>
    <definedName name="_ST14" localSheetId="22">'[25]Rapport Période'!#REF!</definedName>
    <definedName name="_ST14" localSheetId="28">'[25]Rapport Période'!#REF!</definedName>
    <definedName name="_ST14" localSheetId="35">'[25]Rapport Période'!#REF!</definedName>
    <definedName name="_ST14">'[25]Rapport Période'!#REF!</definedName>
    <definedName name="_ST15" localSheetId="18">'[25]Rapport Période'!#REF!</definedName>
    <definedName name="_ST15" localSheetId="29">'[25]Rapport Période'!#REF!</definedName>
    <definedName name="_ST15" localSheetId="31">'[25]Rapport Période'!#REF!</definedName>
    <definedName name="_ST15" localSheetId="15">'[25]Rapport Période'!#REF!</definedName>
    <definedName name="_ST15" localSheetId="13">'[25]Rapport Période'!#REF!</definedName>
    <definedName name="_ST15" localSheetId="17">'[25]Rapport Période'!#REF!</definedName>
    <definedName name="_ST15" localSheetId="12">'[25]Rapport Période'!#REF!</definedName>
    <definedName name="_ST15" localSheetId="22">'[25]Rapport Période'!#REF!</definedName>
    <definedName name="_ST15" localSheetId="28">'[25]Rapport Période'!#REF!</definedName>
    <definedName name="_ST15" localSheetId="35">'[25]Rapport Période'!#REF!</definedName>
    <definedName name="_ST15">'[25]Rapport Période'!#REF!</definedName>
    <definedName name="_ST16" localSheetId="18">'[25]Rapport Période'!#REF!</definedName>
    <definedName name="_ST16" localSheetId="29">'[25]Rapport Période'!#REF!</definedName>
    <definedName name="_ST16" localSheetId="31">'[25]Rapport Période'!#REF!</definedName>
    <definedName name="_ST16" localSheetId="15">'[25]Rapport Période'!#REF!</definedName>
    <definedName name="_ST16" localSheetId="13">'[25]Rapport Période'!#REF!</definedName>
    <definedName name="_ST16" localSheetId="17">'[25]Rapport Période'!#REF!</definedName>
    <definedName name="_ST16" localSheetId="12">'[25]Rapport Période'!#REF!</definedName>
    <definedName name="_ST16" localSheetId="22">'[25]Rapport Période'!#REF!</definedName>
    <definedName name="_ST16" localSheetId="28">'[25]Rapport Période'!#REF!</definedName>
    <definedName name="_ST16" localSheetId="35">'[25]Rapport Période'!#REF!</definedName>
    <definedName name="_ST16">'[25]Rapport Période'!#REF!</definedName>
    <definedName name="_ST17" localSheetId="18">'[25]Rapport Période'!#REF!</definedName>
    <definedName name="_ST17" localSheetId="29">'[25]Rapport Période'!#REF!</definedName>
    <definedName name="_ST17" localSheetId="31">'[25]Rapport Période'!#REF!</definedName>
    <definedName name="_ST17" localSheetId="15">'[25]Rapport Période'!#REF!</definedName>
    <definedName name="_ST17" localSheetId="13">'[25]Rapport Période'!#REF!</definedName>
    <definedName name="_ST17" localSheetId="17">'[25]Rapport Période'!#REF!</definedName>
    <definedName name="_ST17" localSheetId="12">'[25]Rapport Période'!#REF!</definedName>
    <definedName name="_ST17" localSheetId="22">'[25]Rapport Période'!#REF!</definedName>
    <definedName name="_ST17" localSheetId="28">'[25]Rapport Période'!#REF!</definedName>
    <definedName name="_ST17" localSheetId="35">'[25]Rapport Période'!#REF!</definedName>
    <definedName name="_ST17">'[25]Rapport Période'!#REF!</definedName>
    <definedName name="_ST18" localSheetId="18">'[25]Rapport Période'!#REF!</definedName>
    <definedName name="_ST18" localSheetId="29">'[25]Rapport Période'!#REF!</definedName>
    <definedName name="_ST18" localSheetId="31">'[25]Rapport Période'!#REF!</definedName>
    <definedName name="_ST18" localSheetId="15">'[25]Rapport Période'!#REF!</definedName>
    <definedName name="_ST18" localSheetId="13">'[25]Rapport Période'!#REF!</definedName>
    <definedName name="_ST18" localSheetId="17">'[25]Rapport Période'!#REF!</definedName>
    <definedName name="_ST18" localSheetId="12">'[25]Rapport Période'!#REF!</definedName>
    <definedName name="_ST18" localSheetId="22">'[25]Rapport Période'!#REF!</definedName>
    <definedName name="_ST18" localSheetId="28">'[25]Rapport Période'!#REF!</definedName>
    <definedName name="_ST18" localSheetId="35">'[25]Rapport Période'!#REF!</definedName>
    <definedName name="_ST18">'[25]Rapport Période'!#REF!</definedName>
    <definedName name="_ST19" localSheetId="18">'[25]Rapport Période'!#REF!</definedName>
    <definedName name="_ST19" localSheetId="29">'[25]Rapport Période'!#REF!</definedName>
    <definedName name="_ST19" localSheetId="31">'[25]Rapport Période'!#REF!</definedName>
    <definedName name="_ST19" localSheetId="15">'[25]Rapport Période'!#REF!</definedName>
    <definedName name="_ST19" localSheetId="13">'[25]Rapport Période'!#REF!</definedName>
    <definedName name="_ST19" localSheetId="17">'[25]Rapport Période'!#REF!</definedName>
    <definedName name="_ST19" localSheetId="12">'[25]Rapport Période'!#REF!</definedName>
    <definedName name="_ST19" localSheetId="22">'[25]Rapport Période'!#REF!</definedName>
    <definedName name="_ST19" localSheetId="28">'[25]Rapport Période'!#REF!</definedName>
    <definedName name="_ST19" localSheetId="35">'[25]Rapport Période'!#REF!</definedName>
    <definedName name="_ST19">'[25]Rapport Période'!#REF!</definedName>
    <definedName name="_ST2">'[25]Rapport Période'!$E$2</definedName>
    <definedName name="_ST20" localSheetId="18">'[25]Rapport Période'!#REF!</definedName>
    <definedName name="_ST20" localSheetId="29">'[25]Rapport Période'!#REF!</definedName>
    <definedName name="_ST20" localSheetId="31">'[25]Rapport Période'!#REF!</definedName>
    <definedName name="_ST20" localSheetId="15">'[25]Rapport Période'!#REF!</definedName>
    <definedName name="_ST20" localSheetId="13">'[25]Rapport Période'!#REF!</definedName>
    <definedName name="_ST20" localSheetId="17">'[25]Rapport Période'!#REF!</definedName>
    <definedName name="_ST20" localSheetId="12">'[25]Rapport Période'!#REF!</definedName>
    <definedName name="_ST20" localSheetId="22">'[25]Rapport Période'!#REF!</definedName>
    <definedName name="_ST20" localSheetId="28">'[25]Rapport Période'!#REF!</definedName>
    <definedName name="_ST20" localSheetId="35">'[25]Rapport Période'!#REF!</definedName>
    <definedName name="_ST20">'[25]Rapport Période'!#REF!</definedName>
    <definedName name="_ST21" localSheetId="18">'[25]Rapport Période'!#REF!</definedName>
    <definedName name="_ST21" localSheetId="29">'[25]Rapport Période'!#REF!</definedName>
    <definedName name="_ST21" localSheetId="31">'[25]Rapport Période'!#REF!</definedName>
    <definedName name="_ST21" localSheetId="15">'[25]Rapport Période'!#REF!</definedName>
    <definedName name="_ST21" localSheetId="13">'[25]Rapport Période'!#REF!</definedName>
    <definedName name="_ST21" localSheetId="17">'[25]Rapport Période'!#REF!</definedName>
    <definedName name="_ST21" localSheetId="12">'[25]Rapport Période'!#REF!</definedName>
    <definedName name="_ST21" localSheetId="22">'[25]Rapport Période'!#REF!</definedName>
    <definedName name="_ST21" localSheetId="28">'[25]Rapport Période'!#REF!</definedName>
    <definedName name="_ST21" localSheetId="35">'[25]Rapport Période'!#REF!</definedName>
    <definedName name="_ST21">'[25]Rapport Période'!#REF!</definedName>
    <definedName name="_ST22" localSheetId="18">'[25]Rapport Période'!#REF!</definedName>
    <definedName name="_ST22" localSheetId="29">'[25]Rapport Période'!#REF!</definedName>
    <definedName name="_ST22" localSheetId="31">'[25]Rapport Période'!#REF!</definedName>
    <definedName name="_ST22" localSheetId="15">'[25]Rapport Période'!#REF!</definedName>
    <definedName name="_ST22" localSheetId="13">'[25]Rapport Période'!#REF!</definedName>
    <definedName name="_ST22" localSheetId="17">'[25]Rapport Période'!#REF!</definedName>
    <definedName name="_ST22" localSheetId="12">'[25]Rapport Période'!#REF!</definedName>
    <definedName name="_ST22" localSheetId="22">'[25]Rapport Période'!#REF!</definedName>
    <definedName name="_ST22" localSheetId="28">'[25]Rapport Période'!#REF!</definedName>
    <definedName name="_ST22" localSheetId="35">'[25]Rapport Période'!#REF!</definedName>
    <definedName name="_ST22">'[25]Rapport Période'!#REF!</definedName>
    <definedName name="_ST23" localSheetId="18">'[25]Rapport Période'!#REF!</definedName>
    <definedName name="_ST23" localSheetId="29">'[25]Rapport Période'!#REF!</definedName>
    <definedName name="_ST23" localSheetId="31">'[25]Rapport Période'!#REF!</definedName>
    <definedName name="_ST23" localSheetId="15">'[25]Rapport Période'!#REF!</definedName>
    <definedName name="_ST23" localSheetId="13">'[25]Rapport Période'!#REF!</definedName>
    <definedName name="_ST23" localSheetId="17">'[25]Rapport Période'!#REF!</definedName>
    <definedName name="_ST23" localSheetId="12">'[25]Rapport Période'!#REF!</definedName>
    <definedName name="_ST23" localSheetId="22">'[25]Rapport Période'!#REF!</definedName>
    <definedName name="_ST23" localSheetId="28">'[25]Rapport Période'!#REF!</definedName>
    <definedName name="_ST23" localSheetId="35">'[25]Rapport Période'!#REF!</definedName>
    <definedName name="_ST23">'[25]Rapport Période'!#REF!</definedName>
    <definedName name="_ST24" localSheetId="18">'[25]Rapport Période'!#REF!</definedName>
    <definedName name="_ST24" localSheetId="29">'[25]Rapport Période'!#REF!</definedName>
    <definedName name="_ST24" localSheetId="31">'[25]Rapport Période'!#REF!</definedName>
    <definedName name="_ST24" localSheetId="15">'[25]Rapport Période'!#REF!</definedName>
    <definedName name="_ST24" localSheetId="13">'[25]Rapport Période'!#REF!</definedName>
    <definedName name="_ST24" localSheetId="17">'[25]Rapport Période'!#REF!</definedName>
    <definedName name="_ST24" localSheetId="12">'[25]Rapport Période'!#REF!</definedName>
    <definedName name="_ST24" localSheetId="22">'[25]Rapport Période'!#REF!</definedName>
    <definedName name="_ST24" localSheetId="28">'[25]Rapport Période'!#REF!</definedName>
    <definedName name="_ST24" localSheetId="35">'[25]Rapport Période'!#REF!</definedName>
    <definedName name="_ST24">'[25]Rapport Période'!#REF!</definedName>
    <definedName name="_ST25" localSheetId="18">'[25]Rapport Période'!#REF!</definedName>
    <definedName name="_ST25" localSheetId="29">'[25]Rapport Période'!#REF!</definedName>
    <definedName name="_ST25" localSheetId="31">'[25]Rapport Période'!#REF!</definedName>
    <definedName name="_ST25" localSheetId="15">'[25]Rapport Période'!#REF!</definedName>
    <definedName name="_ST25" localSheetId="13">'[25]Rapport Période'!#REF!</definedName>
    <definedName name="_ST25" localSheetId="17">'[25]Rapport Période'!#REF!</definedName>
    <definedName name="_ST25" localSheetId="12">'[25]Rapport Période'!#REF!</definedName>
    <definedName name="_ST25" localSheetId="22">'[25]Rapport Période'!#REF!</definedName>
    <definedName name="_ST25" localSheetId="28">'[25]Rapport Période'!#REF!</definedName>
    <definedName name="_ST25" localSheetId="35">'[25]Rapport Période'!#REF!</definedName>
    <definedName name="_ST25">'[25]Rapport Période'!#REF!</definedName>
    <definedName name="_ST26" localSheetId="18">'[25]Rapport Période'!#REF!</definedName>
    <definedName name="_ST26" localSheetId="29">'[25]Rapport Période'!#REF!</definedName>
    <definedName name="_ST26" localSheetId="31">'[25]Rapport Période'!#REF!</definedName>
    <definedName name="_ST26" localSheetId="15">'[25]Rapport Période'!#REF!</definedName>
    <definedName name="_ST26" localSheetId="13">'[25]Rapport Période'!#REF!</definedName>
    <definedName name="_ST26" localSheetId="17">'[25]Rapport Période'!#REF!</definedName>
    <definedName name="_ST26" localSheetId="12">'[25]Rapport Période'!#REF!</definedName>
    <definedName name="_ST26" localSheetId="22">'[25]Rapport Période'!#REF!</definedName>
    <definedName name="_ST26" localSheetId="28">'[25]Rapport Période'!#REF!</definedName>
    <definedName name="_ST26" localSheetId="35">'[25]Rapport Période'!#REF!</definedName>
    <definedName name="_ST26">'[25]Rapport Période'!#REF!</definedName>
    <definedName name="_ST27" localSheetId="18">'[25]Rapport Période'!#REF!</definedName>
    <definedName name="_ST27" localSheetId="29">'[25]Rapport Période'!#REF!</definedName>
    <definedName name="_ST27" localSheetId="31">'[25]Rapport Période'!#REF!</definedName>
    <definedName name="_ST27" localSheetId="15">'[25]Rapport Période'!#REF!</definedName>
    <definedName name="_ST27" localSheetId="13">'[25]Rapport Période'!#REF!</definedName>
    <definedName name="_ST27" localSheetId="17">'[25]Rapport Période'!#REF!</definedName>
    <definedName name="_ST27" localSheetId="12">'[25]Rapport Période'!#REF!</definedName>
    <definedName name="_ST27" localSheetId="22">'[25]Rapport Période'!#REF!</definedName>
    <definedName name="_ST27" localSheetId="28">'[25]Rapport Période'!#REF!</definedName>
    <definedName name="_ST27" localSheetId="35">'[25]Rapport Période'!#REF!</definedName>
    <definedName name="_ST27">'[25]Rapport Période'!#REF!</definedName>
    <definedName name="_ST28" localSheetId="18">'[25]Rapport Période'!#REF!</definedName>
    <definedName name="_ST28" localSheetId="29">'[25]Rapport Période'!#REF!</definedName>
    <definedName name="_ST28" localSheetId="31">'[25]Rapport Période'!#REF!</definedName>
    <definedName name="_ST28" localSheetId="15">'[25]Rapport Période'!#REF!</definedName>
    <definedName name="_ST28" localSheetId="13">'[25]Rapport Période'!#REF!</definedName>
    <definedName name="_ST28" localSheetId="17">'[25]Rapport Période'!#REF!</definedName>
    <definedName name="_ST28" localSheetId="12">'[25]Rapport Période'!#REF!</definedName>
    <definedName name="_ST28" localSheetId="22">'[25]Rapport Période'!#REF!</definedName>
    <definedName name="_ST28" localSheetId="28">'[25]Rapport Période'!#REF!</definedName>
    <definedName name="_ST28" localSheetId="35">'[25]Rapport Période'!#REF!</definedName>
    <definedName name="_ST28">'[25]Rapport Période'!#REF!</definedName>
    <definedName name="_ST29" localSheetId="18">'[25]Rapport Période'!#REF!</definedName>
    <definedName name="_ST29" localSheetId="29">'[25]Rapport Période'!#REF!</definedName>
    <definedName name="_ST29" localSheetId="31">'[25]Rapport Période'!#REF!</definedName>
    <definedName name="_ST29" localSheetId="15">'[25]Rapport Période'!#REF!</definedName>
    <definedName name="_ST29" localSheetId="13">'[25]Rapport Période'!#REF!</definedName>
    <definedName name="_ST29" localSheetId="17">'[25]Rapport Période'!#REF!</definedName>
    <definedName name="_ST29" localSheetId="12">'[25]Rapport Période'!#REF!</definedName>
    <definedName name="_ST29" localSheetId="22">'[25]Rapport Période'!#REF!</definedName>
    <definedName name="_ST29" localSheetId="28">'[25]Rapport Période'!#REF!</definedName>
    <definedName name="_ST29" localSheetId="35">'[25]Rapport Période'!#REF!</definedName>
    <definedName name="_ST29">'[25]Rapport Période'!#REF!</definedName>
    <definedName name="_ST3">'[25]Rapport Période'!$F$2</definedName>
    <definedName name="_ST30" localSheetId="18">'[25]Rapport Période'!#REF!</definedName>
    <definedName name="_ST30" localSheetId="29">'[25]Rapport Période'!#REF!</definedName>
    <definedName name="_ST30" localSheetId="31">'[25]Rapport Période'!#REF!</definedName>
    <definedName name="_ST30" localSheetId="15">'[25]Rapport Période'!#REF!</definedName>
    <definedName name="_ST30" localSheetId="13">'[25]Rapport Période'!#REF!</definedName>
    <definedName name="_ST30" localSheetId="17">'[25]Rapport Période'!#REF!</definedName>
    <definedName name="_ST30" localSheetId="12">'[25]Rapport Période'!#REF!</definedName>
    <definedName name="_ST30" localSheetId="22">'[25]Rapport Période'!#REF!</definedName>
    <definedName name="_ST30" localSheetId="28">'[25]Rapport Période'!#REF!</definedName>
    <definedName name="_ST30" localSheetId="35">'[25]Rapport Période'!#REF!</definedName>
    <definedName name="_ST30">'[25]Rapport Période'!#REF!</definedName>
    <definedName name="_ST4">'[25]Rapport Période'!$G$2</definedName>
    <definedName name="_ST5">'[25]Rapport Période'!$H$2</definedName>
    <definedName name="_ST6">'[25]Rapport Période'!$I$2</definedName>
    <definedName name="_ST7">'[25]Rapport Période'!$J$2</definedName>
    <definedName name="_ST8">'[25]Rapport Période'!$K$2</definedName>
    <definedName name="_ST9">'[25]Rapport Période'!$L$2</definedName>
    <definedName name="_SYN1" localSheetId="18">#REF!</definedName>
    <definedName name="_SYN1" localSheetId="25">#REF!</definedName>
    <definedName name="_SYN1" localSheetId="29">#REF!</definedName>
    <definedName name="_SYN1" localSheetId="31">#REF!</definedName>
    <definedName name="_SYN1" localSheetId="15">#REF!</definedName>
    <definedName name="_SYN1" localSheetId="13">#REF!</definedName>
    <definedName name="_SYN1" localSheetId="17">#REF!</definedName>
    <definedName name="_SYN1" localSheetId="12">#REF!</definedName>
    <definedName name="_SYN1" localSheetId="22">#REF!</definedName>
    <definedName name="_SYN1" localSheetId="28">#REF!</definedName>
    <definedName name="_SYN1" localSheetId="35">#REF!</definedName>
    <definedName name="_SYN1">#REF!</definedName>
    <definedName name="_SYN2" localSheetId="18">#REF!</definedName>
    <definedName name="_SYN2" localSheetId="25">#REF!</definedName>
    <definedName name="_SYN2" localSheetId="29">#REF!</definedName>
    <definedName name="_SYN2" localSheetId="31">#REF!</definedName>
    <definedName name="_SYN2" localSheetId="15">#REF!</definedName>
    <definedName name="_SYN2" localSheetId="13">#REF!</definedName>
    <definedName name="_SYN2" localSheetId="17">#REF!</definedName>
    <definedName name="_SYN2" localSheetId="12">#REF!</definedName>
    <definedName name="_SYN2" localSheetId="22">#REF!</definedName>
    <definedName name="_SYN2" localSheetId="28">#REF!</definedName>
    <definedName name="_SYN2" localSheetId="35">#REF!</definedName>
    <definedName name="_SYN2">#REF!</definedName>
    <definedName name="_Table2_In1" localSheetId="18" hidden="1">#REF!</definedName>
    <definedName name="_Table2_In1" localSheetId="25" hidden="1">#REF!</definedName>
    <definedName name="_Table2_In1" localSheetId="29" hidden="1">#REF!</definedName>
    <definedName name="_Table2_In1" localSheetId="31" hidden="1">#REF!</definedName>
    <definedName name="_Table2_In1" localSheetId="15" hidden="1">#REF!</definedName>
    <definedName name="_Table2_In1" localSheetId="13" hidden="1">#REF!</definedName>
    <definedName name="_Table2_In1" localSheetId="17" hidden="1">#REF!</definedName>
    <definedName name="_Table2_In1" localSheetId="12" hidden="1">#REF!</definedName>
    <definedName name="_Table2_In1" localSheetId="22" hidden="1">#REF!</definedName>
    <definedName name="_Table2_In1" localSheetId="28" hidden="1">#REF!</definedName>
    <definedName name="_Table2_In1" localSheetId="35" hidden="1">#REF!</definedName>
    <definedName name="_Table2_In1" hidden="1">#REF!</definedName>
    <definedName name="_Table2_In2" localSheetId="18" hidden="1">#REF!</definedName>
    <definedName name="_Table2_In2" localSheetId="25" hidden="1">#REF!</definedName>
    <definedName name="_Table2_In2" localSheetId="29" hidden="1">#REF!</definedName>
    <definedName name="_Table2_In2" localSheetId="31" hidden="1">#REF!</definedName>
    <definedName name="_Table2_In2" localSheetId="15" hidden="1">#REF!</definedName>
    <definedName name="_Table2_In2" localSheetId="13" hidden="1">#REF!</definedName>
    <definedName name="_Table2_In2" localSheetId="17" hidden="1">#REF!</definedName>
    <definedName name="_Table2_In2" localSheetId="12" hidden="1">#REF!</definedName>
    <definedName name="_Table2_In2" localSheetId="22" hidden="1">#REF!</definedName>
    <definedName name="_Table2_In2" localSheetId="28" hidden="1">#REF!</definedName>
    <definedName name="_Table2_In2" localSheetId="35" hidden="1">#REF!</definedName>
    <definedName name="_Table2_In2" hidden="1">#REF!</definedName>
    <definedName name="_Table2_Out" localSheetId="18" hidden="1">#REF!</definedName>
    <definedName name="_Table2_Out" localSheetId="25" hidden="1">#REF!</definedName>
    <definedName name="_Table2_Out" localSheetId="29" hidden="1">#REF!</definedName>
    <definedName name="_Table2_Out" localSheetId="31" hidden="1">#REF!</definedName>
    <definedName name="_Table2_Out" localSheetId="15" hidden="1">#REF!</definedName>
    <definedName name="_Table2_Out" localSheetId="13" hidden="1">#REF!</definedName>
    <definedName name="_Table2_Out" localSheetId="17" hidden="1">#REF!</definedName>
    <definedName name="_Table2_Out" localSheetId="12" hidden="1">#REF!</definedName>
    <definedName name="_Table2_Out" localSheetId="22" hidden="1">#REF!</definedName>
    <definedName name="_Table2_Out" localSheetId="28" hidden="1">#REF!</definedName>
    <definedName name="_Table2_Out" localSheetId="35" hidden="1">#REF!</definedName>
    <definedName name="_Table2_Out" hidden="1">#REF!</definedName>
    <definedName name="_TAE2001" localSheetId="18">#REF!</definedName>
    <definedName name="_TAE2001" localSheetId="25">#REF!</definedName>
    <definedName name="_TAE2001" localSheetId="29">#REF!</definedName>
    <definedName name="_TAE2001" localSheetId="31">#REF!</definedName>
    <definedName name="_TAE2001" localSheetId="15">#REF!</definedName>
    <definedName name="_TAE2001" localSheetId="13">#REF!</definedName>
    <definedName name="_TAE2001" localSheetId="17">#REF!</definedName>
    <definedName name="_TAE2001" localSheetId="12">#REF!</definedName>
    <definedName name="_TAE2001" localSheetId="22">#REF!</definedName>
    <definedName name="_TAE2001" localSheetId="28">#REF!</definedName>
    <definedName name="_TAE2001" localSheetId="35">#REF!</definedName>
    <definedName name="_TAE2001">#REF!</definedName>
    <definedName name="_TAE2002" localSheetId="18">#REF!</definedName>
    <definedName name="_TAE2002" localSheetId="25">#REF!</definedName>
    <definedName name="_TAE2002" localSheetId="29">#REF!</definedName>
    <definedName name="_TAE2002" localSheetId="31">#REF!</definedName>
    <definedName name="_TAE2002" localSheetId="15">#REF!</definedName>
    <definedName name="_TAE2002" localSheetId="13">#REF!</definedName>
    <definedName name="_TAE2002" localSheetId="17">#REF!</definedName>
    <definedName name="_TAE2002" localSheetId="12">#REF!</definedName>
    <definedName name="_TAE2002" localSheetId="22">#REF!</definedName>
    <definedName name="_TAE2002" localSheetId="28">#REF!</definedName>
    <definedName name="_TAE2002" localSheetId="35">#REF!</definedName>
    <definedName name="_TAE2002">#REF!</definedName>
    <definedName name="_UNI1999" localSheetId="18">#REF!</definedName>
    <definedName name="_UNI1999" localSheetId="25">#REF!</definedName>
    <definedName name="_UNI1999" localSheetId="29">#REF!</definedName>
    <definedName name="_UNI1999" localSheetId="31">#REF!</definedName>
    <definedName name="_UNI1999" localSheetId="15">#REF!</definedName>
    <definedName name="_UNI1999" localSheetId="13">#REF!</definedName>
    <definedName name="_UNI1999" localSheetId="17">#REF!</definedName>
    <definedName name="_UNI1999" localSheetId="12">#REF!</definedName>
    <definedName name="_UNI1999" localSheetId="22">#REF!</definedName>
    <definedName name="_UNI1999" localSheetId="28">#REF!</definedName>
    <definedName name="_UNI1999" localSheetId="35">#REF!</definedName>
    <definedName name="_UNI1999">#REF!</definedName>
    <definedName name="_UNI2000" localSheetId="18">#REF!</definedName>
    <definedName name="_UNI2000" localSheetId="25">#REF!</definedName>
    <definedName name="_UNI2000" localSheetId="29">#REF!</definedName>
    <definedName name="_UNI2000" localSheetId="31">#REF!</definedName>
    <definedName name="_UNI2000" localSheetId="15">#REF!</definedName>
    <definedName name="_UNI2000" localSheetId="13">#REF!</definedName>
    <definedName name="_UNI2000" localSheetId="17">#REF!</definedName>
    <definedName name="_UNI2000" localSheetId="12">#REF!</definedName>
    <definedName name="_UNI2000" localSheetId="22">#REF!</definedName>
    <definedName name="_UNI2000" localSheetId="28">#REF!</definedName>
    <definedName name="_UNI2000" localSheetId="35">#REF!</definedName>
    <definedName name="_UNI2000">#REF!</definedName>
    <definedName name="_UNI2001" localSheetId="18">#REF!</definedName>
    <definedName name="_UNI2001" localSheetId="25">#REF!</definedName>
    <definedName name="_UNI2001" localSheetId="29">#REF!</definedName>
    <definedName name="_UNI2001" localSheetId="31">#REF!</definedName>
    <definedName name="_UNI2001" localSheetId="15">#REF!</definedName>
    <definedName name="_UNI2001" localSheetId="13">#REF!</definedName>
    <definedName name="_UNI2001" localSheetId="17">#REF!</definedName>
    <definedName name="_UNI2001" localSheetId="12">#REF!</definedName>
    <definedName name="_UNI2001" localSheetId="22">#REF!</definedName>
    <definedName name="_UNI2001" localSheetId="28">#REF!</definedName>
    <definedName name="_UNI2001" localSheetId="35">#REF!</definedName>
    <definedName name="_UNI2001">#REF!</definedName>
    <definedName name="_vb100" localSheetId="18">#REF!</definedName>
    <definedName name="_vb100" localSheetId="25">#REF!</definedName>
    <definedName name="_vb100" localSheetId="29">#REF!</definedName>
    <definedName name="_vb100" localSheetId="31">#REF!</definedName>
    <definedName name="_vb100" localSheetId="15">#REF!</definedName>
    <definedName name="_vb100" localSheetId="13">#REF!</definedName>
    <definedName name="_vb100" localSheetId="17">#REF!</definedName>
    <definedName name="_vb100" localSheetId="12">#REF!</definedName>
    <definedName name="_vb100" localSheetId="22">#REF!</definedName>
    <definedName name="_vb100" localSheetId="28">#REF!</definedName>
    <definedName name="_vb100" localSheetId="35">#REF!</definedName>
    <definedName name="_vb100">#REF!</definedName>
    <definedName name="_x1" localSheetId="28">#N/A</definedName>
    <definedName name="_x1" localSheetId="35">'Taxe 5%'!_x1</definedName>
    <definedName name="_x1">'Taxe 5%'!_x1</definedName>
    <definedName name="_xf2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#N/A</definedName>
    <definedName name="_YR2">#N/A</definedName>
    <definedName name="_YR3">#N/A</definedName>
    <definedName name="_YR4">#N/A</definedName>
    <definedName name="A" localSheetId="18">#REF!</definedName>
    <definedName name="A" localSheetId="25">#REF!</definedName>
    <definedName name="A" localSheetId="29">#REF!</definedName>
    <definedName name="A" localSheetId="31">#REF!</definedName>
    <definedName name="A" localSheetId="15">#REF!</definedName>
    <definedName name="A" localSheetId="13">#REF!</definedName>
    <definedName name="A" localSheetId="17">#REF!</definedName>
    <definedName name="A" localSheetId="12">#REF!</definedName>
    <definedName name="A" localSheetId="22">#REF!</definedName>
    <definedName name="A" localSheetId="28">#REF!</definedName>
    <definedName name="A" localSheetId="35">#REF!</definedName>
    <definedName name="A">#REF!</definedName>
    <definedName name="A___0">NA()</definedName>
    <definedName name="A___12">#N/A</definedName>
    <definedName name="A___2">#N/A</definedName>
    <definedName name="A___25">#N/A</definedName>
    <definedName name="A___26">#N/A</definedName>
    <definedName name="A___27">NA()</definedName>
    <definedName name="A___4">#N/A</definedName>
    <definedName name="A___5">NA()</definedName>
    <definedName name="A___6">#N/A</definedName>
    <definedName name="A___7">#N/A</definedName>
    <definedName name="a__a">6</definedName>
    <definedName name="A_Tarifs_SFR" localSheetId="18">#REF!</definedName>
    <definedName name="A_Tarifs_SFR" localSheetId="25">#REF!</definedName>
    <definedName name="A_Tarifs_SFR" localSheetId="29">#REF!</definedName>
    <definedName name="A_Tarifs_SFR" localSheetId="31">#REF!</definedName>
    <definedName name="A_Tarifs_SFR" localSheetId="15">#REF!</definedName>
    <definedName name="A_Tarifs_SFR" localSheetId="13">#REF!</definedName>
    <definedName name="A_Tarifs_SFR" localSheetId="17">#REF!</definedName>
    <definedName name="A_Tarifs_SFR" localSheetId="12">#REF!</definedName>
    <definedName name="A_Tarifs_SFR" localSheetId="22">#REF!</definedName>
    <definedName name="A_Tarifs_SFR" localSheetId="28">#REF!</definedName>
    <definedName name="A_Tarifs_SFR" localSheetId="35">#REF!</definedName>
    <definedName name="A_Tarifs_SFR">#REF!</definedName>
    <definedName name="A_Tarifs_SFR___0">#N/A</definedName>
    <definedName name="A_Tarifs_SFR___12">#N/A</definedName>
    <definedName name="A_Tarifs_SFR___14">#N/A</definedName>
    <definedName name="A_Tarifs_SFR___16">#N/A</definedName>
    <definedName name="A_Tarifs_SFR___2">#N/A</definedName>
    <definedName name="A_Tarifs_SFR___26">#N/A</definedName>
    <definedName name="A_Tarifs_SFR___27">#N/A</definedName>
    <definedName name="A_Tarifs_SFR___5">#N/A</definedName>
    <definedName name="A_Tarifs_SFR___7">#N/A</definedName>
    <definedName name="aa" localSheetId="18">#N/A</definedName>
    <definedName name="aa" localSheetId="25">Activation!Tx_intérêt_par_an/#REF!</definedName>
    <definedName name="aa" localSheetId="29">'Amortissment boa'!Tx_intérêt_par_an/#REF!</definedName>
    <definedName name="aa" localSheetId="31">'Amortissment Cboa'!Tx_intérêt_par_an/#REF!</definedName>
    <definedName name="aa" localSheetId="15">#N/A</definedName>
    <definedName name="aa" localSheetId="13">#N/A</definedName>
    <definedName name="aa" localSheetId="19">#N/A</definedName>
    <definedName name="aa" localSheetId="17">#N/A</definedName>
    <definedName name="aa" localSheetId="12">#N/A</definedName>
    <definedName name="aa" localSheetId="22">[5]!Tx_intérêt_par_an/#REF!</definedName>
    <definedName name="aa" localSheetId="28">'SYNTHESE BOA'!Tx_intérêt_par_an/#REF!</definedName>
    <definedName name="aa" localSheetId="35">'Taxe 5%'!Tx_intérêt_par_an/#REF!</definedName>
    <definedName name="aa">[0]!Tx_intérêt_par_an/#REF!</definedName>
    <definedName name="aaa" localSheetId="18">[58]!Tx_intérêt_par_an/#REF!</definedName>
    <definedName name="aaa" localSheetId="25">[58]!Tx_intérêt_par_an/#REF!</definedName>
    <definedName name="aaa" localSheetId="29">[58]!Tx_intérêt_par_an/#REF!</definedName>
    <definedName name="aaa" localSheetId="31">[58]!Tx_intérêt_par_an/#REF!</definedName>
    <definedName name="aaa" localSheetId="15">[58]!Tx_intérêt_par_an/#REF!</definedName>
    <definedName name="aaa" localSheetId="13">[58]!Tx_intérêt_par_an/#REF!</definedName>
    <definedName name="aaa" localSheetId="17">[58]!Tx_intérêt_par_an/#REF!</definedName>
    <definedName name="aaa" localSheetId="12">[58]!Tx_intérêt_par_an/#REF!</definedName>
    <definedName name="aaa" localSheetId="22">[59]!Tx_intérêt_par_an/#REF!</definedName>
    <definedName name="aaa" localSheetId="35">[58]!Tx_intérêt_par_an/#REF!</definedName>
    <definedName name="aaa">[58]!Tx_intérêt_par_an/#REF!</definedName>
    <definedName name="aaa___0">#N/A</definedName>
    <definedName name="aaa___12">NA()</definedName>
    <definedName name="aaa___14">#N/A</definedName>
    <definedName name="aaa___16">#N/A</definedName>
    <definedName name="aaa___2">NA()</definedName>
    <definedName name="aaa___23">#N/A</definedName>
    <definedName name="aaa___25">#N/A</definedName>
    <definedName name="aaa___26">NA()</definedName>
    <definedName name="aaa___27">#N/A</definedName>
    <definedName name="aaa___3">#N/A</definedName>
    <definedName name="aaa___4">#N/A</definedName>
    <definedName name="aaa___5">#N/A</definedName>
    <definedName name="aaa___6">NA()</definedName>
    <definedName name="aaa___7">NA()</definedName>
    <definedName name="aaa___9">#N/A</definedName>
    <definedName name="AAA_DOCTOPS" hidden="1">"AAA_SET"</definedName>
    <definedName name="AAA_duser" hidden="1">"OFF"</definedName>
    <definedName name="aaa2___0">#N/A</definedName>
    <definedName name="aaa2___12">#N/A</definedName>
    <definedName name="aaa2___14">#N/A</definedName>
    <definedName name="aaa5___0">#N/A</definedName>
    <definedName name="aaa5___12">#N/A</definedName>
    <definedName name="aaa5___14">#N/A</definedName>
    <definedName name="aaaa" localSheetId="18">#N/A</definedName>
    <definedName name="aaaa" localSheetId="25">Activation!Tx_intérêt_par_an/#REF!</definedName>
    <definedName name="aaaa" localSheetId="29">'Amortissment boa'!Tx_intérêt_par_an/#REF!</definedName>
    <definedName name="aaaa" localSheetId="31">'Amortissment Cboa'!Tx_intérêt_par_an/#REF!</definedName>
    <definedName name="aaaa" localSheetId="15">#N/A</definedName>
    <definedName name="aaaa" localSheetId="13">#N/A</definedName>
    <definedName name="aaaa" localSheetId="19">#N/A</definedName>
    <definedName name="aaaa" localSheetId="17">#N/A</definedName>
    <definedName name="aaaa" localSheetId="12">#N/A</definedName>
    <definedName name="aaaa" localSheetId="22">[5]!Tx_intérêt_par_an/#REF!</definedName>
    <definedName name="aaaa" localSheetId="28">'SYNTHESE BOA'!Tx_intérêt_par_an/#REF!</definedName>
    <definedName name="aaaa" localSheetId="35">'Taxe 5%'!Tx_intérêt_par_an/#REF!</definedName>
    <definedName name="aaaa">[0]!Tx_intérêt_par_an/#REF!</definedName>
    <definedName name="aaaa___0">#N/A</definedName>
    <definedName name="aaaa___12">#N/A</definedName>
    <definedName name="aaaa___14">#N/A</definedName>
    <definedName name="aaaa___16">#N/A</definedName>
    <definedName name="aaaa___2">#N/A</definedName>
    <definedName name="aaaa___23">#N/A</definedName>
    <definedName name="aaaa___25">#N/A</definedName>
    <definedName name="aaaa___26">#N/A</definedName>
    <definedName name="aaaa___27">#N/A</definedName>
    <definedName name="aaaa___3">#N/A</definedName>
    <definedName name="aaaa___4">#N/A</definedName>
    <definedName name="aaaa___5">#N/A</definedName>
    <definedName name="aaaa___6">#N/A</definedName>
    <definedName name="aaaa___7">#N/A</definedName>
    <definedName name="aaaa___9">#N/A</definedName>
    <definedName name="aaaa1">#N/A</definedName>
    <definedName name="aaaaa" localSheetId="25" hidden="1">{"orixcsc",#N/A,FALSE,"ORIX CSC";"orixcsc2",#N/A,FALSE,"ORIX CSC"}</definedName>
    <definedName name="aaaaa" localSheetId="19" hidden="1">{"orixcsc",#N/A,FALSE,"ORIX CSC";"orixcsc2",#N/A,FALSE,"ORIX CSC"}</definedName>
    <definedName name="aaaaa" localSheetId="22" hidden="1">{"orixcsc",#N/A,FALSE,"ORIX CSC";"orixcsc2",#N/A,FALSE,"ORIX CSC"}</definedName>
    <definedName name="aaaaa" localSheetId="28" hidden="1">{"orixcsc",#N/A,FALSE,"ORIX CSC";"orixcsc2",#N/A,FALSE,"ORIX CSC"}</definedName>
    <definedName name="aaaaa" localSheetId="35" hidden="1">{"orixcsc",#N/A,FALSE,"ORIX CSC";"orixcsc2",#N/A,FALSE,"ORIX CSC"}</definedName>
    <definedName name="aaaaa" hidden="1">{"orixcsc",#N/A,FALSE,"ORIX CSC";"orixcsc2",#N/A,FALSE,"ORIX CSC"}</definedName>
    <definedName name="aaaaaa" localSheetId="25" hidden="1">{"IS",#N/A,FALSE,"IS";"RPTIS",#N/A,FALSE,"RPTIS";"STATS",#N/A,FALSE,"STATS";"CELL",#N/A,FALSE,"CELL";"BS",#N/A,FALSE,"BS"}</definedName>
    <definedName name="aaaaaa" localSheetId="19" hidden="1">{"IS",#N/A,FALSE,"IS";"RPTIS",#N/A,FALSE,"RPTIS";"STATS",#N/A,FALSE,"STATS";"CELL",#N/A,FALSE,"CELL";"BS",#N/A,FALSE,"BS"}</definedName>
    <definedName name="aaaaaa" localSheetId="22" hidden="1">{"IS",#N/A,FALSE,"IS";"RPTIS",#N/A,FALSE,"RPTIS";"STATS",#N/A,FALSE,"STATS";"CELL",#N/A,FALSE,"CELL";"BS",#N/A,FALSE,"BS"}</definedName>
    <definedName name="aaaaaa" localSheetId="28" hidden="1">{"IS",#N/A,FALSE,"IS";"RPTIS",#N/A,FALSE,"RPTIS";"STATS",#N/A,FALSE,"STATS";"CELL",#N/A,FALSE,"CELL";"BS",#N/A,FALSE,"BS"}</definedName>
    <definedName name="aaaaaa" localSheetId="35" hidden="1">{"IS",#N/A,FALSE,"IS";"RPTIS",#N/A,FALSE,"RPTIS";"STATS",#N/A,FALSE,"STATS";"CELL",#N/A,FALSE,"CELL";"BS",#N/A,FALSE,"BS"}</definedName>
    <definedName name="aaaaaa" hidden="1">{"IS",#N/A,FALSE,"IS";"RPTIS",#N/A,FALSE,"RPTIS";"STATS",#N/A,FALSE,"STATS";"CELL",#N/A,FALSE,"CELL";"BS",#N/A,FALSE,"BS"}</definedName>
    <definedName name="aaaaaaa" localSheetId="18">#N/A</definedName>
    <definedName name="aaaaaaa" localSheetId="25">Activation!Tx_intérêt_par_an/#REF!</definedName>
    <definedName name="aaaaaaa" localSheetId="29">'Amortissment boa'!Tx_intérêt_par_an/#REF!</definedName>
    <definedName name="aaaaaaa" localSheetId="31">'Amortissment Cboa'!Tx_intérêt_par_an/#REF!</definedName>
    <definedName name="aaaaaaa" localSheetId="15">#N/A</definedName>
    <definedName name="aaaaaaa" localSheetId="13">#N/A</definedName>
    <definedName name="aaaaaaa" localSheetId="19">#N/A</definedName>
    <definedName name="aaaaaaa" localSheetId="17">#N/A</definedName>
    <definedName name="aaaaaaa" localSheetId="12">#N/A</definedName>
    <definedName name="aaaaaaa" localSheetId="22">[5]!Tx_intérêt_par_an/#REF!</definedName>
    <definedName name="aaaaaaa" localSheetId="28">'SYNTHESE BOA'!Tx_intérêt_par_an/#REF!</definedName>
    <definedName name="aaaaaaa" localSheetId="35">'Taxe 5%'!Tx_intérêt_par_an/#REF!</definedName>
    <definedName name="aaaaaaa">[0]!Tx_intérêt_par_an/#REF!</definedName>
    <definedName name="aaaaaaaa" localSheetId="18">#N/A</definedName>
    <definedName name="aaaaaaaa" localSheetId="25">Activation!Nb_de_paiements_par_an*#REF!</definedName>
    <definedName name="aaaaaaaa" localSheetId="29">'Amortissment boa'!Nb_de_paiements_par_an*#REF!</definedName>
    <definedName name="aaaaaaaa" localSheetId="31">'Amortissment Cboa'!Nb_de_paiements_par_an*#REF!</definedName>
    <definedName name="aaaaaaaa" localSheetId="15">#N/A</definedName>
    <definedName name="aaaaaaaa" localSheetId="13">#N/A</definedName>
    <definedName name="aaaaaaaa" localSheetId="19">#N/A</definedName>
    <definedName name="aaaaaaaa" localSheetId="17">#N/A</definedName>
    <definedName name="aaaaaaaa" localSheetId="12">#N/A</definedName>
    <definedName name="aaaaaaaa" localSheetId="22">[5]!Nb_de_paiements_par_an*#REF!</definedName>
    <definedName name="aaaaaaaa" localSheetId="28">'SYNTHESE BOA'!Nb_de_paiements_par_an*#REF!</definedName>
    <definedName name="aaaaaaaa" localSheetId="35">'Taxe 5%'!Nb_de_paiements_par_an*#REF!</definedName>
    <definedName name="aaaaaaaa">[0]!Nb_de_paiements_par_an*#REF!</definedName>
    <definedName name="aaaaaaaaa" localSheetId="25" hidden="1">{"subs",#N/A,FALSE,"database ";"proportional",#N/A,FALSE,"database "}</definedName>
    <definedName name="aaaaaaaaa" localSheetId="19" hidden="1">{"subs",#N/A,FALSE,"database ";"proportional",#N/A,FALSE,"database "}</definedName>
    <definedName name="aaaaaaaaa" localSheetId="22" hidden="1">{"subs",#N/A,FALSE,"database ";"proportional",#N/A,FALSE,"database "}</definedName>
    <definedName name="aaaaaaaaa" localSheetId="28" hidden="1">{"subs",#N/A,FALSE,"database ";"proportional",#N/A,FALSE,"database "}</definedName>
    <definedName name="aaaaaaaaa" localSheetId="35" hidden="1">{"subs",#N/A,FALSE,"database ";"proportional",#N/A,FALSE,"database "}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 localSheetId="18">[6]!aaba</definedName>
    <definedName name="aaba" localSheetId="25">[6]!aaba</definedName>
    <definedName name="aaba" localSheetId="29">[6]!aaba</definedName>
    <definedName name="aaba" localSheetId="31">[6]!aaba</definedName>
    <definedName name="aaba" localSheetId="15">[6]!aaba</definedName>
    <definedName name="aaba" localSheetId="13">[6]!aaba</definedName>
    <definedName name="aaba" localSheetId="19">[7]!aaba</definedName>
    <definedName name="aaba" localSheetId="17">[6]!aaba</definedName>
    <definedName name="aaba" localSheetId="12">[6]!aaba</definedName>
    <definedName name="aaba" localSheetId="22">[8]!aaba</definedName>
    <definedName name="aaba">[6]!aaba</definedName>
    <definedName name="AAZ" localSheetId="29">#REF!</definedName>
    <definedName name="AAZ" localSheetId="31">#REF!</definedName>
    <definedName name="AAZ" localSheetId="28">#REF!</definedName>
    <definedName name="AAZ" localSheetId="35">#REF!</definedName>
    <definedName name="AAZ">#REF!</definedName>
    <definedName name="ab" localSheetId="18">#REF!</definedName>
    <definedName name="ab" localSheetId="25">#REF!</definedName>
    <definedName name="ab" localSheetId="29">#REF!</definedName>
    <definedName name="ab" localSheetId="31">#REF!</definedName>
    <definedName name="ab" localSheetId="15">#REF!</definedName>
    <definedName name="ab" localSheetId="13">#REF!</definedName>
    <definedName name="ab" localSheetId="17">#REF!</definedName>
    <definedName name="ab" localSheetId="12">#REF!</definedName>
    <definedName name="ab" localSheetId="22">#REF!</definedName>
    <definedName name="ab" localSheetId="28">#REF!</definedName>
    <definedName name="ab" localSheetId="35">#REF!</definedName>
    <definedName name="ab">#REF!</definedName>
    <definedName name="abas" localSheetId="29">#REF!</definedName>
    <definedName name="abas" localSheetId="31">#REF!</definedName>
    <definedName name="abas" localSheetId="28">#REF!</definedName>
    <definedName name="abas" localSheetId="35">#REF!</definedName>
    <definedName name="abas">#REF!</definedName>
    <definedName name="ABC">#N/A</definedName>
    <definedName name="ABRACADABRA" localSheetId="18" hidden="1">#REF!</definedName>
    <definedName name="ABRACADABRA" localSheetId="25" hidden="1">#REF!</definedName>
    <definedName name="ABRACADABRA" localSheetId="29" hidden="1">#REF!</definedName>
    <definedName name="ABRACADABRA" localSheetId="31" hidden="1">#REF!</definedName>
    <definedName name="ABRACADABRA" localSheetId="15" hidden="1">#REF!</definedName>
    <definedName name="ABRACADABRA" localSheetId="13" hidden="1">#REF!</definedName>
    <definedName name="ABRACADABRA" localSheetId="17" hidden="1">#REF!</definedName>
    <definedName name="ABRACADABRA" localSheetId="12" hidden="1">#REF!</definedName>
    <definedName name="ABRACADABRA" localSheetId="22" hidden="1">#REF!</definedName>
    <definedName name="ABRACADABRA" localSheetId="28" hidden="1">#REF!</definedName>
    <definedName name="ABRACADABRA" localSheetId="35" hidden="1">#REF!</definedName>
    <definedName name="ABRACADABRA" hidden="1">#REF!</definedName>
    <definedName name="ac" localSheetId="28" hidden="1">{#N/A,#N/A,TRUE,"Pro Forma";#N/A,#N/A,TRUE,"PF_Bal";#N/A,#N/A,TRUE,"PF_INC";#N/A,#N/A,TRUE,"CBE";#N/A,#N/A,TRUE,"SWK"}</definedName>
    <definedName name="ac" localSheetId="35" hidden="1">{#N/A,#N/A,TRUE,"Pro Forma";#N/A,#N/A,TRUE,"PF_Bal";#N/A,#N/A,TRUE,"PF_INC";#N/A,#N/A,TRUE,"CBE";#N/A,#N/A,TRUE,"SWK"}</definedName>
    <definedName name="ac" hidden="1">{#N/A,#N/A,TRUE,"Pro Forma";#N/A,#N/A,TRUE,"PF_Bal";#N/A,#N/A,TRUE,"PF_INC";#N/A,#N/A,TRUE,"CBE";#N/A,#N/A,TRUE,"SWK"}</definedName>
    <definedName name="AC_Actual_cost_to_date" localSheetId="29">#REF!</definedName>
    <definedName name="AC_Actual_cost_to_date" localSheetId="31">#REF!</definedName>
    <definedName name="AC_Actual_cost_to_date" localSheetId="28">#REF!</definedName>
    <definedName name="AC_Actual_cost_to_date" localSheetId="35">#REF!</definedName>
    <definedName name="AC_Actual_cost_to_date">#REF!</definedName>
    <definedName name="AC_L02015" localSheetId="18">#REF!</definedName>
    <definedName name="AC_L02015" localSheetId="25">#REF!</definedName>
    <definedName name="AC_L02015" localSheetId="29">#REF!</definedName>
    <definedName name="AC_L02015" localSheetId="31">#REF!</definedName>
    <definedName name="AC_L02015" localSheetId="15">#REF!</definedName>
    <definedName name="AC_L02015" localSheetId="13">#REF!</definedName>
    <definedName name="AC_L02015" localSheetId="19">#REF!</definedName>
    <definedName name="AC_L02015" localSheetId="20">'FND-Dettes Fi à LT '!#REF!</definedName>
    <definedName name="AC_L02015" localSheetId="17">#REF!</definedName>
    <definedName name="AC_L02015" localSheetId="12">#REF!</definedName>
    <definedName name="AC_L02015" localSheetId="22">#REF!</definedName>
    <definedName name="AC_L02015" localSheetId="28">#REF!</definedName>
    <definedName name="AC_L02015" localSheetId="35">#REF!</definedName>
    <definedName name="AC_L02015">#REF!</definedName>
    <definedName name="Acc_RMD_CR">#N/A</definedName>
    <definedName name="Acc_RMD_pour_tous">#N/A</definedName>
    <definedName name="Acc_RMD_VPC">#N/A</definedName>
    <definedName name="AccessDatabase" hidden="1">"P:\auctions\auction.11\programs\11_flash.mdb"</definedName>
    <definedName name="Accord_en_ligne_12_mois">#N/A</definedName>
    <definedName name="Accord_en_ligne_18_mois">#N/A</definedName>
    <definedName name="ACTIF_OSIRIS">'[60]O-V ACTIF'!$A$3:$F$112</definedName>
    <definedName name="actu32000">[61]A300!$1:$1048576</definedName>
    <definedName name="actu32000___0">#N/A</definedName>
    <definedName name="actu32000___12">#N/A</definedName>
    <definedName name="actu32000___14">#N/A</definedName>
    <definedName name="actu32000___16">#N/A</definedName>
    <definedName name="actu32000___27">#N/A</definedName>
    <definedName name="actu32000___5">#N/A</definedName>
    <definedName name="actu3ssta">[57]A3ssta00!$1:$1048576</definedName>
    <definedName name="actu3ssta___0">#N/A</definedName>
    <definedName name="actu3ssta___12">#N/A</definedName>
    <definedName name="actu3ssta___14">#N/A</definedName>
    <definedName name="actu3ssta___16">#N/A</definedName>
    <definedName name="actu3ssta___27">#N/A</definedName>
    <definedName name="actu3ssta___5">#N/A</definedName>
    <definedName name="ACTUALS" localSheetId="18">#REF!</definedName>
    <definedName name="ACTUALS" localSheetId="25">#REF!</definedName>
    <definedName name="ACTUALS" localSheetId="29">#REF!</definedName>
    <definedName name="ACTUALS" localSheetId="31">#REF!</definedName>
    <definedName name="ACTUALS" localSheetId="15">#REF!</definedName>
    <definedName name="ACTUALS" localSheetId="13">#REF!</definedName>
    <definedName name="ACTUALS" localSheetId="17">#REF!</definedName>
    <definedName name="ACTUALS" localSheetId="12">#REF!</definedName>
    <definedName name="ACTUALS" localSheetId="22">#REF!</definedName>
    <definedName name="ACTUALS" localSheetId="28">#REF!</definedName>
    <definedName name="ACTUALS" localSheetId="35">#REF!</definedName>
    <definedName name="ACTUALS">#REF!</definedName>
    <definedName name="ACTUC">[62]ACTUC!$A$13:$G$4667</definedName>
    <definedName name="ACTUF">[62]AcTUF!$A$13:$S$4075</definedName>
    <definedName name="ACTUM">[62]ACTUM!$A$13:$S$3854</definedName>
    <definedName name="ad" localSheetId="25" hidden="1">{"IS",#N/A,FALSE,"IS";"RPTIS",#N/A,FALSE,"RPTIS";"STATS",#N/A,FALSE,"STATS";"CELL",#N/A,FALSE,"CELL";"BS",#N/A,FALSE,"BS"}</definedName>
    <definedName name="ad" localSheetId="19" hidden="1">{"IS",#N/A,FALSE,"IS";"RPTIS",#N/A,FALSE,"RPTIS";"STATS",#N/A,FALSE,"STATS";"CELL",#N/A,FALSE,"CELL";"BS",#N/A,FALSE,"BS"}</definedName>
    <definedName name="ad" localSheetId="22" hidden="1">{"IS",#N/A,FALSE,"IS";"RPTIS",#N/A,FALSE,"RPTIS";"STATS",#N/A,FALSE,"STATS";"CELL",#N/A,FALSE,"CELL";"BS",#N/A,FALSE,"BS"}</definedName>
    <definedName name="ad" localSheetId="28" hidden="1">{"IS",#N/A,FALSE,"IS";"RPTIS",#N/A,FALSE,"RPTIS";"STATS",#N/A,FALSE,"STATS";"CELL",#N/A,FALSE,"CELL";"BS",#N/A,FALSE,"BS"}</definedName>
    <definedName name="ad" localSheetId="35" hidden="1">{"IS",#N/A,FALSE,"IS";"RPTIS",#N/A,FALSE,"RPTIS";"STATS",#N/A,FALSE,"STATS";"CELL",#N/A,FALSE,"CELL";"BS",#N/A,FALSE,"BS"}</definedName>
    <definedName name="ad" hidden="1">{"IS",#N/A,FALSE,"IS";"RPTIS",#N/A,FALSE,"RPTIS";"STATS",#N/A,FALSE,"STATS";"CELL",#N/A,FALSE,"CELL";"BS",#N/A,FALSE,"BS"}</definedName>
    <definedName name="addg" localSheetId="28" hidden="1">{#N/A,#N/A,FALSE,"CBE";#N/A,#N/A,FALSE,"SWK"}</definedName>
    <definedName name="addg" localSheetId="35" hidden="1">{#N/A,#N/A,FALSE,"CBE";#N/A,#N/A,FALSE,"SWK"}</definedName>
    <definedName name="addg" hidden="1">{#N/A,#N/A,FALSE,"CBE";#N/A,#N/A,FALSE,"SWK"}</definedName>
    <definedName name="AdjustFactor" localSheetId="18">#REF!</definedName>
    <definedName name="AdjustFactor" localSheetId="25">#REF!</definedName>
    <definedName name="AdjustFactor" localSheetId="29">#REF!</definedName>
    <definedName name="AdjustFactor" localSheetId="31">#REF!</definedName>
    <definedName name="AdjustFactor" localSheetId="15">#REF!</definedName>
    <definedName name="AdjustFactor" localSheetId="13">#REF!</definedName>
    <definedName name="AdjustFactor" localSheetId="17">#REF!</definedName>
    <definedName name="AdjustFactor" localSheetId="12">#REF!</definedName>
    <definedName name="AdjustFactor" localSheetId="22">#REF!</definedName>
    <definedName name="AdjustFactor" localSheetId="28">#REF!</definedName>
    <definedName name="AdjustFactor" localSheetId="35">#REF!</definedName>
    <definedName name="AdjustFactor">#REF!</definedName>
    <definedName name="AdjustFactor___0">#N/A</definedName>
    <definedName name="AdjustFactor___12">#N/A</definedName>
    <definedName name="AdjustFactor___14">#N/A</definedName>
    <definedName name="AdjustFactor___16">#N/A</definedName>
    <definedName name="AdjustFactor___2">#N/A</definedName>
    <definedName name="AdjustFactor___25">#N/A</definedName>
    <definedName name="AdjustFactor___26">#N/A</definedName>
    <definedName name="AdjustFactor___27">#N/A</definedName>
    <definedName name="AdjustFactor___4">#N/A</definedName>
    <definedName name="AdjustFactor___5">#N/A</definedName>
    <definedName name="AdjustFactor___7">#N/A</definedName>
    <definedName name="Adjustments" localSheetId="18">#REF!</definedName>
    <definedName name="Adjustments" localSheetId="25">#REF!</definedName>
    <definedName name="Adjustments" localSheetId="29">#REF!</definedName>
    <definedName name="Adjustments" localSheetId="31">#REF!</definedName>
    <definedName name="Adjustments" localSheetId="15">#REF!</definedName>
    <definedName name="Adjustments" localSheetId="13">#REF!</definedName>
    <definedName name="Adjustments" localSheetId="17">#REF!</definedName>
    <definedName name="Adjustments" localSheetId="12">#REF!</definedName>
    <definedName name="Adjustments" localSheetId="22">#REF!</definedName>
    <definedName name="Adjustments" localSheetId="28">#REF!</definedName>
    <definedName name="Adjustments" localSheetId="35">#REF!</definedName>
    <definedName name="Adjustments">#REF!</definedName>
    <definedName name="Adjustments___0">#N/A</definedName>
    <definedName name="Adjustments___12">#N/A</definedName>
    <definedName name="Adjustments___14">#N/A</definedName>
    <definedName name="Adjustments___16">#N/A</definedName>
    <definedName name="Adjustments___2">#N/A</definedName>
    <definedName name="Adjustments___25">#N/A</definedName>
    <definedName name="Adjustments___26">#N/A</definedName>
    <definedName name="Adjustments___27">#N/A</definedName>
    <definedName name="Adjustments___4">#N/A</definedName>
    <definedName name="Adjustments___5">#N/A</definedName>
    <definedName name="Adjustments___7">#N/A</definedName>
    <definedName name="ae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aze" localSheetId="18">[6]!aeaze</definedName>
    <definedName name="aeaze" localSheetId="25">[6]!aeaze</definedName>
    <definedName name="aeaze" localSheetId="29">[6]!aeaze</definedName>
    <definedName name="aeaze" localSheetId="31">[6]!aeaze</definedName>
    <definedName name="aeaze" localSheetId="15">[6]!aeaze</definedName>
    <definedName name="aeaze" localSheetId="13">[6]!aeaze</definedName>
    <definedName name="aeaze" localSheetId="19">[7]!aeaze</definedName>
    <definedName name="aeaze" localSheetId="17">[6]!aeaze</definedName>
    <definedName name="aeaze" localSheetId="12">[6]!aeaze</definedName>
    <definedName name="aeaze" localSheetId="22">[8]!aeaze</definedName>
    <definedName name="aeaze">[6]!aeaze</definedName>
    <definedName name="AECG" localSheetId="29">#REF!</definedName>
    <definedName name="AECG" localSheetId="31">#REF!</definedName>
    <definedName name="AECG" localSheetId="28">#REF!</definedName>
    <definedName name="AECG" localSheetId="35">#REF!</definedName>
    <definedName name="AECG">#REF!</definedName>
    <definedName name="aesf">#N/A</definedName>
    <definedName name="af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 localSheetId="18">#REF!</definedName>
    <definedName name="AG" localSheetId="25">#REF!</definedName>
    <definedName name="AG" localSheetId="29">#REF!</definedName>
    <definedName name="AG" localSheetId="31">#REF!</definedName>
    <definedName name="AG" localSheetId="15">#REF!</definedName>
    <definedName name="AG" localSheetId="13">#REF!</definedName>
    <definedName name="AG" localSheetId="17">#REF!</definedName>
    <definedName name="AG" localSheetId="12">#REF!</definedName>
    <definedName name="AG" localSheetId="22">#REF!</definedName>
    <definedName name="AG" localSheetId="28">#REF!</definedName>
    <definedName name="AG" localSheetId="35">#REF!</definedName>
    <definedName name="AG">#REF!</definedName>
    <definedName name="AG___0">#N/A</definedName>
    <definedName name="AG___12">#N/A</definedName>
    <definedName name="AG___14">#N/A</definedName>
    <definedName name="AG___16">#N/A</definedName>
    <definedName name="AG___2">#N/A</definedName>
    <definedName name="AG___25">#N/A</definedName>
    <definedName name="AG___26">#N/A</definedName>
    <definedName name="AG___27">#N/A</definedName>
    <definedName name="AG___4">#N/A</definedName>
    <definedName name="AG___5">#N/A</definedName>
    <definedName name="AG___7">#N/A</definedName>
    <definedName name="Agadir">#N/A</definedName>
    <definedName name="Aged_Backlog" localSheetId="29">'[63]CIG+OV'!#REF!</definedName>
    <definedName name="Aged_Backlog" localSheetId="31">'[63]CIG+OV'!#REF!</definedName>
    <definedName name="Aged_Backlog" localSheetId="28">'[63]CIG+OV'!#REF!</definedName>
    <definedName name="Aged_Backlog" localSheetId="35">'[63]CIG+OV'!#REF!</definedName>
    <definedName name="Aged_Backlog">'[63]CIG+OV'!#REF!</definedName>
    <definedName name="AGIA">#N/A</definedName>
    <definedName name="ah" localSheetId="25" hidden="1">{"test2",#N/A,TRUE,"Prices"}</definedName>
    <definedName name="ah" localSheetId="19" hidden="1">{"test2",#N/A,TRUE,"Prices"}</definedName>
    <definedName name="ah" localSheetId="22" hidden="1">{"test2",#N/A,TRUE,"Prices"}</definedName>
    <definedName name="ah" localSheetId="28" hidden="1">{"test2",#N/A,TRUE,"Prices"}</definedName>
    <definedName name="ah" localSheetId="35" hidden="1">{"test2",#N/A,TRUE,"Prices"}</definedName>
    <definedName name="ah" hidden="1">{"test2",#N/A,TRUE,"Prices"}</definedName>
    <definedName name="ai" localSheetId="25" hidden="1">{"subs",#N/A,FALSE,"database ";"proportional",#N/A,FALSE,"database "}</definedName>
    <definedName name="ai" localSheetId="19" hidden="1">{"subs",#N/A,FALSE,"database ";"proportional",#N/A,FALSE,"database "}</definedName>
    <definedName name="ai" localSheetId="22" hidden="1">{"subs",#N/A,FALSE,"database ";"proportional",#N/A,FALSE,"database "}</definedName>
    <definedName name="ai" localSheetId="28" hidden="1">{"subs",#N/A,FALSE,"database ";"proportional",#N/A,FALSE,"database "}</definedName>
    <definedName name="ai" localSheetId="35" hidden="1">{"subs",#N/A,FALSE,"database ";"proportional",#N/A,FALSE,"database "}</definedName>
    <definedName name="ai" hidden="1">{"subs",#N/A,FALSE,"database ";"proportional",#N/A,FALSE,"database "}</definedName>
    <definedName name="AIA" localSheetId="18">[64]BATIMENT!#REF!</definedName>
    <definedName name="AIA" localSheetId="29">[64]BATIMENT!#REF!</definedName>
    <definedName name="AIA" localSheetId="31">[64]BATIMENT!#REF!</definedName>
    <definedName name="AIA" localSheetId="15">[64]BATIMENT!#REF!</definedName>
    <definedName name="AIA" localSheetId="13">[64]BATIMENT!#REF!</definedName>
    <definedName name="AIA" localSheetId="17">[64]BATIMENT!#REF!</definedName>
    <definedName name="AIA" localSheetId="12">[64]BATIMENT!#REF!</definedName>
    <definedName name="AIA" localSheetId="22">[64]BATIMENT!#REF!</definedName>
    <definedName name="AIA" localSheetId="28">[64]BATIMENT!#REF!</definedName>
    <definedName name="AIA" localSheetId="35">[64]BATIMENT!#REF!</definedName>
    <definedName name="AIA">[64]BATIMENT!#REF!</definedName>
    <definedName name="ait" localSheetId="29">#REF!</definedName>
    <definedName name="ait" localSheetId="31">#REF!</definedName>
    <definedName name="ait" localSheetId="28">#REF!</definedName>
    <definedName name="ait" localSheetId="35">#REF!</definedName>
    <definedName name="ait">#REF!</definedName>
    <definedName name="aity" localSheetId="29">#REF!</definedName>
    <definedName name="aity" localSheetId="31">#REF!</definedName>
    <definedName name="aity" localSheetId="28">#REF!</definedName>
    <definedName name="aity" localSheetId="35">#REF!</definedName>
    <definedName name="aity">#REF!</definedName>
    <definedName name="AITYAKOUB" localSheetId="29">'[52]FES  ATLAS'!#REF!</definedName>
    <definedName name="AITYAKOUB" localSheetId="31">'[52]FES  ATLAS'!#REF!</definedName>
    <definedName name="AITYAKOUB" localSheetId="28">'[52]FES  ATLAS'!#REF!</definedName>
    <definedName name="AITYAKOUB" localSheetId="35">'[52]FES  ATLAS'!#REF!</definedName>
    <definedName name="AITYAKOUB">'[52]FES  ATLAS'!#REF!</definedName>
    <definedName name="aj" localSheetId="25" hidden="1">{"IS",#N/A,FALSE,"IS";"RPTIS",#N/A,FALSE,"RPTIS";"STATS",#N/A,FALSE,"STATS";"BS",#N/A,FALSE,"BS"}</definedName>
    <definedName name="aj" localSheetId="19" hidden="1">{"IS",#N/A,FALSE,"IS";"RPTIS",#N/A,FALSE,"RPTIS";"STATS",#N/A,FALSE,"STATS";"BS",#N/A,FALSE,"BS"}</definedName>
    <definedName name="aj" localSheetId="22" hidden="1">{"IS",#N/A,FALSE,"IS";"RPTIS",#N/A,FALSE,"RPTIS";"STATS",#N/A,FALSE,"STATS";"BS",#N/A,FALSE,"BS"}</definedName>
    <definedName name="aj" localSheetId="28" hidden="1">{"IS",#N/A,FALSE,"IS";"RPTIS",#N/A,FALSE,"RPTIS";"STATS",#N/A,FALSE,"STATS";"BS",#N/A,FALSE,"BS"}</definedName>
    <definedName name="aj" localSheetId="35" hidden="1">{"IS",#N/A,FALSE,"IS";"RPTIS",#N/A,FALSE,"RPTIS";"STATS",#N/A,FALSE,"STATS";"BS",#N/A,FALSE,"BS"}</definedName>
    <definedName name="aj" hidden="1">{"IS",#N/A,FALSE,"IS";"RPTIS",#N/A,FALSE,"RPTIS";"STATS",#N/A,FALSE,"STATS";"BS",#N/A,FALSE,"BS"}</definedName>
    <definedName name="AjustAttritV2" localSheetId="18">#REF!</definedName>
    <definedName name="AjustAttritV2" localSheetId="25">#REF!</definedName>
    <definedName name="AjustAttritV2" localSheetId="29">#REF!</definedName>
    <definedName name="AjustAttritV2" localSheetId="31">#REF!</definedName>
    <definedName name="AjustAttritV2" localSheetId="15">#REF!</definedName>
    <definedName name="AjustAttritV2" localSheetId="13">#REF!</definedName>
    <definedName name="AjustAttritV2" localSheetId="17">#REF!</definedName>
    <definedName name="AjustAttritV2" localSheetId="12">#REF!</definedName>
    <definedName name="AjustAttritV2" localSheetId="22">#REF!</definedName>
    <definedName name="AjustAttritV2" localSheetId="28">#REF!</definedName>
    <definedName name="AjustAttritV2" localSheetId="35">#REF!</definedName>
    <definedName name="AjustAttritV2">#REF!</definedName>
    <definedName name="AjustAttritV2___0">#N/A</definedName>
    <definedName name="AjustAttritV2___12">#N/A</definedName>
    <definedName name="AjustAttritV2___2">#N/A</definedName>
    <definedName name="AjustAttritV2___27">#N/A</definedName>
    <definedName name="AjustAttritV2___5">#N/A</definedName>
    <definedName name="AjustPdMClassique" localSheetId="18">#REF!</definedName>
    <definedName name="AjustPdMClassique" localSheetId="25">#REF!</definedName>
    <definedName name="AjustPdMClassique" localSheetId="29">#REF!</definedName>
    <definedName name="AjustPdMClassique" localSheetId="31">#REF!</definedName>
    <definedName name="AjustPdMClassique" localSheetId="15">#REF!</definedName>
    <definedName name="AjustPdMClassique" localSheetId="13">#REF!</definedName>
    <definedName name="AjustPdMClassique" localSheetId="17">#REF!</definedName>
    <definedName name="AjustPdMClassique" localSheetId="12">#REF!</definedName>
    <definedName name="AjustPdMClassique" localSheetId="22">#REF!</definedName>
    <definedName name="AjustPdMClassique" localSheetId="28">#REF!</definedName>
    <definedName name="AjustPdMClassique" localSheetId="35">#REF!</definedName>
    <definedName name="AjustPdMClassique">#REF!</definedName>
    <definedName name="AjustPdMClassique___0">#N/A</definedName>
    <definedName name="AjustPdMClassique___12">#N/A</definedName>
    <definedName name="AjustPdMClassique___2">#N/A</definedName>
    <definedName name="AjustPdMClassique___27">#N/A</definedName>
    <definedName name="AjustPdMClassique___5">#N/A</definedName>
    <definedName name="ALI_BANQUE" localSheetId="18">#REF!</definedName>
    <definedName name="ALI_BANQUE" localSheetId="25">#REF!</definedName>
    <definedName name="ALI_BANQUE" localSheetId="29">#REF!</definedName>
    <definedName name="ALI_BANQUE" localSheetId="31">#REF!</definedName>
    <definedName name="ALI_BANQUE" localSheetId="15">#REF!</definedName>
    <definedName name="ALI_BANQUE" localSheetId="13">#REF!</definedName>
    <definedName name="ALI_BANQUE" localSheetId="17">#REF!</definedName>
    <definedName name="ALI_BANQUE" localSheetId="12">#REF!</definedName>
    <definedName name="ALI_BANQUE" localSheetId="22">#REF!</definedName>
    <definedName name="ALI_BANQUE" localSheetId="28">#REF!</definedName>
    <definedName name="ALI_BANQUE" localSheetId="35">#REF!</definedName>
    <definedName name="ALI_BANQUE">#REF!</definedName>
    <definedName name="ALI_INT_BANQ" localSheetId="18">#REF!</definedName>
    <definedName name="ALI_INT_BANQ" localSheetId="25">#REF!</definedName>
    <definedName name="ALI_INT_BANQ" localSheetId="29">#REF!</definedName>
    <definedName name="ALI_INT_BANQ" localSheetId="31">#REF!</definedName>
    <definedName name="ALI_INT_BANQ" localSheetId="15">#REF!</definedName>
    <definedName name="ALI_INT_BANQ" localSheetId="13">#REF!</definedName>
    <definedName name="ALI_INT_BANQ" localSheetId="17">#REF!</definedName>
    <definedName name="ALI_INT_BANQ" localSheetId="12">#REF!</definedName>
    <definedName name="ALI_INT_BANQ" localSheetId="22">#REF!</definedName>
    <definedName name="ALI_INT_BANQ" localSheetId="28">#REF!</definedName>
    <definedName name="ALI_INT_BANQ" localSheetId="35">#REF!</definedName>
    <definedName name="ALI_INT_BANQ">#REF!</definedName>
    <definedName name="ALIM_BANQ_COURS" localSheetId="18">#REF!</definedName>
    <definedName name="ALIM_BANQ_COURS" localSheetId="25">#REF!</definedName>
    <definedName name="ALIM_BANQ_COURS" localSheetId="29">#REF!</definedName>
    <definedName name="ALIM_BANQ_COURS" localSheetId="31">#REF!</definedName>
    <definedName name="ALIM_BANQ_COURS" localSheetId="15">#REF!</definedName>
    <definedName name="ALIM_BANQ_COURS" localSheetId="13">#REF!</definedName>
    <definedName name="ALIM_BANQ_COURS" localSheetId="17">#REF!</definedName>
    <definedName name="ALIM_BANQ_COURS" localSheetId="12">#REF!</definedName>
    <definedName name="ALIM_BANQ_COURS" localSheetId="22">#REF!</definedName>
    <definedName name="ALIM_BANQ_COURS" localSheetId="28">#REF!</definedName>
    <definedName name="ALIM_BANQ_COURS" localSheetId="35">#REF!</definedName>
    <definedName name="ALIM_BANQ_COURS">#REF!</definedName>
    <definedName name="ALIM_BANQ_TG" localSheetId="18">#REF!</definedName>
    <definedName name="ALIM_BANQ_TG" localSheetId="25">#REF!</definedName>
    <definedName name="ALIM_BANQ_TG" localSheetId="29">#REF!</definedName>
    <definedName name="ALIM_BANQ_TG" localSheetId="31">#REF!</definedName>
    <definedName name="ALIM_BANQ_TG" localSheetId="15">#REF!</definedName>
    <definedName name="ALIM_BANQ_TG" localSheetId="13">#REF!</definedName>
    <definedName name="ALIM_BANQ_TG" localSheetId="17">#REF!</definedName>
    <definedName name="ALIM_BANQ_TG" localSheetId="12">#REF!</definedName>
    <definedName name="ALIM_BANQ_TG" localSheetId="22">#REF!</definedName>
    <definedName name="ALIM_BANQ_TG" localSheetId="28">#REF!</definedName>
    <definedName name="ALIM_BANQ_TG" localSheetId="35">#REF!</definedName>
    <definedName name="ALIM_BANQ_TG">#REF!</definedName>
    <definedName name="ALIM_DRT_CCP" localSheetId="18">#REF!</definedName>
    <definedName name="ALIM_DRT_CCP" localSheetId="25">#REF!</definedName>
    <definedName name="ALIM_DRT_CCP" localSheetId="29">#REF!</definedName>
    <definedName name="ALIM_DRT_CCP" localSheetId="31">#REF!</definedName>
    <definedName name="ALIM_DRT_CCP" localSheetId="15">#REF!</definedName>
    <definedName name="ALIM_DRT_CCP" localSheetId="13">#REF!</definedName>
    <definedName name="ALIM_DRT_CCP" localSheetId="17">#REF!</definedName>
    <definedName name="ALIM_DRT_CCP" localSheetId="12">#REF!</definedName>
    <definedName name="ALIM_DRT_CCP" localSheetId="22">#REF!</definedName>
    <definedName name="ALIM_DRT_CCP" localSheetId="28">#REF!</definedName>
    <definedName name="ALIM_DRT_CCP" localSheetId="35">#REF!</definedName>
    <definedName name="ALIM_DRT_CCP">#REF!</definedName>
    <definedName name="ALIM_TG_BANQUE" localSheetId="18">#REF!</definedName>
    <definedName name="ALIM_TG_BANQUE" localSheetId="25">#REF!</definedName>
    <definedName name="ALIM_TG_BANQUE" localSheetId="29">#REF!</definedName>
    <definedName name="ALIM_TG_BANQUE" localSheetId="31">#REF!</definedName>
    <definedName name="ALIM_TG_BANQUE" localSheetId="15">#REF!</definedName>
    <definedName name="ALIM_TG_BANQUE" localSheetId="13">#REF!</definedName>
    <definedName name="ALIM_TG_BANQUE" localSheetId="17">#REF!</definedName>
    <definedName name="ALIM_TG_BANQUE" localSheetId="12">#REF!</definedName>
    <definedName name="ALIM_TG_BANQUE" localSheetId="22">#REF!</definedName>
    <definedName name="ALIM_TG_BANQUE" localSheetId="28">#REF!</definedName>
    <definedName name="ALIM_TG_BANQUE" localSheetId="35">#REF!</definedName>
    <definedName name="ALIM_TG_BANQUE">#REF!</definedName>
    <definedName name="ALIM_TG_CCP" localSheetId="18">#REF!</definedName>
    <definedName name="ALIM_TG_CCP" localSheetId="25">#REF!</definedName>
    <definedName name="ALIM_TG_CCP" localSheetId="29">#REF!</definedName>
    <definedName name="ALIM_TG_CCP" localSheetId="31">#REF!</definedName>
    <definedName name="ALIM_TG_CCP" localSheetId="15">#REF!</definedName>
    <definedName name="ALIM_TG_CCP" localSheetId="13">#REF!</definedName>
    <definedName name="ALIM_TG_CCP" localSheetId="17">#REF!</definedName>
    <definedName name="ALIM_TG_CCP" localSheetId="12">#REF!</definedName>
    <definedName name="ALIM_TG_CCP" localSheetId="22">#REF!</definedName>
    <definedName name="ALIM_TG_CCP" localSheetId="28">#REF!</definedName>
    <definedName name="ALIM_TG_CCP" localSheetId="35">#REF!</definedName>
    <definedName name="ALIM_TG_CCP">#REF!</definedName>
    <definedName name="ALIM4215_TG" localSheetId="18">#REF!</definedName>
    <definedName name="ALIM4215_TG" localSheetId="25">#REF!</definedName>
    <definedName name="ALIM4215_TG" localSheetId="29">#REF!</definedName>
    <definedName name="ALIM4215_TG" localSheetId="31">#REF!</definedName>
    <definedName name="ALIM4215_TG" localSheetId="15">#REF!</definedName>
    <definedName name="ALIM4215_TG" localSheetId="13">#REF!</definedName>
    <definedName name="ALIM4215_TG" localSheetId="17">#REF!</definedName>
    <definedName name="ALIM4215_TG" localSheetId="12">#REF!</definedName>
    <definedName name="ALIM4215_TG" localSheetId="22">#REF!</definedName>
    <definedName name="ALIM4215_TG" localSheetId="28">#REF!</definedName>
    <definedName name="ALIM4215_TG" localSheetId="35">#REF!</definedName>
    <definedName name="ALIM4215_TG">#REF!</definedName>
    <definedName name="ALIM4215TG">[65]ONPT!$E$26</definedName>
    <definedName name="ALIMBANQTG">[65]ONPT!$E$24</definedName>
    <definedName name="ALIMENT_TG" localSheetId="18">#REF!</definedName>
    <definedName name="ALIMENT_TG" localSheetId="25">#REF!</definedName>
    <definedName name="ALIMENT_TG" localSheetId="29">#REF!</definedName>
    <definedName name="ALIMENT_TG" localSheetId="31">#REF!</definedName>
    <definedName name="ALIMENT_TG" localSheetId="15">#REF!</definedName>
    <definedName name="ALIMENT_TG" localSheetId="13">#REF!</definedName>
    <definedName name="ALIMENT_TG" localSheetId="17">#REF!</definedName>
    <definedName name="ALIMENT_TG" localSheetId="12">#REF!</definedName>
    <definedName name="ALIMENT_TG" localSheetId="22">#REF!</definedName>
    <definedName name="ALIMENT_TG" localSheetId="28">#REF!</definedName>
    <definedName name="ALIMENT_TG" localSheetId="35">#REF!</definedName>
    <definedName name="ALIMENT_TG">#REF!</definedName>
    <definedName name="ALIMTG">[65]ONPT!$E$17</definedName>
    <definedName name="alloue">[66]CUMUL!$C$2:$M$1457</definedName>
    <definedName name="AM" localSheetId="29">#REF!</definedName>
    <definedName name="AM" localSheetId="31">#REF!</definedName>
    <definedName name="AM" localSheetId="28">#REF!</definedName>
    <definedName name="AM" localSheetId="35">#REF!</definedName>
    <definedName name="AM">#REF!</definedName>
    <definedName name="AMRT" localSheetId="18">#REF!</definedName>
    <definedName name="AMRT" localSheetId="25">#REF!</definedName>
    <definedName name="AMRT" localSheetId="29">#REF!</definedName>
    <definedName name="AMRT" localSheetId="31">#REF!</definedName>
    <definedName name="AMRT" localSheetId="15">#REF!</definedName>
    <definedName name="AMRT" localSheetId="13">#REF!</definedName>
    <definedName name="AMRT" localSheetId="17">#REF!</definedName>
    <definedName name="AMRT" localSheetId="12">#REF!</definedName>
    <definedName name="AMRT" localSheetId="22">#REF!</definedName>
    <definedName name="AMRT" localSheetId="28">#REF!</definedName>
    <definedName name="AMRT" localSheetId="35">#REF!</definedName>
    <definedName name="AMRT">#REF!</definedName>
    <definedName name="An">[25]Ventes!$I$2:$I$18806</definedName>
    <definedName name="anly" localSheetId="18">'[67]Revenus hors intercomp.'!#REF!</definedName>
    <definedName name="anly" localSheetId="29">'[67]Revenus hors intercomp.'!#REF!</definedName>
    <definedName name="anly" localSheetId="31">'[67]Revenus hors intercomp.'!#REF!</definedName>
    <definedName name="anly" localSheetId="15">'[67]Revenus hors intercomp.'!#REF!</definedName>
    <definedName name="anly" localSheetId="13">'[67]Revenus hors intercomp.'!#REF!</definedName>
    <definedName name="anly" localSheetId="19">'[67]Revenus hors intercomp.'!#REF!</definedName>
    <definedName name="anly" localSheetId="17">'[67]Revenus hors intercomp.'!#REF!</definedName>
    <definedName name="anly" localSheetId="12">'[67]Revenus hors intercomp.'!#REF!</definedName>
    <definedName name="anly" localSheetId="22">'[67]Revenus hors intercomp.'!#REF!</definedName>
    <definedName name="anly" localSheetId="28">'[67]Revenus hors intercomp.'!#REF!</definedName>
    <definedName name="anly" localSheetId="35">'[67]Revenus hors intercomp.'!#REF!</definedName>
    <definedName name="anly">'[67]Revenus hors intercomp.'!#REF!</definedName>
    <definedName name="anly___0">#N/A</definedName>
    <definedName name="anly___12">#N/A</definedName>
    <definedName name="anly___14">#N/A</definedName>
    <definedName name="anly___16">#N/A</definedName>
    <definedName name="anly___2">#N/A</definedName>
    <definedName name="anly___25">#N/A</definedName>
    <definedName name="anly___26">#N/A</definedName>
    <definedName name="anly___27">#N/A</definedName>
    <definedName name="anly___4">#N/A</definedName>
    <definedName name="anly___5">#N/A</definedName>
    <definedName name="anly___6">#N/A</definedName>
    <definedName name="anly___7">#N/A</definedName>
    <definedName name="anMD">[25]Ventes!$W$2:$W$18806</definedName>
    <definedName name="anMDprod">[25]Ventes!$X$2:$X$18806</definedName>
    <definedName name="Année">'[25]Vente Annuelle'!$B$1</definedName>
    <definedName name="annui">#N/A</definedName>
    <definedName name="Annuité" localSheetId="18">#N/A</definedName>
    <definedName name="Annuité" localSheetId="25">Activation!Tx_intérêt_par_an/#REF!</definedName>
    <definedName name="Annuité" localSheetId="29">'Amortissment boa'!Tx_intérêt_par_an/#REF!</definedName>
    <definedName name="Annuité" localSheetId="31">'Amortissment Cboa'!Tx_intérêt_par_an/#REF!</definedName>
    <definedName name="Annuité" localSheetId="15">#N/A</definedName>
    <definedName name="Annuité" localSheetId="13">#N/A</definedName>
    <definedName name="Annuité" localSheetId="19">#N/A</definedName>
    <definedName name="Annuité" localSheetId="17">#N/A</definedName>
    <definedName name="Annuité" localSheetId="12">#N/A</definedName>
    <definedName name="Annuité" localSheetId="22">[5]!Tx_intérêt_par_an/#REF!</definedName>
    <definedName name="Annuité" localSheetId="28">'SYNTHESE BOA'!Tx_intérêt_par_an/#REF!</definedName>
    <definedName name="Annuité" localSheetId="35">'Taxe 5%'!Tx_intérêt_par_an/#REF!</definedName>
    <definedName name="Annuité">[0]!Tx_intérêt_par_an/#REF!</definedName>
    <definedName name="Annuité___0">#N/A</definedName>
    <definedName name="Annuité___12">#N/A</definedName>
    <definedName name="Annuité___14">#N/A</definedName>
    <definedName name="Annuité___16">#N/A</definedName>
    <definedName name="Annuité___2">#N/A</definedName>
    <definedName name="Annuité___23">#N/A</definedName>
    <definedName name="Annuité___25">#N/A</definedName>
    <definedName name="Annuité___26">#N/A</definedName>
    <definedName name="Annuité___27">#N/A</definedName>
    <definedName name="Annuité___3">#N/A</definedName>
    <definedName name="Annuité___4">#N/A</definedName>
    <definedName name="Annuité___5">#N/A</definedName>
    <definedName name="Annuité___6">#N/A</definedName>
    <definedName name="Annuité___7">#N/A</definedName>
    <definedName name="Annuité___9">#N/A</definedName>
    <definedName name="Anprod">[25]Ventes!$S$2:$S$18806</definedName>
    <definedName name="anscount" hidden="1">1</definedName>
    <definedName name="ANUITE">#N/A</definedName>
    <definedName name="ao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29">#REF!</definedName>
    <definedName name="APC_List" localSheetId="31">#REF!</definedName>
    <definedName name="APC_List" localSheetId="28">#REF!</definedName>
    <definedName name="APC_List" localSheetId="35">#REF!</definedName>
    <definedName name="APC_List">#REF!</definedName>
    <definedName name="appendix4" localSheetId="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[47]SV161!$G$19:$R$24</definedName>
    <definedName name="APRES2">[47]SV161!$G$30:$R$32</definedName>
    <definedName name="April" localSheetId="18">#REF!</definedName>
    <definedName name="April" localSheetId="25">#REF!</definedName>
    <definedName name="April" localSheetId="29">#REF!</definedName>
    <definedName name="April" localSheetId="31">#REF!</definedName>
    <definedName name="April" localSheetId="15">#REF!</definedName>
    <definedName name="April" localSheetId="13">#REF!</definedName>
    <definedName name="April" localSheetId="17">#REF!</definedName>
    <definedName name="April" localSheetId="12">#REF!</definedName>
    <definedName name="April" localSheetId="22">#REF!</definedName>
    <definedName name="April" localSheetId="28">#REF!</definedName>
    <definedName name="April" localSheetId="35">#REF!</definedName>
    <definedName name="April">#REF!</definedName>
    <definedName name="AprRtgMFR" localSheetId="25" hidden="1">{#N/A,#N/A,FALSE,"1999 Fiscal Current Week";#N/A,#N/A,FALSE,"1999 Fiscal Variance"}</definedName>
    <definedName name="AprRtgMFR" localSheetId="19" hidden="1">{#N/A,#N/A,FALSE,"1999 Fiscal Current Week";#N/A,#N/A,FALSE,"1999 Fiscal Variance"}</definedName>
    <definedName name="AprRtgMFR" localSheetId="22" hidden="1">{#N/A,#N/A,FALSE,"1999 Fiscal Current Week";#N/A,#N/A,FALSE,"1999 Fiscal Variance"}</definedName>
    <definedName name="AprRtgMFR" localSheetId="28" hidden="1">{#N/A,#N/A,FALSE,"1999 Fiscal Current Week";#N/A,#N/A,FALSE,"1999 Fiscal Variance"}</definedName>
    <definedName name="AprRtgMFR" localSheetId="35" hidden="1">{#N/A,#N/A,FALSE,"1999 Fiscal Current Week";#N/A,#N/A,FALSE,"1999 Fiscal Variance"}</definedName>
    <definedName name="AprRtgMFR" hidden="1">{#N/A,#N/A,FALSE,"1999 Fiscal Current Week";#N/A,#N/A,FALSE,"1999 Fiscal Variance"}</definedName>
    <definedName name="aq" localSheetId="25" hidden="1">{"IS",#N/A,FALSE,"IS";"RPTIS",#N/A,FALSE,"RPTIS";"STATS",#N/A,FALSE,"STATS";"CELL",#N/A,FALSE,"CELL";"BS",#N/A,FALSE,"BS"}</definedName>
    <definedName name="aq" localSheetId="19" hidden="1">{"IS",#N/A,FALSE,"IS";"RPTIS",#N/A,FALSE,"RPTIS";"STATS",#N/A,FALSE,"STATS";"CELL",#N/A,FALSE,"CELL";"BS",#N/A,FALSE,"BS"}</definedName>
    <definedName name="aq" localSheetId="22" hidden="1">{"IS",#N/A,FALSE,"IS";"RPTIS",#N/A,FALSE,"RPTIS";"STATS",#N/A,FALSE,"STATS";"CELL",#N/A,FALSE,"CELL";"BS",#N/A,FALSE,"BS"}</definedName>
    <definedName name="aq" localSheetId="28" hidden="1">{"IS",#N/A,FALSE,"IS";"RPTIS",#N/A,FALSE,"RPTIS";"STATS",#N/A,FALSE,"STATS";"CELL",#N/A,FALSE,"CELL";"BS",#N/A,FALSE,"BS"}</definedName>
    <definedName name="aq" localSheetId="35" hidden="1">{"IS",#N/A,FALSE,"IS";"RPTIS",#N/A,FALSE,"RPTIS";"STATS",#N/A,FALSE,"STATS";"CELL",#N/A,FALSE,"CELL";"BS",#N/A,FALSE,"BS"}</definedName>
    <definedName name="aq" hidden="1">{"IS",#N/A,FALSE,"IS";"RPTIS",#N/A,FALSE,"RPTIS";"STATS",#N/A,FALSE,"STATS";"CELL",#N/A,FALSE,"CELL";"BS",#N/A,FALSE,"BS"}</definedName>
    <definedName name="Arrange" localSheetId="28">#N/A</definedName>
    <definedName name="Arrange" localSheetId="35">'Taxe 5%'!Arrange</definedName>
    <definedName name="Arrange">'Taxe 5%'!Arrange</definedName>
    <definedName name="art" localSheetId="28" hidden="1">{"First Page",#N/A,FALSE,"Surfactants LBO";"Second Page",#N/A,FALSE,"Surfactants LBO"}</definedName>
    <definedName name="art" localSheetId="35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28" hidden="1">{"First Page",#N/A,FALSE,"Surfactants LBO";"Second Page",#N/A,FALSE,"Surfactants LBO"}</definedName>
    <definedName name="Artems" localSheetId="35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28" hidden="1">{"First Page",#N/A,FALSE,"Surfactants LBO";"Second Page",#N/A,FALSE,"Surfactants LBO"}</definedName>
    <definedName name="Artic" localSheetId="35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2DocOpenMode" hidden="1">"AS2DocumentEdit"</definedName>
    <definedName name="AS2HasNoAutoHeaderFooter" hidden="1">" "</definedName>
    <definedName name="AS2LinkLS" hidden="1">[68]Links!A1</definedName>
    <definedName name="AS2ReportLS" hidden="1">1</definedName>
    <definedName name="AS2StaticLS" hidden="1">'[69]Stocks lead'!A1</definedName>
    <definedName name="AS2SyncStepLS" hidden="1">0</definedName>
    <definedName name="AS2TickmarkLS" localSheetId="18" hidden="1">#REF!</definedName>
    <definedName name="AS2TickmarkLS" localSheetId="25" hidden="1">#REF!</definedName>
    <definedName name="AS2TickmarkLS" localSheetId="29" hidden="1">#REF!</definedName>
    <definedName name="AS2TickmarkLS" localSheetId="31" hidden="1">#REF!</definedName>
    <definedName name="AS2TickmarkLS" localSheetId="15" hidden="1">#REF!</definedName>
    <definedName name="AS2TickmarkLS" localSheetId="13" hidden="1">#REF!</definedName>
    <definedName name="AS2TickmarkLS" localSheetId="17" hidden="1">#REF!</definedName>
    <definedName name="AS2TickmarkLS" localSheetId="12" hidden="1">#REF!</definedName>
    <definedName name="AS2TickmarkLS" localSheetId="22" hidden="1">#REF!</definedName>
    <definedName name="AS2TickmarkLS" localSheetId="28" hidden="1">#REF!</definedName>
    <definedName name="AS2TickmarkLS" localSheetId="35" hidden="1">#REF!</definedName>
    <definedName name="AS2TickmarkLS" hidden="1">#REF!</definedName>
    <definedName name="AS2VersionLS" hidden="1">300</definedName>
    <definedName name="ASD" localSheetId="18">#REF!</definedName>
    <definedName name="ASD" localSheetId="25">#REF!</definedName>
    <definedName name="ASD" localSheetId="29">#REF!</definedName>
    <definedName name="ASD" localSheetId="31">#REF!</definedName>
    <definedName name="ASD" localSheetId="15">#REF!</definedName>
    <definedName name="ASD" localSheetId="13">#REF!</definedName>
    <definedName name="ASD" localSheetId="17">#REF!</definedName>
    <definedName name="ASD" localSheetId="12">#REF!</definedName>
    <definedName name="ASD" localSheetId="22">#REF!</definedName>
    <definedName name="ASD" localSheetId="28">#REF!</definedName>
    <definedName name="ASD" localSheetId="35">#REF!</definedName>
    <definedName name="ASD">#REF!</definedName>
    <definedName name="asdf" localSheetId="28" hidden="1">{#N/A,#N/A,FALSE,"Calc";#N/A,#N/A,FALSE,"Sensitivity";#N/A,#N/A,FALSE,"LT Earn.Dil.";#N/A,#N/A,FALSE,"Dil. AVP"}</definedName>
    <definedName name="asdf" localSheetId="35" hidden="1">{#N/A,#N/A,FALSE,"Calc";#N/A,#N/A,FALSE,"Sensitivity";#N/A,#N/A,FALSE,"LT Earn.Dil.";#N/A,#N/A,FALSE,"Dil. AVP"}</definedName>
    <definedName name="asdf" hidden="1">{#N/A,#N/A,FALSE,"Calc";#N/A,#N/A,FALSE,"Sensitivity";#N/A,#N/A,FALSE,"LT Earn.Dil.";#N/A,#N/A,FALSE,"Dil. AVP"}</definedName>
    <definedName name="asfafq" localSheetId="28">#N/A</definedName>
    <definedName name="asfafq" localSheetId="35">'Taxe 5%'!asfafq</definedName>
    <definedName name="asfafq">'Taxe 5%'!asfafq</definedName>
    <definedName name="asss">#N/A</definedName>
    <definedName name="at" localSheetId="25" hidden="1">{"IS",#N/A,FALSE,"IS";"RPTIS",#N/A,FALSE,"RPTIS";"STATS",#N/A,FALSE,"STATS";"CELL",#N/A,FALSE,"CELL";"BS",#N/A,FALSE,"BS"}</definedName>
    <definedName name="at" localSheetId="19" hidden="1">{"IS",#N/A,FALSE,"IS";"RPTIS",#N/A,FALSE,"RPTIS";"STATS",#N/A,FALSE,"STATS";"CELL",#N/A,FALSE,"CELL";"BS",#N/A,FALSE,"BS"}</definedName>
    <definedName name="at" localSheetId="22" hidden="1">{"IS",#N/A,FALSE,"IS";"RPTIS",#N/A,FALSE,"RPTIS";"STATS",#N/A,FALSE,"STATS";"CELL",#N/A,FALSE,"CELL";"BS",#N/A,FALSE,"BS"}</definedName>
    <definedName name="at" localSheetId="28" hidden="1">{"IS",#N/A,FALSE,"IS";"RPTIS",#N/A,FALSE,"RPTIS";"STATS",#N/A,FALSE,"STATS";"CELL",#N/A,FALSE,"CELL";"BS",#N/A,FALSE,"BS"}</definedName>
    <definedName name="at" localSheetId="35" hidden="1">{"IS",#N/A,FALSE,"IS";"RPTIS",#N/A,FALSE,"RPTIS";"STATS",#N/A,FALSE,"STATS";"CELL",#N/A,FALSE,"CELL";"BS",#N/A,FALSE,"BS"}</definedName>
    <definedName name="at" hidden="1">{"IS",#N/A,FALSE,"IS";"RPTIS",#N/A,FALSE,"RPTIS";"STATS",#N/A,FALSE,"STATS";"CELL",#N/A,FALSE,"CELL";"BS",#N/A,FALSE,"BS"}</definedName>
    <definedName name="ATDebtCost" localSheetId="18">#REF!</definedName>
    <definedName name="ATDebtCost" localSheetId="25">#REF!</definedName>
    <definedName name="ATDebtCost" localSheetId="29">#REF!</definedName>
    <definedName name="ATDebtCost" localSheetId="31">#REF!</definedName>
    <definedName name="ATDebtCost" localSheetId="15">#REF!</definedName>
    <definedName name="ATDebtCost" localSheetId="13">#REF!</definedName>
    <definedName name="ATDebtCost" localSheetId="17">#REF!</definedName>
    <definedName name="ATDebtCost" localSheetId="12">#REF!</definedName>
    <definedName name="ATDebtCost" localSheetId="22">#REF!</definedName>
    <definedName name="ATDebtCost" localSheetId="28">#REF!</definedName>
    <definedName name="ATDebtCost" localSheetId="35">#REF!</definedName>
    <definedName name="ATDebtCost">#REF!</definedName>
    <definedName name="ATDebtCost___0">#N/A</definedName>
    <definedName name="ATDebtCost___12">#N/A</definedName>
    <definedName name="ATDebtCost___14">#N/A</definedName>
    <definedName name="ATDebtCost___16">#N/A</definedName>
    <definedName name="ATDebtCost___2">#N/A</definedName>
    <definedName name="ATDebtCost___25">#N/A</definedName>
    <definedName name="ATDebtCost___26">#N/A</definedName>
    <definedName name="ATDebtCost___27">#N/A</definedName>
    <definedName name="ATDebtCost___4">#N/A</definedName>
    <definedName name="ATDebtCost___5">#N/A</definedName>
    <definedName name="ATDebtCost___7">#N/A</definedName>
    <definedName name="ati" localSheetId="29">'[70]FES  ATLAS'!#REF!</definedName>
    <definedName name="ati" localSheetId="31">'[70]FES  ATLAS'!#REF!</definedName>
    <definedName name="ati" localSheetId="28">'[70]FES  ATLAS'!#REF!</definedName>
    <definedName name="ati" localSheetId="35">'[70]FES  ATLAS'!#REF!</definedName>
    <definedName name="ati">'[70]FES  ATLAS'!#REF!</definedName>
    <definedName name="au" localSheetId="25" hidden="1">{#N/A,#N/A,FALSE,"ORIX CSC"}</definedName>
    <definedName name="au" localSheetId="19" hidden="1">{#N/A,#N/A,FALSE,"ORIX CSC"}</definedName>
    <definedName name="au" localSheetId="22" hidden="1">{#N/A,#N/A,FALSE,"ORIX CSC"}</definedName>
    <definedName name="au" localSheetId="28" hidden="1">{#N/A,#N/A,FALSE,"ORIX CSC"}</definedName>
    <definedName name="au" localSheetId="35" hidden="1">{#N/A,#N/A,FALSE,"ORIX CSC"}</definedName>
    <definedName name="au" hidden="1">{#N/A,#N/A,FALSE,"ORIX CSC"}</definedName>
    <definedName name="Auditor" hidden="1">#N/A</definedName>
    <definedName name="August" localSheetId="18">#REF!</definedName>
    <definedName name="August" localSheetId="25">#REF!</definedName>
    <definedName name="August" localSheetId="29">#REF!</definedName>
    <definedName name="August" localSheetId="31">#REF!</definedName>
    <definedName name="August" localSheetId="15">#REF!</definedName>
    <definedName name="August" localSheetId="13">#REF!</definedName>
    <definedName name="August" localSheetId="17">#REF!</definedName>
    <definedName name="August" localSheetId="12">#REF!</definedName>
    <definedName name="August" localSheetId="22">#REF!</definedName>
    <definedName name="August" localSheetId="28">#REF!</definedName>
    <definedName name="August" localSheetId="35">#REF!</definedName>
    <definedName name="August">#REF!</definedName>
    <definedName name="AUT_REC_CCP" localSheetId="18">#REF!</definedName>
    <definedName name="AUT_REC_CCP" localSheetId="25">#REF!</definedName>
    <definedName name="AUT_REC_CCP" localSheetId="29">#REF!</definedName>
    <definedName name="AUT_REC_CCP" localSheetId="31">#REF!</definedName>
    <definedName name="AUT_REC_CCP" localSheetId="15">#REF!</definedName>
    <definedName name="AUT_REC_CCP" localSheetId="13">#REF!</definedName>
    <definedName name="AUT_REC_CCP" localSheetId="17">#REF!</definedName>
    <definedName name="AUT_REC_CCP" localSheetId="12">#REF!</definedName>
    <definedName name="AUT_REC_CCP" localSheetId="22">#REF!</definedName>
    <definedName name="AUT_REC_CCP" localSheetId="28">#REF!</definedName>
    <definedName name="AUT_REC_CCP" localSheetId="35">#REF!</definedName>
    <definedName name="AUT_REC_CCP">#REF!</definedName>
    <definedName name="AUT_REC_TG" localSheetId="18">#REF!</definedName>
    <definedName name="AUT_REC_TG" localSheetId="25">#REF!</definedName>
    <definedName name="AUT_REC_TG" localSheetId="29">#REF!</definedName>
    <definedName name="AUT_REC_TG" localSheetId="31">#REF!</definedName>
    <definedName name="AUT_REC_TG" localSheetId="15">#REF!</definedName>
    <definedName name="AUT_REC_TG" localSheetId="13">#REF!</definedName>
    <definedName name="AUT_REC_TG" localSheetId="17">#REF!</definedName>
    <definedName name="AUT_REC_TG" localSheetId="12">#REF!</definedName>
    <definedName name="AUT_REC_TG" localSheetId="22">#REF!</definedName>
    <definedName name="AUT_REC_TG" localSheetId="28">#REF!</definedName>
    <definedName name="AUT_REC_TG" localSheetId="35">#REF!</definedName>
    <definedName name="AUT_REC_TG">#REF!</definedName>
    <definedName name="AUTRECCCP">[65]ONPT!$B$19</definedName>
    <definedName name="AUTRECTG">[65]ONPT!$B$19</definedName>
    <definedName name="avaaaaav" localSheetId="28">#N/A</definedName>
    <definedName name="avaaaaav" localSheetId="35">'Taxe 5%'!avaaaaav</definedName>
    <definedName name="avaaaaav">'Taxe 5%'!avaaaaav</definedName>
    <definedName name="AVANT1">[47]SV161!$H$19:$S$24</definedName>
    <definedName name="AVANT2">[47]SV161!$H$30:$S$32</definedName>
    <definedName name="axe_doc" localSheetId="18">#REF!</definedName>
    <definedName name="axe_doc" localSheetId="25">#REF!</definedName>
    <definedName name="axe_doc" localSheetId="29">#REF!</definedName>
    <definedName name="axe_doc" localSheetId="31">#REF!</definedName>
    <definedName name="axe_doc" localSheetId="15">#REF!</definedName>
    <definedName name="axe_doc" localSheetId="13">#REF!</definedName>
    <definedName name="axe_doc" localSheetId="17">#REF!</definedName>
    <definedName name="axe_doc" localSheetId="12">#REF!</definedName>
    <definedName name="axe_doc" localSheetId="22">#REF!</definedName>
    <definedName name="axe_doc" localSheetId="28">#REF!</definedName>
    <definedName name="axe_doc" localSheetId="35">#REF!</definedName>
    <definedName name="axe_doc">#REF!</definedName>
    <definedName name="axe_doc1" localSheetId="18">#REF!</definedName>
    <definedName name="axe_doc1" localSheetId="25">#REF!</definedName>
    <definedName name="axe_doc1" localSheetId="29">#REF!</definedName>
    <definedName name="axe_doc1" localSheetId="31">#REF!</definedName>
    <definedName name="axe_doc1" localSheetId="15">#REF!</definedName>
    <definedName name="axe_doc1" localSheetId="13">#REF!</definedName>
    <definedName name="axe_doc1" localSheetId="17">#REF!</definedName>
    <definedName name="axe_doc1" localSheetId="12">#REF!</definedName>
    <definedName name="axe_doc1" localSheetId="22">#REF!</definedName>
    <definedName name="axe_doc1" localSheetId="28">#REF!</definedName>
    <definedName name="axe_doc1" localSheetId="35">#REF!</definedName>
    <definedName name="axe_doc1">#REF!</definedName>
    <definedName name="axe_doc10" localSheetId="18">#REF!</definedName>
    <definedName name="axe_doc10" localSheetId="25">#REF!</definedName>
    <definedName name="axe_doc10" localSheetId="29">#REF!</definedName>
    <definedName name="axe_doc10" localSheetId="31">#REF!</definedName>
    <definedName name="axe_doc10" localSheetId="15">#REF!</definedName>
    <definedName name="axe_doc10" localSheetId="13">#REF!</definedName>
    <definedName name="axe_doc10" localSheetId="17">#REF!</definedName>
    <definedName name="axe_doc10" localSheetId="12">#REF!</definedName>
    <definedName name="axe_doc10" localSheetId="22">#REF!</definedName>
    <definedName name="axe_doc10" localSheetId="28">#REF!</definedName>
    <definedName name="axe_doc10" localSheetId="35">#REF!</definedName>
    <definedName name="axe_doc10">#REF!</definedName>
    <definedName name="axe_doc11" localSheetId="18">#REF!</definedName>
    <definedName name="axe_doc11" localSheetId="25">#REF!</definedName>
    <definedName name="axe_doc11" localSheetId="29">#REF!</definedName>
    <definedName name="axe_doc11" localSheetId="31">#REF!</definedName>
    <definedName name="axe_doc11" localSheetId="15">#REF!</definedName>
    <definedName name="axe_doc11" localSheetId="13">#REF!</definedName>
    <definedName name="axe_doc11" localSheetId="17">#REF!</definedName>
    <definedName name="axe_doc11" localSheetId="12">#REF!</definedName>
    <definedName name="axe_doc11" localSheetId="22">#REF!</definedName>
    <definedName name="axe_doc11" localSheetId="28">#REF!</definedName>
    <definedName name="axe_doc11" localSheetId="35">#REF!</definedName>
    <definedName name="axe_doc11">#REF!</definedName>
    <definedName name="axe_doc12" localSheetId="18">#REF!</definedName>
    <definedName name="axe_doc12" localSheetId="25">#REF!</definedName>
    <definedName name="axe_doc12" localSheetId="29">#REF!</definedName>
    <definedName name="axe_doc12" localSheetId="31">#REF!</definedName>
    <definedName name="axe_doc12" localSheetId="15">#REF!</definedName>
    <definedName name="axe_doc12" localSheetId="13">#REF!</definedName>
    <definedName name="axe_doc12" localSheetId="17">#REF!</definedName>
    <definedName name="axe_doc12" localSheetId="12">#REF!</definedName>
    <definedName name="axe_doc12" localSheetId="22">#REF!</definedName>
    <definedName name="axe_doc12" localSheetId="28">#REF!</definedName>
    <definedName name="axe_doc12" localSheetId="35">#REF!</definedName>
    <definedName name="axe_doc12">#REF!</definedName>
    <definedName name="axe_doc13" localSheetId="18">#REF!</definedName>
    <definedName name="axe_doc13" localSheetId="25">#REF!</definedName>
    <definedName name="axe_doc13" localSheetId="29">#REF!</definedName>
    <definedName name="axe_doc13" localSheetId="31">#REF!</definedName>
    <definedName name="axe_doc13" localSheetId="15">#REF!</definedName>
    <definedName name="axe_doc13" localSheetId="13">#REF!</definedName>
    <definedName name="axe_doc13" localSheetId="17">#REF!</definedName>
    <definedName name="axe_doc13" localSheetId="12">#REF!</definedName>
    <definedName name="axe_doc13" localSheetId="22">#REF!</definedName>
    <definedName name="axe_doc13" localSheetId="28">#REF!</definedName>
    <definedName name="axe_doc13" localSheetId="35">#REF!</definedName>
    <definedName name="axe_doc13">#REF!</definedName>
    <definedName name="axe_doc2" localSheetId="18">#REF!</definedName>
    <definedName name="axe_doc2" localSheetId="25">#REF!</definedName>
    <definedName name="axe_doc2" localSheetId="29">#REF!</definedName>
    <definedName name="axe_doc2" localSheetId="31">#REF!</definedName>
    <definedName name="axe_doc2" localSheetId="15">#REF!</definedName>
    <definedName name="axe_doc2" localSheetId="13">#REF!</definedName>
    <definedName name="axe_doc2" localSheetId="17">#REF!</definedName>
    <definedName name="axe_doc2" localSheetId="12">#REF!</definedName>
    <definedName name="axe_doc2" localSheetId="22">#REF!</definedName>
    <definedName name="axe_doc2" localSheetId="28">#REF!</definedName>
    <definedName name="axe_doc2" localSheetId="35">#REF!</definedName>
    <definedName name="axe_doc2">#REF!</definedName>
    <definedName name="axe_doc3" localSheetId="18">#REF!</definedName>
    <definedName name="axe_doc3" localSheetId="25">#REF!</definedName>
    <definedName name="axe_doc3" localSheetId="29">#REF!</definedName>
    <definedName name="axe_doc3" localSheetId="31">#REF!</definedName>
    <definedName name="axe_doc3" localSheetId="15">#REF!</definedName>
    <definedName name="axe_doc3" localSheetId="13">#REF!</definedName>
    <definedName name="axe_doc3" localSheetId="17">#REF!</definedName>
    <definedName name="axe_doc3" localSheetId="12">#REF!</definedName>
    <definedName name="axe_doc3" localSheetId="22">#REF!</definedName>
    <definedName name="axe_doc3" localSheetId="28">#REF!</definedName>
    <definedName name="axe_doc3" localSheetId="35">#REF!</definedName>
    <definedName name="axe_doc3">#REF!</definedName>
    <definedName name="axe_doc4" localSheetId="18">#REF!</definedName>
    <definedName name="axe_doc4" localSheetId="25">#REF!</definedName>
    <definedName name="axe_doc4" localSheetId="29">#REF!</definedName>
    <definedName name="axe_doc4" localSheetId="31">#REF!</definedName>
    <definedName name="axe_doc4" localSheetId="15">#REF!</definedName>
    <definedName name="axe_doc4" localSheetId="13">#REF!</definedName>
    <definedName name="axe_doc4" localSheetId="17">#REF!</definedName>
    <definedName name="axe_doc4" localSheetId="12">#REF!</definedName>
    <definedName name="axe_doc4" localSheetId="22">#REF!</definedName>
    <definedName name="axe_doc4" localSheetId="28">#REF!</definedName>
    <definedName name="axe_doc4" localSheetId="35">#REF!</definedName>
    <definedName name="axe_doc4">#REF!</definedName>
    <definedName name="axe_doc5" localSheetId="18">#REF!</definedName>
    <definedName name="axe_doc5" localSheetId="25">#REF!</definedName>
    <definedName name="axe_doc5" localSheetId="29">#REF!</definedName>
    <definedName name="axe_doc5" localSheetId="31">#REF!</definedName>
    <definedName name="axe_doc5" localSheetId="15">#REF!</definedName>
    <definedName name="axe_doc5" localSheetId="13">#REF!</definedName>
    <definedName name="axe_doc5" localSheetId="17">#REF!</definedName>
    <definedName name="axe_doc5" localSheetId="12">#REF!</definedName>
    <definedName name="axe_doc5" localSheetId="22">#REF!</definedName>
    <definedName name="axe_doc5" localSheetId="28">#REF!</definedName>
    <definedName name="axe_doc5" localSheetId="35">#REF!</definedName>
    <definedName name="axe_doc5">#REF!</definedName>
    <definedName name="axe_doc6" localSheetId="18">#REF!</definedName>
    <definedName name="axe_doc6" localSheetId="25">#REF!</definedName>
    <definedName name="axe_doc6" localSheetId="29">#REF!</definedName>
    <definedName name="axe_doc6" localSheetId="31">#REF!</definedName>
    <definedName name="axe_doc6" localSheetId="15">#REF!</definedName>
    <definedName name="axe_doc6" localSheetId="13">#REF!</definedName>
    <definedName name="axe_doc6" localSheetId="17">#REF!</definedName>
    <definedName name="axe_doc6" localSheetId="12">#REF!</definedName>
    <definedName name="axe_doc6" localSheetId="22">#REF!</definedName>
    <definedName name="axe_doc6" localSheetId="28">#REF!</definedName>
    <definedName name="axe_doc6" localSheetId="35">#REF!</definedName>
    <definedName name="axe_doc6">#REF!</definedName>
    <definedName name="axe_doc7" localSheetId="18">#REF!</definedName>
    <definedName name="axe_doc7" localSheetId="25">#REF!</definedName>
    <definedName name="axe_doc7" localSheetId="29">#REF!</definedName>
    <definedName name="axe_doc7" localSheetId="31">#REF!</definedName>
    <definedName name="axe_doc7" localSheetId="15">#REF!</definedName>
    <definedName name="axe_doc7" localSheetId="13">#REF!</definedName>
    <definedName name="axe_doc7" localSheetId="17">#REF!</definedName>
    <definedName name="axe_doc7" localSheetId="12">#REF!</definedName>
    <definedName name="axe_doc7" localSheetId="22">#REF!</definedName>
    <definedName name="axe_doc7" localSheetId="28">#REF!</definedName>
    <definedName name="axe_doc7" localSheetId="35">#REF!</definedName>
    <definedName name="axe_doc7">#REF!</definedName>
    <definedName name="axe_doc8" localSheetId="18">#REF!</definedName>
    <definedName name="axe_doc8" localSheetId="25">#REF!</definedName>
    <definedName name="axe_doc8" localSheetId="29">#REF!</definedName>
    <definedName name="axe_doc8" localSheetId="31">#REF!</definedName>
    <definedName name="axe_doc8" localSheetId="15">#REF!</definedName>
    <definedName name="axe_doc8" localSheetId="13">#REF!</definedName>
    <definedName name="axe_doc8" localSheetId="17">#REF!</definedName>
    <definedName name="axe_doc8" localSheetId="12">#REF!</definedName>
    <definedName name="axe_doc8" localSheetId="22">#REF!</definedName>
    <definedName name="axe_doc8" localSheetId="28">#REF!</definedName>
    <definedName name="axe_doc8" localSheetId="35">#REF!</definedName>
    <definedName name="axe_doc8">#REF!</definedName>
    <definedName name="axe_doc9" localSheetId="18">#REF!</definedName>
    <definedName name="axe_doc9" localSheetId="25">#REF!</definedName>
    <definedName name="axe_doc9" localSheetId="29">#REF!</definedName>
    <definedName name="axe_doc9" localSheetId="31">#REF!</definedName>
    <definedName name="axe_doc9" localSheetId="15">#REF!</definedName>
    <definedName name="axe_doc9" localSheetId="13">#REF!</definedName>
    <definedName name="axe_doc9" localSheetId="17">#REF!</definedName>
    <definedName name="axe_doc9" localSheetId="12">#REF!</definedName>
    <definedName name="axe_doc9" localSheetId="22">#REF!</definedName>
    <definedName name="axe_doc9" localSheetId="28">#REF!</definedName>
    <definedName name="axe_doc9" localSheetId="35">#REF!</definedName>
    <definedName name="axe_doc9">#REF!</definedName>
    <definedName name="axedoc_9" localSheetId="18">#REF!</definedName>
    <definedName name="axedoc_9" localSheetId="25">#REF!</definedName>
    <definedName name="axedoc_9" localSheetId="29">#REF!</definedName>
    <definedName name="axedoc_9" localSheetId="31">#REF!</definedName>
    <definedName name="axedoc_9" localSheetId="15">#REF!</definedName>
    <definedName name="axedoc_9" localSheetId="13">#REF!</definedName>
    <definedName name="axedoc_9" localSheetId="17">#REF!</definedName>
    <definedName name="axedoc_9" localSheetId="12">#REF!</definedName>
    <definedName name="axedoc_9" localSheetId="22">#REF!</definedName>
    <definedName name="axedoc_9" localSheetId="28">#REF!</definedName>
    <definedName name="axedoc_9" localSheetId="35">#REF!</definedName>
    <definedName name="axedoc_9">#REF!</definedName>
    <definedName name="ay" localSheetId="25" hidden="1">{"print 1",#N/A,FALSE,"PrimeCo PCS";"print 2",#N/A,FALSE,"PrimeCo PCS";"valuation",#N/A,FALSE,"PrimeCo PCS"}</definedName>
    <definedName name="ay" localSheetId="19" hidden="1">{"print 1",#N/A,FALSE,"PrimeCo PCS";"print 2",#N/A,FALSE,"PrimeCo PCS";"valuation",#N/A,FALSE,"PrimeCo PCS"}</definedName>
    <definedName name="ay" localSheetId="22" hidden="1">{"print 1",#N/A,FALSE,"PrimeCo PCS";"print 2",#N/A,FALSE,"PrimeCo PCS";"valuation",#N/A,FALSE,"PrimeCo PCS"}</definedName>
    <definedName name="ay" localSheetId="28" hidden="1">{"print 1",#N/A,FALSE,"PrimeCo PCS";"print 2",#N/A,FALSE,"PrimeCo PCS";"valuation",#N/A,FALSE,"PrimeCo PCS"}</definedName>
    <definedName name="ay" localSheetId="35" hidden="1">{"print 1",#N/A,FALSE,"PrimeCo PCS";"print 2",#N/A,FALSE,"PrimeCo PCS";"valuation",#N/A,FALSE,"PrimeCo PCS"}</definedName>
    <definedName name="ay" hidden="1">{"print 1",#N/A,FALSE,"PrimeCo PCS";"print 2",#N/A,FALSE,"PrimeCo PCS";"valuation",#N/A,FALSE,"PrimeCo PCS"}</definedName>
    <definedName name="AZ">#N/A</definedName>
    <definedName name="azazaz" localSheetId="2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localSheetId="35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#N/A</definedName>
    <definedName name="azeazedazedazeed">#N/A</definedName>
    <definedName name="azerty" localSheetId="18">[58]!Tx_intérêt_par_an/#REF!</definedName>
    <definedName name="azerty" localSheetId="25">[58]!Tx_intérêt_par_an/#REF!</definedName>
    <definedName name="azerty" localSheetId="29">[58]!Tx_intérêt_par_an/#REF!</definedName>
    <definedName name="azerty" localSheetId="31">[58]!Tx_intérêt_par_an/#REF!</definedName>
    <definedName name="azerty" localSheetId="15">[58]!Tx_intérêt_par_an/#REF!</definedName>
    <definedName name="azerty" localSheetId="13">[58]!Tx_intérêt_par_an/#REF!</definedName>
    <definedName name="azerty" localSheetId="17">[58]!Tx_intérêt_par_an/#REF!</definedName>
    <definedName name="azerty" localSheetId="12">[58]!Tx_intérêt_par_an/#REF!</definedName>
    <definedName name="azerty" localSheetId="22">[59]!Tx_intérêt_par_an/#REF!</definedName>
    <definedName name="azerty" localSheetId="35">[58]!Tx_intérêt_par_an/#REF!</definedName>
    <definedName name="azerty">[58]!Tx_intérêt_par_an/#REF!</definedName>
    <definedName name="azerty___0">#N/A</definedName>
    <definedName name="azerty___12">#N/A</definedName>
    <definedName name="azerty___14">#N/A</definedName>
    <definedName name="azerty___16">#N/A</definedName>
    <definedName name="azerty___2">#N/A</definedName>
    <definedName name="azerty___23">#N/A</definedName>
    <definedName name="azerty___25">#N/A</definedName>
    <definedName name="azerty___26">#N/A</definedName>
    <definedName name="azerty___27">#N/A</definedName>
    <definedName name="azerty___3">#N/A</definedName>
    <definedName name="azerty___4">#N/A</definedName>
    <definedName name="azerty___5">#N/A</definedName>
    <definedName name="azerty___6">#N/A</definedName>
    <definedName name="azerty___7">#N/A</definedName>
    <definedName name="azerty___9">#N/A</definedName>
    <definedName name="azertyu" localSheetId="18">[6]!azertyu</definedName>
    <definedName name="azertyu" localSheetId="25">[6]!azertyu</definedName>
    <definedName name="azertyu" localSheetId="29">[6]!azertyu</definedName>
    <definedName name="azertyu" localSheetId="31">[6]!azertyu</definedName>
    <definedName name="azertyu" localSheetId="15">[6]!azertyu</definedName>
    <definedName name="azertyu" localSheetId="13">[6]!azertyu</definedName>
    <definedName name="azertyu" localSheetId="19">[7]!azertyu</definedName>
    <definedName name="azertyu" localSheetId="17">[6]!azertyu</definedName>
    <definedName name="azertyu" localSheetId="12">[6]!azertyu</definedName>
    <definedName name="azertyu" localSheetId="22">[8]!azertyu</definedName>
    <definedName name="azertyu">[6]!azertyu</definedName>
    <definedName name="azertyu___0" localSheetId="25">bbb___3</definedName>
    <definedName name="azertyu___0" localSheetId="19">bbb___3</definedName>
    <definedName name="azertyu___0" localSheetId="22">bbb___3</definedName>
    <definedName name="azertyu___0" localSheetId="28">bbb___3</definedName>
    <definedName name="azertyu___0" localSheetId="35">bbb___3</definedName>
    <definedName name="azertyu___0">bbb___3</definedName>
    <definedName name="azertyu___12" localSheetId="25">bbb___23</definedName>
    <definedName name="azertyu___12" localSheetId="19">bbb___23</definedName>
    <definedName name="azertyu___12" localSheetId="22">bbb___23</definedName>
    <definedName name="azertyu___12" localSheetId="28">bbb___23</definedName>
    <definedName name="azertyu___12" localSheetId="35">bbb___23</definedName>
    <definedName name="azertyu___12">bbb___23</definedName>
    <definedName name="azertyu___14">#N/A</definedName>
    <definedName name="azertyu___16" localSheetId="25">Excel_BuiltIn_Database_0</definedName>
    <definedName name="azertyu___16" localSheetId="19">Excel_BuiltIn_Database_0</definedName>
    <definedName name="azertyu___16" localSheetId="22">Excel_BuiltIn_Database_0</definedName>
    <definedName name="azertyu___16" localSheetId="28">Excel_BuiltIn_Database_0</definedName>
    <definedName name="azertyu___16" localSheetId="35">Excel_BuiltIn_Database_0</definedName>
    <definedName name="azertyu___16">Excel_BuiltIn_Database_0</definedName>
    <definedName name="azertyu___2" localSheetId="25">bbb___6</definedName>
    <definedName name="azertyu___2" localSheetId="19">bbb___6</definedName>
    <definedName name="azertyu___2" localSheetId="22">bbb___6</definedName>
    <definedName name="azertyu___2" localSheetId="28">bbb___6</definedName>
    <definedName name="azertyu___2" localSheetId="35">bbb___6</definedName>
    <definedName name="azertyu___2">bbb___6</definedName>
    <definedName name="azertyu___23">#N/A</definedName>
    <definedName name="azertyu___25" localSheetId="25">BAZ___6</definedName>
    <definedName name="azertyu___25" localSheetId="19">BAZ___6</definedName>
    <definedName name="azertyu___25" localSheetId="22">BAZ___6</definedName>
    <definedName name="azertyu___25" localSheetId="28">BAZ___6</definedName>
    <definedName name="azertyu___25" localSheetId="35">BAZ___6</definedName>
    <definedName name="azertyu___25">BAZ___6</definedName>
    <definedName name="azertyu___26" localSheetId="25">bbb___25</definedName>
    <definedName name="azertyu___26" localSheetId="19">bbb___25</definedName>
    <definedName name="azertyu___26" localSheetId="22">bbb___25</definedName>
    <definedName name="azertyu___26" localSheetId="28">bbb___25</definedName>
    <definedName name="azertyu___26" localSheetId="35">bbb___25</definedName>
    <definedName name="azertyu___26">bbb___25</definedName>
    <definedName name="azertyu___27" localSheetId="25">bbb___16</definedName>
    <definedName name="azertyu___27" localSheetId="19">bbb___16</definedName>
    <definedName name="azertyu___27" localSheetId="22">bbb___16</definedName>
    <definedName name="azertyu___27" localSheetId="28">bbb___16</definedName>
    <definedName name="azertyu___27" localSheetId="35">bbb___16</definedName>
    <definedName name="azertyu___27">bbb___16</definedName>
    <definedName name="azertyu___3" localSheetId="25">BAZ___0</definedName>
    <definedName name="azertyu___3" localSheetId="19">BAZ___0</definedName>
    <definedName name="azertyu___3" localSheetId="22">BAZ___0</definedName>
    <definedName name="azertyu___3" localSheetId="28">BAZ___0</definedName>
    <definedName name="azertyu___3" localSheetId="35">BAZ___0</definedName>
    <definedName name="azertyu___3">BAZ___0</definedName>
    <definedName name="azertyu___4">#N/A</definedName>
    <definedName name="azertyu___5" localSheetId="25">bbb___4</definedName>
    <definedName name="azertyu___5" localSheetId="19">bbb___4</definedName>
    <definedName name="azertyu___5" localSheetId="22">bbb___4</definedName>
    <definedName name="azertyu___5" localSheetId="28">bbb___4</definedName>
    <definedName name="azertyu___5" localSheetId="35">bbb___4</definedName>
    <definedName name="azertyu___5">bbb___4</definedName>
    <definedName name="azertyu___6" localSheetId="25">B2000ssta___0</definedName>
    <definedName name="azertyu___6" localSheetId="19">B2000ssta___0</definedName>
    <definedName name="azertyu___6" localSheetId="22">B2000ssta___0</definedName>
    <definedName name="azertyu___6" localSheetId="28">B2000ssta___0</definedName>
    <definedName name="azertyu___6" localSheetId="35">B2000ssta___0</definedName>
    <definedName name="azertyu___6">B2000ssta___0</definedName>
    <definedName name="azertyu___7" localSheetId="25">bbb___9</definedName>
    <definedName name="azertyu___7" localSheetId="19">bbb___9</definedName>
    <definedName name="azertyu___7" localSheetId="22">bbb___9</definedName>
    <definedName name="azertyu___7" localSheetId="28">bbb___9</definedName>
    <definedName name="azertyu___7" localSheetId="35">bbb___9</definedName>
    <definedName name="azertyu___7">bbb___9</definedName>
    <definedName name="azertyu___9" localSheetId="25">BAZ___12</definedName>
    <definedName name="azertyu___9" localSheetId="19">BAZ___12</definedName>
    <definedName name="azertyu___9" localSheetId="22">BAZ___12</definedName>
    <definedName name="azertyu___9" localSheetId="28">BAZ___12</definedName>
    <definedName name="azertyu___9" localSheetId="35">BAZ___12</definedName>
    <definedName name="azertyu___9">BAZ___12</definedName>
    <definedName name="azraze" localSheetId="25" hidden="1">{"orixcsc",#N/A,FALSE,"ORIX CSC";"orixcsc2",#N/A,FALSE,"ORIX CSC"}</definedName>
    <definedName name="azraze" localSheetId="19" hidden="1">{"orixcsc",#N/A,FALSE,"ORIX CSC";"orixcsc2",#N/A,FALSE,"ORIX CSC"}</definedName>
    <definedName name="azraze" localSheetId="22" hidden="1">{"orixcsc",#N/A,FALSE,"ORIX CSC";"orixcsc2",#N/A,FALSE,"ORIX CSC"}</definedName>
    <definedName name="azraze" localSheetId="28" hidden="1">{"orixcsc",#N/A,FALSE,"ORIX CSC";"orixcsc2",#N/A,FALSE,"ORIX CSC"}</definedName>
    <definedName name="azraze" localSheetId="35" hidden="1">{"orixcsc",#N/A,FALSE,"ORIX CSC";"orixcsc2",#N/A,FALSE,"ORIX CSC"}</definedName>
    <definedName name="azraze" hidden="1">{"orixcsc",#N/A,FALSE,"ORIX CSC";"orixcsc2",#N/A,FALSE,"ORIX CSC"}</definedName>
    <definedName name="B">#N/A</definedName>
    <definedName name="B.C.M" localSheetId="18">#REF!</definedName>
    <definedName name="B.C.M" localSheetId="25">#REF!</definedName>
    <definedName name="B.C.M" localSheetId="29">#REF!</definedName>
    <definedName name="B.C.M" localSheetId="31">#REF!</definedName>
    <definedName name="B.C.M" localSheetId="15">#REF!</definedName>
    <definedName name="B.C.M" localSheetId="13">#REF!</definedName>
    <definedName name="B.C.M" localSheetId="17">#REF!</definedName>
    <definedName name="B.C.M" localSheetId="12">#REF!</definedName>
    <definedName name="B.C.M" localSheetId="22">#REF!</definedName>
    <definedName name="B.C.M" localSheetId="28">#REF!</definedName>
    <definedName name="B.C.M" localSheetId="35">#REF!</definedName>
    <definedName name="B.C.M">#REF!</definedName>
    <definedName name="B.C.M." localSheetId="18">#REF!</definedName>
    <definedName name="B.C.M." localSheetId="25">#REF!</definedName>
    <definedName name="B.C.M." localSheetId="29">#REF!</definedName>
    <definedName name="B.C.M." localSheetId="31">#REF!</definedName>
    <definedName name="B.C.M." localSheetId="15">#REF!</definedName>
    <definedName name="B.C.M." localSheetId="13">#REF!</definedName>
    <definedName name="B.C.M." localSheetId="17">#REF!</definedName>
    <definedName name="B.C.M." localSheetId="12">#REF!</definedName>
    <definedName name="B.C.M." localSheetId="22">#REF!</definedName>
    <definedName name="B.C.M." localSheetId="28">#REF!</definedName>
    <definedName name="B.C.M." localSheetId="35">#REF!</definedName>
    <definedName name="B.C.M.">#REF!</definedName>
    <definedName name="B.M.C.E_PRINCIP" localSheetId="18">#REF!</definedName>
    <definedName name="B.M.C.E_PRINCIP" localSheetId="25">#REF!</definedName>
    <definedName name="B.M.C.E_PRINCIP" localSheetId="29">#REF!</definedName>
    <definedName name="B.M.C.E_PRINCIP" localSheetId="31">#REF!</definedName>
    <definedName name="B.M.C.E_PRINCIP" localSheetId="15">#REF!</definedName>
    <definedName name="B.M.C.E_PRINCIP" localSheetId="13">#REF!</definedName>
    <definedName name="B.M.C.E_PRINCIP" localSheetId="17">#REF!</definedName>
    <definedName name="B.M.C.E_PRINCIP" localSheetId="12">#REF!</definedName>
    <definedName name="B.M.C.E_PRINCIP" localSheetId="22">#REF!</definedName>
    <definedName name="B.M.C.E_PRINCIP" localSheetId="28">#REF!</definedName>
    <definedName name="B.M.C.E_PRINCIP" localSheetId="35">#REF!</definedName>
    <definedName name="B.M.C.E_PRINCIP">#REF!</definedName>
    <definedName name="B.M.C.I" localSheetId="18">#REF!</definedName>
    <definedName name="B.M.C.I" localSheetId="25">#REF!</definedName>
    <definedName name="B.M.C.I" localSheetId="29">#REF!</definedName>
    <definedName name="B.M.C.I" localSheetId="31">#REF!</definedName>
    <definedName name="B.M.C.I" localSheetId="15">#REF!</definedName>
    <definedName name="B.M.C.I" localSheetId="13">#REF!</definedName>
    <definedName name="B.M.C.I" localSheetId="17">#REF!</definedName>
    <definedName name="B.M.C.I" localSheetId="12">#REF!</definedName>
    <definedName name="B.M.C.I" localSheetId="22">#REF!</definedName>
    <definedName name="B.M.C.I" localSheetId="28">#REF!</definedName>
    <definedName name="B.M.C.I" localSheetId="35">#REF!</definedName>
    <definedName name="B.M.C.I">#REF!</definedName>
    <definedName name="B.M.C.I." localSheetId="18">#REF!</definedName>
    <definedName name="B.M.C.I." localSheetId="25">#REF!</definedName>
    <definedName name="B.M.C.I." localSheetId="29">#REF!</definedName>
    <definedName name="B.M.C.I." localSheetId="31">#REF!</definedName>
    <definedName name="B.M.C.I." localSheetId="15">#REF!</definedName>
    <definedName name="B.M.C.I." localSheetId="13">#REF!</definedName>
    <definedName name="B.M.C.I." localSheetId="17">#REF!</definedName>
    <definedName name="B.M.C.I." localSheetId="12">#REF!</definedName>
    <definedName name="B.M.C.I." localSheetId="22">#REF!</definedName>
    <definedName name="B.M.C.I." localSheetId="28">#REF!</definedName>
    <definedName name="B.M.C.I." localSheetId="35">#REF!</definedName>
    <definedName name="B.M.C.I.">#REF!</definedName>
    <definedName name="B.P" localSheetId="18">#REF!</definedName>
    <definedName name="B.P" localSheetId="25">#REF!</definedName>
    <definedName name="B.P" localSheetId="29">#REF!</definedName>
    <definedName name="B.P" localSheetId="31">#REF!</definedName>
    <definedName name="B.P" localSheetId="15">#REF!</definedName>
    <definedName name="B.P" localSheetId="13">#REF!</definedName>
    <definedName name="B.P" localSheetId="17">#REF!</definedName>
    <definedName name="B.P" localSheetId="12">#REF!</definedName>
    <definedName name="B.P" localSheetId="22">#REF!</definedName>
    <definedName name="B.P" localSheetId="28">#REF!</definedName>
    <definedName name="B.P" localSheetId="35">#REF!</definedName>
    <definedName name="B.P">#REF!</definedName>
    <definedName name="B.P." localSheetId="18">#REF!</definedName>
    <definedName name="B.P." localSheetId="25">#REF!</definedName>
    <definedName name="B.P." localSheetId="29">#REF!</definedName>
    <definedName name="B.P." localSheetId="31">#REF!</definedName>
    <definedName name="B.P." localSheetId="15">#REF!</definedName>
    <definedName name="B.P." localSheetId="13">#REF!</definedName>
    <definedName name="B.P." localSheetId="17">#REF!</definedName>
    <definedName name="B.P." localSheetId="12">#REF!</definedName>
    <definedName name="B.P." localSheetId="22">#REF!</definedName>
    <definedName name="B.P." localSheetId="28">#REF!</definedName>
    <definedName name="B.P." localSheetId="35">#REF!</definedName>
    <definedName name="B.P.">#REF!</definedName>
    <definedName name="B_Tarifs_Le7" localSheetId="18">#REF!</definedName>
    <definedName name="B_Tarifs_Le7" localSheetId="25">#REF!</definedName>
    <definedName name="B_Tarifs_Le7" localSheetId="29">#REF!</definedName>
    <definedName name="B_Tarifs_Le7" localSheetId="31">#REF!</definedName>
    <definedName name="B_Tarifs_Le7" localSheetId="15">#REF!</definedName>
    <definedName name="B_Tarifs_Le7" localSheetId="13">#REF!</definedName>
    <definedName name="B_Tarifs_Le7" localSheetId="17">#REF!</definedName>
    <definedName name="B_Tarifs_Le7" localSheetId="12">#REF!</definedName>
    <definedName name="B_Tarifs_Le7" localSheetId="22">#REF!</definedName>
    <definedName name="B_Tarifs_Le7" localSheetId="28">#REF!</definedName>
    <definedName name="B_Tarifs_Le7" localSheetId="35">#REF!</definedName>
    <definedName name="B_Tarifs_Le7">#REF!</definedName>
    <definedName name="B_Tarifs_Le7___0">#N/A</definedName>
    <definedName name="B_Tarifs_Le7___12">#N/A</definedName>
    <definedName name="B_Tarifs_Le7___14">#N/A</definedName>
    <definedName name="B_Tarifs_Le7___16">#N/A</definedName>
    <definedName name="B_Tarifs_Le7___2">#N/A</definedName>
    <definedName name="B_Tarifs_Le7___26">#N/A</definedName>
    <definedName name="B_Tarifs_Le7___27">#N/A</definedName>
    <definedName name="B_Tarifs_Le7___5">#N/A</definedName>
    <definedName name="B_Tarifs_Le7___7">#N/A</definedName>
    <definedName name="B2000ssta" localSheetId="18">#REF!</definedName>
    <definedName name="B2000ssta" localSheetId="25">#REF!</definedName>
    <definedName name="B2000ssta" localSheetId="29">#REF!</definedName>
    <definedName name="B2000ssta" localSheetId="31">#REF!</definedName>
    <definedName name="B2000ssta" localSheetId="15">#REF!</definedName>
    <definedName name="B2000ssta" localSheetId="13">#REF!</definedName>
    <definedName name="B2000ssta" localSheetId="17">#REF!</definedName>
    <definedName name="B2000ssta" localSheetId="12">#REF!</definedName>
    <definedName name="B2000ssta" localSheetId="22">#REF!</definedName>
    <definedName name="B2000ssta" localSheetId="28">#REF!</definedName>
    <definedName name="B2000ssta" localSheetId="35">#REF!</definedName>
    <definedName name="B2000ssta">#REF!</definedName>
    <definedName name="B2000ssta___0">#N/A</definedName>
    <definedName name="B2000ssta___12">#N/A</definedName>
    <definedName name="B2000ssta___14">#N/A</definedName>
    <definedName name="B2000ssta___16">#N/A</definedName>
    <definedName name="B2000ssta___27">#N/A</definedName>
    <definedName name="B2000ssta___5">#N/A</definedName>
    <definedName name="BAC" localSheetId="29">#REF!</definedName>
    <definedName name="BAC" localSheetId="31">#REF!</definedName>
    <definedName name="BAC" localSheetId="28">#REF!</definedName>
    <definedName name="BAC" localSheetId="35">#REF!</definedName>
    <definedName name="BAC">#REF!</definedName>
    <definedName name="BAC_Budget_at_Completion" localSheetId="29">#REF!</definedName>
    <definedName name="BAC_Budget_at_Completion" localSheetId="31">#REF!</definedName>
    <definedName name="BAC_Budget_at_Completion" localSheetId="28">#REF!</definedName>
    <definedName name="BAC_Budget_at_Completion" localSheetId="35">#REF!</definedName>
    <definedName name="BAC_Budget_at_Completion">#REF!</definedName>
    <definedName name="BALANCE">[71]BG!$C$4:$X$411</definedName>
    <definedName name="bank1">#N/A</definedName>
    <definedName name="bank2">#N/A</definedName>
    <definedName name="bank3">#N/A</definedName>
    <definedName name="bank4">#N/A</definedName>
    <definedName name="BANQUE" localSheetId="18">#REF!</definedName>
    <definedName name="BANQUE" localSheetId="25">#REF!</definedName>
    <definedName name="BANQUE" localSheetId="29">#REF!</definedName>
    <definedName name="BANQUE" localSheetId="31">#REF!</definedName>
    <definedName name="BANQUE" localSheetId="15">#REF!</definedName>
    <definedName name="BANQUE" localSheetId="13">#REF!</definedName>
    <definedName name="BANQUE" localSheetId="17">#REF!</definedName>
    <definedName name="BANQUE" localSheetId="12">#REF!</definedName>
    <definedName name="BANQUE" localSheetId="22">#REF!</definedName>
    <definedName name="BANQUE" localSheetId="28">#REF!</definedName>
    <definedName name="BANQUE" localSheetId="35">#REF!</definedName>
    <definedName name="BANQUE">#REF!</definedName>
    <definedName name="BARIM" localSheetId="29">'[52]FES  ATLAS'!#REF!</definedName>
    <definedName name="BARIM" localSheetId="31">'[52]FES  ATLAS'!#REF!</definedName>
    <definedName name="BARIM" localSheetId="28">'[52]FES  ATLAS'!#REF!</definedName>
    <definedName name="BARIM" localSheetId="35">'[52]FES  ATLAS'!#REF!</definedName>
    <definedName name="BARIM">'[52]FES  ATLAS'!#REF!</definedName>
    <definedName name="BASE_COSTES" localSheetId="29">#REF!</definedName>
    <definedName name="BASE_COSTES" localSheetId="31">#REF!</definedName>
    <definedName name="BASE_COSTES" localSheetId="28">#REF!</definedName>
    <definedName name="BASE_COSTES" localSheetId="35">#REF!</definedName>
    <definedName name="BASE_COSTES">#REF!</definedName>
    <definedName name="_xlnm.Database" localSheetId="18">#REF!</definedName>
    <definedName name="_xlnm.Database" localSheetId="25">#REF!</definedName>
    <definedName name="_xlnm.Database" localSheetId="29">#REF!</definedName>
    <definedName name="_xlnm.Database" localSheetId="31">#REF!</definedName>
    <definedName name="_xlnm.Database" localSheetId="15">#REF!</definedName>
    <definedName name="_xlnm.Database" localSheetId="13">#REF!</definedName>
    <definedName name="_xlnm.Database" localSheetId="17">#REF!</definedName>
    <definedName name="_xlnm.Database" localSheetId="12">#REF!</definedName>
    <definedName name="_xlnm.Database" localSheetId="22">#REF!</definedName>
    <definedName name="_xlnm.Database" localSheetId="28">#REF!</definedName>
    <definedName name="_xlnm.Database" localSheetId="35">#REF!</definedName>
    <definedName name="_xlnm.Database">#REF!</definedName>
    <definedName name="Base2" localSheetId="29">#REF!</definedName>
    <definedName name="Base2" localSheetId="31">#REF!</definedName>
    <definedName name="Base2" localSheetId="28">#REF!</definedName>
    <definedName name="Base2" localSheetId="35">#REF!</definedName>
    <definedName name="Base2">#REF!</definedName>
    <definedName name="BASE99">[72]ULTIMATES!$A$1:$BV$40</definedName>
    <definedName name="Bat" localSheetId="18">[64]BATIMENT!#REF!</definedName>
    <definedName name="Bat" localSheetId="29">[64]BATIMENT!#REF!</definedName>
    <definedName name="Bat" localSheetId="31">[64]BATIMENT!#REF!</definedName>
    <definedName name="Bat" localSheetId="15">[64]BATIMENT!#REF!</definedName>
    <definedName name="Bat" localSheetId="13">[64]BATIMENT!#REF!</definedName>
    <definedName name="Bat" localSheetId="17">[64]BATIMENT!#REF!</definedName>
    <definedName name="Bat" localSheetId="12">[64]BATIMENT!#REF!</definedName>
    <definedName name="Bat" localSheetId="22">[64]BATIMENT!#REF!</definedName>
    <definedName name="Bat" localSheetId="28">[64]BATIMENT!#REF!</definedName>
    <definedName name="Bat" localSheetId="35">[64]BATIMENT!#REF!</definedName>
    <definedName name="Bat">[64]BATIMENT!#REF!</definedName>
    <definedName name="BAZ" localSheetId="18">[73]Vir94!#REF!</definedName>
    <definedName name="BAZ" localSheetId="29">[73]Vir94!#REF!</definedName>
    <definedName name="BAZ" localSheetId="31">[73]Vir94!#REF!</definedName>
    <definedName name="BAZ" localSheetId="15">[73]Vir94!#REF!</definedName>
    <definedName name="BAZ" localSheetId="13">[73]Vir94!#REF!</definedName>
    <definedName name="BAZ" localSheetId="17">[73]Vir94!#REF!</definedName>
    <definedName name="BAZ" localSheetId="12">[73]Vir94!#REF!</definedName>
    <definedName name="BAZ" localSheetId="22">[73]Vir94!#REF!</definedName>
    <definedName name="BAZ" localSheetId="28">[73]Vir94!#REF!</definedName>
    <definedName name="BAZ" localSheetId="35">[73]Vir94!#REF!</definedName>
    <definedName name="BAZ">[73]Vir94!#REF!</definedName>
    <definedName name="BAZ___0">#N/A</definedName>
    <definedName name="BAZ___12">#N/A</definedName>
    <definedName name="BAZ___6">#N/A</definedName>
    <definedName name="BB" localSheetId="18">#N/A</definedName>
    <definedName name="BB" localSheetId="25">Activation!Tx_intérêt_par_an/#REF!</definedName>
    <definedName name="BB" localSheetId="29">'Amortissment boa'!Tx_intérêt_par_an/#REF!</definedName>
    <definedName name="BB" localSheetId="31">'Amortissment Cboa'!Tx_intérêt_par_an/#REF!</definedName>
    <definedName name="BB" localSheetId="15">#N/A</definedName>
    <definedName name="BB" localSheetId="13">#N/A</definedName>
    <definedName name="BB" localSheetId="19">#N/A</definedName>
    <definedName name="BB" localSheetId="17">#N/A</definedName>
    <definedName name="BB" localSheetId="12">#N/A</definedName>
    <definedName name="BB" localSheetId="22">[5]!Tx_intérêt_par_an/#REF!</definedName>
    <definedName name="BB" localSheetId="28">'SYNTHESE BOA'!Tx_intérêt_par_an/#REF!</definedName>
    <definedName name="BB" localSheetId="35">'Taxe 5%'!Tx_intérêt_par_an/#REF!</definedName>
    <definedName name="BB">[0]!Tx_intérêt_par_an/#REF!</definedName>
    <definedName name="bbb" localSheetId="18">[58]!Tx_intérêt_par_an/#REF!</definedName>
    <definedName name="bbb" localSheetId="25">[58]!Tx_intérêt_par_an/#REF!</definedName>
    <definedName name="bbb" localSheetId="29">[58]!Tx_intérêt_par_an/#REF!</definedName>
    <definedName name="bbb" localSheetId="31">[58]!Tx_intérêt_par_an/#REF!</definedName>
    <definedName name="bbb" localSheetId="15">[58]!Tx_intérêt_par_an/#REF!</definedName>
    <definedName name="bbb" localSheetId="13">[58]!Tx_intérêt_par_an/#REF!</definedName>
    <definedName name="bbb" localSheetId="17">[58]!Tx_intérêt_par_an/#REF!</definedName>
    <definedName name="bbb" localSheetId="12">[58]!Tx_intérêt_par_an/#REF!</definedName>
    <definedName name="bbb" localSheetId="22">[59]!Tx_intérêt_par_an/#REF!</definedName>
    <definedName name="bbb" localSheetId="35">[58]!Tx_intérêt_par_an/#REF!</definedName>
    <definedName name="bbb">[58]!Tx_intérêt_par_an/#REF!</definedName>
    <definedName name="bbb___0">#N/A</definedName>
    <definedName name="bbb___12">NA()</definedName>
    <definedName name="bbb___14">#N/A</definedName>
    <definedName name="bbb___16">#N/A</definedName>
    <definedName name="bbb___2">NA()</definedName>
    <definedName name="bbb___23">#N/A</definedName>
    <definedName name="bbb___25">#N/A</definedName>
    <definedName name="bbb___26">NA()</definedName>
    <definedName name="bbb___27">#N/A</definedName>
    <definedName name="bbb___3">#N/A</definedName>
    <definedName name="bbb___4">#N/A</definedName>
    <definedName name="bbb___5">#N/A</definedName>
    <definedName name="bbb___6">NA()</definedName>
    <definedName name="bbb___7">NA()</definedName>
    <definedName name="bbb___9">#N/A</definedName>
    <definedName name="bbb__0">#N/A</definedName>
    <definedName name="bbbb" localSheetId="18">#N/A</definedName>
    <definedName name="bbbb" localSheetId="25">Activation!Tx_intérêt_par_an/#REF!</definedName>
    <definedName name="bbbb" localSheetId="29">'Amortissment boa'!Tx_intérêt_par_an/#REF!</definedName>
    <definedName name="bbbb" localSheetId="31">'Amortissment Cboa'!Tx_intérêt_par_an/#REF!</definedName>
    <definedName name="bbbb" localSheetId="15">#N/A</definedName>
    <definedName name="bbbb" localSheetId="13">#N/A</definedName>
    <definedName name="bbbb" localSheetId="19">#N/A</definedName>
    <definedName name="bbbb" localSheetId="17">#N/A</definedName>
    <definedName name="bbbb" localSheetId="12">#N/A</definedName>
    <definedName name="bbbb" localSheetId="22">[5]!Tx_intérêt_par_an/#REF!</definedName>
    <definedName name="bbbb" localSheetId="28">'SYNTHESE BOA'!Tx_intérêt_par_an/#REF!</definedName>
    <definedName name="bbbb" localSheetId="35">'Taxe 5%'!Tx_intérêt_par_an/#REF!</definedName>
    <definedName name="bbbb">[0]!Tx_intérêt_par_an/#REF!</definedName>
    <definedName name="bbbb___0">#N/A</definedName>
    <definedName name="bbbb___12">#N/A</definedName>
    <definedName name="bbbb___14">#N/A</definedName>
    <definedName name="bbbb___16">#N/A</definedName>
    <definedName name="bbbb___2">#N/A</definedName>
    <definedName name="bbbb___23">#N/A</definedName>
    <definedName name="bbbb___25">#N/A</definedName>
    <definedName name="bbbb___26">#N/A</definedName>
    <definedName name="bbbb___27">#N/A</definedName>
    <definedName name="bbbb___3">#N/A</definedName>
    <definedName name="bbbb___4">#N/A</definedName>
    <definedName name="bbbb___5">#N/A</definedName>
    <definedName name="bbbb___6">#N/A</definedName>
    <definedName name="bbbb___7">#N/A</definedName>
    <definedName name="bbbb___9">#N/A</definedName>
    <definedName name="BBBBBBBB" localSheetId="18">[6]!BBBBBBBB</definedName>
    <definedName name="BBBBBBBB" localSheetId="25">[6]!BBBBBBBB</definedName>
    <definedName name="BBBBBBBB" localSheetId="29">[6]!BBBBBBBB</definedName>
    <definedName name="BBBBBBBB" localSheetId="31">[6]!BBBBBBBB</definedName>
    <definedName name="BBBBBBBB" localSheetId="15">[6]!BBBBBBBB</definedName>
    <definedName name="BBBBBBBB" localSheetId="13">[6]!BBBBBBBB</definedName>
    <definedName name="BBBBBBBB" localSheetId="19">[7]!BBBBBBBB</definedName>
    <definedName name="BBBBBBBB" localSheetId="17">[6]!BBBBBBBB</definedName>
    <definedName name="BBBBBBBB" localSheetId="12">[6]!BBBBBBBB</definedName>
    <definedName name="BBBBBBBB" localSheetId="22">[8]!BBBBBBBB</definedName>
    <definedName name="BBBBBBBB">[6]!BBBBBBBB</definedName>
    <definedName name="bc" localSheetId="25" hidden="1">{"IS",#N/A,FALSE,"IS";"RPTIS",#N/A,FALSE,"RPTIS";"STATS",#N/A,FALSE,"STATS";"CELL",#N/A,FALSE,"CELL";"BS",#N/A,FALSE,"BS"}</definedName>
    <definedName name="bc" localSheetId="19" hidden="1">{"IS",#N/A,FALSE,"IS";"RPTIS",#N/A,FALSE,"RPTIS";"STATS",#N/A,FALSE,"STATS";"CELL",#N/A,FALSE,"CELL";"BS",#N/A,FALSE,"BS"}</definedName>
    <definedName name="bc" localSheetId="22" hidden="1">{"IS",#N/A,FALSE,"IS";"RPTIS",#N/A,FALSE,"RPTIS";"STATS",#N/A,FALSE,"STATS";"CELL",#N/A,FALSE,"CELL";"BS",#N/A,FALSE,"BS"}</definedName>
    <definedName name="bc" localSheetId="28" hidden="1">{"IS",#N/A,FALSE,"IS";"RPTIS",#N/A,FALSE,"RPTIS";"STATS",#N/A,FALSE,"STATS";"CELL",#N/A,FALSE,"CELL";"BS",#N/A,FALSE,"BS"}</definedName>
    <definedName name="bc" localSheetId="35" hidden="1">{"IS",#N/A,FALSE,"IS";"RPTIS",#N/A,FALSE,"RPTIS";"STATS",#N/A,FALSE,"STATS";"CELL",#N/A,FALSE,"CELL";"BS",#N/A,FALSE,"BS"}</definedName>
    <definedName name="bc" hidden="1">{"IS",#N/A,FALSE,"IS";"RPTIS",#N/A,FALSE,"RPTIS";"STATS",#N/A,FALSE,"STATS";"CELL",#N/A,FALSE,"CELL";"BS",#N/A,FALSE,"BS"}</definedName>
    <definedName name="BCM">[65]ONPT!$B$55</definedName>
    <definedName name="bcvgdhjdfhhjfev" localSheetId="18">[6]!bcvgdhjdfhhjfev</definedName>
    <definedName name="bcvgdhjdfhhjfev" localSheetId="25">[6]!bcvgdhjdfhhjfev</definedName>
    <definedName name="bcvgdhjdfhhjfev" localSheetId="29">[6]!bcvgdhjdfhhjfev</definedName>
    <definedName name="bcvgdhjdfhhjfev" localSheetId="31">[6]!bcvgdhjdfhhjfev</definedName>
    <definedName name="bcvgdhjdfhhjfev" localSheetId="15">[6]!bcvgdhjdfhhjfev</definedName>
    <definedName name="bcvgdhjdfhhjfev" localSheetId="13">[6]!bcvgdhjdfhhjfev</definedName>
    <definedName name="bcvgdhjdfhhjfev" localSheetId="19">[7]!bcvgdhjdfhhjfev</definedName>
    <definedName name="bcvgdhjdfhhjfev" localSheetId="17">[6]!bcvgdhjdfhhjfev</definedName>
    <definedName name="bcvgdhjdfhhjfev" localSheetId="12">[6]!bcvgdhjdfhhjfev</definedName>
    <definedName name="bcvgdhjdfhhjfev" localSheetId="22">[8]!bcvgdhjdfhhjfev</definedName>
    <definedName name="bcvgdhjdfhhjfev">[6]!bcvgdhjdfhhjfev</definedName>
    <definedName name="BEGINNING" localSheetId="18">#REF!</definedName>
    <definedName name="BEGINNING" localSheetId="25">#REF!</definedName>
    <definedName name="BEGINNING" localSheetId="29">#REF!</definedName>
    <definedName name="BEGINNING" localSheetId="31">#REF!</definedName>
    <definedName name="BEGINNING" localSheetId="15">#REF!</definedName>
    <definedName name="BEGINNING" localSheetId="13">#REF!</definedName>
    <definedName name="BEGINNING" localSheetId="17">#REF!</definedName>
    <definedName name="BEGINNING" localSheetId="12">#REF!</definedName>
    <definedName name="BEGINNING" localSheetId="22">#REF!</definedName>
    <definedName name="BEGINNING" localSheetId="28">#REF!</definedName>
    <definedName name="BEGINNING" localSheetId="35">#REF!</definedName>
    <definedName name="BEGINNING">#REF!</definedName>
    <definedName name="belnew" localSheetId="25" hidden="1">{"IS",#N/A,FALSE,"IS";"RPTIS",#N/A,FALSE,"RPTIS";"STATS",#N/A,FALSE,"STATS";"CELL",#N/A,FALSE,"CELL";"BS",#N/A,FALSE,"BS"}</definedName>
    <definedName name="belnew" localSheetId="19" hidden="1">{"IS",#N/A,FALSE,"IS";"RPTIS",#N/A,FALSE,"RPTIS";"STATS",#N/A,FALSE,"STATS";"CELL",#N/A,FALSE,"CELL";"BS",#N/A,FALSE,"BS"}</definedName>
    <definedName name="belnew" localSheetId="22" hidden="1">{"IS",#N/A,FALSE,"IS";"RPTIS",#N/A,FALSE,"RPTIS";"STATS",#N/A,FALSE,"STATS";"CELL",#N/A,FALSE,"CELL";"BS",#N/A,FALSE,"BS"}</definedName>
    <definedName name="belnew" localSheetId="28" hidden="1">{"IS",#N/A,FALSE,"IS";"RPTIS",#N/A,FALSE,"RPTIS";"STATS",#N/A,FALSE,"STATS";"CELL",#N/A,FALSE,"CELL";"BS",#N/A,FALSE,"BS"}</definedName>
    <definedName name="belnew" localSheetId="35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1" localSheetId="25" hidden="1">{"IS",#N/A,FALSE,"IS";"RPTIS",#N/A,FALSE,"RPTIS";"STATS",#N/A,FALSE,"STATS";"CELL",#N/A,FALSE,"CELL";"BS",#N/A,FALSE,"BS"}</definedName>
    <definedName name="belnew1" localSheetId="19" hidden="1">{"IS",#N/A,FALSE,"IS";"RPTIS",#N/A,FALSE,"RPTIS";"STATS",#N/A,FALSE,"STATS";"CELL",#N/A,FALSE,"CELL";"BS",#N/A,FALSE,"BS"}</definedName>
    <definedName name="belnew1" localSheetId="22" hidden="1">{"IS",#N/A,FALSE,"IS";"RPTIS",#N/A,FALSE,"RPTIS";"STATS",#N/A,FALSE,"STATS";"CELL",#N/A,FALSE,"CELL";"BS",#N/A,FALSE,"BS"}</definedName>
    <definedName name="belnew1" localSheetId="28" hidden="1">{"IS",#N/A,FALSE,"IS";"RPTIS",#N/A,FALSE,"RPTIS";"STATS",#N/A,FALSE,"STATS";"CELL",#N/A,FALSE,"CELL";"BS",#N/A,FALSE,"BS"}</definedName>
    <definedName name="belnew1" localSheetId="35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localSheetId="25" hidden="1">{"IS",#N/A,FALSE,"IS";"RPTIS",#N/A,FALSE,"RPTIS";"STATS",#N/A,FALSE,"STATS";"CELL",#N/A,FALSE,"CELL";"BS",#N/A,FALSE,"BS"}</definedName>
    <definedName name="belnew10" localSheetId="19" hidden="1">{"IS",#N/A,FALSE,"IS";"RPTIS",#N/A,FALSE,"RPTIS";"STATS",#N/A,FALSE,"STATS";"CELL",#N/A,FALSE,"CELL";"BS",#N/A,FALSE,"BS"}</definedName>
    <definedName name="belnew10" localSheetId="22" hidden="1">{"IS",#N/A,FALSE,"IS";"RPTIS",#N/A,FALSE,"RPTIS";"STATS",#N/A,FALSE,"STATS";"CELL",#N/A,FALSE,"CELL";"BS",#N/A,FALSE,"BS"}</definedName>
    <definedName name="belnew10" localSheetId="28" hidden="1">{"IS",#N/A,FALSE,"IS";"RPTIS",#N/A,FALSE,"RPTIS";"STATS",#N/A,FALSE,"STATS";"CELL",#N/A,FALSE,"CELL";"BS",#N/A,FALSE,"BS"}</definedName>
    <definedName name="belnew10" localSheetId="35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énéficiaire">'[25]Liste des Partenaires'!$B$2:$B$31</definedName>
    <definedName name="BG" localSheetId="28" hidden="1">{#N/A,#N/A,TRUE,"Cover sheet";#N/A,#N/A,TRUE,"DCF analysis";#N/A,#N/A,TRUE,"WACC calculation"}</definedName>
    <definedName name="BG" localSheetId="35" hidden="1">{#N/A,#N/A,TRUE,"Cover sheet";#N/A,#N/A,TRUE,"DCF analysis";#N/A,#N/A,TRUE,"WACC calculation"}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localSheetId="28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localSheetId="35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>#N/A</definedName>
    <definedName name="blabla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18" hidden="1">#REF!</definedName>
    <definedName name="Blank3" localSheetId="25" hidden="1">#REF!</definedName>
    <definedName name="Blank3" localSheetId="29" hidden="1">#REF!</definedName>
    <definedName name="Blank3" localSheetId="31" hidden="1">#REF!</definedName>
    <definedName name="Blank3" localSheetId="15" hidden="1">#REF!</definedName>
    <definedName name="Blank3" localSheetId="13" hidden="1">#REF!</definedName>
    <definedName name="Blank3" localSheetId="17" hidden="1">#REF!</definedName>
    <definedName name="Blank3" localSheetId="12" hidden="1">#REF!</definedName>
    <definedName name="Blank3" localSheetId="22" hidden="1">#REF!</definedName>
    <definedName name="Blank3" localSheetId="28" hidden="1">#REF!</definedName>
    <definedName name="Blank3" localSheetId="35" hidden="1">#REF!</definedName>
    <definedName name="Blank3" hidden="1">#REF!</definedName>
    <definedName name="Blank4" localSheetId="18" hidden="1">#REF!</definedName>
    <definedName name="Blank4" localSheetId="25" hidden="1">#REF!</definedName>
    <definedName name="Blank4" localSheetId="29" hidden="1">#REF!</definedName>
    <definedName name="Blank4" localSheetId="31" hidden="1">#REF!</definedName>
    <definedName name="Blank4" localSheetId="15" hidden="1">#REF!</definedName>
    <definedName name="Blank4" localSheetId="13" hidden="1">#REF!</definedName>
    <definedName name="Blank4" localSheetId="17" hidden="1">#REF!</definedName>
    <definedName name="Blank4" localSheetId="12" hidden="1">#REF!</definedName>
    <definedName name="Blank4" localSheetId="22" hidden="1">#REF!</definedName>
    <definedName name="Blank4" localSheetId="28" hidden="1">#REF!</definedName>
    <definedName name="Blank4" localSheetId="35" hidden="1">#REF!</definedName>
    <definedName name="Blank4" hidden="1">#REF!</definedName>
    <definedName name="Blank5" localSheetId="18" hidden="1">#REF!</definedName>
    <definedName name="Blank5" localSheetId="25" hidden="1">#REF!</definedName>
    <definedName name="Blank5" localSheetId="29" hidden="1">#REF!</definedName>
    <definedName name="Blank5" localSheetId="31" hidden="1">#REF!</definedName>
    <definedName name="Blank5" localSheetId="15" hidden="1">#REF!</definedName>
    <definedName name="Blank5" localSheetId="13" hidden="1">#REF!</definedName>
    <definedName name="Blank5" localSheetId="17" hidden="1">#REF!</definedName>
    <definedName name="Blank5" localSheetId="12" hidden="1">#REF!</definedName>
    <definedName name="Blank5" localSheetId="22" hidden="1">#REF!</definedName>
    <definedName name="Blank5" localSheetId="28" hidden="1">#REF!</definedName>
    <definedName name="Blank5" localSheetId="35" hidden="1">#REF!</definedName>
    <definedName name="Blank5" hidden="1">#REF!</definedName>
    <definedName name="Blank6" localSheetId="18" hidden="1">#REF!</definedName>
    <definedName name="Blank6" localSheetId="25" hidden="1">#REF!</definedName>
    <definedName name="Blank6" localSheetId="29" hidden="1">#REF!</definedName>
    <definedName name="Blank6" localSheetId="31" hidden="1">#REF!</definedName>
    <definedName name="Blank6" localSheetId="15" hidden="1">#REF!</definedName>
    <definedName name="Blank6" localSheetId="13" hidden="1">#REF!</definedName>
    <definedName name="Blank6" localSheetId="17" hidden="1">#REF!</definedName>
    <definedName name="Blank6" localSheetId="12" hidden="1">#REF!</definedName>
    <definedName name="Blank6" localSheetId="22" hidden="1">#REF!</definedName>
    <definedName name="Blank6" localSheetId="28" hidden="1">#REF!</definedName>
    <definedName name="Blank6" localSheetId="35" hidden="1">#REF!</definedName>
    <definedName name="Blank6" hidden="1">#REF!</definedName>
    <definedName name="Blank7" localSheetId="18" hidden="1">#REF!</definedName>
    <definedName name="Blank7" localSheetId="25" hidden="1">#REF!</definedName>
    <definedName name="Blank7" localSheetId="29" hidden="1">#REF!</definedName>
    <definedName name="Blank7" localSheetId="31" hidden="1">#REF!</definedName>
    <definedName name="Blank7" localSheetId="15" hidden="1">#REF!</definedName>
    <definedName name="Blank7" localSheetId="13" hidden="1">#REF!</definedName>
    <definedName name="Blank7" localSheetId="17" hidden="1">#REF!</definedName>
    <definedName name="Blank7" localSheetId="12" hidden="1">#REF!</definedName>
    <definedName name="Blank7" localSheetId="22" hidden="1">#REF!</definedName>
    <definedName name="Blank7" localSheetId="28" hidden="1">#REF!</definedName>
    <definedName name="Blank7" localSheetId="35" hidden="1">#REF!</definedName>
    <definedName name="Blank7" hidden="1">#REF!</definedName>
    <definedName name="Blank8" localSheetId="18" hidden="1">#REF!</definedName>
    <definedName name="Blank8" localSheetId="25" hidden="1">#REF!</definedName>
    <definedName name="Blank8" localSheetId="29" hidden="1">#REF!</definedName>
    <definedName name="Blank8" localSheetId="31" hidden="1">#REF!</definedName>
    <definedName name="Blank8" localSheetId="15" hidden="1">#REF!</definedName>
    <definedName name="Blank8" localSheetId="13" hidden="1">#REF!</definedName>
    <definedName name="Blank8" localSheetId="17" hidden="1">#REF!</definedName>
    <definedName name="Blank8" localSheetId="12" hidden="1">#REF!</definedName>
    <definedName name="Blank8" localSheetId="22" hidden="1">#REF!</definedName>
    <definedName name="Blank8" localSheetId="28" hidden="1">#REF!</definedName>
    <definedName name="Blank8" localSheetId="35" hidden="1">#REF!</definedName>
    <definedName name="Blank8" hidden="1">#REF!</definedName>
    <definedName name="BLPH7" localSheetId="18" hidden="1">[74]Sheet1!#REF!</definedName>
    <definedName name="BLPH7" localSheetId="29" hidden="1">[74]Sheet1!#REF!</definedName>
    <definedName name="BLPH7" localSheetId="31" hidden="1">[74]Sheet1!#REF!</definedName>
    <definedName name="BLPH7" localSheetId="15" hidden="1">[74]Sheet1!#REF!</definedName>
    <definedName name="BLPH7" localSheetId="13" hidden="1">[74]Sheet1!#REF!</definedName>
    <definedName name="BLPH7" localSheetId="17" hidden="1">[74]Sheet1!#REF!</definedName>
    <definedName name="BLPH7" localSheetId="12" hidden="1">[74]Sheet1!#REF!</definedName>
    <definedName name="BLPH7" localSheetId="22" hidden="1">[74]Sheet1!#REF!</definedName>
    <definedName name="BLPH7" localSheetId="28" hidden="1">[74]Sheet1!#REF!</definedName>
    <definedName name="BLPH7" localSheetId="35" hidden="1">[74]Sheet1!#REF!</definedName>
    <definedName name="BLPH7" hidden="1">[74]Sheet1!#REF!</definedName>
    <definedName name="BMC.E">[65]ONPT!$H$41</definedName>
    <definedName name="BMCE" localSheetId="18">#REF!</definedName>
    <definedName name="BMCE" localSheetId="25">#REF!</definedName>
    <definedName name="BMCE" localSheetId="29">#REF!</definedName>
    <definedName name="BMCE" localSheetId="31">#REF!</definedName>
    <definedName name="BMCE" localSheetId="15">#REF!</definedName>
    <definedName name="BMCE" localSheetId="13">#REF!</definedName>
    <definedName name="BMCE" localSheetId="17">#REF!</definedName>
    <definedName name="BMCE" localSheetId="12">#REF!</definedName>
    <definedName name="BMCE" localSheetId="22">#REF!</definedName>
    <definedName name="BMCE" localSheetId="28">#REF!</definedName>
    <definedName name="BMCE" localSheetId="35">#REF!</definedName>
    <definedName name="BMCE">#REF!</definedName>
    <definedName name="BMCE.P" localSheetId="18">#REF!</definedName>
    <definedName name="BMCE.P" localSheetId="25">#REF!</definedName>
    <definedName name="BMCE.P" localSheetId="29">#REF!</definedName>
    <definedName name="BMCE.P" localSheetId="31">#REF!</definedName>
    <definedName name="BMCE.P" localSheetId="15">#REF!</definedName>
    <definedName name="BMCE.P" localSheetId="13">#REF!</definedName>
    <definedName name="BMCE.P" localSheetId="17">#REF!</definedName>
    <definedName name="BMCE.P" localSheetId="12">#REF!</definedName>
    <definedName name="BMCE.P" localSheetId="22">#REF!</definedName>
    <definedName name="BMCE.P" localSheetId="28">#REF!</definedName>
    <definedName name="BMCE.P" localSheetId="35">#REF!</definedName>
    <definedName name="BMCE.P">#REF!</definedName>
    <definedName name="BMCEP">[65]ONPT!$B$49</definedName>
    <definedName name="BMCI">[65]ONPT!$B$54</definedName>
    <definedName name="bnbbb" localSheetId="18">[6]!bnbbb</definedName>
    <definedName name="bnbbb" localSheetId="25">[6]!bnbbb</definedName>
    <definedName name="bnbbb" localSheetId="29">[6]!bnbbb</definedName>
    <definedName name="bnbbb" localSheetId="31">[6]!bnbbb</definedName>
    <definedName name="bnbbb" localSheetId="15">[6]!bnbbb</definedName>
    <definedName name="bnbbb" localSheetId="13">[6]!bnbbb</definedName>
    <definedName name="bnbbb" localSheetId="19">[7]!bnbbb</definedName>
    <definedName name="bnbbb" localSheetId="17">[6]!bnbbb</definedName>
    <definedName name="bnbbb" localSheetId="12">[6]!bnbbb</definedName>
    <definedName name="bnbbb" localSheetId="22">[8]!bnbbb</definedName>
    <definedName name="bnbbb">[6]!bnbbb</definedName>
    <definedName name="BNFG">#N/A</definedName>
    <definedName name="bnkj" localSheetId="28" hidden="1">{#N/A,#N/A,FALSE,"output";#N/A,#N/A,FALSE,"contrib";#N/A,#N/A,FALSE,"profile";#N/A,#N/A,FALSE,"comps"}</definedName>
    <definedName name="bnkj" localSheetId="35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O_OPEX4R">#N/A</definedName>
    <definedName name="bob" localSheetId="28">#N/A</definedName>
    <definedName name="bob" localSheetId="35">'Taxe 5%'!bob</definedName>
    <definedName name="bob">'Taxe 5%'!bob</definedName>
    <definedName name="bouhali" localSheetId="18">#REF!</definedName>
    <definedName name="bouhali" localSheetId="25">#REF!</definedName>
    <definedName name="bouhali" localSheetId="29">#REF!</definedName>
    <definedName name="bouhali" localSheetId="31">#REF!</definedName>
    <definedName name="bouhali" localSheetId="15">#REF!</definedName>
    <definedName name="bouhali" localSheetId="13">#REF!</definedName>
    <definedName name="bouhali" localSheetId="17">#REF!</definedName>
    <definedName name="bouhali" localSheetId="12">#REF!</definedName>
    <definedName name="bouhali" localSheetId="22">#REF!</definedName>
    <definedName name="bouhali" localSheetId="28">#REF!</definedName>
    <definedName name="bouhali" localSheetId="35">#REF!</definedName>
    <definedName name="bouhali">#REF!</definedName>
    <definedName name="BOUNDARY">#N/A</definedName>
    <definedName name="BOXOFFICE">'[75]BOX OFFICE'!$A$8:$AN$846</definedName>
    <definedName name="BP">[65]ONPT!$B$56</definedName>
    <definedName name="BQ">[65]ONPT!$H$30</definedName>
    <definedName name="Branche" localSheetId="18">#REF!</definedName>
    <definedName name="Branche" localSheetId="25">#REF!</definedName>
    <definedName name="Branche" localSheetId="29">#REF!</definedName>
    <definedName name="Branche" localSheetId="31">#REF!</definedName>
    <definedName name="Branche" localSheetId="15">#REF!</definedName>
    <definedName name="Branche" localSheetId="13">#REF!</definedName>
    <definedName name="Branche" localSheetId="17">#REF!</definedName>
    <definedName name="Branche" localSheetId="12">#REF!</definedName>
    <definedName name="Branche" localSheetId="22">#REF!</definedName>
    <definedName name="Branche" localSheetId="28">#REF!</definedName>
    <definedName name="Branche" localSheetId="35">#REF!</definedName>
    <definedName name="Branche">#REF!</definedName>
    <definedName name="BSCVolt" localSheetId="29">#REF!</definedName>
    <definedName name="BSCVolt" localSheetId="31">#REF!</definedName>
    <definedName name="BSCVolt" localSheetId="28">#REF!</definedName>
    <definedName name="BSCVolt" localSheetId="35">#REF!</definedName>
    <definedName name="BSCVolt">#REF!</definedName>
    <definedName name="BTSVolt" localSheetId="29">#REF!</definedName>
    <definedName name="BTSVolt" localSheetId="31">#REF!</definedName>
    <definedName name="BTSVolt" localSheetId="28">#REF!</definedName>
    <definedName name="BTSVolt" localSheetId="35">#REF!</definedName>
    <definedName name="BTSVolt">#REF!</definedName>
    <definedName name="BUD_MENSUAL">#N/A</definedName>
    <definedName name="budconso7dr" localSheetId="18">[76]Aga!#REF!</definedName>
    <definedName name="budconso7dr" localSheetId="29">[76]Aga!#REF!</definedName>
    <definedName name="budconso7dr" localSheetId="31">[76]Aga!#REF!</definedName>
    <definedName name="budconso7dr" localSheetId="15">[76]Aga!#REF!</definedName>
    <definedName name="budconso7dr" localSheetId="13">[76]Aga!#REF!</definedName>
    <definedName name="budconso7dr" localSheetId="17">[76]Aga!#REF!</definedName>
    <definedName name="budconso7dr" localSheetId="12">[76]Aga!#REF!</definedName>
    <definedName name="budconso7dr" localSheetId="22">[76]Aga!#REF!</definedName>
    <definedName name="budconso7dr" localSheetId="28">[76]Aga!#REF!</definedName>
    <definedName name="budconso7dr" localSheetId="35">[76]Aga!#REF!</definedName>
    <definedName name="budconso7dr">[76]Aga!#REF!</definedName>
    <definedName name="budfev" hidden="1">[77]A!$U$2:$AH$2</definedName>
    <definedName name="Budget_2003_Conso" localSheetId="18">#REF!</definedName>
    <definedName name="Budget_2003_Conso" localSheetId="25">#REF!</definedName>
    <definedName name="Budget_2003_Conso" localSheetId="29">#REF!</definedName>
    <definedName name="Budget_2003_Conso" localSheetId="31">#REF!</definedName>
    <definedName name="Budget_2003_Conso" localSheetId="15">#REF!</definedName>
    <definedName name="Budget_2003_Conso" localSheetId="13">#REF!</definedName>
    <definedName name="Budget_2003_Conso" localSheetId="17">#REF!</definedName>
    <definedName name="Budget_2003_Conso" localSheetId="12">#REF!</definedName>
    <definedName name="Budget_2003_Conso" localSheetId="22">#REF!</definedName>
    <definedName name="Budget_2003_Conso" localSheetId="28">#REF!</definedName>
    <definedName name="Budget_2003_Conso" localSheetId="35">#REF!</definedName>
    <definedName name="Budget_2003_Conso">#REF!</definedName>
    <definedName name="Budget_2003_Conso___0">#N/A</definedName>
    <definedName name="Budget_2003_Conso___12">#N/A</definedName>
    <definedName name="Budget_2003_Conso___14">#N/A</definedName>
    <definedName name="Budget_2003_Conso___16">#N/A</definedName>
    <definedName name="Budget_2003_Conso___27">#N/A</definedName>
    <definedName name="Budget_2003_Conso___5">#N/A</definedName>
    <definedName name="Budget_DR_Rabat06">#N/A</definedName>
    <definedName name="BUDGET_REVISE">'[78]BUDGET REVISE'!$A$1:$C$217</definedName>
    <definedName name="Budget02">#N/A</definedName>
    <definedName name="budget2000" localSheetId="18">#REF!</definedName>
    <definedName name="budget2000" localSheetId="25">#REF!</definedName>
    <definedName name="budget2000" localSheetId="29">#REF!</definedName>
    <definedName name="budget2000" localSheetId="31">#REF!</definedName>
    <definedName name="budget2000" localSheetId="15">#REF!</definedName>
    <definedName name="budget2000" localSheetId="13">#REF!</definedName>
    <definedName name="budget2000" localSheetId="17">#REF!</definedName>
    <definedName name="budget2000" localSheetId="12">#REF!</definedName>
    <definedName name="budget2000" localSheetId="22">#REF!</definedName>
    <definedName name="budget2000" localSheetId="28">#REF!</definedName>
    <definedName name="budget2000" localSheetId="35">#REF!</definedName>
    <definedName name="budget2000">#REF!</definedName>
    <definedName name="budget2000___0">#N/A</definedName>
    <definedName name="budget2000___12">#N/A</definedName>
    <definedName name="budget2000___14">#N/A</definedName>
    <definedName name="budget2000___16">#N/A</definedName>
    <definedName name="budget2000___27">#N/A</definedName>
    <definedName name="budget2000___5">#N/A</definedName>
    <definedName name="budmens7dr" localSheetId="18">[76]Aga!#REF!</definedName>
    <definedName name="budmens7dr" localSheetId="29">[76]Aga!#REF!</definedName>
    <definedName name="budmens7dr" localSheetId="31">[76]Aga!#REF!</definedName>
    <definedName name="budmens7dr" localSheetId="15">[76]Aga!#REF!</definedName>
    <definedName name="budmens7dr" localSheetId="13">[76]Aga!#REF!</definedName>
    <definedName name="budmens7dr" localSheetId="17">[76]Aga!#REF!</definedName>
    <definedName name="budmens7dr" localSheetId="12">[76]Aga!#REF!</definedName>
    <definedName name="budmens7dr" localSheetId="22">[76]Aga!#REF!</definedName>
    <definedName name="budmens7dr" localSheetId="28">[76]Aga!#REF!</definedName>
    <definedName name="budmens7dr" localSheetId="35">[76]Aga!#REF!</definedName>
    <definedName name="budmens7dr">[76]Aga!#REF!</definedName>
    <definedName name="bvb">[79]Feuil1!$A$1:$M$44</definedName>
    <definedName name="C.D.M" localSheetId="18">#REF!</definedName>
    <definedName name="C.D.M" localSheetId="25">#REF!</definedName>
    <definedName name="C.D.M" localSheetId="29">#REF!</definedName>
    <definedName name="C.D.M" localSheetId="31">#REF!</definedName>
    <definedName name="C.D.M" localSheetId="15">#REF!</definedName>
    <definedName name="C.D.M" localSheetId="13">#REF!</definedName>
    <definedName name="C.D.M" localSheetId="17">#REF!</definedName>
    <definedName name="C.D.M" localSheetId="12">#REF!</definedName>
    <definedName name="C.D.M" localSheetId="22">#REF!</definedName>
    <definedName name="C.D.M" localSheetId="28">#REF!</definedName>
    <definedName name="C.D.M" localSheetId="35">#REF!</definedName>
    <definedName name="C.D.M">#REF!</definedName>
    <definedName name="C_" localSheetId="18">#REF!</definedName>
    <definedName name="C_" localSheetId="25">#REF!</definedName>
    <definedName name="C_" localSheetId="29">#REF!</definedName>
    <definedName name="C_" localSheetId="31">#REF!</definedName>
    <definedName name="C_" localSheetId="15">#REF!</definedName>
    <definedName name="C_" localSheetId="13">#REF!</definedName>
    <definedName name="C_" localSheetId="17">#REF!</definedName>
    <definedName name="C_" localSheetId="12">#REF!</definedName>
    <definedName name="C_" localSheetId="22">#REF!</definedName>
    <definedName name="C_" localSheetId="28">#REF!</definedName>
    <definedName name="C_" localSheetId="35">#REF!</definedName>
    <definedName name="C_">#REF!</definedName>
    <definedName name="C____0">#N/A</definedName>
    <definedName name="C____12">#N/A</definedName>
    <definedName name="C____2">#N/A</definedName>
    <definedName name="C____25">#N/A</definedName>
    <definedName name="C____26">#N/A</definedName>
    <definedName name="C____27">#N/A</definedName>
    <definedName name="C____4">#N/A</definedName>
    <definedName name="C____5">#N/A</definedName>
    <definedName name="C____6">#N/A</definedName>
    <definedName name="C____7">#N/A</definedName>
    <definedName name="c_daysPerYear">365</definedName>
    <definedName name="C_Prépaiement" localSheetId="18">#REF!</definedName>
    <definedName name="C_Prépaiement" localSheetId="25">#REF!</definedName>
    <definedName name="C_Prépaiement" localSheetId="29">#REF!</definedName>
    <definedName name="C_Prépaiement" localSheetId="31">#REF!</definedName>
    <definedName name="C_Prépaiement" localSheetId="15">#REF!</definedName>
    <definedName name="C_Prépaiement" localSheetId="13">#REF!</definedName>
    <definedName name="C_Prépaiement" localSheetId="17">#REF!</definedName>
    <definedName name="C_Prépaiement" localSheetId="12">#REF!</definedName>
    <definedName name="C_Prépaiement" localSheetId="22">#REF!</definedName>
    <definedName name="C_Prépaiement" localSheetId="28">#REF!</definedName>
    <definedName name="C_Prépaiement" localSheetId="35">#REF!</definedName>
    <definedName name="C_Prépaiement">#REF!</definedName>
    <definedName name="C_Prépaiement___0">#N/A</definedName>
    <definedName name="C_Prépaiement___12">#N/A</definedName>
    <definedName name="C_Prépaiement___14">#N/A</definedName>
    <definedName name="C_Prépaiement___16">#N/A</definedName>
    <definedName name="C_Prépaiement___2">#N/A</definedName>
    <definedName name="C_Prépaiement___26">#N/A</definedName>
    <definedName name="C_Prépaiement___27">#N/A</definedName>
    <definedName name="C_Prépaiement___5">#N/A</definedName>
    <definedName name="C_Prépaiement___7">#N/A</definedName>
    <definedName name="CA" localSheetId="18">#REF!</definedName>
    <definedName name="CA" localSheetId="25">#REF!</definedName>
    <definedName name="CA" localSheetId="29">#REF!</definedName>
    <definedName name="CA" localSheetId="31">#REF!</definedName>
    <definedName name="CA" localSheetId="15">#REF!</definedName>
    <definedName name="CA" localSheetId="13">#REF!</definedName>
    <definedName name="CA" localSheetId="17">#REF!</definedName>
    <definedName name="CA" localSheetId="12">#REF!</definedName>
    <definedName name="CA" localSheetId="22">#REF!</definedName>
    <definedName name="CA" localSheetId="28">#REF!</definedName>
    <definedName name="CA" localSheetId="35">#REF!</definedName>
    <definedName name="CA">#REF!</definedName>
    <definedName name="CA___0">#N/A</definedName>
    <definedName name="CA___12">#N/A</definedName>
    <definedName name="CA___14">#N/A</definedName>
    <definedName name="CA___16">#N/A</definedName>
    <definedName name="CA___2">#N/A</definedName>
    <definedName name="CA___25">#N/A</definedName>
    <definedName name="CA___26">#N/A</definedName>
    <definedName name="CA___27">#N/A</definedName>
    <definedName name="CA___4">#N/A</definedName>
    <definedName name="CA___5">#N/A</definedName>
    <definedName name="CA___7">#N/A</definedName>
    <definedName name="ca_pm_dest" localSheetId="18">#REF!</definedName>
    <definedName name="ca_pm_dest" localSheetId="25">#REF!</definedName>
    <definedName name="ca_pm_dest" localSheetId="29">#REF!</definedName>
    <definedName name="ca_pm_dest" localSheetId="31">#REF!</definedName>
    <definedName name="ca_pm_dest" localSheetId="15">#REF!</definedName>
    <definedName name="ca_pm_dest" localSheetId="13">#REF!</definedName>
    <definedName name="ca_pm_dest" localSheetId="17">#REF!</definedName>
    <definedName name="ca_pm_dest" localSheetId="12">#REF!</definedName>
    <definedName name="ca_pm_dest" localSheetId="22">#REF!</definedName>
    <definedName name="ca_pm_dest" localSheetId="28">#REF!</definedName>
    <definedName name="ca_pm_dest" localSheetId="35">#REF!</definedName>
    <definedName name="ca_pm_dest">#REF!</definedName>
    <definedName name="CAA">'[25]Rapport Période'!$P$25</definedName>
    <definedName name="Cable" localSheetId="28" hidden="1">{#N/A,#N/A,FALSE,"Operations";#N/A,#N/A,FALSE,"Financials"}</definedName>
    <definedName name="Cable" localSheetId="35" hidden="1">{#N/A,#N/A,FALSE,"Operations";#N/A,#N/A,FALSE,"Financials"}</definedName>
    <definedName name="Cable" hidden="1">{#N/A,#N/A,FALSE,"Operations";#N/A,#N/A,FALSE,"Financials"}</definedName>
    <definedName name="Cable2" localSheetId="28" hidden="1">{#N/A,#N/A,FALSE,"Operations";#N/A,#N/A,FALSE,"Financials"}</definedName>
    <definedName name="Cable2" localSheetId="35" hidden="1">{#N/A,#N/A,FALSE,"Operations";#N/A,#N/A,FALSE,"Financials"}</definedName>
    <definedName name="Cable2" hidden="1">{#N/A,#N/A,FALSE,"Operations";#N/A,#N/A,FALSE,"Financials"}</definedName>
    <definedName name="Cabs" localSheetId="29">#REF!</definedName>
    <definedName name="Cabs" localSheetId="31">#REF!</definedName>
    <definedName name="Cabs" localSheetId="28">#REF!</definedName>
    <definedName name="Cabs" localSheetId="35">#REF!</definedName>
    <definedName name="Cabs">#REF!</definedName>
    <definedName name="cad" localSheetId="18">#N/A</definedName>
    <definedName name="cad" localSheetId="25">Activation!Tx_intérêt_par_an/#REF!</definedName>
    <definedName name="cad" localSheetId="29">'Amortissment boa'!Tx_intérêt_par_an/#REF!</definedName>
    <definedName name="cad" localSheetId="31">'Amortissment Cboa'!Tx_intérêt_par_an/#REF!</definedName>
    <definedName name="cad" localSheetId="15">#N/A</definedName>
    <definedName name="cad" localSheetId="13">#N/A</definedName>
    <definedName name="cad" localSheetId="19">#N/A</definedName>
    <definedName name="cad" localSheetId="17">#N/A</definedName>
    <definedName name="cad" localSheetId="12">#N/A</definedName>
    <definedName name="cad" localSheetId="22">[5]!Tx_intérêt_par_an/#REF!</definedName>
    <definedName name="cad" localSheetId="28">'SYNTHESE BOA'!Tx_intérêt_par_an/#REF!</definedName>
    <definedName name="cad" localSheetId="35">'Taxe 5%'!Tx_intérêt_par_an/#REF!</definedName>
    <definedName name="cad">[0]!Tx_intérêt_par_an/#REF!</definedName>
    <definedName name="cad___0">#N/A</definedName>
    <definedName name="cad___12">#N/A</definedName>
    <definedName name="cad___14">#N/A</definedName>
    <definedName name="cad___16">#N/A</definedName>
    <definedName name="cad___2">#N/A</definedName>
    <definedName name="cad___23">#N/A</definedName>
    <definedName name="cad___25">#N/A</definedName>
    <definedName name="cad___26">#N/A</definedName>
    <definedName name="cad___27">#N/A</definedName>
    <definedName name="cad___3">#N/A</definedName>
    <definedName name="cad___4">#N/A</definedName>
    <definedName name="cad___5">#N/A</definedName>
    <definedName name="cad___6">#N/A</definedName>
    <definedName name="cad___7">#N/A</definedName>
    <definedName name="cad___9">#N/A</definedName>
    <definedName name="calc" localSheetId="28">#N/A</definedName>
    <definedName name="calc" localSheetId="35">'Taxe 5%'!calc</definedName>
    <definedName name="calc">'Taxe 5%'!calc</definedName>
    <definedName name="Calibration" localSheetId="18">[6]!Calibration</definedName>
    <definedName name="Calibration" localSheetId="25">[6]!Calibration</definedName>
    <definedName name="Calibration" localSheetId="29">[6]!Calibration</definedName>
    <definedName name="Calibration" localSheetId="31">[6]!Calibration</definedName>
    <definedName name="Calibration" localSheetId="15">[6]!Calibration</definedName>
    <definedName name="Calibration" localSheetId="13">[6]!Calibration</definedName>
    <definedName name="Calibration" localSheetId="19">[7]!Calibration</definedName>
    <definedName name="Calibration" localSheetId="17">[6]!Calibration</definedName>
    <definedName name="Calibration" localSheetId="12">[6]!Calibration</definedName>
    <definedName name="Calibration" localSheetId="22">[8]!Calibration</definedName>
    <definedName name="Calibration">[6]!Calibration</definedName>
    <definedName name="camel" localSheetId="28" hidden="1">{#N/A,#N/A,TRUE,"Forecast &amp; Analysis";#N/A,#N/A,TRUE,"Market Values";#N/A,#N/A,TRUE,"Ratios";#N/A,#N/A,TRUE,"Regressions";#N/A,#N/A,TRUE,"Market Values";#N/A,#N/A,TRUE,"Parameters &amp; Results"}</definedName>
    <definedName name="camel" localSheetId="35" hidden="1">{#N/A,#N/A,TRUE,"Forecast &amp; Analysis";#N/A,#N/A,TRUE,"Market Values";#N/A,#N/A,TRUE,"Ratios";#N/A,#N/A,TRUE,"Regressions";#N/A,#N/A,TRUE,"Market Values";#N/A,#N/A,TRUE,"Parameters &amp; Results"}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 localSheetId="29">'[80]Key Indicators'!#REF!</definedName>
    <definedName name="CAMON" localSheetId="31">'[80]Key Indicators'!#REF!</definedName>
    <definedName name="CAMON" localSheetId="28">'[80]Key Indicators'!#REF!</definedName>
    <definedName name="CAMON" localSheetId="35">'[80]Key Indicators'!#REF!</definedName>
    <definedName name="CAMON">'[80]Key Indicators'!#REF!</definedName>
    <definedName name="cancelled">0</definedName>
    <definedName name="CAP_ACT1" localSheetId="18">[81]CàP_Mois!#REF!</definedName>
    <definedName name="CAP_ACT1" localSheetId="29">[81]CàP_Mois!#REF!</definedName>
    <definedName name="CAP_ACT1" localSheetId="31">[81]CàP_Mois!#REF!</definedName>
    <definedName name="CAP_ACT1" localSheetId="15">[81]CàP_Mois!#REF!</definedName>
    <definedName name="CAP_ACT1" localSheetId="13">[81]CàP_Mois!#REF!</definedName>
    <definedName name="CAP_ACT1" localSheetId="17">[81]CàP_Mois!#REF!</definedName>
    <definedName name="CAP_ACT1" localSheetId="12">[81]CàP_Mois!#REF!</definedName>
    <definedName name="CAP_ACT1" localSheetId="22">[81]CàP_Mois!#REF!</definedName>
    <definedName name="CAP_ACT1" localSheetId="28">[81]CàP_Mois!#REF!</definedName>
    <definedName name="CAP_ACT1" localSheetId="35">[81]CàP_Mois!#REF!</definedName>
    <definedName name="CAP_ACT1">[81]CàP_Mois!#REF!</definedName>
    <definedName name="CAP_ACTU1" localSheetId="18">[81]CàP_Mois!#REF!</definedName>
    <definedName name="CAP_ACTU1" localSheetId="29">[81]CàP_Mois!#REF!</definedName>
    <definedName name="CAP_ACTU1" localSheetId="31">[81]CàP_Mois!#REF!</definedName>
    <definedName name="CAP_ACTU1" localSheetId="15">[81]CàP_Mois!#REF!</definedName>
    <definedName name="CAP_ACTU1" localSheetId="13">[81]CàP_Mois!#REF!</definedName>
    <definedName name="CAP_ACTU1" localSheetId="17">[81]CàP_Mois!#REF!</definedName>
    <definedName name="CAP_ACTU1" localSheetId="12">[81]CàP_Mois!#REF!</definedName>
    <definedName name="CAP_ACTU1" localSheetId="22">[81]CàP_Mois!#REF!</definedName>
    <definedName name="CAP_ACTU1" localSheetId="28">[81]CàP_Mois!#REF!</definedName>
    <definedName name="CAP_ACTU1" localSheetId="35">[81]CàP_Mois!#REF!</definedName>
    <definedName name="CAP_ACTU1">[81]CàP_Mois!#REF!</definedName>
    <definedName name="CAP_Mois">#N/A</definedName>
    <definedName name="CAP2003àComptabiliser" localSheetId="18">#REF!</definedName>
    <definedName name="CAP2003àComptabiliser" localSheetId="25">#REF!</definedName>
    <definedName name="CAP2003àComptabiliser" localSheetId="29">#REF!</definedName>
    <definedName name="CAP2003àComptabiliser" localSheetId="31">#REF!</definedName>
    <definedName name="CAP2003àComptabiliser" localSheetId="15">#REF!</definedName>
    <definedName name="CAP2003àComptabiliser" localSheetId="13">#REF!</definedName>
    <definedName name="CAP2003àComptabiliser" localSheetId="17">#REF!</definedName>
    <definedName name="CAP2003àComptabiliser" localSheetId="12">#REF!</definedName>
    <definedName name="CAP2003àComptabiliser" localSheetId="22">#REF!</definedName>
    <definedName name="CAP2003àComptabiliser" localSheetId="28">#REF!</definedName>
    <definedName name="CAP2003àComptabiliser" localSheetId="35">#REF!</definedName>
    <definedName name="CAP2003àComptabiliser">#REF!</definedName>
    <definedName name="CAPBUD">#N/A</definedName>
    <definedName name="CAPEX">#N/A</definedName>
    <definedName name="CAPEX_ACTU_DETAIL_DIV">#N/A</definedName>
    <definedName name="CAPEX_ACTU2_PREVISION">#N/A</definedName>
    <definedName name="CAPEX_PREVISIONS">#N/A</definedName>
    <definedName name="CAPEX_PREVISIONS_DG" localSheetId="18">#REF!</definedName>
    <definedName name="CAPEX_PREVISIONS_DG" localSheetId="25">#REF!</definedName>
    <definedName name="CAPEX_PREVISIONS_DG" localSheetId="29">#REF!</definedName>
    <definedName name="CAPEX_PREVISIONS_DG" localSheetId="31">#REF!</definedName>
    <definedName name="CAPEX_PREVISIONS_DG" localSheetId="15">#REF!</definedName>
    <definedName name="CAPEX_PREVISIONS_DG" localSheetId="13">#REF!</definedName>
    <definedName name="CAPEX_PREVISIONS_DG" localSheetId="17">#REF!</definedName>
    <definedName name="CAPEX_PREVISIONS_DG" localSheetId="12">#REF!</definedName>
    <definedName name="CAPEX_PREVISIONS_DG" localSheetId="22">#REF!</definedName>
    <definedName name="CAPEX_PREVISIONS_DG" localSheetId="28">#REF!</definedName>
    <definedName name="CAPEX_PREVISIONS_DG" localSheetId="35">#REF!</definedName>
    <definedName name="CAPEX_PREVISIONS_DG">#REF!</definedName>
    <definedName name="CAPEX_PREVISIONS_DG___0">#N/A</definedName>
    <definedName name="CAPEX_PREVISIONS_DG___12">#N/A</definedName>
    <definedName name="CAPEX_PREVISIONS_DG___14">#N/A</definedName>
    <definedName name="CAPEX_PREVISIONS_DG___16">#N/A</definedName>
    <definedName name="CAPEX_PREVISIONS_DG___2">#N/A</definedName>
    <definedName name="CAPEX_PREVISIONS_DG___25">#N/A</definedName>
    <definedName name="CAPEX_PREVISIONS_DG___26">#N/A</definedName>
    <definedName name="CAPEX_PREVISIONS_DG___27">#N/A</definedName>
    <definedName name="CAPEX_PREVISIONS_DG___4">#N/A</definedName>
    <definedName name="CAPEX_PREVISIONS_DG___5">#N/A</definedName>
    <definedName name="CAPEX_PREVISIONS_DG___7">#N/A</definedName>
    <definedName name="CAPEX_PROVISION_2003">#N/A</definedName>
    <definedName name="CAPEX4RQ">#N/A</definedName>
    <definedName name="CAPEX4RQDG">#N/A</definedName>
    <definedName name="CAPEX4RQPROJET">#N/A</definedName>
    <definedName name="CAPEX4SYNTHESE">#N/A</definedName>
    <definedName name="CAPEXACTU2">#N/A</definedName>
    <definedName name="CAPEXJUIN07">#N/A</definedName>
    <definedName name="carte" localSheetId="18">[6]!carte</definedName>
    <definedName name="carte" localSheetId="25">[6]!carte</definedName>
    <definedName name="carte" localSheetId="29">[6]!carte</definedName>
    <definedName name="carte" localSheetId="31">[6]!carte</definedName>
    <definedName name="carte" localSheetId="15">[6]!carte</definedName>
    <definedName name="carte" localSheetId="13">[6]!carte</definedName>
    <definedName name="carte" localSheetId="19">[7]!carte</definedName>
    <definedName name="carte" localSheetId="17">[6]!carte</definedName>
    <definedName name="carte" localSheetId="12">[6]!carte</definedName>
    <definedName name="carte" localSheetId="22">[8]!carte</definedName>
    <definedName name="carte">[6]!carte</definedName>
    <definedName name="Casa2">#N/A</definedName>
    <definedName name="Casa3">#N/A</definedName>
    <definedName name="cash" localSheetId="18">#REF!</definedName>
    <definedName name="cash" localSheetId="25">#REF!</definedName>
    <definedName name="cash" localSheetId="29">#REF!</definedName>
    <definedName name="cash" localSheetId="31">#REF!</definedName>
    <definedName name="cash" localSheetId="15">#REF!</definedName>
    <definedName name="cash" localSheetId="13">#REF!</definedName>
    <definedName name="cash" localSheetId="17">#REF!</definedName>
    <definedName name="cash" localSheetId="12">#REF!</definedName>
    <definedName name="cash" localSheetId="22">#REF!</definedName>
    <definedName name="cash" localSheetId="28">#REF!</definedName>
    <definedName name="cash" localSheetId="35">#REF!</definedName>
    <definedName name="cash">#REF!</definedName>
    <definedName name="CataRécSynt">#N/A</definedName>
    <definedName name="Catégorie">'[82]Catégories&amp; motifs_réclamations'!$H$2:$H$3</definedName>
    <definedName name="CatRMDRéc">#N/A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c">#N/A</definedName>
    <definedName name="ccc" localSheetId="18">#N/A</definedName>
    <definedName name="ccc" localSheetId="25">Activation!Tx_intérêt_par_an/#REF!</definedName>
    <definedName name="ccc" localSheetId="29">'Amortissment boa'!Tx_intérêt_par_an/#REF!</definedName>
    <definedName name="ccc" localSheetId="31">'Amortissment Cboa'!Tx_intérêt_par_an/#REF!</definedName>
    <definedName name="ccc" localSheetId="15">#N/A</definedName>
    <definedName name="ccc" localSheetId="13">#N/A</definedName>
    <definedName name="ccc" localSheetId="19">#N/A</definedName>
    <definedName name="ccc" localSheetId="17">#N/A</definedName>
    <definedName name="ccc" localSheetId="12">#N/A</definedName>
    <definedName name="ccc" localSheetId="22">[5]!Tx_intérêt_par_an/#REF!</definedName>
    <definedName name="ccc" localSheetId="28">'SYNTHESE BOA'!Tx_intérêt_par_an/#REF!</definedName>
    <definedName name="ccc" localSheetId="35">'Taxe 5%'!Tx_intérêt_par_an/#REF!</definedName>
    <definedName name="ccc">[0]!Tx_intérêt_par_an/#REF!</definedName>
    <definedName name="cccc" localSheetId="18">#N/A</definedName>
    <definedName name="cccc" localSheetId="25">Activation!Tx_intérêt_par_an/#REF!</definedName>
    <definedName name="cccc" localSheetId="29">'Amortissment boa'!Tx_intérêt_par_an/#REF!</definedName>
    <definedName name="cccc" localSheetId="31">'Amortissment Cboa'!Tx_intérêt_par_an/#REF!</definedName>
    <definedName name="cccc" localSheetId="15">#N/A</definedName>
    <definedName name="cccc" localSheetId="13">#N/A</definedName>
    <definedName name="cccc" localSheetId="19">#N/A</definedName>
    <definedName name="cccc" localSheetId="17">#N/A</definedName>
    <definedName name="cccc" localSheetId="12">#N/A</definedName>
    <definedName name="cccc" localSheetId="22">[5]!Tx_intérêt_par_an/#REF!</definedName>
    <definedName name="cccc" localSheetId="28">'SYNTHESE BOA'!Tx_intérêt_par_an/#REF!</definedName>
    <definedName name="cccc" localSheetId="35">'Taxe 5%'!Tx_intérêt_par_an/#REF!</definedName>
    <definedName name="cccc">[0]!Tx_intérêt_par_an/#REF!</definedName>
    <definedName name="cccc___0">#N/A</definedName>
    <definedName name="cccc___12">#N/A</definedName>
    <definedName name="cccc___14">#N/A</definedName>
    <definedName name="cccc___16">#N/A</definedName>
    <definedName name="cccc___2">#N/A</definedName>
    <definedName name="cccc___23">#N/A</definedName>
    <definedName name="cccc___25">#N/A</definedName>
    <definedName name="cccc___26">#N/A</definedName>
    <definedName name="cccc___27">#N/A</definedName>
    <definedName name="cccc___3">#N/A</definedName>
    <definedName name="cccc___4">#N/A</definedName>
    <definedName name="cccc___5">#N/A</definedName>
    <definedName name="cccc___6">#N/A</definedName>
    <definedName name="cccc___7">#N/A</definedName>
    <definedName name="cccc___9">#N/A</definedName>
    <definedName name="CCP_AGADIR" localSheetId="18">#REF!</definedName>
    <definedName name="CCP_AGADIR" localSheetId="25">#REF!</definedName>
    <definedName name="CCP_AGADIR" localSheetId="29">#REF!</definedName>
    <definedName name="CCP_AGADIR" localSheetId="31">#REF!</definedName>
    <definedName name="CCP_AGADIR" localSheetId="15">#REF!</definedName>
    <definedName name="CCP_AGADIR" localSheetId="13">#REF!</definedName>
    <definedName name="CCP_AGADIR" localSheetId="17">#REF!</definedName>
    <definedName name="CCP_AGADIR" localSheetId="12">#REF!</definedName>
    <definedName name="CCP_AGADIR" localSheetId="22">#REF!</definedName>
    <definedName name="CCP_AGADIR" localSheetId="28">#REF!</definedName>
    <definedName name="CCP_AGADIR" localSheetId="35">#REF!</definedName>
    <definedName name="CCP_AGADIR">#REF!</definedName>
    <definedName name="CCP_CASABLANCA" localSheetId="18">#REF!</definedName>
    <definedName name="CCP_CASABLANCA" localSheetId="25">#REF!</definedName>
    <definedName name="CCP_CASABLANCA" localSheetId="29">#REF!</definedName>
    <definedName name="CCP_CASABLANCA" localSheetId="31">#REF!</definedName>
    <definedName name="CCP_CASABLANCA" localSheetId="15">#REF!</definedName>
    <definedName name="CCP_CASABLANCA" localSheetId="13">#REF!</definedName>
    <definedName name="CCP_CASABLANCA" localSheetId="17">#REF!</definedName>
    <definedName name="CCP_CASABLANCA" localSheetId="12">#REF!</definedName>
    <definedName name="CCP_CASABLANCA" localSheetId="22">#REF!</definedName>
    <definedName name="CCP_CASABLANCA" localSheetId="28">#REF!</definedName>
    <definedName name="CCP_CASABLANCA" localSheetId="35">#REF!</definedName>
    <definedName name="CCP_CASABLANCA">#REF!</definedName>
    <definedName name="CCP_FES" localSheetId="18">#REF!</definedName>
    <definedName name="CCP_FES" localSheetId="25">#REF!</definedName>
    <definedName name="CCP_FES" localSheetId="29">#REF!</definedName>
    <definedName name="CCP_FES" localSheetId="31">#REF!</definedName>
    <definedName name="CCP_FES" localSheetId="15">#REF!</definedName>
    <definedName name="CCP_FES" localSheetId="13">#REF!</definedName>
    <definedName name="CCP_FES" localSheetId="17">#REF!</definedName>
    <definedName name="CCP_FES" localSheetId="12">#REF!</definedName>
    <definedName name="CCP_FES" localSheetId="22">#REF!</definedName>
    <definedName name="CCP_FES" localSheetId="28">#REF!</definedName>
    <definedName name="CCP_FES" localSheetId="35">#REF!</definedName>
    <definedName name="CCP_FES">#REF!</definedName>
    <definedName name="CCP_iam">'[83]IAM '!$B$33</definedName>
    <definedName name="CCP_iam___0">#N/A</definedName>
    <definedName name="CCP_iam___12">#N/A</definedName>
    <definedName name="CCP_iam___14">#N/A</definedName>
    <definedName name="CCP_MARRAKECH" localSheetId="18">#REF!</definedName>
    <definedName name="CCP_MARRAKECH" localSheetId="25">#REF!</definedName>
    <definedName name="CCP_MARRAKECH" localSheetId="29">#REF!</definedName>
    <definedName name="CCP_MARRAKECH" localSheetId="31">#REF!</definedName>
    <definedName name="CCP_MARRAKECH" localSheetId="15">#REF!</definedName>
    <definedName name="CCP_MARRAKECH" localSheetId="13">#REF!</definedName>
    <definedName name="CCP_MARRAKECH" localSheetId="17">#REF!</definedName>
    <definedName name="CCP_MARRAKECH" localSheetId="12">#REF!</definedName>
    <definedName name="CCP_MARRAKECH" localSheetId="22">#REF!</definedName>
    <definedName name="CCP_MARRAKECH" localSheetId="28">#REF!</definedName>
    <definedName name="CCP_MARRAKECH" localSheetId="35">#REF!</definedName>
    <definedName name="CCP_MARRAKECH">#REF!</definedName>
    <definedName name="CCP_ONPT" localSheetId="18">#REF!</definedName>
    <definedName name="CCP_ONPT" localSheetId="25">#REF!</definedName>
    <definedName name="CCP_ONPT" localSheetId="29">#REF!</definedName>
    <definedName name="CCP_ONPT" localSheetId="31">#REF!</definedName>
    <definedName name="CCP_ONPT" localSheetId="15">#REF!</definedName>
    <definedName name="CCP_ONPT" localSheetId="13">#REF!</definedName>
    <definedName name="CCP_ONPT" localSheetId="17">#REF!</definedName>
    <definedName name="CCP_ONPT" localSheetId="12">#REF!</definedName>
    <definedName name="CCP_ONPT" localSheetId="22">#REF!</definedName>
    <definedName name="CCP_ONPT" localSheetId="28">#REF!</definedName>
    <definedName name="CCP_ONPT" localSheetId="35">#REF!</definedName>
    <definedName name="CCP_ONPT">#REF!</definedName>
    <definedName name="CCP_OUJDA" localSheetId="18">#REF!</definedName>
    <definedName name="CCP_OUJDA" localSheetId="25">#REF!</definedName>
    <definedName name="CCP_OUJDA" localSheetId="29">#REF!</definedName>
    <definedName name="CCP_OUJDA" localSheetId="31">#REF!</definedName>
    <definedName name="CCP_OUJDA" localSheetId="15">#REF!</definedName>
    <definedName name="CCP_OUJDA" localSheetId="13">#REF!</definedName>
    <definedName name="CCP_OUJDA" localSheetId="17">#REF!</definedName>
    <definedName name="CCP_OUJDA" localSheetId="12">#REF!</definedName>
    <definedName name="CCP_OUJDA" localSheetId="22">#REF!</definedName>
    <definedName name="CCP_OUJDA" localSheetId="28">#REF!</definedName>
    <definedName name="CCP_OUJDA" localSheetId="35">#REF!</definedName>
    <definedName name="CCP_OUJDA">#REF!</definedName>
    <definedName name="CCP_RABAT" localSheetId="18">#REF!</definedName>
    <definedName name="CCP_RABAT" localSheetId="25">#REF!</definedName>
    <definedName name="CCP_RABAT" localSheetId="29">#REF!</definedName>
    <definedName name="CCP_RABAT" localSheetId="31">#REF!</definedName>
    <definedName name="CCP_RABAT" localSheetId="15">#REF!</definedName>
    <definedName name="CCP_RABAT" localSheetId="13">#REF!</definedName>
    <definedName name="CCP_RABAT" localSheetId="17">#REF!</definedName>
    <definedName name="CCP_RABAT" localSheetId="12">#REF!</definedName>
    <definedName name="CCP_RABAT" localSheetId="22">#REF!</definedName>
    <definedName name="CCP_RABAT" localSheetId="28">#REF!</definedName>
    <definedName name="CCP_RABAT" localSheetId="35">#REF!</definedName>
    <definedName name="CCP_RABAT">#REF!</definedName>
    <definedName name="CCP_SETTAT" localSheetId="18">#REF!</definedName>
    <definedName name="CCP_SETTAT" localSheetId="25">#REF!</definedName>
    <definedName name="CCP_SETTAT" localSheetId="29">#REF!</definedName>
    <definedName name="CCP_SETTAT" localSheetId="31">#REF!</definedName>
    <definedName name="CCP_SETTAT" localSheetId="15">#REF!</definedName>
    <definedName name="CCP_SETTAT" localSheetId="13">#REF!</definedName>
    <definedName name="CCP_SETTAT" localSheetId="17">#REF!</definedName>
    <definedName name="CCP_SETTAT" localSheetId="12">#REF!</definedName>
    <definedName name="CCP_SETTAT" localSheetId="22">#REF!</definedName>
    <definedName name="CCP_SETTAT" localSheetId="28">#REF!</definedName>
    <definedName name="CCP_SETTAT" localSheetId="35">#REF!</definedName>
    <definedName name="CCP_SETTAT">#REF!</definedName>
    <definedName name="CCPAG">[65]ONPT!$E$55</definedName>
    <definedName name="CCPCAS">[65]ONPT!$E$50</definedName>
    <definedName name="CCPFES">[65]ONPT!$E$51</definedName>
    <definedName name="CCPMAR">[65]ONPT!$E$52</definedName>
    <definedName name="CCPONPT">[65]ONPT!$B$30</definedName>
    <definedName name="CCPOUJ">[65]ONPT!$E$54</definedName>
    <definedName name="CCPRAB">[65]ONPT!$E$49</definedName>
    <definedName name="CCPSET">[65]ONPT!$E$53</definedName>
    <definedName name="cdc">[79]Feuil1!$A$1:$M$44</definedName>
    <definedName name="Cdeindex">[25]Ventes!$M$2:$M$18806</definedName>
    <definedName name="CdesPortefeuille">#N/A</definedName>
    <definedName name="CDM">[65]ONPT!$B$51</definedName>
    <definedName name="CDMA" localSheetId="29">#REF!</definedName>
    <definedName name="CDMA" localSheetId="31">#REF!</definedName>
    <definedName name="CDMA" localSheetId="28">#REF!</definedName>
    <definedName name="CDMA" localSheetId="35">#REF!</definedName>
    <definedName name="CDMA">#REF!</definedName>
    <definedName name="cdsz" localSheetId="18">#REF!</definedName>
    <definedName name="cdsz" localSheetId="25">#REF!</definedName>
    <definedName name="cdsz" localSheetId="29">#REF!</definedName>
    <definedName name="cdsz" localSheetId="31">#REF!</definedName>
    <definedName name="cdsz" localSheetId="15">#REF!</definedName>
    <definedName name="cdsz" localSheetId="13">#REF!</definedName>
    <definedName name="cdsz" localSheetId="17">#REF!</definedName>
    <definedName name="cdsz" localSheetId="12">#REF!</definedName>
    <definedName name="cdsz" localSheetId="22">#REF!</definedName>
    <definedName name="cdsz" localSheetId="28">#REF!</definedName>
    <definedName name="cdsz" localSheetId="35">#REF!</definedName>
    <definedName name="cdsz">#REF!</definedName>
    <definedName name="CFCheck" localSheetId="18">#REF!</definedName>
    <definedName name="CFCheck" localSheetId="25">#REF!</definedName>
    <definedName name="CFCheck" localSheetId="29">#REF!</definedName>
    <definedName name="CFCheck" localSheetId="31">#REF!</definedName>
    <definedName name="CFCheck" localSheetId="15">#REF!</definedName>
    <definedName name="CFCheck" localSheetId="13">#REF!</definedName>
    <definedName name="CFCheck" localSheetId="17">#REF!</definedName>
    <definedName name="CFCheck" localSheetId="12">#REF!</definedName>
    <definedName name="CFCheck" localSheetId="22">#REF!</definedName>
    <definedName name="CFCheck" localSheetId="28">#REF!</definedName>
    <definedName name="CFCheck" localSheetId="35">#REF!</definedName>
    <definedName name="CFCheck">#REF!</definedName>
    <definedName name="CFCheck___0">#N/A</definedName>
    <definedName name="CFCheck___12">#N/A</definedName>
    <definedName name="CFCheck___14">#N/A</definedName>
    <definedName name="CFCheck___16">#N/A</definedName>
    <definedName name="CFCheck___2">#N/A</definedName>
    <definedName name="CFCheck___25">#N/A</definedName>
    <definedName name="CFCheck___26">#N/A</definedName>
    <definedName name="CFCheck___27">#N/A</definedName>
    <definedName name="CFCheck___4">#N/A</definedName>
    <definedName name="CFCheck___5">#N/A</definedName>
    <definedName name="CFCheck___7">#N/A</definedName>
    <definedName name="CHANGEMENT">[47]SV161!$C$36</definedName>
    <definedName name="CHANGEPREVU">[47]SV161!$D$36</definedName>
    <definedName name="ChangeRange" localSheetId="28">#N/A</definedName>
    <definedName name="ChangeRange" localSheetId="35">'Taxe 5%'!ChangeRange</definedName>
    <definedName name="ChangeRange">'Taxe 5%'!ChangeRange</definedName>
    <definedName name="chargaddit" localSheetId="18">#REF!</definedName>
    <definedName name="chargaddit" localSheetId="25">#REF!</definedName>
    <definedName name="chargaddit" localSheetId="29">#REF!</definedName>
    <definedName name="chargaddit" localSheetId="31">#REF!</definedName>
    <definedName name="chargaddit" localSheetId="15">#REF!</definedName>
    <definedName name="chargaddit" localSheetId="13">#REF!</definedName>
    <definedName name="chargaddit" localSheetId="17">#REF!</definedName>
    <definedName name="chargaddit" localSheetId="12">#REF!</definedName>
    <definedName name="chargaddit" localSheetId="22">#REF!</definedName>
    <definedName name="chargaddit" localSheetId="28">#REF!</definedName>
    <definedName name="chargaddit" localSheetId="35">#REF!</definedName>
    <definedName name="chargaddit">#REF!</definedName>
    <definedName name="CHEQUES_BANQUE" localSheetId="18">#REF!</definedName>
    <definedName name="CHEQUES_BANQUE" localSheetId="25">#REF!</definedName>
    <definedName name="CHEQUES_BANQUE" localSheetId="29">#REF!</definedName>
    <definedName name="CHEQUES_BANQUE" localSheetId="31">#REF!</definedName>
    <definedName name="CHEQUES_BANQUE" localSheetId="15">#REF!</definedName>
    <definedName name="CHEQUES_BANQUE" localSheetId="13">#REF!</definedName>
    <definedName name="CHEQUES_BANQUE" localSheetId="17">#REF!</definedName>
    <definedName name="CHEQUES_BANQUE" localSheetId="12">#REF!</definedName>
    <definedName name="CHEQUES_BANQUE" localSheetId="22">#REF!</definedName>
    <definedName name="CHEQUES_BANQUE" localSheetId="28">#REF!</definedName>
    <definedName name="CHEQUES_BANQUE" localSheetId="35">#REF!</definedName>
    <definedName name="CHEQUES_BANQUE">#REF!</definedName>
    <definedName name="CHEQUES_CCP" localSheetId="18">#REF!</definedName>
    <definedName name="CHEQUES_CCP" localSheetId="25">#REF!</definedName>
    <definedName name="CHEQUES_CCP" localSheetId="29">#REF!</definedName>
    <definedName name="CHEQUES_CCP" localSheetId="31">#REF!</definedName>
    <definedName name="CHEQUES_CCP" localSheetId="15">#REF!</definedName>
    <definedName name="CHEQUES_CCP" localSheetId="13">#REF!</definedName>
    <definedName name="CHEQUES_CCP" localSheetId="17">#REF!</definedName>
    <definedName name="CHEQUES_CCP" localSheetId="12">#REF!</definedName>
    <definedName name="CHEQUES_CCP" localSheetId="22">#REF!</definedName>
    <definedName name="CHEQUES_CCP" localSheetId="28">#REF!</definedName>
    <definedName name="CHEQUES_CCP" localSheetId="35">#REF!</definedName>
    <definedName name="CHEQUES_CCP">#REF!</definedName>
    <definedName name="CHEQUES_TG" localSheetId="18">#REF!</definedName>
    <definedName name="CHEQUES_TG" localSheetId="25">#REF!</definedName>
    <definedName name="CHEQUES_TG" localSheetId="29">#REF!</definedName>
    <definedName name="CHEQUES_TG" localSheetId="31">#REF!</definedName>
    <definedName name="CHEQUES_TG" localSheetId="15">#REF!</definedName>
    <definedName name="CHEQUES_TG" localSheetId="13">#REF!</definedName>
    <definedName name="CHEQUES_TG" localSheetId="17">#REF!</definedName>
    <definedName name="CHEQUES_TG" localSheetId="12">#REF!</definedName>
    <definedName name="CHEQUES_TG" localSheetId="22">#REF!</definedName>
    <definedName name="CHEQUES_TG" localSheetId="28">#REF!</definedName>
    <definedName name="CHEQUES_TG" localSheetId="35">#REF!</definedName>
    <definedName name="CHEQUES_TG">#REF!</definedName>
    <definedName name="chf" localSheetId="18">#REF!</definedName>
    <definedName name="chf" localSheetId="25">#REF!</definedName>
    <definedName name="chf" localSheetId="29">#REF!</definedName>
    <definedName name="chf" localSheetId="31">#REF!</definedName>
    <definedName name="chf" localSheetId="15">#REF!</definedName>
    <definedName name="chf" localSheetId="13">#REF!</definedName>
    <definedName name="chf" localSheetId="17">#REF!</definedName>
    <definedName name="chf" localSheetId="12">#REF!</definedName>
    <definedName name="chf" localSheetId="22">#REF!</definedName>
    <definedName name="chf" localSheetId="28">#REF!</definedName>
    <definedName name="chf" localSheetId="35">#REF!</definedName>
    <definedName name="chf">#REF!</definedName>
    <definedName name="CHQ.BQ" localSheetId="18">#REF!</definedName>
    <definedName name="CHQ.BQ" localSheetId="25">#REF!</definedName>
    <definedName name="CHQ.BQ" localSheetId="29">#REF!</definedName>
    <definedName name="CHQ.BQ" localSheetId="31">#REF!</definedName>
    <definedName name="CHQ.BQ" localSheetId="15">#REF!</definedName>
    <definedName name="CHQ.BQ" localSheetId="13">#REF!</definedName>
    <definedName name="CHQ.BQ" localSheetId="17">#REF!</definedName>
    <definedName name="CHQ.BQ" localSheetId="12">#REF!</definedName>
    <definedName name="CHQ.BQ" localSheetId="22">#REF!</definedName>
    <definedName name="CHQ.BQ" localSheetId="28">#REF!</definedName>
    <definedName name="CHQ.BQ" localSheetId="35">#REF!</definedName>
    <definedName name="CHQ.BQ">#REF!</definedName>
    <definedName name="CHQTG">[65]ONPT!$E$25</definedName>
    <definedName name="Cible6" localSheetId="18">#REF!</definedName>
    <definedName name="Cible6" localSheetId="25">#REF!</definedName>
    <definedName name="Cible6" localSheetId="29">#REF!</definedName>
    <definedName name="Cible6" localSheetId="31">#REF!</definedName>
    <definedName name="Cible6" localSheetId="15">#REF!</definedName>
    <definedName name="Cible6" localSheetId="13">#REF!</definedName>
    <definedName name="Cible6" localSheetId="17">#REF!</definedName>
    <definedName name="Cible6" localSheetId="12">#REF!</definedName>
    <definedName name="Cible6" localSheetId="22">#REF!</definedName>
    <definedName name="Cible6" localSheetId="28">#REF!</definedName>
    <definedName name="Cible6" localSheetId="35">#REF!</definedName>
    <definedName name="Cible6">#REF!</definedName>
    <definedName name="Cible6___0">#N/A</definedName>
    <definedName name="Cible6___12">#N/A</definedName>
    <definedName name="Cible6___14">#N/A</definedName>
    <definedName name="Cible6___16">#N/A</definedName>
    <definedName name="Cible6___2">#N/A</definedName>
    <definedName name="Cible6___27">#N/A</definedName>
    <definedName name="Cible6___5">#N/A</definedName>
    <definedName name="CibleV2_1" localSheetId="18">#REF!</definedName>
    <definedName name="CibleV2_1" localSheetId="25">#REF!</definedName>
    <definedName name="CibleV2_1" localSheetId="29">#REF!</definedName>
    <definedName name="CibleV2_1" localSheetId="31">#REF!</definedName>
    <definedName name="CibleV2_1" localSheetId="15">#REF!</definedName>
    <definedName name="CibleV2_1" localSheetId="13">#REF!</definedName>
    <definedName name="CibleV2_1" localSheetId="17">#REF!</definedName>
    <definedName name="CibleV2_1" localSheetId="12">#REF!</definedName>
    <definedName name="CibleV2_1" localSheetId="22">#REF!</definedName>
    <definedName name="CibleV2_1" localSheetId="28">#REF!</definedName>
    <definedName name="CibleV2_1" localSheetId="35">#REF!</definedName>
    <definedName name="CibleV2_1">#REF!</definedName>
    <definedName name="CibleV2_1___0">#N/A</definedName>
    <definedName name="CibleV2_1___12">#N/A</definedName>
    <definedName name="CibleV2_1___14">#N/A</definedName>
    <definedName name="CibleV2_1___16">#N/A</definedName>
    <definedName name="CibleV2_1___2">#N/A</definedName>
    <definedName name="CibleV2_1___27">#N/A</definedName>
    <definedName name="CibleV2_1___5">#N/A</definedName>
    <definedName name="CibleV2_2" localSheetId="18">#REF!</definedName>
    <definedName name="CibleV2_2" localSheetId="25">#REF!</definedName>
    <definedName name="CibleV2_2" localSheetId="29">#REF!</definedName>
    <definedName name="CibleV2_2" localSheetId="31">#REF!</definedName>
    <definedName name="CibleV2_2" localSheetId="15">#REF!</definedName>
    <definedName name="CibleV2_2" localSheetId="13">#REF!</definedName>
    <definedName name="CibleV2_2" localSheetId="17">#REF!</definedName>
    <definedName name="CibleV2_2" localSheetId="12">#REF!</definedName>
    <definedName name="CibleV2_2" localSheetId="22">#REF!</definedName>
    <definedName name="CibleV2_2" localSheetId="28">#REF!</definedName>
    <definedName name="CibleV2_2" localSheetId="35">#REF!</definedName>
    <definedName name="CibleV2_2">#REF!</definedName>
    <definedName name="CibleV2_2___0">#N/A</definedName>
    <definedName name="CibleV2_2___12">#N/A</definedName>
    <definedName name="CibleV2_2___14">#N/A</definedName>
    <definedName name="CibleV2_2___16">#N/A</definedName>
    <definedName name="CibleV2_2___2">#N/A</definedName>
    <definedName name="CibleV2_2___27">#N/A</definedName>
    <definedName name="CibleV2_2___5">#N/A</definedName>
    <definedName name="CibleV2_3" localSheetId="18">#REF!</definedName>
    <definedName name="CibleV2_3" localSheetId="25">#REF!</definedName>
    <definedName name="CibleV2_3" localSheetId="29">#REF!</definedName>
    <definedName name="CibleV2_3" localSheetId="31">#REF!</definedName>
    <definedName name="CibleV2_3" localSheetId="15">#REF!</definedName>
    <definedName name="CibleV2_3" localSheetId="13">#REF!</definedName>
    <definedName name="CibleV2_3" localSheetId="17">#REF!</definedName>
    <definedName name="CibleV2_3" localSheetId="12">#REF!</definedName>
    <definedName name="CibleV2_3" localSheetId="22">#REF!</definedName>
    <definedName name="CibleV2_3" localSheetId="28">#REF!</definedName>
    <definedName name="CibleV2_3" localSheetId="35">#REF!</definedName>
    <definedName name="CibleV2_3">#REF!</definedName>
    <definedName name="CibleV2_3___0">#N/A</definedName>
    <definedName name="CibleV2_3___12">#N/A</definedName>
    <definedName name="CibleV2_3___14">#N/A</definedName>
    <definedName name="CibleV2_3___16">#N/A</definedName>
    <definedName name="CibleV2_3___2">#N/A</definedName>
    <definedName name="CibleV2_3___27">#N/A</definedName>
    <definedName name="CibleV2_3___5">#N/A</definedName>
    <definedName name="CibleV2_4" localSheetId="18">#REF!</definedName>
    <definedName name="CibleV2_4" localSheetId="25">#REF!</definedName>
    <definedName name="CibleV2_4" localSheetId="29">#REF!</definedName>
    <definedName name="CibleV2_4" localSheetId="31">#REF!</definedName>
    <definedName name="CibleV2_4" localSheetId="15">#REF!</definedName>
    <definedName name="CibleV2_4" localSheetId="13">#REF!</definedName>
    <definedName name="CibleV2_4" localSheetId="17">#REF!</definedName>
    <definedName name="CibleV2_4" localSheetId="12">#REF!</definedName>
    <definedName name="CibleV2_4" localSheetId="22">#REF!</definedName>
    <definedName name="CibleV2_4" localSheetId="28">#REF!</definedName>
    <definedName name="CibleV2_4" localSheetId="35">#REF!</definedName>
    <definedName name="CibleV2_4">#REF!</definedName>
    <definedName name="CibleV2_4___0">#N/A</definedName>
    <definedName name="CibleV2_4___12">#N/A</definedName>
    <definedName name="CibleV2_4___14">#N/A</definedName>
    <definedName name="CibleV2_4___16">#N/A</definedName>
    <definedName name="CibleV2_4___2">#N/A</definedName>
    <definedName name="CibleV2_4___27">#N/A</definedName>
    <definedName name="CibleV2_4___5">#N/A</definedName>
    <definedName name="CIS">#N/A</definedName>
    <definedName name="CLEAN">#N/A</definedName>
    <definedName name="CLEAR">#N/A</definedName>
    <definedName name="cloture" localSheetId="18">#REF!</definedName>
    <definedName name="cloture" localSheetId="25">#REF!</definedName>
    <definedName name="cloture" localSheetId="29">#REF!</definedName>
    <definedName name="cloture" localSheetId="31">#REF!</definedName>
    <definedName name="cloture" localSheetId="15">#REF!</definedName>
    <definedName name="cloture" localSheetId="13">#REF!</definedName>
    <definedName name="cloture" localSheetId="17">#REF!</definedName>
    <definedName name="cloture" localSheetId="12">#REF!</definedName>
    <definedName name="cloture" localSheetId="22">#REF!</definedName>
    <definedName name="cloture" localSheetId="28">#REF!</definedName>
    <definedName name="cloture" localSheetId="35">#REF!</definedName>
    <definedName name="cloture">#REF!</definedName>
    <definedName name="code" localSheetId="18">#REF!</definedName>
    <definedName name="code" localSheetId="25">#REF!</definedName>
    <definedName name="code" localSheetId="29">#REF!</definedName>
    <definedName name="code" localSheetId="31">#REF!</definedName>
    <definedName name="code" localSheetId="15">#REF!</definedName>
    <definedName name="code" localSheetId="13">#REF!</definedName>
    <definedName name="code" localSheetId="17">#REF!</definedName>
    <definedName name="code" localSheetId="12">#REF!</definedName>
    <definedName name="code" localSheetId="22">#REF!</definedName>
    <definedName name="code" localSheetId="28">#REF!</definedName>
    <definedName name="code" localSheetId="35">#REF!</definedName>
    <definedName name="code">#REF!</definedName>
    <definedName name="code_RSF" localSheetId="18">#REF!</definedName>
    <definedName name="code_RSF" localSheetId="25">#REF!</definedName>
    <definedName name="code_RSF" localSheetId="29">#REF!</definedName>
    <definedName name="code_RSF" localSheetId="31">#REF!</definedName>
    <definedName name="code_RSF" localSheetId="15">#REF!</definedName>
    <definedName name="code_RSF" localSheetId="13">#REF!</definedName>
    <definedName name="code_RSF" localSheetId="17">#REF!</definedName>
    <definedName name="code_RSF" localSheetId="12">#REF!</definedName>
    <definedName name="code_RSF" localSheetId="22">#REF!</definedName>
    <definedName name="code_RSF" localSheetId="28">#REF!</definedName>
    <definedName name="code_RSF" localSheetId="35">#REF!</definedName>
    <definedName name="code_RSF">#REF!</definedName>
    <definedName name="code_RSM" localSheetId="18">#REF!</definedName>
    <definedName name="code_RSM" localSheetId="25">#REF!</definedName>
    <definedName name="code_RSM" localSheetId="29">#REF!</definedName>
    <definedName name="code_RSM" localSheetId="31">#REF!</definedName>
    <definedName name="code_RSM" localSheetId="15">#REF!</definedName>
    <definedName name="code_RSM" localSheetId="13">#REF!</definedName>
    <definedName name="code_RSM" localSheetId="17">#REF!</definedName>
    <definedName name="code_RSM" localSheetId="12">#REF!</definedName>
    <definedName name="code_RSM" localSheetId="22">#REF!</definedName>
    <definedName name="code_RSM" localSheetId="28">#REF!</definedName>
    <definedName name="code_RSM" localSheetId="35">#REF!</definedName>
    <definedName name="code_RSM">#REF!</definedName>
    <definedName name="Coef">#N/A</definedName>
    <definedName name="COLS">#N/A</definedName>
    <definedName name="Combining" localSheetId="29">#REF!,#REF!,#REF!,#REF!,#REF!,#REF!,#REF!,#REF!,#REF!</definedName>
    <definedName name="Combining" localSheetId="31">#REF!,#REF!,#REF!,#REF!,#REF!,#REF!,#REF!,#REF!,#REF!</definedName>
    <definedName name="Combining" localSheetId="28">#REF!,#REF!,#REF!,#REF!,#REF!,#REF!,#REF!,#REF!,#REF!</definedName>
    <definedName name="Combining" localSheetId="35">#REF!,#REF!,#REF!,#REF!,#REF!,#REF!,#REF!,#REF!,#REF!</definedName>
    <definedName name="Combining">#REF!,#REF!,#REF!,#REF!,#REF!,#REF!,#REF!,#REF!,#REF!</definedName>
    <definedName name="Commande">[25]Ventes!$L$2:$L$18806</definedName>
    <definedName name="Commandes">#N/A</definedName>
    <definedName name="CommandesMois">#N/A</definedName>
    <definedName name="COMMENTAIRES">[84]MODELE!$B$48:$S$59</definedName>
    <definedName name="CommonBTS" localSheetId="29">#REF!</definedName>
    <definedName name="CommonBTS" localSheetId="31">#REF!</definedName>
    <definedName name="CommonBTS" localSheetId="28">#REF!</definedName>
    <definedName name="CommonBTS" localSheetId="35">#REF!</definedName>
    <definedName name="CommonBTS">#REF!</definedName>
    <definedName name="COMMUNES" localSheetId="18">#REF!</definedName>
    <definedName name="COMMUNES" localSheetId="25">#REF!</definedName>
    <definedName name="COMMUNES" localSheetId="29">#REF!</definedName>
    <definedName name="COMMUNES" localSheetId="31">#REF!</definedName>
    <definedName name="COMMUNES" localSheetId="15">#REF!</definedName>
    <definedName name="COMMUNES" localSheetId="13">#REF!</definedName>
    <definedName name="COMMUNES" localSheetId="17">#REF!</definedName>
    <definedName name="COMMUNES" localSheetId="12">#REF!</definedName>
    <definedName name="COMMUNES" localSheetId="22">#REF!</definedName>
    <definedName name="COMMUNES" localSheetId="28">#REF!</definedName>
    <definedName name="COMMUNES" localSheetId="35">#REF!</definedName>
    <definedName name="COMMUNES">#REF!</definedName>
    <definedName name="commut2001" localSheetId="18">[85]MS!#REF!</definedName>
    <definedName name="commut2001" localSheetId="29">[85]MS!#REF!</definedName>
    <definedName name="commut2001" localSheetId="31">[85]MS!#REF!</definedName>
    <definedName name="commut2001" localSheetId="15">[85]MS!#REF!</definedName>
    <definedName name="commut2001" localSheetId="13">[85]MS!#REF!</definedName>
    <definedName name="commut2001" localSheetId="17">[85]MS!#REF!</definedName>
    <definedName name="commut2001" localSheetId="12">[85]MS!#REF!</definedName>
    <definedName name="commut2001" localSheetId="22">[85]MS!#REF!</definedName>
    <definedName name="commut2001" localSheetId="28">[85]MS!#REF!</definedName>
    <definedName name="commut2001" localSheetId="35">[85]MS!#REF!</definedName>
    <definedName name="commut2001">[85]MS!#REF!</definedName>
    <definedName name="Comp" localSheetId="28" hidden="1">{"First Page",#N/A,FALSE,"Surfactants LBO";"Second Page",#N/A,FALSE,"Surfactants LBO"}</definedName>
    <definedName name="Comp" localSheetId="35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nyName1" localSheetId="18" hidden="1">#REF!</definedName>
    <definedName name="CompanyName1" localSheetId="25" hidden="1">#REF!</definedName>
    <definedName name="CompanyName1" localSheetId="29" hidden="1">#REF!</definedName>
    <definedName name="CompanyName1" localSheetId="31" hidden="1">#REF!</definedName>
    <definedName name="CompanyName1" localSheetId="15" hidden="1">#REF!</definedName>
    <definedName name="CompanyName1" localSheetId="13" hidden="1">#REF!</definedName>
    <definedName name="CompanyName1" localSheetId="17" hidden="1">#REF!</definedName>
    <definedName name="CompanyName1" localSheetId="12" hidden="1">#REF!</definedName>
    <definedName name="CompanyName1" localSheetId="22" hidden="1">#REF!</definedName>
    <definedName name="CompanyName1" localSheetId="28" hidden="1">#REF!</definedName>
    <definedName name="CompanyName1" localSheetId="35" hidden="1">#REF!</definedName>
    <definedName name="CompanyName1" hidden="1">#REF!</definedName>
    <definedName name="CompanyName2" localSheetId="18" hidden="1">#REF!</definedName>
    <definedName name="CompanyName2" localSheetId="25" hidden="1">#REF!</definedName>
    <definedName name="CompanyName2" localSheetId="29" hidden="1">#REF!</definedName>
    <definedName name="CompanyName2" localSheetId="31" hidden="1">#REF!</definedName>
    <definedName name="CompanyName2" localSheetId="15" hidden="1">#REF!</definedName>
    <definedName name="CompanyName2" localSheetId="13" hidden="1">#REF!</definedName>
    <definedName name="CompanyName2" localSheetId="17" hidden="1">#REF!</definedName>
    <definedName name="CompanyName2" localSheetId="12" hidden="1">#REF!</definedName>
    <definedName name="CompanyName2" localSheetId="22" hidden="1">#REF!</definedName>
    <definedName name="CompanyName2" localSheetId="28" hidden="1">#REF!</definedName>
    <definedName name="CompanyName2" localSheetId="35" hidden="1">#REF!</definedName>
    <definedName name="CompanyName2" hidden="1">#REF!</definedName>
    <definedName name="CompanyName3" localSheetId="18" hidden="1">#REF!</definedName>
    <definedName name="CompanyName3" localSheetId="25" hidden="1">#REF!</definedName>
    <definedName name="CompanyName3" localSheetId="29" hidden="1">#REF!</definedName>
    <definedName name="CompanyName3" localSheetId="31" hidden="1">#REF!</definedName>
    <definedName name="CompanyName3" localSheetId="15" hidden="1">#REF!</definedName>
    <definedName name="CompanyName3" localSheetId="13" hidden="1">#REF!</definedName>
    <definedName name="CompanyName3" localSheetId="17" hidden="1">#REF!</definedName>
    <definedName name="CompanyName3" localSheetId="12" hidden="1">#REF!</definedName>
    <definedName name="CompanyName3" localSheetId="22" hidden="1">#REF!</definedName>
    <definedName name="CompanyName3" localSheetId="28" hidden="1">#REF!</definedName>
    <definedName name="CompanyName3" localSheetId="35" hidden="1">#REF!</definedName>
    <definedName name="CompanyName3" hidden="1">#REF!</definedName>
    <definedName name="Comparable" localSheetId="28" hidden="1">{"First Page",#N/A,FALSE,"Surfactants LBO";"Second Page",#N/A,FALSE,"Surfactants LBO"}</definedName>
    <definedName name="Comparable" localSheetId="35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Range1" hidden="1">#N/A</definedName>
    <definedName name="CompRange1Main" localSheetId="18" hidden="1">#REF!</definedName>
    <definedName name="CompRange1Main" localSheetId="25" hidden="1">#REF!</definedName>
    <definedName name="CompRange1Main" localSheetId="29" hidden="1">#REF!</definedName>
    <definedName name="CompRange1Main" localSheetId="31" hidden="1">#REF!</definedName>
    <definedName name="CompRange1Main" localSheetId="15" hidden="1">#REF!</definedName>
    <definedName name="CompRange1Main" localSheetId="13" hidden="1">#REF!</definedName>
    <definedName name="CompRange1Main" localSheetId="17" hidden="1">#REF!</definedName>
    <definedName name="CompRange1Main" localSheetId="12" hidden="1">#REF!</definedName>
    <definedName name="CompRange1Main" localSheetId="22" hidden="1">#REF!</definedName>
    <definedName name="CompRange1Main" localSheetId="28" hidden="1">#REF!</definedName>
    <definedName name="CompRange1Main" localSheetId="35" hidden="1">#REF!</definedName>
    <definedName name="CompRange1Main" hidden="1">#REF!</definedName>
    <definedName name="CompRange2" hidden="1">#N/A</definedName>
    <definedName name="CompRange2Main" localSheetId="18" hidden="1">#REF!</definedName>
    <definedName name="CompRange2Main" localSheetId="25" hidden="1">#REF!</definedName>
    <definedName name="CompRange2Main" localSheetId="29" hidden="1">#REF!</definedName>
    <definedName name="CompRange2Main" localSheetId="31" hidden="1">#REF!</definedName>
    <definedName name="CompRange2Main" localSheetId="15" hidden="1">#REF!</definedName>
    <definedName name="CompRange2Main" localSheetId="13" hidden="1">#REF!</definedName>
    <definedName name="CompRange2Main" localSheetId="17" hidden="1">#REF!</definedName>
    <definedName name="CompRange2Main" localSheetId="12" hidden="1">#REF!</definedName>
    <definedName name="CompRange2Main" localSheetId="22" hidden="1">#REF!</definedName>
    <definedName name="CompRange2Main" localSheetId="28" hidden="1">#REF!</definedName>
    <definedName name="CompRange2Main" localSheetId="35" hidden="1">#REF!</definedName>
    <definedName name="CompRange2Main" hidden="1">#REF!</definedName>
    <definedName name="CompRange3" hidden="1">#N/A</definedName>
    <definedName name="CompRange3Main" localSheetId="18" hidden="1">#REF!</definedName>
    <definedName name="CompRange3Main" localSheetId="25" hidden="1">#REF!</definedName>
    <definedName name="CompRange3Main" localSheetId="29" hidden="1">#REF!</definedName>
    <definedName name="CompRange3Main" localSheetId="31" hidden="1">#REF!</definedName>
    <definedName name="CompRange3Main" localSheetId="15" hidden="1">#REF!</definedName>
    <definedName name="CompRange3Main" localSheetId="13" hidden="1">#REF!</definedName>
    <definedName name="CompRange3Main" localSheetId="17" hidden="1">#REF!</definedName>
    <definedName name="CompRange3Main" localSheetId="12" hidden="1">#REF!</definedName>
    <definedName name="CompRange3Main" localSheetId="22" hidden="1">#REF!</definedName>
    <definedName name="CompRange3Main" localSheetId="28" hidden="1">#REF!</definedName>
    <definedName name="CompRange3Main" localSheetId="35" hidden="1">#REF!</definedName>
    <definedName name="CompRange3Main" hidden="1">#REF!</definedName>
    <definedName name="compta" localSheetId="18">#REF!</definedName>
    <definedName name="compta" localSheetId="25">#REF!</definedName>
    <definedName name="compta" localSheetId="29">#REF!</definedName>
    <definedName name="compta" localSheetId="31">#REF!</definedName>
    <definedName name="compta" localSheetId="15">#REF!</definedName>
    <definedName name="compta" localSheetId="13">#REF!</definedName>
    <definedName name="compta" localSheetId="17">#REF!</definedName>
    <definedName name="compta" localSheetId="12">#REF!</definedName>
    <definedName name="compta" localSheetId="22">#REF!</definedName>
    <definedName name="compta" localSheetId="28">#REF!</definedName>
    <definedName name="compta" localSheetId="35">#REF!</definedName>
    <definedName name="compta">#REF!</definedName>
    <definedName name="COMTAX">0.01</definedName>
    <definedName name="conso" localSheetId="18">#REF!</definedName>
    <definedName name="conso" localSheetId="25">#REF!</definedName>
    <definedName name="conso" localSheetId="29">#REF!</definedName>
    <definedName name="conso" localSheetId="31">#REF!</definedName>
    <definedName name="conso" localSheetId="15">#REF!</definedName>
    <definedName name="conso" localSheetId="13">#REF!</definedName>
    <definedName name="conso" localSheetId="17">#REF!</definedName>
    <definedName name="conso" localSheetId="12">#REF!</definedName>
    <definedName name="conso" localSheetId="22">#REF!</definedName>
    <definedName name="conso" localSheetId="28">#REF!</definedName>
    <definedName name="conso" localSheetId="35">#REF!</definedName>
    <definedName name="conso">#REF!</definedName>
    <definedName name="CONSOLID" localSheetId="18">#REF!</definedName>
    <definedName name="CONSOLID" localSheetId="25">#REF!</definedName>
    <definedName name="CONSOLID" localSheetId="29">#REF!</definedName>
    <definedName name="CONSOLID" localSheetId="31">#REF!</definedName>
    <definedName name="CONSOLID" localSheetId="15">#REF!</definedName>
    <definedName name="CONSOLID" localSheetId="13">#REF!</definedName>
    <definedName name="CONSOLID" localSheetId="17">#REF!</definedName>
    <definedName name="CONSOLID" localSheetId="12">#REF!</definedName>
    <definedName name="CONSOLID" localSheetId="22">#REF!</definedName>
    <definedName name="CONSOLID" localSheetId="28">#REF!</definedName>
    <definedName name="CONSOLID" localSheetId="35">#REF!</definedName>
    <definedName name="CONSOLID">#REF!</definedName>
    <definedName name="consultant_salary" localSheetId="18">#REF!</definedName>
    <definedName name="consultant_salary" localSheetId="25">#REF!</definedName>
    <definedName name="consultant_salary" localSheetId="29">#REF!</definedName>
    <definedName name="consultant_salary" localSheetId="31">#REF!</definedName>
    <definedName name="consultant_salary" localSheetId="15">#REF!</definedName>
    <definedName name="consultant_salary" localSheetId="13">#REF!</definedName>
    <definedName name="consultant_salary" localSheetId="17">#REF!</definedName>
    <definedName name="consultant_salary" localSheetId="12">#REF!</definedName>
    <definedName name="consultant_salary" localSheetId="22">#REF!</definedName>
    <definedName name="consultant_salary" localSheetId="28">#REF!</definedName>
    <definedName name="consultant_salary" localSheetId="35">#REF!</definedName>
    <definedName name="consultant_salary">#REF!</definedName>
    <definedName name="ContentsHelp" localSheetId="28">#N/A</definedName>
    <definedName name="ContentsHelp" localSheetId="35">'Taxe 5%'!ContentsHelp</definedName>
    <definedName name="ContentsHelp">'Taxe 5%'!ContentsHelp</definedName>
    <definedName name="CONTRATS_INSTANCE">#N/A</definedName>
    <definedName name="cooper2" localSheetId="28" hidden="1">{#N/A,#N/A,TRUE,"Pro Forma";#N/A,#N/A,TRUE,"PF_Bal";#N/A,#N/A,TRUE,"PF_INC";#N/A,#N/A,TRUE,"CBE";#N/A,#N/A,TRUE,"SWK"}</definedName>
    <definedName name="cooper2" localSheetId="35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 localSheetId="18">#REF!</definedName>
    <definedName name="cop_h1" localSheetId="25">#REF!</definedName>
    <definedName name="cop_h1" localSheetId="29">#REF!</definedName>
    <definedName name="cop_h1" localSheetId="31">#REF!</definedName>
    <definedName name="cop_h1" localSheetId="15">#REF!</definedName>
    <definedName name="cop_h1" localSheetId="13">#REF!</definedName>
    <definedName name="cop_h1" localSheetId="17">#REF!</definedName>
    <definedName name="cop_h1" localSheetId="12">#REF!</definedName>
    <definedName name="cop_h1" localSheetId="22">#REF!</definedName>
    <definedName name="cop_h1" localSheetId="28">#REF!</definedName>
    <definedName name="cop_h1" localSheetId="35">#REF!</definedName>
    <definedName name="cop_h1">#REF!</definedName>
    <definedName name="CORP" localSheetId="29">#REF!</definedName>
    <definedName name="CORP" localSheetId="31">#REF!</definedName>
    <definedName name="CORP" localSheetId="28">#REF!</definedName>
    <definedName name="CORP" localSheetId="35">#REF!</definedName>
    <definedName name="CORP">#REF!</definedName>
    <definedName name="CORPORATE">#N/A</definedName>
    <definedName name="CorrectSaisonEnt" localSheetId="18">#REF!</definedName>
    <definedName name="CorrectSaisonEnt" localSheetId="25">#REF!</definedName>
    <definedName name="CorrectSaisonEnt" localSheetId="29">#REF!</definedName>
    <definedName name="CorrectSaisonEnt" localSheetId="31">#REF!</definedName>
    <definedName name="CorrectSaisonEnt" localSheetId="15">#REF!</definedName>
    <definedName name="CorrectSaisonEnt" localSheetId="13">#REF!</definedName>
    <definedName name="CorrectSaisonEnt" localSheetId="17">#REF!</definedName>
    <definedName name="CorrectSaisonEnt" localSheetId="12">#REF!</definedName>
    <definedName name="CorrectSaisonEnt" localSheetId="22">#REF!</definedName>
    <definedName name="CorrectSaisonEnt" localSheetId="28">#REF!</definedName>
    <definedName name="CorrectSaisonEnt" localSheetId="35">#REF!</definedName>
    <definedName name="CorrectSaisonEnt">#REF!</definedName>
    <definedName name="CorrectSaisonEnt___0">#N/A</definedName>
    <definedName name="CorrectSaisonEnt___12">#N/A</definedName>
    <definedName name="CorrectSaisonEnt___2">#N/A</definedName>
    <definedName name="CorrectSaisonEnt___27">#N/A</definedName>
    <definedName name="CorrectSaisonEnt___5">#N/A</definedName>
    <definedName name="CorrectSaisonPGP" localSheetId="18">#REF!</definedName>
    <definedName name="CorrectSaisonPGP" localSheetId="25">#REF!</definedName>
    <definedName name="CorrectSaisonPGP" localSheetId="29">#REF!</definedName>
    <definedName name="CorrectSaisonPGP" localSheetId="31">#REF!</definedName>
    <definedName name="CorrectSaisonPGP" localSheetId="15">#REF!</definedName>
    <definedName name="CorrectSaisonPGP" localSheetId="13">#REF!</definedName>
    <definedName name="CorrectSaisonPGP" localSheetId="17">#REF!</definedName>
    <definedName name="CorrectSaisonPGP" localSheetId="12">#REF!</definedName>
    <definedName name="CorrectSaisonPGP" localSheetId="22">#REF!</definedName>
    <definedName name="CorrectSaisonPGP" localSheetId="28">#REF!</definedName>
    <definedName name="CorrectSaisonPGP" localSheetId="35">#REF!</definedName>
    <definedName name="CorrectSaisonPGP">#REF!</definedName>
    <definedName name="CorrectSaisonPGP___0">#N/A</definedName>
    <definedName name="CorrectSaisonPGP___12">#N/A</definedName>
    <definedName name="CorrectSaisonPGP___2">#N/A</definedName>
    <definedName name="CorrectSaisonPGP___27">#N/A</definedName>
    <definedName name="CorrectSaisonPGP___5">#N/A</definedName>
    <definedName name="cose" localSheetId="18">#REF!</definedName>
    <definedName name="cose" localSheetId="25">#REF!</definedName>
    <definedName name="cose" localSheetId="29">#REF!</definedName>
    <definedName name="cose" localSheetId="31">#REF!</definedName>
    <definedName name="cose" localSheetId="15">#REF!</definedName>
    <definedName name="cose" localSheetId="13">#REF!</definedName>
    <definedName name="cose" localSheetId="17">#REF!</definedName>
    <definedName name="cose" localSheetId="12">#REF!</definedName>
    <definedName name="cose" localSheetId="22">#REF!</definedName>
    <definedName name="cose" localSheetId="28">#REF!</definedName>
    <definedName name="cose" localSheetId="35">#REF!</definedName>
    <definedName name="cose">#REF!</definedName>
    <definedName name="coucou" localSheetId="28" hidden="1">{#N/A,#N/A,TRUE,"Cover sheet";#N/A,#N/A,TRUE,"INPUTS";#N/A,#N/A,TRUE,"OUTPUTS";#N/A,#N/A,TRUE,"VALUATION"}</definedName>
    <definedName name="coucou" localSheetId="35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tryRiskPremium" localSheetId="18">#REF!</definedName>
    <definedName name="CountryRiskPremium" localSheetId="25">#REF!</definedName>
    <definedName name="CountryRiskPremium" localSheetId="29">#REF!</definedName>
    <definedName name="CountryRiskPremium" localSheetId="31">#REF!</definedName>
    <definedName name="CountryRiskPremium" localSheetId="15">#REF!</definedName>
    <definedName name="CountryRiskPremium" localSheetId="13">#REF!</definedName>
    <definedName name="CountryRiskPremium" localSheetId="17">#REF!</definedName>
    <definedName name="CountryRiskPremium" localSheetId="12">#REF!</definedName>
    <definedName name="CountryRiskPremium" localSheetId="22">#REF!</definedName>
    <definedName name="CountryRiskPremium" localSheetId="28">#REF!</definedName>
    <definedName name="CountryRiskPremium" localSheetId="35">#REF!</definedName>
    <definedName name="CountryRiskPremium">#REF!</definedName>
    <definedName name="CountryRiskPremium___0">#N/A</definedName>
    <definedName name="CountryRiskPremium___12">#N/A</definedName>
    <definedName name="CountryRiskPremium___14">#N/A</definedName>
    <definedName name="CountryRiskPremium___16">#N/A</definedName>
    <definedName name="CountryRiskPremium___2">#N/A</definedName>
    <definedName name="CountryRiskPremium___25">#N/A</definedName>
    <definedName name="CountryRiskPremium___26">#N/A</definedName>
    <definedName name="CountryRiskPremium___27">#N/A</definedName>
    <definedName name="CountryRiskPremium___4">#N/A</definedName>
    <definedName name="CountryRiskPremium___5">#N/A</definedName>
    <definedName name="CountryRiskPremium___7">#N/A</definedName>
    <definedName name="cours" localSheetId="18">#REF!</definedName>
    <definedName name="cours" localSheetId="25">#REF!</definedName>
    <definedName name="cours" localSheetId="29">#REF!</definedName>
    <definedName name="cours" localSheetId="31">#REF!</definedName>
    <definedName name="cours" localSheetId="15">#REF!</definedName>
    <definedName name="cours" localSheetId="13">#REF!</definedName>
    <definedName name="cours" localSheetId="17">#REF!</definedName>
    <definedName name="cours" localSheetId="12">#REF!</definedName>
    <definedName name="cours" localSheetId="22">#REF!</definedName>
    <definedName name="cours" localSheetId="28">#REF!</definedName>
    <definedName name="cours" localSheetId="35">#REF!</definedName>
    <definedName name="cours">#REF!</definedName>
    <definedName name="cours___0">#N/A</definedName>
    <definedName name="cours___12">#N/A</definedName>
    <definedName name="CPI_Cost_Perf_Index" localSheetId="29">#REF!</definedName>
    <definedName name="CPI_Cost_Perf_Index" localSheetId="31">#REF!</definedName>
    <definedName name="CPI_Cost_Perf_Index" localSheetId="28">#REF!</definedName>
    <definedName name="CPI_Cost_Perf_Index" localSheetId="35">#REF!</definedName>
    <definedName name="CPI_Cost_Perf_Index">#REF!</definedName>
    <definedName name="CreateTable" localSheetId="28">#N/A</definedName>
    <definedName name="CreateTable" localSheetId="35">'Taxe 5%'!CreateTable</definedName>
    <definedName name="CreateTable">'Taxe 5%'!CreateTable</definedName>
    <definedName name="CREATION">#N/A</definedName>
    <definedName name="CREDBO">[65]ONPT!$H$24</definedName>
    <definedName name="CREDIT_DU_MAROC" localSheetId="18">#REF!</definedName>
    <definedName name="CREDIT_DU_MAROC" localSheetId="25">#REF!</definedName>
    <definedName name="CREDIT_DU_MAROC" localSheetId="29">#REF!</definedName>
    <definedName name="CREDIT_DU_MAROC" localSheetId="31">#REF!</definedName>
    <definedName name="CREDIT_DU_MAROC" localSheetId="15">#REF!</definedName>
    <definedName name="CREDIT_DU_MAROC" localSheetId="13">#REF!</definedName>
    <definedName name="CREDIT_DU_MAROC" localSheetId="17">#REF!</definedName>
    <definedName name="CREDIT_DU_MAROC" localSheetId="12">#REF!</definedName>
    <definedName name="CREDIT_DU_MAROC" localSheetId="22">#REF!</definedName>
    <definedName name="CREDIT_DU_MAROC" localSheetId="28">#REF!</definedName>
    <definedName name="CREDIT_DU_MAROC" localSheetId="35">#REF!</definedName>
    <definedName name="CREDIT_DU_MAROC">#REF!</definedName>
    <definedName name="CREDOC_BO" localSheetId="18">#REF!</definedName>
    <definedName name="CREDOC_BO" localSheetId="25">#REF!</definedName>
    <definedName name="CREDOC_BO" localSheetId="29">#REF!</definedName>
    <definedName name="CREDOC_BO" localSheetId="31">#REF!</definedName>
    <definedName name="CREDOC_BO" localSheetId="15">#REF!</definedName>
    <definedName name="CREDOC_BO" localSheetId="13">#REF!</definedName>
    <definedName name="CREDOC_BO" localSheetId="17">#REF!</definedName>
    <definedName name="CREDOC_BO" localSheetId="12">#REF!</definedName>
    <definedName name="CREDOC_BO" localSheetId="22">#REF!</definedName>
    <definedName name="CREDOC_BO" localSheetId="28">#REF!</definedName>
    <definedName name="CREDOC_BO" localSheetId="35">#REF!</definedName>
    <definedName name="CREDOC_BO">#REF!</definedName>
    <definedName name="_xlnm.Criteria" localSheetId="18">[85]MS!#REF!</definedName>
    <definedName name="_xlnm.Criteria" localSheetId="29">[85]MS!#REF!</definedName>
    <definedName name="_xlnm.Criteria" localSheetId="31">[85]MS!#REF!</definedName>
    <definedName name="_xlnm.Criteria" localSheetId="15">[85]MS!#REF!</definedName>
    <definedName name="_xlnm.Criteria" localSheetId="13">[85]MS!#REF!</definedName>
    <definedName name="_xlnm.Criteria" localSheetId="19">[85]MS!#REF!</definedName>
    <definedName name="_xlnm.Criteria" localSheetId="17">[85]MS!#REF!</definedName>
    <definedName name="_xlnm.Criteria" localSheetId="12">[85]MS!#REF!</definedName>
    <definedName name="_xlnm.Criteria" localSheetId="22">[85]MS!#REF!</definedName>
    <definedName name="_xlnm.Criteria" localSheetId="28">[85]MS!#REF!</definedName>
    <definedName name="_xlnm.Criteria" localSheetId="35">[85]MS!#REF!</definedName>
    <definedName name="_xlnm.Criteria">[85]MS!#REF!</definedName>
    <definedName name="CSDCDS" hidden="1">[86]AW!$E$11:$E$24</definedName>
    <definedName name="csDE_CAPEX_Dim01">"="</definedName>
    <definedName name="csDE_CAPEX_Dim02" localSheetId="18">#REF!</definedName>
    <definedName name="csDE_CAPEX_Dim02" localSheetId="25">#REF!</definedName>
    <definedName name="csDE_CAPEX_Dim02" localSheetId="29">#REF!</definedName>
    <definedName name="csDE_CAPEX_Dim02" localSheetId="31">#REF!</definedName>
    <definedName name="csDE_CAPEX_Dim02" localSheetId="15">#REF!</definedName>
    <definedName name="csDE_CAPEX_Dim02" localSheetId="13">#REF!</definedName>
    <definedName name="csDE_CAPEX_Dim02" localSheetId="17">#REF!</definedName>
    <definedName name="csDE_CAPEX_Dim02" localSheetId="12">#REF!</definedName>
    <definedName name="csDE_CAPEX_Dim02" localSheetId="22">#REF!</definedName>
    <definedName name="csDE_CAPEX_Dim02" localSheetId="28">#REF!</definedName>
    <definedName name="csDE_CAPEX_Dim02" localSheetId="35">#REF!</definedName>
    <definedName name="csDE_CAPEX_Dim02">#REF!</definedName>
    <definedName name="csDE_CAPEX_Dim03">"="</definedName>
    <definedName name="csDE_CAPEX_Dim04" localSheetId="18">#REF!</definedName>
    <definedName name="csDE_CAPEX_Dim04" localSheetId="25">#REF!</definedName>
    <definedName name="csDE_CAPEX_Dim04" localSheetId="29">#REF!</definedName>
    <definedName name="csDE_CAPEX_Dim04" localSheetId="31">#REF!</definedName>
    <definedName name="csDE_CAPEX_Dim04" localSheetId="15">#REF!</definedName>
    <definedName name="csDE_CAPEX_Dim04" localSheetId="13">#REF!</definedName>
    <definedName name="csDE_CAPEX_Dim04" localSheetId="17">#REF!</definedName>
    <definedName name="csDE_CAPEX_Dim04" localSheetId="12">#REF!</definedName>
    <definedName name="csDE_CAPEX_Dim04" localSheetId="22">#REF!</definedName>
    <definedName name="csDE_CAPEX_Dim04" localSheetId="28">#REF!</definedName>
    <definedName name="csDE_CAPEX_Dim04" localSheetId="35">#REF!</definedName>
    <definedName name="csDE_CAPEX_Dim04">#REF!</definedName>
    <definedName name="csDE_CAPEX_Dim05" localSheetId="18">#REF!</definedName>
    <definedName name="csDE_CAPEX_Dim05" localSheetId="25">#REF!</definedName>
    <definedName name="csDE_CAPEX_Dim05" localSheetId="29">#REF!</definedName>
    <definedName name="csDE_CAPEX_Dim05" localSheetId="31">#REF!</definedName>
    <definedName name="csDE_CAPEX_Dim05" localSheetId="15">#REF!</definedName>
    <definedName name="csDE_CAPEX_Dim05" localSheetId="13">#REF!</definedName>
    <definedName name="csDE_CAPEX_Dim05" localSheetId="17">#REF!</definedName>
    <definedName name="csDE_CAPEX_Dim05" localSheetId="12">#REF!</definedName>
    <definedName name="csDE_CAPEX_Dim05" localSheetId="22">#REF!</definedName>
    <definedName name="csDE_CAPEX_Dim05" localSheetId="28">#REF!</definedName>
    <definedName name="csDE_CAPEX_Dim05" localSheetId="35">#REF!</definedName>
    <definedName name="csDE_CAPEX_Dim05">#REF!</definedName>
    <definedName name="csDE_CAPEX_Dim06" localSheetId="18">#REF!</definedName>
    <definedName name="csDE_CAPEX_Dim06" localSheetId="25">#REF!</definedName>
    <definedName name="csDE_CAPEX_Dim06" localSheetId="29">#REF!</definedName>
    <definedName name="csDE_CAPEX_Dim06" localSheetId="31">#REF!</definedName>
    <definedName name="csDE_CAPEX_Dim06" localSheetId="15">#REF!</definedName>
    <definedName name="csDE_CAPEX_Dim06" localSheetId="13">#REF!</definedName>
    <definedName name="csDE_CAPEX_Dim06" localSheetId="17">#REF!</definedName>
    <definedName name="csDE_CAPEX_Dim06" localSheetId="12">#REF!</definedName>
    <definedName name="csDE_CAPEX_Dim06" localSheetId="22">#REF!</definedName>
    <definedName name="csDE_CAPEX_Dim06" localSheetId="28">#REF!</definedName>
    <definedName name="csDE_CAPEX_Dim06" localSheetId="35">#REF!</definedName>
    <definedName name="csDE_CAPEX_Dim06">#REF!</definedName>
    <definedName name="csDE_CAPEX_Dim07" localSheetId="18">#REF!</definedName>
    <definedName name="csDE_CAPEX_Dim07" localSheetId="25">#REF!</definedName>
    <definedName name="csDE_CAPEX_Dim07" localSheetId="29">#REF!</definedName>
    <definedName name="csDE_CAPEX_Dim07" localSheetId="31">#REF!</definedName>
    <definedName name="csDE_CAPEX_Dim07" localSheetId="15">#REF!</definedName>
    <definedName name="csDE_CAPEX_Dim07" localSheetId="13">#REF!</definedName>
    <definedName name="csDE_CAPEX_Dim07" localSheetId="17">#REF!</definedName>
    <definedName name="csDE_CAPEX_Dim07" localSheetId="12">#REF!</definedName>
    <definedName name="csDE_CAPEX_Dim07" localSheetId="22">#REF!</definedName>
    <definedName name="csDE_CAPEX_Dim07" localSheetId="28">#REF!</definedName>
    <definedName name="csDE_CAPEX_Dim07" localSheetId="35">#REF!</definedName>
    <definedName name="csDE_CAPEX_Dim07">#REF!</definedName>
    <definedName name="csDE_CAPEX_Dim08" localSheetId="18">#REF!</definedName>
    <definedName name="csDE_CAPEX_Dim08" localSheetId="25">#REF!</definedName>
    <definedName name="csDE_CAPEX_Dim08" localSheetId="29">#REF!</definedName>
    <definedName name="csDE_CAPEX_Dim08" localSheetId="31">#REF!</definedName>
    <definedName name="csDE_CAPEX_Dim08" localSheetId="15">#REF!</definedName>
    <definedName name="csDE_CAPEX_Dim08" localSheetId="13">#REF!</definedName>
    <definedName name="csDE_CAPEX_Dim08" localSheetId="17">#REF!</definedName>
    <definedName name="csDE_CAPEX_Dim08" localSheetId="12">#REF!</definedName>
    <definedName name="csDE_CAPEX_Dim08" localSheetId="22">#REF!</definedName>
    <definedName name="csDE_CAPEX_Dim08" localSheetId="28">#REF!</definedName>
    <definedName name="csDE_CAPEX_Dim08" localSheetId="35">#REF!</definedName>
    <definedName name="csDE_CAPEX_Dim08">#REF!</definedName>
    <definedName name="csDE_CAPEX_Dim09" localSheetId="18">#REF!</definedName>
    <definedName name="csDE_CAPEX_Dim09" localSheetId="25">#REF!</definedName>
    <definedName name="csDE_CAPEX_Dim09" localSheetId="29">#REF!</definedName>
    <definedName name="csDE_CAPEX_Dim09" localSheetId="31">#REF!</definedName>
    <definedName name="csDE_CAPEX_Dim09" localSheetId="15">#REF!</definedName>
    <definedName name="csDE_CAPEX_Dim09" localSheetId="13">#REF!</definedName>
    <definedName name="csDE_CAPEX_Dim09" localSheetId="17">#REF!</definedName>
    <definedName name="csDE_CAPEX_Dim09" localSheetId="12">#REF!</definedName>
    <definedName name="csDE_CAPEX_Dim09" localSheetId="22">#REF!</definedName>
    <definedName name="csDE_CAPEX_Dim09" localSheetId="28">#REF!</definedName>
    <definedName name="csDE_CAPEX_Dim09" localSheetId="35">#REF!</definedName>
    <definedName name="csDE_CAPEX_Dim09">#REF!</definedName>
    <definedName name="csDE_CAPEX_Dim10" localSheetId="18">#REF!</definedName>
    <definedName name="csDE_CAPEX_Dim10" localSheetId="25">#REF!</definedName>
    <definedName name="csDE_CAPEX_Dim10" localSheetId="29">#REF!</definedName>
    <definedName name="csDE_CAPEX_Dim10" localSheetId="31">#REF!</definedName>
    <definedName name="csDE_CAPEX_Dim10" localSheetId="15">#REF!</definedName>
    <definedName name="csDE_CAPEX_Dim10" localSheetId="13">#REF!</definedName>
    <definedName name="csDE_CAPEX_Dim10" localSheetId="17">#REF!</definedName>
    <definedName name="csDE_CAPEX_Dim10" localSheetId="12">#REF!</definedName>
    <definedName name="csDE_CAPEX_Dim10" localSheetId="22">#REF!</definedName>
    <definedName name="csDE_CAPEX_Dim10" localSheetId="28">#REF!</definedName>
    <definedName name="csDE_CAPEX_Dim10" localSheetId="35">#REF!</definedName>
    <definedName name="csDE_CAPEX_Dim10">#REF!</definedName>
    <definedName name="csDE_CAPEX_Dim11" localSheetId="18">#REF!</definedName>
    <definedName name="csDE_CAPEX_Dim11" localSheetId="25">#REF!</definedName>
    <definedName name="csDE_CAPEX_Dim11" localSheetId="29">#REF!</definedName>
    <definedName name="csDE_CAPEX_Dim11" localSheetId="31">#REF!</definedName>
    <definedName name="csDE_CAPEX_Dim11" localSheetId="15">#REF!</definedName>
    <definedName name="csDE_CAPEX_Dim11" localSheetId="13">#REF!</definedName>
    <definedName name="csDE_CAPEX_Dim11" localSheetId="17">#REF!</definedName>
    <definedName name="csDE_CAPEX_Dim11" localSheetId="12">#REF!</definedName>
    <definedName name="csDE_CAPEX_Dim11" localSheetId="22">#REF!</definedName>
    <definedName name="csDE_CAPEX_Dim11" localSheetId="28">#REF!</definedName>
    <definedName name="csDE_CAPEX_Dim11" localSheetId="35">#REF!</definedName>
    <definedName name="csDE_CAPEX_Dim11">#REF!</definedName>
    <definedName name="csDE_CAPEX_Dim12" localSheetId="18">#REF!</definedName>
    <definedName name="csDE_CAPEX_Dim12" localSheetId="25">#REF!</definedName>
    <definedName name="csDE_CAPEX_Dim12" localSheetId="29">#REF!</definedName>
    <definedName name="csDE_CAPEX_Dim12" localSheetId="31">#REF!</definedName>
    <definedName name="csDE_CAPEX_Dim12" localSheetId="15">#REF!</definedName>
    <definedName name="csDE_CAPEX_Dim12" localSheetId="13">#REF!</definedName>
    <definedName name="csDE_CAPEX_Dim12" localSheetId="17">#REF!</definedName>
    <definedName name="csDE_CAPEX_Dim12" localSheetId="12">#REF!</definedName>
    <definedName name="csDE_CAPEX_Dim12" localSheetId="22">#REF!</definedName>
    <definedName name="csDE_CAPEX_Dim12" localSheetId="28">#REF!</definedName>
    <definedName name="csDE_CAPEX_Dim12" localSheetId="35">#REF!</definedName>
    <definedName name="csDE_CAPEX_Dim12">#REF!</definedName>
    <definedName name="csDE_CAPEX_Dim13" localSheetId="18">#REF!</definedName>
    <definedName name="csDE_CAPEX_Dim13" localSheetId="25">#REF!</definedName>
    <definedName name="csDE_CAPEX_Dim13" localSheetId="29">#REF!</definedName>
    <definedName name="csDE_CAPEX_Dim13" localSheetId="31">#REF!</definedName>
    <definedName name="csDE_CAPEX_Dim13" localSheetId="15">#REF!</definedName>
    <definedName name="csDE_CAPEX_Dim13" localSheetId="13">#REF!</definedName>
    <definedName name="csDE_CAPEX_Dim13" localSheetId="17">#REF!</definedName>
    <definedName name="csDE_CAPEX_Dim13" localSheetId="12">#REF!</definedName>
    <definedName name="csDE_CAPEX_Dim13" localSheetId="22">#REF!</definedName>
    <definedName name="csDE_CAPEX_Dim13" localSheetId="28">#REF!</definedName>
    <definedName name="csDE_CAPEX_Dim13" localSheetId="35">#REF!</definedName>
    <definedName name="csDE_CAPEX_Dim13">#REF!</definedName>
    <definedName name="csDE_CAPEX_Dim14" localSheetId="18">#REF!</definedName>
    <definedName name="csDE_CAPEX_Dim14" localSheetId="25">#REF!</definedName>
    <definedName name="csDE_CAPEX_Dim14" localSheetId="29">#REF!</definedName>
    <definedName name="csDE_CAPEX_Dim14" localSheetId="31">#REF!</definedName>
    <definedName name="csDE_CAPEX_Dim14" localSheetId="15">#REF!</definedName>
    <definedName name="csDE_CAPEX_Dim14" localSheetId="13">#REF!</definedName>
    <definedName name="csDE_CAPEX_Dim14" localSheetId="17">#REF!</definedName>
    <definedName name="csDE_CAPEX_Dim14" localSheetId="12">#REF!</definedName>
    <definedName name="csDE_CAPEX_Dim14" localSheetId="22">#REF!</definedName>
    <definedName name="csDE_CAPEX_Dim14" localSheetId="28">#REF!</definedName>
    <definedName name="csDE_CAPEX_Dim14" localSheetId="35">#REF!</definedName>
    <definedName name="csDE_CAPEX_Dim14">#REF!</definedName>
    <definedName name="csDE_CAPEX_SGAW_Dim01">"="</definedName>
    <definedName name="csDE_CAPEX_SGAW_Dim02" localSheetId="18">#REF!</definedName>
    <definedName name="csDE_CAPEX_SGAW_Dim02" localSheetId="25">#REF!</definedName>
    <definedName name="csDE_CAPEX_SGAW_Dim02" localSheetId="29">#REF!</definedName>
    <definedName name="csDE_CAPEX_SGAW_Dim02" localSheetId="31">#REF!</definedName>
    <definedName name="csDE_CAPEX_SGAW_Dim02" localSheetId="15">#REF!</definedName>
    <definedName name="csDE_CAPEX_SGAW_Dim02" localSheetId="13">#REF!</definedName>
    <definedName name="csDE_CAPEX_SGAW_Dim02" localSheetId="17">#REF!</definedName>
    <definedName name="csDE_CAPEX_SGAW_Dim02" localSheetId="12">#REF!</definedName>
    <definedName name="csDE_CAPEX_SGAW_Dim02" localSheetId="22">#REF!</definedName>
    <definedName name="csDE_CAPEX_SGAW_Dim02" localSheetId="28">#REF!</definedName>
    <definedName name="csDE_CAPEX_SGAW_Dim02" localSheetId="35">#REF!</definedName>
    <definedName name="csDE_CAPEX_SGAW_Dim02">#REF!</definedName>
    <definedName name="csDE_CAPEX_SGAW_Dim03">"="</definedName>
    <definedName name="csDE_CAPEX_SGAW_Dim04" localSheetId="18">#REF!</definedName>
    <definedName name="csDE_CAPEX_SGAW_Dim04" localSheetId="25">#REF!</definedName>
    <definedName name="csDE_CAPEX_SGAW_Dim04" localSheetId="29">#REF!</definedName>
    <definedName name="csDE_CAPEX_SGAW_Dim04" localSheetId="31">#REF!</definedName>
    <definedName name="csDE_CAPEX_SGAW_Dim04" localSheetId="15">#REF!</definedName>
    <definedName name="csDE_CAPEX_SGAW_Dim04" localSheetId="13">#REF!</definedName>
    <definedName name="csDE_CAPEX_SGAW_Dim04" localSheetId="17">#REF!</definedName>
    <definedName name="csDE_CAPEX_SGAW_Dim04" localSheetId="12">#REF!</definedName>
    <definedName name="csDE_CAPEX_SGAW_Dim04" localSheetId="22">#REF!</definedName>
    <definedName name="csDE_CAPEX_SGAW_Dim04" localSheetId="28">#REF!</definedName>
    <definedName name="csDE_CAPEX_SGAW_Dim04" localSheetId="35">#REF!</definedName>
    <definedName name="csDE_CAPEX_SGAW_Dim04">#REF!</definedName>
    <definedName name="csDE_CAPEX_SGAW_Dim05" localSheetId="18">#REF!</definedName>
    <definedName name="csDE_CAPEX_SGAW_Dim05" localSheetId="25">#REF!</definedName>
    <definedName name="csDE_CAPEX_SGAW_Dim05" localSheetId="29">#REF!</definedName>
    <definedName name="csDE_CAPEX_SGAW_Dim05" localSheetId="31">#REF!</definedName>
    <definedName name="csDE_CAPEX_SGAW_Dim05" localSheetId="15">#REF!</definedName>
    <definedName name="csDE_CAPEX_SGAW_Dim05" localSheetId="13">#REF!</definedName>
    <definedName name="csDE_CAPEX_SGAW_Dim05" localSheetId="17">#REF!</definedName>
    <definedName name="csDE_CAPEX_SGAW_Dim05" localSheetId="12">#REF!</definedName>
    <definedName name="csDE_CAPEX_SGAW_Dim05" localSheetId="22">#REF!</definedName>
    <definedName name="csDE_CAPEX_SGAW_Dim05" localSheetId="28">#REF!</definedName>
    <definedName name="csDE_CAPEX_SGAW_Dim05" localSheetId="35">#REF!</definedName>
    <definedName name="csDE_CAPEX_SGAW_Dim05">#REF!</definedName>
    <definedName name="csDE_CAPEX_SGAW_Dim06" localSheetId="18">#REF!</definedName>
    <definedName name="csDE_CAPEX_SGAW_Dim06" localSheetId="25">#REF!</definedName>
    <definedName name="csDE_CAPEX_SGAW_Dim06" localSheetId="29">#REF!</definedName>
    <definedName name="csDE_CAPEX_SGAW_Dim06" localSheetId="31">#REF!</definedName>
    <definedName name="csDE_CAPEX_SGAW_Dim06" localSheetId="15">#REF!</definedName>
    <definedName name="csDE_CAPEX_SGAW_Dim06" localSheetId="13">#REF!</definedName>
    <definedName name="csDE_CAPEX_SGAW_Dim06" localSheetId="17">#REF!</definedName>
    <definedName name="csDE_CAPEX_SGAW_Dim06" localSheetId="12">#REF!</definedName>
    <definedName name="csDE_CAPEX_SGAW_Dim06" localSheetId="22">#REF!</definedName>
    <definedName name="csDE_CAPEX_SGAW_Dim06" localSheetId="28">#REF!</definedName>
    <definedName name="csDE_CAPEX_SGAW_Dim06" localSheetId="35">#REF!</definedName>
    <definedName name="csDE_CAPEX_SGAW_Dim06">#REF!</definedName>
    <definedName name="csDE_CAPEX_SGAW_Dim07" localSheetId="18">#REF!</definedName>
    <definedName name="csDE_CAPEX_SGAW_Dim07" localSheetId="25">#REF!</definedName>
    <definedName name="csDE_CAPEX_SGAW_Dim07" localSheetId="29">#REF!</definedName>
    <definedName name="csDE_CAPEX_SGAW_Dim07" localSheetId="31">#REF!</definedName>
    <definedName name="csDE_CAPEX_SGAW_Dim07" localSheetId="15">#REF!</definedName>
    <definedName name="csDE_CAPEX_SGAW_Dim07" localSheetId="13">#REF!</definedName>
    <definedName name="csDE_CAPEX_SGAW_Dim07" localSheetId="17">#REF!</definedName>
    <definedName name="csDE_CAPEX_SGAW_Dim07" localSheetId="12">#REF!</definedName>
    <definedName name="csDE_CAPEX_SGAW_Dim07" localSheetId="22">#REF!</definedName>
    <definedName name="csDE_CAPEX_SGAW_Dim07" localSheetId="28">#REF!</definedName>
    <definedName name="csDE_CAPEX_SGAW_Dim07" localSheetId="35">#REF!</definedName>
    <definedName name="csDE_CAPEX_SGAW_Dim07">#REF!</definedName>
    <definedName name="csDE_CAPEX_SGAW_Dim08" localSheetId="18">#REF!</definedName>
    <definedName name="csDE_CAPEX_SGAW_Dim08" localSheetId="25">#REF!</definedName>
    <definedName name="csDE_CAPEX_SGAW_Dim08" localSheetId="29">#REF!</definedName>
    <definedName name="csDE_CAPEX_SGAW_Dim08" localSheetId="31">#REF!</definedName>
    <definedName name="csDE_CAPEX_SGAW_Dim08" localSheetId="15">#REF!</definedName>
    <definedName name="csDE_CAPEX_SGAW_Dim08" localSheetId="13">#REF!</definedName>
    <definedName name="csDE_CAPEX_SGAW_Dim08" localSheetId="17">#REF!</definedName>
    <definedName name="csDE_CAPEX_SGAW_Dim08" localSheetId="12">#REF!</definedName>
    <definedName name="csDE_CAPEX_SGAW_Dim08" localSheetId="22">#REF!</definedName>
    <definedName name="csDE_CAPEX_SGAW_Dim08" localSheetId="28">#REF!</definedName>
    <definedName name="csDE_CAPEX_SGAW_Dim08" localSheetId="35">#REF!</definedName>
    <definedName name="csDE_CAPEX_SGAW_Dim08">#REF!</definedName>
    <definedName name="csDE_CAPEX_SGAW_Dim09" localSheetId="18">#REF!</definedName>
    <definedName name="csDE_CAPEX_SGAW_Dim09" localSheetId="25">#REF!</definedName>
    <definedName name="csDE_CAPEX_SGAW_Dim09" localSheetId="29">#REF!</definedName>
    <definedName name="csDE_CAPEX_SGAW_Dim09" localSheetId="31">#REF!</definedName>
    <definedName name="csDE_CAPEX_SGAW_Dim09" localSheetId="15">#REF!</definedName>
    <definedName name="csDE_CAPEX_SGAW_Dim09" localSheetId="13">#REF!</definedName>
    <definedName name="csDE_CAPEX_SGAW_Dim09" localSheetId="17">#REF!</definedName>
    <definedName name="csDE_CAPEX_SGAW_Dim09" localSheetId="12">#REF!</definedName>
    <definedName name="csDE_CAPEX_SGAW_Dim09" localSheetId="22">#REF!</definedName>
    <definedName name="csDE_CAPEX_SGAW_Dim09" localSheetId="28">#REF!</definedName>
    <definedName name="csDE_CAPEX_SGAW_Dim09" localSheetId="35">#REF!</definedName>
    <definedName name="csDE_CAPEX_SGAW_Dim09">#REF!</definedName>
    <definedName name="csDE_CAPEX_SGAW_Dim10" localSheetId="18">#REF!</definedName>
    <definedName name="csDE_CAPEX_SGAW_Dim10" localSheetId="25">#REF!</definedName>
    <definedName name="csDE_CAPEX_SGAW_Dim10" localSheetId="29">#REF!</definedName>
    <definedName name="csDE_CAPEX_SGAW_Dim10" localSheetId="31">#REF!</definedName>
    <definedName name="csDE_CAPEX_SGAW_Dim10" localSheetId="15">#REF!</definedName>
    <definedName name="csDE_CAPEX_SGAW_Dim10" localSheetId="13">#REF!</definedName>
    <definedName name="csDE_CAPEX_SGAW_Dim10" localSheetId="17">#REF!</definedName>
    <definedName name="csDE_CAPEX_SGAW_Dim10" localSheetId="12">#REF!</definedName>
    <definedName name="csDE_CAPEX_SGAW_Dim10" localSheetId="22">#REF!</definedName>
    <definedName name="csDE_CAPEX_SGAW_Dim10" localSheetId="28">#REF!</definedName>
    <definedName name="csDE_CAPEX_SGAW_Dim10" localSheetId="35">#REF!</definedName>
    <definedName name="csDE_CAPEX_SGAW_Dim10">#REF!</definedName>
    <definedName name="csDE_CAPEX_SGAW_Dim11" localSheetId="18">#REF!</definedName>
    <definedName name="csDE_CAPEX_SGAW_Dim11" localSheetId="25">#REF!</definedName>
    <definedName name="csDE_CAPEX_SGAW_Dim11" localSheetId="29">#REF!</definedName>
    <definedName name="csDE_CAPEX_SGAW_Dim11" localSheetId="31">#REF!</definedName>
    <definedName name="csDE_CAPEX_SGAW_Dim11" localSheetId="15">#REF!</definedName>
    <definedName name="csDE_CAPEX_SGAW_Dim11" localSheetId="13">#REF!</definedName>
    <definedName name="csDE_CAPEX_SGAW_Dim11" localSheetId="17">#REF!</definedName>
    <definedName name="csDE_CAPEX_SGAW_Dim11" localSheetId="12">#REF!</definedName>
    <definedName name="csDE_CAPEX_SGAW_Dim11" localSheetId="22">#REF!</definedName>
    <definedName name="csDE_CAPEX_SGAW_Dim11" localSheetId="28">#REF!</definedName>
    <definedName name="csDE_CAPEX_SGAW_Dim11" localSheetId="35">#REF!</definedName>
    <definedName name="csDE_CAPEX_SGAW_Dim11">#REF!</definedName>
    <definedName name="csDE_CAPEX_SGAW_Dim12" localSheetId="18">#REF!</definedName>
    <definedName name="csDE_CAPEX_SGAW_Dim12" localSheetId="25">#REF!</definedName>
    <definedName name="csDE_CAPEX_SGAW_Dim12" localSheetId="29">#REF!</definedName>
    <definedName name="csDE_CAPEX_SGAW_Dim12" localSheetId="31">#REF!</definedName>
    <definedName name="csDE_CAPEX_SGAW_Dim12" localSheetId="15">#REF!</definedName>
    <definedName name="csDE_CAPEX_SGAW_Dim12" localSheetId="13">#REF!</definedName>
    <definedName name="csDE_CAPEX_SGAW_Dim12" localSheetId="17">#REF!</definedName>
    <definedName name="csDE_CAPEX_SGAW_Dim12" localSheetId="12">#REF!</definedName>
    <definedName name="csDE_CAPEX_SGAW_Dim12" localSheetId="22">#REF!</definedName>
    <definedName name="csDE_CAPEX_SGAW_Dim12" localSheetId="28">#REF!</definedName>
    <definedName name="csDE_CAPEX_SGAW_Dim12" localSheetId="35">#REF!</definedName>
    <definedName name="csDE_CAPEX_SGAW_Dim12">#REF!</definedName>
    <definedName name="csDE_CAPEX_SGAW_Dim13" localSheetId="18">#REF!</definedName>
    <definedName name="csDE_CAPEX_SGAW_Dim13" localSheetId="25">#REF!</definedName>
    <definedName name="csDE_CAPEX_SGAW_Dim13" localSheetId="29">#REF!</definedName>
    <definedName name="csDE_CAPEX_SGAW_Dim13" localSheetId="31">#REF!</definedName>
    <definedName name="csDE_CAPEX_SGAW_Dim13" localSheetId="15">#REF!</definedName>
    <definedName name="csDE_CAPEX_SGAW_Dim13" localSheetId="13">#REF!</definedName>
    <definedName name="csDE_CAPEX_SGAW_Dim13" localSheetId="17">#REF!</definedName>
    <definedName name="csDE_CAPEX_SGAW_Dim13" localSheetId="12">#REF!</definedName>
    <definedName name="csDE_CAPEX_SGAW_Dim13" localSheetId="22">#REF!</definedName>
    <definedName name="csDE_CAPEX_SGAW_Dim13" localSheetId="28">#REF!</definedName>
    <definedName name="csDE_CAPEX_SGAW_Dim13" localSheetId="35">#REF!</definedName>
    <definedName name="csDE_CAPEX_SGAW_Dim13">#REF!</definedName>
    <definedName name="csDE_CAPEX_SGAW_Dim14" localSheetId="18">#REF!</definedName>
    <definedName name="csDE_CAPEX_SGAW_Dim14" localSheetId="25">#REF!</definedName>
    <definedName name="csDE_CAPEX_SGAW_Dim14" localSheetId="29">#REF!</definedName>
    <definedName name="csDE_CAPEX_SGAW_Dim14" localSheetId="31">#REF!</definedName>
    <definedName name="csDE_CAPEX_SGAW_Dim14" localSheetId="15">#REF!</definedName>
    <definedName name="csDE_CAPEX_SGAW_Dim14" localSheetId="13">#REF!</definedName>
    <definedName name="csDE_CAPEX_SGAW_Dim14" localSheetId="17">#REF!</definedName>
    <definedName name="csDE_CAPEX_SGAW_Dim14" localSheetId="12">#REF!</definedName>
    <definedName name="csDE_CAPEX_SGAW_Dim14" localSheetId="22">#REF!</definedName>
    <definedName name="csDE_CAPEX_SGAW_Dim14" localSheetId="28">#REF!</definedName>
    <definedName name="csDE_CAPEX_SGAW_Dim14" localSheetId="35">#REF!</definedName>
    <definedName name="csDE_CAPEX_SGAW_Dim14">#REF!</definedName>
    <definedName name="csDE_CAPEX_SGAWAnchor" localSheetId="18">#REF!</definedName>
    <definedName name="csDE_CAPEX_SGAWAnchor" localSheetId="25">#REF!</definedName>
    <definedName name="csDE_CAPEX_SGAWAnchor" localSheetId="29">#REF!</definedName>
    <definedName name="csDE_CAPEX_SGAWAnchor" localSheetId="31">#REF!</definedName>
    <definedName name="csDE_CAPEX_SGAWAnchor" localSheetId="15">#REF!</definedName>
    <definedName name="csDE_CAPEX_SGAWAnchor" localSheetId="13">#REF!</definedName>
    <definedName name="csDE_CAPEX_SGAWAnchor" localSheetId="17">#REF!</definedName>
    <definedName name="csDE_CAPEX_SGAWAnchor" localSheetId="12">#REF!</definedName>
    <definedName name="csDE_CAPEX_SGAWAnchor" localSheetId="22">#REF!</definedName>
    <definedName name="csDE_CAPEX_SGAWAnchor" localSheetId="28">#REF!</definedName>
    <definedName name="csDE_CAPEX_SGAWAnchor" localSheetId="35">#REF!</definedName>
    <definedName name="csDE_CAPEX_SGAWAnchor">#REF!</definedName>
    <definedName name="csDE_CAPEXAnchor" localSheetId="18">#REF!</definedName>
    <definedName name="csDE_CAPEXAnchor" localSheetId="25">#REF!</definedName>
    <definedName name="csDE_CAPEXAnchor" localSheetId="29">#REF!</definedName>
    <definedName name="csDE_CAPEXAnchor" localSheetId="31">#REF!</definedName>
    <definedName name="csDE_CAPEXAnchor" localSheetId="15">#REF!</definedName>
    <definedName name="csDE_CAPEXAnchor" localSheetId="13">#REF!</definedName>
    <definedName name="csDE_CAPEXAnchor" localSheetId="17">#REF!</definedName>
    <definedName name="csDE_CAPEXAnchor" localSheetId="12">#REF!</definedName>
    <definedName name="csDE_CAPEXAnchor" localSheetId="22">#REF!</definedName>
    <definedName name="csDE_CAPEXAnchor" localSheetId="28">#REF!</definedName>
    <definedName name="csDE_CAPEXAnchor" localSheetId="35">#REF!</definedName>
    <definedName name="csDE_CAPEXAnchor">#REF!</definedName>
    <definedName name="csDE_DNA_SGAW_Dim01">"="</definedName>
    <definedName name="csDE_DNA_SGAW_Dim02" localSheetId="18">#REF!</definedName>
    <definedName name="csDE_DNA_SGAW_Dim02" localSheetId="25">#REF!</definedName>
    <definedName name="csDE_DNA_SGAW_Dim02" localSheetId="29">#REF!</definedName>
    <definedName name="csDE_DNA_SGAW_Dim02" localSheetId="31">#REF!</definedName>
    <definedName name="csDE_DNA_SGAW_Dim02" localSheetId="15">#REF!</definedName>
    <definedName name="csDE_DNA_SGAW_Dim02" localSheetId="13">#REF!</definedName>
    <definedName name="csDE_DNA_SGAW_Dim02" localSheetId="17">#REF!</definedName>
    <definedName name="csDE_DNA_SGAW_Dim02" localSheetId="12">#REF!</definedName>
    <definedName name="csDE_DNA_SGAW_Dim02" localSheetId="22">#REF!</definedName>
    <definedName name="csDE_DNA_SGAW_Dim02" localSheetId="28">#REF!</definedName>
    <definedName name="csDE_DNA_SGAW_Dim02" localSheetId="35">#REF!</definedName>
    <definedName name="csDE_DNA_SGAW_Dim02">#REF!</definedName>
    <definedName name="csDE_DNA_SGAW_Dim03">"="</definedName>
    <definedName name="csDE_DNA_SGAW_Dim04" localSheetId="18">#REF!</definedName>
    <definedName name="csDE_DNA_SGAW_Dim04" localSheetId="25">#REF!</definedName>
    <definedName name="csDE_DNA_SGAW_Dim04" localSheetId="29">#REF!</definedName>
    <definedName name="csDE_DNA_SGAW_Dim04" localSheetId="31">#REF!</definedName>
    <definedName name="csDE_DNA_SGAW_Dim04" localSheetId="15">#REF!</definedName>
    <definedName name="csDE_DNA_SGAW_Dim04" localSheetId="13">#REF!</definedName>
    <definedName name="csDE_DNA_SGAW_Dim04" localSheetId="17">#REF!</definedName>
    <definedName name="csDE_DNA_SGAW_Dim04" localSheetId="12">#REF!</definedName>
    <definedName name="csDE_DNA_SGAW_Dim04" localSheetId="22">#REF!</definedName>
    <definedName name="csDE_DNA_SGAW_Dim04" localSheetId="28">#REF!</definedName>
    <definedName name="csDE_DNA_SGAW_Dim04" localSheetId="35">#REF!</definedName>
    <definedName name="csDE_DNA_SGAW_Dim04">#REF!</definedName>
    <definedName name="csDE_DNA_SGAW_Dim05" localSheetId="18">#REF!</definedName>
    <definedName name="csDE_DNA_SGAW_Dim05" localSheetId="25">#REF!</definedName>
    <definedName name="csDE_DNA_SGAW_Dim05" localSheetId="29">#REF!</definedName>
    <definedName name="csDE_DNA_SGAW_Dim05" localSheetId="31">#REF!</definedName>
    <definedName name="csDE_DNA_SGAW_Dim05" localSheetId="15">#REF!</definedName>
    <definedName name="csDE_DNA_SGAW_Dim05" localSheetId="13">#REF!</definedName>
    <definedName name="csDE_DNA_SGAW_Dim05" localSheetId="17">#REF!</definedName>
    <definedName name="csDE_DNA_SGAW_Dim05" localSheetId="12">#REF!</definedName>
    <definedName name="csDE_DNA_SGAW_Dim05" localSheetId="22">#REF!</definedName>
    <definedName name="csDE_DNA_SGAW_Dim05" localSheetId="28">#REF!</definedName>
    <definedName name="csDE_DNA_SGAW_Dim05" localSheetId="35">#REF!</definedName>
    <definedName name="csDE_DNA_SGAW_Dim05">#REF!</definedName>
    <definedName name="csDE_DNA_SGAW_Dim06" localSheetId="18">#REF!</definedName>
    <definedName name="csDE_DNA_SGAW_Dim06" localSheetId="25">#REF!</definedName>
    <definedName name="csDE_DNA_SGAW_Dim06" localSheetId="29">#REF!</definedName>
    <definedName name="csDE_DNA_SGAW_Dim06" localSheetId="31">#REF!</definedName>
    <definedName name="csDE_DNA_SGAW_Dim06" localSheetId="15">#REF!</definedName>
    <definedName name="csDE_DNA_SGAW_Dim06" localSheetId="13">#REF!</definedName>
    <definedName name="csDE_DNA_SGAW_Dim06" localSheetId="17">#REF!</definedName>
    <definedName name="csDE_DNA_SGAW_Dim06" localSheetId="12">#REF!</definedName>
    <definedName name="csDE_DNA_SGAW_Dim06" localSheetId="22">#REF!</definedName>
    <definedName name="csDE_DNA_SGAW_Dim06" localSheetId="28">#REF!</definedName>
    <definedName name="csDE_DNA_SGAW_Dim06" localSheetId="35">#REF!</definedName>
    <definedName name="csDE_DNA_SGAW_Dim06">#REF!</definedName>
    <definedName name="csDE_DNA_SGAW_Dim07" localSheetId="18">#REF!</definedName>
    <definedName name="csDE_DNA_SGAW_Dim07" localSheetId="25">#REF!</definedName>
    <definedName name="csDE_DNA_SGAW_Dim07" localSheetId="29">#REF!</definedName>
    <definedName name="csDE_DNA_SGAW_Dim07" localSheetId="31">#REF!</definedName>
    <definedName name="csDE_DNA_SGAW_Dim07" localSheetId="15">#REF!</definedName>
    <definedName name="csDE_DNA_SGAW_Dim07" localSheetId="13">#REF!</definedName>
    <definedName name="csDE_DNA_SGAW_Dim07" localSheetId="17">#REF!</definedName>
    <definedName name="csDE_DNA_SGAW_Dim07" localSheetId="12">#REF!</definedName>
    <definedName name="csDE_DNA_SGAW_Dim07" localSheetId="22">#REF!</definedName>
    <definedName name="csDE_DNA_SGAW_Dim07" localSheetId="28">#REF!</definedName>
    <definedName name="csDE_DNA_SGAW_Dim07" localSheetId="35">#REF!</definedName>
    <definedName name="csDE_DNA_SGAW_Dim07">#REF!</definedName>
    <definedName name="csDE_DNA_SGAW_Dim08" localSheetId="18">#REF!</definedName>
    <definedName name="csDE_DNA_SGAW_Dim08" localSheetId="25">#REF!</definedName>
    <definedName name="csDE_DNA_SGAW_Dim08" localSheetId="29">#REF!</definedName>
    <definedName name="csDE_DNA_SGAW_Dim08" localSheetId="31">#REF!</definedName>
    <definedName name="csDE_DNA_SGAW_Dim08" localSheetId="15">#REF!</definedName>
    <definedName name="csDE_DNA_SGAW_Dim08" localSheetId="13">#REF!</definedName>
    <definedName name="csDE_DNA_SGAW_Dim08" localSheetId="17">#REF!</definedName>
    <definedName name="csDE_DNA_SGAW_Dim08" localSheetId="12">#REF!</definedName>
    <definedName name="csDE_DNA_SGAW_Dim08" localSheetId="22">#REF!</definedName>
    <definedName name="csDE_DNA_SGAW_Dim08" localSheetId="28">#REF!</definedName>
    <definedName name="csDE_DNA_SGAW_Dim08" localSheetId="35">#REF!</definedName>
    <definedName name="csDE_DNA_SGAW_Dim08">#REF!</definedName>
    <definedName name="csDE_DNA_SGAW_Dim09" localSheetId="18">#REF!</definedName>
    <definedName name="csDE_DNA_SGAW_Dim09" localSheetId="25">#REF!</definedName>
    <definedName name="csDE_DNA_SGAW_Dim09" localSheetId="29">#REF!</definedName>
    <definedName name="csDE_DNA_SGAW_Dim09" localSheetId="31">#REF!</definedName>
    <definedName name="csDE_DNA_SGAW_Dim09" localSheetId="15">#REF!</definedName>
    <definedName name="csDE_DNA_SGAW_Dim09" localSheetId="13">#REF!</definedName>
    <definedName name="csDE_DNA_SGAW_Dim09" localSheetId="17">#REF!</definedName>
    <definedName name="csDE_DNA_SGAW_Dim09" localSheetId="12">#REF!</definedName>
    <definedName name="csDE_DNA_SGAW_Dim09" localSheetId="22">#REF!</definedName>
    <definedName name="csDE_DNA_SGAW_Dim09" localSheetId="28">#REF!</definedName>
    <definedName name="csDE_DNA_SGAW_Dim09" localSheetId="35">#REF!</definedName>
    <definedName name="csDE_DNA_SGAW_Dim09">#REF!</definedName>
    <definedName name="csDE_DNA_SGAW_Dim10" localSheetId="18">#REF!</definedName>
    <definedName name="csDE_DNA_SGAW_Dim10" localSheetId="25">#REF!</definedName>
    <definedName name="csDE_DNA_SGAW_Dim10" localSheetId="29">#REF!</definedName>
    <definedName name="csDE_DNA_SGAW_Dim10" localSheetId="31">#REF!</definedName>
    <definedName name="csDE_DNA_SGAW_Dim10" localSheetId="15">#REF!</definedName>
    <definedName name="csDE_DNA_SGAW_Dim10" localSheetId="13">#REF!</definedName>
    <definedName name="csDE_DNA_SGAW_Dim10" localSheetId="17">#REF!</definedName>
    <definedName name="csDE_DNA_SGAW_Dim10" localSheetId="12">#REF!</definedName>
    <definedName name="csDE_DNA_SGAW_Dim10" localSheetId="22">#REF!</definedName>
    <definedName name="csDE_DNA_SGAW_Dim10" localSheetId="28">#REF!</definedName>
    <definedName name="csDE_DNA_SGAW_Dim10" localSheetId="35">#REF!</definedName>
    <definedName name="csDE_DNA_SGAW_Dim10">#REF!</definedName>
    <definedName name="csDE_DNA_SGAW_Dim11" localSheetId="18">#REF!</definedName>
    <definedName name="csDE_DNA_SGAW_Dim11" localSheetId="25">#REF!</definedName>
    <definedName name="csDE_DNA_SGAW_Dim11" localSheetId="29">#REF!</definedName>
    <definedName name="csDE_DNA_SGAW_Dim11" localSheetId="31">#REF!</definedName>
    <definedName name="csDE_DNA_SGAW_Dim11" localSheetId="15">#REF!</definedName>
    <definedName name="csDE_DNA_SGAW_Dim11" localSheetId="13">#REF!</definedName>
    <definedName name="csDE_DNA_SGAW_Dim11" localSheetId="17">#REF!</definedName>
    <definedName name="csDE_DNA_SGAW_Dim11" localSheetId="12">#REF!</definedName>
    <definedName name="csDE_DNA_SGAW_Dim11" localSheetId="22">#REF!</definedName>
    <definedName name="csDE_DNA_SGAW_Dim11" localSheetId="28">#REF!</definedName>
    <definedName name="csDE_DNA_SGAW_Dim11" localSheetId="35">#REF!</definedName>
    <definedName name="csDE_DNA_SGAW_Dim11">#REF!</definedName>
    <definedName name="csDE_DNA_SGAW_Dim12" localSheetId="18">#REF!</definedName>
    <definedName name="csDE_DNA_SGAW_Dim12" localSheetId="25">#REF!</definedName>
    <definedName name="csDE_DNA_SGAW_Dim12" localSheetId="29">#REF!</definedName>
    <definedName name="csDE_DNA_SGAW_Dim12" localSheetId="31">#REF!</definedName>
    <definedName name="csDE_DNA_SGAW_Dim12" localSheetId="15">#REF!</definedName>
    <definedName name="csDE_DNA_SGAW_Dim12" localSheetId="13">#REF!</definedName>
    <definedName name="csDE_DNA_SGAW_Dim12" localSheetId="17">#REF!</definedName>
    <definedName name="csDE_DNA_SGAW_Dim12" localSheetId="12">#REF!</definedName>
    <definedName name="csDE_DNA_SGAW_Dim12" localSheetId="22">#REF!</definedName>
    <definedName name="csDE_DNA_SGAW_Dim12" localSheetId="28">#REF!</definedName>
    <definedName name="csDE_DNA_SGAW_Dim12" localSheetId="35">#REF!</definedName>
    <definedName name="csDE_DNA_SGAW_Dim12">#REF!</definedName>
    <definedName name="csDE_DNA_SGAW_Dim13" localSheetId="18">#REF!</definedName>
    <definedName name="csDE_DNA_SGAW_Dim13" localSheetId="25">#REF!</definedName>
    <definedName name="csDE_DNA_SGAW_Dim13" localSheetId="29">#REF!</definedName>
    <definedName name="csDE_DNA_SGAW_Dim13" localSheetId="31">#REF!</definedName>
    <definedName name="csDE_DNA_SGAW_Dim13" localSheetId="15">#REF!</definedName>
    <definedName name="csDE_DNA_SGAW_Dim13" localSheetId="13">#REF!</definedName>
    <definedName name="csDE_DNA_SGAW_Dim13" localSheetId="17">#REF!</definedName>
    <definedName name="csDE_DNA_SGAW_Dim13" localSheetId="12">#REF!</definedName>
    <definedName name="csDE_DNA_SGAW_Dim13" localSheetId="22">#REF!</definedName>
    <definedName name="csDE_DNA_SGAW_Dim13" localSheetId="28">#REF!</definedName>
    <definedName name="csDE_DNA_SGAW_Dim13" localSheetId="35">#REF!</definedName>
    <definedName name="csDE_DNA_SGAW_Dim13">#REF!</definedName>
    <definedName name="csDE_DNA_SGAW_Dim14" localSheetId="18">#REF!</definedName>
    <definedName name="csDE_DNA_SGAW_Dim14" localSheetId="25">#REF!</definedName>
    <definedName name="csDE_DNA_SGAW_Dim14" localSheetId="29">#REF!</definedName>
    <definedName name="csDE_DNA_SGAW_Dim14" localSheetId="31">#REF!</definedName>
    <definedName name="csDE_DNA_SGAW_Dim14" localSheetId="15">#REF!</definedName>
    <definedName name="csDE_DNA_SGAW_Dim14" localSheetId="13">#REF!</definedName>
    <definedName name="csDE_DNA_SGAW_Dim14" localSheetId="17">#REF!</definedName>
    <definedName name="csDE_DNA_SGAW_Dim14" localSheetId="12">#REF!</definedName>
    <definedName name="csDE_DNA_SGAW_Dim14" localSheetId="22">#REF!</definedName>
    <definedName name="csDE_DNA_SGAW_Dim14" localSheetId="28">#REF!</definedName>
    <definedName name="csDE_DNA_SGAW_Dim14" localSheetId="35">#REF!</definedName>
    <definedName name="csDE_DNA_SGAW_Dim14">#REF!</definedName>
    <definedName name="csDE_DNA_SGAWAnchor" localSheetId="18">#REF!</definedName>
    <definedName name="csDE_DNA_SGAWAnchor" localSheetId="25">#REF!</definedName>
    <definedName name="csDE_DNA_SGAWAnchor" localSheetId="29">#REF!</definedName>
    <definedName name="csDE_DNA_SGAWAnchor" localSheetId="31">#REF!</definedName>
    <definedName name="csDE_DNA_SGAWAnchor" localSheetId="15">#REF!</definedName>
    <definedName name="csDE_DNA_SGAWAnchor" localSheetId="13">#REF!</definedName>
    <definedName name="csDE_DNA_SGAWAnchor" localSheetId="17">#REF!</definedName>
    <definedName name="csDE_DNA_SGAWAnchor" localSheetId="12">#REF!</definedName>
    <definedName name="csDE_DNA_SGAWAnchor" localSheetId="22">#REF!</definedName>
    <definedName name="csDE_DNA_SGAWAnchor" localSheetId="28">#REF!</definedName>
    <definedName name="csDE_DNA_SGAWAnchor" localSheetId="35">#REF!</definedName>
    <definedName name="csDE_DNA_SGAWAnchor">#REF!</definedName>
    <definedName name="csDE_OPEX_PAYROLL_Dim01">"="</definedName>
    <definedName name="csDE_OPEX_PAYROLL_Dim02" localSheetId="18">#REF!</definedName>
    <definedName name="csDE_OPEX_PAYROLL_Dim02" localSheetId="25">#REF!</definedName>
    <definedName name="csDE_OPEX_PAYROLL_Dim02" localSheetId="29">#REF!</definedName>
    <definedName name="csDE_OPEX_PAYROLL_Dim02" localSheetId="31">#REF!</definedName>
    <definedName name="csDE_OPEX_PAYROLL_Dim02" localSheetId="15">#REF!</definedName>
    <definedName name="csDE_OPEX_PAYROLL_Dim02" localSheetId="13">#REF!</definedName>
    <definedName name="csDE_OPEX_PAYROLL_Dim02" localSheetId="17">#REF!</definedName>
    <definedName name="csDE_OPEX_PAYROLL_Dim02" localSheetId="12">#REF!</definedName>
    <definedName name="csDE_OPEX_PAYROLL_Dim02" localSheetId="22">#REF!</definedName>
    <definedName name="csDE_OPEX_PAYROLL_Dim02" localSheetId="28">#REF!</definedName>
    <definedName name="csDE_OPEX_PAYROLL_Dim02" localSheetId="35">#REF!</definedName>
    <definedName name="csDE_OPEX_PAYROLL_Dim02">#REF!</definedName>
    <definedName name="csDE_OPEX_PAYROLL_Dim03">"="</definedName>
    <definedName name="csDE_OPEX_PAYROLL_Dim04" localSheetId="18">#REF!</definedName>
    <definedName name="csDE_OPEX_PAYROLL_Dim04" localSheetId="25">#REF!</definedName>
    <definedName name="csDE_OPEX_PAYROLL_Dim04" localSheetId="29">#REF!</definedName>
    <definedName name="csDE_OPEX_PAYROLL_Dim04" localSheetId="31">#REF!</definedName>
    <definedName name="csDE_OPEX_PAYROLL_Dim04" localSheetId="15">#REF!</definedName>
    <definedName name="csDE_OPEX_PAYROLL_Dim04" localSheetId="13">#REF!</definedName>
    <definedName name="csDE_OPEX_PAYROLL_Dim04" localSheetId="17">#REF!</definedName>
    <definedName name="csDE_OPEX_PAYROLL_Dim04" localSheetId="12">#REF!</definedName>
    <definedName name="csDE_OPEX_PAYROLL_Dim04" localSheetId="22">#REF!</definedName>
    <definedName name="csDE_OPEX_PAYROLL_Dim04" localSheetId="28">#REF!</definedName>
    <definedName name="csDE_OPEX_PAYROLL_Dim04" localSheetId="35">#REF!</definedName>
    <definedName name="csDE_OPEX_PAYROLL_Dim04">#REF!</definedName>
    <definedName name="csDE_OPEX_PAYROLL_Dim05" localSheetId="18">#REF!</definedName>
    <definedName name="csDE_OPEX_PAYROLL_Dim05" localSheetId="25">#REF!</definedName>
    <definedName name="csDE_OPEX_PAYROLL_Dim05" localSheetId="29">#REF!</definedName>
    <definedName name="csDE_OPEX_PAYROLL_Dim05" localSheetId="31">#REF!</definedName>
    <definedName name="csDE_OPEX_PAYROLL_Dim05" localSheetId="15">#REF!</definedName>
    <definedName name="csDE_OPEX_PAYROLL_Dim05" localSheetId="13">#REF!</definedName>
    <definedName name="csDE_OPEX_PAYROLL_Dim05" localSheetId="17">#REF!</definedName>
    <definedName name="csDE_OPEX_PAYROLL_Dim05" localSheetId="12">#REF!</definedName>
    <definedName name="csDE_OPEX_PAYROLL_Dim05" localSheetId="22">#REF!</definedName>
    <definedName name="csDE_OPEX_PAYROLL_Dim05" localSheetId="28">#REF!</definedName>
    <definedName name="csDE_OPEX_PAYROLL_Dim05" localSheetId="35">#REF!</definedName>
    <definedName name="csDE_OPEX_PAYROLL_Dim05">#REF!</definedName>
    <definedName name="csDE_OPEX_PAYROLL_Dim06" localSheetId="18">#REF!</definedName>
    <definedName name="csDE_OPEX_PAYROLL_Dim06" localSheetId="25">#REF!</definedName>
    <definedName name="csDE_OPEX_PAYROLL_Dim06" localSheetId="29">#REF!</definedName>
    <definedName name="csDE_OPEX_PAYROLL_Dim06" localSheetId="31">#REF!</definedName>
    <definedName name="csDE_OPEX_PAYROLL_Dim06" localSheetId="15">#REF!</definedName>
    <definedName name="csDE_OPEX_PAYROLL_Dim06" localSheetId="13">#REF!</definedName>
    <definedName name="csDE_OPEX_PAYROLL_Dim06" localSheetId="17">#REF!</definedName>
    <definedName name="csDE_OPEX_PAYROLL_Dim06" localSheetId="12">#REF!</definedName>
    <definedName name="csDE_OPEX_PAYROLL_Dim06" localSheetId="22">#REF!</definedName>
    <definedName name="csDE_OPEX_PAYROLL_Dim06" localSheetId="28">#REF!</definedName>
    <definedName name="csDE_OPEX_PAYROLL_Dim06" localSheetId="35">#REF!</definedName>
    <definedName name="csDE_OPEX_PAYROLL_Dim06">#REF!</definedName>
    <definedName name="csDE_OPEX_PAYROLL_Dim07" localSheetId="18">#REF!</definedName>
    <definedName name="csDE_OPEX_PAYROLL_Dim07" localSheetId="25">#REF!</definedName>
    <definedName name="csDE_OPEX_PAYROLL_Dim07" localSheetId="29">#REF!</definedName>
    <definedName name="csDE_OPEX_PAYROLL_Dim07" localSheetId="31">#REF!</definedName>
    <definedName name="csDE_OPEX_PAYROLL_Dim07" localSheetId="15">#REF!</definedName>
    <definedName name="csDE_OPEX_PAYROLL_Dim07" localSheetId="13">#REF!</definedName>
    <definedName name="csDE_OPEX_PAYROLL_Dim07" localSheetId="17">#REF!</definedName>
    <definedName name="csDE_OPEX_PAYROLL_Dim07" localSheetId="12">#REF!</definedName>
    <definedName name="csDE_OPEX_PAYROLL_Dim07" localSheetId="22">#REF!</definedName>
    <definedName name="csDE_OPEX_PAYROLL_Dim07" localSheetId="28">#REF!</definedName>
    <definedName name="csDE_OPEX_PAYROLL_Dim07" localSheetId="35">#REF!</definedName>
    <definedName name="csDE_OPEX_PAYROLL_Dim07">#REF!</definedName>
    <definedName name="csDE_OPEX_PAYROLL_Dim08" localSheetId="18">#REF!</definedName>
    <definedName name="csDE_OPEX_PAYROLL_Dim08" localSheetId="25">#REF!</definedName>
    <definedName name="csDE_OPEX_PAYROLL_Dim08" localSheetId="29">#REF!</definedName>
    <definedName name="csDE_OPEX_PAYROLL_Dim08" localSheetId="31">#REF!</definedName>
    <definedName name="csDE_OPEX_PAYROLL_Dim08" localSheetId="15">#REF!</definedName>
    <definedName name="csDE_OPEX_PAYROLL_Dim08" localSheetId="13">#REF!</definedName>
    <definedName name="csDE_OPEX_PAYROLL_Dim08" localSheetId="17">#REF!</definedName>
    <definedName name="csDE_OPEX_PAYROLL_Dim08" localSheetId="12">#REF!</definedName>
    <definedName name="csDE_OPEX_PAYROLL_Dim08" localSheetId="22">#REF!</definedName>
    <definedName name="csDE_OPEX_PAYROLL_Dim08" localSheetId="28">#REF!</definedName>
    <definedName name="csDE_OPEX_PAYROLL_Dim08" localSheetId="35">#REF!</definedName>
    <definedName name="csDE_OPEX_PAYROLL_Dim08">#REF!</definedName>
    <definedName name="csDE_OPEX_PAYROLL_Dim09" localSheetId="18">#REF!</definedName>
    <definedName name="csDE_OPEX_PAYROLL_Dim09" localSheetId="25">#REF!</definedName>
    <definedName name="csDE_OPEX_PAYROLL_Dim09" localSheetId="29">#REF!</definedName>
    <definedName name="csDE_OPEX_PAYROLL_Dim09" localSheetId="31">#REF!</definedName>
    <definedName name="csDE_OPEX_PAYROLL_Dim09" localSheetId="15">#REF!</definedName>
    <definedName name="csDE_OPEX_PAYROLL_Dim09" localSheetId="13">#REF!</definedName>
    <definedName name="csDE_OPEX_PAYROLL_Dim09" localSheetId="17">#REF!</definedName>
    <definedName name="csDE_OPEX_PAYROLL_Dim09" localSheetId="12">#REF!</definedName>
    <definedName name="csDE_OPEX_PAYROLL_Dim09" localSheetId="22">#REF!</definedName>
    <definedName name="csDE_OPEX_PAYROLL_Dim09" localSheetId="28">#REF!</definedName>
    <definedName name="csDE_OPEX_PAYROLL_Dim09" localSheetId="35">#REF!</definedName>
    <definedName name="csDE_OPEX_PAYROLL_Dim09">#REF!</definedName>
    <definedName name="csDE_OPEX_PAYROLL_Dim10" localSheetId="18">#REF!</definedName>
    <definedName name="csDE_OPEX_PAYROLL_Dim10" localSheetId="25">#REF!</definedName>
    <definedName name="csDE_OPEX_PAYROLL_Dim10" localSheetId="29">#REF!</definedName>
    <definedName name="csDE_OPEX_PAYROLL_Dim10" localSheetId="31">#REF!</definedName>
    <definedName name="csDE_OPEX_PAYROLL_Dim10" localSheetId="15">#REF!</definedName>
    <definedName name="csDE_OPEX_PAYROLL_Dim10" localSheetId="13">#REF!</definedName>
    <definedName name="csDE_OPEX_PAYROLL_Dim10" localSheetId="17">#REF!</definedName>
    <definedName name="csDE_OPEX_PAYROLL_Dim10" localSheetId="12">#REF!</definedName>
    <definedName name="csDE_OPEX_PAYROLL_Dim10" localSheetId="22">#REF!</definedName>
    <definedName name="csDE_OPEX_PAYROLL_Dim10" localSheetId="28">#REF!</definedName>
    <definedName name="csDE_OPEX_PAYROLL_Dim10" localSheetId="35">#REF!</definedName>
    <definedName name="csDE_OPEX_PAYROLL_Dim10">#REF!</definedName>
    <definedName name="csDE_OPEX_PAYROLL_Dim11" localSheetId="18">#REF!</definedName>
    <definedName name="csDE_OPEX_PAYROLL_Dim11" localSheetId="25">#REF!</definedName>
    <definedName name="csDE_OPEX_PAYROLL_Dim11" localSheetId="29">#REF!</definedName>
    <definedName name="csDE_OPEX_PAYROLL_Dim11" localSheetId="31">#REF!</definedName>
    <definedName name="csDE_OPEX_PAYROLL_Dim11" localSheetId="15">#REF!</definedName>
    <definedName name="csDE_OPEX_PAYROLL_Dim11" localSheetId="13">#REF!</definedName>
    <definedName name="csDE_OPEX_PAYROLL_Dim11" localSheetId="17">#REF!</definedName>
    <definedName name="csDE_OPEX_PAYROLL_Dim11" localSheetId="12">#REF!</definedName>
    <definedName name="csDE_OPEX_PAYROLL_Dim11" localSheetId="22">#REF!</definedName>
    <definedName name="csDE_OPEX_PAYROLL_Dim11" localSheetId="28">#REF!</definedName>
    <definedName name="csDE_OPEX_PAYROLL_Dim11" localSheetId="35">#REF!</definedName>
    <definedName name="csDE_OPEX_PAYROLL_Dim11">#REF!</definedName>
    <definedName name="csDE_OPEX_PAYROLL_Dim12" localSheetId="18">#REF!</definedName>
    <definedName name="csDE_OPEX_PAYROLL_Dim12" localSheetId="25">#REF!</definedName>
    <definedName name="csDE_OPEX_PAYROLL_Dim12" localSheetId="29">#REF!</definedName>
    <definedName name="csDE_OPEX_PAYROLL_Dim12" localSheetId="31">#REF!</definedName>
    <definedName name="csDE_OPEX_PAYROLL_Dim12" localSheetId="15">#REF!</definedName>
    <definedName name="csDE_OPEX_PAYROLL_Dim12" localSheetId="13">#REF!</definedName>
    <definedName name="csDE_OPEX_PAYROLL_Dim12" localSheetId="17">#REF!</definedName>
    <definedName name="csDE_OPEX_PAYROLL_Dim12" localSheetId="12">#REF!</definedName>
    <definedName name="csDE_OPEX_PAYROLL_Dim12" localSheetId="22">#REF!</definedName>
    <definedName name="csDE_OPEX_PAYROLL_Dim12" localSheetId="28">#REF!</definedName>
    <definedName name="csDE_OPEX_PAYROLL_Dim12" localSheetId="35">#REF!</definedName>
    <definedName name="csDE_OPEX_PAYROLL_Dim12">#REF!</definedName>
    <definedName name="csDE_OPEX_PAYROLL_Dim13" localSheetId="18">#REF!</definedName>
    <definedName name="csDE_OPEX_PAYROLL_Dim13" localSheetId="25">#REF!</definedName>
    <definedName name="csDE_OPEX_PAYROLL_Dim13" localSheetId="29">#REF!</definedName>
    <definedName name="csDE_OPEX_PAYROLL_Dim13" localSheetId="31">#REF!</definedName>
    <definedName name="csDE_OPEX_PAYROLL_Dim13" localSheetId="15">#REF!</definedName>
    <definedName name="csDE_OPEX_PAYROLL_Dim13" localSheetId="13">#REF!</definedName>
    <definedName name="csDE_OPEX_PAYROLL_Dim13" localSheetId="17">#REF!</definedName>
    <definedName name="csDE_OPEX_PAYROLL_Dim13" localSheetId="12">#REF!</definedName>
    <definedName name="csDE_OPEX_PAYROLL_Dim13" localSheetId="22">#REF!</definedName>
    <definedName name="csDE_OPEX_PAYROLL_Dim13" localSheetId="28">#REF!</definedName>
    <definedName name="csDE_OPEX_PAYROLL_Dim13" localSheetId="35">#REF!</definedName>
    <definedName name="csDE_OPEX_PAYROLL_Dim13">#REF!</definedName>
    <definedName name="csDE_OPEX_PAYROLL_Dim14" localSheetId="18">#REF!</definedName>
    <definedName name="csDE_OPEX_PAYROLL_Dim14" localSheetId="25">#REF!</definedName>
    <definedName name="csDE_OPEX_PAYROLL_Dim14" localSheetId="29">#REF!</definedName>
    <definedName name="csDE_OPEX_PAYROLL_Dim14" localSheetId="31">#REF!</definedName>
    <definedName name="csDE_OPEX_PAYROLL_Dim14" localSheetId="15">#REF!</definedName>
    <definedName name="csDE_OPEX_PAYROLL_Dim14" localSheetId="13">#REF!</definedName>
    <definedName name="csDE_OPEX_PAYROLL_Dim14" localSheetId="17">#REF!</definedName>
    <definedName name="csDE_OPEX_PAYROLL_Dim14" localSheetId="12">#REF!</definedName>
    <definedName name="csDE_OPEX_PAYROLL_Dim14" localSheetId="22">#REF!</definedName>
    <definedName name="csDE_OPEX_PAYROLL_Dim14" localSheetId="28">#REF!</definedName>
    <definedName name="csDE_OPEX_PAYROLL_Dim14" localSheetId="35">#REF!</definedName>
    <definedName name="csDE_OPEX_PAYROLL_Dim14">#REF!</definedName>
    <definedName name="csDE_OPEX_PAYROLLAnchor" localSheetId="18">#REF!</definedName>
    <definedName name="csDE_OPEX_PAYROLLAnchor" localSheetId="25">#REF!</definedName>
    <definedName name="csDE_OPEX_PAYROLLAnchor" localSheetId="29">#REF!</definedName>
    <definedName name="csDE_OPEX_PAYROLLAnchor" localSheetId="31">#REF!</definedName>
    <definedName name="csDE_OPEX_PAYROLLAnchor" localSheetId="15">#REF!</definedName>
    <definedName name="csDE_OPEX_PAYROLLAnchor" localSheetId="13">#REF!</definedName>
    <definedName name="csDE_OPEX_PAYROLLAnchor" localSheetId="17">#REF!</definedName>
    <definedName name="csDE_OPEX_PAYROLLAnchor" localSheetId="12">#REF!</definedName>
    <definedName name="csDE_OPEX_PAYROLLAnchor" localSheetId="22">#REF!</definedName>
    <definedName name="csDE_OPEX_PAYROLLAnchor" localSheetId="28">#REF!</definedName>
    <definedName name="csDE_OPEX_PAYROLLAnchor" localSheetId="35">#REF!</definedName>
    <definedName name="csDE_OPEX_PAYROLLAnchor">#REF!</definedName>
    <definedName name="csDE_OPEX_SGAW_Dim01">"="</definedName>
    <definedName name="csDE_OPEX_SGAW_Dim02" localSheetId="18">#REF!</definedName>
    <definedName name="csDE_OPEX_SGAW_Dim02" localSheetId="25">#REF!</definedName>
    <definedName name="csDE_OPEX_SGAW_Dim02" localSheetId="29">#REF!</definedName>
    <definedName name="csDE_OPEX_SGAW_Dim02" localSheetId="31">#REF!</definedName>
    <definedName name="csDE_OPEX_SGAW_Dim02" localSheetId="15">#REF!</definedName>
    <definedName name="csDE_OPEX_SGAW_Dim02" localSheetId="13">#REF!</definedName>
    <definedName name="csDE_OPEX_SGAW_Dim02" localSheetId="17">#REF!</definedName>
    <definedName name="csDE_OPEX_SGAW_Dim02" localSheetId="12">#REF!</definedName>
    <definedName name="csDE_OPEX_SGAW_Dim02" localSheetId="22">#REF!</definedName>
    <definedName name="csDE_OPEX_SGAW_Dim02" localSheetId="28">#REF!</definedName>
    <definedName name="csDE_OPEX_SGAW_Dim02" localSheetId="35">#REF!</definedName>
    <definedName name="csDE_OPEX_SGAW_Dim02">#REF!</definedName>
    <definedName name="csDE_OPEX_SGAW_Dim03">"="</definedName>
    <definedName name="csDE_OPEX_SGAW_Dim04" localSheetId="18">#REF!</definedName>
    <definedName name="csDE_OPEX_SGAW_Dim04" localSheetId="25">#REF!</definedName>
    <definedName name="csDE_OPEX_SGAW_Dim04" localSheetId="29">#REF!</definedName>
    <definedName name="csDE_OPEX_SGAW_Dim04" localSheetId="31">#REF!</definedName>
    <definedName name="csDE_OPEX_SGAW_Dim04" localSheetId="15">#REF!</definedName>
    <definedName name="csDE_OPEX_SGAW_Dim04" localSheetId="13">#REF!</definedName>
    <definedName name="csDE_OPEX_SGAW_Dim04" localSheetId="17">#REF!</definedName>
    <definedName name="csDE_OPEX_SGAW_Dim04" localSheetId="12">#REF!</definedName>
    <definedName name="csDE_OPEX_SGAW_Dim04" localSheetId="22">#REF!</definedName>
    <definedName name="csDE_OPEX_SGAW_Dim04" localSheetId="28">#REF!</definedName>
    <definedName name="csDE_OPEX_SGAW_Dim04" localSheetId="35">#REF!</definedName>
    <definedName name="csDE_OPEX_SGAW_Dim04">#REF!</definedName>
    <definedName name="csDE_OPEX_SGAW_Dim05" localSheetId="18">#REF!</definedName>
    <definedName name="csDE_OPEX_SGAW_Dim05" localSheetId="25">#REF!</definedName>
    <definedName name="csDE_OPEX_SGAW_Dim05" localSheetId="29">#REF!</definedName>
    <definedName name="csDE_OPEX_SGAW_Dim05" localSheetId="31">#REF!</definedName>
    <definedName name="csDE_OPEX_SGAW_Dim05" localSheetId="15">#REF!</definedName>
    <definedName name="csDE_OPEX_SGAW_Dim05" localSheetId="13">#REF!</definedName>
    <definedName name="csDE_OPEX_SGAW_Dim05" localSheetId="17">#REF!</definedName>
    <definedName name="csDE_OPEX_SGAW_Dim05" localSheetId="12">#REF!</definedName>
    <definedName name="csDE_OPEX_SGAW_Dim05" localSheetId="22">#REF!</definedName>
    <definedName name="csDE_OPEX_SGAW_Dim05" localSheetId="28">#REF!</definedName>
    <definedName name="csDE_OPEX_SGAW_Dim05" localSheetId="35">#REF!</definedName>
    <definedName name="csDE_OPEX_SGAW_Dim05">#REF!</definedName>
    <definedName name="csDE_OPEX_SGAW_Dim06" localSheetId="18">#REF!</definedName>
    <definedName name="csDE_OPEX_SGAW_Dim06" localSheetId="25">#REF!</definedName>
    <definedName name="csDE_OPEX_SGAW_Dim06" localSheetId="29">#REF!</definedName>
    <definedName name="csDE_OPEX_SGAW_Dim06" localSheetId="31">#REF!</definedName>
    <definedName name="csDE_OPEX_SGAW_Dim06" localSheetId="15">#REF!</definedName>
    <definedName name="csDE_OPEX_SGAW_Dim06" localSheetId="13">#REF!</definedName>
    <definedName name="csDE_OPEX_SGAW_Dim06" localSheetId="17">#REF!</definedName>
    <definedName name="csDE_OPEX_SGAW_Dim06" localSheetId="12">#REF!</definedName>
    <definedName name="csDE_OPEX_SGAW_Dim06" localSheetId="22">#REF!</definedName>
    <definedName name="csDE_OPEX_SGAW_Dim06" localSheetId="28">#REF!</definedName>
    <definedName name="csDE_OPEX_SGAW_Dim06" localSheetId="35">#REF!</definedName>
    <definedName name="csDE_OPEX_SGAW_Dim06">#REF!</definedName>
    <definedName name="csDE_OPEX_SGAW_Dim07" localSheetId="18">#REF!</definedName>
    <definedName name="csDE_OPEX_SGAW_Dim07" localSheetId="25">#REF!</definedName>
    <definedName name="csDE_OPEX_SGAW_Dim07" localSheetId="29">#REF!</definedName>
    <definedName name="csDE_OPEX_SGAW_Dim07" localSheetId="31">#REF!</definedName>
    <definedName name="csDE_OPEX_SGAW_Dim07" localSheetId="15">#REF!</definedName>
    <definedName name="csDE_OPEX_SGAW_Dim07" localSheetId="13">#REF!</definedName>
    <definedName name="csDE_OPEX_SGAW_Dim07" localSheetId="17">#REF!</definedName>
    <definedName name="csDE_OPEX_SGAW_Dim07" localSheetId="12">#REF!</definedName>
    <definedName name="csDE_OPEX_SGAW_Dim07" localSheetId="22">#REF!</definedName>
    <definedName name="csDE_OPEX_SGAW_Dim07" localSheetId="28">#REF!</definedName>
    <definedName name="csDE_OPEX_SGAW_Dim07" localSheetId="35">#REF!</definedName>
    <definedName name="csDE_OPEX_SGAW_Dim07">#REF!</definedName>
    <definedName name="csDE_OPEX_SGAW_Dim08" localSheetId="18">#REF!</definedName>
    <definedName name="csDE_OPEX_SGAW_Dim08" localSheetId="25">#REF!</definedName>
    <definedName name="csDE_OPEX_SGAW_Dim08" localSheetId="29">#REF!</definedName>
    <definedName name="csDE_OPEX_SGAW_Dim08" localSheetId="31">#REF!</definedName>
    <definedName name="csDE_OPEX_SGAW_Dim08" localSheetId="15">#REF!</definedName>
    <definedName name="csDE_OPEX_SGAW_Dim08" localSheetId="13">#REF!</definedName>
    <definedName name="csDE_OPEX_SGAW_Dim08" localSheetId="17">#REF!</definedName>
    <definedName name="csDE_OPEX_SGAW_Dim08" localSheetId="12">#REF!</definedName>
    <definedName name="csDE_OPEX_SGAW_Dim08" localSheetId="22">#REF!</definedName>
    <definedName name="csDE_OPEX_SGAW_Dim08" localSheetId="28">#REF!</definedName>
    <definedName name="csDE_OPEX_SGAW_Dim08" localSheetId="35">#REF!</definedName>
    <definedName name="csDE_OPEX_SGAW_Dim08">#REF!</definedName>
    <definedName name="csDE_OPEX_SGAW_Dim09" localSheetId="18">#REF!</definedName>
    <definedName name="csDE_OPEX_SGAW_Dim09" localSheetId="25">#REF!</definedName>
    <definedName name="csDE_OPEX_SGAW_Dim09" localSheetId="29">#REF!</definedName>
    <definedName name="csDE_OPEX_SGAW_Dim09" localSheetId="31">#REF!</definedName>
    <definedName name="csDE_OPEX_SGAW_Dim09" localSheetId="15">#REF!</definedName>
    <definedName name="csDE_OPEX_SGAW_Dim09" localSheetId="13">#REF!</definedName>
    <definedName name="csDE_OPEX_SGAW_Dim09" localSheetId="17">#REF!</definedName>
    <definedName name="csDE_OPEX_SGAW_Dim09" localSheetId="12">#REF!</definedName>
    <definedName name="csDE_OPEX_SGAW_Dim09" localSheetId="22">#REF!</definedName>
    <definedName name="csDE_OPEX_SGAW_Dim09" localSheetId="28">#REF!</definedName>
    <definedName name="csDE_OPEX_SGAW_Dim09" localSheetId="35">#REF!</definedName>
    <definedName name="csDE_OPEX_SGAW_Dim09">#REF!</definedName>
    <definedName name="csDE_OPEX_SGAW_Dim10" localSheetId="18">#REF!</definedName>
    <definedName name="csDE_OPEX_SGAW_Dim10" localSheetId="25">#REF!</definedName>
    <definedName name="csDE_OPEX_SGAW_Dim10" localSheetId="29">#REF!</definedName>
    <definedName name="csDE_OPEX_SGAW_Dim10" localSheetId="31">#REF!</definedName>
    <definedName name="csDE_OPEX_SGAW_Dim10" localSheetId="15">#REF!</definedName>
    <definedName name="csDE_OPEX_SGAW_Dim10" localSheetId="13">#REF!</definedName>
    <definedName name="csDE_OPEX_SGAW_Dim10" localSheetId="17">#REF!</definedName>
    <definedName name="csDE_OPEX_SGAW_Dim10" localSheetId="12">#REF!</definedName>
    <definedName name="csDE_OPEX_SGAW_Dim10" localSheetId="22">#REF!</definedName>
    <definedName name="csDE_OPEX_SGAW_Dim10" localSheetId="28">#REF!</definedName>
    <definedName name="csDE_OPEX_SGAW_Dim10" localSheetId="35">#REF!</definedName>
    <definedName name="csDE_OPEX_SGAW_Dim10">#REF!</definedName>
    <definedName name="csDE_OPEX_SGAW_Dim11" localSheetId="18">#REF!</definedName>
    <definedName name="csDE_OPEX_SGAW_Dim11" localSheetId="25">#REF!</definedName>
    <definedName name="csDE_OPEX_SGAW_Dim11" localSheetId="29">#REF!</definedName>
    <definedName name="csDE_OPEX_SGAW_Dim11" localSheetId="31">#REF!</definedName>
    <definedName name="csDE_OPEX_SGAW_Dim11" localSheetId="15">#REF!</definedName>
    <definedName name="csDE_OPEX_SGAW_Dim11" localSheetId="13">#REF!</definedName>
    <definedName name="csDE_OPEX_SGAW_Dim11" localSheetId="17">#REF!</definedName>
    <definedName name="csDE_OPEX_SGAW_Dim11" localSheetId="12">#REF!</definedName>
    <definedName name="csDE_OPEX_SGAW_Dim11" localSheetId="22">#REF!</definedName>
    <definedName name="csDE_OPEX_SGAW_Dim11" localSheetId="28">#REF!</definedName>
    <definedName name="csDE_OPEX_SGAW_Dim11" localSheetId="35">#REF!</definedName>
    <definedName name="csDE_OPEX_SGAW_Dim11">#REF!</definedName>
    <definedName name="csDE_OPEX_SGAW_Dim12" localSheetId="18">#REF!</definedName>
    <definedName name="csDE_OPEX_SGAW_Dim12" localSheetId="25">#REF!</definedName>
    <definedName name="csDE_OPEX_SGAW_Dim12" localSheetId="29">#REF!</definedName>
    <definedName name="csDE_OPEX_SGAW_Dim12" localSheetId="31">#REF!</definedName>
    <definedName name="csDE_OPEX_SGAW_Dim12" localSheetId="15">#REF!</definedName>
    <definedName name="csDE_OPEX_SGAW_Dim12" localSheetId="13">#REF!</definedName>
    <definedName name="csDE_OPEX_SGAW_Dim12" localSheetId="17">#REF!</definedName>
    <definedName name="csDE_OPEX_SGAW_Dim12" localSheetId="12">#REF!</definedName>
    <definedName name="csDE_OPEX_SGAW_Dim12" localSheetId="22">#REF!</definedName>
    <definedName name="csDE_OPEX_SGAW_Dim12" localSheetId="28">#REF!</definedName>
    <definedName name="csDE_OPEX_SGAW_Dim12" localSheetId="35">#REF!</definedName>
    <definedName name="csDE_OPEX_SGAW_Dim12">#REF!</definedName>
    <definedName name="csDE_OPEX_SGAW_Dim13" localSheetId="18">#REF!</definedName>
    <definedName name="csDE_OPEX_SGAW_Dim13" localSheetId="25">#REF!</definedName>
    <definedName name="csDE_OPEX_SGAW_Dim13" localSheetId="29">#REF!</definedName>
    <definedName name="csDE_OPEX_SGAW_Dim13" localSheetId="31">#REF!</definedName>
    <definedName name="csDE_OPEX_SGAW_Dim13" localSheetId="15">#REF!</definedName>
    <definedName name="csDE_OPEX_SGAW_Dim13" localSheetId="13">#REF!</definedName>
    <definedName name="csDE_OPEX_SGAW_Dim13" localSheetId="17">#REF!</definedName>
    <definedName name="csDE_OPEX_SGAW_Dim13" localSheetId="12">#REF!</definedName>
    <definedName name="csDE_OPEX_SGAW_Dim13" localSheetId="22">#REF!</definedName>
    <definedName name="csDE_OPEX_SGAW_Dim13" localSheetId="28">#REF!</definedName>
    <definedName name="csDE_OPEX_SGAW_Dim13" localSheetId="35">#REF!</definedName>
    <definedName name="csDE_OPEX_SGAW_Dim13">#REF!</definedName>
    <definedName name="csDE_OPEX_SGAW_Dim14" localSheetId="18">#REF!</definedName>
    <definedName name="csDE_OPEX_SGAW_Dim14" localSheetId="25">#REF!</definedName>
    <definedName name="csDE_OPEX_SGAW_Dim14" localSheetId="29">#REF!</definedName>
    <definedName name="csDE_OPEX_SGAW_Dim14" localSheetId="31">#REF!</definedName>
    <definedName name="csDE_OPEX_SGAW_Dim14" localSheetId="15">#REF!</definedName>
    <definedName name="csDE_OPEX_SGAW_Dim14" localSheetId="13">#REF!</definedName>
    <definedName name="csDE_OPEX_SGAW_Dim14" localSheetId="17">#REF!</definedName>
    <definedName name="csDE_OPEX_SGAW_Dim14" localSheetId="12">#REF!</definedName>
    <definedName name="csDE_OPEX_SGAW_Dim14" localSheetId="22">#REF!</definedName>
    <definedName name="csDE_OPEX_SGAW_Dim14" localSheetId="28">#REF!</definedName>
    <definedName name="csDE_OPEX_SGAW_Dim14" localSheetId="35">#REF!</definedName>
    <definedName name="csDE_OPEX_SGAW_Dim14">#REF!</definedName>
    <definedName name="csDE_OPEX_SGAWAnchor" localSheetId="18">#REF!</definedName>
    <definedName name="csDE_OPEX_SGAWAnchor" localSheetId="25">#REF!</definedName>
    <definedName name="csDE_OPEX_SGAWAnchor" localSheetId="29">#REF!</definedName>
    <definedName name="csDE_OPEX_SGAWAnchor" localSheetId="31">#REF!</definedName>
    <definedName name="csDE_OPEX_SGAWAnchor" localSheetId="15">#REF!</definedName>
    <definedName name="csDE_OPEX_SGAWAnchor" localSheetId="13">#REF!</definedName>
    <definedName name="csDE_OPEX_SGAWAnchor" localSheetId="17">#REF!</definedName>
    <definedName name="csDE_OPEX_SGAWAnchor" localSheetId="12">#REF!</definedName>
    <definedName name="csDE_OPEX_SGAWAnchor" localSheetId="22">#REF!</definedName>
    <definedName name="csDE_OPEX_SGAWAnchor" localSheetId="28">#REF!</definedName>
    <definedName name="csDE_OPEX_SGAWAnchor" localSheetId="35">#REF!</definedName>
    <definedName name="csDE_OPEX_SGAWAnchor">#REF!</definedName>
    <definedName name="csDE_PAYROLL_SGAW_Dim01">"="</definedName>
    <definedName name="csDE_PAYROLL_SGAW_Dim02" localSheetId="18">#REF!</definedName>
    <definedName name="csDE_PAYROLL_SGAW_Dim02" localSheetId="25">#REF!</definedName>
    <definedName name="csDE_PAYROLL_SGAW_Dim02" localSheetId="29">#REF!</definedName>
    <definedName name="csDE_PAYROLL_SGAW_Dim02" localSheetId="31">#REF!</definedName>
    <definedName name="csDE_PAYROLL_SGAW_Dim02" localSheetId="15">#REF!</definedName>
    <definedName name="csDE_PAYROLL_SGAW_Dim02" localSheetId="13">#REF!</definedName>
    <definedName name="csDE_PAYROLL_SGAW_Dim02" localSheetId="17">#REF!</definedName>
    <definedName name="csDE_PAYROLL_SGAW_Dim02" localSheetId="12">#REF!</definedName>
    <definedName name="csDE_PAYROLL_SGAW_Dim02" localSheetId="22">#REF!</definedName>
    <definedName name="csDE_PAYROLL_SGAW_Dim02" localSheetId="28">#REF!</definedName>
    <definedName name="csDE_PAYROLL_SGAW_Dim02" localSheetId="35">#REF!</definedName>
    <definedName name="csDE_PAYROLL_SGAW_Dim02">#REF!</definedName>
    <definedName name="csDE_PAYROLL_SGAW_Dim03">"="</definedName>
    <definedName name="csDE_PAYROLL_SGAW_Dim04" localSheetId="18">#REF!</definedName>
    <definedName name="csDE_PAYROLL_SGAW_Dim04" localSheetId="25">#REF!</definedName>
    <definedName name="csDE_PAYROLL_SGAW_Dim04" localSheetId="29">#REF!</definedName>
    <definedName name="csDE_PAYROLL_SGAW_Dim04" localSheetId="31">#REF!</definedName>
    <definedName name="csDE_PAYROLL_SGAW_Dim04" localSheetId="15">#REF!</definedName>
    <definedName name="csDE_PAYROLL_SGAW_Dim04" localSheetId="13">#REF!</definedName>
    <definedName name="csDE_PAYROLL_SGAW_Dim04" localSheetId="17">#REF!</definedName>
    <definedName name="csDE_PAYROLL_SGAW_Dim04" localSheetId="12">#REF!</definedName>
    <definedName name="csDE_PAYROLL_SGAW_Dim04" localSheetId="22">#REF!</definedName>
    <definedName name="csDE_PAYROLL_SGAW_Dim04" localSheetId="28">#REF!</definedName>
    <definedName name="csDE_PAYROLL_SGAW_Dim04" localSheetId="35">#REF!</definedName>
    <definedName name="csDE_PAYROLL_SGAW_Dim04">#REF!</definedName>
    <definedName name="csDE_PAYROLL_SGAW_Dim05" localSheetId="18">#REF!</definedName>
    <definedName name="csDE_PAYROLL_SGAW_Dim05" localSheetId="25">#REF!</definedName>
    <definedName name="csDE_PAYROLL_SGAW_Dim05" localSheetId="29">#REF!</definedName>
    <definedName name="csDE_PAYROLL_SGAW_Dim05" localSheetId="31">#REF!</definedName>
    <definedName name="csDE_PAYROLL_SGAW_Dim05" localSheetId="15">#REF!</definedName>
    <definedName name="csDE_PAYROLL_SGAW_Dim05" localSheetId="13">#REF!</definedName>
    <definedName name="csDE_PAYROLL_SGAW_Dim05" localSheetId="17">#REF!</definedName>
    <definedName name="csDE_PAYROLL_SGAW_Dim05" localSheetId="12">#REF!</definedName>
    <definedName name="csDE_PAYROLL_SGAW_Dim05" localSheetId="22">#REF!</definedName>
    <definedName name="csDE_PAYROLL_SGAW_Dim05" localSheetId="28">#REF!</definedName>
    <definedName name="csDE_PAYROLL_SGAW_Dim05" localSheetId="35">#REF!</definedName>
    <definedName name="csDE_PAYROLL_SGAW_Dim05">#REF!</definedName>
    <definedName name="csDE_PAYROLL_SGAW_Dim06" localSheetId="18">#REF!</definedName>
    <definedName name="csDE_PAYROLL_SGAW_Dim06" localSheetId="25">#REF!</definedName>
    <definedName name="csDE_PAYROLL_SGAW_Dim06" localSheetId="29">#REF!</definedName>
    <definedName name="csDE_PAYROLL_SGAW_Dim06" localSheetId="31">#REF!</definedName>
    <definedName name="csDE_PAYROLL_SGAW_Dim06" localSheetId="15">#REF!</definedName>
    <definedName name="csDE_PAYROLL_SGAW_Dim06" localSheetId="13">#REF!</definedName>
    <definedName name="csDE_PAYROLL_SGAW_Dim06" localSheetId="17">#REF!</definedName>
    <definedName name="csDE_PAYROLL_SGAW_Dim06" localSheetId="12">#REF!</definedName>
    <definedName name="csDE_PAYROLL_SGAW_Dim06" localSheetId="22">#REF!</definedName>
    <definedName name="csDE_PAYROLL_SGAW_Dim06" localSheetId="28">#REF!</definedName>
    <definedName name="csDE_PAYROLL_SGAW_Dim06" localSheetId="35">#REF!</definedName>
    <definedName name="csDE_PAYROLL_SGAW_Dim06">#REF!</definedName>
    <definedName name="csDE_PAYROLL_SGAW_Dim07" localSheetId="18">#REF!</definedName>
    <definedName name="csDE_PAYROLL_SGAW_Dim07" localSheetId="25">#REF!</definedName>
    <definedName name="csDE_PAYROLL_SGAW_Dim07" localSheetId="29">#REF!</definedName>
    <definedName name="csDE_PAYROLL_SGAW_Dim07" localSheetId="31">#REF!</definedName>
    <definedName name="csDE_PAYROLL_SGAW_Dim07" localSheetId="15">#REF!</definedName>
    <definedName name="csDE_PAYROLL_SGAW_Dim07" localSheetId="13">#REF!</definedName>
    <definedName name="csDE_PAYROLL_SGAW_Dim07" localSheetId="17">#REF!</definedName>
    <definedName name="csDE_PAYROLL_SGAW_Dim07" localSheetId="12">#REF!</definedName>
    <definedName name="csDE_PAYROLL_SGAW_Dim07" localSheetId="22">#REF!</definedName>
    <definedName name="csDE_PAYROLL_SGAW_Dim07" localSheetId="28">#REF!</definedName>
    <definedName name="csDE_PAYROLL_SGAW_Dim07" localSheetId="35">#REF!</definedName>
    <definedName name="csDE_PAYROLL_SGAW_Dim07">#REF!</definedName>
    <definedName name="csDE_PAYROLL_SGAW_Dim08" localSheetId="18">#REF!</definedName>
    <definedName name="csDE_PAYROLL_SGAW_Dim08" localSheetId="25">#REF!</definedName>
    <definedName name="csDE_PAYROLL_SGAW_Dim08" localSheetId="29">#REF!</definedName>
    <definedName name="csDE_PAYROLL_SGAW_Dim08" localSheetId="31">#REF!</definedName>
    <definedName name="csDE_PAYROLL_SGAW_Dim08" localSheetId="15">#REF!</definedName>
    <definedName name="csDE_PAYROLL_SGAW_Dim08" localSheetId="13">#REF!</definedName>
    <definedName name="csDE_PAYROLL_SGAW_Dim08" localSheetId="17">#REF!</definedName>
    <definedName name="csDE_PAYROLL_SGAW_Dim08" localSheetId="12">#REF!</definedName>
    <definedName name="csDE_PAYROLL_SGAW_Dim08" localSheetId="22">#REF!</definedName>
    <definedName name="csDE_PAYROLL_SGAW_Dim08" localSheetId="28">#REF!</definedName>
    <definedName name="csDE_PAYROLL_SGAW_Dim08" localSheetId="35">#REF!</definedName>
    <definedName name="csDE_PAYROLL_SGAW_Dim08">#REF!</definedName>
    <definedName name="csDE_PAYROLL_SGAW_Dim09" localSheetId="18">#REF!</definedName>
    <definedName name="csDE_PAYROLL_SGAW_Dim09" localSheetId="25">#REF!</definedName>
    <definedName name="csDE_PAYROLL_SGAW_Dim09" localSheetId="29">#REF!</definedName>
    <definedName name="csDE_PAYROLL_SGAW_Dim09" localSheetId="31">#REF!</definedName>
    <definedName name="csDE_PAYROLL_SGAW_Dim09" localSheetId="15">#REF!</definedName>
    <definedName name="csDE_PAYROLL_SGAW_Dim09" localSheetId="13">#REF!</definedName>
    <definedName name="csDE_PAYROLL_SGAW_Dim09" localSheetId="17">#REF!</definedName>
    <definedName name="csDE_PAYROLL_SGAW_Dim09" localSheetId="12">#REF!</definedName>
    <definedName name="csDE_PAYROLL_SGAW_Dim09" localSheetId="22">#REF!</definedName>
    <definedName name="csDE_PAYROLL_SGAW_Dim09" localSheetId="28">#REF!</definedName>
    <definedName name="csDE_PAYROLL_SGAW_Dim09" localSheetId="35">#REF!</definedName>
    <definedName name="csDE_PAYROLL_SGAW_Dim09">#REF!</definedName>
    <definedName name="csDE_PAYROLL_SGAW_Dim10" localSheetId="18">#REF!</definedName>
    <definedName name="csDE_PAYROLL_SGAW_Dim10" localSheetId="25">#REF!</definedName>
    <definedName name="csDE_PAYROLL_SGAW_Dim10" localSheetId="29">#REF!</definedName>
    <definedName name="csDE_PAYROLL_SGAW_Dim10" localSheetId="31">#REF!</definedName>
    <definedName name="csDE_PAYROLL_SGAW_Dim10" localSheetId="15">#REF!</definedName>
    <definedName name="csDE_PAYROLL_SGAW_Dim10" localSheetId="13">#REF!</definedName>
    <definedName name="csDE_PAYROLL_SGAW_Dim10" localSheetId="17">#REF!</definedName>
    <definedName name="csDE_PAYROLL_SGAW_Dim10" localSheetId="12">#REF!</definedName>
    <definedName name="csDE_PAYROLL_SGAW_Dim10" localSheetId="22">#REF!</definedName>
    <definedName name="csDE_PAYROLL_SGAW_Dim10" localSheetId="28">#REF!</definedName>
    <definedName name="csDE_PAYROLL_SGAW_Dim10" localSheetId="35">#REF!</definedName>
    <definedName name="csDE_PAYROLL_SGAW_Dim10">#REF!</definedName>
    <definedName name="csDE_PAYROLL_SGAW_Dim11" localSheetId="18">#REF!</definedName>
    <definedName name="csDE_PAYROLL_SGAW_Dim11" localSheetId="25">#REF!</definedName>
    <definedName name="csDE_PAYROLL_SGAW_Dim11" localSheetId="29">#REF!</definedName>
    <definedName name="csDE_PAYROLL_SGAW_Dim11" localSheetId="31">#REF!</definedName>
    <definedName name="csDE_PAYROLL_SGAW_Dim11" localSheetId="15">#REF!</definedName>
    <definedName name="csDE_PAYROLL_SGAW_Dim11" localSheetId="13">#REF!</definedName>
    <definedName name="csDE_PAYROLL_SGAW_Dim11" localSheetId="17">#REF!</definedName>
    <definedName name="csDE_PAYROLL_SGAW_Dim11" localSheetId="12">#REF!</definedName>
    <definedName name="csDE_PAYROLL_SGAW_Dim11" localSheetId="22">#REF!</definedName>
    <definedName name="csDE_PAYROLL_SGAW_Dim11" localSheetId="28">#REF!</definedName>
    <definedName name="csDE_PAYROLL_SGAW_Dim11" localSheetId="35">#REF!</definedName>
    <definedName name="csDE_PAYROLL_SGAW_Dim11">#REF!</definedName>
    <definedName name="csDE_PAYROLL_SGAW_Dim12" localSheetId="18">#REF!</definedName>
    <definedName name="csDE_PAYROLL_SGAW_Dim12" localSheetId="25">#REF!</definedName>
    <definedName name="csDE_PAYROLL_SGAW_Dim12" localSheetId="29">#REF!</definedName>
    <definedName name="csDE_PAYROLL_SGAW_Dim12" localSheetId="31">#REF!</definedName>
    <definedName name="csDE_PAYROLL_SGAW_Dim12" localSheetId="15">#REF!</definedName>
    <definedName name="csDE_PAYROLL_SGAW_Dim12" localSheetId="13">#REF!</definedName>
    <definedName name="csDE_PAYROLL_SGAW_Dim12" localSheetId="17">#REF!</definedName>
    <definedName name="csDE_PAYROLL_SGAW_Dim12" localSheetId="12">#REF!</definedName>
    <definedName name="csDE_PAYROLL_SGAW_Dim12" localSheetId="22">#REF!</definedName>
    <definedName name="csDE_PAYROLL_SGAW_Dim12" localSheetId="28">#REF!</definedName>
    <definedName name="csDE_PAYROLL_SGAW_Dim12" localSheetId="35">#REF!</definedName>
    <definedName name="csDE_PAYROLL_SGAW_Dim12">#REF!</definedName>
    <definedName name="csDE_PAYROLL_SGAW_Dim13" localSheetId="18">#REF!</definedName>
    <definedName name="csDE_PAYROLL_SGAW_Dim13" localSheetId="25">#REF!</definedName>
    <definedName name="csDE_PAYROLL_SGAW_Dim13" localSheetId="29">#REF!</definedName>
    <definedName name="csDE_PAYROLL_SGAW_Dim13" localSheetId="31">#REF!</definedName>
    <definedName name="csDE_PAYROLL_SGAW_Dim13" localSheetId="15">#REF!</definedName>
    <definedName name="csDE_PAYROLL_SGAW_Dim13" localSheetId="13">#REF!</definedName>
    <definedName name="csDE_PAYROLL_SGAW_Dim13" localSheetId="17">#REF!</definedName>
    <definedName name="csDE_PAYROLL_SGAW_Dim13" localSheetId="12">#REF!</definedName>
    <definedName name="csDE_PAYROLL_SGAW_Dim13" localSheetId="22">#REF!</definedName>
    <definedName name="csDE_PAYROLL_SGAW_Dim13" localSheetId="28">#REF!</definedName>
    <definedName name="csDE_PAYROLL_SGAW_Dim13" localSheetId="35">#REF!</definedName>
    <definedName name="csDE_PAYROLL_SGAW_Dim13">#REF!</definedName>
    <definedName name="csDE_PAYROLL_SGAW_Dim14" localSheetId="18">#REF!</definedName>
    <definedName name="csDE_PAYROLL_SGAW_Dim14" localSheetId="25">#REF!</definedName>
    <definedName name="csDE_PAYROLL_SGAW_Dim14" localSheetId="29">#REF!</definedName>
    <definedName name="csDE_PAYROLL_SGAW_Dim14" localSheetId="31">#REF!</definedName>
    <definedName name="csDE_PAYROLL_SGAW_Dim14" localSheetId="15">#REF!</definedName>
    <definedName name="csDE_PAYROLL_SGAW_Dim14" localSheetId="13">#REF!</definedName>
    <definedName name="csDE_PAYROLL_SGAW_Dim14" localSheetId="17">#REF!</definedName>
    <definedName name="csDE_PAYROLL_SGAW_Dim14" localSheetId="12">#REF!</definedName>
    <definedName name="csDE_PAYROLL_SGAW_Dim14" localSheetId="22">#REF!</definedName>
    <definedName name="csDE_PAYROLL_SGAW_Dim14" localSheetId="28">#REF!</definedName>
    <definedName name="csDE_PAYROLL_SGAW_Dim14" localSheetId="35">#REF!</definedName>
    <definedName name="csDE_PAYROLL_SGAW_Dim14">#REF!</definedName>
    <definedName name="csDE_PAYROLL_SGAWAnchor" localSheetId="18">#REF!</definedName>
    <definedName name="csDE_PAYROLL_SGAWAnchor" localSheetId="25">#REF!</definedName>
    <definedName name="csDE_PAYROLL_SGAWAnchor" localSheetId="29">#REF!</definedName>
    <definedName name="csDE_PAYROLL_SGAWAnchor" localSheetId="31">#REF!</definedName>
    <definedName name="csDE_PAYROLL_SGAWAnchor" localSheetId="15">#REF!</definedName>
    <definedName name="csDE_PAYROLL_SGAWAnchor" localSheetId="13">#REF!</definedName>
    <definedName name="csDE_PAYROLL_SGAWAnchor" localSheetId="17">#REF!</definedName>
    <definedName name="csDE_PAYROLL_SGAWAnchor" localSheetId="12">#REF!</definedName>
    <definedName name="csDE_PAYROLL_SGAWAnchor" localSheetId="22">#REF!</definedName>
    <definedName name="csDE_PAYROLL_SGAWAnchor" localSheetId="28">#REF!</definedName>
    <definedName name="csDE_PAYROLL_SGAWAnchor" localSheetId="35">#REF!</definedName>
    <definedName name="csDE_PAYROLL_SGAWAnchor">#REF!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2" localSheetId="18">#REF!</definedName>
    <definedName name="csRPT_EXPENSE_BY_CC_Dim02" localSheetId="25">#REF!</definedName>
    <definedName name="csRPT_EXPENSE_BY_CC_Dim02" localSheetId="29">#REF!</definedName>
    <definedName name="csRPT_EXPENSE_BY_CC_Dim02" localSheetId="31">#REF!</definedName>
    <definedName name="csRPT_EXPENSE_BY_CC_Dim02" localSheetId="15">#REF!</definedName>
    <definedName name="csRPT_EXPENSE_BY_CC_Dim02" localSheetId="13">#REF!</definedName>
    <definedName name="csRPT_EXPENSE_BY_CC_Dim02" localSheetId="17">#REF!</definedName>
    <definedName name="csRPT_EXPENSE_BY_CC_Dim02" localSheetId="12">#REF!</definedName>
    <definedName name="csRPT_EXPENSE_BY_CC_Dim02" localSheetId="22">#REF!</definedName>
    <definedName name="csRPT_EXPENSE_BY_CC_Dim02" localSheetId="28">#REF!</definedName>
    <definedName name="csRPT_EXPENSE_BY_CC_Dim02" localSheetId="35">#REF!</definedName>
    <definedName name="csRPT_EXPENSE_BY_CC_Dim02">#REF!</definedName>
    <definedName name="csRPT_EXPENSE_BY_CC_Dim03">"="</definedName>
    <definedName name="csRPT_EXPENSE_BY_CC_Dim04" localSheetId="18">#REF!</definedName>
    <definedName name="csRPT_EXPENSE_BY_CC_Dim04" localSheetId="25">#REF!</definedName>
    <definedName name="csRPT_EXPENSE_BY_CC_Dim04" localSheetId="29">#REF!</definedName>
    <definedName name="csRPT_EXPENSE_BY_CC_Dim04" localSheetId="31">#REF!</definedName>
    <definedName name="csRPT_EXPENSE_BY_CC_Dim04" localSheetId="15">#REF!</definedName>
    <definedName name="csRPT_EXPENSE_BY_CC_Dim04" localSheetId="13">#REF!</definedName>
    <definedName name="csRPT_EXPENSE_BY_CC_Dim04" localSheetId="17">#REF!</definedName>
    <definedName name="csRPT_EXPENSE_BY_CC_Dim04" localSheetId="12">#REF!</definedName>
    <definedName name="csRPT_EXPENSE_BY_CC_Dim04" localSheetId="22">#REF!</definedName>
    <definedName name="csRPT_EXPENSE_BY_CC_Dim04" localSheetId="28">#REF!</definedName>
    <definedName name="csRPT_EXPENSE_BY_CC_Dim04" localSheetId="35">#REF!</definedName>
    <definedName name="csRPT_EXPENSE_BY_CC_Dim04">#REF!</definedName>
    <definedName name="csRPT_EXPENSE_BY_CC_Dim05" localSheetId="18">#REF!</definedName>
    <definedName name="csRPT_EXPENSE_BY_CC_Dim05" localSheetId="25">#REF!</definedName>
    <definedName name="csRPT_EXPENSE_BY_CC_Dim05" localSheetId="29">#REF!</definedName>
    <definedName name="csRPT_EXPENSE_BY_CC_Dim05" localSheetId="31">#REF!</definedName>
    <definedName name="csRPT_EXPENSE_BY_CC_Dim05" localSheetId="15">#REF!</definedName>
    <definedName name="csRPT_EXPENSE_BY_CC_Dim05" localSheetId="13">#REF!</definedName>
    <definedName name="csRPT_EXPENSE_BY_CC_Dim05" localSheetId="17">#REF!</definedName>
    <definedName name="csRPT_EXPENSE_BY_CC_Dim05" localSheetId="12">#REF!</definedName>
    <definedName name="csRPT_EXPENSE_BY_CC_Dim05" localSheetId="22">#REF!</definedName>
    <definedName name="csRPT_EXPENSE_BY_CC_Dim05" localSheetId="28">#REF!</definedName>
    <definedName name="csRPT_EXPENSE_BY_CC_Dim05" localSheetId="35">#REF!</definedName>
    <definedName name="csRPT_EXPENSE_BY_CC_Dim05">#REF!</definedName>
    <definedName name="csRPT_EXPENSE_BY_CC_Dim06" localSheetId="18">#REF!</definedName>
    <definedName name="csRPT_EXPENSE_BY_CC_Dim06" localSheetId="25">#REF!</definedName>
    <definedName name="csRPT_EXPENSE_BY_CC_Dim06" localSheetId="29">#REF!</definedName>
    <definedName name="csRPT_EXPENSE_BY_CC_Dim06" localSheetId="31">#REF!</definedName>
    <definedName name="csRPT_EXPENSE_BY_CC_Dim06" localSheetId="15">#REF!</definedName>
    <definedName name="csRPT_EXPENSE_BY_CC_Dim06" localSheetId="13">#REF!</definedName>
    <definedName name="csRPT_EXPENSE_BY_CC_Dim06" localSheetId="17">#REF!</definedName>
    <definedName name="csRPT_EXPENSE_BY_CC_Dim06" localSheetId="12">#REF!</definedName>
    <definedName name="csRPT_EXPENSE_BY_CC_Dim06" localSheetId="22">#REF!</definedName>
    <definedName name="csRPT_EXPENSE_BY_CC_Dim06" localSheetId="28">#REF!</definedName>
    <definedName name="csRPT_EXPENSE_BY_CC_Dim06" localSheetId="35">#REF!</definedName>
    <definedName name="csRPT_EXPENSE_BY_CC_Dim06">#REF!</definedName>
    <definedName name="csRPT_EXPENSE_BY_CC_Dim07" localSheetId="18">#REF!</definedName>
    <definedName name="csRPT_EXPENSE_BY_CC_Dim07" localSheetId="25">#REF!</definedName>
    <definedName name="csRPT_EXPENSE_BY_CC_Dim07" localSheetId="29">#REF!</definedName>
    <definedName name="csRPT_EXPENSE_BY_CC_Dim07" localSheetId="31">#REF!</definedName>
    <definedName name="csRPT_EXPENSE_BY_CC_Dim07" localSheetId="15">#REF!</definedName>
    <definedName name="csRPT_EXPENSE_BY_CC_Dim07" localSheetId="13">#REF!</definedName>
    <definedName name="csRPT_EXPENSE_BY_CC_Dim07" localSheetId="17">#REF!</definedName>
    <definedName name="csRPT_EXPENSE_BY_CC_Dim07" localSheetId="12">#REF!</definedName>
    <definedName name="csRPT_EXPENSE_BY_CC_Dim07" localSheetId="22">#REF!</definedName>
    <definedName name="csRPT_EXPENSE_BY_CC_Dim07" localSheetId="28">#REF!</definedName>
    <definedName name="csRPT_EXPENSE_BY_CC_Dim07" localSheetId="35">#REF!</definedName>
    <definedName name="csRPT_EXPENSE_BY_CC_Dim07">#REF!</definedName>
    <definedName name="csRPT_EXPENSE_BY_CC_Dim08" localSheetId="18">#REF!</definedName>
    <definedName name="csRPT_EXPENSE_BY_CC_Dim08" localSheetId="25">#REF!</definedName>
    <definedName name="csRPT_EXPENSE_BY_CC_Dim08" localSheetId="29">#REF!</definedName>
    <definedName name="csRPT_EXPENSE_BY_CC_Dim08" localSheetId="31">#REF!</definedName>
    <definedName name="csRPT_EXPENSE_BY_CC_Dim08" localSheetId="15">#REF!</definedName>
    <definedName name="csRPT_EXPENSE_BY_CC_Dim08" localSheetId="13">#REF!</definedName>
    <definedName name="csRPT_EXPENSE_BY_CC_Dim08" localSheetId="17">#REF!</definedName>
    <definedName name="csRPT_EXPENSE_BY_CC_Dim08" localSheetId="12">#REF!</definedName>
    <definedName name="csRPT_EXPENSE_BY_CC_Dim08" localSheetId="22">#REF!</definedName>
    <definedName name="csRPT_EXPENSE_BY_CC_Dim08" localSheetId="28">#REF!</definedName>
    <definedName name="csRPT_EXPENSE_BY_CC_Dim08" localSheetId="35">#REF!</definedName>
    <definedName name="csRPT_EXPENSE_BY_CC_Dim08">#REF!</definedName>
    <definedName name="csRPT_EXPENSE_BY_CC_Dim09" localSheetId="18">#REF!</definedName>
    <definedName name="csRPT_EXPENSE_BY_CC_Dim09" localSheetId="25">#REF!</definedName>
    <definedName name="csRPT_EXPENSE_BY_CC_Dim09" localSheetId="29">#REF!</definedName>
    <definedName name="csRPT_EXPENSE_BY_CC_Dim09" localSheetId="31">#REF!</definedName>
    <definedName name="csRPT_EXPENSE_BY_CC_Dim09" localSheetId="15">#REF!</definedName>
    <definedName name="csRPT_EXPENSE_BY_CC_Dim09" localSheetId="13">#REF!</definedName>
    <definedName name="csRPT_EXPENSE_BY_CC_Dim09" localSheetId="17">#REF!</definedName>
    <definedName name="csRPT_EXPENSE_BY_CC_Dim09" localSheetId="12">#REF!</definedName>
    <definedName name="csRPT_EXPENSE_BY_CC_Dim09" localSheetId="22">#REF!</definedName>
    <definedName name="csRPT_EXPENSE_BY_CC_Dim09" localSheetId="28">#REF!</definedName>
    <definedName name="csRPT_EXPENSE_BY_CC_Dim09" localSheetId="35">#REF!</definedName>
    <definedName name="csRPT_EXPENSE_BY_CC_Dim09">#REF!</definedName>
    <definedName name="csRPT_EXPENSE_BY_CC_Dim10" localSheetId="18">#REF!</definedName>
    <definedName name="csRPT_EXPENSE_BY_CC_Dim10" localSheetId="25">#REF!</definedName>
    <definedName name="csRPT_EXPENSE_BY_CC_Dim10" localSheetId="29">#REF!</definedName>
    <definedName name="csRPT_EXPENSE_BY_CC_Dim10" localSheetId="31">#REF!</definedName>
    <definedName name="csRPT_EXPENSE_BY_CC_Dim10" localSheetId="15">#REF!</definedName>
    <definedName name="csRPT_EXPENSE_BY_CC_Dim10" localSheetId="13">#REF!</definedName>
    <definedName name="csRPT_EXPENSE_BY_CC_Dim10" localSheetId="17">#REF!</definedName>
    <definedName name="csRPT_EXPENSE_BY_CC_Dim10" localSheetId="12">#REF!</definedName>
    <definedName name="csRPT_EXPENSE_BY_CC_Dim10" localSheetId="22">#REF!</definedName>
    <definedName name="csRPT_EXPENSE_BY_CC_Dim10" localSheetId="28">#REF!</definedName>
    <definedName name="csRPT_EXPENSE_BY_CC_Dim10" localSheetId="35">#REF!</definedName>
    <definedName name="csRPT_EXPENSE_BY_CC_Dim10">#REF!</definedName>
    <definedName name="csRPT_EXPENSE_BY_CC_Dim11" localSheetId="18">#REF!</definedName>
    <definedName name="csRPT_EXPENSE_BY_CC_Dim11" localSheetId="25">#REF!</definedName>
    <definedName name="csRPT_EXPENSE_BY_CC_Dim11" localSheetId="29">#REF!</definedName>
    <definedName name="csRPT_EXPENSE_BY_CC_Dim11" localSheetId="31">#REF!</definedName>
    <definedName name="csRPT_EXPENSE_BY_CC_Dim11" localSheetId="15">#REF!</definedName>
    <definedName name="csRPT_EXPENSE_BY_CC_Dim11" localSheetId="13">#REF!</definedName>
    <definedName name="csRPT_EXPENSE_BY_CC_Dim11" localSheetId="17">#REF!</definedName>
    <definedName name="csRPT_EXPENSE_BY_CC_Dim11" localSheetId="12">#REF!</definedName>
    <definedName name="csRPT_EXPENSE_BY_CC_Dim11" localSheetId="22">#REF!</definedName>
    <definedName name="csRPT_EXPENSE_BY_CC_Dim11" localSheetId="28">#REF!</definedName>
    <definedName name="csRPT_EXPENSE_BY_CC_Dim11" localSheetId="35">#REF!</definedName>
    <definedName name="csRPT_EXPENSE_BY_CC_Dim11">#REF!</definedName>
    <definedName name="csRPT_EXPENSE_BY_CC_Dim12" localSheetId="18">#REF!</definedName>
    <definedName name="csRPT_EXPENSE_BY_CC_Dim12" localSheetId="25">#REF!</definedName>
    <definedName name="csRPT_EXPENSE_BY_CC_Dim12" localSheetId="29">#REF!</definedName>
    <definedName name="csRPT_EXPENSE_BY_CC_Dim12" localSheetId="31">#REF!</definedName>
    <definedName name="csRPT_EXPENSE_BY_CC_Dim12" localSheetId="15">#REF!</definedName>
    <definedName name="csRPT_EXPENSE_BY_CC_Dim12" localSheetId="13">#REF!</definedName>
    <definedName name="csRPT_EXPENSE_BY_CC_Dim12" localSheetId="17">#REF!</definedName>
    <definedName name="csRPT_EXPENSE_BY_CC_Dim12" localSheetId="12">#REF!</definedName>
    <definedName name="csRPT_EXPENSE_BY_CC_Dim12" localSheetId="22">#REF!</definedName>
    <definedName name="csRPT_EXPENSE_BY_CC_Dim12" localSheetId="28">#REF!</definedName>
    <definedName name="csRPT_EXPENSE_BY_CC_Dim12" localSheetId="35">#REF!</definedName>
    <definedName name="csRPT_EXPENSE_BY_CC_Dim12">#REF!</definedName>
    <definedName name="csRPT_EXPENSE_BY_CC_Dim13" localSheetId="18">#REF!</definedName>
    <definedName name="csRPT_EXPENSE_BY_CC_Dim13" localSheetId="25">#REF!</definedName>
    <definedName name="csRPT_EXPENSE_BY_CC_Dim13" localSheetId="29">#REF!</definedName>
    <definedName name="csRPT_EXPENSE_BY_CC_Dim13" localSheetId="31">#REF!</definedName>
    <definedName name="csRPT_EXPENSE_BY_CC_Dim13" localSheetId="15">#REF!</definedName>
    <definedName name="csRPT_EXPENSE_BY_CC_Dim13" localSheetId="13">#REF!</definedName>
    <definedName name="csRPT_EXPENSE_BY_CC_Dim13" localSheetId="17">#REF!</definedName>
    <definedName name="csRPT_EXPENSE_BY_CC_Dim13" localSheetId="12">#REF!</definedName>
    <definedName name="csRPT_EXPENSE_BY_CC_Dim13" localSheetId="22">#REF!</definedName>
    <definedName name="csRPT_EXPENSE_BY_CC_Dim13" localSheetId="28">#REF!</definedName>
    <definedName name="csRPT_EXPENSE_BY_CC_Dim13" localSheetId="35">#REF!</definedName>
    <definedName name="csRPT_EXPENSE_BY_CC_Dim13">#REF!</definedName>
    <definedName name="csRPT_EXPENSE_BY_CC_Dim14" localSheetId="18">#REF!</definedName>
    <definedName name="csRPT_EXPENSE_BY_CC_Dim14" localSheetId="25">#REF!</definedName>
    <definedName name="csRPT_EXPENSE_BY_CC_Dim14" localSheetId="29">#REF!</definedName>
    <definedName name="csRPT_EXPENSE_BY_CC_Dim14" localSheetId="31">#REF!</definedName>
    <definedName name="csRPT_EXPENSE_BY_CC_Dim14" localSheetId="15">#REF!</definedName>
    <definedName name="csRPT_EXPENSE_BY_CC_Dim14" localSheetId="13">#REF!</definedName>
    <definedName name="csRPT_EXPENSE_BY_CC_Dim14" localSheetId="17">#REF!</definedName>
    <definedName name="csRPT_EXPENSE_BY_CC_Dim14" localSheetId="12">#REF!</definedName>
    <definedName name="csRPT_EXPENSE_BY_CC_Dim14" localSheetId="22">#REF!</definedName>
    <definedName name="csRPT_EXPENSE_BY_CC_Dim14" localSheetId="28">#REF!</definedName>
    <definedName name="csRPT_EXPENSE_BY_CC_Dim14" localSheetId="35">#REF!</definedName>
    <definedName name="csRPT_EXPENSE_BY_CC_Dim14">#REF!</definedName>
    <definedName name="csRPT_EXPENSE_BY_CCAnchor" localSheetId="18">#REF!</definedName>
    <definedName name="csRPT_EXPENSE_BY_CCAnchor" localSheetId="25">#REF!</definedName>
    <definedName name="csRPT_EXPENSE_BY_CCAnchor" localSheetId="29">#REF!</definedName>
    <definedName name="csRPT_EXPENSE_BY_CCAnchor" localSheetId="31">#REF!</definedName>
    <definedName name="csRPT_EXPENSE_BY_CCAnchor" localSheetId="15">#REF!</definedName>
    <definedName name="csRPT_EXPENSE_BY_CCAnchor" localSheetId="13">#REF!</definedName>
    <definedName name="csRPT_EXPENSE_BY_CCAnchor" localSheetId="17">#REF!</definedName>
    <definedName name="csRPT_EXPENSE_BY_CCAnchor" localSheetId="12">#REF!</definedName>
    <definedName name="csRPT_EXPENSE_BY_CCAnchor" localSheetId="22">#REF!</definedName>
    <definedName name="csRPT_EXPENSE_BY_CCAnchor" localSheetId="28">#REF!</definedName>
    <definedName name="csRPT_EXPENSE_BY_CCAnchor" localSheetId="35">#REF!</definedName>
    <definedName name="csRPT_EXPENSE_BY_CCAnchor">#REF!</definedName>
    <definedName name="csRPT_Opex_CC_Dim01">"="</definedName>
    <definedName name="csRPT_Opex_CC_Dim02" localSheetId="18">#REF!</definedName>
    <definedName name="csRPT_Opex_CC_Dim02" localSheetId="25">#REF!</definedName>
    <definedName name="csRPT_Opex_CC_Dim02" localSheetId="29">#REF!</definedName>
    <definedName name="csRPT_Opex_CC_Dim02" localSheetId="31">#REF!</definedName>
    <definedName name="csRPT_Opex_CC_Dim02" localSheetId="15">#REF!</definedName>
    <definedName name="csRPT_Opex_CC_Dim02" localSheetId="13">#REF!</definedName>
    <definedName name="csRPT_Opex_CC_Dim02" localSheetId="17">#REF!</definedName>
    <definedName name="csRPT_Opex_CC_Dim02" localSheetId="12">#REF!</definedName>
    <definedName name="csRPT_Opex_CC_Dim02" localSheetId="22">#REF!</definedName>
    <definedName name="csRPT_Opex_CC_Dim02" localSheetId="28">#REF!</definedName>
    <definedName name="csRPT_Opex_CC_Dim02" localSheetId="35">#REF!</definedName>
    <definedName name="csRPT_Opex_CC_Dim02">#REF!</definedName>
    <definedName name="csRPT_Opex_CC_Dim03">"="</definedName>
    <definedName name="csRPT_Opex_CC_Dim04" localSheetId="18">#REF!</definedName>
    <definedName name="csRPT_Opex_CC_Dim04" localSheetId="25">#REF!</definedName>
    <definedName name="csRPT_Opex_CC_Dim04" localSheetId="29">#REF!</definedName>
    <definedName name="csRPT_Opex_CC_Dim04" localSheetId="31">#REF!</definedName>
    <definedName name="csRPT_Opex_CC_Dim04" localSheetId="15">#REF!</definedName>
    <definedName name="csRPT_Opex_CC_Dim04" localSheetId="13">#REF!</definedName>
    <definedName name="csRPT_Opex_CC_Dim04" localSheetId="17">#REF!</definedName>
    <definedName name="csRPT_Opex_CC_Dim04" localSheetId="12">#REF!</definedName>
    <definedName name="csRPT_Opex_CC_Dim04" localSheetId="22">#REF!</definedName>
    <definedName name="csRPT_Opex_CC_Dim04" localSheetId="28">#REF!</definedName>
    <definedName name="csRPT_Opex_CC_Dim04" localSheetId="35">#REF!</definedName>
    <definedName name="csRPT_Opex_CC_Dim04">#REF!</definedName>
    <definedName name="csRPT_Opex_CC_Dim05">"="</definedName>
    <definedName name="csRPT_Opex_CC_Dim06" localSheetId="18">#REF!</definedName>
    <definedName name="csRPT_Opex_CC_Dim06" localSheetId="25">#REF!</definedName>
    <definedName name="csRPT_Opex_CC_Dim06" localSheetId="29">#REF!</definedName>
    <definedName name="csRPT_Opex_CC_Dim06" localSheetId="31">#REF!</definedName>
    <definedName name="csRPT_Opex_CC_Dim06" localSheetId="15">#REF!</definedName>
    <definedName name="csRPT_Opex_CC_Dim06" localSheetId="13">#REF!</definedName>
    <definedName name="csRPT_Opex_CC_Dim06" localSheetId="17">#REF!</definedName>
    <definedName name="csRPT_Opex_CC_Dim06" localSheetId="12">#REF!</definedName>
    <definedName name="csRPT_Opex_CC_Dim06" localSheetId="22">#REF!</definedName>
    <definedName name="csRPT_Opex_CC_Dim06" localSheetId="28">#REF!</definedName>
    <definedName name="csRPT_Opex_CC_Dim06" localSheetId="35">#REF!</definedName>
    <definedName name="csRPT_Opex_CC_Dim06">#REF!</definedName>
    <definedName name="csRPT_Opex_CC_Dim07" localSheetId="18">#REF!</definedName>
    <definedName name="csRPT_Opex_CC_Dim07" localSheetId="25">#REF!</definedName>
    <definedName name="csRPT_Opex_CC_Dim07" localSheetId="29">#REF!</definedName>
    <definedName name="csRPT_Opex_CC_Dim07" localSheetId="31">#REF!</definedName>
    <definedName name="csRPT_Opex_CC_Dim07" localSheetId="15">#REF!</definedName>
    <definedName name="csRPT_Opex_CC_Dim07" localSheetId="13">#REF!</definedName>
    <definedName name="csRPT_Opex_CC_Dim07" localSheetId="17">#REF!</definedName>
    <definedName name="csRPT_Opex_CC_Dim07" localSheetId="12">#REF!</definedName>
    <definedName name="csRPT_Opex_CC_Dim07" localSheetId="22">#REF!</definedName>
    <definedName name="csRPT_Opex_CC_Dim07" localSheetId="28">#REF!</definedName>
    <definedName name="csRPT_Opex_CC_Dim07" localSheetId="35">#REF!</definedName>
    <definedName name="csRPT_Opex_CC_Dim07">#REF!</definedName>
    <definedName name="csRPT_Opex_CC_Dim08" localSheetId="18">#REF!</definedName>
    <definedName name="csRPT_Opex_CC_Dim08" localSheetId="25">#REF!</definedName>
    <definedName name="csRPT_Opex_CC_Dim08" localSheetId="29">#REF!</definedName>
    <definedName name="csRPT_Opex_CC_Dim08" localSheetId="31">#REF!</definedName>
    <definedName name="csRPT_Opex_CC_Dim08" localSheetId="15">#REF!</definedName>
    <definedName name="csRPT_Opex_CC_Dim08" localSheetId="13">#REF!</definedName>
    <definedName name="csRPT_Opex_CC_Dim08" localSheetId="17">#REF!</definedName>
    <definedName name="csRPT_Opex_CC_Dim08" localSheetId="12">#REF!</definedName>
    <definedName name="csRPT_Opex_CC_Dim08" localSheetId="22">#REF!</definedName>
    <definedName name="csRPT_Opex_CC_Dim08" localSheetId="28">#REF!</definedName>
    <definedName name="csRPT_Opex_CC_Dim08" localSheetId="35">#REF!</definedName>
    <definedName name="csRPT_Opex_CC_Dim08">#REF!</definedName>
    <definedName name="csRPT_Opex_CC_Dim09" localSheetId="18">#REF!</definedName>
    <definedName name="csRPT_Opex_CC_Dim09" localSheetId="25">#REF!</definedName>
    <definedName name="csRPT_Opex_CC_Dim09" localSheetId="29">#REF!</definedName>
    <definedName name="csRPT_Opex_CC_Dim09" localSheetId="31">#REF!</definedName>
    <definedName name="csRPT_Opex_CC_Dim09" localSheetId="15">#REF!</definedName>
    <definedName name="csRPT_Opex_CC_Dim09" localSheetId="13">#REF!</definedName>
    <definedName name="csRPT_Opex_CC_Dim09" localSheetId="17">#REF!</definedName>
    <definedName name="csRPT_Opex_CC_Dim09" localSheetId="12">#REF!</definedName>
    <definedName name="csRPT_Opex_CC_Dim09" localSheetId="22">#REF!</definedName>
    <definedName name="csRPT_Opex_CC_Dim09" localSheetId="28">#REF!</definedName>
    <definedName name="csRPT_Opex_CC_Dim09" localSheetId="35">#REF!</definedName>
    <definedName name="csRPT_Opex_CC_Dim09">#REF!</definedName>
    <definedName name="csRPT_Opex_CC_Dim10" localSheetId="18">#REF!</definedName>
    <definedName name="csRPT_Opex_CC_Dim10" localSheetId="25">#REF!</definedName>
    <definedName name="csRPT_Opex_CC_Dim10" localSheetId="29">#REF!</definedName>
    <definedName name="csRPT_Opex_CC_Dim10" localSheetId="31">#REF!</definedName>
    <definedName name="csRPT_Opex_CC_Dim10" localSheetId="15">#REF!</definedName>
    <definedName name="csRPT_Opex_CC_Dim10" localSheetId="13">#REF!</definedName>
    <definedName name="csRPT_Opex_CC_Dim10" localSheetId="17">#REF!</definedName>
    <definedName name="csRPT_Opex_CC_Dim10" localSheetId="12">#REF!</definedName>
    <definedName name="csRPT_Opex_CC_Dim10" localSheetId="22">#REF!</definedName>
    <definedName name="csRPT_Opex_CC_Dim10" localSheetId="28">#REF!</definedName>
    <definedName name="csRPT_Opex_CC_Dim10" localSheetId="35">#REF!</definedName>
    <definedName name="csRPT_Opex_CC_Dim10">#REF!</definedName>
    <definedName name="csRPT_Opex_CC_Dim11" localSheetId="18">#REF!</definedName>
    <definedName name="csRPT_Opex_CC_Dim11" localSheetId="25">#REF!</definedName>
    <definedName name="csRPT_Opex_CC_Dim11" localSheetId="29">#REF!</definedName>
    <definedName name="csRPT_Opex_CC_Dim11" localSheetId="31">#REF!</definedName>
    <definedName name="csRPT_Opex_CC_Dim11" localSheetId="15">#REF!</definedName>
    <definedName name="csRPT_Opex_CC_Dim11" localSheetId="13">#REF!</definedName>
    <definedName name="csRPT_Opex_CC_Dim11" localSheetId="17">#REF!</definedName>
    <definedName name="csRPT_Opex_CC_Dim11" localSheetId="12">#REF!</definedName>
    <definedName name="csRPT_Opex_CC_Dim11" localSheetId="22">#REF!</definedName>
    <definedName name="csRPT_Opex_CC_Dim11" localSheetId="28">#REF!</definedName>
    <definedName name="csRPT_Opex_CC_Dim11" localSheetId="35">#REF!</definedName>
    <definedName name="csRPT_Opex_CC_Dim11">#REF!</definedName>
    <definedName name="csRPT_Opex_CC_Dim12" localSheetId="18">#REF!</definedName>
    <definedName name="csRPT_Opex_CC_Dim12" localSheetId="25">#REF!</definedName>
    <definedName name="csRPT_Opex_CC_Dim12" localSheetId="29">#REF!</definedName>
    <definedName name="csRPT_Opex_CC_Dim12" localSheetId="31">#REF!</definedName>
    <definedName name="csRPT_Opex_CC_Dim12" localSheetId="15">#REF!</definedName>
    <definedName name="csRPT_Opex_CC_Dim12" localSheetId="13">#REF!</definedName>
    <definedName name="csRPT_Opex_CC_Dim12" localSheetId="17">#REF!</definedName>
    <definedName name="csRPT_Opex_CC_Dim12" localSheetId="12">#REF!</definedName>
    <definedName name="csRPT_Opex_CC_Dim12" localSheetId="22">#REF!</definedName>
    <definedName name="csRPT_Opex_CC_Dim12" localSheetId="28">#REF!</definedName>
    <definedName name="csRPT_Opex_CC_Dim12" localSheetId="35">#REF!</definedName>
    <definedName name="csRPT_Opex_CC_Dim12">#REF!</definedName>
    <definedName name="csRPT_Opex_CC_Dim13" localSheetId="18">#REF!</definedName>
    <definedName name="csRPT_Opex_CC_Dim13" localSheetId="25">#REF!</definedName>
    <definedName name="csRPT_Opex_CC_Dim13" localSheetId="29">#REF!</definedName>
    <definedName name="csRPT_Opex_CC_Dim13" localSheetId="31">#REF!</definedName>
    <definedName name="csRPT_Opex_CC_Dim13" localSheetId="15">#REF!</definedName>
    <definedName name="csRPT_Opex_CC_Dim13" localSheetId="13">#REF!</definedName>
    <definedName name="csRPT_Opex_CC_Dim13" localSheetId="17">#REF!</definedName>
    <definedName name="csRPT_Opex_CC_Dim13" localSheetId="12">#REF!</definedName>
    <definedName name="csRPT_Opex_CC_Dim13" localSheetId="22">#REF!</definedName>
    <definedName name="csRPT_Opex_CC_Dim13" localSheetId="28">#REF!</definedName>
    <definedName name="csRPT_Opex_CC_Dim13" localSheetId="35">#REF!</definedName>
    <definedName name="csRPT_Opex_CC_Dim13">#REF!</definedName>
    <definedName name="csRPT_Opex_CC_Dim14" localSheetId="18">#REF!</definedName>
    <definedName name="csRPT_Opex_CC_Dim14" localSheetId="25">#REF!</definedName>
    <definedName name="csRPT_Opex_CC_Dim14" localSheetId="29">#REF!</definedName>
    <definedName name="csRPT_Opex_CC_Dim14" localSheetId="31">#REF!</definedName>
    <definedName name="csRPT_Opex_CC_Dim14" localSheetId="15">#REF!</definedName>
    <definedName name="csRPT_Opex_CC_Dim14" localSheetId="13">#REF!</definedName>
    <definedName name="csRPT_Opex_CC_Dim14" localSheetId="17">#REF!</definedName>
    <definedName name="csRPT_Opex_CC_Dim14" localSheetId="12">#REF!</definedName>
    <definedName name="csRPT_Opex_CC_Dim14" localSheetId="22">#REF!</definedName>
    <definedName name="csRPT_Opex_CC_Dim14" localSheetId="28">#REF!</definedName>
    <definedName name="csRPT_Opex_CC_Dim14" localSheetId="35">#REF!</definedName>
    <definedName name="csRPT_Opex_CC_Dim14">#REF!</definedName>
    <definedName name="csRPT_Opex_CCAnchor" localSheetId="18">#REF!</definedName>
    <definedName name="csRPT_Opex_CCAnchor" localSheetId="25">#REF!</definedName>
    <definedName name="csRPT_Opex_CCAnchor" localSheetId="29">#REF!</definedName>
    <definedName name="csRPT_Opex_CCAnchor" localSheetId="31">#REF!</definedName>
    <definedName name="csRPT_Opex_CCAnchor" localSheetId="15">#REF!</definedName>
    <definedName name="csRPT_Opex_CCAnchor" localSheetId="13">#REF!</definedName>
    <definedName name="csRPT_Opex_CCAnchor" localSheetId="17">#REF!</definedName>
    <definedName name="csRPT_Opex_CCAnchor" localSheetId="12">#REF!</definedName>
    <definedName name="csRPT_Opex_CCAnchor" localSheetId="22">#REF!</definedName>
    <definedName name="csRPT_Opex_CCAnchor" localSheetId="28">#REF!</definedName>
    <definedName name="csRPT_Opex_CCAnchor" localSheetId="35">#REF!</definedName>
    <definedName name="csRPT_Opex_CCAnchor">#REF!</definedName>
    <definedName name="csRPT_OPEX_PAYROLL_Dim01">"="</definedName>
    <definedName name="csRPT_OPEX_PAYROLL_Dim02" localSheetId="18">#REF!</definedName>
    <definedName name="csRPT_OPEX_PAYROLL_Dim02" localSheetId="25">#REF!</definedName>
    <definedName name="csRPT_OPEX_PAYROLL_Dim02" localSheetId="29">#REF!</definedName>
    <definedName name="csRPT_OPEX_PAYROLL_Dim02" localSheetId="31">#REF!</definedName>
    <definedName name="csRPT_OPEX_PAYROLL_Dim02" localSheetId="15">#REF!</definedName>
    <definedName name="csRPT_OPEX_PAYROLL_Dim02" localSheetId="13">#REF!</definedName>
    <definedName name="csRPT_OPEX_PAYROLL_Dim02" localSheetId="17">#REF!</definedName>
    <definedName name="csRPT_OPEX_PAYROLL_Dim02" localSheetId="12">#REF!</definedName>
    <definedName name="csRPT_OPEX_PAYROLL_Dim02" localSheetId="22">#REF!</definedName>
    <definedName name="csRPT_OPEX_PAYROLL_Dim02" localSheetId="28">#REF!</definedName>
    <definedName name="csRPT_OPEX_PAYROLL_Dim02" localSheetId="35">#REF!</definedName>
    <definedName name="csRPT_OPEX_PAYROLL_Dim02">#REF!</definedName>
    <definedName name="csRPT_OPEX_PAYROLL_Dim03">"="</definedName>
    <definedName name="csRPT_OPEX_PAYROLL_Dim04" localSheetId="18">#REF!</definedName>
    <definedName name="csRPT_OPEX_PAYROLL_Dim04" localSheetId="25">#REF!</definedName>
    <definedName name="csRPT_OPEX_PAYROLL_Dim04" localSheetId="29">#REF!</definedName>
    <definedName name="csRPT_OPEX_PAYROLL_Dim04" localSheetId="31">#REF!</definedName>
    <definedName name="csRPT_OPEX_PAYROLL_Dim04" localSheetId="15">#REF!</definedName>
    <definedName name="csRPT_OPEX_PAYROLL_Dim04" localSheetId="13">#REF!</definedName>
    <definedName name="csRPT_OPEX_PAYROLL_Dim04" localSheetId="17">#REF!</definedName>
    <definedName name="csRPT_OPEX_PAYROLL_Dim04" localSheetId="12">#REF!</definedName>
    <definedName name="csRPT_OPEX_PAYROLL_Dim04" localSheetId="22">#REF!</definedName>
    <definedName name="csRPT_OPEX_PAYROLL_Dim04" localSheetId="28">#REF!</definedName>
    <definedName name="csRPT_OPEX_PAYROLL_Dim04" localSheetId="35">#REF!</definedName>
    <definedName name="csRPT_OPEX_PAYROLL_Dim04">#REF!</definedName>
    <definedName name="csRPT_OPEX_PAYROLL_Dim05" localSheetId="18">#REF!</definedName>
    <definedName name="csRPT_OPEX_PAYROLL_Dim05" localSheetId="25">#REF!</definedName>
    <definedName name="csRPT_OPEX_PAYROLL_Dim05" localSheetId="29">#REF!</definedName>
    <definedName name="csRPT_OPEX_PAYROLL_Dim05" localSheetId="31">#REF!</definedName>
    <definedName name="csRPT_OPEX_PAYROLL_Dim05" localSheetId="15">#REF!</definedName>
    <definedName name="csRPT_OPEX_PAYROLL_Dim05" localSheetId="13">#REF!</definedName>
    <definedName name="csRPT_OPEX_PAYROLL_Dim05" localSheetId="17">#REF!</definedName>
    <definedName name="csRPT_OPEX_PAYROLL_Dim05" localSheetId="12">#REF!</definedName>
    <definedName name="csRPT_OPEX_PAYROLL_Dim05" localSheetId="22">#REF!</definedName>
    <definedName name="csRPT_OPEX_PAYROLL_Dim05" localSheetId="28">#REF!</definedName>
    <definedName name="csRPT_OPEX_PAYROLL_Dim05" localSheetId="35">#REF!</definedName>
    <definedName name="csRPT_OPEX_PAYROLL_Dim05">#REF!</definedName>
    <definedName name="csRPT_OPEX_PAYROLL_Dim06" localSheetId="18">#REF!</definedName>
    <definedName name="csRPT_OPEX_PAYROLL_Dim06" localSheetId="25">#REF!</definedName>
    <definedName name="csRPT_OPEX_PAYROLL_Dim06" localSheetId="29">#REF!</definedName>
    <definedName name="csRPT_OPEX_PAYROLL_Dim06" localSheetId="31">#REF!</definedName>
    <definedName name="csRPT_OPEX_PAYROLL_Dim06" localSheetId="15">#REF!</definedName>
    <definedName name="csRPT_OPEX_PAYROLL_Dim06" localSheetId="13">#REF!</definedName>
    <definedName name="csRPT_OPEX_PAYROLL_Dim06" localSheetId="17">#REF!</definedName>
    <definedName name="csRPT_OPEX_PAYROLL_Dim06" localSheetId="12">#REF!</definedName>
    <definedName name="csRPT_OPEX_PAYROLL_Dim06" localSheetId="22">#REF!</definedName>
    <definedName name="csRPT_OPEX_PAYROLL_Dim06" localSheetId="28">#REF!</definedName>
    <definedName name="csRPT_OPEX_PAYROLL_Dim06" localSheetId="35">#REF!</definedName>
    <definedName name="csRPT_OPEX_PAYROLL_Dim06">#REF!</definedName>
    <definedName name="csRPT_OPEX_PAYROLL_Dim07" localSheetId="18">#REF!</definedName>
    <definedName name="csRPT_OPEX_PAYROLL_Dim07" localSheetId="25">#REF!</definedName>
    <definedName name="csRPT_OPEX_PAYROLL_Dim07" localSheetId="29">#REF!</definedName>
    <definedName name="csRPT_OPEX_PAYROLL_Dim07" localSheetId="31">#REF!</definedName>
    <definedName name="csRPT_OPEX_PAYROLL_Dim07" localSheetId="15">#REF!</definedName>
    <definedName name="csRPT_OPEX_PAYROLL_Dim07" localSheetId="13">#REF!</definedName>
    <definedName name="csRPT_OPEX_PAYROLL_Dim07" localSheetId="17">#REF!</definedName>
    <definedName name="csRPT_OPEX_PAYROLL_Dim07" localSheetId="12">#REF!</definedName>
    <definedName name="csRPT_OPEX_PAYROLL_Dim07" localSheetId="22">#REF!</definedName>
    <definedName name="csRPT_OPEX_PAYROLL_Dim07" localSheetId="28">#REF!</definedName>
    <definedName name="csRPT_OPEX_PAYROLL_Dim07" localSheetId="35">#REF!</definedName>
    <definedName name="csRPT_OPEX_PAYROLL_Dim07">#REF!</definedName>
    <definedName name="csRPT_OPEX_PAYROLL_Dim08" localSheetId="18">#REF!</definedName>
    <definedName name="csRPT_OPEX_PAYROLL_Dim08" localSheetId="25">#REF!</definedName>
    <definedName name="csRPT_OPEX_PAYROLL_Dim08" localSheetId="29">#REF!</definedName>
    <definedName name="csRPT_OPEX_PAYROLL_Dim08" localSheetId="31">#REF!</definedName>
    <definedName name="csRPT_OPEX_PAYROLL_Dim08" localSheetId="15">#REF!</definedName>
    <definedName name="csRPT_OPEX_PAYROLL_Dim08" localSheetId="13">#REF!</definedName>
    <definedName name="csRPT_OPEX_PAYROLL_Dim08" localSheetId="17">#REF!</definedName>
    <definedName name="csRPT_OPEX_PAYROLL_Dim08" localSheetId="12">#REF!</definedName>
    <definedName name="csRPT_OPEX_PAYROLL_Dim08" localSheetId="22">#REF!</definedName>
    <definedName name="csRPT_OPEX_PAYROLL_Dim08" localSheetId="28">#REF!</definedName>
    <definedName name="csRPT_OPEX_PAYROLL_Dim08" localSheetId="35">#REF!</definedName>
    <definedName name="csRPT_OPEX_PAYROLL_Dim08">#REF!</definedName>
    <definedName name="csRPT_OPEX_PAYROLL_Dim09" localSheetId="18">#REF!</definedName>
    <definedName name="csRPT_OPEX_PAYROLL_Dim09" localSheetId="25">#REF!</definedName>
    <definedName name="csRPT_OPEX_PAYROLL_Dim09" localSheetId="29">#REF!</definedName>
    <definedName name="csRPT_OPEX_PAYROLL_Dim09" localSheetId="31">#REF!</definedName>
    <definedName name="csRPT_OPEX_PAYROLL_Dim09" localSheetId="15">#REF!</definedName>
    <definedName name="csRPT_OPEX_PAYROLL_Dim09" localSheetId="13">#REF!</definedName>
    <definedName name="csRPT_OPEX_PAYROLL_Dim09" localSheetId="17">#REF!</definedName>
    <definedName name="csRPT_OPEX_PAYROLL_Dim09" localSheetId="12">#REF!</definedName>
    <definedName name="csRPT_OPEX_PAYROLL_Dim09" localSheetId="22">#REF!</definedName>
    <definedName name="csRPT_OPEX_PAYROLL_Dim09" localSheetId="28">#REF!</definedName>
    <definedName name="csRPT_OPEX_PAYROLL_Dim09" localSheetId="35">#REF!</definedName>
    <definedName name="csRPT_OPEX_PAYROLL_Dim09">#REF!</definedName>
    <definedName name="csRPT_OPEX_PAYROLL_Dim10" localSheetId="18">#REF!</definedName>
    <definedName name="csRPT_OPEX_PAYROLL_Dim10" localSheetId="25">#REF!</definedName>
    <definedName name="csRPT_OPEX_PAYROLL_Dim10" localSheetId="29">#REF!</definedName>
    <definedName name="csRPT_OPEX_PAYROLL_Dim10" localSheetId="31">#REF!</definedName>
    <definedName name="csRPT_OPEX_PAYROLL_Dim10" localSheetId="15">#REF!</definedName>
    <definedName name="csRPT_OPEX_PAYROLL_Dim10" localSheetId="13">#REF!</definedName>
    <definedName name="csRPT_OPEX_PAYROLL_Dim10" localSheetId="17">#REF!</definedName>
    <definedName name="csRPT_OPEX_PAYROLL_Dim10" localSheetId="12">#REF!</definedName>
    <definedName name="csRPT_OPEX_PAYROLL_Dim10" localSheetId="22">#REF!</definedName>
    <definedName name="csRPT_OPEX_PAYROLL_Dim10" localSheetId="28">#REF!</definedName>
    <definedName name="csRPT_OPEX_PAYROLL_Dim10" localSheetId="35">#REF!</definedName>
    <definedName name="csRPT_OPEX_PAYROLL_Dim10">#REF!</definedName>
    <definedName name="csRPT_OPEX_PAYROLL_Dim11" localSheetId="18">#REF!</definedName>
    <definedName name="csRPT_OPEX_PAYROLL_Dim11" localSheetId="25">#REF!</definedName>
    <definedName name="csRPT_OPEX_PAYROLL_Dim11" localSheetId="29">#REF!</definedName>
    <definedName name="csRPT_OPEX_PAYROLL_Dim11" localSheetId="31">#REF!</definedName>
    <definedName name="csRPT_OPEX_PAYROLL_Dim11" localSheetId="15">#REF!</definedName>
    <definedName name="csRPT_OPEX_PAYROLL_Dim11" localSheetId="13">#REF!</definedName>
    <definedName name="csRPT_OPEX_PAYROLL_Dim11" localSheetId="17">#REF!</definedName>
    <definedName name="csRPT_OPEX_PAYROLL_Dim11" localSheetId="12">#REF!</definedName>
    <definedName name="csRPT_OPEX_PAYROLL_Dim11" localSheetId="22">#REF!</definedName>
    <definedName name="csRPT_OPEX_PAYROLL_Dim11" localSheetId="28">#REF!</definedName>
    <definedName name="csRPT_OPEX_PAYROLL_Dim11" localSheetId="35">#REF!</definedName>
    <definedName name="csRPT_OPEX_PAYROLL_Dim11">#REF!</definedName>
    <definedName name="csRPT_OPEX_PAYROLL_Dim12" localSheetId="18">#REF!</definedName>
    <definedName name="csRPT_OPEX_PAYROLL_Dim12" localSheetId="25">#REF!</definedName>
    <definedName name="csRPT_OPEX_PAYROLL_Dim12" localSheetId="29">#REF!</definedName>
    <definedName name="csRPT_OPEX_PAYROLL_Dim12" localSheetId="31">#REF!</definedName>
    <definedName name="csRPT_OPEX_PAYROLL_Dim12" localSheetId="15">#REF!</definedName>
    <definedName name="csRPT_OPEX_PAYROLL_Dim12" localSheetId="13">#REF!</definedName>
    <definedName name="csRPT_OPEX_PAYROLL_Dim12" localSheetId="17">#REF!</definedName>
    <definedName name="csRPT_OPEX_PAYROLL_Dim12" localSheetId="12">#REF!</definedName>
    <definedName name="csRPT_OPEX_PAYROLL_Dim12" localSheetId="22">#REF!</definedName>
    <definedName name="csRPT_OPEX_PAYROLL_Dim12" localSheetId="28">#REF!</definedName>
    <definedName name="csRPT_OPEX_PAYROLL_Dim12" localSheetId="35">#REF!</definedName>
    <definedName name="csRPT_OPEX_PAYROLL_Dim12">#REF!</definedName>
    <definedName name="csRPT_OPEX_PAYROLL_Dim13" localSheetId="18">#REF!</definedName>
    <definedName name="csRPT_OPEX_PAYROLL_Dim13" localSheetId="25">#REF!</definedName>
    <definedName name="csRPT_OPEX_PAYROLL_Dim13" localSheetId="29">#REF!</definedName>
    <definedName name="csRPT_OPEX_PAYROLL_Dim13" localSheetId="31">#REF!</definedName>
    <definedName name="csRPT_OPEX_PAYROLL_Dim13" localSheetId="15">#REF!</definedName>
    <definedName name="csRPT_OPEX_PAYROLL_Dim13" localSheetId="13">#REF!</definedName>
    <definedName name="csRPT_OPEX_PAYROLL_Dim13" localSheetId="17">#REF!</definedName>
    <definedName name="csRPT_OPEX_PAYROLL_Dim13" localSheetId="12">#REF!</definedName>
    <definedName name="csRPT_OPEX_PAYROLL_Dim13" localSheetId="22">#REF!</definedName>
    <definedName name="csRPT_OPEX_PAYROLL_Dim13" localSheetId="28">#REF!</definedName>
    <definedName name="csRPT_OPEX_PAYROLL_Dim13" localSheetId="35">#REF!</definedName>
    <definedName name="csRPT_OPEX_PAYROLL_Dim13">#REF!</definedName>
    <definedName name="csRPT_OPEX_PAYROLL_Dim14" localSheetId="18">#REF!</definedName>
    <definedName name="csRPT_OPEX_PAYROLL_Dim14" localSheetId="25">#REF!</definedName>
    <definedName name="csRPT_OPEX_PAYROLL_Dim14" localSheetId="29">#REF!</definedName>
    <definedName name="csRPT_OPEX_PAYROLL_Dim14" localSheetId="31">#REF!</definedName>
    <definedName name="csRPT_OPEX_PAYROLL_Dim14" localSheetId="15">#REF!</definedName>
    <definedName name="csRPT_OPEX_PAYROLL_Dim14" localSheetId="13">#REF!</definedName>
    <definedName name="csRPT_OPEX_PAYROLL_Dim14" localSheetId="17">#REF!</definedName>
    <definedName name="csRPT_OPEX_PAYROLL_Dim14" localSheetId="12">#REF!</definedName>
    <definedName name="csRPT_OPEX_PAYROLL_Dim14" localSheetId="22">#REF!</definedName>
    <definedName name="csRPT_OPEX_PAYROLL_Dim14" localSheetId="28">#REF!</definedName>
    <definedName name="csRPT_OPEX_PAYROLL_Dim14" localSheetId="35">#REF!</definedName>
    <definedName name="csRPT_OPEX_PAYROLL_Dim14">#REF!</definedName>
    <definedName name="csRPT_OPEX_PAYROLLAnchor" localSheetId="18">#REF!</definedName>
    <definedName name="csRPT_OPEX_PAYROLLAnchor" localSheetId="25">#REF!</definedName>
    <definedName name="csRPT_OPEX_PAYROLLAnchor" localSheetId="29">#REF!</definedName>
    <definedName name="csRPT_OPEX_PAYROLLAnchor" localSheetId="31">#REF!</definedName>
    <definedName name="csRPT_OPEX_PAYROLLAnchor" localSheetId="15">#REF!</definedName>
    <definedName name="csRPT_OPEX_PAYROLLAnchor" localSheetId="13">#REF!</definedName>
    <definedName name="csRPT_OPEX_PAYROLLAnchor" localSheetId="17">#REF!</definedName>
    <definedName name="csRPT_OPEX_PAYROLLAnchor" localSheetId="12">#REF!</definedName>
    <definedName name="csRPT_OPEX_PAYROLLAnchor" localSheetId="22">#REF!</definedName>
    <definedName name="csRPT_OPEX_PAYROLLAnchor" localSheetId="28">#REF!</definedName>
    <definedName name="csRPT_OPEX_PAYROLLAnchor" localSheetId="35">#REF!</definedName>
    <definedName name="csRPT_OPEX_PAYROLLAnchor">#REF!</definedName>
    <definedName name="csvgfsd">#N/A</definedName>
    <definedName name="CumBasePeriod" localSheetId="18">#REF!</definedName>
    <definedName name="CumBasePeriod" localSheetId="25">#REF!</definedName>
    <definedName name="CumBasePeriod" localSheetId="29">#REF!</definedName>
    <definedName name="CumBasePeriod" localSheetId="31">#REF!</definedName>
    <definedName name="CumBasePeriod" localSheetId="15">#REF!</definedName>
    <definedName name="CumBasePeriod" localSheetId="13">#REF!</definedName>
    <definedName name="CumBasePeriod" localSheetId="17">#REF!</definedName>
    <definedName name="CumBasePeriod" localSheetId="12">#REF!</definedName>
    <definedName name="CumBasePeriod" localSheetId="22">#REF!</definedName>
    <definedName name="CumBasePeriod" localSheetId="28">#REF!</definedName>
    <definedName name="CumBasePeriod" localSheetId="35">#REF!</definedName>
    <definedName name="CumBasePeriod">#REF!</definedName>
    <definedName name="CumBasePeriod___0">#N/A</definedName>
    <definedName name="CumBasePeriod___12">#N/A</definedName>
    <definedName name="CumBasePeriod___14">#N/A</definedName>
    <definedName name="CumBasePeriod___16">#N/A</definedName>
    <definedName name="CumBasePeriod___2">#N/A</definedName>
    <definedName name="CumBasePeriod___25">#N/A</definedName>
    <definedName name="CumBasePeriod___26">#N/A</definedName>
    <definedName name="CumBasePeriod___27">#N/A</definedName>
    <definedName name="CumBasePeriod___4">#N/A</definedName>
    <definedName name="CumBasePeriod___5">#N/A</definedName>
    <definedName name="CumBasePeriod___7">#N/A</definedName>
    <definedName name="CumDate" localSheetId="18">#REF!</definedName>
    <definedName name="CumDate" localSheetId="25">#REF!</definedName>
    <definedName name="CumDate" localSheetId="29">#REF!</definedName>
    <definedName name="CumDate" localSheetId="31">#REF!</definedName>
    <definedName name="CumDate" localSheetId="15">#REF!</definedName>
    <definedName name="CumDate" localSheetId="13">#REF!</definedName>
    <definedName name="CumDate" localSheetId="17">#REF!</definedName>
    <definedName name="CumDate" localSheetId="12">#REF!</definedName>
    <definedName name="CumDate" localSheetId="22">#REF!</definedName>
    <definedName name="CumDate" localSheetId="28">#REF!</definedName>
    <definedName name="CumDate" localSheetId="35">#REF!</definedName>
    <definedName name="CumDate">#REF!</definedName>
    <definedName name="CumDate___0">#N/A</definedName>
    <definedName name="CumDate___12">#N/A</definedName>
    <definedName name="CumDate___14">#N/A</definedName>
    <definedName name="CumDate___16">#N/A</definedName>
    <definedName name="CumDate___2">#N/A</definedName>
    <definedName name="CumDate___25">#N/A</definedName>
    <definedName name="CumDate___26">#N/A</definedName>
    <definedName name="CumDate___27">#N/A</definedName>
    <definedName name="CumDate___4">#N/A</definedName>
    <definedName name="CumDate___5">#N/A</definedName>
    <definedName name="CumDate___7">#N/A</definedName>
    <definedName name="CUMUL">[62]CUMUL!$A$13:$H$5000</definedName>
    <definedName name="CUMULC">[62]CUMULC!$A$13:$H$1311</definedName>
    <definedName name="CUMULF">[62]CUMULF!$A$13:$H$689</definedName>
    <definedName name="CURRENT_MONTH_ADDS" localSheetId="18">#REF!</definedName>
    <definedName name="CURRENT_MONTH_ADDS" localSheetId="25">#REF!</definedName>
    <definedName name="CURRENT_MONTH_ADDS" localSheetId="29">#REF!</definedName>
    <definedName name="CURRENT_MONTH_ADDS" localSheetId="31">#REF!</definedName>
    <definedName name="CURRENT_MONTH_ADDS" localSheetId="15">#REF!</definedName>
    <definedName name="CURRENT_MONTH_ADDS" localSheetId="13">#REF!</definedName>
    <definedName name="CURRENT_MONTH_ADDS" localSheetId="17">#REF!</definedName>
    <definedName name="CURRENT_MONTH_ADDS" localSheetId="12">#REF!</definedName>
    <definedName name="CURRENT_MONTH_ADDS" localSheetId="22">#REF!</definedName>
    <definedName name="CURRENT_MONTH_ADDS" localSheetId="28">#REF!</definedName>
    <definedName name="CURRENT_MONTH_ADDS" localSheetId="35">#REF!</definedName>
    <definedName name="CURRENT_MONTH_ADDS">#REF!</definedName>
    <definedName name="Customer" localSheetId="29">#REF!</definedName>
    <definedName name="Customer" localSheetId="31">#REF!</definedName>
    <definedName name="Customer" localSheetId="28">#REF!</definedName>
    <definedName name="Customer" localSheetId="35">#REF!</definedName>
    <definedName name="Customer">#REF!</definedName>
    <definedName name="CV_Cost_Var" localSheetId="29">#REF!</definedName>
    <definedName name="CV_Cost_Var" localSheetId="31">#REF!</definedName>
    <definedName name="CV_Cost_Var" localSheetId="28">#REF!</definedName>
    <definedName name="CV_Cost_Var" localSheetId="35">#REF!</definedName>
    <definedName name="CV_Cost_Var">#REF!</definedName>
    <definedName name="cvxxc" localSheetId="18" hidden="1">#REF!</definedName>
    <definedName name="cvxxc" localSheetId="25" hidden="1">#REF!</definedName>
    <definedName name="cvxxc" localSheetId="29" hidden="1">#REF!</definedName>
    <definedName name="cvxxc" localSheetId="31" hidden="1">#REF!</definedName>
    <definedName name="cvxxc" localSheetId="15" hidden="1">#REF!</definedName>
    <definedName name="cvxxc" localSheetId="13" hidden="1">#REF!</definedName>
    <definedName name="cvxxc" localSheetId="17" hidden="1">#REF!</definedName>
    <definedName name="cvxxc" localSheetId="12" hidden="1">#REF!</definedName>
    <definedName name="cvxxc" localSheetId="22" hidden="1">#REF!</definedName>
    <definedName name="cvxxc" localSheetId="28" hidden="1">#REF!</definedName>
    <definedName name="cvxxc" localSheetId="35" hidden="1">#REF!</definedName>
    <definedName name="cvxxc" hidden="1">#REF!</definedName>
    <definedName name="cx">'[87]Frs Loc'!$A$5:$A$3190</definedName>
    <definedName name="cxvbvcxb" localSheetId="18" hidden="1">[86]RSG!#REF!</definedName>
    <definedName name="cxvbvcxb" localSheetId="29" hidden="1">[86]RSG!#REF!</definedName>
    <definedName name="cxvbvcxb" localSheetId="31" hidden="1">[86]RSG!#REF!</definedName>
    <definedName name="cxvbvcxb" localSheetId="15" hidden="1">[86]RSG!#REF!</definedName>
    <definedName name="cxvbvcxb" localSheetId="13" hidden="1">[86]RSG!#REF!</definedName>
    <definedName name="cxvbvcxb" localSheetId="17" hidden="1">[86]RSG!#REF!</definedName>
    <definedName name="cxvbvcxb" localSheetId="12" hidden="1">[86]RSG!#REF!</definedName>
    <definedName name="cxvbvcxb" localSheetId="22" hidden="1">[86]RSG!#REF!</definedName>
    <definedName name="cxvbvcxb" localSheetId="28" hidden="1">[86]RSG!#REF!</definedName>
    <definedName name="cxvbvcxb" localSheetId="35" hidden="1">[86]RSG!#REF!</definedName>
    <definedName name="cxvbvcxb" hidden="1">[86]RSG!#REF!</definedName>
    <definedName name="d" localSheetId="18">#REF!</definedName>
    <definedName name="d" localSheetId="25">#REF!</definedName>
    <definedName name="d" localSheetId="29">#REF!</definedName>
    <definedName name="d" localSheetId="31">#REF!</definedName>
    <definedName name="d" localSheetId="15">#REF!</definedName>
    <definedName name="d" localSheetId="13">#REF!</definedName>
    <definedName name="d" localSheetId="17">#REF!</definedName>
    <definedName name="d" localSheetId="12">#REF!</definedName>
    <definedName name="d" localSheetId="22">#REF!</definedName>
    <definedName name="d" localSheetId="28">#REF!</definedName>
    <definedName name="d" localSheetId="35">#REF!</definedName>
    <definedName name="d">#REF!</definedName>
    <definedName name="D___0">#N/A</definedName>
    <definedName name="D___12">#N/A</definedName>
    <definedName name="D_Gestion_Perso" localSheetId="18">#REF!</definedName>
    <definedName name="D_Gestion_Perso" localSheetId="25">#REF!</definedName>
    <definedName name="D_Gestion_Perso" localSheetId="29">#REF!</definedName>
    <definedName name="D_Gestion_Perso" localSheetId="31">#REF!</definedName>
    <definedName name="D_Gestion_Perso" localSheetId="15">#REF!</definedName>
    <definedName name="D_Gestion_Perso" localSheetId="13">#REF!</definedName>
    <definedName name="D_Gestion_Perso" localSheetId="17">#REF!</definedName>
    <definedName name="D_Gestion_Perso" localSheetId="12">#REF!</definedName>
    <definedName name="D_Gestion_Perso" localSheetId="22">#REF!</definedName>
    <definedName name="D_Gestion_Perso" localSheetId="28">#REF!</definedName>
    <definedName name="D_Gestion_Perso" localSheetId="35">#REF!</definedName>
    <definedName name="D_Gestion_Perso">#REF!</definedName>
    <definedName name="D_Gestion_Perso___0">#N/A</definedName>
    <definedName name="D_Gestion_Perso___12">#N/A</definedName>
    <definedName name="D_Gestion_Perso___14">#N/A</definedName>
    <definedName name="D_Gestion_Perso___16">#N/A</definedName>
    <definedName name="D_Gestion_Perso___2">#N/A</definedName>
    <definedName name="D_Gestion_Perso___26">#N/A</definedName>
    <definedName name="D_Gestion_Perso___27">#N/A</definedName>
    <definedName name="D_Gestion_Perso___5">#N/A</definedName>
    <definedName name="D_Gestion_Perso___7">#N/A</definedName>
    <definedName name="da" localSheetId="25" hidden="1">{"print 1",#N/A,FALSE,"PrimeCo PCS";"print 2",#N/A,FALSE,"PrimeCo PCS";"valuation",#N/A,FALSE,"PrimeCo PCS"}</definedName>
    <definedName name="da" localSheetId="19" hidden="1">{"print 1",#N/A,FALSE,"PrimeCo PCS";"print 2",#N/A,FALSE,"PrimeCo PCS";"valuation",#N/A,FALSE,"PrimeCo PCS"}</definedName>
    <definedName name="da" localSheetId="22" hidden="1">{"print 1",#N/A,FALSE,"PrimeCo PCS";"print 2",#N/A,FALSE,"PrimeCo PCS";"valuation",#N/A,FALSE,"PrimeCo PCS"}</definedName>
    <definedName name="da" localSheetId="28" hidden="1">{"print 1",#N/A,FALSE,"PrimeCo PCS";"print 2",#N/A,FALSE,"PrimeCo PCS";"valuation",#N/A,FALSE,"PrimeCo PCS"}</definedName>
    <definedName name="da" localSheetId="35" hidden="1">{"print 1",#N/A,FALSE,"PrimeCo PCS";"print 2",#N/A,FALSE,"PrimeCo PCS";"valuation",#N/A,FALSE,"PrimeCo PCS"}</definedName>
    <definedName name="da" hidden="1">{"print 1",#N/A,FALSE,"PrimeCo PCS";"print 2",#N/A,FALSE,"PrimeCo PCS";"valuation",#N/A,FALSE,"PrimeCo PCS"}</definedName>
    <definedName name="das" localSheetId="28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35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 localSheetId="29">'[63]CIG+OV'!#REF!</definedName>
    <definedName name="Data_Sheet_Summary" localSheetId="31">'[63]CIG+OV'!#REF!</definedName>
    <definedName name="Data_Sheet_Summary" localSheetId="28">'[63]CIG+OV'!#REF!</definedName>
    <definedName name="Data_Sheet_Summary" localSheetId="35">'[63]CIG+OV'!#REF!</definedName>
    <definedName name="Data_Sheet_Summary">'[63]CIG+OV'!#REF!</definedName>
    <definedName name="DATABASE" localSheetId="25">#REF!</definedName>
    <definedName name="DATABASE" localSheetId="29">#REF!</definedName>
    <definedName name="DATABASE" localSheetId="31">#REF!</definedName>
    <definedName name="DATABASE" localSheetId="19">#REF!</definedName>
    <definedName name="DATABASE" localSheetId="22">#REF!</definedName>
    <definedName name="DATABASE" localSheetId="28">#REF!</definedName>
    <definedName name="DATABASE" localSheetId="35">#REF!</definedName>
    <definedName name="DATABASE">#REF!</definedName>
    <definedName name="DataFormat">"Shares"</definedName>
    <definedName name="DATE" localSheetId="18">#REF!</definedName>
    <definedName name="DATE" localSheetId="25">#REF!</definedName>
    <definedName name="DATE" localSheetId="29">#REF!</definedName>
    <definedName name="DATE" localSheetId="31">#REF!</definedName>
    <definedName name="DATE" localSheetId="15">#REF!</definedName>
    <definedName name="DATE" localSheetId="13">#REF!</definedName>
    <definedName name="DATE" localSheetId="17">#REF!</definedName>
    <definedName name="DATE" localSheetId="12">#REF!</definedName>
    <definedName name="DATE" localSheetId="22">#REF!</definedName>
    <definedName name="DATE" localSheetId="28">#REF!</definedName>
    <definedName name="DATE" localSheetId="35">#REF!</definedName>
    <definedName name="DATE">#REF!</definedName>
    <definedName name="DATE22" localSheetId="29">'[52]FES  ATLAS'!#REF!</definedName>
    <definedName name="DATE22" localSheetId="31">'[52]FES  ATLAS'!#REF!</definedName>
    <definedName name="DATE22" localSheetId="28">'[52]FES  ATLAS'!#REF!</definedName>
    <definedName name="DATE22" localSheetId="35">'[52]FES  ATLAS'!#REF!</definedName>
    <definedName name="DATE22">'[52]FES  ATLAS'!#REF!</definedName>
    <definedName name="DateRangeComp" hidden="1">#N/A</definedName>
    <definedName name="DateRangeCompMain" localSheetId="18" hidden="1">#REF!</definedName>
    <definedName name="DateRangeCompMain" localSheetId="25" hidden="1">#REF!</definedName>
    <definedName name="DateRangeCompMain" localSheetId="29" hidden="1">#REF!</definedName>
    <definedName name="DateRangeCompMain" localSheetId="31" hidden="1">#REF!</definedName>
    <definedName name="DateRangeCompMain" localSheetId="15" hidden="1">#REF!</definedName>
    <definedName name="DateRangeCompMain" localSheetId="13" hidden="1">#REF!</definedName>
    <definedName name="DateRangeCompMain" localSheetId="17" hidden="1">#REF!</definedName>
    <definedName name="DateRangeCompMain" localSheetId="12" hidden="1">#REF!</definedName>
    <definedName name="DateRangeCompMain" localSheetId="22" hidden="1">#REF!</definedName>
    <definedName name="DateRangeCompMain" localSheetId="28" hidden="1">#REF!</definedName>
    <definedName name="DateRangeCompMain" localSheetId="35" hidden="1">#REF!</definedName>
    <definedName name="DateRangeCompMain" hidden="1">#REF!</definedName>
    <definedName name="DATES" localSheetId="18">#REF!</definedName>
    <definedName name="DATES" localSheetId="25">#REF!</definedName>
    <definedName name="DATES" localSheetId="29">#REF!</definedName>
    <definedName name="DATES" localSheetId="31">#REF!</definedName>
    <definedName name="DATES" localSheetId="15">#REF!</definedName>
    <definedName name="DATES" localSheetId="13">#REF!</definedName>
    <definedName name="DATES" localSheetId="17">#REF!</definedName>
    <definedName name="DATES" localSheetId="12">#REF!</definedName>
    <definedName name="DATES" localSheetId="22">#REF!</definedName>
    <definedName name="DATES" localSheetId="28">#REF!</definedName>
    <definedName name="DATES" localSheetId="35">#REF!</definedName>
    <definedName name="DATES">#REF!</definedName>
    <definedName name="DateSynthèse">#N/A</definedName>
    <definedName name="Dbase_FTK" localSheetId="29">#REF!</definedName>
    <definedName name="Dbase_FTK" localSheetId="31">#REF!</definedName>
    <definedName name="Dbase_FTK" localSheetId="28">#REF!</definedName>
    <definedName name="Dbase_FTK" localSheetId="35">#REF!</definedName>
    <definedName name="Dbase_FTK">#REF!</definedName>
    <definedName name="Dbase_PTK" localSheetId="29">#REF!</definedName>
    <definedName name="Dbase_PTK" localSheetId="31">#REF!</definedName>
    <definedName name="Dbase_PTK" localSheetId="28">#REF!</definedName>
    <definedName name="Dbase_PTK" localSheetId="35">#REF!</definedName>
    <definedName name="Dbase_PTK">#REF!</definedName>
    <definedName name="DBCB" localSheetId="28">#N/A</definedName>
    <definedName name="DBCB" localSheetId="35">'Taxe 5%'!DBCB</definedName>
    <definedName name="DBCB">'Taxe 5%'!DBCB</definedName>
    <definedName name="DBCBgetSpread" localSheetId="28">#N/A</definedName>
    <definedName name="DBCBgetSpread" localSheetId="35">'Taxe 5%'!DBCBgetSpread</definedName>
    <definedName name="DBCBgetSpread">'Taxe 5%'!DBCBgetSpread</definedName>
    <definedName name="DBCBhistYield" localSheetId="28">#N/A</definedName>
    <definedName name="DBCBhistYield" localSheetId="35">'Taxe 5%'!DBCBhistYield</definedName>
    <definedName name="DBCBhistYield">'Taxe 5%'!DBCBhistYield</definedName>
    <definedName name="DBCBput" localSheetId="28">#N/A</definedName>
    <definedName name="DBCBput" localSheetId="35">'Taxe 5%'!DBCBput</definedName>
    <definedName name="DBCBput">'Taxe 5%'!DBCBput</definedName>
    <definedName name="DBCBputY" localSheetId="28">#N/A</definedName>
    <definedName name="DBCBputY" localSheetId="35">'Taxe 5%'!DBCBputY</definedName>
    <definedName name="DBCBputY">'Taxe 5%'!DBCBputY</definedName>
    <definedName name="dc" localSheetId="29">#REF!</definedName>
    <definedName name="dc" localSheetId="31">#REF!</definedName>
    <definedName name="dc" localSheetId="28">#REF!</definedName>
    <definedName name="dc" localSheetId="35">#REF!</definedName>
    <definedName name="dc">#REF!</definedName>
    <definedName name="DCRF_CAPEX_PROJET">#N/A</definedName>
    <definedName name="DCSE">#N/A</definedName>
    <definedName name="dd">#N/A</definedName>
    <definedName name="ddc" localSheetId="28" hidden="1">{#N/A,#N/A,TRUE,"Forecast &amp; Analysis";#N/A,#N/A,TRUE,"Market Values";#N/A,#N/A,TRUE,"Ratios";#N/A,#N/A,TRUE,"Regressions";#N/A,#N/A,TRUE,"Market Values";#N/A,#N/A,TRUE,"Parameters &amp; Results"}</definedName>
    <definedName name="ddc" localSheetId="35" hidden="1">{#N/A,#N/A,TRUE,"Forecast &amp; Analysis";#N/A,#N/A,TRUE,"Market Values";#N/A,#N/A,TRUE,"Ratios";#N/A,#N/A,TRUE,"Regressions";#N/A,#N/A,TRUE,"Market Values";#N/A,#N/A,TRUE,"Parameters &amp; Results"}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D">#N/A</definedName>
    <definedName name="dddddd" localSheetId="18">#N/A</definedName>
    <definedName name="dddddd" localSheetId="25">Activation!Tx_intérêt_par_an/#REF!</definedName>
    <definedName name="dddddd" localSheetId="29">'Amortissment boa'!Tx_intérêt_par_an/#REF!</definedName>
    <definedName name="dddddd" localSheetId="31">'Amortissment Cboa'!Tx_intérêt_par_an/#REF!</definedName>
    <definedName name="dddddd" localSheetId="15">#N/A</definedName>
    <definedName name="dddddd" localSheetId="13">#N/A</definedName>
    <definedName name="dddddd" localSheetId="19">#N/A</definedName>
    <definedName name="dddddd" localSheetId="17">#N/A</definedName>
    <definedName name="dddddd" localSheetId="12">#N/A</definedName>
    <definedName name="dddddd" localSheetId="22">[5]!Tx_intérêt_par_an/#REF!</definedName>
    <definedName name="dddddd" localSheetId="28">'SYNTHESE BOA'!Tx_intérêt_par_an/#REF!</definedName>
    <definedName name="dddddd" localSheetId="35">'Taxe 5%'!Tx_intérêt_par_an/#REF!</definedName>
    <definedName name="dddddd">[0]!Tx_intérêt_par_an/#REF!</definedName>
    <definedName name="dddddd___0">#N/A</definedName>
    <definedName name="dddddd___12">#N/A</definedName>
    <definedName name="dddddd___14">#N/A</definedName>
    <definedName name="dddddd___16">#N/A</definedName>
    <definedName name="dddddd___2">#N/A</definedName>
    <definedName name="dddddd___23">#N/A</definedName>
    <definedName name="dddddd___25">#N/A</definedName>
    <definedName name="dddddd___26">#N/A</definedName>
    <definedName name="dddddd___27">#N/A</definedName>
    <definedName name="dddddd___3">#N/A</definedName>
    <definedName name="dddddd___4">#N/A</definedName>
    <definedName name="dddddd___5">#N/A</definedName>
    <definedName name="dddddd___6">#N/A</definedName>
    <definedName name="dddddd___7">#N/A</definedName>
    <definedName name="dddddd___9">#N/A</definedName>
    <definedName name="DDDDDDDD" localSheetId="18">[6]!DDDDDDDD</definedName>
    <definedName name="DDDDDDDD" localSheetId="25">[6]!DDDDDDDD</definedName>
    <definedName name="DDDDDDDD" localSheetId="29">[6]!DDDDDDDD</definedName>
    <definedName name="DDDDDDDD" localSheetId="31">[6]!DDDDDDDD</definedName>
    <definedName name="DDDDDDDD" localSheetId="15">[6]!DDDDDDDD</definedName>
    <definedName name="DDDDDDDD" localSheetId="13">[6]!DDDDDDDD</definedName>
    <definedName name="DDDDDDDD" localSheetId="19">[7]!DDDDDDDD</definedName>
    <definedName name="DDDDDDDD" localSheetId="17">[6]!DDDDDDDD</definedName>
    <definedName name="DDDDDDDD" localSheetId="12">[6]!DDDDDDDD</definedName>
    <definedName name="DDDDDDDD" localSheetId="22">[8]!DDDDDDDD</definedName>
    <definedName name="DDDDDDDD">[6]!DDDDDDDD</definedName>
    <definedName name="DDDDDDDDDD" localSheetId="18">[6]!DDDDDDDDDD</definedName>
    <definedName name="DDDDDDDDDD" localSheetId="25">[6]!DDDDDDDDDD</definedName>
    <definedName name="DDDDDDDDDD" localSheetId="29">[6]!DDDDDDDDDD</definedName>
    <definedName name="DDDDDDDDDD" localSheetId="31">[6]!DDDDDDDDDD</definedName>
    <definedName name="DDDDDDDDDD" localSheetId="15">[6]!DDDDDDDDDD</definedName>
    <definedName name="DDDDDDDDDD" localSheetId="13">[6]!DDDDDDDDDD</definedName>
    <definedName name="DDDDDDDDDD" localSheetId="19">[7]!DDDDDDDDDD</definedName>
    <definedName name="DDDDDDDDDD" localSheetId="17">[6]!DDDDDDDDDD</definedName>
    <definedName name="DDDDDDDDDD" localSheetId="12">[6]!DDDDDDDDDD</definedName>
    <definedName name="DDDDDDDDDD" localSheetId="22">[8]!DDDDDDDDDD</definedName>
    <definedName name="DDDDDDDDDD">[6]!DDDDDDDDDD</definedName>
    <definedName name="DDF" localSheetId="2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localSheetId="35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adfdf" localSheetId="28">#N/A</definedName>
    <definedName name="ddfadfdf" localSheetId="35">'Taxe 5%'!ddfadfdf</definedName>
    <definedName name="ddfadfdf">'Taxe 5%'!ddfadfdf</definedName>
    <definedName name="ddfffffff" localSheetId="28">#N/A</definedName>
    <definedName name="ddfffffff" localSheetId="35">'Taxe 5%'!ddfffffff</definedName>
    <definedName name="ddfffffff">'Taxe 5%'!ddfffffff</definedName>
    <definedName name="de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 localSheetId="18">#REF!</definedName>
    <definedName name="December" localSheetId="25">#REF!</definedName>
    <definedName name="December" localSheetId="29">#REF!</definedName>
    <definedName name="December" localSheetId="31">#REF!</definedName>
    <definedName name="December" localSheetId="15">#REF!</definedName>
    <definedName name="December" localSheetId="13">#REF!</definedName>
    <definedName name="December" localSheetId="17">#REF!</definedName>
    <definedName name="December" localSheetId="12">#REF!</definedName>
    <definedName name="December" localSheetId="22">#REF!</definedName>
    <definedName name="December" localSheetId="28">#REF!</definedName>
    <definedName name="December" localSheetId="35">#REF!</definedName>
    <definedName name="December">#REF!</definedName>
    <definedName name="decembre" localSheetId="25" hidden="1">{#N/A,#N/A,FALSE,"Umsatz";#N/A,#N/A,FALSE,"Base V.02";#N/A,#N/A,FALSE,"Charts"}</definedName>
    <definedName name="decembre" localSheetId="19" hidden="1">{#N/A,#N/A,FALSE,"Umsatz";#N/A,#N/A,FALSE,"Base V.02";#N/A,#N/A,FALSE,"Charts"}</definedName>
    <definedName name="decembre" localSheetId="22" hidden="1">{#N/A,#N/A,FALSE,"Umsatz";#N/A,#N/A,FALSE,"Base V.02";#N/A,#N/A,FALSE,"Charts"}</definedName>
    <definedName name="decembre" localSheetId="28" hidden="1">{#N/A,#N/A,FALSE,"Umsatz";#N/A,#N/A,FALSE,"Base V.02";#N/A,#N/A,FALSE,"Charts"}</definedName>
    <definedName name="decembre" localSheetId="35" hidden="1">{#N/A,#N/A,FALSE,"Umsatz";#N/A,#N/A,FALSE,"Base V.02";#N/A,#N/A,FALSE,"Charts"}</definedName>
    <definedName name="decembre" hidden="1">{#N/A,#N/A,FALSE,"Umsatz";#N/A,#N/A,FALSE,"Base V.02";#N/A,#N/A,FALSE,"Charts"}</definedName>
    <definedName name="deciembre" localSheetId="28" hidden="1">{#N/A,#N/A,FALSE,"Umsatz";#N/A,#N/A,FALSE,"Base V.02";#N/A,#N/A,FALSE,"Charts"}</definedName>
    <definedName name="deciembre" localSheetId="35" hidden="1">{#N/A,#N/A,FALSE,"Umsatz";#N/A,#N/A,FALSE,"Base V.02";#N/A,#N/A,FALSE,"Charts"}</definedName>
    <definedName name="deciembre" hidden="1">{#N/A,#N/A,FALSE,"Umsatz";#N/A,#N/A,FALSE,"Base V.02";#N/A,#N/A,FALSE,"Charts"}</definedName>
    <definedName name="DeConcatenate" localSheetId="28">#N/A</definedName>
    <definedName name="DeConcatenate" localSheetId="35">'Taxe 5%'!DeConcatenate</definedName>
    <definedName name="DeConcatenate">'Taxe 5%'!DeConcatenate</definedName>
    <definedName name="deg" localSheetId="28" hidden="1">{"First Page",#N/A,FALSE,"Surfactants LBO";"Second Page",#N/A,FALSE,"Surfactants LBO"}</definedName>
    <definedName name="deg" localSheetId="35" hidden="1">{"First Page",#N/A,FALSE,"Surfactants LBO";"Second Page",#N/A,FALSE,"Surfactants LBO"}</definedName>
    <definedName name="deg" hidden="1">{"First Page",#N/A,FALSE,"Surfactants LBO";"Second Page",#N/A,FALSE,"Surfactants LBO"}</definedName>
    <definedName name="dejf" localSheetId="18">#REF!</definedName>
    <definedName name="dejf" localSheetId="25">#REF!</definedName>
    <definedName name="dejf" localSheetId="29">#REF!</definedName>
    <definedName name="dejf" localSheetId="31">#REF!</definedName>
    <definedName name="dejf" localSheetId="15">#REF!</definedName>
    <definedName name="dejf" localSheetId="13">#REF!</definedName>
    <definedName name="dejf" localSheetId="17">#REF!</definedName>
    <definedName name="dejf" localSheetId="12">#REF!</definedName>
    <definedName name="dejf" localSheetId="22">#REF!</definedName>
    <definedName name="dejf" localSheetId="28">#REF!</definedName>
    <definedName name="dejf" localSheetId="35">#REF!</definedName>
    <definedName name="dejf">#REF!</definedName>
    <definedName name="dejf___0">#N/A</definedName>
    <definedName name="dejf___12">#N/A</definedName>
    <definedName name="dejf___14">#N/A</definedName>
    <definedName name="DELETE?" localSheetId="28">#N/A</definedName>
    <definedName name="DELETE?" localSheetId="35">'Taxe 5%'!DELETE?</definedName>
    <definedName name="DELETE?">'Taxe 5%'!DELETE?</definedName>
    <definedName name="DeleteRange" localSheetId="28">#N/A</definedName>
    <definedName name="DeleteRange" localSheetId="35">'Taxe 5%'!DeleteRange</definedName>
    <definedName name="DeleteRange">'Taxe 5%'!DeleteRange</definedName>
    <definedName name="DeleteTable" localSheetId="28">#N/A</definedName>
    <definedName name="DeleteTable" localSheetId="35">'Taxe 5%'!DeleteTable</definedName>
    <definedName name="DeleteTable">'Taxe 5%'!DeleteTable</definedName>
    <definedName name="derf">#N/A</definedName>
    <definedName name="DESIGNATION" localSheetId="18">#REF!</definedName>
    <definedName name="DESIGNATION" localSheetId="25">#REF!</definedName>
    <definedName name="DESIGNATION" localSheetId="29">#REF!</definedName>
    <definedName name="DESIGNATION" localSheetId="31">#REF!</definedName>
    <definedName name="DESIGNATION" localSheetId="15">#REF!</definedName>
    <definedName name="DESIGNATION" localSheetId="13">#REF!</definedName>
    <definedName name="DESIGNATION" localSheetId="17">#REF!</definedName>
    <definedName name="DESIGNATION" localSheetId="12">#REF!</definedName>
    <definedName name="DESIGNATION" localSheetId="22">#REF!</definedName>
    <definedName name="DESIGNATION" localSheetId="28">#REF!</definedName>
    <definedName name="DESIGNATION" localSheetId="35">#REF!</definedName>
    <definedName name="DESIGNATION">#REF!</definedName>
    <definedName name="desz" localSheetId="18" hidden="1">#REF!</definedName>
    <definedName name="desz" localSheetId="25" hidden="1">#REF!</definedName>
    <definedName name="desz" localSheetId="29" hidden="1">#REF!</definedName>
    <definedName name="desz" localSheetId="31" hidden="1">#REF!</definedName>
    <definedName name="desz" localSheetId="15" hidden="1">#REF!</definedName>
    <definedName name="desz" localSheetId="13" hidden="1">#REF!</definedName>
    <definedName name="desz" localSheetId="17" hidden="1">#REF!</definedName>
    <definedName name="desz" localSheetId="12" hidden="1">#REF!</definedName>
    <definedName name="desz" localSheetId="22" hidden="1">#REF!</definedName>
    <definedName name="desz" localSheetId="28" hidden="1">#REF!</definedName>
    <definedName name="desz" localSheetId="35" hidden="1">#REF!</definedName>
    <definedName name="desz" hidden="1">#REF!</definedName>
    <definedName name="détail_CA" localSheetId="18">'[88]synth des coûts TM&amp;DEP comprise'!#REF!</definedName>
    <definedName name="détail_CA" localSheetId="29">'[88]synth des coûts TM&amp;DEP comprise'!#REF!</definedName>
    <definedName name="détail_CA" localSheetId="31">'[88]synth des coûts TM&amp;DEP comprise'!#REF!</definedName>
    <definedName name="détail_CA" localSheetId="15">'[88]synth des coûts TM&amp;DEP comprise'!#REF!</definedName>
    <definedName name="détail_CA" localSheetId="13">'[88]synth des coûts TM&amp;DEP comprise'!#REF!</definedName>
    <definedName name="détail_CA" localSheetId="17">'[88]synth des coûts TM&amp;DEP comprise'!#REF!</definedName>
    <definedName name="détail_CA" localSheetId="12">'[88]synth des coûts TM&amp;DEP comprise'!#REF!</definedName>
    <definedName name="détail_CA" localSheetId="22">'[88]synth des coûts TM&amp;DEP comprise'!#REF!</definedName>
    <definedName name="détail_CA" localSheetId="28">'[88]synth des coûts TM&amp;DEP comprise'!#REF!</definedName>
    <definedName name="détail_CA" localSheetId="35">'[88]synth des coûts TM&amp;DEP comprise'!#REF!</definedName>
    <definedName name="détail_CA">'[88]synth des coûts TM&amp;DEP comprise'!#REF!</definedName>
    <definedName name="détail_CA___0">#N/A</definedName>
    <definedName name="détail_CA___12">#N/A</definedName>
    <definedName name="détail_CA___6">#N/A</definedName>
    <definedName name="DETAIL_DES_IMPÔTS_ET_TAXES" localSheetId="18">#REF!</definedName>
    <definedName name="DETAIL_DES_IMPÔTS_ET_TAXES" localSheetId="25">#REF!</definedName>
    <definedName name="DETAIL_DES_IMPÔTS_ET_TAXES" localSheetId="29">#REF!</definedName>
    <definedName name="DETAIL_DES_IMPÔTS_ET_TAXES" localSheetId="31">#REF!</definedName>
    <definedName name="DETAIL_DES_IMPÔTS_ET_TAXES" localSheetId="15">#REF!</definedName>
    <definedName name="DETAIL_DES_IMPÔTS_ET_TAXES" localSheetId="13">#REF!</definedName>
    <definedName name="DETAIL_DES_IMPÔTS_ET_TAXES" localSheetId="17">#REF!</definedName>
    <definedName name="DETAIL_DES_IMPÔTS_ET_TAXES" localSheetId="12">#REF!</definedName>
    <definedName name="DETAIL_DES_IMPÔTS_ET_TAXES" localSheetId="22">#REF!</definedName>
    <definedName name="DETAIL_DES_IMPÔTS_ET_TAXES" localSheetId="28">#REF!</definedName>
    <definedName name="DETAIL_DES_IMPÔTS_ET_TAXES" localSheetId="35">#REF!</definedName>
    <definedName name="DETAIL_DES_IMPÔTS_ET_TAXES">#REF!</definedName>
    <definedName name="detail_pricing" localSheetId="29">#REF!,#REF!,#REF!,#REF!,#REF!,#REF!,#REF!,#REF!,#REF!,#REF!,#REF!</definedName>
    <definedName name="detail_pricing" localSheetId="31">#REF!,#REF!,#REF!,#REF!,#REF!,#REF!,#REF!,#REF!,#REF!,#REF!,#REF!</definedName>
    <definedName name="detail_pricing" localSheetId="28">#REF!,#REF!,#REF!,#REF!,#REF!,#REF!,#REF!,#REF!,#REF!,#REF!,#REF!</definedName>
    <definedName name="detail_pricing" localSheetId="35">#REF!,#REF!,#REF!,#REF!,#REF!,#REF!,#REF!,#REF!,#REF!,#REF!,#REF!</definedName>
    <definedName name="detail_pricing">#REF!,#REF!,#REF!,#REF!,#REF!,#REF!,#REF!,#REF!,#REF!,#REF!,#REF!</definedName>
    <definedName name="DetailDeficit" localSheetId="18">#REF!</definedName>
    <definedName name="DetailDeficit" localSheetId="25">#REF!</definedName>
    <definedName name="DetailDeficit" localSheetId="29">#REF!</definedName>
    <definedName name="DetailDeficit" localSheetId="31">#REF!</definedName>
    <definedName name="DetailDeficit" localSheetId="15">#REF!</definedName>
    <definedName name="DetailDeficit" localSheetId="13">#REF!</definedName>
    <definedName name="DetailDeficit" localSheetId="17">#REF!</definedName>
    <definedName name="DetailDeficit" localSheetId="12">#REF!</definedName>
    <definedName name="DetailDeficit" localSheetId="22">#REF!</definedName>
    <definedName name="DetailDeficit" localSheetId="28">#REF!</definedName>
    <definedName name="DetailDeficit" localSheetId="35">#REF!</definedName>
    <definedName name="DetailDeficit">#REF!</definedName>
    <definedName name="DetailDeficit___0">#N/A</definedName>
    <definedName name="DetailDeficit___12">#N/A</definedName>
    <definedName name="DetailDeficit___14">#N/A</definedName>
    <definedName name="DetailDeficit___16">#N/A</definedName>
    <definedName name="DetailDeficit___2">#N/A</definedName>
    <definedName name="DetailDeficit___25">#N/A</definedName>
    <definedName name="DetailDeficit___26">#N/A</definedName>
    <definedName name="DetailDeficit___27">#N/A</definedName>
    <definedName name="DetailDeficit___4">#N/A</definedName>
    <definedName name="DetailDeficit___5">#N/A</definedName>
    <definedName name="DetailDeficit___7">#N/A</definedName>
    <definedName name="DETTE1">[47]SV161!$C$38</definedName>
    <definedName name="DETTE2">[47]SV161!$C$40</definedName>
    <definedName name="dfasdfasad" localSheetId="28">#N/A</definedName>
    <definedName name="dfasdfasad" localSheetId="35">'Taxe 5%'!dfasdfasad</definedName>
    <definedName name="dfasdfasad">'Taxe 5%'!dfasdfasad</definedName>
    <definedName name="dfd" localSheetId="28" hidden="1">{"comp1",#N/A,FALSE,"COMPS";"footnotes",#N/A,FALSE,"COMPS"}</definedName>
    <definedName name="dfd" localSheetId="35" hidden="1">{"comp1",#N/A,FALSE,"COMPS";"footnotes",#N/A,FALSE,"COMPS"}</definedName>
    <definedName name="dfd" hidden="1">{"comp1",#N/A,FALSE,"COMPS";"footnotes",#N/A,FALSE,"COMPS"}</definedName>
    <definedName name="dfdsf" localSheetId="29">[89]loc!#REF!</definedName>
    <definedName name="dfdsf" localSheetId="31">[89]loc!#REF!</definedName>
    <definedName name="dfdsf" localSheetId="28">[89]loc!#REF!</definedName>
    <definedName name="dfdsf" localSheetId="35">[89]loc!#REF!</definedName>
    <definedName name="dfdsf">[89]loc!#REF!</definedName>
    <definedName name="dfdsr">#N/A</definedName>
    <definedName name="DFFDG" localSheetId="18" hidden="1">[86]RSG!#REF!</definedName>
    <definedName name="DFFDG" localSheetId="29" hidden="1">[86]RSG!#REF!</definedName>
    <definedName name="DFFDG" localSheetId="31" hidden="1">[86]RSG!#REF!</definedName>
    <definedName name="DFFDG" localSheetId="15" hidden="1">[86]RSG!#REF!</definedName>
    <definedName name="DFFDG" localSheetId="13" hidden="1">[86]RSG!#REF!</definedName>
    <definedName name="DFFDG" localSheetId="17" hidden="1">[86]RSG!#REF!</definedName>
    <definedName name="DFFDG" localSheetId="12" hidden="1">[86]RSG!#REF!</definedName>
    <definedName name="DFFDG" localSheetId="22" hidden="1">[86]RSG!#REF!</definedName>
    <definedName name="DFFDG" localSheetId="28" hidden="1">[86]RSG!#REF!</definedName>
    <definedName name="DFFDG" localSheetId="35" hidden="1">[86]RSG!#REF!</definedName>
    <definedName name="DFFDG" hidden="1">[86]RSG!#REF!</definedName>
    <definedName name="dfg">#N/A</definedName>
    <definedName name="DFGDFG" localSheetId="28">#N/A</definedName>
    <definedName name="DFGDFG" localSheetId="35">'Taxe 5%'!DFGDFG</definedName>
    <definedName name="DFGDFG">'Taxe 5%'!DFGDFG</definedName>
    <definedName name="dfhfh" localSheetId="18" hidden="1">[86]RSG!#REF!</definedName>
    <definedName name="dfhfh" localSheetId="29" hidden="1">[86]RSG!#REF!</definedName>
    <definedName name="dfhfh" localSheetId="31" hidden="1">[86]RSG!#REF!</definedName>
    <definedName name="dfhfh" localSheetId="15" hidden="1">[86]RSG!#REF!</definedName>
    <definedName name="dfhfh" localSheetId="13" hidden="1">[86]RSG!#REF!</definedName>
    <definedName name="dfhfh" localSheetId="17" hidden="1">[86]RSG!#REF!</definedName>
    <definedName name="dfhfh" localSheetId="12" hidden="1">[86]RSG!#REF!</definedName>
    <definedName name="dfhfh" localSheetId="22" hidden="1">[86]RSG!#REF!</definedName>
    <definedName name="dfhfh" localSheetId="28" hidden="1">[86]RSG!#REF!</definedName>
    <definedName name="dfhfh" localSheetId="35" hidden="1">[86]RSG!#REF!</definedName>
    <definedName name="dfhfh" hidden="1">[86]RSG!#REF!</definedName>
    <definedName name="dfsdfjslf" localSheetId="18">#REF!</definedName>
    <definedName name="dfsdfjslf" localSheetId="25">#REF!</definedName>
    <definedName name="dfsdfjslf" localSheetId="29">#REF!</definedName>
    <definedName name="dfsdfjslf" localSheetId="31">#REF!</definedName>
    <definedName name="dfsdfjslf" localSheetId="15">#REF!</definedName>
    <definedName name="dfsdfjslf" localSheetId="13">#REF!</definedName>
    <definedName name="dfsdfjslf" localSheetId="17">#REF!</definedName>
    <definedName name="dfsdfjslf" localSheetId="12">#REF!</definedName>
    <definedName name="dfsdfjslf" localSheetId="22">#REF!</definedName>
    <definedName name="dfsdfjslf" localSheetId="28">#REF!</definedName>
    <definedName name="dfsdfjslf" localSheetId="35">#REF!</definedName>
    <definedName name="dfsdfjslf">#REF!</definedName>
    <definedName name="dg" localSheetId="29">#REF!</definedName>
    <definedName name="dg" localSheetId="31">#REF!</definedName>
    <definedName name="dg" localSheetId="28">#REF!</definedName>
    <definedName name="dg" localSheetId="35">#REF!</definedName>
    <definedName name="dg">#REF!</definedName>
    <definedName name="DGD">#N/A</definedName>
    <definedName name="dgfdfs" localSheetId="28">#N/A</definedName>
    <definedName name="dgfdfs" localSheetId="35">'Taxe 5%'!dgfdfs</definedName>
    <definedName name="dgfdfs">'Taxe 5%'!dgfdfs</definedName>
    <definedName name="dgjhgjhgjghhg" localSheetId="18">[6]!dgjhgjhgjghhg</definedName>
    <definedName name="dgjhgjhgjghhg" localSheetId="25">[6]!dgjhgjhgjghhg</definedName>
    <definedName name="dgjhgjhgjghhg" localSheetId="29">[6]!dgjhgjhgjghhg</definedName>
    <definedName name="dgjhgjhgjghhg" localSheetId="31">[6]!dgjhgjhgjghhg</definedName>
    <definedName name="dgjhgjhgjghhg" localSheetId="15">[6]!dgjhgjhgjghhg</definedName>
    <definedName name="dgjhgjhgjghhg" localSheetId="13">[6]!dgjhgjhgjghhg</definedName>
    <definedName name="dgjhgjhgjghhg" localSheetId="19">[7]!dgjhgjhgjghhg</definedName>
    <definedName name="dgjhgjhgjghhg" localSheetId="17">[6]!dgjhgjhgjghhg</definedName>
    <definedName name="dgjhgjhgjghhg" localSheetId="12">[6]!dgjhgjhgjghhg</definedName>
    <definedName name="dgjhgjhgjghhg" localSheetId="22">[8]!dgjhgjhgjghhg</definedName>
    <definedName name="dgjhgjhgjghhg">[6]!dgjhgjhgjghhg</definedName>
    <definedName name="dgjhgjhgjghhg___0" localSheetId="25">DRA___9</definedName>
    <definedName name="dgjhgjhgjghhg___0" localSheetId="19">DRA___9</definedName>
    <definedName name="dgjhgjhgjghhg___0" localSheetId="22">DRA___9</definedName>
    <definedName name="dgjhgjhgjghhg___0" localSheetId="28">DRA___9</definedName>
    <definedName name="dgjhgjhgjghhg___0" localSheetId="35">DRA___9</definedName>
    <definedName name="dgjhgjhgjghhg___0">DRA___9</definedName>
    <definedName name="dgjhgjhgjghhg___12" localSheetId="25">DRA___6</definedName>
    <definedName name="dgjhgjhgjghhg___12" localSheetId="19">DRA___6</definedName>
    <definedName name="dgjhgjhgjghhg___12" localSheetId="22">DRA___6</definedName>
    <definedName name="dgjhgjhgjghhg___12" localSheetId="28">DRA___6</definedName>
    <definedName name="dgjhgjhgjghhg___12" localSheetId="35">DRA___6</definedName>
    <definedName name="dgjhgjhgjghhg___12">DRA___6</definedName>
    <definedName name="dgjhgjhgjghhg___14" localSheetId="25">DiscretFCFOn1Off2___0</definedName>
    <definedName name="dgjhgjhgjghhg___14" localSheetId="19">DiscretFCFOn1Off2___0</definedName>
    <definedName name="dgjhgjhgjghhg___14" localSheetId="22">DiscretFCFOn1Off2___0</definedName>
    <definedName name="dgjhgjhgjghhg___14" localSheetId="28">DiscretFCFOn1Off2___0</definedName>
    <definedName name="dgjhgjhgjghhg___14" localSheetId="35">DiscretFCFOn1Off2___0</definedName>
    <definedName name="dgjhgjhgjghhg___14">DiscretFCFOn1Off2___0</definedName>
    <definedName name="dgjhgjhgjghhg___16" localSheetId="25">DiscretFCFOn1Off2___12</definedName>
    <definedName name="dgjhgjhgjghhg___16" localSheetId="19">DiscretFCFOn1Off2___12</definedName>
    <definedName name="dgjhgjhgjghhg___16" localSheetId="22">DiscretFCFOn1Off2___12</definedName>
    <definedName name="dgjhgjhgjghhg___16" localSheetId="28">DiscretFCFOn1Off2___12</definedName>
    <definedName name="dgjhgjhgjghhg___16" localSheetId="35">DiscretFCFOn1Off2___12</definedName>
    <definedName name="dgjhgjhgjghhg___16">DiscretFCFOn1Off2___12</definedName>
    <definedName name="dgjhgjhgjghhg___2">#N/A</definedName>
    <definedName name="dgjhgjhgjghhg___23" localSheetId="25">DiscretFCFOn1Off2___2</definedName>
    <definedName name="dgjhgjhgjghhg___23" localSheetId="19">DiscretFCFOn1Off2___2</definedName>
    <definedName name="dgjhgjhgjghhg___23" localSheetId="22">DiscretFCFOn1Off2___2</definedName>
    <definedName name="dgjhgjhgjghhg___23" localSheetId="28">DiscretFCFOn1Off2___2</definedName>
    <definedName name="dgjhgjhgjghhg___23" localSheetId="35">DiscretFCFOn1Off2___2</definedName>
    <definedName name="dgjhgjhgjghhg___23">DiscretFCFOn1Off2___2</definedName>
    <definedName name="dgjhgjhgjghhg___25" localSheetId="25">DiscretFCFOn1Off2___5</definedName>
    <definedName name="dgjhgjhgjghhg___25" localSheetId="19">DiscretFCFOn1Off2___5</definedName>
    <definedName name="dgjhgjhgjghhg___25" localSheetId="22">DiscretFCFOn1Off2___5</definedName>
    <definedName name="dgjhgjhgjghhg___25" localSheetId="28">DiscretFCFOn1Off2___5</definedName>
    <definedName name="dgjhgjhgjghhg___25" localSheetId="35">DiscretFCFOn1Off2___5</definedName>
    <definedName name="dgjhgjhgjghhg___25">DiscretFCFOn1Off2___5</definedName>
    <definedName name="dgjhgjhgjghhg___26" localSheetId="25">DRA___4</definedName>
    <definedName name="dgjhgjhgjghhg___26" localSheetId="19">DRA___4</definedName>
    <definedName name="dgjhgjhgjghhg___26" localSheetId="22">DRA___4</definedName>
    <definedName name="dgjhgjhgjghhg___26" localSheetId="28">DRA___4</definedName>
    <definedName name="dgjhgjhgjghhg___26" localSheetId="35">DRA___4</definedName>
    <definedName name="dgjhgjhgjghhg___26">DRA___4</definedName>
    <definedName name="dgjhgjhgjghhg___27" localSheetId="25">DRA___23</definedName>
    <definedName name="dgjhgjhgjghhg___27" localSheetId="19">DRA___23</definedName>
    <definedName name="dgjhgjhgjghhg___27" localSheetId="22">DRA___23</definedName>
    <definedName name="dgjhgjhgjghhg___27" localSheetId="28">DRA___23</definedName>
    <definedName name="dgjhgjhgjghhg___27" localSheetId="35">DRA___23</definedName>
    <definedName name="dgjhgjhgjghhg___27">DRA___23</definedName>
    <definedName name="dgjhgjhgjghhg___3" localSheetId="25">DiscretFCFOn1Off2___7</definedName>
    <definedName name="dgjhgjhgjghhg___3" localSheetId="19">DiscretFCFOn1Off2___7</definedName>
    <definedName name="dgjhgjhgjghhg___3" localSheetId="22">DiscretFCFOn1Off2___7</definedName>
    <definedName name="dgjhgjhgjghhg___3" localSheetId="28">DiscretFCFOn1Off2___7</definedName>
    <definedName name="dgjhgjhgjghhg___3" localSheetId="35">DiscretFCFOn1Off2___7</definedName>
    <definedName name="dgjhgjhgjghhg___3">DiscretFCFOn1Off2___7</definedName>
    <definedName name="dgjhgjhgjghhg___4" localSheetId="25">DiscretFCFOn1Off2___27</definedName>
    <definedName name="dgjhgjhgjghhg___4" localSheetId="19">DiscretFCFOn1Off2___27</definedName>
    <definedName name="dgjhgjhgjghhg___4" localSheetId="22">DiscretFCFOn1Off2___27</definedName>
    <definedName name="dgjhgjhgjghhg___4" localSheetId="28">DiscretFCFOn1Off2___27</definedName>
    <definedName name="dgjhgjhgjghhg___4" localSheetId="35">DiscretFCFOn1Off2___27</definedName>
    <definedName name="dgjhgjhgjghhg___4">DiscretFCFOn1Off2___27</definedName>
    <definedName name="dgjhgjhgjghhg___5" localSheetId="25">DRA___16</definedName>
    <definedName name="dgjhgjhgjghhg___5" localSheetId="19">DRA___16</definedName>
    <definedName name="dgjhgjhgjghhg___5" localSheetId="22">DRA___16</definedName>
    <definedName name="dgjhgjhgjghhg___5" localSheetId="28">DRA___16</definedName>
    <definedName name="dgjhgjhgjghhg___5" localSheetId="35">DRA___16</definedName>
    <definedName name="dgjhgjhgjghhg___5">DRA___16</definedName>
    <definedName name="dgjhgjhgjghhg___6" localSheetId="25">DiscretFCFOn1Off2___14</definedName>
    <definedName name="dgjhgjhgjghhg___6" localSheetId="19">DiscretFCFOn1Off2___14</definedName>
    <definedName name="dgjhgjhgjghhg___6" localSheetId="22">DiscretFCFOn1Off2___14</definedName>
    <definedName name="dgjhgjhgjghhg___6" localSheetId="28">DiscretFCFOn1Off2___14</definedName>
    <definedName name="dgjhgjhgjghhg___6" localSheetId="35">DiscretFCFOn1Off2___14</definedName>
    <definedName name="dgjhgjhgjghhg___6">DiscretFCFOn1Off2___14</definedName>
    <definedName name="dgjhgjhgjghhg___7" localSheetId="25">DRA___25</definedName>
    <definedName name="dgjhgjhgjghhg___7" localSheetId="19">DRA___25</definedName>
    <definedName name="dgjhgjhgjghhg___7" localSheetId="22">DRA___25</definedName>
    <definedName name="dgjhgjhgjghhg___7" localSheetId="28">DRA___25</definedName>
    <definedName name="dgjhgjhgjghhg___7" localSheetId="35">DRA___25</definedName>
    <definedName name="dgjhgjhgjghhg___7">DRA___25</definedName>
    <definedName name="dgjhgjhgjghhg___9" localSheetId="25">DiscretFCFOn1Off2___26</definedName>
    <definedName name="dgjhgjhgjghhg___9" localSheetId="19">DiscretFCFOn1Off2___26</definedName>
    <definedName name="dgjhgjhgjghhg___9" localSheetId="22">DiscretFCFOn1Off2___26</definedName>
    <definedName name="dgjhgjhgjghhg___9" localSheetId="28">DiscretFCFOn1Off2___26</definedName>
    <definedName name="dgjhgjhgjghhg___9" localSheetId="35">DiscretFCFOn1Off2___26</definedName>
    <definedName name="dgjhgjhgjghhg___9">DiscretFCFOn1Off2___26</definedName>
    <definedName name="dgndhgn" localSheetId="18" hidden="1">[86]RSG!#REF!</definedName>
    <definedName name="dgndhgn" localSheetId="29" hidden="1">[86]RSG!#REF!</definedName>
    <definedName name="dgndhgn" localSheetId="31" hidden="1">[86]RSG!#REF!</definedName>
    <definedName name="dgndhgn" localSheetId="15" hidden="1">[86]RSG!#REF!</definedName>
    <definedName name="dgndhgn" localSheetId="13" hidden="1">[86]RSG!#REF!</definedName>
    <definedName name="dgndhgn" localSheetId="17" hidden="1">[86]RSG!#REF!</definedName>
    <definedName name="dgndhgn" localSheetId="12" hidden="1">[86]RSG!#REF!</definedName>
    <definedName name="dgndhgn" localSheetId="22" hidden="1">[86]RSG!#REF!</definedName>
    <definedName name="dgndhgn" localSheetId="28" hidden="1">[86]RSG!#REF!</definedName>
    <definedName name="dgndhgn" localSheetId="35" hidden="1">[86]RSG!#REF!</definedName>
    <definedName name="dgndhgn" hidden="1">[86]RSG!#REF!</definedName>
    <definedName name="dhgndn" hidden="1">[86]AW!$D$12</definedName>
    <definedName name="DHSCHF">#N/A</definedName>
    <definedName name="DHSEUROS">#N/A</definedName>
    <definedName name="DHSFF">#N/A</definedName>
    <definedName name="DHWS?TRH">#N/A</definedName>
    <definedName name="Diable" localSheetId="28" hidden="1">{#N/A,#N/A,FALSE,"Operations";#N/A,#N/A,FALSE,"Financials"}</definedName>
    <definedName name="Diable" localSheetId="35" hidden="1">{#N/A,#N/A,FALSE,"Operations";#N/A,#N/A,FALSE,"Financials"}</definedName>
    <definedName name="Diable" hidden="1">{#N/A,#N/A,FALSE,"Operations";#N/A,#N/A,FALSE,"Financials"}</definedName>
    <definedName name="DigRed" localSheetId="29">#REF!</definedName>
    <definedName name="DigRed" localSheetId="31">#REF!</definedName>
    <definedName name="DigRed" localSheetId="28">#REF!</definedName>
    <definedName name="DigRed" localSheetId="35">#REF!</definedName>
    <definedName name="DigRed">#REF!</definedName>
    <definedName name="DiscountEnd1Middle2" localSheetId="18">#REF!</definedName>
    <definedName name="DiscountEnd1Middle2" localSheetId="25">#REF!</definedName>
    <definedName name="DiscountEnd1Middle2" localSheetId="29">#REF!</definedName>
    <definedName name="DiscountEnd1Middle2" localSheetId="31">#REF!</definedName>
    <definedName name="DiscountEnd1Middle2" localSheetId="15">#REF!</definedName>
    <definedName name="DiscountEnd1Middle2" localSheetId="13">#REF!</definedName>
    <definedName name="DiscountEnd1Middle2" localSheetId="17">#REF!</definedName>
    <definedName name="DiscountEnd1Middle2" localSheetId="12">#REF!</definedName>
    <definedName name="DiscountEnd1Middle2" localSheetId="22">#REF!</definedName>
    <definedName name="DiscountEnd1Middle2" localSheetId="28">#REF!</definedName>
    <definedName name="DiscountEnd1Middle2" localSheetId="35">#REF!</definedName>
    <definedName name="DiscountEnd1Middle2">#REF!</definedName>
    <definedName name="DiscountEnd1Middle2___0">#N/A</definedName>
    <definedName name="DiscountEnd1Middle2___12">#N/A</definedName>
    <definedName name="DiscountEnd1Middle2___14">#N/A</definedName>
    <definedName name="DiscountEnd1Middle2___16">#N/A</definedName>
    <definedName name="DiscountEnd1Middle2___2">#N/A</definedName>
    <definedName name="DiscountEnd1Middle2___25">#N/A</definedName>
    <definedName name="DiscountEnd1Middle2___26">#N/A</definedName>
    <definedName name="DiscountEnd1Middle2___27">#N/A</definedName>
    <definedName name="DiscountEnd1Middle2___4">#N/A</definedName>
    <definedName name="DiscountEnd1Middle2___5">#N/A</definedName>
    <definedName name="DiscountEnd1Middle2___7">#N/A</definedName>
    <definedName name="DiscountPeriods" localSheetId="18">#REF!</definedName>
    <definedName name="DiscountPeriods" localSheetId="25">#REF!</definedName>
    <definedName name="DiscountPeriods" localSheetId="29">#REF!</definedName>
    <definedName name="DiscountPeriods" localSheetId="31">#REF!</definedName>
    <definedName name="DiscountPeriods" localSheetId="15">#REF!</definedName>
    <definedName name="DiscountPeriods" localSheetId="13">#REF!</definedName>
    <definedName name="DiscountPeriods" localSheetId="17">#REF!</definedName>
    <definedName name="DiscountPeriods" localSheetId="12">#REF!</definedName>
    <definedName name="DiscountPeriods" localSheetId="22">#REF!</definedName>
    <definedName name="DiscountPeriods" localSheetId="28">#REF!</definedName>
    <definedName name="DiscountPeriods" localSheetId="35">#REF!</definedName>
    <definedName name="DiscountPeriods">#REF!</definedName>
    <definedName name="DiscountPeriods___0">#N/A</definedName>
    <definedName name="DiscountPeriods___12">#N/A</definedName>
    <definedName name="DiscountPeriods___14">#N/A</definedName>
    <definedName name="DiscountPeriods___16">#N/A</definedName>
    <definedName name="DiscountPeriods___2">#N/A</definedName>
    <definedName name="DiscountPeriods___25">#N/A</definedName>
    <definedName name="DiscountPeriods___26">#N/A</definedName>
    <definedName name="DiscountPeriods___27">#N/A</definedName>
    <definedName name="DiscountPeriods___4">#N/A</definedName>
    <definedName name="DiscountPeriods___5">#N/A</definedName>
    <definedName name="DiscountPeriods___7">#N/A</definedName>
    <definedName name="DiscretFCFOn1Off2" localSheetId="18">#REF!</definedName>
    <definedName name="DiscretFCFOn1Off2" localSheetId="25">#REF!</definedName>
    <definedName name="DiscretFCFOn1Off2" localSheetId="29">#REF!</definedName>
    <definedName name="DiscretFCFOn1Off2" localSheetId="31">#REF!</definedName>
    <definedName name="DiscretFCFOn1Off2" localSheetId="15">#REF!</definedName>
    <definedName name="DiscretFCFOn1Off2" localSheetId="13">#REF!</definedName>
    <definedName name="DiscretFCFOn1Off2" localSheetId="17">#REF!</definedName>
    <definedName name="DiscretFCFOn1Off2" localSheetId="12">#REF!</definedName>
    <definedName name="DiscretFCFOn1Off2" localSheetId="22">#REF!</definedName>
    <definedName name="DiscretFCFOn1Off2" localSheetId="28">#REF!</definedName>
    <definedName name="DiscretFCFOn1Off2" localSheetId="35">#REF!</definedName>
    <definedName name="DiscretFCFOn1Off2">#REF!</definedName>
    <definedName name="DiscretFCFOn1Off2___0">#N/A</definedName>
    <definedName name="DiscretFCFOn1Off2___12">#N/A</definedName>
    <definedName name="DiscretFCFOn1Off2___14">#N/A</definedName>
    <definedName name="DiscretFCFOn1Off2___16">#N/A</definedName>
    <definedName name="DiscretFCFOn1Off2___2">#N/A</definedName>
    <definedName name="DiscretFCFOn1Off2___25">#N/A</definedName>
    <definedName name="DiscretFCFOn1Off2___26">#N/A</definedName>
    <definedName name="DiscretFCFOn1Off2___27">#N/A</definedName>
    <definedName name="DiscretFCFOn1Off2___4">#N/A</definedName>
    <definedName name="DiscretFCFOn1Off2___5">#N/A</definedName>
    <definedName name="DiscretFCFOn1Off2___7">#N/A</definedName>
    <definedName name="DISPO">[47]SV161!$C$34</definedName>
    <definedName name="DISPO1">[47]SV161!$A$5</definedName>
    <definedName name="DISPO2">[47]SV161!$C$43</definedName>
    <definedName name="DIST" localSheetId="18">#REF!</definedName>
    <definedName name="DIST" localSheetId="25">#REF!</definedName>
    <definedName name="DIST" localSheetId="29">#REF!</definedName>
    <definedName name="DIST" localSheetId="31">#REF!</definedName>
    <definedName name="DIST" localSheetId="15">#REF!</definedName>
    <definedName name="DIST" localSheetId="13">#REF!</definedName>
    <definedName name="DIST" localSheetId="17">#REF!</definedName>
    <definedName name="DIST" localSheetId="12">#REF!</definedName>
    <definedName name="DIST" localSheetId="22">#REF!</definedName>
    <definedName name="DIST" localSheetId="28">#REF!</definedName>
    <definedName name="DIST" localSheetId="35">#REF!</definedName>
    <definedName name="DIST">#REF!</definedName>
    <definedName name="DISTRI">#N/A</definedName>
    <definedName name="divdiv" localSheetId="18">#REF!</definedName>
    <definedName name="divdiv" localSheetId="25">#REF!</definedName>
    <definedName name="divdiv" localSheetId="29">#REF!</definedName>
    <definedName name="divdiv" localSheetId="31">#REF!</definedName>
    <definedName name="divdiv" localSheetId="15">#REF!</definedName>
    <definedName name="divdiv" localSheetId="13">#REF!</definedName>
    <definedName name="divdiv" localSheetId="17">#REF!</definedName>
    <definedName name="divdiv" localSheetId="12">#REF!</definedName>
    <definedName name="divdiv" localSheetId="22">#REF!</definedName>
    <definedName name="divdiv" localSheetId="28">#REF!</definedName>
    <definedName name="divdiv" localSheetId="35">#REF!</definedName>
    <definedName name="divdiv">#REF!</definedName>
    <definedName name="Dividend" localSheetId="18">#REF!</definedName>
    <definedName name="Dividend" localSheetId="25">#REF!</definedName>
    <definedName name="Dividend" localSheetId="29">#REF!</definedName>
    <definedName name="Dividend" localSheetId="31">#REF!</definedName>
    <definedName name="Dividend" localSheetId="15">#REF!</definedName>
    <definedName name="Dividend" localSheetId="13">#REF!</definedName>
    <definedName name="Dividend" localSheetId="17">#REF!</definedName>
    <definedName name="Dividend" localSheetId="12">#REF!</definedName>
    <definedName name="Dividend" localSheetId="22">#REF!</definedName>
    <definedName name="Dividend" localSheetId="28">#REF!</definedName>
    <definedName name="Dividend" localSheetId="35">#REF!</definedName>
    <definedName name="Dividend">#REF!</definedName>
    <definedName name="divimmo" localSheetId="18">#REF!</definedName>
    <definedName name="divimmo" localSheetId="25">#REF!</definedName>
    <definedName name="divimmo" localSheetId="29">#REF!</definedName>
    <definedName name="divimmo" localSheetId="31">#REF!</definedName>
    <definedName name="divimmo" localSheetId="15">#REF!</definedName>
    <definedName name="divimmo" localSheetId="13">#REF!</definedName>
    <definedName name="divimmo" localSheetId="17">#REF!</definedName>
    <definedName name="divimmo" localSheetId="12">#REF!</definedName>
    <definedName name="divimmo" localSheetId="22">#REF!</definedName>
    <definedName name="divimmo" localSheetId="28">#REF!</definedName>
    <definedName name="divimmo" localSheetId="35">#REF!</definedName>
    <definedName name="divimmo">#REF!</definedName>
    <definedName name="divpart" localSheetId="18">#REF!</definedName>
    <definedName name="divpart" localSheetId="25">#REF!</definedName>
    <definedName name="divpart" localSheetId="29">#REF!</definedName>
    <definedName name="divpart" localSheetId="31">#REF!</definedName>
    <definedName name="divpart" localSheetId="15">#REF!</definedName>
    <definedName name="divpart" localSheetId="13">#REF!</definedName>
    <definedName name="divpart" localSheetId="17">#REF!</definedName>
    <definedName name="divpart" localSheetId="12">#REF!</definedName>
    <definedName name="divpart" localSheetId="22">#REF!</definedName>
    <definedName name="divpart" localSheetId="28">#REF!</definedName>
    <definedName name="divpart" localSheetId="35">#REF!</definedName>
    <definedName name="divpart">#REF!</definedName>
    <definedName name="divtiap" localSheetId="18">#REF!</definedName>
    <definedName name="divtiap" localSheetId="25">#REF!</definedName>
    <definedName name="divtiap" localSheetId="29">#REF!</definedName>
    <definedName name="divtiap" localSheetId="31">#REF!</definedName>
    <definedName name="divtiap" localSheetId="15">#REF!</definedName>
    <definedName name="divtiap" localSheetId="13">#REF!</definedName>
    <definedName name="divtiap" localSheetId="17">#REF!</definedName>
    <definedName name="divtiap" localSheetId="12">#REF!</definedName>
    <definedName name="divtiap" localSheetId="22">#REF!</definedName>
    <definedName name="divtiap" localSheetId="28">#REF!</definedName>
    <definedName name="divtiap" localSheetId="35">#REF!</definedName>
    <definedName name="divtiap">#REF!</definedName>
    <definedName name="djcgf" localSheetId="28" hidden="1">{#N/A,#N/A,TRUE,"Forecast &amp; Analysis";#N/A,#N/A,TRUE,"Market Values";#N/A,#N/A,TRUE,"Ratios";#N/A,#N/A,TRUE,"Regressions";#N/A,#N/A,TRUE,"Market Values";#N/A,#N/A,TRUE,"Parameters &amp; Results"}</definedName>
    <definedName name="djcgf" localSheetId="35" hidden="1">{#N/A,#N/A,TRUE,"Forecast &amp; Analysis";#N/A,#N/A,TRUE,"Market Values";#N/A,#N/A,TRUE,"Ratios";#N/A,#N/A,TRUE,"Regressions";#N/A,#N/A,TRUE,"Market Values";#N/A,#N/A,TRUE,"Parameters &amp; Results"}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 localSheetId="18">[6]!DJFGNSKLDH</definedName>
    <definedName name="DJFGNSKLDH" localSheetId="25">[6]!DJFGNSKLDH</definedName>
    <definedName name="DJFGNSKLDH" localSheetId="29">[6]!DJFGNSKLDH</definedName>
    <definedName name="DJFGNSKLDH" localSheetId="31">[6]!DJFGNSKLDH</definedName>
    <definedName name="DJFGNSKLDH" localSheetId="15">[6]!DJFGNSKLDH</definedName>
    <definedName name="DJFGNSKLDH" localSheetId="13">[6]!DJFGNSKLDH</definedName>
    <definedName name="DJFGNSKLDH" localSheetId="19">[7]!DJFGNSKLDH</definedName>
    <definedName name="DJFGNSKLDH" localSheetId="17">[6]!DJFGNSKLDH</definedName>
    <definedName name="DJFGNSKLDH" localSheetId="12">[6]!DJFGNSKLDH</definedName>
    <definedName name="DJFGNSKLDH" localSheetId="22">[8]!DJFGNSKLDH</definedName>
    <definedName name="DJFGNSKLDH">[6]!DJFGNSKLDH</definedName>
    <definedName name="dkduk">#N/A</definedName>
    <definedName name="dkut">#N/A</definedName>
    <definedName name="dkutkdk">#N/A</definedName>
    <definedName name="dkyuk" localSheetId="18">[6]!dkyuk</definedName>
    <definedName name="dkyuk" localSheetId="25">[6]!dkyuk</definedName>
    <definedName name="dkyuk" localSheetId="29">[6]!dkyuk</definedName>
    <definedName name="dkyuk" localSheetId="31">[6]!dkyuk</definedName>
    <definedName name="dkyuk" localSheetId="15">[6]!dkyuk</definedName>
    <definedName name="dkyuk" localSheetId="13">[6]!dkyuk</definedName>
    <definedName name="dkyuk" localSheetId="19">[7]!dkyuk</definedName>
    <definedName name="dkyuk" localSheetId="17">[6]!dkyuk</definedName>
    <definedName name="dkyuk" localSheetId="12">[6]!dkyuk</definedName>
    <definedName name="dkyuk" localSheetId="22">[8]!dkyuk</definedName>
    <definedName name="dkyuk">[6]!dkyuk</definedName>
    <definedName name="Dload2" localSheetId="18">#REF!</definedName>
    <definedName name="Dload2" localSheetId="25">#REF!</definedName>
    <definedName name="Dload2" localSheetId="29">#REF!</definedName>
    <definedName name="Dload2" localSheetId="31">#REF!</definedName>
    <definedName name="Dload2" localSheetId="15">#REF!</definedName>
    <definedName name="Dload2" localSheetId="13">#REF!</definedName>
    <definedName name="Dload2" localSheetId="17">#REF!</definedName>
    <definedName name="Dload2" localSheetId="12">#REF!</definedName>
    <definedName name="Dload2" localSheetId="22">#REF!</definedName>
    <definedName name="Dload2" localSheetId="28">#REF!</definedName>
    <definedName name="Dload2" localSheetId="35">#REF!</definedName>
    <definedName name="Dload2">#REF!</definedName>
    <definedName name="DocType" localSheetId="29">Word</definedName>
    <definedName name="DocType" localSheetId="31">Word</definedName>
    <definedName name="DocType" localSheetId="28">Word</definedName>
    <definedName name="DocType" localSheetId="35">Word</definedName>
    <definedName name="DocType">Word</definedName>
    <definedName name="dol">[90]Liquidity!$AQ$12</definedName>
    <definedName name="DOS_MENSUAL">'[91]social capex '!$DL$155:$EI$210</definedName>
    <definedName name="DPD" localSheetId="29">#REF!</definedName>
    <definedName name="DPD" localSheetId="31">#REF!</definedName>
    <definedName name="DPD" localSheetId="28">#REF!</definedName>
    <definedName name="DPD" localSheetId="35">#REF!</definedName>
    <definedName name="DPD">#REF!</definedName>
    <definedName name="dqgfqd" localSheetId="28" hidden="1">{"IS",#N/A,FALSE,"IS";"RPTIS",#N/A,FALSE,"RPTIS";"STATS",#N/A,FALSE,"STATS";"CELL",#N/A,FALSE,"CELL";"BS",#N/A,FALSE,"BS"}</definedName>
    <definedName name="dqgfqd" localSheetId="35" hidden="1">{"IS",#N/A,FALSE,"IS";"RPTIS",#N/A,FALSE,"RPTIS";"STATS",#N/A,FALSE,"STATS";"CELL",#N/A,FALSE,"CELL";"BS",#N/A,FALSE,"BS"}</definedName>
    <definedName name="dqgfqd" hidden="1">{"IS",#N/A,FALSE,"IS";"RPTIS",#N/A,FALSE,"RPTIS";"STATS",#N/A,FALSE,"STATS";"CELL",#N/A,FALSE,"CELL";"BS",#N/A,FALSE,"BS"}</definedName>
    <definedName name="dr" localSheetId="25" hidden="1">{"IS",#N/A,FALSE,"IS";"RPTIS",#N/A,FALSE,"RPTIS";"STATS",#N/A,FALSE,"STATS";"BS",#N/A,FALSE,"BS"}</definedName>
    <definedName name="dr" localSheetId="19" hidden="1">{"IS",#N/A,FALSE,"IS";"RPTIS",#N/A,FALSE,"RPTIS";"STATS",#N/A,FALSE,"STATS";"BS",#N/A,FALSE,"BS"}</definedName>
    <definedName name="dr" localSheetId="22" hidden="1">{"IS",#N/A,FALSE,"IS";"RPTIS",#N/A,FALSE,"RPTIS";"STATS",#N/A,FALSE,"STATS";"BS",#N/A,FALSE,"BS"}</definedName>
    <definedName name="dr" localSheetId="28" hidden="1">{"IS",#N/A,FALSE,"IS";"RPTIS",#N/A,FALSE,"RPTIS";"STATS",#N/A,FALSE,"STATS";"BS",#N/A,FALSE,"BS"}</definedName>
    <definedName name="dr" localSheetId="35" hidden="1">{"IS",#N/A,FALSE,"IS";"RPTIS",#N/A,FALSE,"RPTIS";"STATS",#N/A,FALSE,"STATS";"BS",#N/A,FALSE,"BS"}</definedName>
    <definedName name="dr" hidden="1">{"IS",#N/A,FALSE,"IS";"RPTIS",#N/A,FALSE,"RPTIS";"STATS",#N/A,FALSE,"STATS";"BS",#N/A,FALSE,"BS"}</definedName>
    <definedName name="DRA" localSheetId="18">#N/A</definedName>
    <definedName name="DRA" localSheetId="25">Activation!Tx_intérêt_par_an/#REF!</definedName>
    <definedName name="DRA" localSheetId="29">'Amortissment boa'!Tx_intérêt_par_an/#REF!</definedName>
    <definedName name="DRA" localSheetId="31">'Amortissment Cboa'!Tx_intérêt_par_an/#REF!</definedName>
    <definedName name="DRA" localSheetId="15">#N/A</definedName>
    <definedName name="DRA" localSheetId="13">#N/A</definedName>
    <definedName name="DRA" localSheetId="19">#N/A</definedName>
    <definedName name="DRA" localSheetId="17">#N/A</definedName>
    <definedName name="DRA" localSheetId="12">#N/A</definedName>
    <definedName name="DRA" localSheetId="22">[5]!Tx_intérêt_par_an/#REF!</definedName>
    <definedName name="DRA" localSheetId="28">'SYNTHESE BOA'!Tx_intérêt_par_an/#REF!</definedName>
    <definedName name="DRA" localSheetId="35">'Taxe 5%'!Tx_intérêt_par_an/#REF!</definedName>
    <definedName name="DRA">[0]!Tx_intérêt_par_an/#REF!</definedName>
    <definedName name="DRA___0">#N/A</definedName>
    <definedName name="DRA___12">#N/A</definedName>
    <definedName name="DRA___14">#N/A</definedName>
    <definedName name="DRA___16">#N/A</definedName>
    <definedName name="DRA___2">#N/A</definedName>
    <definedName name="DRA___23">#N/A</definedName>
    <definedName name="DRA___25">#N/A</definedName>
    <definedName name="DRA___26">#N/A</definedName>
    <definedName name="DRA___27">#N/A</definedName>
    <definedName name="DRA___3">#N/A</definedName>
    <definedName name="DRA___4">#N/A</definedName>
    <definedName name="DRA___5">#N/A</definedName>
    <definedName name="DRA___6">#N/A</definedName>
    <definedName name="DRA___7">#N/A</definedName>
    <definedName name="DRA___9">#N/A</definedName>
    <definedName name="DRC" localSheetId="18">#N/A</definedName>
    <definedName name="DRC" localSheetId="25">Activation!Nb_de_paiements_par_an*#REF!</definedName>
    <definedName name="DRC" localSheetId="29">'Amortissment boa'!Nb_de_paiements_par_an*#REF!</definedName>
    <definedName name="DRC" localSheetId="31">'Amortissment Cboa'!Nb_de_paiements_par_an*#REF!</definedName>
    <definedName name="DRC" localSheetId="15">#N/A</definedName>
    <definedName name="DRC" localSheetId="13">#N/A</definedName>
    <definedName name="DRC" localSheetId="19">#N/A</definedName>
    <definedName name="DRC" localSheetId="17">#N/A</definedName>
    <definedName name="DRC" localSheetId="12">#N/A</definedName>
    <definedName name="DRC" localSheetId="22">[5]!Nb_de_paiements_par_an*#REF!</definedName>
    <definedName name="DRC" localSheetId="28">'SYNTHESE BOA'!Nb_de_paiements_par_an*#REF!</definedName>
    <definedName name="DRC" localSheetId="35">'Taxe 5%'!Nb_de_paiements_par_an*#REF!</definedName>
    <definedName name="DRC">[0]!Nb_de_paiements_par_an*#REF!</definedName>
    <definedName name="DRC___0">#N/A</definedName>
    <definedName name="DRC___12">#N/A</definedName>
    <definedName name="DRC___14">#N/A</definedName>
    <definedName name="DRC___16">#N/A</definedName>
    <definedName name="DRC___2">#N/A</definedName>
    <definedName name="DRC___23">#N/A</definedName>
    <definedName name="DRC___25">#N/A</definedName>
    <definedName name="DRC___26">#N/A</definedName>
    <definedName name="DRC___27">#N/A</definedName>
    <definedName name="DRC___3">#N/A</definedName>
    <definedName name="DRC___4">#N/A</definedName>
    <definedName name="DRC___5">#N/A</definedName>
    <definedName name="DRC___6">#N/A</definedName>
    <definedName name="DRC___7">#N/A</definedName>
    <definedName name="DRC___9">#N/A</definedName>
    <definedName name="drg" localSheetId="18">#N/A</definedName>
    <definedName name="drg" localSheetId="25">Activation!Nb_de_paiements_par_an*#REF!</definedName>
    <definedName name="drg" localSheetId="29">'Amortissment boa'!Nb_de_paiements_par_an*#REF!</definedName>
    <definedName name="drg" localSheetId="31">'Amortissment Cboa'!Nb_de_paiements_par_an*#REF!</definedName>
    <definedName name="drg" localSheetId="15">#N/A</definedName>
    <definedName name="drg" localSheetId="13">#N/A</definedName>
    <definedName name="drg" localSheetId="19">#N/A</definedName>
    <definedName name="drg" localSheetId="17">#N/A</definedName>
    <definedName name="drg" localSheetId="12">#N/A</definedName>
    <definedName name="drg" localSheetId="22">[5]!Nb_de_paiements_par_an*#REF!</definedName>
    <definedName name="drg" localSheetId="28">'SYNTHESE BOA'!Nb_de_paiements_par_an*#REF!</definedName>
    <definedName name="drg" localSheetId="35">'Taxe 5%'!Nb_de_paiements_par_an*#REF!</definedName>
    <definedName name="drg">[0]!Nb_de_paiements_par_an*#REF!</definedName>
    <definedName name="drg___0">#N/A</definedName>
    <definedName name="drg___12">#N/A</definedName>
    <definedName name="drg___14">#N/A</definedName>
    <definedName name="drg___16">#N/A</definedName>
    <definedName name="drg___2">#N/A</definedName>
    <definedName name="drg___23">#N/A</definedName>
    <definedName name="drg___25">#N/A</definedName>
    <definedName name="drg___26">#N/A</definedName>
    <definedName name="drg___27">#N/A</definedName>
    <definedName name="drg___3">#N/A</definedName>
    <definedName name="drg___4">#N/A</definedName>
    <definedName name="drg___5">#N/A</definedName>
    <definedName name="drg___6">#N/A</definedName>
    <definedName name="drg___7">#N/A</definedName>
    <definedName name="drg___9">#N/A</definedName>
    <definedName name="drh">#N/A</definedName>
    <definedName name="ds" localSheetId="28">#N/A</definedName>
    <definedName name="ds" localSheetId="35">'Taxe 5%'!ds</definedName>
    <definedName name="ds">'Taxe 5%'!ds</definedName>
    <definedName name="dscf" localSheetId="29">[89]loc!#REF!</definedName>
    <definedName name="dscf" localSheetId="31">[89]loc!#REF!</definedName>
    <definedName name="dscf" localSheetId="28">[89]loc!#REF!</definedName>
    <definedName name="dscf" localSheetId="35">[89]loc!#REF!</definedName>
    <definedName name="dscf">[89]loc!#REF!</definedName>
    <definedName name="dsf">#N/A</definedName>
    <definedName name="dsfgsb" localSheetId="18">[6]!dsfgsb</definedName>
    <definedName name="dsfgsb" localSheetId="25">[6]!dsfgsb</definedName>
    <definedName name="dsfgsb" localSheetId="29">[6]!dsfgsb</definedName>
    <definedName name="dsfgsb" localSheetId="31">[6]!dsfgsb</definedName>
    <definedName name="dsfgsb" localSheetId="15">[6]!dsfgsb</definedName>
    <definedName name="dsfgsb" localSheetId="13">[6]!dsfgsb</definedName>
    <definedName name="dsfgsb" localSheetId="19">[7]!dsfgsb</definedName>
    <definedName name="dsfgsb" localSheetId="17">[6]!dsfgsb</definedName>
    <definedName name="dsfgsb" localSheetId="12">[6]!dsfgsb</definedName>
    <definedName name="dsfgsb" localSheetId="22">[8]!dsfgsb</definedName>
    <definedName name="dsfgsb">[6]!dsfgsb</definedName>
    <definedName name="DSFHG">#N/A</definedName>
    <definedName name="dsfsg" localSheetId="18">[6]!dsfsg</definedName>
    <definedName name="dsfsg" localSheetId="25">[6]!dsfsg</definedName>
    <definedName name="dsfsg" localSheetId="29">[6]!dsfsg</definedName>
    <definedName name="dsfsg" localSheetId="31">[6]!dsfsg</definedName>
    <definedName name="dsfsg" localSheetId="15">[6]!dsfsg</definedName>
    <definedName name="dsfsg" localSheetId="13">[6]!dsfsg</definedName>
    <definedName name="dsfsg" localSheetId="19">[7]!dsfsg</definedName>
    <definedName name="dsfsg" localSheetId="17">[6]!dsfsg</definedName>
    <definedName name="dsfsg" localSheetId="12">[6]!dsfsg</definedName>
    <definedName name="dsfsg" localSheetId="22">[8]!dsfsg</definedName>
    <definedName name="dsfsg">[6]!dsfsg</definedName>
    <definedName name="dsggd" localSheetId="2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3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[65]ONPT!$E$8</definedName>
    <definedName name="dthj">#N/A</definedName>
    <definedName name="DTS">#N/A</definedName>
    <definedName name="dtyiuèi" localSheetId="18">[6]!dtyiuèi</definedName>
    <definedName name="dtyiuèi" localSheetId="25">[6]!dtyiuèi</definedName>
    <definedName name="dtyiuèi" localSheetId="29">[6]!dtyiuèi</definedName>
    <definedName name="dtyiuèi" localSheetId="31">[6]!dtyiuèi</definedName>
    <definedName name="dtyiuèi" localSheetId="15">[6]!dtyiuèi</definedName>
    <definedName name="dtyiuèi" localSheetId="13">[6]!dtyiuèi</definedName>
    <definedName name="dtyiuèi" localSheetId="19">[7]!dtyiuèi</definedName>
    <definedName name="dtyiuèi" localSheetId="17">[6]!dtyiuèi</definedName>
    <definedName name="dtyiuèi" localSheetId="12">[6]!dtyiuèi</definedName>
    <definedName name="dtyiuèi" localSheetId="22">[8]!dtyiuèi</definedName>
    <definedName name="dtyiuèi">[6]!dtyiuèi</definedName>
    <definedName name="dtyjdtk" localSheetId="18">[6]!dtyjdtk</definedName>
    <definedName name="dtyjdtk" localSheetId="25">[6]!dtyjdtk</definedName>
    <definedName name="dtyjdtk" localSheetId="29">[6]!dtyjdtk</definedName>
    <definedName name="dtyjdtk" localSheetId="31">[6]!dtyjdtk</definedName>
    <definedName name="dtyjdtk" localSheetId="15">[6]!dtyjdtk</definedName>
    <definedName name="dtyjdtk" localSheetId="13">[6]!dtyjdtk</definedName>
    <definedName name="dtyjdtk" localSheetId="19">[7]!dtyjdtk</definedName>
    <definedName name="dtyjdtk" localSheetId="17">[6]!dtyjdtk</definedName>
    <definedName name="dtyjdtk" localSheetId="12">[6]!dtyjdtk</definedName>
    <definedName name="dtyjdtk" localSheetId="22">[8]!dtyjdtk</definedName>
    <definedName name="dtyjdtk">[6]!dtyjdtk</definedName>
    <definedName name="dukdtu" localSheetId="18">[6]!dukdtu</definedName>
    <definedName name="dukdtu" localSheetId="25">[6]!dukdtu</definedName>
    <definedName name="dukdtu" localSheetId="29">[6]!dukdtu</definedName>
    <definedName name="dukdtu" localSheetId="31">[6]!dukdtu</definedName>
    <definedName name="dukdtu" localSheetId="15">[6]!dukdtu</definedName>
    <definedName name="dukdtu" localSheetId="13">[6]!dukdtu</definedName>
    <definedName name="dukdtu" localSheetId="19">[7]!dukdtu</definedName>
    <definedName name="dukdtu" localSheetId="17">[6]!dukdtu</definedName>
    <definedName name="dukdtu" localSheetId="12">[6]!dukdtu</definedName>
    <definedName name="dukdtu" localSheetId="22">[8]!dukdtu</definedName>
    <definedName name="dukdtu">[6]!dukdtu</definedName>
    <definedName name="dukdu" localSheetId="18">[6]!dukdu</definedName>
    <definedName name="dukdu" localSheetId="25">[6]!dukdu</definedName>
    <definedName name="dukdu" localSheetId="29">[6]!dukdu</definedName>
    <definedName name="dukdu" localSheetId="31">[6]!dukdu</definedName>
    <definedName name="dukdu" localSheetId="15">[6]!dukdu</definedName>
    <definedName name="dukdu" localSheetId="13">[6]!dukdu</definedName>
    <definedName name="dukdu" localSheetId="19">[7]!dukdu</definedName>
    <definedName name="dukdu" localSheetId="17">[6]!dukdu</definedName>
    <definedName name="dukdu" localSheetId="12">[6]!dukdu</definedName>
    <definedName name="dukdu" localSheetId="22">[8]!dukdu</definedName>
    <definedName name="dukdu">[6]!dukdu</definedName>
    <definedName name="Durée_prêt" localSheetId="18">#REF!</definedName>
    <definedName name="Durée_prêt" localSheetId="25">#REF!</definedName>
    <definedName name="Durée_prêt" localSheetId="29">#REF!</definedName>
    <definedName name="Durée_prêt" localSheetId="31">#REF!</definedName>
    <definedName name="Durée_prêt" localSheetId="15">#REF!</definedName>
    <definedName name="Durée_prêt" localSheetId="13">#REF!</definedName>
    <definedName name="Durée_prêt" localSheetId="17">#REF!</definedName>
    <definedName name="Durée_prêt" localSheetId="12">#REF!</definedName>
    <definedName name="Durée_prêt" localSheetId="22">#REF!</definedName>
    <definedName name="Durée_prêt" localSheetId="28">#REF!</definedName>
    <definedName name="Durée_prêt" localSheetId="35">#REF!</definedName>
    <definedName name="Durée_prêt">#REF!</definedName>
    <definedName name="Durée_prêt___0">#N/A</definedName>
    <definedName name="Durée_prêt___12">#N/A</definedName>
    <definedName name="Durée_prêt___14">#N/A</definedName>
    <definedName name="Durée_prêt___16">#N/A</definedName>
    <definedName name="Durée_prêt___2">#N/A</definedName>
    <definedName name="Durée_prêt___25">#N/A</definedName>
    <definedName name="Durée_prêt___26">#N/A</definedName>
    <definedName name="Durée_prêt___27">#N/A</definedName>
    <definedName name="Durée_prêt___4">#N/A</definedName>
    <definedName name="Durée_prêt___5">#N/A</definedName>
    <definedName name="Durée_prêt___7">#N/A</definedName>
    <definedName name="dvd" localSheetId="18" hidden="1">[92]P.EQUIPEMENT99!#REF!</definedName>
    <definedName name="dvd" localSheetId="29" hidden="1">[92]P.EQUIPEMENT99!#REF!</definedName>
    <definedName name="dvd" localSheetId="31" hidden="1">[92]P.EQUIPEMENT99!#REF!</definedName>
    <definedName name="dvd" localSheetId="15" hidden="1">[92]P.EQUIPEMENT99!#REF!</definedName>
    <definedName name="dvd" localSheetId="13" hidden="1">[92]P.EQUIPEMENT99!#REF!</definedName>
    <definedName name="dvd" localSheetId="17" hidden="1">[92]P.EQUIPEMENT99!#REF!</definedName>
    <definedName name="dvd" localSheetId="12" hidden="1">[92]P.EQUIPEMENT99!#REF!</definedName>
    <definedName name="dvd" localSheetId="22" hidden="1">[92]P.EQUIPEMENT99!#REF!</definedName>
    <definedName name="dvd" localSheetId="28" hidden="1">[92]P.EQUIPEMENT99!#REF!</definedName>
    <definedName name="dvd" localSheetId="35" hidden="1">[92]P.EQUIPEMENT99!#REF!</definedName>
    <definedName name="dvd" hidden="1">[92]P.EQUIPEMENT99!#REF!</definedName>
    <definedName name="dvfdfg">#N/A</definedName>
    <definedName name="dyhj" localSheetId="18">[6]!dyhj</definedName>
    <definedName name="dyhj" localSheetId="25">[6]!dyhj</definedName>
    <definedName name="dyhj" localSheetId="29">[6]!dyhj</definedName>
    <definedName name="dyhj" localSheetId="31">[6]!dyhj</definedName>
    <definedName name="dyhj" localSheetId="15">[6]!dyhj</definedName>
    <definedName name="dyhj" localSheetId="13">[6]!dyhj</definedName>
    <definedName name="dyhj" localSheetId="19">[7]!dyhj</definedName>
    <definedName name="dyhj" localSheetId="17">[6]!dyhj</definedName>
    <definedName name="dyhj" localSheetId="12">[6]!dyhj</definedName>
    <definedName name="dyhj" localSheetId="22">[8]!dyhj</definedName>
    <definedName name="dyhj">[6]!dyhj</definedName>
    <definedName name="dz" localSheetId="25" hidden="1">{"test2",#N/A,TRUE,"Prices"}</definedName>
    <definedName name="dz" localSheetId="19" hidden="1">{"test2",#N/A,TRUE,"Prices"}</definedName>
    <definedName name="dz" localSheetId="22" hidden="1">{"test2",#N/A,TRUE,"Prices"}</definedName>
    <definedName name="dz" localSheetId="28" hidden="1">{"test2",#N/A,TRUE,"Prices"}</definedName>
    <definedName name="dz" localSheetId="35" hidden="1">{"test2",#N/A,TRUE,"Prices"}</definedName>
    <definedName name="dz" hidden="1">{"test2",#N/A,TRUE,"Prices"}</definedName>
    <definedName name="DZEF">#N/A</definedName>
    <definedName name="dzf">'[93]RG LOC'!$C$5:$C$1536</definedName>
    <definedName name="E" localSheetId="18">#REF!</definedName>
    <definedName name="E" localSheetId="25">#REF!</definedName>
    <definedName name="E" localSheetId="29">#REF!</definedName>
    <definedName name="E" localSheetId="31">#REF!</definedName>
    <definedName name="E" localSheetId="15">#REF!</definedName>
    <definedName name="E" localSheetId="13">#REF!</definedName>
    <definedName name="E" localSheetId="17">#REF!</definedName>
    <definedName name="E" localSheetId="12">#REF!</definedName>
    <definedName name="E" localSheetId="22">#REF!</definedName>
    <definedName name="E" localSheetId="28">#REF!</definedName>
    <definedName name="E" localSheetId="35">#REF!</definedName>
    <definedName name="E">#REF!</definedName>
    <definedName name="E___0">NA()</definedName>
    <definedName name="E___12">#N/A</definedName>
    <definedName name="E___2">#N/A</definedName>
    <definedName name="E___25">#N/A</definedName>
    <definedName name="E___26">#N/A</definedName>
    <definedName name="E___27">NA()</definedName>
    <definedName name="E___4">#N/A</definedName>
    <definedName name="E___5">NA()</definedName>
    <definedName name="E___6">#N/A</definedName>
    <definedName name="E___7">#N/A</definedName>
    <definedName name="E_Comm_Perso" localSheetId="18">#REF!</definedName>
    <definedName name="E_Comm_Perso" localSheetId="25">#REF!</definedName>
    <definedName name="E_Comm_Perso" localSheetId="29">#REF!</definedName>
    <definedName name="E_Comm_Perso" localSheetId="31">#REF!</definedName>
    <definedName name="E_Comm_Perso" localSheetId="15">#REF!</definedName>
    <definedName name="E_Comm_Perso" localSheetId="13">#REF!</definedName>
    <definedName name="E_Comm_Perso" localSheetId="17">#REF!</definedName>
    <definedName name="E_Comm_Perso" localSheetId="12">#REF!</definedName>
    <definedName name="E_Comm_Perso" localSheetId="22">#REF!</definedName>
    <definedName name="E_Comm_Perso" localSheetId="28">#REF!</definedName>
    <definedName name="E_Comm_Perso" localSheetId="35">#REF!</definedName>
    <definedName name="E_Comm_Perso">#REF!</definedName>
    <definedName name="E_Comm_Perso___0">#N/A</definedName>
    <definedName name="E_Comm_Perso___12">#N/A</definedName>
    <definedName name="E_Comm_Perso___14">#N/A</definedName>
    <definedName name="E_Comm_Perso___16">#N/A</definedName>
    <definedName name="E_Comm_Perso___2">#N/A</definedName>
    <definedName name="E_Comm_Perso___26">#N/A</definedName>
    <definedName name="E_Comm_Perso___27">#N/A</definedName>
    <definedName name="E_Comm_Perso___5">#N/A</definedName>
    <definedName name="E_Comm_Perso___7">#N/A</definedName>
    <definedName name="E_ThirtyFiveHundred" localSheetId="29">#REF!</definedName>
    <definedName name="E_ThirtyFiveHundred" localSheetId="31">#REF!</definedName>
    <definedName name="E_ThirtyFiveHundred" localSheetId="28">#REF!</definedName>
    <definedName name="E_ThirtyFiveHundred" localSheetId="35">#REF!</definedName>
    <definedName name="E_ThirtyFiveHundred">#REF!</definedName>
    <definedName name="ea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29">#REF!</definedName>
    <definedName name="EAC_Estimate_at_Completion" localSheetId="31">#REF!</definedName>
    <definedName name="EAC_Estimate_at_Completion" localSheetId="28">#REF!</definedName>
    <definedName name="EAC_Estimate_at_Completion" localSheetId="35">#REF!</definedName>
    <definedName name="EAC_Estimate_at_Completion">#REF!</definedName>
    <definedName name="EarliestDateForValuation" localSheetId="18">#REF!</definedName>
    <definedName name="EarliestDateForValuation" localSheetId="25">#REF!</definedName>
    <definedName name="EarliestDateForValuation" localSheetId="29">#REF!</definedName>
    <definedName name="EarliestDateForValuation" localSheetId="31">#REF!</definedName>
    <definedName name="EarliestDateForValuation" localSheetId="15">#REF!</definedName>
    <definedName name="EarliestDateForValuation" localSheetId="13">#REF!</definedName>
    <definedName name="EarliestDateForValuation" localSheetId="17">#REF!</definedName>
    <definedName name="EarliestDateForValuation" localSheetId="12">#REF!</definedName>
    <definedName name="EarliestDateForValuation" localSheetId="22">#REF!</definedName>
    <definedName name="EarliestDateForValuation" localSheetId="28">#REF!</definedName>
    <definedName name="EarliestDateForValuation" localSheetId="35">#REF!</definedName>
    <definedName name="EarliestDateForValuation">#REF!</definedName>
    <definedName name="EarliestDateForValuation___0">#N/A</definedName>
    <definedName name="EarliestDateForValuation___12">#N/A</definedName>
    <definedName name="EarliestDateForValuation___14">#N/A</definedName>
    <definedName name="EarliestDateForValuation___16">#N/A</definedName>
    <definedName name="EarliestDateForValuation___2">#N/A</definedName>
    <definedName name="EarliestDateForValuation___25">#N/A</definedName>
    <definedName name="EarliestDateForValuation___26">#N/A</definedName>
    <definedName name="EarliestDateForValuation___27">#N/A</definedName>
    <definedName name="EarliestDateForValuation___4">#N/A</definedName>
    <definedName name="EarliestDateForValuation___5">#N/A</definedName>
    <definedName name="EarliestDateForValuation___7">#N/A</definedName>
    <definedName name="edede">#N/A</definedName>
    <definedName name="ededed" localSheetId="18">[6]!ededed</definedName>
    <definedName name="ededed" localSheetId="25">[6]!ededed</definedName>
    <definedName name="ededed" localSheetId="29">[6]!ededed</definedName>
    <definedName name="ededed" localSheetId="31">[6]!ededed</definedName>
    <definedName name="ededed" localSheetId="15">[6]!ededed</definedName>
    <definedName name="ededed" localSheetId="13">[6]!ededed</definedName>
    <definedName name="ededed" localSheetId="19">[7]!ededed</definedName>
    <definedName name="ededed" localSheetId="17">[6]!ededed</definedName>
    <definedName name="ededed" localSheetId="12">[6]!ededed</definedName>
    <definedName name="ededed" localSheetId="22">[8]!ededed</definedName>
    <definedName name="ededed">[6]!ededed</definedName>
    <definedName name="Editable" localSheetId="18" hidden="1">[94]Table000208!$B$6:$B$12,[94]Table000208!#REF!,[94]Table000208!#REF!,[94]Table000208!#REF!</definedName>
    <definedName name="Editable" localSheetId="25" hidden="1">[94]Table000208!$B$6:$B$12,[94]Table000208!#REF!,[94]Table000208!#REF!,[94]Table000208!#REF!</definedName>
    <definedName name="Editable" localSheetId="29" hidden="1">[94]Table000208!$B$6:$B$12,[94]Table000208!#REF!,[94]Table000208!#REF!,[94]Table000208!#REF!</definedName>
    <definedName name="Editable" localSheetId="31" hidden="1">[94]Table000208!$B$6:$B$12,[94]Table000208!#REF!,[94]Table000208!#REF!,[94]Table000208!#REF!</definedName>
    <definedName name="Editable" localSheetId="15" hidden="1">[94]Table000208!$B$6:$B$12,[94]Table000208!#REF!,[94]Table000208!#REF!,[94]Table000208!#REF!</definedName>
    <definedName name="Editable" localSheetId="13" hidden="1">[94]Table000208!$B$6:$B$12,[94]Table000208!#REF!,[94]Table000208!#REF!,[94]Table000208!#REF!</definedName>
    <definedName name="Editable" localSheetId="19" hidden="1">[94]Table000208!$B$6:$B$12,[94]Table000208!#REF!,[94]Table000208!#REF!,[94]Table000208!#REF!</definedName>
    <definedName name="Editable" localSheetId="17" hidden="1">[94]Table000208!$B$6:$B$12,[94]Table000208!#REF!,[94]Table000208!#REF!,[94]Table000208!#REF!</definedName>
    <definedName name="Editable" localSheetId="12" hidden="1">[94]Table000208!$B$6:$B$12,[94]Table000208!#REF!,[94]Table000208!#REF!,[94]Table000208!#REF!</definedName>
    <definedName name="Editable" localSheetId="22" hidden="1">[94]Table000208!$B$6:$B$12,[94]Table000208!#REF!,[94]Table000208!#REF!,[94]Table000208!#REF!</definedName>
    <definedName name="Editable" hidden="1">[94]Table000208!$B$6:$B$12,[94]Table000208!#REF!,[94]Table000208!#REF!,[94]Table000208!#REF!</definedName>
    <definedName name="edp" localSheetId="28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35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18">'[95]A.I.A'!#REF!</definedName>
    <definedName name="ee" localSheetId="29">'[95]A.I.A'!#REF!</definedName>
    <definedName name="ee" localSheetId="31">'[95]A.I.A'!#REF!</definedName>
    <definedName name="ee" localSheetId="15">'[95]A.I.A'!#REF!</definedName>
    <definedName name="ee" localSheetId="13">'[95]A.I.A'!#REF!</definedName>
    <definedName name="ee" localSheetId="17">'[95]A.I.A'!#REF!</definedName>
    <definedName name="ee" localSheetId="12">'[95]A.I.A'!#REF!</definedName>
    <definedName name="ee" localSheetId="22">'[95]A.I.A'!#REF!</definedName>
    <definedName name="ee" localSheetId="28">'[95]A.I.A'!#REF!</definedName>
    <definedName name="ee" localSheetId="35">'[95]A.I.A'!#REF!</definedName>
    <definedName name="ee">'[95]A.I.A'!#REF!</definedName>
    <definedName name="EEE">[96]Produits!$C$2:$C$13</definedName>
    <definedName name="eeee" localSheetId="18">#N/A</definedName>
    <definedName name="eeee" localSheetId="25">Activation!Nb_de_paiements_par_an*#REF!</definedName>
    <definedName name="eeee" localSheetId="29">'Amortissment boa'!Nb_de_paiements_par_an*#REF!</definedName>
    <definedName name="eeee" localSheetId="31">'Amortissment Cboa'!Nb_de_paiements_par_an*#REF!</definedName>
    <definedName name="eeee" localSheetId="15">#N/A</definedName>
    <definedName name="eeee" localSheetId="13">#N/A</definedName>
    <definedName name="eeee" localSheetId="19">#N/A</definedName>
    <definedName name="eeee" localSheetId="17">#N/A</definedName>
    <definedName name="eeee" localSheetId="12">#N/A</definedName>
    <definedName name="eeee" localSheetId="22">[5]!Nb_de_paiements_par_an*#REF!</definedName>
    <definedName name="eeee" localSheetId="28">'SYNTHESE BOA'!Nb_de_paiements_par_an*#REF!</definedName>
    <definedName name="eeee" localSheetId="35">'Taxe 5%'!Nb_de_paiements_par_an*#REF!</definedName>
    <definedName name="eeee">[0]!Nb_de_paiements_par_an*#REF!</definedName>
    <definedName name="eeee___0">#N/A</definedName>
    <definedName name="eeee___12">#N/A</definedName>
    <definedName name="eeee___14">#N/A</definedName>
    <definedName name="eeee___16">#N/A</definedName>
    <definedName name="eeee___2">#N/A</definedName>
    <definedName name="eeee___23">#N/A</definedName>
    <definedName name="eeee___25">#N/A</definedName>
    <definedName name="eeee___26">#N/A</definedName>
    <definedName name="eeee___27">#N/A</definedName>
    <definedName name="eeee___3">#N/A</definedName>
    <definedName name="eeee___4">#N/A</definedName>
    <definedName name="eeee___5">#N/A</definedName>
    <definedName name="eeee___6">#N/A</definedName>
    <definedName name="eeee___7">#N/A</definedName>
    <definedName name="eeee___9">#N/A</definedName>
    <definedName name="eeeeee" localSheetId="18">#N/A</definedName>
    <definedName name="eeeeee" localSheetId="25">Activation!Nb_de_paiements_par_an*#REF!</definedName>
    <definedName name="eeeeee" localSheetId="29">'Amortissment boa'!Nb_de_paiements_par_an*#REF!</definedName>
    <definedName name="eeeeee" localSheetId="31">'Amortissment Cboa'!Nb_de_paiements_par_an*#REF!</definedName>
    <definedName name="eeeeee" localSheetId="15">#N/A</definedName>
    <definedName name="eeeeee" localSheetId="13">#N/A</definedName>
    <definedName name="eeeeee" localSheetId="19">#N/A</definedName>
    <definedName name="eeeeee" localSheetId="17">#N/A</definedName>
    <definedName name="eeeeee" localSheetId="12">#N/A</definedName>
    <definedName name="eeeeee" localSheetId="22">[5]!Nb_de_paiements_par_an*#REF!</definedName>
    <definedName name="eeeeee" localSheetId="28">'SYNTHESE BOA'!Nb_de_paiements_par_an*#REF!</definedName>
    <definedName name="eeeeee" localSheetId="35">'Taxe 5%'!Nb_de_paiements_par_an*#REF!</definedName>
    <definedName name="eeeeee">[0]!Nb_de_paiements_par_an*#REF!</definedName>
    <definedName name="EEEEEEEEE" localSheetId="18">[6]!EEEEEEEEE</definedName>
    <definedName name="EEEEEEEEE" localSheetId="25">[6]!EEEEEEEEE</definedName>
    <definedName name="EEEEEEEEE" localSheetId="29">[6]!EEEEEEEEE</definedName>
    <definedName name="EEEEEEEEE" localSheetId="31">[6]!EEEEEEEEE</definedName>
    <definedName name="EEEEEEEEE" localSheetId="15">[6]!EEEEEEEEE</definedName>
    <definedName name="EEEEEEEEE" localSheetId="13">[6]!EEEEEEEEE</definedName>
    <definedName name="EEEEEEEEE" localSheetId="19">[7]!EEEEEEEEE</definedName>
    <definedName name="EEEEEEEEE" localSheetId="17">[6]!EEEEEEEEE</definedName>
    <definedName name="EEEEEEEEE" localSheetId="12">[6]!EEEEEEEEE</definedName>
    <definedName name="EEEEEEEEE" localSheetId="22">[8]!EEEEEEEEE</definedName>
    <definedName name="EEEEEEEEE">[6]!EEEEEEEEE</definedName>
    <definedName name="eefj" localSheetId="18">#REF!</definedName>
    <definedName name="eefj" localSheetId="25">#REF!</definedName>
    <definedName name="eefj" localSheetId="29">#REF!</definedName>
    <definedName name="eefj" localSheetId="31">#REF!</definedName>
    <definedName name="eefj" localSheetId="15">#REF!</definedName>
    <definedName name="eefj" localSheetId="13">#REF!</definedName>
    <definedName name="eefj" localSheetId="17">#REF!</definedName>
    <definedName name="eefj" localSheetId="12">#REF!</definedName>
    <definedName name="eefj" localSheetId="22">#REF!</definedName>
    <definedName name="eefj" localSheetId="28">#REF!</definedName>
    <definedName name="eefj" localSheetId="35">#REF!</definedName>
    <definedName name="eefj">#REF!</definedName>
    <definedName name="EFFECTIF">#N/A</definedName>
    <definedName name="Effort_Expended" localSheetId="29">#REF!</definedName>
    <definedName name="Effort_Expended" localSheetId="31">#REF!</definedName>
    <definedName name="Effort_Expended" localSheetId="28">#REF!</definedName>
    <definedName name="Effort_Expended" localSheetId="35">#REF!</definedName>
    <definedName name="Effort_Expended">#REF!</definedName>
    <definedName name="Effort_Req" localSheetId="29">#REF!</definedName>
    <definedName name="Effort_Req" localSheetId="31">#REF!</definedName>
    <definedName name="Effort_Req" localSheetId="28">#REF!</definedName>
    <definedName name="Effort_Req" localSheetId="35">#REF!</definedName>
    <definedName name="Effort_Req">#REF!</definedName>
    <definedName name="Effort_to_Complete" localSheetId="29">#REF!</definedName>
    <definedName name="Effort_to_Complete" localSheetId="31">#REF!</definedName>
    <definedName name="Effort_to_Complete" localSheetId="28">#REF!</definedName>
    <definedName name="Effort_to_Complete" localSheetId="35">#REF!</definedName>
    <definedName name="Effort_to_Complete">#REF!</definedName>
    <definedName name="Effort_Variance" localSheetId="29">#REF!</definedName>
    <definedName name="Effort_Variance" localSheetId="31">#REF!</definedName>
    <definedName name="Effort_Variance" localSheetId="28">#REF!</definedName>
    <definedName name="Effort_Variance" localSheetId="35">#REF!</definedName>
    <definedName name="Effort_Variance">#REF!</definedName>
    <definedName name="efgtyhjkoi" localSheetId="18">[6]!efgtyhjkoi</definedName>
    <definedName name="efgtyhjkoi" localSheetId="25">[6]!efgtyhjkoi</definedName>
    <definedName name="efgtyhjkoi" localSheetId="29">[6]!efgtyhjkoi</definedName>
    <definedName name="efgtyhjkoi" localSheetId="31">[6]!efgtyhjkoi</definedName>
    <definedName name="efgtyhjkoi" localSheetId="15">[6]!efgtyhjkoi</definedName>
    <definedName name="efgtyhjkoi" localSheetId="13">[6]!efgtyhjkoi</definedName>
    <definedName name="efgtyhjkoi" localSheetId="19">[7]!efgtyhjkoi</definedName>
    <definedName name="efgtyhjkoi" localSheetId="17">[6]!efgtyhjkoi</definedName>
    <definedName name="efgtyhjkoi" localSheetId="12">[6]!efgtyhjkoi</definedName>
    <definedName name="efgtyhjkoi" localSheetId="22">[8]!efgtyhjkoi</definedName>
    <definedName name="efgtyhjkoi">[6]!efgtyhjkoi</definedName>
    <definedName name="efgtyhjkoi___0" localSheetId="25">Activation!ExpandOutputs___5</definedName>
    <definedName name="efgtyhjkoi___0" localSheetId="19">'Cartes SIM'!ExpandOutputs___5</definedName>
    <definedName name="efgtyhjkoi___0" localSheetId="22">'PIDR (2)'!ExpandOutputs___5</definedName>
    <definedName name="efgtyhjkoi___0" localSheetId="28">'SYNTHESE BOA'!ExpandOutputs___5</definedName>
    <definedName name="efgtyhjkoi___0" localSheetId="35">'Taxe 5%'!ExpandOutputs___5</definedName>
    <definedName name="efgtyhjkoi___0">ExpandOutputs___5</definedName>
    <definedName name="efgtyhjkoi___12" localSheetId="25">Activation!ExpandOutputs___3</definedName>
    <definedName name="efgtyhjkoi___12" localSheetId="19">'Cartes SIM'!ExpandOutputs___3</definedName>
    <definedName name="efgtyhjkoi___12" localSheetId="22">'PIDR (2)'!ExpandOutputs___3</definedName>
    <definedName name="efgtyhjkoi___12" localSheetId="28">'SYNTHESE BOA'!ExpandOutputs___3</definedName>
    <definedName name="efgtyhjkoi___12" localSheetId="35">'Taxe 5%'!ExpandOutputs___3</definedName>
    <definedName name="efgtyhjkoi___12">ExpandOutputs___3</definedName>
    <definedName name="efgtyhjkoi___14" localSheetId="25">ExpandOutputs___25</definedName>
    <definedName name="efgtyhjkoi___14" localSheetId="19">ExpandOutputs___25</definedName>
    <definedName name="efgtyhjkoi___14" localSheetId="22">ExpandOutputs___25</definedName>
    <definedName name="efgtyhjkoi___14" localSheetId="28">ExpandOutputs___25</definedName>
    <definedName name="efgtyhjkoi___14" localSheetId="35">ExpandOutputs___25</definedName>
    <definedName name="efgtyhjkoi___14">ExpandOutputs___25</definedName>
    <definedName name="efgtyhjkoi___16">#N/A</definedName>
    <definedName name="efgtyhjkoi___2" localSheetId="25">Activation!ExpandOutputs___9</definedName>
    <definedName name="efgtyhjkoi___2" localSheetId="19">'Cartes SIM'!ExpandOutputs___9</definedName>
    <definedName name="efgtyhjkoi___2" localSheetId="22">'PIDR (2)'!ExpandOutputs___9</definedName>
    <definedName name="efgtyhjkoi___2" localSheetId="28">'SYNTHESE BOA'!ExpandOutputs___9</definedName>
    <definedName name="efgtyhjkoi___2" localSheetId="35">'Taxe 5%'!ExpandOutputs___9</definedName>
    <definedName name="efgtyhjkoi___2">ExpandOutputs___9</definedName>
    <definedName name="efgtyhjkoi___23" localSheetId="25">ess1___0</definedName>
    <definedName name="efgtyhjkoi___23" localSheetId="19">ess1___0</definedName>
    <definedName name="efgtyhjkoi___23" localSheetId="22">ess1___0</definedName>
    <definedName name="efgtyhjkoi___23" localSheetId="28">ess1___0</definedName>
    <definedName name="efgtyhjkoi___23" localSheetId="35">ess1___0</definedName>
    <definedName name="efgtyhjkoi___23">ess1___0</definedName>
    <definedName name="efgtyhjkoi___25" localSheetId="25">Activation!ExpandOutputs___23</definedName>
    <definedName name="efgtyhjkoi___25" localSheetId="19">'Cartes SIM'!ExpandOutputs___23</definedName>
    <definedName name="efgtyhjkoi___25" localSheetId="22">'PIDR (2)'!ExpandOutputs___23</definedName>
    <definedName name="efgtyhjkoi___25" localSheetId="28">'SYNTHESE BOA'!ExpandOutputs___23</definedName>
    <definedName name="efgtyhjkoi___25" localSheetId="35">'Taxe 5%'!ExpandOutputs___23</definedName>
    <definedName name="efgtyhjkoi___25">ExpandOutputs___23</definedName>
    <definedName name="efgtyhjkoi___26" localSheetId="25">Activation!ExpandOutputs___12</definedName>
    <definedName name="efgtyhjkoi___26" localSheetId="19">'Cartes SIM'!ExpandOutputs___12</definedName>
    <definedName name="efgtyhjkoi___26" localSheetId="22">'PIDR (2)'!ExpandOutputs___12</definedName>
    <definedName name="efgtyhjkoi___26" localSheetId="28">'SYNTHESE BOA'!ExpandOutputs___12</definedName>
    <definedName name="efgtyhjkoi___26" localSheetId="35">'Taxe 5%'!ExpandOutputs___12</definedName>
    <definedName name="efgtyhjkoi___26">ExpandOutputs___12</definedName>
    <definedName name="efgtyhjkoi___27" localSheetId="25">Activation!ExpandOutputs___14</definedName>
    <definedName name="efgtyhjkoi___27" localSheetId="19">'Cartes SIM'!ExpandOutputs___14</definedName>
    <definedName name="efgtyhjkoi___27" localSheetId="22">'PIDR (2)'!ExpandOutputs___14</definedName>
    <definedName name="efgtyhjkoi___27" localSheetId="28">'SYNTHESE BOA'!ExpandOutputs___14</definedName>
    <definedName name="efgtyhjkoi___27" localSheetId="35">'Taxe 5%'!ExpandOutputs___14</definedName>
    <definedName name="efgtyhjkoi___27">ExpandOutputs___14</definedName>
    <definedName name="efgtyhjkoi___3" localSheetId="25">Activation!ExpandOutputs___4</definedName>
    <definedName name="efgtyhjkoi___3" localSheetId="19">'Cartes SIM'!ExpandOutputs___4</definedName>
    <definedName name="efgtyhjkoi___3" localSheetId="22">'PIDR (2)'!ExpandOutputs___4</definedName>
    <definedName name="efgtyhjkoi___3" localSheetId="28">'SYNTHESE BOA'!ExpandOutputs___4</definedName>
    <definedName name="efgtyhjkoi___3" localSheetId="35">'Taxe 5%'!ExpandOutputs___4</definedName>
    <definedName name="efgtyhjkoi___3">ExpandOutputs___4</definedName>
    <definedName name="efgtyhjkoi___4" localSheetId="25">Activation!ExpandOutputs___6</definedName>
    <definedName name="efgtyhjkoi___4" localSheetId="19">'Cartes SIM'!ExpandOutputs___6</definedName>
    <definedName name="efgtyhjkoi___4" localSheetId="22">'PIDR (2)'!ExpandOutputs___6</definedName>
    <definedName name="efgtyhjkoi___4" localSheetId="28">'SYNTHESE BOA'!ExpandOutputs___6</definedName>
    <definedName name="efgtyhjkoi___4" localSheetId="35">'Taxe 5%'!ExpandOutputs___6</definedName>
    <definedName name="efgtyhjkoi___4">ExpandOutputs___6</definedName>
    <definedName name="efgtyhjkoi___5" localSheetId="25">Activation!ExpandOutputs___2</definedName>
    <definedName name="efgtyhjkoi___5" localSheetId="19">'Cartes SIM'!ExpandOutputs___2</definedName>
    <definedName name="efgtyhjkoi___5" localSheetId="22">'PIDR (2)'!ExpandOutputs___2</definedName>
    <definedName name="efgtyhjkoi___5" localSheetId="28">'SYNTHESE BOA'!ExpandOutputs___2</definedName>
    <definedName name="efgtyhjkoi___5" localSheetId="35">'Taxe 5%'!ExpandOutputs___2</definedName>
    <definedName name="efgtyhjkoi___5">ExpandOutputs___2</definedName>
    <definedName name="efgtyhjkoi___6" localSheetId="25">ess1___5</definedName>
    <definedName name="efgtyhjkoi___6" localSheetId="19">ess1___5</definedName>
    <definedName name="efgtyhjkoi___6" localSheetId="22">ess1___5</definedName>
    <definedName name="efgtyhjkoi___6" localSheetId="28">ess1___5</definedName>
    <definedName name="efgtyhjkoi___6" localSheetId="35">ess1___5</definedName>
    <definedName name="efgtyhjkoi___6">ess1___5</definedName>
    <definedName name="efgtyhjkoi___7" localSheetId="25">Activation!ExpandOutputs___27</definedName>
    <definedName name="efgtyhjkoi___7" localSheetId="19">'Cartes SIM'!ExpandOutputs___27</definedName>
    <definedName name="efgtyhjkoi___7" localSheetId="22">'PIDR (2)'!ExpandOutputs___27</definedName>
    <definedName name="efgtyhjkoi___7" localSheetId="28">'SYNTHESE BOA'!ExpandOutputs___27</definedName>
    <definedName name="efgtyhjkoi___7" localSheetId="35">'Taxe 5%'!ExpandOutputs___27</definedName>
    <definedName name="efgtyhjkoi___7">ExpandOutputs___27</definedName>
    <definedName name="efgtyhjkoi___9" localSheetId="25">Activation!ExpandOutputs___16</definedName>
    <definedName name="efgtyhjkoi___9" localSheetId="19">'Cartes SIM'!ExpandOutputs___16</definedName>
    <definedName name="efgtyhjkoi___9" localSheetId="22">'PIDR (2)'!ExpandOutputs___16</definedName>
    <definedName name="efgtyhjkoi___9" localSheetId="28">'SYNTHESE BOA'!ExpandOutputs___16</definedName>
    <definedName name="efgtyhjkoi___9" localSheetId="35">'Taxe 5%'!ExpandOutputs___16</definedName>
    <definedName name="efgtyhjkoi___9">ExpandOutputs___16</definedName>
    <definedName name="efrqezrqze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gkmfgh" localSheetId="18">#REF!</definedName>
    <definedName name="egkmfgh" localSheetId="25">#REF!</definedName>
    <definedName name="egkmfgh" localSheetId="29">#REF!</definedName>
    <definedName name="egkmfgh" localSheetId="31">#REF!</definedName>
    <definedName name="egkmfgh" localSheetId="15">#REF!</definedName>
    <definedName name="egkmfgh" localSheetId="13">#REF!</definedName>
    <definedName name="egkmfgh" localSheetId="17">#REF!</definedName>
    <definedName name="egkmfgh" localSheetId="12">#REF!</definedName>
    <definedName name="egkmfgh" localSheetId="22">#REF!</definedName>
    <definedName name="egkmfgh" localSheetId="28">#REF!</definedName>
    <definedName name="egkmfgh" localSheetId="35">#REF!</definedName>
    <definedName name="egkmfgh">#REF!</definedName>
    <definedName name="Eighteen" localSheetId="29">#REF!</definedName>
    <definedName name="Eighteen" localSheetId="31">#REF!</definedName>
    <definedName name="Eighteen" localSheetId="28">#REF!</definedName>
    <definedName name="Eighteen" localSheetId="35">#REF!</definedName>
    <definedName name="Eighteen">#REF!</definedName>
    <definedName name="ekrpzekpzork" localSheetId="18" hidden="1">#REF!</definedName>
    <definedName name="ekrpzekpzork" localSheetId="25" hidden="1">#REF!</definedName>
    <definedName name="ekrpzekpzork" localSheetId="29" hidden="1">#REF!</definedName>
    <definedName name="ekrpzekpzork" localSheetId="31" hidden="1">#REF!</definedName>
    <definedName name="ekrpzekpzork" localSheetId="15" hidden="1">#REF!</definedName>
    <definedName name="ekrpzekpzork" localSheetId="13" hidden="1">#REF!</definedName>
    <definedName name="ekrpzekpzork" localSheetId="17" hidden="1">#REF!</definedName>
    <definedName name="ekrpzekpzork" localSheetId="12" hidden="1">#REF!</definedName>
    <definedName name="ekrpzekpzork" localSheetId="22" hidden="1">#REF!</definedName>
    <definedName name="ekrpzekpzork" localSheetId="28" hidden="1">#REF!</definedName>
    <definedName name="ekrpzekpzork" localSheetId="35" hidden="1">#REF!</definedName>
    <definedName name="ekrpzekpzork" hidden="1">#REF!</definedName>
    <definedName name="ELIM1" localSheetId="29">#REF!</definedName>
    <definedName name="ELIM1" localSheetId="31">#REF!</definedName>
    <definedName name="ELIM1" localSheetId="28">#REF!</definedName>
    <definedName name="ELIM1" localSheetId="35">#REF!</definedName>
    <definedName name="ELIM1">#REF!</definedName>
    <definedName name="ELMigration">#N/A</definedName>
    <definedName name="ELRecycl">#N/A</definedName>
    <definedName name="emdaged" localSheetId="29">'[63]CIG+OV'!#REF!</definedName>
    <definedName name="emdaged" localSheetId="31">'[63]CIG+OV'!#REF!</definedName>
    <definedName name="emdaged" localSheetId="28">'[63]CIG+OV'!#REF!</definedName>
    <definedName name="emdaged" localSheetId="35">'[63]CIG+OV'!#REF!</definedName>
    <definedName name="emdaged">'[63]CIG+OV'!#REF!</definedName>
    <definedName name="emdcb" localSheetId="29">'[63]CIG+OV'!#REF!</definedName>
    <definedName name="emdcb" localSheetId="31">'[63]CIG+OV'!#REF!</definedName>
    <definedName name="emdcb" localSheetId="28">'[63]CIG+OV'!#REF!</definedName>
    <definedName name="emdcb" localSheetId="35">'[63]CIG+OV'!#REF!</definedName>
    <definedName name="emdcb">'[63]CIG+OV'!#REF!</definedName>
    <definedName name="emdcr" localSheetId="29">'[63]CIG+OV'!#REF!</definedName>
    <definedName name="emdcr" localSheetId="31">'[63]CIG+OV'!#REF!</definedName>
    <definedName name="emdcr" localSheetId="28">'[63]CIG+OV'!#REF!</definedName>
    <definedName name="emdcr" localSheetId="35">'[63]CIG+OV'!#REF!</definedName>
    <definedName name="emdcr">'[63]CIG+OV'!#REF!</definedName>
    <definedName name="emdcs" localSheetId="29">'[63]CIG+OV'!#REF!</definedName>
    <definedName name="emdcs" localSheetId="31">'[63]CIG+OV'!#REF!</definedName>
    <definedName name="emdcs" localSheetId="28">'[63]CIG+OV'!#REF!</definedName>
    <definedName name="emdcs" localSheetId="35">'[63]CIG+OV'!#REF!</definedName>
    <definedName name="emdcs">'[63]CIG+OV'!#REF!</definedName>
    <definedName name="emdpb" localSheetId="29">'[63]CIG+OV'!#REF!</definedName>
    <definedName name="emdpb" localSheetId="31">'[63]CIG+OV'!#REF!</definedName>
    <definedName name="emdpb" localSheetId="28">'[63]CIG+OV'!#REF!</definedName>
    <definedName name="emdpb" localSheetId="35">'[63]CIG+OV'!#REF!</definedName>
    <definedName name="emdpb">'[63]CIG+OV'!#REF!</definedName>
    <definedName name="emdpr" localSheetId="29">'[63]CIG+OV'!#REF!</definedName>
    <definedName name="emdpr" localSheetId="31">'[63]CIG+OV'!#REF!</definedName>
    <definedName name="emdpr" localSheetId="28">'[63]CIG+OV'!#REF!</definedName>
    <definedName name="emdpr" localSheetId="35">'[63]CIG+OV'!#REF!</definedName>
    <definedName name="emdpr">'[63]CIG+OV'!#REF!</definedName>
    <definedName name="emdps" localSheetId="29">'[63]CIG+OV'!#REF!</definedName>
    <definedName name="emdps" localSheetId="31">'[63]CIG+OV'!#REF!</definedName>
    <definedName name="emdps" localSheetId="28">'[63]CIG+OV'!#REF!</definedName>
    <definedName name="emdps" localSheetId="35">'[63]CIG+OV'!#REF!</definedName>
    <definedName name="emdps">'[63]CIG+OV'!#REF!</definedName>
    <definedName name="emily" localSheetId="28" hidden="1">{#N/A,#N/A,FALSE,"Calc";#N/A,#N/A,FALSE,"Sensitivity";#N/A,#N/A,FALSE,"LT Earn.Dil.";#N/A,#N/A,FALSE,"Dil. AVP"}</definedName>
    <definedName name="emily" localSheetId="35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loi" localSheetId="28" hidden="1">{"IS",#N/A,FALSE,"IS";"RPTIS",#N/A,FALSE,"RPTIS";"STATS",#N/A,FALSE,"STATS";"CELL",#N/A,FALSE,"CELL";"BS",#N/A,FALSE,"BS"}</definedName>
    <definedName name="Emploi" localSheetId="35" hidden="1">{"IS",#N/A,FALSE,"IS";"RPTIS",#N/A,FALSE,"RPTIS";"STATS",#N/A,FALSE,"STATS";"CELL",#N/A,FALSE,"CELL";"BS",#N/A,FALSE,"BS"}</definedName>
    <definedName name="Emploi" hidden="1">{"IS",#N/A,FALSE,"IS";"RPTIS",#N/A,FALSE,"RPTIS";"STATS",#N/A,FALSE,"STATS";"CELL",#N/A,FALSE,"CELL";"BS",#N/A,FALSE,"BS"}</definedName>
    <definedName name="EN__DH" localSheetId="18">#REF!</definedName>
    <definedName name="EN__DH" localSheetId="25">#REF!</definedName>
    <definedName name="EN__DH" localSheetId="29">#REF!</definedName>
    <definedName name="EN__DH" localSheetId="31">#REF!</definedName>
    <definedName name="EN__DH" localSheetId="15">#REF!</definedName>
    <definedName name="EN__DH" localSheetId="13">#REF!</definedName>
    <definedName name="EN__DH" localSheetId="17">#REF!</definedName>
    <definedName name="EN__DH" localSheetId="12">#REF!</definedName>
    <definedName name="EN__DH" localSheetId="22">#REF!</definedName>
    <definedName name="EN__DH" localSheetId="28">#REF!</definedName>
    <definedName name="EN__DH" localSheetId="35">#REF!</definedName>
    <definedName name="EN__DH">#REF!</definedName>
    <definedName name="enddate" localSheetId="29">#REF!</definedName>
    <definedName name="enddate" localSheetId="31">#REF!</definedName>
    <definedName name="enddate" localSheetId="28">#REF!</definedName>
    <definedName name="enddate" localSheetId="35">#REF!</definedName>
    <definedName name="enddate">#REF!</definedName>
    <definedName name="ENGAGEMENTS">'[78]DM 30-09-06'!$B$1:$J$2141</definedName>
    <definedName name="enggg5">#N/A</definedName>
    <definedName name="ENT" localSheetId="18">#REF!</definedName>
    <definedName name="ENT" localSheetId="25">#REF!</definedName>
    <definedName name="ENT" localSheetId="29">#REF!</definedName>
    <definedName name="ENT" localSheetId="31">#REF!</definedName>
    <definedName name="ENT" localSheetId="15">#REF!</definedName>
    <definedName name="ENT" localSheetId="13">#REF!</definedName>
    <definedName name="ENT" localSheetId="17">#REF!</definedName>
    <definedName name="ENT" localSheetId="12">#REF!</definedName>
    <definedName name="ENT" localSheetId="22">#REF!</definedName>
    <definedName name="ENT" localSheetId="28">#REF!</definedName>
    <definedName name="ENT" localSheetId="35">#REF!</definedName>
    <definedName name="ENT">#REF!</definedName>
    <definedName name="ENT___0">#N/A</definedName>
    <definedName name="ENT___12">#N/A</definedName>
    <definedName name="ENT___14">#N/A</definedName>
    <definedName name="ENT___16">#N/A</definedName>
    <definedName name="ENT___2">#N/A</definedName>
    <definedName name="ENT___25">#N/A</definedName>
    <definedName name="ENT___26">#N/A</definedName>
    <definedName name="ENT___27">#N/A</definedName>
    <definedName name="ENT___4">#N/A</definedName>
    <definedName name="ENT___5">#N/A</definedName>
    <definedName name="ENT___7">#N/A</definedName>
    <definedName name="EPart" localSheetId="29">#REF!</definedName>
    <definedName name="EPart" localSheetId="31">#REF!</definedName>
    <definedName name="EPart" localSheetId="28">#REF!</definedName>
    <definedName name="EPart" localSheetId="35">#REF!</definedName>
    <definedName name="EPart">#REF!</definedName>
    <definedName name="EquityCost" localSheetId="18">#REF!</definedName>
    <definedName name="EquityCost" localSheetId="25">#REF!</definedName>
    <definedName name="EquityCost" localSheetId="29">#REF!</definedName>
    <definedName name="EquityCost" localSheetId="31">#REF!</definedName>
    <definedName name="EquityCost" localSheetId="15">#REF!</definedName>
    <definedName name="EquityCost" localSheetId="13">#REF!</definedName>
    <definedName name="EquityCost" localSheetId="17">#REF!</definedName>
    <definedName name="EquityCost" localSheetId="12">#REF!</definedName>
    <definedName name="EquityCost" localSheetId="22">#REF!</definedName>
    <definedName name="EquityCost" localSheetId="28">#REF!</definedName>
    <definedName name="EquityCost" localSheetId="35">#REF!</definedName>
    <definedName name="EquityCost">#REF!</definedName>
    <definedName name="EquityCost___0">#N/A</definedName>
    <definedName name="EquityCost___12">#N/A</definedName>
    <definedName name="EquityCost___14">#N/A</definedName>
    <definedName name="EquityCost___16">#N/A</definedName>
    <definedName name="EquityCost___2">#N/A</definedName>
    <definedName name="EquityCost___25">#N/A</definedName>
    <definedName name="EquityCost___26">#N/A</definedName>
    <definedName name="EquityCost___27">#N/A</definedName>
    <definedName name="EquityCost___4">#N/A</definedName>
    <definedName name="EquityCost___5">#N/A</definedName>
    <definedName name="EquityCost___7">#N/A</definedName>
    <definedName name="er" localSheetId="25" hidden="1">{"test2",#N/A,TRUE,"Prices"}</definedName>
    <definedName name="er" localSheetId="19" hidden="1">{"test2",#N/A,TRUE,"Prices"}</definedName>
    <definedName name="er" localSheetId="22" hidden="1">{"test2",#N/A,TRUE,"Prices"}</definedName>
    <definedName name="er" localSheetId="28" hidden="1">{"test2",#N/A,TRUE,"Prices"}</definedName>
    <definedName name="er" localSheetId="35" hidden="1">{"test2",#N/A,TRUE,"Prices"}</definedName>
    <definedName name="er" hidden="1">{"test2",#N/A,TRUE,"Prices"}</definedName>
    <definedName name="erer" localSheetId="18">[6]!erer</definedName>
    <definedName name="erer" localSheetId="25">[6]!erer</definedName>
    <definedName name="erer" localSheetId="29">[6]!erer</definedName>
    <definedName name="erer" localSheetId="31">[6]!erer</definedName>
    <definedName name="erer" localSheetId="15">[6]!erer</definedName>
    <definedName name="erer" localSheetId="13">[6]!erer</definedName>
    <definedName name="erer" localSheetId="19">[7]!erer</definedName>
    <definedName name="erer" localSheetId="17">[6]!erer</definedName>
    <definedName name="erer" localSheetId="12">[6]!erer</definedName>
    <definedName name="erer" localSheetId="22">[8]!erer</definedName>
    <definedName name="erer">[6]!erer</definedName>
    <definedName name="ererer" localSheetId="18" hidden="1">#REF!</definedName>
    <definedName name="ererer" localSheetId="25" hidden="1">#REF!</definedName>
    <definedName name="ererer" localSheetId="29" hidden="1">#REF!</definedName>
    <definedName name="ererer" localSheetId="31" hidden="1">#REF!</definedName>
    <definedName name="ererer" localSheetId="15" hidden="1">#REF!</definedName>
    <definedName name="ererer" localSheetId="13" hidden="1">#REF!</definedName>
    <definedName name="ererer" localSheetId="17" hidden="1">#REF!</definedName>
    <definedName name="ererer" localSheetId="12" hidden="1">#REF!</definedName>
    <definedName name="ererer" localSheetId="22" hidden="1">#REF!</definedName>
    <definedName name="ererer" localSheetId="28" hidden="1">#REF!</definedName>
    <definedName name="ererer" localSheetId="35" hidden="1">#REF!</definedName>
    <definedName name="ererer" hidden="1">#REF!</definedName>
    <definedName name="ERGRE">#N/A</definedName>
    <definedName name="erqsergt">#N/A</definedName>
    <definedName name="erqt" localSheetId="18">[6]!erqt</definedName>
    <definedName name="erqt" localSheetId="25">[6]!erqt</definedName>
    <definedName name="erqt" localSheetId="29">[6]!erqt</definedName>
    <definedName name="erqt" localSheetId="31">[6]!erqt</definedName>
    <definedName name="erqt" localSheetId="15">[6]!erqt</definedName>
    <definedName name="erqt" localSheetId="13">[6]!erqt</definedName>
    <definedName name="erqt" localSheetId="19">[7]!erqt</definedName>
    <definedName name="erqt" localSheetId="17">[6]!erqt</definedName>
    <definedName name="erqt" localSheetId="12">[6]!erqt</definedName>
    <definedName name="erqt" localSheetId="22">[8]!erqt</definedName>
    <definedName name="erqt">[6]!erqt</definedName>
    <definedName name="erreur">#N/A</definedName>
    <definedName name="ersegtd" localSheetId="25">'[1]Cur Q v Plan'!#REF!</definedName>
    <definedName name="ersegtd" localSheetId="29">'[1]Cur Q v Plan'!#REF!</definedName>
    <definedName name="ersegtd" localSheetId="31">'[1]Cur Q v Plan'!#REF!</definedName>
    <definedName name="ersegtd" localSheetId="22">'[2]Cur Q v Plan'!#REF!</definedName>
    <definedName name="ersegtd" localSheetId="28">'[1]Cur Q v Plan'!#REF!</definedName>
    <definedName name="ersegtd" localSheetId="35">'[1]Cur Q v Plan'!#REF!</definedName>
    <definedName name="ersegtd">'[1]Cur Q v Plan'!#REF!</definedName>
    <definedName name="ERT">#N/A</definedName>
    <definedName name="ERTY" hidden="1">[86]AW!$C$30:$H$35</definedName>
    <definedName name="erzerpzj" localSheetId="18" hidden="1">#REF!</definedName>
    <definedName name="erzerpzj" localSheetId="25" hidden="1">#REF!</definedName>
    <definedName name="erzerpzj" localSheetId="29" hidden="1">#REF!</definedName>
    <definedName name="erzerpzj" localSheetId="31" hidden="1">#REF!</definedName>
    <definedName name="erzerpzj" localSheetId="15" hidden="1">#REF!</definedName>
    <definedName name="erzerpzj" localSheetId="13" hidden="1">#REF!</definedName>
    <definedName name="erzerpzj" localSheetId="17" hidden="1">#REF!</definedName>
    <definedName name="erzerpzj" localSheetId="12" hidden="1">#REF!</definedName>
    <definedName name="erzerpzj" localSheetId="22" hidden="1">#REF!</definedName>
    <definedName name="erzerpzj" localSheetId="28" hidden="1">#REF!</definedName>
    <definedName name="erzerpzj" localSheetId="35" hidden="1">#REF!</definedName>
    <definedName name="erzerpzj" hidden="1">#REF!</definedName>
    <definedName name="ess1___0">#N/A</definedName>
    <definedName name="ess1___12">#N/A</definedName>
    <definedName name="ess1___2">#N/A</definedName>
    <definedName name="ess1___27">#N/A</definedName>
    <definedName name="ess1___5">#N/A</definedName>
    <definedName name="essais" localSheetId="25" hidden="1">{#N/A,#N/A,FALSE,"F_Plan";#N/A,#N/A,FALSE,"Parameter"}</definedName>
    <definedName name="essais" localSheetId="19" hidden="1">{#N/A,#N/A,FALSE,"F_Plan";#N/A,#N/A,FALSE,"Parameter"}</definedName>
    <definedName name="essais" localSheetId="22" hidden="1">{#N/A,#N/A,FALSE,"F_Plan";#N/A,#N/A,FALSE,"Parameter"}</definedName>
    <definedName name="essais" localSheetId="28" hidden="1">{#N/A,#N/A,FALSE,"F_Plan";#N/A,#N/A,FALSE,"Parameter"}</definedName>
    <definedName name="essais" localSheetId="35" hidden="1">{#N/A,#N/A,FALSE,"F_Plan";#N/A,#N/A,FALSE,"Parameter"}</definedName>
    <definedName name="essais" hidden="1">{#N/A,#N/A,FALSE,"F_Plan";#N/A,#N/A,FALSE,"Parameter"}</definedName>
    <definedName name="EstablishDate" localSheetId="28">#N/A</definedName>
    <definedName name="EstablishDate" localSheetId="35">'Taxe 5%'!EstablishDate</definedName>
    <definedName name="EstablishDate">'Taxe 5%'!EstablishDate</definedName>
    <definedName name="ESTIMATION" localSheetId="18">#REF!</definedName>
    <definedName name="ESTIMATION" localSheetId="25">#REF!</definedName>
    <definedName name="ESTIMATION" localSheetId="29">#REF!</definedName>
    <definedName name="ESTIMATION" localSheetId="31">#REF!</definedName>
    <definedName name="ESTIMATION" localSheetId="15">#REF!</definedName>
    <definedName name="ESTIMATION" localSheetId="13">#REF!</definedName>
    <definedName name="ESTIMATION" localSheetId="17">#REF!</definedName>
    <definedName name="ESTIMATION" localSheetId="12">#REF!</definedName>
    <definedName name="ESTIMATION" localSheetId="22">#REF!</definedName>
    <definedName name="ESTIMATION" localSheetId="28">#REF!</definedName>
    <definedName name="ESTIMATION" localSheetId="35">#REF!</definedName>
    <definedName name="ESTIMATION">#REF!</definedName>
    <definedName name="et" localSheetId="25" hidden="1">{"IS",#N/A,FALSE,"IS";"RPTIS",#N/A,FALSE,"RPTIS";"STATS",#N/A,FALSE,"STATS";"BS",#N/A,FALSE,"BS"}</definedName>
    <definedName name="et" localSheetId="19" hidden="1">{"IS",#N/A,FALSE,"IS";"RPTIS",#N/A,FALSE,"RPTIS";"STATS",#N/A,FALSE,"STATS";"BS",#N/A,FALSE,"BS"}</definedName>
    <definedName name="et" localSheetId="22" hidden="1">{"IS",#N/A,FALSE,"IS";"RPTIS",#N/A,FALSE,"RPTIS";"STATS",#N/A,FALSE,"STATS";"BS",#N/A,FALSE,"BS"}</definedName>
    <definedName name="et" localSheetId="28" hidden="1">{"IS",#N/A,FALSE,"IS";"RPTIS",#N/A,FALSE,"RPTIS";"STATS",#N/A,FALSE,"STATS";"BS",#N/A,FALSE,"BS"}</definedName>
    <definedName name="et" localSheetId="35" hidden="1">{"IS",#N/A,FALSE,"IS";"RPTIS",#N/A,FALSE,"RPTIS";"STATS",#N/A,FALSE,"STATS";"BS",#N/A,FALSE,"BS"}</definedName>
    <definedName name="et" hidden="1">{"IS",#N/A,FALSE,"IS";"RPTIS",#N/A,FALSE,"RPTIS";"STATS",#N/A,FALSE,"STATS";"BS",#N/A,FALSE,"BS"}</definedName>
    <definedName name="ETC_Estimate_to_Completion" localSheetId="29">#REF!</definedName>
    <definedName name="ETC_Estimate_to_Completion" localSheetId="31">#REF!</definedName>
    <definedName name="ETC_Estimate_to_Completion" localSheetId="28">#REF!</definedName>
    <definedName name="ETC_Estimate_to_Completion" localSheetId="35">#REF!</definedName>
    <definedName name="ETC_Estimate_to_Completion">#REF!</definedName>
    <definedName name="EURIBOR">'[97]Affected facilities'!$C$29</definedName>
    <definedName name="euro" localSheetId="18">#REF!</definedName>
    <definedName name="euro" localSheetId="25">#REF!</definedName>
    <definedName name="euro" localSheetId="29">#REF!</definedName>
    <definedName name="euro" localSheetId="31">#REF!</definedName>
    <definedName name="euro" localSheetId="15">#REF!</definedName>
    <definedName name="euro" localSheetId="13">#REF!</definedName>
    <definedName name="euro" localSheetId="17">#REF!</definedName>
    <definedName name="euro" localSheetId="12">#REF!</definedName>
    <definedName name="euro" localSheetId="22">#REF!</definedName>
    <definedName name="euro" localSheetId="28">#REF!</definedName>
    <definedName name="euro" localSheetId="35">#REF!</definedName>
    <definedName name="euro">#REF!</definedName>
    <definedName name="euro100">[98]euronext100!$A$1:$E$65536</definedName>
    <definedName name="EuroComply" localSheetId="28">#N/A</definedName>
    <definedName name="EuroComply" localSheetId="35">'Taxe 5%'!EuroComply</definedName>
    <definedName name="EuroComply">'Taxe 5%'!EuroComply</definedName>
    <definedName name="EV__LASTREFTIME__" hidden="1">39293.7047916667</definedName>
    <definedName name="EV_Earned_Value" localSheetId="29">#REF!</definedName>
    <definedName name="EV_Earned_Value" localSheetId="31">#REF!</definedName>
    <definedName name="EV_Earned_Value" localSheetId="28">#REF!</definedName>
    <definedName name="EV_Earned_Value" localSheetId="35">#REF!</definedName>
    <definedName name="EV_Earned_Value">#REF!</definedName>
    <definedName name="EValue" localSheetId="29">#REF!</definedName>
    <definedName name="EValue" localSheetId="31">#REF!</definedName>
    <definedName name="EValue" localSheetId="28">#REF!</definedName>
    <definedName name="EValue" localSheetId="35">#REF!</definedName>
    <definedName name="EValue">#REF!</definedName>
    <definedName name="EX" localSheetId="18">[6]!EX</definedName>
    <definedName name="EX" localSheetId="25">[6]!EX</definedName>
    <definedName name="EX" localSheetId="29">[6]!EX</definedName>
    <definedName name="EX" localSheetId="31">[6]!EX</definedName>
    <definedName name="EX" localSheetId="15">[6]!EX</definedName>
    <definedName name="EX" localSheetId="13">[6]!EX</definedName>
    <definedName name="EX" localSheetId="19">[7]!EX</definedName>
    <definedName name="EX" localSheetId="17">[6]!EX</definedName>
    <definedName name="EX" localSheetId="12">[6]!EX</definedName>
    <definedName name="EX" localSheetId="22">[8]!EX</definedName>
    <definedName name="EX">[6]!EX</definedName>
    <definedName name="Excel_BuiltIn_Criteria_0">#N/A</definedName>
    <definedName name="Excel_BuiltIn_Database_0">#N/A</definedName>
    <definedName name="Excel_BuiltIn_Extract_0">#N/A</definedName>
    <definedName name="Excel_BuiltIn_Recorder_0">#N/A</definedName>
    <definedName name="Excel_BuiltIn_Recorder_12">#N/A</definedName>
    <definedName name="Excel_BuiltIn_Recorder_14">#N/A</definedName>
    <definedName name="Excel_BuiltIn_Recorder_16">#N/A</definedName>
    <definedName name="Excel_BuiltIn_Recorder_2">#N/A</definedName>
    <definedName name="Excel_BuiltIn_Recorder_27">#N/A</definedName>
    <definedName name="Excel_BuiltIn_Recorder_5">#N/A</definedName>
    <definedName name="Excel_BuiltIn_Recorder_6">#N/A</definedName>
    <definedName name="ExcelPath" localSheetId="28">#N/A</definedName>
    <definedName name="ExcelPath" localSheetId="35">'Taxe 5%'!ExcelPath</definedName>
    <definedName name="ExcelPath">'Taxe 5%'!ExcelPath</definedName>
    <definedName name="EXECUTION_2005">[99]execut°2005!$A$3:$I$225</definedName>
    <definedName name="EXECUTIONS_30_09_06">'[99]EXECUT°SEPT-06'!$B$3:$J$235</definedName>
    <definedName name="ExpandOutputs" localSheetId="18">[6]!ExpandOutputs</definedName>
    <definedName name="ExpandOutputs" localSheetId="25">[6]!ExpandOutputs</definedName>
    <definedName name="ExpandOutputs" localSheetId="29">[6]!ExpandOutputs</definedName>
    <definedName name="ExpandOutputs" localSheetId="31">[6]!ExpandOutputs</definedName>
    <definedName name="ExpandOutputs" localSheetId="15">[6]!ExpandOutputs</definedName>
    <definedName name="ExpandOutputs" localSheetId="13">[6]!ExpandOutputs</definedName>
    <definedName name="ExpandOutputs" localSheetId="19">[7]!ExpandOutputs</definedName>
    <definedName name="ExpandOutputs" localSheetId="17">[6]!ExpandOutputs</definedName>
    <definedName name="ExpandOutputs" localSheetId="12">[6]!ExpandOutputs</definedName>
    <definedName name="ExpandOutputs" localSheetId="22">[8]!ExpandOutputs</definedName>
    <definedName name="ExpandOutputs">[6]!ExpandOutputs</definedName>
    <definedName name="ExpandOutputs___0" localSheetId="25">F___7</definedName>
    <definedName name="ExpandOutputs___0" localSheetId="19">F___7</definedName>
    <definedName name="ExpandOutputs___0" localSheetId="22">F___7</definedName>
    <definedName name="ExpandOutputs___0" localSheetId="28">F___7</definedName>
    <definedName name="ExpandOutputs___0" localSheetId="35">F___7</definedName>
    <definedName name="ExpandOutputs___0">F___7</definedName>
    <definedName name="ExpandOutputs___12" localSheetId="25">F___2</definedName>
    <definedName name="ExpandOutputs___12" localSheetId="19">F___2</definedName>
    <definedName name="ExpandOutputs___12" localSheetId="22">F___2</definedName>
    <definedName name="ExpandOutputs___12" localSheetId="28">F___2</definedName>
    <definedName name="ExpandOutputs___12" localSheetId="35">F___2</definedName>
    <definedName name="ExpandOutputs___12">F___2</definedName>
    <definedName name="ExpandOutputs___14" localSheetId="25">F___25</definedName>
    <definedName name="ExpandOutputs___14" localSheetId="19">F___25</definedName>
    <definedName name="ExpandOutputs___14" localSheetId="22">F___25</definedName>
    <definedName name="ExpandOutputs___14" localSheetId="28">F___25</definedName>
    <definedName name="ExpandOutputs___14" localSheetId="35">F___25</definedName>
    <definedName name="ExpandOutputs___14">F___25</definedName>
    <definedName name="ExpandOutputs___16" localSheetId="25">Activation!ExportFile___0</definedName>
    <definedName name="ExpandOutputs___16" localSheetId="19">'Cartes SIM'!ExportFile___0</definedName>
    <definedName name="ExpandOutputs___16" localSheetId="22">'PIDR (2)'!ExportFile___0</definedName>
    <definedName name="ExpandOutputs___16" localSheetId="28">'SYNTHESE BOA'!ExportFile___0</definedName>
    <definedName name="ExpandOutputs___16" localSheetId="35">'Taxe 5%'!ExportFile___0</definedName>
    <definedName name="ExpandOutputs___16">ExportFile___0</definedName>
    <definedName name="ExpandOutputs___2" localSheetId="25">F___14</definedName>
    <definedName name="ExpandOutputs___2" localSheetId="19">F___14</definedName>
    <definedName name="ExpandOutputs___2" localSheetId="22">F___14</definedName>
    <definedName name="ExpandOutputs___2" localSheetId="28">F___14</definedName>
    <definedName name="ExpandOutputs___2" localSheetId="35">F___14</definedName>
    <definedName name="ExpandOutputs___2">F___14</definedName>
    <definedName name="ExpandOutputs___23" localSheetId="25">Activation!ExportFile___7</definedName>
    <definedName name="ExpandOutputs___23" localSheetId="19">'Cartes SIM'!ExportFile___7</definedName>
    <definedName name="ExpandOutputs___23" localSheetId="22">'PIDR (2)'!ExportFile___7</definedName>
    <definedName name="ExpandOutputs___23" localSheetId="28">'SYNTHESE BOA'!ExportFile___7</definedName>
    <definedName name="ExpandOutputs___23" localSheetId="35">'Taxe 5%'!ExportFile___7</definedName>
    <definedName name="ExpandOutputs___23">ExportFile___7</definedName>
    <definedName name="ExpandOutputs___25">#N/A</definedName>
    <definedName name="ExpandOutputs___26" localSheetId="25">F___5</definedName>
    <definedName name="ExpandOutputs___26" localSheetId="19">F___5</definedName>
    <definedName name="ExpandOutputs___26" localSheetId="22">F___5</definedName>
    <definedName name="ExpandOutputs___26" localSheetId="28">F___5</definedName>
    <definedName name="ExpandOutputs___26" localSheetId="35">F___5</definedName>
    <definedName name="ExpandOutputs___26">F___5</definedName>
    <definedName name="ExpandOutputs___27" localSheetId="25">F___12</definedName>
    <definedName name="ExpandOutputs___27" localSheetId="19">F___12</definedName>
    <definedName name="ExpandOutputs___27" localSheetId="22">F___12</definedName>
    <definedName name="ExpandOutputs___27" localSheetId="28">F___12</definedName>
    <definedName name="ExpandOutputs___27" localSheetId="35">F___12</definedName>
    <definedName name="ExpandOutputs___27">F___12</definedName>
    <definedName name="ExpandOutputs___3" localSheetId="25">F___4</definedName>
    <definedName name="ExpandOutputs___3" localSheetId="19">F___4</definedName>
    <definedName name="ExpandOutputs___3" localSheetId="22">F___4</definedName>
    <definedName name="ExpandOutputs___3" localSheetId="28">F___4</definedName>
    <definedName name="ExpandOutputs___3" localSheetId="35">F___4</definedName>
    <definedName name="ExpandOutputs___3">F___4</definedName>
    <definedName name="ExpandOutputs___4" localSheetId="25">Excel_BuiltIn_Extract_0</definedName>
    <definedName name="ExpandOutputs___4" localSheetId="19">Excel_BuiltIn_Extract_0</definedName>
    <definedName name="ExpandOutputs___4" localSheetId="22">Excel_BuiltIn_Extract_0</definedName>
    <definedName name="ExpandOutputs___4" localSheetId="28">Excel_BuiltIn_Extract_0</definedName>
    <definedName name="ExpandOutputs___4" localSheetId="35">Excel_BuiltIn_Extract_0</definedName>
    <definedName name="ExpandOutputs___4">Excel_BuiltIn_Extract_0</definedName>
    <definedName name="ExpandOutputs___5" localSheetId="25">F___27</definedName>
    <definedName name="ExpandOutputs___5" localSheetId="19">F___27</definedName>
    <definedName name="ExpandOutputs___5" localSheetId="22">F___27</definedName>
    <definedName name="ExpandOutputs___5" localSheetId="28">F___27</definedName>
    <definedName name="ExpandOutputs___5" localSheetId="35">F___27</definedName>
    <definedName name="ExpandOutputs___5">F___27</definedName>
    <definedName name="ExpandOutputs___6" localSheetId="25">Activation!ExportFile___26</definedName>
    <definedName name="ExpandOutputs___6" localSheetId="19">'Cartes SIM'!ExportFile___26</definedName>
    <definedName name="ExpandOutputs___6" localSheetId="22">'PIDR (2)'!ExportFile___26</definedName>
    <definedName name="ExpandOutputs___6" localSheetId="28">'SYNTHESE BOA'!ExportFile___26</definedName>
    <definedName name="ExpandOutputs___6" localSheetId="35">'Taxe 5%'!ExportFile___26</definedName>
    <definedName name="ExpandOutputs___6">ExportFile___26</definedName>
    <definedName name="ExpandOutputs___7" localSheetId="25">F___26</definedName>
    <definedName name="ExpandOutputs___7" localSheetId="19">F___26</definedName>
    <definedName name="ExpandOutputs___7" localSheetId="22">F___26</definedName>
    <definedName name="ExpandOutputs___7" localSheetId="28">F___26</definedName>
    <definedName name="ExpandOutputs___7" localSheetId="35">F___26</definedName>
    <definedName name="ExpandOutputs___7">F___26</definedName>
    <definedName name="ExpandOutputs___9" localSheetId="25">F___16</definedName>
    <definedName name="ExpandOutputs___9" localSheetId="19">F___16</definedName>
    <definedName name="ExpandOutputs___9" localSheetId="22">F___16</definedName>
    <definedName name="ExpandOutputs___9" localSheetId="28">F___16</definedName>
    <definedName name="ExpandOutputs___9" localSheetId="35">F___16</definedName>
    <definedName name="ExpandOutputs___9">F___16</definedName>
    <definedName name="ExpandVPeriods" localSheetId="18">[6]!ExpandVPeriods</definedName>
    <definedName name="ExpandVPeriods" localSheetId="25">[6]!ExpandVPeriods</definedName>
    <definedName name="ExpandVPeriods" localSheetId="29">[6]!ExpandVPeriods</definedName>
    <definedName name="ExpandVPeriods" localSheetId="31">[6]!ExpandVPeriods</definedName>
    <definedName name="ExpandVPeriods" localSheetId="15">[6]!ExpandVPeriods</definedName>
    <definedName name="ExpandVPeriods" localSheetId="13">[6]!ExpandVPeriods</definedName>
    <definedName name="ExpandVPeriods" localSheetId="19">[7]!ExpandVPeriods</definedName>
    <definedName name="ExpandVPeriods" localSheetId="17">[6]!ExpandVPeriods</definedName>
    <definedName name="ExpandVPeriods" localSheetId="12">[6]!ExpandVPeriods</definedName>
    <definedName name="ExpandVPeriods" localSheetId="22">[8]!ExpandVPeriods</definedName>
    <definedName name="ExpandVPeriods">[6]!ExpandVPeriods</definedName>
    <definedName name="ExpandVPeriods___0" localSheetId="25">ffff___4</definedName>
    <definedName name="ExpandVPeriods___0" localSheetId="19">ffff___4</definedName>
    <definedName name="ExpandVPeriods___0" localSheetId="22">ffff___4</definedName>
    <definedName name="ExpandVPeriods___0" localSheetId="28">ffff___4</definedName>
    <definedName name="ExpandVPeriods___0" localSheetId="35">ffff___4</definedName>
    <definedName name="ExpandVPeriods___0">ffff___4</definedName>
    <definedName name="ExpandVPeriods___12" localSheetId="25">F_SMS_Data___0</definedName>
    <definedName name="ExpandVPeriods___12" localSheetId="19">F_SMS_Data___0</definedName>
    <definedName name="ExpandVPeriods___12" localSheetId="22">F_SMS_Data___0</definedName>
    <definedName name="ExpandVPeriods___12" localSheetId="28">F_SMS_Data___0</definedName>
    <definedName name="ExpandVPeriods___12" localSheetId="35">F_SMS_Data___0</definedName>
    <definedName name="ExpandVPeriods___12">F_SMS_Data___0</definedName>
    <definedName name="ExpandVPeriods___14" localSheetId="25">F_SMS_Data___26</definedName>
    <definedName name="ExpandVPeriods___14" localSheetId="19">F_SMS_Data___26</definedName>
    <definedName name="ExpandVPeriods___14" localSheetId="22">F_SMS_Data___26</definedName>
    <definedName name="ExpandVPeriods___14" localSheetId="28">F_SMS_Data___26</definedName>
    <definedName name="ExpandVPeriods___14" localSheetId="35">F_SMS_Data___26</definedName>
    <definedName name="ExpandVPeriods___14">F_SMS_Data___26</definedName>
    <definedName name="ExpandVPeriods___16" localSheetId="25">F_SMS_Data___14</definedName>
    <definedName name="ExpandVPeriods___16" localSheetId="19">F_SMS_Data___14</definedName>
    <definedName name="ExpandVPeriods___16" localSheetId="22">F_SMS_Data___14</definedName>
    <definedName name="ExpandVPeriods___16" localSheetId="28">F_SMS_Data___14</definedName>
    <definedName name="ExpandVPeriods___16" localSheetId="35">F_SMS_Data___14</definedName>
    <definedName name="ExpandVPeriods___16">F_SMS_Data___14</definedName>
    <definedName name="ExpandVPeriods___2" localSheetId="25">F_SMS_Data___7</definedName>
    <definedName name="ExpandVPeriods___2" localSheetId="19">F_SMS_Data___7</definedName>
    <definedName name="ExpandVPeriods___2" localSheetId="22">F_SMS_Data___7</definedName>
    <definedName name="ExpandVPeriods___2" localSheetId="28">F_SMS_Data___7</definedName>
    <definedName name="ExpandVPeriods___2" localSheetId="35">F_SMS_Data___7</definedName>
    <definedName name="ExpandVPeriods___2">F_SMS_Data___7</definedName>
    <definedName name="ExpandVPeriods___23" localSheetId="25">F_SMS_Data___16</definedName>
    <definedName name="ExpandVPeriods___23" localSheetId="19">F_SMS_Data___16</definedName>
    <definedName name="ExpandVPeriods___23" localSheetId="22">F_SMS_Data___16</definedName>
    <definedName name="ExpandVPeriods___23" localSheetId="28">F_SMS_Data___16</definedName>
    <definedName name="ExpandVPeriods___23" localSheetId="35">F_SMS_Data___16</definedName>
    <definedName name="ExpandVPeriods___23">F_SMS_Data___16</definedName>
    <definedName name="ExpandVPeriods___25" localSheetId="25">F_SMS_Data___12</definedName>
    <definedName name="ExpandVPeriods___25" localSheetId="19">F_SMS_Data___12</definedName>
    <definedName name="ExpandVPeriods___25" localSheetId="22">F_SMS_Data___12</definedName>
    <definedName name="ExpandVPeriods___25" localSheetId="28">F_SMS_Data___12</definedName>
    <definedName name="ExpandVPeriods___25" localSheetId="35">F_SMS_Data___12</definedName>
    <definedName name="ExpandVPeriods___25">F_SMS_Data___12</definedName>
    <definedName name="ExpandVPeriods___26" localSheetId="25">ffff___23</definedName>
    <definedName name="ExpandVPeriods___26" localSheetId="19">ffff___23</definedName>
    <definedName name="ExpandVPeriods___26" localSheetId="22">ffff___23</definedName>
    <definedName name="ExpandVPeriods___26" localSheetId="28">ffff___23</definedName>
    <definedName name="ExpandVPeriods___26" localSheetId="35">ffff___23</definedName>
    <definedName name="ExpandVPeriods___26">ffff___23</definedName>
    <definedName name="ExpandVPeriods___27">#N/A</definedName>
    <definedName name="ExpandVPeriods___3" localSheetId="25">F_SMS_Data___5</definedName>
    <definedName name="ExpandVPeriods___3" localSheetId="19">F_SMS_Data___5</definedName>
    <definedName name="ExpandVPeriods___3" localSheetId="22">F_SMS_Data___5</definedName>
    <definedName name="ExpandVPeriods___3" localSheetId="28">F_SMS_Data___5</definedName>
    <definedName name="ExpandVPeriods___3" localSheetId="35">F_SMS_Data___5</definedName>
    <definedName name="ExpandVPeriods___3">F_SMS_Data___5</definedName>
    <definedName name="ExpandVPeriods___4" localSheetId="25">F_SMS_Data___2</definedName>
    <definedName name="ExpandVPeriods___4" localSheetId="19">F_SMS_Data___2</definedName>
    <definedName name="ExpandVPeriods___4" localSheetId="22">F_SMS_Data___2</definedName>
    <definedName name="ExpandVPeriods___4" localSheetId="28">F_SMS_Data___2</definedName>
    <definedName name="ExpandVPeriods___4" localSheetId="35">F_SMS_Data___2</definedName>
    <definedName name="ExpandVPeriods___4">F_SMS_Data___2</definedName>
    <definedName name="ExpandVPeriods___5" localSheetId="25">ffff___6</definedName>
    <definedName name="ExpandVPeriods___5" localSheetId="19">ffff___6</definedName>
    <definedName name="ExpandVPeriods___5" localSheetId="22">ffff___6</definedName>
    <definedName name="ExpandVPeriods___5" localSheetId="28">ffff___6</definedName>
    <definedName name="ExpandVPeriods___5" localSheetId="35">ffff___6</definedName>
    <definedName name="ExpandVPeriods___5">ffff___6</definedName>
    <definedName name="ExpandVPeriods___6">#N/A</definedName>
    <definedName name="ExpandVPeriods___7" localSheetId="25">ffff___16</definedName>
    <definedName name="ExpandVPeriods___7" localSheetId="19">ffff___16</definedName>
    <definedName name="ExpandVPeriods___7" localSheetId="22">ffff___16</definedName>
    <definedName name="ExpandVPeriods___7" localSheetId="28">ffff___16</definedName>
    <definedName name="ExpandVPeriods___7" localSheetId="35">ffff___16</definedName>
    <definedName name="ExpandVPeriods___7">ffff___16</definedName>
    <definedName name="ExpandVPeriods___9" localSheetId="25">F_SMS_Data___27</definedName>
    <definedName name="ExpandVPeriods___9" localSheetId="19">F_SMS_Data___27</definedName>
    <definedName name="ExpandVPeriods___9" localSheetId="22">F_SMS_Data___27</definedName>
    <definedName name="ExpandVPeriods___9" localSheetId="28">F_SMS_Data___27</definedName>
    <definedName name="ExpandVPeriods___9" localSheetId="35">F_SMS_Data___27</definedName>
    <definedName name="ExpandVPeriods___9">F_SMS_Data___27</definedName>
    <definedName name="Expatriate_salary" localSheetId="18">#REF!</definedName>
    <definedName name="Expatriate_salary" localSheetId="25">#REF!</definedName>
    <definedName name="Expatriate_salary" localSheetId="29">#REF!</definedName>
    <definedName name="Expatriate_salary" localSheetId="31">#REF!</definedName>
    <definedName name="Expatriate_salary" localSheetId="15">#REF!</definedName>
    <definedName name="Expatriate_salary" localSheetId="13">#REF!</definedName>
    <definedName name="Expatriate_salary" localSheetId="17">#REF!</definedName>
    <definedName name="Expatriate_salary" localSheetId="12">#REF!</definedName>
    <definedName name="Expatriate_salary" localSheetId="22">#REF!</definedName>
    <definedName name="Expatriate_salary" localSheetId="28">#REF!</definedName>
    <definedName name="Expatriate_salary" localSheetId="35">#REF!</definedName>
    <definedName name="Expatriate_salary">#REF!</definedName>
    <definedName name="expert_salary" localSheetId="18">#REF!</definedName>
    <definedName name="expert_salary" localSheetId="25">#REF!</definedName>
    <definedName name="expert_salary" localSheetId="29">#REF!</definedName>
    <definedName name="expert_salary" localSheetId="31">#REF!</definedName>
    <definedName name="expert_salary" localSheetId="15">#REF!</definedName>
    <definedName name="expert_salary" localSheetId="13">#REF!</definedName>
    <definedName name="expert_salary" localSheetId="17">#REF!</definedName>
    <definedName name="expert_salary" localSheetId="12">#REF!</definedName>
    <definedName name="expert_salary" localSheetId="22">#REF!</definedName>
    <definedName name="expert_salary" localSheetId="28">#REF!</definedName>
    <definedName name="expert_salary" localSheetId="35">#REF!</definedName>
    <definedName name="expert_salary">#REF!</definedName>
    <definedName name="explo">#N/A</definedName>
    <definedName name="ExportFile" localSheetId="18">[6]!ExportFile</definedName>
    <definedName name="ExportFile" localSheetId="25">[6]!ExportFile</definedName>
    <definedName name="ExportFile" localSheetId="29">[6]!ExportFile</definedName>
    <definedName name="ExportFile" localSheetId="31">[6]!ExportFile</definedName>
    <definedName name="ExportFile" localSheetId="15">[6]!ExportFile</definedName>
    <definedName name="ExportFile" localSheetId="13">[6]!ExportFile</definedName>
    <definedName name="ExportFile" localSheetId="19">[7]!ExportFile</definedName>
    <definedName name="ExportFile" localSheetId="17">[6]!ExportFile</definedName>
    <definedName name="ExportFile" localSheetId="12">[6]!ExportFile</definedName>
    <definedName name="ExportFile" localSheetId="22">[8]!ExportFile</definedName>
    <definedName name="ExportFile">[6]!ExportFile</definedName>
    <definedName name="ExportFile___0" localSheetId="25">fffffffff___25</definedName>
    <definedName name="ExportFile___0" localSheetId="19">fffffffff___25</definedName>
    <definedName name="ExportFile___0" localSheetId="22">fffffffff___25</definedName>
    <definedName name="ExportFile___0" localSheetId="28">fffffffff___25</definedName>
    <definedName name="ExportFile___0" localSheetId="35">fffffffff___25</definedName>
    <definedName name="ExportFile___0">fffffffff___25</definedName>
    <definedName name="ExportFile___12">#N/A</definedName>
    <definedName name="ExportFile___14" localSheetId="25">ffff___7</definedName>
    <definedName name="ExportFile___14" localSheetId="19">ffff___7</definedName>
    <definedName name="ExportFile___14" localSheetId="22">ffff___7</definedName>
    <definedName name="ExportFile___14" localSheetId="28">ffff___7</definedName>
    <definedName name="ExportFile___14" localSheetId="35">ffff___7</definedName>
    <definedName name="ExportFile___14">ffff___7</definedName>
    <definedName name="ExportFile___16" localSheetId="25">ffff___2</definedName>
    <definedName name="ExportFile___16" localSheetId="19">ffff___2</definedName>
    <definedName name="ExportFile___16" localSheetId="22">ffff___2</definedName>
    <definedName name="ExportFile___16" localSheetId="28">ffff___2</definedName>
    <definedName name="ExportFile___16" localSheetId="35">ffff___2</definedName>
    <definedName name="ExportFile___16">ffff___2</definedName>
    <definedName name="ExportFile___2" localSheetId="25">ffff___0</definedName>
    <definedName name="ExportFile___2" localSheetId="19">ffff___0</definedName>
    <definedName name="ExportFile___2" localSheetId="22">ffff___0</definedName>
    <definedName name="ExportFile___2" localSheetId="28">ffff___0</definedName>
    <definedName name="ExportFile___2" localSheetId="35">ffff___0</definedName>
    <definedName name="ExportFile___2">ffff___0</definedName>
    <definedName name="ExportFile___23" localSheetId="25">ffff___14</definedName>
    <definedName name="ExportFile___23" localSheetId="19">ffff___14</definedName>
    <definedName name="ExportFile___23" localSheetId="22">ffff___14</definedName>
    <definedName name="ExportFile___23" localSheetId="28">ffff___14</definedName>
    <definedName name="ExportFile___23" localSheetId="35">ffff___14</definedName>
    <definedName name="ExportFile___23">ffff___14</definedName>
    <definedName name="ExportFile___25" localSheetId="25">ffff___27</definedName>
    <definedName name="ExportFile___25" localSheetId="19">ffff___27</definedName>
    <definedName name="ExportFile___25" localSheetId="22">ffff___27</definedName>
    <definedName name="ExportFile___25" localSheetId="28">ffff___27</definedName>
    <definedName name="ExportFile___25" localSheetId="35">ffff___27</definedName>
    <definedName name="ExportFile___25">ffff___27</definedName>
    <definedName name="ExportFile___26" localSheetId="25">fffffffff___16</definedName>
    <definedName name="ExportFile___26" localSheetId="19">fffffffff___16</definedName>
    <definedName name="ExportFile___26" localSheetId="22">fffffffff___16</definedName>
    <definedName name="ExportFile___26" localSheetId="28">fffffffff___16</definedName>
    <definedName name="ExportFile___26" localSheetId="35">fffffffff___16</definedName>
    <definedName name="ExportFile___26">fffffffff___16</definedName>
    <definedName name="ExportFile___27" localSheetId="25">fffffffff___6</definedName>
    <definedName name="ExportFile___27" localSheetId="19">fffffffff___6</definedName>
    <definedName name="ExportFile___27" localSheetId="22">fffffffff___6</definedName>
    <definedName name="ExportFile___27" localSheetId="28">fffffffff___6</definedName>
    <definedName name="ExportFile___27" localSheetId="35">fffffffff___6</definedName>
    <definedName name="ExportFile___27">fffffffff___6</definedName>
    <definedName name="ExportFile___3" localSheetId="25">ffff___26</definedName>
    <definedName name="ExportFile___3" localSheetId="19">ffff___26</definedName>
    <definedName name="ExportFile___3" localSheetId="22">ffff___26</definedName>
    <definedName name="ExportFile___3" localSheetId="28">ffff___26</definedName>
    <definedName name="ExportFile___3" localSheetId="35">ffff___26</definedName>
    <definedName name="ExportFile___3">ffff___26</definedName>
    <definedName name="ExportFile___4" localSheetId="25">ffff___12</definedName>
    <definedName name="ExportFile___4" localSheetId="19">ffff___12</definedName>
    <definedName name="ExportFile___4" localSheetId="22">ffff___12</definedName>
    <definedName name="ExportFile___4" localSheetId="28">ffff___12</definedName>
    <definedName name="ExportFile___4" localSheetId="35">ffff___12</definedName>
    <definedName name="ExportFile___4">ffff___12</definedName>
    <definedName name="ExportFile___5" localSheetId="25">fffffffff___23</definedName>
    <definedName name="ExportFile___5" localSheetId="19">fffffffff___23</definedName>
    <definedName name="ExportFile___5" localSheetId="22">fffffffff___23</definedName>
    <definedName name="ExportFile___5" localSheetId="28">fffffffff___23</definedName>
    <definedName name="ExportFile___5" localSheetId="35">fffffffff___23</definedName>
    <definedName name="ExportFile___5">fffffffff___23</definedName>
    <definedName name="ExportFile___6" localSheetId="25">ffff___3</definedName>
    <definedName name="ExportFile___6" localSheetId="19">ffff___3</definedName>
    <definedName name="ExportFile___6" localSheetId="22">ffff___3</definedName>
    <definedName name="ExportFile___6" localSheetId="28">ffff___3</definedName>
    <definedName name="ExportFile___6" localSheetId="35">ffff___3</definedName>
    <definedName name="ExportFile___6">ffff___3</definedName>
    <definedName name="ExportFile___7" localSheetId="25">fffffffff___4</definedName>
    <definedName name="ExportFile___7" localSheetId="19">fffffffff___4</definedName>
    <definedName name="ExportFile___7" localSheetId="22">fffffffff___4</definedName>
    <definedName name="ExportFile___7" localSheetId="28">fffffffff___4</definedName>
    <definedName name="ExportFile___7" localSheetId="35">fffffffff___4</definedName>
    <definedName name="ExportFile___7">fffffffff___4</definedName>
    <definedName name="ExportFile___9" localSheetId="25">ffff___5</definedName>
    <definedName name="ExportFile___9" localSheetId="19">ffff___5</definedName>
    <definedName name="ExportFile___9" localSheetId="22">ffff___5</definedName>
    <definedName name="ExportFile___9" localSheetId="28">ffff___5</definedName>
    <definedName name="ExportFile___9" localSheetId="35">ffff___5</definedName>
    <definedName name="ExportFile___9">ffff___5</definedName>
    <definedName name="ExpressGraph">#N/A</definedName>
    <definedName name="EXTERNE">[47]SV161!$C$44</definedName>
    <definedName name="_xlnm.Extract" localSheetId="18">[85]MS!#REF!</definedName>
    <definedName name="_xlnm.Extract" localSheetId="29">[85]MS!#REF!</definedName>
    <definedName name="_xlnm.Extract" localSheetId="31">[85]MS!#REF!</definedName>
    <definedName name="_xlnm.Extract" localSheetId="15">[85]MS!#REF!</definedName>
    <definedName name="_xlnm.Extract" localSheetId="13">[85]MS!#REF!</definedName>
    <definedName name="_xlnm.Extract" localSheetId="17">[85]MS!#REF!</definedName>
    <definedName name="_xlnm.Extract" localSheetId="12">[85]MS!#REF!</definedName>
    <definedName name="_xlnm.Extract" localSheetId="22">[85]MS!#REF!</definedName>
    <definedName name="_xlnm.Extract" localSheetId="28">[85]MS!#REF!</definedName>
    <definedName name="_xlnm.Extract" localSheetId="35">[85]MS!#REF!</definedName>
    <definedName name="_xlnm.Extract">[85]MS!#REF!</definedName>
    <definedName name="ey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28" hidden="1">{"hiden",#N/A,FALSE,"14";"hidden",#N/A,FALSE,"16";"hidden",#N/A,FALSE,"18";"hidden",#N/A,FALSE,"20"}</definedName>
    <definedName name="eyr" localSheetId="35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" localSheetId="25" hidden="1">{"print 1",#N/A,FALSE,"PrimeCo PCS";"print 2",#N/A,FALSE,"PrimeCo PCS";"valuation",#N/A,FALSE,"PrimeCo PCS"}</definedName>
    <definedName name="ez" localSheetId="19" hidden="1">{"print 1",#N/A,FALSE,"PrimeCo PCS";"print 2",#N/A,FALSE,"PrimeCo PCS";"valuation",#N/A,FALSE,"PrimeCo PCS"}</definedName>
    <definedName name="ez" localSheetId="22" hidden="1">{"print 1",#N/A,FALSE,"PrimeCo PCS";"print 2",#N/A,FALSE,"PrimeCo PCS";"valuation",#N/A,FALSE,"PrimeCo PCS"}</definedName>
    <definedName name="ez" localSheetId="28" hidden="1">{"print 1",#N/A,FALSE,"PrimeCo PCS";"print 2",#N/A,FALSE,"PrimeCo PCS";"valuation",#N/A,FALSE,"PrimeCo PCS"}</definedName>
    <definedName name="ez" localSheetId="35" hidden="1">{"print 1",#N/A,FALSE,"PrimeCo PCS";"print 2",#N/A,FALSE,"PrimeCo PCS";"valuation",#N/A,FALSE,"PrimeCo PCS"}</definedName>
    <definedName name="ez" hidden="1">{"print 1",#N/A,FALSE,"PrimeCo PCS";"print 2",#N/A,FALSE,"PrimeCo PCS";"valuation",#N/A,FALSE,"PrimeCo PCS"}</definedName>
    <definedName name="ezqe">#N/A</definedName>
    <definedName name="ezrtezr" localSheetId="18" hidden="1">[86]RSG!#REF!</definedName>
    <definedName name="ezrtezr" localSheetId="29" hidden="1">[86]RSG!#REF!</definedName>
    <definedName name="ezrtezr" localSheetId="31" hidden="1">[86]RSG!#REF!</definedName>
    <definedName name="ezrtezr" localSheetId="15" hidden="1">[86]RSG!#REF!</definedName>
    <definedName name="ezrtezr" localSheetId="13" hidden="1">[86]RSG!#REF!</definedName>
    <definedName name="ezrtezr" localSheetId="17" hidden="1">[86]RSG!#REF!</definedName>
    <definedName name="ezrtezr" localSheetId="12" hidden="1">[86]RSG!#REF!</definedName>
    <definedName name="ezrtezr" localSheetId="22" hidden="1">[86]RSG!#REF!</definedName>
    <definedName name="ezrtezr" localSheetId="28" hidden="1">[86]RSG!#REF!</definedName>
    <definedName name="ezrtezr" localSheetId="35" hidden="1">[86]RSG!#REF!</definedName>
    <definedName name="ezrtezr" hidden="1">[86]RSG!#REF!</definedName>
    <definedName name="ezrtrezt" hidden="1">[86]AW!$D$11:$D$24</definedName>
    <definedName name="ezrzerzerer" localSheetId="18">#REF!</definedName>
    <definedName name="ezrzerzerer" localSheetId="25">#REF!</definedName>
    <definedName name="ezrzerzerer" localSheetId="29">#REF!</definedName>
    <definedName name="ezrzerzerer" localSheetId="31">#REF!</definedName>
    <definedName name="ezrzerzerer" localSheetId="15">#REF!</definedName>
    <definedName name="ezrzerzerer" localSheetId="13">#REF!</definedName>
    <definedName name="ezrzerzerer" localSheetId="17">#REF!</definedName>
    <definedName name="ezrzerzerer" localSheetId="12">#REF!</definedName>
    <definedName name="ezrzerzerer" localSheetId="22">#REF!</definedName>
    <definedName name="ezrzerzerer" localSheetId="28">#REF!</definedName>
    <definedName name="ezrzerzerer" localSheetId="35">#REF!</definedName>
    <definedName name="ezrzerzerer">#REF!</definedName>
    <definedName name="eztezrt" localSheetId="18" hidden="1">[86]RSG!#REF!</definedName>
    <definedName name="eztezrt" localSheetId="29" hidden="1">[86]RSG!#REF!</definedName>
    <definedName name="eztezrt" localSheetId="31" hidden="1">[86]RSG!#REF!</definedName>
    <definedName name="eztezrt" localSheetId="15" hidden="1">[86]RSG!#REF!</definedName>
    <definedName name="eztezrt" localSheetId="13" hidden="1">[86]RSG!#REF!</definedName>
    <definedName name="eztezrt" localSheetId="17" hidden="1">[86]RSG!#REF!</definedName>
    <definedName name="eztezrt" localSheetId="12" hidden="1">[86]RSG!#REF!</definedName>
    <definedName name="eztezrt" localSheetId="22" hidden="1">[86]RSG!#REF!</definedName>
    <definedName name="eztezrt" localSheetId="28" hidden="1">[86]RSG!#REF!</definedName>
    <definedName name="eztezrt" localSheetId="35" hidden="1">[86]RSG!#REF!</definedName>
    <definedName name="eztezrt" hidden="1">[86]RSG!#REF!</definedName>
    <definedName name="F" localSheetId="18">#REF!</definedName>
    <definedName name="F" localSheetId="25">#REF!</definedName>
    <definedName name="F" localSheetId="29">#REF!</definedName>
    <definedName name="F" localSheetId="31">#REF!</definedName>
    <definedName name="F" localSheetId="15">#REF!</definedName>
    <definedName name="F" localSheetId="13">#REF!</definedName>
    <definedName name="F" localSheetId="17">#REF!</definedName>
    <definedName name="F" localSheetId="12">#REF!</definedName>
    <definedName name="F" localSheetId="22">#REF!</definedName>
    <definedName name="F" localSheetId="28">#REF!</definedName>
    <definedName name="F" localSheetId="35">#REF!</definedName>
    <definedName name="F">#REF!</definedName>
    <definedName name="F___0">#N/A</definedName>
    <definedName name="F___12">#N/A</definedName>
    <definedName name="F___14">#N/A</definedName>
    <definedName name="F___16">#N/A</definedName>
    <definedName name="F___2">#N/A</definedName>
    <definedName name="F___25">#N/A</definedName>
    <definedName name="F___26">#N/A</definedName>
    <definedName name="F___27">#N/A</definedName>
    <definedName name="F___4">#N/A</definedName>
    <definedName name="F___5">#N/A</definedName>
    <definedName name="F___7">#N/A</definedName>
    <definedName name="F_SMS_Data" localSheetId="18">#REF!</definedName>
    <definedName name="F_SMS_Data" localSheetId="25">#REF!</definedName>
    <definedName name="F_SMS_Data" localSheetId="29">#REF!</definedName>
    <definedName name="F_SMS_Data" localSheetId="31">#REF!</definedName>
    <definedName name="F_SMS_Data" localSheetId="15">#REF!</definedName>
    <definedName name="F_SMS_Data" localSheetId="13">#REF!</definedName>
    <definedName name="F_SMS_Data" localSheetId="17">#REF!</definedName>
    <definedName name="F_SMS_Data" localSheetId="12">#REF!</definedName>
    <definedName name="F_SMS_Data" localSheetId="22">#REF!</definedName>
    <definedName name="F_SMS_Data" localSheetId="28">#REF!</definedName>
    <definedName name="F_SMS_Data" localSheetId="35">#REF!</definedName>
    <definedName name="F_SMS_Data">#REF!</definedName>
    <definedName name="F_SMS_Data___0">#N/A</definedName>
    <definedName name="F_SMS_Data___12">#N/A</definedName>
    <definedName name="F_SMS_Data___14">#N/A</definedName>
    <definedName name="F_SMS_Data___16">#N/A</definedName>
    <definedName name="F_SMS_Data___2">#N/A</definedName>
    <definedName name="F_SMS_Data___26">#N/A</definedName>
    <definedName name="F_SMS_Data___27">#N/A</definedName>
    <definedName name="F_SMS_Data___5">#N/A</definedName>
    <definedName name="F_SMS_Data___7">#N/A</definedName>
    <definedName name="fa" localSheetId="18">#REF!</definedName>
    <definedName name="fa" localSheetId="25">#REF!</definedName>
    <definedName name="fa" localSheetId="29">#REF!</definedName>
    <definedName name="fa" localSheetId="31">#REF!</definedName>
    <definedName name="fa" localSheetId="15">#REF!</definedName>
    <definedName name="fa" localSheetId="13">#REF!</definedName>
    <definedName name="fa" localSheetId="17">#REF!</definedName>
    <definedName name="fa" localSheetId="12">#REF!</definedName>
    <definedName name="fa" localSheetId="22">#REF!</definedName>
    <definedName name="fa" localSheetId="28">#REF!</definedName>
    <definedName name="fa" localSheetId="35">#REF!</definedName>
    <definedName name="fa">#REF!</definedName>
    <definedName name="face" localSheetId="18">#REF!</definedName>
    <definedName name="face" localSheetId="25">#REF!</definedName>
    <definedName name="face" localSheetId="29">#REF!</definedName>
    <definedName name="face" localSheetId="31">#REF!</definedName>
    <definedName name="face" localSheetId="15">#REF!</definedName>
    <definedName name="face" localSheetId="13">#REF!</definedName>
    <definedName name="face" localSheetId="17">#REF!</definedName>
    <definedName name="face" localSheetId="12">#REF!</definedName>
    <definedName name="face" localSheetId="22">#REF!</definedName>
    <definedName name="face" localSheetId="28">#REF!</definedName>
    <definedName name="face" localSheetId="35">#REF!</definedName>
    <definedName name="face">#REF!</definedName>
    <definedName name="faf" localSheetId="28">#N/A</definedName>
    <definedName name="faf" localSheetId="35">'Taxe 5%'!faf</definedName>
    <definedName name="faf">'Taxe 5%'!faf</definedName>
    <definedName name="fasdf" localSheetId="28">#N/A</definedName>
    <definedName name="fasdf" localSheetId="35">'Taxe 5%'!fasdf</definedName>
    <definedName name="fasdf">'Taxe 5%'!fasdf</definedName>
    <definedName name="fc" localSheetId="18">#REF!</definedName>
    <definedName name="fc" localSheetId="25">#REF!</definedName>
    <definedName name="fc" localSheetId="29">#REF!</definedName>
    <definedName name="fc" localSheetId="31">#REF!</definedName>
    <definedName name="fc" localSheetId="15">#REF!</definedName>
    <definedName name="fc" localSheetId="13">#REF!</definedName>
    <definedName name="fc" localSheetId="17">#REF!</definedName>
    <definedName name="fc" localSheetId="12">#REF!</definedName>
    <definedName name="fc" localSheetId="22">#REF!</definedName>
    <definedName name="fc" localSheetId="28">#REF!</definedName>
    <definedName name="fc" localSheetId="35">#REF!</definedName>
    <definedName name="fc">#REF!</definedName>
    <definedName name="fcfdd" localSheetId="28" hidden="1">{#N/A,#N/A,TRUE,"Forecast &amp; Analysis";#N/A,#N/A,TRUE,"Market Values";#N/A,#N/A,TRUE,"Ratios";#N/A,#N/A,TRUE,"Regressions";#N/A,#N/A,TRUE,"Market Values";#N/A,#N/A,TRUE,"Parameters &amp; Results"}</definedName>
    <definedName name="fcfdd" localSheetId="35" hidden="1">{#N/A,#N/A,TRUE,"Forecast &amp; Analysis";#N/A,#N/A,TRUE,"Market Values";#N/A,#N/A,TRUE,"Ratios";#N/A,#N/A,TRUE,"Regressions";#N/A,#N/A,TRUE,"Market Values";#N/A,#N/A,TRUE,"Parameters &amp; Results"}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 localSheetId="18">[6]!fdd</definedName>
    <definedName name="fdd" localSheetId="25">[6]!fdd</definedName>
    <definedName name="fdd" localSheetId="29">[6]!fdd</definedName>
    <definedName name="fdd" localSheetId="31">[6]!fdd</definedName>
    <definedName name="fdd" localSheetId="15">[6]!fdd</definedName>
    <definedName name="fdd" localSheetId="13">[6]!fdd</definedName>
    <definedName name="fdd" localSheetId="19">[7]!fdd</definedName>
    <definedName name="fdd" localSheetId="17">[6]!fdd</definedName>
    <definedName name="fdd" localSheetId="12">[6]!fdd</definedName>
    <definedName name="fdd" localSheetId="22">[8]!fdd</definedName>
    <definedName name="fdd">[6]!fdd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 localSheetId="18">[6]!fddr</definedName>
    <definedName name="fddr" localSheetId="25">[6]!fddr</definedName>
    <definedName name="fddr" localSheetId="29">[6]!fddr</definedName>
    <definedName name="fddr" localSheetId="31">[6]!fddr</definedName>
    <definedName name="fddr" localSheetId="15">[6]!fddr</definedName>
    <definedName name="fddr" localSheetId="13">[6]!fddr</definedName>
    <definedName name="fddr" localSheetId="19">[7]!fddr</definedName>
    <definedName name="fddr" localSheetId="17">[6]!fddr</definedName>
    <definedName name="fddr" localSheetId="12">[6]!fddr</definedName>
    <definedName name="fddr" localSheetId="22">[8]!fddr</definedName>
    <definedName name="fddr">[6]!fddr</definedName>
    <definedName name="fdfgdfg" localSheetId="18">#REF!</definedName>
    <definedName name="fdfgdfg" localSheetId="25">#REF!</definedName>
    <definedName name="fdfgdfg" localSheetId="29">#REF!</definedName>
    <definedName name="fdfgdfg" localSheetId="31">#REF!</definedName>
    <definedName name="fdfgdfg" localSheetId="15">#REF!</definedName>
    <definedName name="fdfgdfg" localSheetId="13">#REF!</definedName>
    <definedName name="fdfgdfg" localSheetId="17">#REF!</definedName>
    <definedName name="fdfgdfg" localSheetId="12">#REF!</definedName>
    <definedName name="fdfgdfg" localSheetId="22">#REF!</definedName>
    <definedName name="fdfgdfg" localSheetId="28">#REF!</definedName>
    <definedName name="fdfgdfg" localSheetId="35">#REF!</definedName>
    <definedName name="fdfgdfg">#REF!</definedName>
    <definedName name="fdg">#N/A</definedName>
    <definedName name="fdggh" localSheetId="18">[6]!fdggh</definedName>
    <definedName name="fdggh" localSheetId="25">[6]!fdggh</definedName>
    <definedName name="fdggh" localSheetId="29">[6]!fdggh</definedName>
    <definedName name="fdggh" localSheetId="31">[6]!fdggh</definedName>
    <definedName name="fdggh" localSheetId="15">[6]!fdggh</definedName>
    <definedName name="fdggh" localSheetId="13">[6]!fdggh</definedName>
    <definedName name="fdggh" localSheetId="19">[7]!fdggh</definedName>
    <definedName name="fdggh" localSheetId="17">[6]!fdggh</definedName>
    <definedName name="fdggh" localSheetId="12">[6]!fdggh</definedName>
    <definedName name="fdggh" localSheetId="22">[8]!fdggh</definedName>
    <definedName name="fdggh">[6]!fdggh</definedName>
    <definedName name="fdgh">#N/A</definedName>
    <definedName name="FDGHS" localSheetId="18">[6]!FDGHS</definedName>
    <definedName name="FDGHS" localSheetId="25">[6]!FDGHS</definedName>
    <definedName name="FDGHS" localSheetId="29">[6]!FDGHS</definedName>
    <definedName name="FDGHS" localSheetId="31">[6]!FDGHS</definedName>
    <definedName name="FDGHS" localSheetId="15">[6]!FDGHS</definedName>
    <definedName name="FDGHS" localSheetId="13">[6]!FDGHS</definedName>
    <definedName name="FDGHS" localSheetId="19">[7]!FDGHS</definedName>
    <definedName name="FDGHS" localSheetId="17">[6]!FDGHS</definedName>
    <definedName name="FDGHS" localSheetId="12">[6]!FDGHS</definedName>
    <definedName name="FDGHS" localSheetId="22">[8]!FDGHS</definedName>
    <definedName name="FDGHS">[6]!FDGHS</definedName>
    <definedName name="fdgqsjsbc" localSheetId="18">[6]!fdgqsjsbc</definedName>
    <definedName name="fdgqsjsbc" localSheetId="25">[6]!fdgqsjsbc</definedName>
    <definedName name="fdgqsjsbc" localSheetId="29">[6]!fdgqsjsbc</definedName>
    <definedName name="fdgqsjsbc" localSheetId="31">[6]!fdgqsjsbc</definedName>
    <definedName name="fdgqsjsbc" localSheetId="15">[6]!fdgqsjsbc</definedName>
    <definedName name="fdgqsjsbc" localSheetId="13">[6]!fdgqsjsbc</definedName>
    <definedName name="fdgqsjsbc" localSheetId="19">[7]!fdgqsjsbc</definedName>
    <definedName name="fdgqsjsbc" localSheetId="17">[6]!fdgqsjsbc</definedName>
    <definedName name="fdgqsjsbc" localSheetId="12">[6]!fdgqsjsbc</definedName>
    <definedName name="fdgqsjsbc" localSheetId="22">[8]!fdgqsjsbc</definedName>
    <definedName name="fdgqsjsbc">[6]!fdgqsjsbc</definedName>
    <definedName name="fdhedtbfc" localSheetId="18">[6]!fdhedtbfc</definedName>
    <definedName name="fdhedtbfc" localSheetId="25">[6]!fdhedtbfc</definedName>
    <definedName name="fdhedtbfc" localSheetId="29">[6]!fdhedtbfc</definedName>
    <definedName name="fdhedtbfc" localSheetId="31">[6]!fdhedtbfc</definedName>
    <definedName name="fdhedtbfc" localSheetId="15">[6]!fdhedtbfc</definedName>
    <definedName name="fdhedtbfc" localSheetId="13">[6]!fdhedtbfc</definedName>
    <definedName name="fdhedtbfc" localSheetId="19">[7]!fdhedtbfc</definedName>
    <definedName name="fdhedtbfc" localSheetId="17">[6]!fdhedtbfc</definedName>
    <definedName name="fdhedtbfc" localSheetId="12">[6]!fdhedtbfc</definedName>
    <definedName name="fdhedtbfc" localSheetId="22">[8]!fdhedtbfc</definedName>
    <definedName name="fdhedtbfc">[6]!fdhedtbfc</definedName>
    <definedName name="fdhfdh" localSheetId="28" hidden="1">{"First Page",#N/A,FALSE,"Surfactants LBO";"Second Page",#N/A,FALSE,"Surfactants LBO"}</definedName>
    <definedName name="fdhfdh" localSheetId="35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ghfdh" localSheetId="28" hidden="1">{"First Page",#N/A,FALSE,"Surfactants LBO";"Second Page",#N/A,FALSE,"Surfactants LBO"}</definedName>
    <definedName name="fdhfghfdh" localSheetId="35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jgdfgj" localSheetId="18">#REF!</definedName>
    <definedName name="fdjgdfgj" localSheetId="25">#REF!</definedName>
    <definedName name="fdjgdfgj" localSheetId="29">#REF!</definedName>
    <definedName name="fdjgdfgj" localSheetId="31">#REF!</definedName>
    <definedName name="fdjgdfgj" localSheetId="15">#REF!</definedName>
    <definedName name="fdjgdfgj" localSheetId="13">#REF!</definedName>
    <definedName name="fdjgdfgj" localSheetId="17">#REF!</definedName>
    <definedName name="fdjgdfgj" localSheetId="12">#REF!</definedName>
    <definedName name="fdjgdfgj" localSheetId="22">#REF!</definedName>
    <definedName name="fdjgdfgj" localSheetId="28">#REF!</definedName>
    <definedName name="fdjgdfgj" localSheetId="35">#REF!</definedName>
    <definedName name="fdjgdfgj">#REF!</definedName>
    <definedName name="FDP_280_1_aSrv" localSheetId="18" hidden="1">[100]Forecasts_VDF!#REF!</definedName>
    <definedName name="FDP_280_1_aSrv" localSheetId="29" hidden="1">[100]Forecasts_VDF!#REF!</definedName>
    <definedName name="FDP_280_1_aSrv" localSheetId="31" hidden="1">[100]Forecasts_VDF!#REF!</definedName>
    <definedName name="FDP_280_1_aSrv" localSheetId="15" hidden="1">[100]Forecasts_VDF!#REF!</definedName>
    <definedName name="FDP_280_1_aSrv" localSheetId="13" hidden="1">[100]Forecasts_VDF!#REF!</definedName>
    <definedName name="FDP_280_1_aSrv" localSheetId="19" hidden="1">[100]Forecasts_VDF!#REF!</definedName>
    <definedName name="FDP_280_1_aSrv" localSheetId="17" hidden="1">[100]Forecasts_VDF!#REF!</definedName>
    <definedName name="FDP_280_1_aSrv" localSheetId="12" hidden="1">[100]Forecasts_VDF!#REF!</definedName>
    <definedName name="FDP_280_1_aSrv" localSheetId="22" hidden="1">[100]Forecasts_VDF!#REF!</definedName>
    <definedName name="FDP_280_1_aSrv" localSheetId="28" hidden="1">[100]Forecasts_VDF!#REF!</definedName>
    <definedName name="FDP_280_1_aSrv" localSheetId="35" hidden="1">[100]Forecasts_VDF!#REF!</definedName>
    <definedName name="FDP_280_1_aSrv" hidden="1">[100]Forecasts_VDF!#REF!</definedName>
    <definedName name="FDP_281_1_aSrv" localSheetId="18" hidden="1">[100]Forecasts_VDF!#REF!</definedName>
    <definedName name="FDP_281_1_aSrv" localSheetId="29" hidden="1">[100]Forecasts_VDF!#REF!</definedName>
    <definedName name="FDP_281_1_aSrv" localSheetId="31" hidden="1">[100]Forecasts_VDF!#REF!</definedName>
    <definedName name="FDP_281_1_aSrv" localSheetId="15" hidden="1">[100]Forecasts_VDF!#REF!</definedName>
    <definedName name="FDP_281_1_aSrv" localSheetId="13" hidden="1">[100]Forecasts_VDF!#REF!</definedName>
    <definedName name="FDP_281_1_aSrv" localSheetId="17" hidden="1">[100]Forecasts_VDF!#REF!</definedName>
    <definedName name="FDP_281_1_aSrv" localSheetId="12" hidden="1">[100]Forecasts_VDF!#REF!</definedName>
    <definedName name="FDP_281_1_aSrv" localSheetId="22" hidden="1">[100]Forecasts_VDF!#REF!</definedName>
    <definedName name="FDP_281_1_aSrv" localSheetId="28" hidden="1">[100]Forecasts_VDF!#REF!</definedName>
    <definedName name="FDP_281_1_aSrv" localSheetId="35" hidden="1">[100]Forecasts_VDF!#REF!</definedName>
    <definedName name="FDP_281_1_aSrv" hidden="1">[100]Forecasts_VDF!#REF!</definedName>
    <definedName name="FDP_282_1_aSrv" localSheetId="18" hidden="1">[100]Forecasts_VDF!#REF!</definedName>
    <definedName name="FDP_282_1_aSrv" localSheetId="29" hidden="1">[100]Forecasts_VDF!#REF!</definedName>
    <definedName name="FDP_282_1_aSrv" localSheetId="31" hidden="1">[100]Forecasts_VDF!#REF!</definedName>
    <definedName name="FDP_282_1_aSrv" localSheetId="15" hidden="1">[100]Forecasts_VDF!#REF!</definedName>
    <definedName name="FDP_282_1_aSrv" localSheetId="13" hidden="1">[100]Forecasts_VDF!#REF!</definedName>
    <definedName name="FDP_282_1_aSrv" localSheetId="17" hidden="1">[100]Forecasts_VDF!#REF!</definedName>
    <definedName name="FDP_282_1_aSrv" localSheetId="12" hidden="1">[100]Forecasts_VDF!#REF!</definedName>
    <definedName name="FDP_282_1_aSrv" localSheetId="22" hidden="1">[100]Forecasts_VDF!#REF!</definedName>
    <definedName name="FDP_282_1_aSrv" localSheetId="28" hidden="1">[100]Forecasts_VDF!#REF!</definedName>
    <definedName name="FDP_282_1_aSrv" localSheetId="35" hidden="1">[100]Forecasts_VDF!#REF!</definedName>
    <definedName name="FDP_282_1_aSrv" hidden="1">[100]Forecasts_VDF!#REF!</definedName>
    <definedName name="FDP_283_1_aSrv" localSheetId="18" hidden="1">[100]Forecasts_VDF!#REF!</definedName>
    <definedName name="FDP_283_1_aSrv" localSheetId="29" hidden="1">[100]Forecasts_VDF!#REF!</definedName>
    <definedName name="FDP_283_1_aSrv" localSheetId="31" hidden="1">[100]Forecasts_VDF!#REF!</definedName>
    <definedName name="FDP_283_1_aSrv" localSheetId="15" hidden="1">[100]Forecasts_VDF!#REF!</definedName>
    <definedName name="FDP_283_1_aSrv" localSheetId="13" hidden="1">[100]Forecasts_VDF!#REF!</definedName>
    <definedName name="FDP_283_1_aSrv" localSheetId="17" hidden="1">[100]Forecasts_VDF!#REF!</definedName>
    <definedName name="FDP_283_1_aSrv" localSheetId="12" hidden="1">[100]Forecasts_VDF!#REF!</definedName>
    <definedName name="FDP_283_1_aSrv" localSheetId="22" hidden="1">[100]Forecasts_VDF!#REF!</definedName>
    <definedName name="FDP_283_1_aSrv" localSheetId="28" hidden="1">[100]Forecasts_VDF!#REF!</definedName>
    <definedName name="FDP_283_1_aSrv" localSheetId="35" hidden="1">[100]Forecasts_VDF!#REF!</definedName>
    <definedName name="FDP_283_1_aSrv" hidden="1">[100]Forecasts_VDF!#REF!</definedName>
    <definedName name="February" localSheetId="18">#REF!</definedName>
    <definedName name="February" localSheetId="25">#REF!</definedName>
    <definedName name="February" localSheetId="29">#REF!</definedName>
    <definedName name="February" localSheetId="31">#REF!</definedName>
    <definedName name="February" localSheetId="15">#REF!</definedName>
    <definedName name="February" localSheetId="13">#REF!</definedName>
    <definedName name="February" localSheetId="17">#REF!</definedName>
    <definedName name="February" localSheetId="12">#REF!</definedName>
    <definedName name="February" localSheetId="22">#REF!</definedName>
    <definedName name="February" localSheetId="28">#REF!</definedName>
    <definedName name="February" localSheetId="35">#REF!</definedName>
    <definedName name="February">#REF!</definedName>
    <definedName name="fegc" localSheetId="18">[6]!fegc</definedName>
    <definedName name="fegc" localSheetId="25">[6]!fegc</definedName>
    <definedName name="fegc" localSheetId="29">[6]!fegc</definedName>
    <definedName name="fegc" localSheetId="31">[6]!fegc</definedName>
    <definedName name="fegc" localSheetId="15">[6]!fegc</definedName>
    <definedName name="fegc" localSheetId="13">[6]!fegc</definedName>
    <definedName name="fegc" localSheetId="19">[7]!fegc</definedName>
    <definedName name="fegc" localSheetId="17">[6]!fegc</definedName>
    <definedName name="fegc" localSheetId="12">[6]!fegc</definedName>
    <definedName name="fegc" localSheetId="22">[8]!fegc</definedName>
    <definedName name="fegc">[6]!fegc</definedName>
    <definedName name="fes" localSheetId="29">'[51]FES  ATLAS'!#REF!</definedName>
    <definedName name="fes" localSheetId="31">'[51]FES  ATLAS'!#REF!</definedName>
    <definedName name="fes" localSheetId="28">'[51]FES  ATLAS'!#REF!</definedName>
    <definedName name="fes" localSheetId="35">'[51]FES  ATLAS'!#REF!</definedName>
    <definedName name="fes">'[51]FES  ATLAS'!#REF!</definedName>
    <definedName name="feuille" localSheetId="29">'[51]FES  ATLAS'!#REF!</definedName>
    <definedName name="feuille" localSheetId="31">'[51]FES  ATLAS'!#REF!</definedName>
    <definedName name="feuille" localSheetId="28">'[51]FES  ATLAS'!#REF!</definedName>
    <definedName name="feuille" localSheetId="35">'[51]FES  ATLAS'!#REF!</definedName>
    <definedName name="feuille">'[51]FES  ATLAS'!#REF!</definedName>
    <definedName name="fev">#N/A</definedName>
    <definedName name="Fevrier" localSheetId="18">#REF!</definedName>
    <definedName name="Fevrier" localSheetId="25">#REF!</definedName>
    <definedName name="Fevrier" localSheetId="29">#REF!</definedName>
    <definedName name="Fevrier" localSheetId="31">#REF!</definedName>
    <definedName name="Fevrier" localSheetId="15">#REF!</definedName>
    <definedName name="Fevrier" localSheetId="13">#REF!</definedName>
    <definedName name="Fevrier" localSheetId="17">#REF!</definedName>
    <definedName name="Fevrier" localSheetId="12">#REF!</definedName>
    <definedName name="Fevrier" localSheetId="22">#REF!</definedName>
    <definedName name="Fevrier" localSheetId="28">#REF!</definedName>
    <definedName name="Fevrier" localSheetId="35">#REF!</definedName>
    <definedName name="Fevrier">#REF!</definedName>
    <definedName name="fevruer" localSheetId="18">[6]!fevruer</definedName>
    <definedName name="fevruer" localSheetId="25">[6]!fevruer</definedName>
    <definedName name="fevruer" localSheetId="29">[6]!fevruer</definedName>
    <definedName name="fevruer" localSheetId="31">[6]!fevruer</definedName>
    <definedName name="fevruer" localSheetId="15">[6]!fevruer</definedName>
    <definedName name="fevruer" localSheetId="13">[6]!fevruer</definedName>
    <definedName name="fevruer" localSheetId="19">[7]!fevruer</definedName>
    <definedName name="fevruer" localSheetId="17">[6]!fevruer</definedName>
    <definedName name="fevruer" localSheetId="12">[6]!fevruer</definedName>
    <definedName name="fevruer" localSheetId="22">[8]!fevruer</definedName>
    <definedName name="fevruer">[6]!fevruer</definedName>
    <definedName name="FF" localSheetId="18">#REF!</definedName>
    <definedName name="FF" localSheetId="25">#REF!</definedName>
    <definedName name="FF" localSheetId="29">#REF!</definedName>
    <definedName name="FF" localSheetId="31">#REF!</definedName>
    <definedName name="FF" localSheetId="15">#REF!</definedName>
    <definedName name="FF" localSheetId="13">#REF!</definedName>
    <definedName name="FF" localSheetId="17">#REF!</definedName>
    <definedName name="FF" localSheetId="12">#REF!</definedName>
    <definedName name="FF" localSheetId="22">#REF!</definedName>
    <definedName name="FF" localSheetId="28">#REF!</definedName>
    <definedName name="FF" localSheetId="35">#REF!</definedName>
    <definedName name="FF">#REF!</definedName>
    <definedName name="ffe">#N/A</definedName>
    <definedName name="fff" localSheetId="25" hidden="1">{"IS",#N/A,FALSE,"IS";"RPTIS",#N/A,FALSE,"RPTIS";"STATS",#N/A,FALSE,"STATS";"CELL",#N/A,FALSE,"CELL";"BS",#N/A,FALSE,"BS"}</definedName>
    <definedName name="fff" localSheetId="19" hidden="1">{"IS",#N/A,FALSE,"IS";"RPTIS",#N/A,FALSE,"RPTIS";"STATS",#N/A,FALSE,"STATS";"CELL",#N/A,FALSE,"CELL";"BS",#N/A,FALSE,"BS"}</definedName>
    <definedName name="fff" localSheetId="22" hidden="1">{"IS",#N/A,FALSE,"IS";"RPTIS",#N/A,FALSE,"RPTIS";"STATS",#N/A,FALSE,"STATS";"CELL",#N/A,FALSE,"CELL";"BS",#N/A,FALSE,"BS"}</definedName>
    <definedName name="fff" localSheetId="28" hidden="1">{"IS",#N/A,FALSE,"IS";"RPTIS",#N/A,FALSE,"RPTIS";"STATS",#N/A,FALSE,"STATS";"CELL",#N/A,FALSE,"CELL";"BS",#N/A,FALSE,"BS"}</definedName>
    <definedName name="fff" localSheetId="35" hidden="1">{"IS",#N/A,FALSE,"IS";"RPTIS",#N/A,FALSE,"RPTIS";"STATS",#N/A,FALSE,"STATS";"CELL",#N/A,FALSE,"CELL";"BS",#N/A,FALSE,"BS"}</definedName>
    <definedName name="fff" hidden="1">{"IS",#N/A,FALSE,"IS";"RPTIS",#N/A,FALSE,"RPTIS";"STATS",#N/A,FALSE,"STATS";"CELL",#N/A,FALSE,"CELL";"BS",#N/A,FALSE,"BS"}</definedName>
    <definedName name="ffff" localSheetId="18">#N/A</definedName>
    <definedName name="ffff" localSheetId="25">Activation!Nb_de_paiements_par_an*#REF!</definedName>
    <definedName name="ffff" localSheetId="29">'Amortissment boa'!Nb_de_paiements_par_an*#REF!</definedName>
    <definedName name="ffff" localSheetId="31">'Amortissment Cboa'!Nb_de_paiements_par_an*#REF!</definedName>
    <definedName name="ffff" localSheetId="15">#N/A</definedName>
    <definedName name="ffff" localSheetId="13">#N/A</definedName>
    <definedName name="ffff" localSheetId="19">#N/A</definedName>
    <definedName name="ffff" localSheetId="17">#N/A</definedName>
    <definedName name="ffff" localSheetId="12">#N/A</definedName>
    <definedName name="ffff" localSheetId="22">[5]!Nb_de_paiements_par_an*#REF!</definedName>
    <definedName name="ffff" localSheetId="28">'SYNTHESE BOA'!Nb_de_paiements_par_an*#REF!</definedName>
    <definedName name="ffff" localSheetId="35">'Taxe 5%'!Nb_de_paiements_par_an*#REF!</definedName>
    <definedName name="ffff">[0]!Nb_de_paiements_par_an*#REF!</definedName>
    <definedName name="ffff___0">#N/A</definedName>
    <definedName name="ffff___12">#N/A</definedName>
    <definedName name="ffff___14">#N/A</definedName>
    <definedName name="ffff___16">#N/A</definedName>
    <definedName name="ffff___2">#N/A</definedName>
    <definedName name="ffff___23">#N/A</definedName>
    <definedName name="ffff___25">#N/A</definedName>
    <definedName name="ffff___26">#N/A</definedName>
    <definedName name="ffff___27">#N/A</definedName>
    <definedName name="ffff___3">#N/A</definedName>
    <definedName name="ffff___4">#N/A</definedName>
    <definedName name="ffff___5">#N/A</definedName>
    <definedName name="ffff___6">#N/A</definedName>
    <definedName name="ffff___7">#N/A</definedName>
    <definedName name="ffff___9">#N/A</definedName>
    <definedName name="fffff">#N/A</definedName>
    <definedName name="fffffffff" localSheetId="18">#N/A</definedName>
    <definedName name="fffffffff" localSheetId="25">Activation!Tx_intérêt_par_an/#REF!</definedName>
    <definedName name="fffffffff" localSheetId="29">'Amortissment boa'!Tx_intérêt_par_an/#REF!</definedName>
    <definedName name="fffffffff" localSheetId="31">'Amortissment Cboa'!Tx_intérêt_par_an/#REF!</definedName>
    <definedName name="fffffffff" localSheetId="15">#N/A</definedName>
    <definedName name="fffffffff" localSheetId="13">#N/A</definedName>
    <definedName name="fffffffff" localSheetId="19">#N/A</definedName>
    <definedName name="fffffffff" localSheetId="17">#N/A</definedName>
    <definedName name="fffffffff" localSheetId="12">#N/A</definedName>
    <definedName name="fffffffff" localSheetId="22">[5]!Tx_intérêt_par_an/#REF!</definedName>
    <definedName name="fffffffff" localSheetId="28">'SYNTHESE BOA'!Tx_intérêt_par_an/#REF!</definedName>
    <definedName name="fffffffff" localSheetId="35">'Taxe 5%'!Tx_intérêt_par_an/#REF!</definedName>
    <definedName name="fffffffff">[0]!Tx_intérêt_par_an/#REF!</definedName>
    <definedName name="fffffffff___0">#N/A</definedName>
    <definedName name="fffffffff___12">#N/A</definedName>
    <definedName name="fffffffff___14">#N/A</definedName>
    <definedName name="fffffffff___16">#N/A</definedName>
    <definedName name="fffffffff___2">#N/A</definedName>
    <definedName name="fffffffff___23">#N/A</definedName>
    <definedName name="fffffffff___25">#N/A</definedName>
    <definedName name="fffffffff___26">#N/A</definedName>
    <definedName name="fffffffff___27">#N/A</definedName>
    <definedName name="fffffffff___3">#N/A</definedName>
    <definedName name="fffffffff___4">#N/A</definedName>
    <definedName name="fffffffff___5">#N/A</definedName>
    <definedName name="fffffffff___6">#N/A</definedName>
    <definedName name="fffffffff___7">#N/A</definedName>
    <definedName name="fffffffff___9">#N/A</definedName>
    <definedName name="fffffffffffff">#N/A</definedName>
    <definedName name="fffs" localSheetId="25" hidden="1">{"IS",#N/A,FALSE,"IS";"RPTIS",#N/A,FALSE,"RPTIS";"STATS",#N/A,FALSE,"STATS";"CELL",#N/A,FALSE,"CELL";"BS",#N/A,FALSE,"BS"}</definedName>
    <definedName name="fffs" localSheetId="19" hidden="1">{"IS",#N/A,FALSE,"IS";"RPTIS",#N/A,FALSE,"RPTIS";"STATS",#N/A,FALSE,"STATS";"CELL",#N/A,FALSE,"CELL";"BS",#N/A,FALSE,"BS"}</definedName>
    <definedName name="fffs" localSheetId="22" hidden="1">{"IS",#N/A,FALSE,"IS";"RPTIS",#N/A,FALSE,"RPTIS";"STATS",#N/A,FALSE,"STATS";"CELL",#N/A,FALSE,"CELL";"BS",#N/A,FALSE,"BS"}</definedName>
    <definedName name="fffs" localSheetId="28" hidden="1">{"IS",#N/A,FALSE,"IS";"RPTIS",#N/A,FALSE,"RPTIS";"STATS",#N/A,FALSE,"STATS";"CELL",#N/A,FALSE,"CELL";"BS",#N/A,FALSE,"BS"}</definedName>
    <definedName name="fffs" localSheetId="35" hidden="1">{"IS",#N/A,FALSE,"IS";"RPTIS",#N/A,FALSE,"RPTIS";"STATS",#N/A,FALSE,"STATS";"CELL",#N/A,FALSE,"CELL";"BS",#N/A,FALSE,"BS"}</definedName>
    <definedName name="fffs" hidden="1">{"IS",#N/A,FALSE,"IS";"RPTIS",#N/A,FALSE,"RPTIS";"STATS",#N/A,FALSE,"STATS";"CELL",#N/A,FALSE,"CELL";"BS",#N/A,FALSE,"BS"}</definedName>
    <definedName name="ffgg" localSheetId="18">[101]BATIMENT!#REF!</definedName>
    <definedName name="ffgg" localSheetId="29">[101]BATIMENT!#REF!</definedName>
    <definedName name="ffgg" localSheetId="31">[101]BATIMENT!#REF!</definedName>
    <definedName name="ffgg" localSheetId="15">[101]BATIMENT!#REF!</definedName>
    <definedName name="ffgg" localSheetId="13">[101]BATIMENT!#REF!</definedName>
    <definedName name="ffgg" localSheetId="17">[101]BATIMENT!#REF!</definedName>
    <definedName name="ffgg" localSheetId="12">[101]BATIMENT!#REF!</definedName>
    <definedName name="ffgg" localSheetId="22">[101]BATIMENT!#REF!</definedName>
    <definedName name="ffgg" localSheetId="28">[101]BATIMENT!#REF!</definedName>
    <definedName name="ffgg" localSheetId="35">[101]BATIMENT!#REF!</definedName>
    <definedName name="ffgg">[101]BATIMENT!#REF!</definedName>
    <definedName name="FG" localSheetId="18">[6]!FG</definedName>
    <definedName name="FG" localSheetId="25">[6]!FG</definedName>
    <definedName name="FG" localSheetId="29">[6]!FG</definedName>
    <definedName name="FG" localSheetId="31">[6]!FG</definedName>
    <definedName name="FG" localSheetId="15">[6]!FG</definedName>
    <definedName name="FG" localSheetId="13">[6]!FG</definedName>
    <definedName name="FG" localSheetId="19">[7]!FG</definedName>
    <definedName name="FG" localSheetId="17">[6]!FG</definedName>
    <definedName name="FG" localSheetId="12">[6]!FG</definedName>
    <definedName name="FG" localSheetId="22">[8]!FG</definedName>
    <definedName name="FG">[6]!FG</definedName>
    <definedName name="FG___0" localSheetId="25">G___7</definedName>
    <definedName name="FG___0" localSheetId="19">G___7</definedName>
    <definedName name="FG___0" localSheetId="22">G___7</definedName>
    <definedName name="FG___0" localSheetId="28">G___7</definedName>
    <definedName name="FG___0" localSheetId="35">G___7</definedName>
    <definedName name="FG___0">G___7</definedName>
    <definedName name="FG___12" localSheetId="25">G___2</definedName>
    <definedName name="FG___12" localSheetId="19">G___2</definedName>
    <definedName name="FG___12" localSheetId="22">G___2</definedName>
    <definedName name="FG___12" localSheetId="28">G___2</definedName>
    <definedName name="FG___12" localSheetId="35">G___2</definedName>
    <definedName name="FG___12">G___2</definedName>
    <definedName name="FG___14" localSheetId="25">G___14</definedName>
    <definedName name="FG___14" localSheetId="19">G___14</definedName>
    <definedName name="FG___14" localSheetId="22">G___14</definedName>
    <definedName name="FG___14" localSheetId="28">G___14</definedName>
    <definedName name="FG___14" localSheetId="35">G___14</definedName>
    <definedName name="FG___14">G___14</definedName>
    <definedName name="FG___16" localSheetId="25">G___16</definedName>
    <definedName name="FG___16" localSheetId="19">G___16</definedName>
    <definedName name="FG___16" localSheetId="22">G___16</definedName>
    <definedName name="FG___16" localSheetId="28">G___16</definedName>
    <definedName name="FG___16" localSheetId="35">G___16</definedName>
    <definedName name="FG___16">G___16</definedName>
    <definedName name="FG___23">#N/A</definedName>
    <definedName name="FG___25" localSheetId="25">G___4</definedName>
    <definedName name="FG___25" localSheetId="19">G___4</definedName>
    <definedName name="FG___25" localSheetId="22">G___4</definedName>
    <definedName name="FG___25" localSheetId="28">G___4</definedName>
    <definedName name="FG___25" localSheetId="35">G___4</definedName>
    <definedName name="FG___25">G___4</definedName>
    <definedName name="FG___26" localSheetId="25">G___5</definedName>
    <definedName name="FG___26" localSheetId="19">G___5</definedName>
    <definedName name="FG___26" localSheetId="22">G___5</definedName>
    <definedName name="FG___26" localSheetId="28">G___5</definedName>
    <definedName name="FG___26" localSheetId="35">G___5</definedName>
    <definedName name="FG___26">G___5</definedName>
    <definedName name="FG___27" localSheetId="25">G___12</definedName>
    <definedName name="FG___27" localSheetId="19">G___12</definedName>
    <definedName name="FG___27" localSheetId="22">G___12</definedName>
    <definedName name="FG___27" localSheetId="28">G___12</definedName>
    <definedName name="FG___27" localSheetId="35">G___12</definedName>
    <definedName name="FG___27">G___12</definedName>
    <definedName name="FG___5" localSheetId="25">G___27</definedName>
    <definedName name="FG___5" localSheetId="19">G___27</definedName>
    <definedName name="FG___5" localSheetId="22">G___27</definedName>
    <definedName name="FG___5" localSheetId="28">G___27</definedName>
    <definedName name="FG___5" localSheetId="35">G___27</definedName>
    <definedName name="FG___5">G___27</definedName>
    <definedName name="FG___6">#N/A</definedName>
    <definedName name="FG___7" localSheetId="25">G___26</definedName>
    <definedName name="FG___7" localSheetId="19">G___26</definedName>
    <definedName name="FG___7" localSheetId="22">G___26</definedName>
    <definedName name="FG___7" localSheetId="28">G___26</definedName>
    <definedName name="FG___7" localSheetId="35">G___26</definedName>
    <definedName name="FG___7">G___26</definedName>
    <definedName name="FG___9" localSheetId="25">G___25</definedName>
    <definedName name="FG___9" localSheetId="19">G___25</definedName>
    <definedName name="FG___9" localSheetId="22">G___25</definedName>
    <definedName name="FG___9" localSheetId="28">G___25</definedName>
    <definedName name="FG___9" localSheetId="35">G___25</definedName>
    <definedName name="FG___9">G___25</definedName>
    <definedName name="fgdfgdf" localSheetId="28">#N/A</definedName>
    <definedName name="fgdfgdf" localSheetId="35">'Taxe 5%'!fgdfgdf</definedName>
    <definedName name="fgdfgdf">'Taxe 5%'!fgdfgdf</definedName>
    <definedName name="fgdsgsd" localSheetId="2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localSheetId="35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28" hidden="1">{#N/A,#N/A,TRUE,"Cover sheet";#N/A,#N/A,TRUE,"DCF analysis";#N/A,#N/A,TRUE,"WACC calculation"}</definedName>
    <definedName name="fghdgfhdf" localSheetId="35" hidden="1">{#N/A,#N/A,TRUE,"Cover sheet";#N/A,#N/A,TRUE,"DCF analysis";#N/A,#N/A,TRUE,"WACC calculation"}</definedName>
    <definedName name="fghdgfhdf" hidden="1">{#N/A,#N/A,TRUE,"Cover sheet";#N/A,#N/A,TRUE,"DCF analysis";#N/A,#N/A,TRUE,"WACC calculation"}</definedName>
    <definedName name="fghjk" localSheetId="28">G___5</definedName>
    <definedName name="fghjk" localSheetId="35">G___5</definedName>
    <definedName name="fghjk">G___5</definedName>
    <definedName name="fght" localSheetId="18">#REF!</definedName>
    <definedName name="fght" localSheetId="25">#REF!</definedName>
    <definedName name="fght" localSheetId="29">#REF!</definedName>
    <definedName name="fght" localSheetId="31">#REF!</definedName>
    <definedName name="fght" localSheetId="15">#REF!</definedName>
    <definedName name="fght" localSheetId="13">#REF!</definedName>
    <definedName name="fght" localSheetId="17">#REF!</definedName>
    <definedName name="fght" localSheetId="12">#REF!</definedName>
    <definedName name="fght" localSheetId="22">#REF!</definedName>
    <definedName name="fght" localSheetId="28">#REF!</definedName>
    <definedName name="fght" localSheetId="35">#REF!</definedName>
    <definedName name="fght">#REF!</definedName>
    <definedName name="FGRDF" localSheetId="18">#REF!</definedName>
    <definedName name="FGRDF" localSheetId="25">#REF!</definedName>
    <definedName name="FGRDF" localSheetId="29">#REF!</definedName>
    <definedName name="FGRDF" localSheetId="31">#REF!</definedName>
    <definedName name="FGRDF" localSheetId="15">#REF!</definedName>
    <definedName name="FGRDF" localSheetId="13">#REF!</definedName>
    <definedName name="FGRDF" localSheetId="17">#REF!</definedName>
    <definedName name="FGRDF" localSheetId="12">#REF!</definedName>
    <definedName name="FGRDF" localSheetId="22">#REF!</definedName>
    <definedName name="FGRDF" localSheetId="28">#REF!</definedName>
    <definedName name="FGRDF" localSheetId="35">#REF!</definedName>
    <definedName name="FGRDF">#REF!</definedName>
    <definedName name="fgtr" localSheetId="18">[101]BATIMENT!#REF!</definedName>
    <definedName name="fgtr" localSheetId="29">[101]BATIMENT!#REF!</definedName>
    <definedName name="fgtr" localSheetId="31">[101]BATIMENT!#REF!</definedName>
    <definedName name="fgtr" localSheetId="15">[101]BATIMENT!#REF!</definedName>
    <definedName name="fgtr" localSheetId="13">[101]BATIMENT!#REF!</definedName>
    <definedName name="fgtr" localSheetId="17">[101]BATIMENT!#REF!</definedName>
    <definedName name="fgtr" localSheetId="12">[101]BATIMENT!#REF!</definedName>
    <definedName name="fgtr" localSheetId="22">[101]BATIMENT!#REF!</definedName>
    <definedName name="fgtr" localSheetId="28">[101]BATIMENT!#REF!</definedName>
    <definedName name="fgtr" localSheetId="35">[101]BATIMENT!#REF!</definedName>
    <definedName name="fgtr">[101]BATIMENT!#REF!</definedName>
    <definedName name="fiche" localSheetId="29">#REF!</definedName>
    <definedName name="fiche" localSheetId="31">#REF!</definedName>
    <definedName name="fiche" localSheetId="28">#REF!</definedName>
    <definedName name="fiche" localSheetId="35">#REF!</definedName>
    <definedName name="fiche">#REF!</definedName>
    <definedName name="fichexpliq_EVOSB" localSheetId="18">#REF!</definedName>
    <definedName name="fichexpliq_EVOSB" localSheetId="25">#REF!</definedName>
    <definedName name="fichexpliq_EVOSB" localSheetId="29">#REF!</definedName>
    <definedName name="fichexpliq_EVOSB" localSheetId="31">#REF!</definedName>
    <definedName name="fichexpliq_EVOSB" localSheetId="15">#REF!</definedName>
    <definedName name="fichexpliq_EVOSB" localSheetId="13">#REF!</definedName>
    <definedName name="fichexpliq_EVOSB" localSheetId="17">#REF!</definedName>
    <definedName name="fichexpliq_EVOSB" localSheetId="12">#REF!</definedName>
    <definedName name="fichexpliq_EVOSB" localSheetId="22">#REF!</definedName>
    <definedName name="fichexpliq_EVOSB" localSheetId="28">#REF!</definedName>
    <definedName name="fichexpliq_EVOSB" localSheetId="35">#REF!</definedName>
    <definedName name="fichexpliq_EVOSB">#REF!</definedName>
    <definedName name="fichier" localSheetId="29">'[51]FES  ATLAS'!#REF!</definedName>
    <definedName name="fichier" localSheetId="31">'[51]FES  ATLAS'!#REF!</definedName>
    <definedName name="fichier" localSheetId="28">'[51]FES  ATLAS'!#REF!</definedName>
    <definedName name="fichier" localSheetId="35">'[51]FES  ATLAS'!#REF!</definedName>
    <definedName name="fichier">'[51]FES  ATLAS'!#REF!</definedName>
    <definedName name="filling">[102]copy_filling_usage_here!$B$8:$E$52</definedName>
    <definedName name="fillingnew">[103]copy_filling_usage_here!$B$8:$E$52</definedName>
    <definedName name="FINAL">#N/A</definedName>
    <definedName name="FirstProjYr" localSheetId="18">#REF!</definedName>
    <definedName name="FirstProjYr" localSheetId="25">#REF!</definedName>
    <definedName name="FirstProjYr" localSheetId="29">#REF!</definedName>
    <definedName name="FirstProjYr" localSheetId="31">#REF!</definedName>
    <definedName name="FirstProjYr" localSheetId="15">#REF!</definedName>
    <definedName name="FirstProjYr" localSheetId="13">#REF!</definedName>
    <definedName name="FirstProjYr" localSheetId="17">#REF!</definedName>
    <definedName name="FirstProjYr" localSheetId="12">#REF!</definedName>
    <definedName name="FirstProjYr" localSheetId="22">#REF!</definedName>
    <definedName name="FirstProjYr" localSheetId="28">#REF!</definedName>
    <definedName name="FirstProjYr" localSheetId="35">#REF!</definedName>
    <definedName name="FirstProjYr">#REF!</definedName>
    <definedName name="FirstProjYr___0">#N/A</definedName>
    <definedName name="FirstProjYr___12">#N/A</definedName>
    <definedName name="FirstProjYr___14">#N/A</definedName>
    <definedName name="FirstProjYr___16">#N/A</definedName>
    <definedName name="FirstProjYr___2">#N/A</definedName>
    <definedName name="FirstProjYr___25">#N/A</definedName>
    <definedName name="FirstProjYr___26">#N/A</definedName>
    <definedName name="FirstProjYr___27">#N/A</definedName>
    <definedName name="FirstProjYr___4">#N/A</definedName>
    <definedName name="FirstProjYr___5">#N/A</definedName>
    <definedName name="FirstProjYr___7">#N/A</definedName>
    <definedName name="Fixe_Technique1">'[82]Catégories&amp; motifs_réclamations'!$A$3:$A$13</definedName>
    <definedName name="fkgkmkhger" localSheetId="18">#REF!</definedName>
    <definedName name="fkgkmkhger" localSheetId="25">#REF!</definedName>
    <definedName name="fkgkmkhger" localSheetId="29">#REF!</definedName>
    <definedName name="fkgkmkhger" localSheetId="31">#REF!</definedName>
    <definedName name="fkgkmkhger" localSheetId="15">#REF!</definedName>
    <definedName name="fkgkmkhger" localSheetId="13">#REF!</definedName>
    <definedName name="fkgkmkhger" localSheetId="17">#REF!</definedName>
    <definedName name="fkgkmkhger" localSheetId="12">#REF!</definedName>
    <definedName name="fkgkmkhger" localSheetId="22">#REF!</definedName>
    <definedName name="fkgkmkhger" localSheetId="28">#REF!</definedName>
    <definedName name="fkgkmkhger" localSheetId="35">#REF!</definedName>
    <definedName name="fkgkmkhger">#REF!</definedName>
    <definedName name="foncier" localSheetId="18">[104]BATIMENT!#REF!</definedName>
    <definedName name="foncier" localSheetId="29">[104]BATIMENT!#REF!</definedName>
    <definedName name="foncier" localSheetId="31">[104]BATIMENT!#REF!</definedName>
    <definedName name="foncier" localSheetId="15">[104]BATIMENT!#REF!</definedName>
    <definedName name="foncier" localSheetId="13">[104]BATIMENT!#REF!</definedName>
    <definedName name="foncier" localSheetId="17">[104]BATIMENT!#REF!</definedName>
    <definedName name="foncier" localSheetId="12">[104]BATIMENT!#REF!</definedName>
    <definedName name="foncier" localSheetId="22">[104]BATIMENT!#REF!</definedName>
    <definedName name="foncier" localSheetId="28">[104]BATIMENT!#REF!</definedName>
    <definedName name="foncier" localSheetId="35">[104]BATIMENT!#REF!</definedName>
    <definedName name="foncier">[104]BATIMENT!#REF!</definedName>
    <definedName name="_xlnm.Recorder" localSheetId="18">#REF!</definedName>
    <definedName name="_xlnm.Recorder" localSheetId="25">#REF!</definedName>
    <definedName name="_xlnm.Recorder" localSheetId="29">#REF!</definedName>
    <definedName name="_xlnm.Recorder" localSheetId="31">#REF!</definedName>
    <definedName name="_xlnm.Recorder" localSheetId="15">#REF!</definedName>
    <definedName name="_xlnm.Recorder" localSheetId="13">#REF!</definedName>
    <definedName name="_xlnm.Recorder" localSheetId="17">#REF!</definedName>
    <definedName name="_xlnm.Recorder" localSheetId="12">#REF!</definedName>
    <definedName name="_xlnm.Recorder" localSheetId="22">#REF!</definedName>
    <definedName name="_xlnm.Recorder" localSheetId="28">#REF!</definedName>
    <definedName name="_xlnm.Recorder" localSheetId="35">#REF!</definedName>
    <definedName name="_xlnm.Recorder">#REF!</definedName>
    <definedName name="FOOT">#N/A</definedName>
    <definedName name="forecast" localSheetId="18" hidden="1">OFFSET([6]!CompRange1Main,9,0,COUNTA([6]!CompRange1Main)-COUNTA(#REF!),1)</definedName>
    <definedName name="forecast" localSheetId="25" hidden="1">OFFSET([6]!CompRange1Main,9,0,COUNTA([6]!CompRange1Main)-COUNTA(#REF!),1)</definedName>
    <definedName name="forecast" localSheetId="29" hidden="1">OFFSET([6]!CompRange1Main,9,0,COUNTA([6]!CompRange1Main)-COUNTA(#REF!),1)</definedName>
    <definedName name="forecast" localSheetId="31" hidden="1">OFFSET([6]!CompRange1Main,9,0,COUNTA([6]!CompRange1Main)-COUNTA(#REF!),1)</definedName>
    <definedName name="forecast" localSheetId="15" hidden="1">OFFSET([6]!CompRange1Main,9,0,COUNTA([6]!CompRange1Main)-COUNTA(#REF!),1)</definedName>
    <definedName name="forecast" localSheetId="13" hidden="1">OFFSET([6]!CompRange1Main,9,0,COUNTA([6]!CompRange1Main)-COUNTA(#REF!),1)</definedName>
    <definedName name="forecast" localSheetId="19" hidden="1">OFFSET([7]!CompRange1Main,9,0,COUNTA([7]!CompRange1Main)-COUNTA(#REF!),1)</definedName>
    <definedName name="forecast" localSheetId="17" hidden="1">OFFSET([6]!CompRange1Main,9,0,COUNTA([6]!CompRange1Main)-COUNTA(#REF!),1)</definedName>
    <definedName name="forecast" localSheetId="12" hidden="1">OFFSET([6]!CompRange1Main,9,0,COUNTA([6]!CompRange1Main)-COUNTA(#REF!),1)</definedName>
    <definedName name="forecast" localSheetId="22" hidden="1">OFFSET([8]!CompRange1Main,9,0,COUNTA([8]!CompRange1Main)-COUNTA(#REF!),1)</definedName>
    <definedName name="forecast" hidden="1">OFFSET([6]!CompRange1Main,9,0,COUNTA([6]!CompRange1Main)-COUNTA(#REF!),1)</definedName>
    <definedName name="fou" localSheetId="29">'[70]FES  ATLAS'!#REF!</definedName>
    <definedName name="fou" localSheetId="31">'[70]FES  ATLAS'!#REF!</definedName>
    <definedName name="fou" localSheetId="28">'[70]FES  ATLAS'!#REF!</definedName>
    <definedName name="fou" localSheetId="35">'[70]FES  ATLAS'!#REF!</definedName>
    <definedName name="fou">'[70]FES  ATLAS'!#REF!</definedName>
    <definedName name="FP" localSheetId="29">#REF!</definedName>
    <definedName name="FP" localSheetId="31">#REF!</definedName>
    <definedName name="FP" localSheetId="28">#REF!</definedName>
    <definedName name="FP" localSheetId="35">#REF!</definedName>
    <definedName name="FP">#REF!</definedName>
    <definedName name="fp_0802">#N/A</definedName>
    <definedName name="FP_Aout">#N/A</definedName>
    <definedName name="fpaout" localSheetId="18">[6]!fpaout</definedName>
    <definedName name="fpaout" localSheetId="25">[6]!fpaout</definedName>
    <definedName name="fpaout" localSheetId="29">[6]!fpaout</definedName>
    <definedName name="fpaout" localSheetId="31">[6]!fpaout</definedName>
    <definedName name="fpaout" localSheetId="15">[6]!fpaout</definedName>
    <definedName name="fpaout" localSheetId="13">[6]!fpaout</definedName>
    <definedName name="fpaout" localSheetId="19">[7]!fpaout</definedName>
    <definedName name="fpaout" localSheetId="17">[6]!fpaout</definedName>
    <definedName name="fpaout" localSheetId="12">[6]!fpaout</definedName>
    <definedName name="fpaout" localSheetId="22">[8]!fpaout</definedName>
    <definedName name="fpaout">[6]!fpaout</definedName>
    <definedName name="fq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 localSheetId="18">#REF!</definedName>
    <definedName name="FraisRaccAbon" localSheetId="25">#REF!</definedName>
    <definedName name="FraisRaccAbon" localSheetId="29">#REF!</definedName>
    <definedName name="FraisRaccAbon" localSheetId="31">#REF!</definedName>
    <definedName name="FraisRaccAbon" localSheetId="15">#REF!</definedName>
    <definedName name="FraisRaccAbon" localSheetId="13">#REF!</definedName>
    <definedName name="FraisRaccAbon" localSheetId="17">#REF!</definedName>
    <definedName name="FraisRaccAbon" localSheetId="12">#REF!</definedName>
    <definedName name="FraisRaccAbon" localSheetId="22">#REF!</definedName>
    <definedName name="FraisRaccAbon" localSheetId="28">#REF!</definedName>
    <definedName name="FraisRaccAbon" localSheetId="35">#REF!</definedName>
    <definedName name="FraisRaccAbon">#REF!</definedName>
    <definedName name="FraisRaccAbon___0">#N/A</definedName>
    <definedName name="FraisRaccAbon___12">#N/A</definedName>
    <definedName name="FraisRaccAbon___14">#N/A</definedName>
    <definedName name="FraisRaccAbon___16">#N/A</definedName>
    <definedName name="FraisRaccAbon___2">#N/A</definedName>
    <definedName name="FraisRaccAbon___25">#N/A</definedName>
    <definedName name="FraisRaccAbon___26">#N/A</definedName>
    <definedName name="FraisRaccAbon___27">#N/A</definedName>
    <definedName name="FraisRaccAbon___4">#N/A</definedName>
    <definedName name="FraisRaccAbon___5">#N/A</definedName>
    <definedName name="FraisRaccAbon___7">#N/A</definedName>
    <definedName name="Frank" localSheetId="28" hidden="1">{#N/A,#N/A,TRUE,"Cover sheet";#N/A,#N/A,TRUE,"DCF analysis";#N/A,#N/A,TRUE,"WACC calculation"}</definedName>
    <definedName name="Frank" localSheetId="35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de" localSheetId="18" hidden="1">#REF!</definedName>
    <definedName name="frde" localSheetId="25" hidden="1">#REF!</definedName>
    <definedName name="frde" localSheetId="29" hidden="1">#REF!</definedName>
    <definedName name="frde" localSheetId="31" hidden="1">#REF!</definedName>
    <definedName name="frde" localSheetId="15" hidden="1">#REF!</definedName>
    <definedName name="frde" localSheetId="13" hidden="1">#REF!</definedName>
    <definedName name="frde" localSheetId="17" hidden="1">#REF!</definedName>
    <definedName name="frde" localSheetId="12" hidden="1">#REF!</definedName>
    <definedName name="frde" localSheetId="22" hidden="1">#REF!</definedName>
    <definedName name="frde" localSheetId="28" hidden="1">#REF!</definedName>
    <definedName name="frde" localSheetId="35" hidden="1">#REF!</definedName>
    <definedName name="frde" hidden="1">#REF!</definedName>
    <definedName name="fre">[105]frs!$H$2:$H$4535</definedName>
    <definedName name="FSDFSDF" localSheetId="18" hidden="1">[86]RSG!#REF!</definedName>
    <definedName name="FSDFSDF" localSheetId="29" hidden="1">[86]RSG!#REF!</definedName>
    <definedName name="FSDFSDF" localSheetId="31" hidden="1">[86]RSG!#REF!</definedName>
    <definedName name="FSDFSDF" localSheetId="15" hidden="1">[86]RSG!#REF!</definedName>
    <definedName name="FSDFSDF" localSheetId="13" hidden="1">[86]RSG!#REF!</definedName>
    <definedName name="FSDFSDF" localSheetId="17" hidden="1">[86]RSG!#REF!</definedName>
    <definedName name="FSDFSDF" localSheetId="12" hidden="1">[86]RSG!#REF!</definedName>
    <definedName name="FSDFSDF" localSheetId="22" hidden="1">[86]RSG!#REF!</definedName>
    <definedName name="FSDFSDF" localSheetId="28" hidden="1">[86]RSG!#REF!</definedName>
    <definedName name="FSDFSDF" localSheetId="35" hidden="1">[86]RSG!#REF!</definedName>
    <definedName name="FSDFSDF" hidden="1">[86]RSG!#REF!</definedName>
    <definedName name="FSDSG">#N/A</definedName>
    <definedName name="fsgf">#N/A</definedName>
    <definedName name="FSGHFS">#N/A</definedName>
    <definedName name="FTK" localSheetId="29">#REF!</definedName>
    <definedName name="FTK" localSheetId="31">#REF!</definedName>
    <definedName name="FTK" localSheetId="28">#REF!</definedName>
    <definedName name="FTK" localSheetId="35">#REF!</definedName>
    <definedName name="FTK">#REF!</definedName>
    <definedName name="fuffuy" localSheetId="28" hidden="1">{#N/A,#N/A,FALSE,"Cover";"outputs total",#N/A,FALSE,"Outputs"}</definedName>
    <definedName name="fuffuy" localSheetId="35" hidden="1">{#N/A,#N/A,FALSE,"Cover";"outputs total",#N/A,FALSE,"Outputs"}</definedName>
    <definedName name="fuffuy" hidden="1">{#N/A,#N/A,FALSE,"Cover";"outputs total",#N/A,FALSE,"Outputs"}</definedName>
    <definedName name="fukfy">#N/A</definedName>
    <definedName name="FX_TOGGLE" hidden="1">[106]Toggles!$I$2</definedName>
    <definedName name="FXCurrencies" hidden="1">[106]Toggles!$H$3:$J$11</definedName>
    <definedName name="fyukf">#N/A</definedName>
    <definedName name="fzrs" localSheetId="18">[6]!fzrs</definedName>
    <definedName name="fzrs" localSheetId="25">[6]!fzrs</definedName>
    <definedName name="fzrs" localSheetId="29">[6]!fzrs</definedName>
    <definedName name="fzrs" localSheetId="31">[6]!fzrs</definedName>
    <definedName name="fzrs" localSheetId="15">[6]!fzrs</definedName>
    <definedName name="fzrs" localSheetId="13">[6]!fzrs</definedName>
    <definedName name="fzrs" localSheetId="19">[7]!fzrs</definedName>
    <definedName name="fzrs" localSheetId="17">[6]!fzrs</definedName>
    <definedName name="fzrs" localSheetId="12">[6]!fzrs</definedName>
    <definedName name="fzrs" localSheetId="22">[8]!fzrs</definedName>
    <definedName name="fzrs">[6]!fzrs</definedName>
    <definedName name="G" localSheetId="18">#REF!</definedName>
    <definedName name="G" localSheetId="25">#REF!</definedName>
    <definedName name="G" localSheetId="29">#REF!</definedName>
    <definedName name="G" localSheetId="31">#REF!</definedName>
    <definedName name="G" localSheetId="15">#REF!</definedName>
    <definedName name="G" localSheetId="13">#REF!</definedName>
    <definedName name="G" localSheetId="17">#REF!</definedName>
    <definedName name="G" localSheetId="12">#REF!</definedName>
    <definedName name="G" localSheetId="22">#REF!</definedName>
    <definedName name="G" localSheetId="28">#REF!</definedName>
    <definedName name="G" localSheetId="35">#REF!</definedName>
    <definedName name="G">#REF!</definedName>
    <definedName name="G___0">#N/A</definedName>
    <definedName name="G___12">#N/A</definedName>
    <definedName name="G___14">#N/A</definedName>
    <definedName name="G___16">#N/A</definedName>
    <definedName name="G___2">#N/A</definedName>
    <definedName name="G___25">#N/A</definedName>
    <definedName name="G___26">#N/A</definedName>
    <definedName name="G___27">#N/A</definedName>
    <definedName name="G___4">#N/A</definedName>
    <definedName name="G___5">#N/A</definedName>
    <definedName name="G___7">#N/A</definedName>
    <definedName name="G_Terminaux_SIM" localSheetId="18">#REF!</definedName>
    <definedName name="G_Terminaux_SIM" localSheetId="25">#REF!</definedName>
    <definedName name="G_Terminaux_SIM" localSheetId="29">#REF!</definedName>
    <definedName name="G_Terminaux_SIM" localSheetId="31">#REF!</definedName>
    <definedName name="G_Terminaux_SIM" localSheetId="15">#REF!</definedName>
    <definedName name="G_Terminaux_SIM" localSheetId="13">#REF!</definedName>
    <definedName name="G_Terminaux_SIM" localSheetId="17">#REF!</definedName>
    <definedName name="G_Terminaux_SIM" localSheetId="12">#REF!</definedName>
    <definedName name="G_Terminaux_SIM" localSheetId="22">#REF!</definedName>
    <definedName name="G_Terminaux_SIM" localSheetId="28">#REF!</definedName>
    <definedName name="G_Terminaux_SIM" localSheetId="35">#REF!</definedName>
    <definedName name="G_Terminaux_SIM">#REF!</definedName>
    <definedName name="G_Terminaux_SIM___0">#N/A</definedName>
    <definedName name="G_Terminaux_SIM___12">#N/A</definedName>
    <definedName name="G_Terminaux_SIM___14">#N/A</definedName>
    <definedName name="G_Terminaux_SIM___16">#N/A</definedName>
    <definedName name="G_Terminaux_SIM___2">#N/A</definedName>
    <definedName name="G_Terminaux_SIM___26">#N/A</definedName>
    <definedName name="G_Terminaux_SIM___27">#N/A</definedName>
    <definedName name="G_Terminaux_SIM___5">#N/A</definedName>
    <definedName name="G_Terminaux_SIM___7">#N/A</definedName>
    <definedName name="gaga" localSheetId="28" hidden="1">{#N/A,#N/A,TRUE,"Cover sheet";#N/A,#N/A,TRUE,"INPUTS";#N/A,#N/A,TRUE,"OUTPUTS";#N/A,#N/A,TRUE,"VALUATION"}</definedName>
    <definedName name="gaga" localSheetId="35" hidden="1">{#N/A,#N/A,TRUE,"Cover sheet";#N/A,#N/A,TRUE,"INPUTS";#N/A,#N/A,TRUE,"OUTPUTS";#N/A,#N/A,TRUE,"VALUATION"}</definedName>
    <definedName name="gaga" hidden="1">{#N/A,#N/A,TRUE,"Cover sheet";#N/A,#N/A,TRUE,"INPUTS";#N/A,#N/A,TRUE,"OUTPUTS";#N/A,#N/A,TRUE,"VALUATION"}</definedName>
    <definedName name="GBP" localSheetId="18">#REF!</definedName>
    <definedName name="GBP" localSheetId="25">#REF!</definedName>
    <definedName name="GBP" localSheetId="29">#REF!</definedName>
    <definedName name="GBP" localSheetId="31">#REF!</definedName>
    <definedName name="GBP" localSheetId="15">#REF!</definedName>
    <definedName name="GBP" localSheetId="13">#REF!</definedName>
    <definedName name="GBP" localSheetId="17">#REF!</definedName>
    <definedName name="GBP" localSheetId="12">#REF!</definedName>
    <definedName name="GBP" localSheetId="22">#REF!</definedName>
    <definedName name="GBP" localSheetId="28">#REF!</definedName>
    <definedName name="GBP" localSheetId="35">#REF!</definedName>
    <definedName name="GBP">#REF!</definedName>
    <definedName name="gdf">#N/A</definedName>
    <definedName name="gdfch">#N/A</definedName>
    <definedName name="gdfdh">#N/A</definedName>
    <definedName name="gdfgfg" localSheetId="18">#REF!</definedName>
    <definedName name="gdfgfg" localSheetId="25">#REF!</definedName>
    <definedName name="gdfgfg" localSheetId="29">#REF!</definedName>
    <definedName name="gdfgfg" localSheetId="31">#REF!</definedName>
    <definedName name="gdfgfg" localSheetId="15">#REF!</definedName>
    <definedName name="gdfgfg" localSheetId="13">#REF!</definedName>
    <definedName name="gdfgfg" localSheetId="17">#REF!</definedName>
    <definedName name="gdfgfg" localSheetId="12">#REF!</definedName>
    <definedName name="gdfgfg" localSheetId="22">#REF!</definedName>
    <definedName name="gdfgfg" localSheetId="28">#REF!</definedName>
    <definedName name="gdfgfg" localSheetId="35">#REF!</definedName>
    <definedName name="gdfgfg">#REF!</definedName>
    <definedName name="GDFH" localSheetId="18">[6]!GDFH</definedName>
    <definedName name="GDFH" localSheetId="25">[6]!GDFH</definedName>
    <definedName name="GDFH" localSheetId="29">[6]!GDFH</definedName>
    <definedName name="GDFH" localSheetId="31">[6]!GDFH</definedName>
    <definedName name="GDFH" localSheetId="15">[6]!GDFH</definedName>
    <definedName name="GDFH" localSheetId="13">[6]!GDFH</definedName>
    <definedName name="GDFH" localSheetId="19">[7]!GDFH</definedName>
    <definedName name="GDFH" localSheetId="17">[6]!GDFH</definedName>
    <definedName name="GDFH" localSheetId="12">[6]!GDFH</definedName>
    <definedName name="GDFH" localSheetId="22">[8]!GDFH</definedName>
    <definedName name="GDFH">[6]!GDFH</definedName>
    <definedName name="gdfjfg" localSheetId="18">[6]!gdfjfg</definedName>
    <definedName name="gdfjfg" localSheetId="25">[6]!gdfjfg</definedName>
    <definedName name="gdfjfg" localSheetId="29">[6]!gdfjfg</definedName>
    <definedName name="gdfjfg" localSheetId="31">[6]!gdfjfg</definedName>
    <definedName name="gdfjfg" localSheetId="15">[6]!gdfjfg</definedName>
    <definedName name="gdfjfg" localSheetId="13">[6]!gdfjfg</definedName>
    <definedName name="gdfjfg" localSheetId="19">[7]!gdfjfg</definedName>
    <definedName name="gdfjfg" localSheetId="17">[6]!gdfjfg</definedName>
    <definedName name="gdfjfg" localSheetId="12">[6]!gdfjfg</definedName>
    <definedName name="gdfjfg" localSheetId="22">[8]!gdfjfg</definedName>
    <definedName name="gdfjfg">[6]!gdfjfg</definedName>
    <definedName name="gdfr">#N/A</definedName>
    <definedName name="gdhdj" localSheetId="18">[6]!gdhdj</definedName>
    <definedName name="gdhdj" localSheetId="25">[6]!gdhdj</definedName>
    <definedName name="gdhdj" localSheetId="29">[6]!gdhdj</definedName>
    <definedName name="gdhdj" localSheetId="31">[6]!gdhdj</definedName>
    <definedName name="gdhdj" localSheetId="15">[6]!gdhdj</definedName>
    <definedName name="gdhdj" localSheetId="13">[6]!gdhdj</definedName>
    <definedName name="gdhdj" localSheetId="19">[7]!gdhdj</definedName>
    <definedName name="gdhdj" localSheetId="17">[6]!gdhdj</definedName>
    <definedName name="gdhdj" localSheetId="12">[6]!gdhdj</definedName>
    <definedName name="gdhdj" localSheetId="22">[8]!gdhdj</definedName>
    <definedName name="gdhdj">[6]!gdhdj</definedName>
    <definedName name="gdhdt">#N/A</definedName>
    <definedName name="GDHG">#N/A</definedName>
    <definedName name="gdhj">#N/A</definedName>
    <definedName name="gdhjf">#N/A</definedName>
    <definedName name="gdsfg" localSheetId="28" hidden="1">{#N/A,#N/A,TRUE,"Cover sheet";#N/A,#N/A,TRUE,"INPUTS";#N/A,#N/A,TRUE,"OUTPUTS";#N/A,#N/A,TRUE,"VALUATION"}</definedName>
    <definedName name="gdsfg" localSheetId="35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dsh" localSheetId="18">[6]!gdsh</definedName>
    <definedName name="gdsh" localSheetId="25">[6]!gdsh</definedName>
    <definedName name="gdsh" localSheetId="29">[6]!gdsh</definedName>
    <definedName name="gdsh" localSheetId="31">[6]!gdsh</definedName>
    <definedName name="gdsh" localSheetId="15">[6]!gdsh</definedName>
    <definedName name="gdsh" localSheetId="13">[6]!gdsh</definedName>
    <definedName name="gdsh" localSheetId="19">[7]!gdsh</definedName>
    <definedName name="gdsh" localSheetId="17">[6]!gdsh</definedName>
    <definedName name="gdsh" localSheetId="12">[6]!gdsh</definedName>
    <definedName name="gdsh" localSheetId="22">[8]!gdsh</definedName>
    <definedName name="gdsh">[6]!gdsh</definedName>
    <definedName name="ge" localSheetId="29">'[107]Fixe -1'!#REF!</definedName>
    <definedName name="ge" localSheetId="31">'[107]Fixe -1'!#REF!</definedName>
    <definedName name="ge" localSheetId="28">'[107]Fixe -1'!#REF!</definedName>
    <definedName name="ge" localSheetId="35">'[107]Fixe -1'!#REF!</definedName>
    <definedName name="ge">'[107]Fixe -1'!#REF!</definedName>
    <definedName name="ger">#N/A</definedName>
    <definedName name="gf" localSheetId="25" hidden="1">{"IS",#N/A,FALSE,"IS";"RPTIS",#N/A,FALSE,"RPTIS";"STATS",#N/A,FALSE,"STATS";"CELL",#N/A,FALSE,"CELL";"BS",#N/A,FALSE,"BS"}</definedName>
    <definedName name="gf" localSheetId="19" hidden="1">{"IS",#N/A,FALSE,"IS";"RPTIS",#N/A,FALSE,"RPTIS";"STATS",#N/A,FALSE,"STATS";"CELL",#N/A,FALSE,"CELL";"BS",#N/A,FALSE,"BS"}</definedName>
    <definedName name="gf" localSheetId="22" hidden="1">{"IS",#N/A,FALSE,"IS";"RPTIS",#N/A,FALSE,"RPTIS";"STATS",#N/A,FALSE,"STATS";"CELL",#N/A,FALSE,"CELL";"BS",#N/A,FALSE,"BS"}</definedName>
    <definedName name="gf" localSheetId="28" hidden="1">{"IS",#N/A,FALSE,"IS";"RPTIS",#N/A,FALSE,"RPTIS";"STATS",#N/A,FALSE,"STATS";"CELL",#N/A,FALSE,"CELL";"BS",#N/A,FALSE,"BS"}</definedName>
    <definedName name="gf" localSheetId="35" hidden="1">{"IS",#N/A,FALSE,"IS";"RPTIS",#N/A,FALSE,"RPTIS";"STATS",#N/A,FALSE,"STATS";"CELL",#N/A,FALSE,"CELL";"BS",#N/A,FALSE,"BS"}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 localSheetId="18">[6]!gfdgfdfhfgh</definedName>
    <definedName name="gfdgfdfhfgh" localSheetId="25">[6]!gfdgfdfhfgh</definedName>
    <definedName name="gfdgfdfhfgh" localSheetId="29">[6]!gfdgfdfhfgh</definedName>
    <definedName name="gfdgfdfhfgh" localSheetId="31">[6]!gfdgfdfhfgh</definedName>
    <definedName name="gfdgfdfhfgh" localSheetId="15">[6]!gfdgfdfhfgh</definedName>
    <definedName name="gfdgfdfhfgh" localSheetId="13">[6]!gfdgfdfhfgh</definedName>
    <definedName name="gfdgfdfhfgh" localSheetId="19">[7]!gfdgfdfhfgh</definedName>
    <definedName name="gfdgfdfhfgh" localSheetId="17">[6]!gfdgfdfhfgh</definedName>
    <definedName name="gfdgfdfhfgh" localSheetId="12">[6]!gfdgfdfhfgh</definedName>
    <definedName name="gfdgfdfhfgh" localSheetId="22">[8]!gfdgfdfhfgh</definedName>
    <definedName name="gfdgfdfhfgh">[6]!gfdgfdfhfgh</definedName>
    <definedName name="gfdgfdfhfgh___0" localSheetId="25">HardCodedEquityCost___12</definedName>
    <definedName name="gfdgfdfhfgh___0" localSheetId="19">HardCodedEquityCost___12</definedName>
    <definedName name="gfdgfdfhfgh___0" localSheetId="22">HardCodedEquityCost___12</definedName>
    <definedName name="gfdgfdfhfgh___0" localSheetId="28">HardCodedEquityCost___12</definedName>
    <definedName name="gfdgfdfhfgh___0" localSheetId="35">HardCodedEquityCost___12</definedName>
    <definedName name="gfdgfdfhfgh___0">HardCodedEquityCost___12</definedName>
    <definedName name="gfdgfdfhfgh___12" localSheetId="25">HardCodedEquityCost___16</definedName>
    <definedName name="gfdgfdfhfgh___12" localSheetId="19">HardCodedEquityCost___16</definedName>
    <definedName name="gfdgfdfhfgh___12" localSheetId="22">HardCodedEquityCost___16</definedName>
    <definedName name="gfdgfdfhfgh___12" localSheetId="28">HardCodedEquityCost___16</definedName>
    <definedName name="gfdgfdfhfgh___12" localSheetId="35">HardCodedEquityCost___16</definedName>
    <definedName name="gfdgfdfhfgh___12">HardCodedEquityCost___16</definedName>
    <definedName name="gfdgfdfhfgh___14" localSheetId="25">HardCodedATDebtCost___0</definedName>
    <definedName name="gfdgfdfhfgh___14" localSheetId="19">HardCodedATDebtCost___0</definedName>
    <definedName name="gfdgfdfhfgh___14" localSheetId="22">HardCodedATDebtCost___0</definedName>
    <definedName name="gfdgfdfhfgh___14" localSheetId="28">HardCodedATDebtCost___0</definedName>
    <definedName name="gfdgfdfhfgh___14" localSheetId="35">HardCodedATDebtCost___0</definedName>
    <definedName name="gfdgfdfhfgh___14">HardCodedATDebtCost___0</definedName>
    <definedName name="gfdgfdfhfgh___16" localSheetId="25">HardCodedATDebtCost___12</definedName>
    <definedName name="gfdgfdfhfgh___16" localSheetId="19">HardCodedATDebtCost___12</definedName>
    <definedName name="gfdgfdfhfgh___16" localSheetId="22">HardCodedATDebtCost___12</definedName>
    <definedName name="gfdgfdfhfgh___16" localSheetId="28">HardCodedATDebtCost___12</definedName>
    <definedName name="gfdgfdfhfgh___16" localSheetId="35">HardCodedATDebtCost___12</definedName>
    <definedName name="gfdgfdfhfgh___16">HardCodedATDebtCost___12</definedName>
    <definedName name="gfdgfdfhfgh___2">#N/A</definedName>
    <definedName name="gfdgfdfhfgh___23" localSheetId="25">HardCodedATDebtCost___2</definedName>
    <definedName name="gfdgfdfhfgh___23" localSheetId="19">HardCodedATDebtCost___2</definedName>
    <definedName name="gfdgfdfhfgh___23" localSheetId="22">HardCodedATDebtCost___2</definedName>
    <definedName name="gfdgfdfhfgh___23" localSheetId="28">HardCodedATDebtCost___2</definedName>
    <definedName name="gfdgfdfhfgh___23" localSheetId="35">HardCodedATDebtCost___2</definedName>
    <definedName name="gfdgfdfhfgh___23">HardCodedATDebtCost___2</definedName>
    <definedName name="gfdgfdfhfgh___25" localSheetId="25">HardCodedATDebtCost___5</definedName>
    <definedName name="gfdgfdfhfgh___25" localSheetId="19">HardCodedATDebtCost___5</definedName>
    <definedName name="gfdgfdfhfgh___25" localSheetId="22">HardCodedATDebtCost___5</definedName>
    <definedName name="gfdgfdfhfgh___25" localSheetId="28">HardCodedATDebtCost___5</definedName>
    <definedName name="gfdgfdfhfgh___25" localSheetId="35">HardCodedATDebtCost___5</definedName>
    <definedName name="gfdgfdfhfgh___25">HardCodedATDebtCost___5</definedName>
    <definedName name="gfdgfdfhfgh___26" localSheetId="25">HardCodedEquityCost___14</definedName>
    <definedName name="gfdgfdfhfgh___26" localSheetId="19">HardCodedEquityCost___14</definedName>
    <definedName name="gfdgfdfhfgh___26" localSheetId="22">HardCodedEquityCost___14</definedName>
    <definedName name="gfdgfdfhfgh___26" localSheetId="28">HardCodedEquityCost___14</definedName>
    <definedName name="gfdgfdfhfgh___26" localSheetId="35">HardCodedEquityCost___14</definedName>
    <definedName name="gfdgfdfhfgh___26">HardCodedEquityCost___14</definedName>
    <definedName name="gfdgfdfhfgh___27" localSheetId="25">HardCodedEquityCost___4</definedName>
    <definedName name="gfdgfdfhfgh___27" localSheetId="19">HardCodedEquityCost___4</definedName>
    <definedName name="gfdgfdfhfgh___27" localSheetId="22">HardCodedEquityCost___4</definedName>
    <definedName name="gfdgfdfhfgh___27" localSheetId="28">HardCodedEquityCost___4</definedName>
    <definedName name="gfdgfdfhfgh___27" localSheetId="35">HardCodedEquityCost___4</definedName>
    <definedName name="gfdgfdfhfgh___27">HardCodedEquityCost___4</definedName>
    <definedName name="gfdgfdfhfgh___3" localSheetId="25">HardCodedATDebtCost___7</definedName>
    <definedName name="gfdgfdfhfgh___3" localSheetId="19">HardCodedATDebtCost___7</definedName>
    <definedName name="gfdgfdfhfgh___3" localSheetId="22">HardCodedATDebtCost___7</definedName>
    <definedName name="gfdgfdfhfgh___3" localSheetId="28">HardCodedATDebtCost___7</definedName>
    <definedName name="gfdgfdfhfgh___3" localSheetId="35">HardCodedATDebtCost___7</definedName>
    <definedName name="gfdgfdfhfgh___3">HardCodedATDebtCost___7</definedName>
    <definedName name="gfdgfdfhfgh___4" localSheetId="25">HardCodedATDebtCost___27</definedName>
    <definedName name="gfdgfdfhfgh___4" localSheetId="19">HardCodedATDebtCost___27</definedName>
    <definedName name="gfdgfdfhfgh___4" localSheetId="22">HardCodedATDebtCost___27</definedName>
    <definedName name="gfdgfdfhfgh___4" localSheetId="28">HardCodedATDebtCost___27</definedName>
    <definedName name="gfdgfdfhfgh___4" localSheetId="35">HardCodedATDebtCost___27</definedName>
    <definedName name="gfdgfdfhfgh___4">HardCodedATDebtCost___27</definedName>
    <definedName name="gfdgfdfhfgh___5" localSheetId="25">HardCodedEquityCost___25</definedName>
    <definedName name="gfdgfdfhfgh___5" localSheetId="19">HardCodedEquityCost___25</definedName>
    <definedName name="gfdgfdfhfgh___5" localSheetId="22">HardCodedEquityCost___25</definedName>
    <definedName name="gfdgfdfhfgh___5" localSheetId="28">HardCodedEquityCost___25</definedName>
    <definedName name="gfdgfdfhfgh___5" localSheetId="35">HardCodedEquityCost___25</definedName>
    <definedName name="gfdgfdfhfgh___5">HardCodedEquityCost___25</definedName>
    <definedName name="gfdgfdfhfgh___6" localSheetId="25">HardCodedATDebtCost___14</definedName>
    <definedName name="gfdgfdfhfgh___6" localSheetId="19">HardCodedATDebtCost___14</definedName>
    <definedName name="gfdgfdfhfgh___6" localSheetId="22">HardCodedATDebtCost___14</definedName>
    <definedName name="gfdgfdfhfgh___6" localSheetId="28">HardCodedATDebtCost___14</definedName>
    <definedName name="gfdgfdfhfgh___6" localSheetId="35">HardCodedATDebtCost___14</definedName>
    <definedName name="gfdgfdfhfgh___6">HardCodedATDebtCost___14</definedName>
    <definedName name="gfdgfdfhfgh___7" localSheetId="25">HardCodedEquityCost___2</definedName>
    <definedName name="gfdgfdfhfgh___7" localSheetId="19">HardCodedEquityCost___2</definedName>
    <definedName name="gfdgfdfhfgh___7" localSheetId="22">HardCodedEquityCost___2</definedName>
    <definedName name="gfdgfdfhfgh___7" localSheetId="28">HardCodedEquityCost___2</definedName>
    <definedName name="gfdgfdfhfgh___7" localSheetId="35">HardCodedEquityCost___2</definedName>
    <definedName name="gfdgfdfhfgh___7">HardCodedEquityCost___2</definedName>
    <definedName name="gfdgfdfhfgh___9" localSheetId="25">HardCodedATDebtCost___26</definedName>
    <definedName name="gfdgfdfhfgh___9" localSheetId="19">HardCodedATDebtCost___26</definedName>
    <definedName name="gfdgfdfhfgh___9" localSheetId="22">HardCodedATDebtCost___26</definedName>
    <definedName name="gfdgfdfhfgh___9" localSheetId="28">HardCodedATDebtCost___26</definedName>
    <definedName name="gfdgfdfhfgh___9" localSheetId="35">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name="gfhfdl" localSheetId="18">[6]!gfhfdl</definedName>
    <definedName name="gfhfdl" localSheetId="25">[6]!gfhfdl</definedName>
    <definedName name="gfhfdl" localSheetId="29">[6]!gfhfdl</definedName>
    <definedName name="gfhfdl" localSheetId="31">[6]!gfhfdl</definedName>
    <definedName name="gfhfdl" localSheetId="15">[6]!gfhfdl</definedName>
    <definedName name="gfhfdl" localSheetId="13">[6]!gfhfdl</definedName>
    <definedName name="gfhfdl" localSheetId="19">[7]!gfhfdl</definedName>
    <definedName name="gfhfdl" localSheetId="17">[6]!gfhfdl</definedName>
    <definedName name="gfhfdl" localSheetId="12">[6]!gfhfdl</definedName>
    <definedName name="gfhfdl" localSheetId="22">[8]!gfhfdl</definedName>
    <definedName name="gfhfdl">[6]!gfhfdl</definedName>
    <definedName name="gfhfj" localSheetId="18">[6]!gfhfj</definedName>
    <definedName name="gfhfj" localSheetId="25">[6]!gfhfj</definedName>
    <definedName name="gfhfj" localSheetId="29">[6]!gfhfj</definedName>
    <definedName name="gfhfj" localSheetId="31">[6]!gfhfj</definedName>
    <definedName name="gfhfj" localSheetId="15">[6]!gfhfj</definedName>
    <definedName name="gfhfj" localSheetId="13">[6]!gfhfj</definedName>
    <definedName name="gfhfj" localSheetId="19">[7]!gfhfj</definedName>
    <definedName name="gfhfj" localSheetId="17">[6]!gfhfj</definedName>
    <definedName name="gfhfj" localSheetId="12">[6]!gfhfj</definedName>
    <definedName name="gfhfj" localSheetId="22">[8]!gfhfj</definedName>
    <definedName name="gfhfj">[6]!gfhfj</definedName>
    <definedName name="gfhgdcvh">#N/A</definedName>
    <definedName name="GFHGFHFGH" localSheetId="29">#REF!</definedName>
    <definedName name="GFHGFHFGH" localSheetId="31">#REF!</definedName>
    <definedName name="GFHGFHFGH" localSheetId="28">#REF!</definedName>
    <definedName name="GFHGFHFGH" localSheetId="35">#REF!</definedName>
    <definedName name="GFHGFHFGH">#REF!</definedName>
    <definedName name="gfhkd">#N/A</definedName>
    <definedName name="gfjf">#N/A</definedName>
    <definedName name="GFYT" localSheetId="18">#REF!</definedName>
    <definedName name="GFYT" localSheetId="25">#REF!</definedName>
    <definedName name="GFYT" localSheetId="29">#REF!</definedName>
    <definedName name="GFYT" localSheetId="31">#REF!</definedName>
    <definedName name="GFYT" localSheetId="15">#REF!</definedName>
    <definedName name="GFYT" localSheetId="13">#REF!</definedName>
    <definedName name="GFYT" localSheetId="17">#REF!</definedName>
    <definedName name="GFYT" localSheetId="12">#REF!</definedName>
    <definedName name="GFYT" localSheetId="22">#REF!</definedName>
    <definedName name="GFYT" localSheetId="28">#REF!</definedName>
    <definedName name="GFYT" localSheetId="35">#REF!</definedName>
    <definedName name="GFYT">#REF!</definedName>
    <definedName name="GFYT___0">#N/A</definedName>
    <definedName name="GFYT___12">#N/A</definedName>
    <definedName name="GFYT___6">#N/A</definedName>
    <definedName name="gg" localSheetId="18">[6]!gg</definedName>
    <definedName name="gg" localSheetId="25">[6]!gg</definedName>
    <definedName name="gg" localSheetId="29">[6]!gg</definedName>
    <definedName name="gg" localSheetId="31">[6]!gg</definedName>
    <definedName name="gg" localSheetId="15">[6]!gg</definedName>
    <definedName name="gg" localSheetId="13">[6]!gg</definedName>
    <definedName name="gg" localSheetId="19">[7]!gg</definedName>
    <definedName name="gg" localSheetId="17">[6]!gg</definedName>
    <definedName name="gg" localSheetId="12">[6]!gg</definedName>
    <definedName name="gg" localSheetId="22">[8]!gg</definedName>
    <definedName name="gg">[6]!gg</definedName>
    <definedName name="GGDHK" localSheetId="18">[6]!GGDHK</definedName>
    <definedName name="GGDHK" localSheetId="25">[6]!GGDHK</definedName>
    <definedName name="GGDHK" localSheetId="29">[6]!GGDHK</definedName>
    <definedName name="GGDHK" localSheetId="31">[6]!GGDHK</definedName>
    <definedName name="GGDHK" localSheetId="15">[6]!GGDHK</definedName>
    <definedName name="GGDHK" localSheetId="13">[6]!GGDHK</definedName>
    <definedName name="GGDHK" localSheetId="19">[7]!GGDHK</definedName>
    <definedName name="GGDHK" localSheetId="17">[6]!GGDHK</definedName>
    <definedName name="GGDHK" localSheetId="12">[6]!GGDHK</definedName>
    <definedName name="GGDHK" localSheetId="22">[8]!GGDHK</definedName>
    <definedName name="GGDHK">[6]!GGDHK</definedName>
    <definedName name="ggf" localSheetId="28" hidden="1">{"comps",#N/A,FALSE,"comps";"notes",#N/A,FALSE,"comps"}</definedName>
    <definedName name="ggf" localSheetId="35" hidden="1">{"comps",#N/A,FALSE,"comps";"notes",#N/A,FALSE,"comps"}</definedName>
    <definedName name="ggf" hidden="1">{"comps",#N/A,FALSE,"comps";"notes",#N/A,FALSE,"comps"}</definedName>
    <definedName name="ggg">#N/A</definedName>
    <definedName name="GH" localSheetId="18">[6]!GH</definedName>
    <definedName name="GH" localSheetId="25">[6]!GH</definedName>
    <definedName name="GH" localSheetId="29">[6]!GH</definedName>
    <definedName name="GH" localSheetId="31">[6]!GH</definedName>
    <definedName name="GH" localSheetId="15">[6]!GH</definedName>
    <definedName name="GH" localSheetId="13">[6]!GH</definedName>
    <definedName name="GH" localSheetId="19">[7]!GH</definedName>
    <definedName name="GH" localSheetId="17">[6]!GH</definedName>
    <definedName name="GH" localSheetId="12">[6]!GH</definedName>
    <definedName name="GH" localSheetId="22">[8]!GH</definedName>
    <definedName name="GH">[6]!GH</definedName>
    <definedName name="ghb" localSheetId="29">#REF!</definedName>
    <definedName name="ghb" localSheetId="31">#REF!</definedName>
    <definedName name="ghb" localSheetId="28">#REF!</definedName>
    <definedName name="ghb" localSheetId="35">#REF!</definedName>
    <definedName name="ghb">#REF!</definedName>
    <definedName name="GHD">#N/A</definedName>
    <definedName name="GHDZBGD?DJ">#N/A</definedName>
    <definedName name="GHFBD" localSheetId="18">[6]!GHFBD</definedName>
    <definedName name="GHFBD" localSheetId="25">[6]!GHFBD</definedName>
    <definedName name="GHFBD" localSheetId="29">[6]!GHFBD</definedName>
    <definedName name="GHFBD" localSheetId="31">[6]!GHFBD</definedName>
    <definedName name="GHFBD" localSheetId="15">[6]!GHFBD</definedName>
    <definedName name="GHFBD" localSheetId="13">[6]!GHFBD</definedName>
    <definedName name="GHFBD" localSheetId="19">[7]!GHFBD</definedName>
    <definedName name="GHFBD" localSheetId="17">[6]!GHFBD</definedName>
    <definedName name="GHFBD" localSheetId="12">[6]!GHFBD</definedName>
    <definedName name="GHFBD" localSheetId="22">[8]!GHFBD</definedName>
    <definedName name="GHFBD">[6]!GHFBD</definedName>
    <definedName name="GHFHGFHTYU" localSheetId="29">#REF!</definedName>
    <definedName name="GHFHGFHTYU" localSheetId="31">#REF!</definedName>
    <definedName name="GHFHGFHTYU" localSheetId="28">#REF!</definedName>
    <definedName name="GHFHGFHTYU" localSheetId="35">#REF!</definedName>
    <definedName name="GHFHGFHTYU">#REF!</definedName>
    <definedName name="ghfj">#N/A</definedName>
    <definedName name="ghfjd" localSheetId="18">[6]!ghfjd</definedName>
    <definedName name="ghfjd" localSheetId="25">[6]!ghfjd</definedName>
    <definedName name="ghfjd" localSheetId="29">[6]!ghfjd</definedName>
    <definedName name="ghfjd" localSheetId="31">[6]!ghfjd</definedName>
    <definedName name="ghfjd" localSheetId="15">[6]!ghfjd</definedName>
    <definedName name="ghfjd" localSheetId="13">[6]!ghfjd</definedName>
    <definedName name="ghfjd" localSheetId="19">[7]!ghfjd</definedName>
    <definedName name="ghfjd" localSheetId="17">[6]!ghfjd</definedName>
    <definedName name="ghfjd" localSheetId="12">[6]!ghfjd</definedName>
    <definedName name="ghfjd" localSheetId="22">[8]!ghfjd</definedName>
    <definedName name="ghfjd">[6]!ghfjd</definedName>
    <definedName name="GHFK">#N/A</definedName>
    <definedName name="ghghgh" localSheetId="28" hidden="1">{#N/A,#N/A,TRUE,"Cover sheet";#N/A,#N/A,TRUE,"DCF analysis";#N/A,#N/A,TRUE,"WACC calculation"}</definedName>
    <definedName name="ghghgh" localSheetId="35" hidden="1">{#N/A,#N/A,TRUE,"Cover sheet";#N/A,#N/A,TRUE,"DCF analysis";#N/A,#N/A,TRUE,"WACC calculation"}</definedName>
    <definedName name="ghghgh" hidden="1">{#N/A,#N/A,TRUE,"Cover sheet";#N/A,#N/A,TRUE,"DCF analysis";#N/A,#N/A,TRUE,"WACC calculation"}</definedName>
    <definedName name="ghghghghg" localSheetId="28" hidden="1">{#N/A,#N/A,TRUE,"Cover sheet";#N/A,#N/A,TRUE,"DCF analysis";#N/A,#N/A,TRUE,"WACC calculation"}</definedName>
    <definedName name="ghghghghg" localSheetId="35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localSheetId="2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localSheetId="35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jdfgjdf" localSheetId="18">#REF!</definedName>
    <definedName name="gjdfgjdf" localSheetId="25">#REF!</definedName>
    <definedName name="gjdfgjdf" localSheetId="29">#REF!</definedName>
    <definedName name="gjdfgjdf" localSheetId="31">#REF!</definedName>
    <definedName name="gjdfgjdf" localSheetId="15">#REF!</definedName>
    <definedName name="gjdfgjdf" localSheetId="13">#REF!</definedName>
    <definedName name="gjdfgjdf" localSheetId="17">#REF!</definedName>
    <definedName name="gjdfgjdf" localSheetId="12">#REF!</definedName>
    <definedName name="gjdfgjdf" localSheetId="22">#REF!</definedName>
    <definedName name="gjdfgjdf" localSheetId="28">#REF!</definedName>
    <definedName name="gjdfgjdf" localSheetId="35">#REF!</definedName>
    <definedName name="gjdfgjdf">#REF!</definedName>
    <definedName name="gjhgjhg" localSheetId="18">#REF!</definedName>
    <definedName name="gjhgjhg" localSheetId="25">#REF!</definedName>
    <definedName name="gjhgjhg" localSheetId="29">#REF!</definedName>
    <definedName name="gjhgjhg" localSheetId="31">#REF!</definedName>
    <definedName name="gjhgjhg" localSheetId="15">#REF!</definedName>
    <definedName name="gjhgjhg" localSheetId="13">#REF!</definedName>
    <definedName name="gjhgjhg" localSheetId="17">#REF!</definedName>
    <definedName name="gjhgjhg" localSheetId="12">#REF!</definedName>
    <definedName name="gjhgjhg" localSheetId="22">#REF!</definedName>
    <definedName name="gjhgjhg" localSheetId="28">#REF!</definedName>
    <definedName name="gjhgjhg" localSheetId="35">#REF!</definedName>
    <definedName name="gjhgjhg">#REF!</definedName>
    <definedName name="gogo" localSheetId="28" hidden="1">{#N/A,#N/A,TRUE,"Cover sheet";#N/A,#N/A,TRUE,"INPUTS";#N/A,#N/A,TRUE,"OUTPUTS";#N/A,#N/A,TRUE,"VALUATION"}</definedName>
    <definedName name="gogo" localSheetId="35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LD">#N/A</definedName>
    <definedName name="goodbye" localSheetId="2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3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 localSheetId="29">#REF!</definedName>
    <definedName name="GPRS" localSheetId="31">#REF!</definedName>
    <definedName name="GPRS" localSheetId="28">#REF!</definedName>
    <definedName name="GPRS" localSheetId="35">#REF!</definedName>
    <definedName name="GPRS">#REF!</definedName>
    <definedName name="GRE">#N/A</definedName>
    <definedName name="Group_leader_salary" localSheetId="18">#REF!</definedName>
    <definedName name="Group_leader_salary" localSheetId="25">#REF!</definedName>
    <definedName name="Group_leader_salary" localSheetId="29">#REF!</definedName>
    <definedName name="Group_leader_salary" localSheetId="31">#REF!</definedName>
    <definedName name="Group_leader_salary" localSheetId="15">#REF!</definedName>
    <definedName name="Group_leader_salary" localSheetId="13">#REF!</definedName>
    <definedName name="Group_leader_salary" localSheetId="17">#REF!</definedName>
    <definedName name="Group_leader_salary" localSheetId="12">#REF!</definedName>
    <definedName name="Group_leader_salary" localSheetId="22">#REF!</definedName>
    <definedName name="Group_leader_salary" localSheetId="28">#REF!</definedName>
    <definedName name="Group_leader_salary" localSheetId="35">#REF!</definedName>
    <definedName name="Group_leader_salary">#REF!</definedName>
    <definedName name="GROWTH">#N/A</definedName>
    <definedName name="grt">#N/A</definedName>
    <definedName name="gs" localSheetId="25" hidden="1">{"IS",#N/A,FALSE,"IS";"RPTIS",#N/A,FALSE,"RPTIS";"STATS",#N/A,FALSE,"STATS";"CELL",#N/A,FALSE,"CELL";"BS",#N/A,FALSE,"BS"}</definedName>
    <definedName name="gs" localSheetId="19" hidden="1">{"IS",#N/A,FALSE,"IS";"RPTIS",#N/A,FALSE,"RPTIS";"STATS",#N/A,FALSE,"STATS";"CELL",#N/A,FALSE,"CELL";"BS",#N/A,FALSE,"BS"}</definedName>
    <definedName name="gs" localSheetId="22" hidden="1">{"IS",#N/A,FALSE,"IS";"RPTIS",#N/A,FALSE,"RPTIS";"STATS",#N/A,FALSE,"STATS";"CELL",#N/A,FALSE,"CELL";"BS",#N/A,FALSE,"BS"}</definedName>
    <definedName name="gs" localSheetId="28" hidden="1">{"IS",#N/A,FALSE,"IS";"RPTIS",#N/A,FALSE,"RPTIS";"STATS",#N/A,FALSE,"STATS";"CELL",#N/A,FALSE,"CELL";"BS",#N/A,FALSE,"BS"}</definedName>
    <definedName name="gs" localSheetId="35" hidden="1">{"IS",#N/A,FALSE,"IS";"RPTIS",#N/A,FALSE,"RPTIS";"STATS",#N/A,FALSE,"STATS";"CELL",#N/A,FALSE,"CELL";"BS",#N/A,FALSE,"BS"}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 localSheetId="29">#REF!</definedName>
    <definedName name="GSM" localSheetId="31">#REF!</definedName>
    <definedName name="GSM" localSheetId="28">#REF!</definedName>
    <definedName name="GSM" localSheetId="35">#REF!</definedName>
    <definedName name="GSM">#REF!</definedName>
    <definedName name="GSN_HARDWARE" localSheetId="29">#REF!</definedName>
    <definedName name="GSN_HARDWARE" localSheetId="31">#REF!</definedName>
    <definedName name="GSN_HARDWARE" localSheetId="28">#REF!</definedName>
    <definedName name="GSN_HARDWARE" localSheetId="35">#REF!</definedName>
    <definedName name="GSN_HARDWARE">#REF!</definedName>
    <definedName name="GSN_SOFTWARE" localSheetId="29">#REF!</definedName>
    <definedName name="GSN_SOFTWARE" localSheetId="31">#REF!</definedName>
    <definedName name="GSN_SOFTWARE" localSheetId="28">#REF!</definedName>
    <definedName name="GSN_SOFTWARE" localSheetId="35">#REF!</definedName>
    <definedName name="GSN_SOFTWARE">#REF!</definedName>
    <definedName name="GSS" localSheetId="29">#REF!</definedName>
    <definedName name="GSS" localSheetId="31">#REF!</definedName>
    <definedName name="GSS" localSheetId="28">#REF!</definedName>
    <definedName name="GSS" localSheetId="35">#REF!</definedName>
    <definedName name="GSS">#REF!</definedName>
    <definedName name="GSTG" localSheetId="29">#REF!</definedName>
    <definedName name="GSTG" localSheetId="31">#REF!</definedName>
    <definedName name="GSTG" localSheetId="28">#REF!</definedName>
    <definedName name="GSTG" localSheetId="35">#REF!</definedName>
    <definedName name="GSTG">#REF!</definedName>
    <definedName name="gtf" localSheetId="18" hidden="1">#REF!</definedName>
    <definedName name="gtf" localSheetId="25" hidden="1">#REF!</definedName>
    <definedName name="gtf" localSheetId="29" hidden="1">#REF!</definedName>
    <definedName name="gtf" localSheetId="31" hidden="1">#REF!</definedName>
    <definedName name="gtf" localSheetId="15" hidden="1">#REF!</definedName>
    <definedName name="gtf" localSheetId="13" hidden="1">#REF!</definedName>
    <definedName name="gtf" localSheetId="17" hidden="1">#REF!</definedName>
    <definedName name="gtf" localSheetId="12" hidden="1">#REF!</definedName>
    <definedName name="gtf" localSheetId="22" hidden="1">#REF!</definedName>
    <definedName name="gtf" localSheetId="28" hidden="1">#REF!</definedName>
    <definedName name="gtf" localSheetId="35" hidden="1">#REF!</definedName>
    <definedName name="gtf" hidden="1">#REF!</definedName>
    <definedName name="gtfr" localSheetId="18" hidden="1">#REF!</definedName>
    <definedName name="gtfr" localSheetId="25" hidden="1">#REF!</definedName>
    <definedName name="gtfr" localSheetId="29" hidden="1">#REF!</definedName>
    <definedName name="gtfr" localSheetId="31" hidden="1">#REF!</definedName>
    <definedName name="gtfr" localSheetId="15" hidden="1">#REF!</definedName>
    <definedName name="gtfr" localSheetId="13" hidden="1">#REF!</definedName>
    <definedName name="gtfr" localSheetId="17" hidden="1">#REF!</definedName>
    <definedName name="gtfr" localSheetId="12" hidden="1">#REF!</definedName>
    <definedName name="gtfr" localSheetId="22" hidden="1">#REF!</definedName>
    <definedName name="gtfr" localSheetId="28" hidden="1">#REF!</definedName>
    <definedName name="gtfr" localSheetId="35" hidden="1">#REF!</definedName>
    <definedName name="gtfr" hidden="1">#REF!</definedName>
    <definedName name="gtr" localSheetId="25" hidden="1">{"print 1",#N/A,FALSE,"PrimeCo PCS";"print 2",#N/A,FALSE,"PrimeCo PCS";"valuation",#N/A,FALSE,"PrimeCo PCS"}</definedName>
    <definedName name="gtr" localSheetId="19" hidden="1">{"print 1",#N/A,FALSE,"PrimeCo PCS";"print 2",#N/A,FALSE,"PrimeCo PCS";"valuation",#N/A,FALSE,"PrimeCo PCS"}</definedName>
    <definedName name="gtr" localSheetId="22" hidden="1">{"print 1",#N/A,FALSE,"PrimeCo PCS";"print 2",#N/A,FALSE,"PrimeCo PCS";"valuation",#N/A,FALSE,"PrimeCo PCS"}</definedName>
    <definedName name="gtr" localSheetId="28" hidden="1">{"print 1",#N/A,FALSE,"PrimeCo PCS";"print 2",#N/A,FALSE,"PrimeCo PCS";"valuation",#N/A,FALSE,"PrimeCo PCS"}</definedName>
    <definedName name="gtr" localSheetId="35" hidden="1">{"print 1",#N/A,FALSE,"PrimeCo PCS";"print 2",#N/A,FALSE,"PrimeCo PCS";"valuation",#N/A,FALSE,"PrimeCo PCS"}</definedName>
    <definedName name="gtr" hidden="1">{"print 1",#N/A,FALSE,"PrimeCo PCS";"print 2",#N/A,FALSE,"PrimeCo PCS";"valuation",#N/A,FALSE,"PrimeCo PCS"}</definedName>
    <definedName name="h" localSheetId="2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localSheetId="35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 localSheetId="18">#REF!</definedName>
    <definedName name="H_Roaming_Internat" localSheetId="25">#REF!</definedName>
    <definedName name="H_Roaming_Internat" localSheetId="29">#REF!</definedName>
    <definedName name="H_Roaming_Internat" localSheetId="31">#REF!</definedName>
    <definedName name="H_Roaming_Internat" localSheetId="15">#REF!</definedName>
    <definedName name="H_Roaming_Internat" localSheetId="13">#REF!</definedName>
    <definedName name="H_Roaming_Internat" localSheetId="17">#REF!</definedName>
    <definedName name="H_Roaming_Internat" localSheetId="12">#REF!</definedName>
    <definedName name="H_Roaming_Internat" localSheetId="22">#REF!</definedName>
    <definedName name="H_Roaming_Internat" localSheetId="28">#REF!</definedName>
    <definedName name="H_Roaming_Internat" localSheetId="35">#REF!</definedName>
    <definedName name="H_Roaming_Internat">#REF!</definedName>
    <definedName name="H_Roaming_Internat___0">#N/A</definedName>
    <definedName name="H_Roaming_Internat___12">#N/A</definedName>
    <definedName name="H_Roaming_Internat___14">#N/A</definedName>
    <definedName name="H_Roaming_Internat___16">#N/A</definedName>
    <definedName name="H_Roaming_Internat___2">#N/A</definedName>
    <definedName name="H_Roaming_Internat___26">#N/A</definedName>
    <definedName name="H_Roaming_Internat___27">#N/A</definedName>
    <definedName name="H_Roaming_Internat___5">#N/A</definedName>
    <definedName name="H_Roaming_Internat___7">#N/A</definedName>
    <definedName name="HANNA1" localSheetId="18">#REF!</definedName>
    <definedName name="HANNA1" localSheetId="25">#REF!</definedName>
    <definedName name="HANNA1" localSheetId="29">#REF!</definedName>
    <definedName name="HANNA1" localSheetId="31">#REF!</definedName>
    <definedName name="HANNA1" localSheetId="15">#REF!</definedName>
    <definedName name="HANNA1" localSheetId="13">#REF!</definedName>
    <definedName name="HANNA1" localSheetId="17">#REF!</definedName>
    <definedName name="HANNA1" localSheetId="12">#REF!</definedName>
    <definedName name="HANNA1" localSheetId="22">#REF!</definedName>
    <definedName name="HANNA1" localSheetId="28">#REF!</definedName>
    <definedName name="HANNA1" localSheetId="35">#REF!</definedName>
    <definedName name="HANNA1">#REF!</definedName>
    <definedName name="HANNA2" localSheetId="18">#REF!</definedName>
    <definedName name="HANNA2" localSheetId="25">#REF!</definedName>
    <definedName name="HANNA2" localSheetId="29">#REF!</definedName>
    <definedName name="HANNA2" localSheetId="31">#REF!</definedName>
    <definedName name="HANNA2" localSheetId="15">#REF!</definedName>
    <definedName name="HANNA2" localSheetId="13">#REF!</definedName>
    <definedName name="HANNA2" localSheetId="17">#REF!</definedName>
    <definedName name="HANNA2" localSheetId="12">#REF!</definedName>
    <definedName name="HANNA2" localSheetId="22">#REF!</definedName>
    <definedName name="HANNA2" localSheetId="28">#REF!</definedName>
    <definedName name="HANNA2" localSheetId="35">#REF!</definedName>
    <definedName name="HANNA2">#REF!</definedName>
    <definedName name="HardCodeBaseTBF" localSheetId="18">#REF!</definedName>
    <definedName name="HardCodeBaseTBF" localSheetId="25">#REF!</definedName>
    <definedName name="HardCodeBaseTBF" localSheetId="29">#REF!</definedName>
    <definedName name="HardCodeBaseTBF" localSheetId="31">#REF!</definedName>
    <definedName name="HardCodeBaseTBF" localSheetId="15">#REF!</definedName>
    <definedName name="HardCodeBaseTBF" localSheetId="13">#REF!</definedName>
    <definedName name="HardCodeBaseTBF" localSheetId="17">#REF!</definedName>
    <definedName name="HardCodeBaseTBF" localSheetId="12">#REF!</definedName>
    <definedName name="HardCodeBaseTBF" localSheetId="22">#REF!</definedName>
    <definedName name="HardCodeBaseTBF" localSheetId="28">#REF!</definedName>
    <definedName name="HardCodeBaseTBF" localSheetId="35">#REF!</definedName>
    <definedName name="HardCodeBaseTBF">#REF!</definedName>
    <definedName name="HardCodeBaseTBF___0">#N/A</definedName>
    <definedName name="HardCodeBaseTBF___12">#N/A</definedName>
    <definedName name="HardCodeBaseTBF___14">#N/A</definedName>
    <definedName name="HardCodeBaseTBF___16">#N/A</definedName>
    <definedName name="HardCodeBaseTBF___2">#N/A</definedName>
    <definedName name="HardCodeBaseTBF___25">#N/A</definedName>
    <definedName name="HardCodeBaseTBF___26">#N/A</definedName>
    <definedName name="HardCodeBaseTBF___27">#N/A</definedName>
    <definedName name="HardCodeBaseTBF___4">#N/A</definedName>
    <definedName name="HardCodeBaseTBF___5">#N/A</definedName>
    <definedName name="HardCodeBaseTBF___7">#N/A</definedName>
    <definedName name="HardCodedATDebtCost" localSheetId="18">#REF!</definedName>
    <definedName name="HardCodedATDebtCost" localSheetId="25">#REF!</definedName>
    <definedName name="HardCodedATDebtCost" localSheetId="29">#REF!</definedName>
    <definedName name="HardCodedATDebtCost" localSheetId="31">#REF!</definedName>
    <definedName name="HardCodedATDebtCost" localSheetId="15">#REF!</definedName>
    <definedName name="HardCodedATDebtCost" localSheetId="13">#REF!</definedName>
    <definedName name="HardCodedATDebtCost" localSheetId="17">#REF!</definedName>
    <definedName name="HardCodedATDebtCost" localSheetId="12">#REF!</definedName>
    <definedName name="HardCodedATDebtCost" localSheetId="22">#REF!</definedName>
    <definedName name="HardCodedATDebtCost" localSheetId="28">#REF!</definedName>
    <definedName name="HardCodedATDebtCost" localSheetId="35">#REF!</definedName>
    <definedName name="HardCodedATDebtCost">#REF!</definedName>
    <definedName name="HardCodedATDebtCost___0">#N/A</definedName>
    <definedName name="HardCodedATDebtCost___12">#N/A</definedName>
    <definedName name="HardCodedATDebtCost___14">#N/A</definedName>
    <definedName name="HardCodedATDebtCost___16">#N/A</definedName>
    <definedName name="HardCodedATDebtCost___2">#N/A</definedName>
    <definedName name="HardCodedATDebtCost___25">#N/A</definedName>
    <definedName name="HardCodedATDebtCost___26">#N/A</definedName>
    <definedName name="HardCodedATDebtCost___27">#N/A</definedName>
    <definedName name="HardCodedATDebtCost___4">#N/A</definedName>
    <definedName name="HardCodedATDebtCost___5">#N/A</definedName>
    <definedName name="HardCodedATDebtCost___7">#N/A</definedName>
    <definedName name="HardCodedEquityCost" localSheetId="18">#REF!</definedName>
    <definedName name="HardCodedEquityCost" localSheetId="25">#REF!</definedName>
    <definedName name="HardCodedEquityCost" localSheetId="29">#REF!</definedName>
    <definedName name="HardCodedEquityCost" localSheetId="31">#REF!</definedName>
    <definedName name="HardCodedEquityCost" localSheetId="15">#REF!</definedName>
    <definedName name="HardCodedEquityCost" localSheetId="13">#REF!</definedName>
    <definedName name="HardCodedEquityCost" localSheetId="17">#REF!</definedName>
    <definedName name="HardCodedEquityCost" localSheetId="12">#REF!</definedName>
    <definedName name="HardCodedEquityCost" localSheetId="22">#REF!</definedName>
    <definedName name="HardCodedEquityCost" localSheetId="28">#REF!</definedName>
    <definedName name="HardCodedEquityCost" localSheetId="35">#REF!</definedName>
    <definedName name="HardCodedEquityCost">#REF!</definedName>
    <definedName name="HardCodedEquityCost___0">#N/A</definedName>
    <definedName name="HardCodedEquityCost___12">#N/A</definedName>
    <definedName name="HardCodedEquityCost___14">#N/A</definedName>
    <definedName name="HardCodedEquityCost___16">#N/A</definedName>
    <definedName name="HardCodedEquityCost___2">#N/A</definedName>
    <definedName name="HardCodedEquityCost___25">#N/A</definedName>
    <definedName name="HardCodedEquityCost___26">#N/A</definedName>
    <definedName name="HardCodedEquityCost___27">#N/A</definedName>
    <definedName name="HardCodedEquityCost___4">#N/A</definedName>
    <definedName name="HardCodedEquityCost___5">#N/A</definedName>
    <definedName name="HardCodedEquityCost___7">#N/A</definedName>
    <definedName name="HardCodedWACC" localSheetId="18">#REF!</definedName>
    <definedName name="HardCodedWACC" localSheetId="25">#REF!</definedName>
    <definedName name="HardCodedWACC" localSheetId="29">#REF!</definedName>
    <definedName name="HardCodedWACC" localSheetId="31">#REF!</definedName>
    <definedName name="HardCodedWACC" localSheetId="15">#REF!</definedName>
    <definedName name="HardCodedWACC" localSheetId="13">#REF!</definedName>
    <definedName name="HardCodedWACC" localSheetId="17">#REF!</definedName>
    <definedName name="HardCodedWACC" localSheetId="12">#REF!</definedName>
    <definedName name="HardCodedWACC" localSheetId="22">#REF!</definedName>
    <definedName name="HardCodedWACC" localSheetId="28">#REF!</definedName>
    <definedName name="HardCodedWACC" localSheetId="35">#REF!</definedName>
    <definedName name="HardCodedWACC">#REF!</definedName>
    <definedName name="HardCodedWACC___0">#N/A</definedName>
    <definedName name="HardCodedWACC___12">#N/A</definedName>
    <definedName name="HardCodedWACC___14">#N/A</definedName>
    <definedName name="HardCodedWACC___16">#N/A</definedName>
    <definedName name="HardCodedWACC___2">#N/A</definedName>
    <definedName name="HardCodedWACC___25">#N/A</definedName>
    <definedName name="HardCodedWACC___26">#N/A</definedName>
    <definedName name="HardCodedWACC___27">#N/A</definedName>
    <definedName name="HardCodedWACC___4">#N/A</definedName>
    <definedName name="HardCodedWACC___5">#N/A</definedName>
    <definedName name="HardCodedWACC___7">#N/A</definedName>
    <definedName name="hassan" localSheetId="29">#REF!</definedName>
    <definedName name="hassan" localSheetId="31">#REF!</definedName>
    <definedName name="hassan" localSheetId="28">#REF!</definedName>
    <definedName name="hassan" localSheetId="35">#REF!</definedName>
    <definedName name="hassan">#REF!</definedName>
    <definedName name="HC" localSheetId="29">#REF!</definedName>
    <definedName name="HC" localSheetId="31">#REF!</definedName>
    <definedName name="HC" localSheetId="28">#REF!</definedName>
    <definedName name="HC" localSheetId="35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 localSheetId="29">#REF!</definedName>
    <definedName name="header" localSheetId="31">#REF!</definedName>
    <definedName name="header" localSheetId="28">#REF!</definedName>
    <definedName name="header" localSheetId="35">#REF!</definedName>
    <definedName name="header">#REF!</definedName>
    <definedName name="hegch" localSheetId="18">[6]!hegch</definedName>
    <definedName name="hegch" localSheetId="25">[6]!hegch</definedName>
    <definedName name="hegch" localSheetId="29">[6]!hegch</definedName>
    <definedName name="hegch" localSheetId="31">[6]!hegch</definedName>
    <definedName name="hegch" localSheetId="15">[6]!hegch</definedName>
    <definedName name="hegch" localSheetId="13">[6]!hegch</definedName>
    <definedName name="hegch" localSheetId="19">[7]!hegch</definedName>
    <definedName name="hegch" localSheetId="17">[6]!hegch</definedName>
    <definedName name="hegch" localSheetId="12">[6]!hegch</definedName>
    <definedName name="hegch" localSheetId="22">[8]!hegch</definedName>
    <definedName name="hegch">[6]!hegch</definedName>
    <definedName name="héhé" localSheetId="18">#N/A</definedName>
    <definedName name="héhé" localSheetId="25">Activation!Tx_intérêt_par_an/#REF!</definedName>
    <definedName name="héhé" localSheetId="29">'Amortissment boa'!Tx_intérêt_par_an/#REF!</definedName>
    <definedName name="héhé" localSheetId="31">'Amortissment Cboa'!Tx_intérêt_par_an/#REF!</definedName>
    <definedName name="héhé" localSheetId="15">#N/A</definedName>
    <definedName name="héhé" localSheetId="13">#N/A</definedName>
    <definedName name="héhé" localSheetId="19">#N/A</definedName>
    <definedName name="héhé" localSheetId="17">#N/A</definedName>
    <definedName name="héhé" localSheetId="12">#N/A</definedName>
    <definedName name="héhé" localSheetId="22">[5]!Tx_intérêt_par_an/#REF!</definedName>
    <definedName name="héhé" localSheetId="28">'SYNTHESE BOA'!Tx_intérêt_par_an/#REF!</definedName>
    <definedName name="héhé" localSheetId="35">'Taxe 5%'!Tx_intérêt_par_an/#REF!</definedName>
    <definedName name="héhé">[0]!Tx_intérêt_par_an/#REF!</definedName>
    <definedName name="héhé___0">#N/A</definedName>
    <definedName name="héhé___12">NA()</definedName>
    <definedName name="héhé___14">#N/A</definedName>
    <definedName name="héhé___16">#N/A</definedName>
    <definedName name="héhé___2">NA()</definedName>
    <definedName name="héhé___23">#N/A</definedName>
    <definedName name="héhé___25">#N/A</definedName>
    <definedName name="héhé___26">#N/A</definedName>
    <definedName name="héhé___27">#N/A</definedName>
    <definedName name="héhé___4">#N/A</definedName>
    <definedName name="héhé___5">#N/A</definedName>
    <definedName name="héhé___6">NA()</definedName>
    <definedName name="héhé___7">#N/A</definedName>
    <definedName name="héhé___9">#N/A</definedName>
    <definedName name="hello" localSheetId="28" hidden="1">{#N/A,#N/A,FALSE,"Cover";"outputs total",#N/A,FALSE,"Outputs"}</definedName>
    <definedName name="hello" localSheetId="35" hidden="1">{#N/A,#N/A,FALSE,"Cover";"outputs total",#N/A,FALSE,"Outputs"}</definedName>
    <definedName name="hello" hidden="1">{#N/A,#N/A,FALSE,"Cover";"outputs total",#N/A,FALSE,"Outputs"}</definedName>
    <definedName name="hfdgdt" localSheetId="18">[6]!hfdgdt</definedName>
    <definedName name="hfdgdt" localSheetId="25">[6]!hfdgdt</definedName>
    <definedName name="hfdgdt" localSheetId="29">[6]!hfdgdt</definedName>
    <definedName name="hfdgdt" localSheetId="31">[6]!hfdgdt</definedName>
    <definedName name="hfdgdt" localSheetId="15">[6]!hfdgdt</definedName>
    <definedName name="hfdgdt" localSheetId="13">[6]!hfdgdt</definedName>
    <definedName name="hfdgdt" localSheetId="19">[7]!hfdgdt</definedName>
    <definedName name="hfdgdt" localSheetId="17">[6]!hfdgdt</definedName>
    <definedName name="hfdgdt" localSheetId="12">[6]!hfdgdt</definedName>
    <definedName name="hfdgdt" localSheetId="22">[8]!hfdgdt</definedName>
    <definedName name="hfdgdt">[6]!hfdgdt</definedName>
    <definedName name="HFG">#N/A</definedName>
    <definedName name="hfgfkv">#N/A</definedName>
    <definedName name="hfgjd" localSheetId="18">[6]!hfgjd</definedName>
    <definedName name="hfgjd" localSheetId="25">[6]!hfgjd</definedName>
    <definedName name="hfgjd" localSheetId="29">[6]!hfgjd</definedName>
    <definedName name="hfgjd" localSheetId="31">[6]!hfgjd</definedName>
    <definedName name="hfgjd" localSheetId="15">[6]!hfgjd</definedName>
    <definedName name="hfgjd" localSheetId="13">[6]!hfgjd</definedName>
    <definedName name="hfgjd" localSheetId="19">[7]!hfgjd</definedName>
    <definedName name="hfgjd" localSheetId="17">[6]!hfgjd</definedName>
    <definedName name="hfgjd" localSheetId="12">[6]!hfgjd</definedName>
    <definedName name="hfgjd" localSheetId="22">[8]!hfgjd</definedName>
    <definedName name="hfgjd">[6]!hfgjd</definedName>
    <definedName name="hfgjdhb" localSheetId="18">[6]!hfgjdhb</definedName>
    <definedName name="hfgjdhb" localSheetId="25">[6]!hfgjdhb</definedName>
    <definedName name="hfgjdhb" localSheetId="29">[6]!hfgjdhb</definedName>
    <definedName name="hfgjdhb" localSheetId="31">[6]!hfgjdhb</definedName>
    <definedName name="hfgjdhb" localSheetId="15">[6]!hfgjdhb</definedName>
    <definedName name="hfgjdhb" localSheetId="13">[6]!hfgjdhb</definedName>
    <definedName name="hfgjdhb" localSheetId="19">[7]!hfgjdhb</definedName>
    <definedName name="hfgjdhb" localSheetId="17">[6]!hfgjdhb</definedName>
    <definedName name="hfgjdhb" localSheetId="12">[6]!hfgjdhb</definedName>
    <definedName name="hfgjdhb" localSheetId="22">[8]!hfgjdhb</definedName>
    <definedName name="hfgjdhb">[6]!hfgjdhb</definedName>
    <definedName name="hfgjdk" localSheetId="18">[6]!hfgjdk</definedName>
    <definedName name="hfgjdk" localSheetId="25">[6]!hfgjdk</definedName>
    <definedName name="hfgjdk" localSheetId="29">[6]!hfgjdk</definedName>
    <definedName name="hfgjdk" localSheetId="31">[6]!hfgjdk</definedName>
    <definedName name="hfgjdk" localSheetId="15">[6]!hfgjdk</definedName>
    <definedName name="hfgjdk" localSheetId="13">[6]!hfgjdk</definedName>
    <definedName name="hfgjdk" localSheetId="19">[7]!hfgjdk</definedName>
    <definedName name="hfgjdk" localSheetId="17">[6]!hfgjdk</definedName>
    <definedName name="hfgjdk" localSheetId="12">[6]!hfgjdk</definedName>
    <definedName name="hfgjdk" localSheetId="22">[8]!hfgjdk</definedName>
    <definedName name="hfgjdk">[6]!hfgjdk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#N/A</definedName>
    <definedName name="hfjfh">#N/A</definedName>
    <definedName name="hfjfk">#N/A</definedName>
    <definedName name="hfjhfk" localSheetId="18">[6]!hfjhfk</definedName>
    <definedName name="hfjhfk" localSheetId="25">[6]!hfjhfk</definedName>
    <definedName name="hfjhfk" localSheetId="29">[6]!hfjhfk</definedName>
    <definedName name="hfjhfk" localSheetId="31">[6]!hfjhfk</definedName>
    <definedName name="hfjhfk" localSheetId="15">[6]!hfjhfk</definedName>
    <definedName name="hfjhfk" localSheetId="13">[6]!hfjhfk</definedName>
    <definedName name="hfjhfk" localSheetId="19">[7]!hfjhfk</definedName>
    <definedName name="hfjhfk" localSheetId="17">[6]!hfjhfk</definedName>
    <definedName name="hfjhfk" localSheetId="12">[6]!hfjhfk</definedName>
    <definedName name="hfjhfk" localSheetId="22">[8]!hfjhfk</definedName>
    <definedName name="hfjhfk">[6]!hfjhfk</definedName>
    <definedName name="HFJHGN" localSheetId="18">[6]!HFJHGN</definedName>
    <definedName name="HFJHGN" localSheetId="25">[6]!HFJHGN</definedName>
    <definedName name="HFJHGN" localSheetId="29">[6]!HFJHGN</definedName>
    <definedName name="HFJHGN" localSheetId="31">[6]!HFJHGN</definedName>
    <definedName name="HFJHGN" localSheetId="15">[6]!HFJHGN</definedName>
    <definedName name="HFJHGN" localSheetId="13">[6]!HFJHGN</definedName>
    <definedName name="HFJHGN" localSheetId="19">[7]!HFJHGN</definedName>
    <definedName name="HFJHGN" localSheetId="17">[6]!HFJHGN</definedName>
    <definedName name="HFJHGN" localSheetId="12">[6]!HFJHGN</definedName>
    <definedName name="HFJHGN" localSheetId="22">[8]!HFJHGN</definedName>
    <definedName name="HFJHGN">[6]!HFJHGN</definedName>
    <definedName name="hfsgfx" localSheetId="28" hidden="1">{#N/A,#N/A,FALSE,"Outlook for Month ";#N/A,#N/A,FALSE,"Risk for Month ";#N/A,#N/A,FALSE,"Upside for Month"}</definedName>
    <definedName name="hfsgfx" localSheetId="35" hidden="1">{#N/A,#N/A,FALSE,"Outlook for Month ";#N/A,#N/A,FALSE,"Risk for Month ";#N/A,#N/A,FALSE,"Upside for Month"}</definedName>
    <definedName name="hfsgfx" hidden="1">{#N/A,#N/A,FALSE,"Outlook for Month ";#N/A,#N/A,FALSE,"Risk for Month ";#N/A,#N/A,FALSE,"Upside for Month"}</definedName>
    <definedName name="hgchdb" localSheetId="18">[6]!hgchdb</definedName>
    <definedName name="hgchdb" localSheetId="25">[6]!hgchdb</definedName>
    <definedName name="hgchdb" localSheetId="29">[6]!hgchdb</definedName>
    <definedName name="hgchdb" localSheetId="31">[6]!hgchdb</definedName>
    <definedName name="hgchdb" localSheetId="15">[6]!hgchdb</definedName>
    <definedName name="hgchdb" localSheetId="13">[6]!hgchdb</definedName>
    <definedName name="hgchdb" localSheetId="19">[7]!hgchdb</definedName>
    <definedName name="hgchdb" localSheetId="17">[6]!hgchdb</definedName>
    <definedName name="hgchdb" localSheetId="12">[6]!hgchdb</definedName>
    <definedName name="hgchdb" localSheetId="22">[8]!hgchdb</definedName>
    <definedName name="hgchdb">[6]!hgchdb</definedName>
    <definedName name="HGDF?" localSheetId="18">[6]!HGDF?</definedName>
    <definedName name="HGDF?" localSheetId="25">[6]!HGDF?</definedName>
    <definedName name="HGDF?" localSheetId="29">[6]!HGDF?</definedName>
    <definedName name="HGDF?" localSheetId="31">[6]!HGDF?</definedName>
    <definedName name="HGDF?" localSheetId="15">[6]!HGDF?</definedName>
    <definedName name="HGDF?" localSheetId="13">[6]!HGDF?</definedName>
    <definedName name="HGDF?" localSheetId="19">[7]!HGDF?</definedName>
    <definedName name="HGDF?" localSheetId="17">[6]!HGDF?</definedName>
    <definedName name="HGDF?" localSheetId="12">[6]!HGDF?</definedName>
    <definedName name="HGDF?" localSheetId="22">[8]!HGDF?</definedName>
    <definedName name="HGDF?">[6]!HGDF?</definedName>
    <definedName name="hgdsj" localSheetId="18">[6]!hgdsj</definedName>
    <definedName name="hgdsj" localSheetId="25">[6]!hgdsj</definedName>
    <definedName name="hgdsj" localSheetId="29">[6]!hgdsj</definedName>
    <definedName name="hgdsj" localSheetId="31">[6]!hgdsj</definedName>
    <definedName name="hgdsj" localSheetId="15">[6]!hgdsj</definedName>
    <definedName name="hgdsj" localSheetId="13">[6]!hgdsj</definedName>
    <definedName name="hgdsj" localSheetId="19">[7]!hgdsj</definedName>
    <definedName name="hgdsj" localSheetId="17">[6]!hgdsj</definedName>
    <definedName name="hgdsj" localSheetId="12">[6]!hgdsj</definedName>
    <definedName name="hgdsj" localSheetId="22">[8]!hgdsj</definedName>
    <definedName name="hgdsj">[6]!hgdsj</definedName>
    <definedName name="hgfjd">#N/A</definedName>
    <definedName name="hgfjfjfv" localSheetId="18">[6]!hgfjfjfv</definedName>
    <definedName name="hgfjfjfv" localSheetId="25">[6]!hgfjfjfv</definedName>
    <definedName name="hgfjfjfv" localSheetId="29">[6]!hgfjfjfv</definedName>
    <definedName name="hgfjfjfv" localSheetId="31">[6]!hgfjfjfv</definedName>
    <definedName name="hgfjfjfv" localSheetId="15">[6]!hgfjfjfv</definedName>
    <definedName name="hgfjfjfv" localSheetId="13">[6]!hgfjfjfv</definedName>
    <definedName name="hgfjfjfv" localSheetId="19">[7]!hgfjfjfv</definedName>
    <definedName name="hgfjfjfv" localSheetId="17">[6]!hgfjfjfv</definedName>
    <definedName name="hgfjfjfv" localSheetId="12">[6]!hgfjfjfv</definedName>
    <definedName name="hgfjfjfv" localSheetId="22">[8]!hgfjfjfv</definedName>
    <definedName name="hgfjfjfv">[6]!hgfjfjfv</definedName>
    <definedName name="HGFJNB" localSheetId="18">[6]!HGFJNB</definedName>
    <definedName name="HGFJNB" localSheetId="25">[6]!HGFJNB</definedName>
    <definedName name="HGFJNB" localSheetId="29">[6]!HGFJNB</definedName>
    <definedName name="HGFJNB" localSheetId="31">[6]!HGFJNB</definedName>
    <definedName name="HGFJNB" localSheetId="15">[6]!HGFJNB</definedName>
    <definedName name="HGFJNB" localSheetId="13">[6]!HGFJNB</definedName>
    <definedName name="HGFJNB" localSheetId="19">[7]!HGFJNB</definedName>
    <definedName name="HGFJNB" localSheetId="17">[6]!HGFJNB</definedName>
    <definedName name="HGFJNB" localSheetId="12">[6]!HGFJNB</definedName>
    <definedName name="HGFJNB" localSheetId="22">[8]!HGFJNB</definedName>
    <definedName name="HGFJNB">[6]!HGFJNB</definedName>
    <definedName name="HGFKJBFH">#N/A</definedName>
    <definedName name="hggfdsgj">#N/A</definedName>
    <definedName name="hggh" localSheetId="18">[101]BATIMENT!#REF!</definedName>
    <definedName name="hggh" localSheetId="29">[101]BATIMENT!#REF!</definedName>
    <definedName name="hggh" localSheetId="31">[101]BATIMENT!#REF!</definedName>
    <definedName name="hggh" localSheetId="15">[101]BATIMENT!#REF!</definedName>
    <definedName name="hggh" localSheetId="13">[101]BATIMENT!#REF!</definedName>
    <definedName name="hggh" localSheetId="19">[101]BATIMENT!#REF!</definedName>
    <definedName name="hggh" localSheetId="17">[101]BATIMENT!#REF!</definedName>
    <definedName name="hggh" localSheetId="12">[101]BATIMENT!#REF!</definedName>
    <definedName name="hggh" localSheetId="22">[101]BATIMENT!#REF!</definedName>
    <definedName name="hggh" localSheetId="28">[101]BATIMENT!#REF!</definedName>
    <definedName name="hggh" localSheetId="35">[101]BATIMENT!#REF!</definedName>
    <definedName name="hggh">[101]BATIMENT!#REF!</definedName>
    <definedName name="HGGVFDC">#N/A</definedName>
    <definedName name="hghj" localSheetId="18">#REF!</definedName>
    <definedName name="hghj" localSheetId="25">#REF!</definedName>
    <definedName name="hghj" localSheetId="29">#REF!</definedName>
    <definedName name="hghj" localSheetId="31">#REF!</definedName>
    <definedName name="hghj" localSheetId="15">#REF!</definedName>
    <definedName name="hghj" localSheetId="13">#REF!</definedName>
    <definedName name="hghj" localSheetId="17">#REF!</definedName>
    <definedName name="hghj" localSheetId="12">#REF!</definedName>
    <definedName name="hghj" localSheetId="22">#REF!</definedName>
    <definedName name="hghj" localSheetId="28">#REF!</definedName>
    <definedName name="hghj" localSheetId="35">#REF!</definedName>
    <definedName name="hghj">#REF!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localSheetId="28" hidden="1">{"up stand alones",#N/A,FALSE,"Acquiror"}</definedName>
    <definedName name="hhhsdf" localSheetId="35" hidden="1">{"up stand alones",#N/A,FALSE,"Acquiror"}</definedName>
    <definedName name="hhhsdf" hidden="1">{"up stand alones",#N/A,FALSE,"Acquiror"}</definedName>
    <definedName name="hj" localSheetId="29">'[52]FES  ATLAS'!#REF!</definedName>
    <definedName name="hj" localSheetId="31">'[52]FES  ATLAS'!#REF!</definedName>
    <definedName name="hj" localSheetId="28">'[52]FES  ATLAS'!#REF!</definedName>
    <definedName name="hj" localSheetId="35">'[52]FES  ATLAS'!#REF!</definedName>
    <definedName name="hj">'[52]FES  ATLAS'!#REF!</definedName>
    <definedName name="hjdhf">#N/A</definedName>
    <definedName name="hjkdhfgj" localSheetId="18">[6]!hjkdhfgj</definedName>
    <definedName name="hjkdhfgj" localSheetId="25">[6]!hjkdhfgj</definedName>
    <definedName name="hjkdhfgj" localSheetId="29">[6]!hjkdhfgj</definedName>
    <definedName name="hjkdhfgj" localSheetId="31">[6]!hjkdhfgj</definedName>
    <definedName name="hjkdhfgj" localSheetId="15">[6]!hjkdhfgj</definedName>
    <definedName name="hjkdhfgj" localSheetId="13">[6]!hjkdhfgj</definedName>
    <definedName name="hjkdhfgj" localSheetId="19">[7]!hjkdhfgj</definedName>
    <definedName name="hjkdhfgj" localSheetId="17">[6]!hjkdhfgj</definedName>
    <definedName name="hjkdhfgj" localSheetId="12">[6]!hjkdhfgj</definedName>
    <definedName name="hjkdhfgj" localSheetId="22">[8]!hjkdhfgj</definedName>
    <definedName name="hjkdhfgj">[6]!hjkdhfgj</definedName>
    <definedName name="hjkll" localSheetId="18">#REF!</definedName>
    <definedName name="hjkll" localSheetId="25">#REF!</definedName>
    <definedName name="hjkll" localSheetId="29">#REF!</definedName>
    <definedName name="hjkll" localSheetId="31">#REF!</definedName>
    <definedName name="hjkll" localSheetId="15">#REF!</definedName>
    <definedName name="hjkll" localSheetId="13">#REF!</definedName>
    <definedName name="hjkll" localSheetId="17">#REF!</definedName>
    <definedName name="hjkll" localSheetId="12">#REF!</definedName>
    <definedName name="hjkll" localSheetId="22">#REF!</definedName>
    <definedName name="hjkll" localSheetId="28">#REF!</definedName>
    <definedName name="hjkll" localSheetId="35">#REF!</definedName>
    <definedName name="hjkll">#REF!</definedName>
    <definedName name="hjugr_o">#N/A</definedName>
    <definedName name="hjuuy" localSheetId="18">#REF!</definedName>
    <definedName name="hjuuy" localSheetId="25">#REF!</definedName>
    <definedName name="hjuuy" localSheetId="29">#REF!</definedName>
    <definedName name="hjuuy" localSheetId="31">#REF!</definedName>
    <definedName name="hjuuy" localSheetId="15">#REF!</definedName>
    <definedName name="hjuuy" localSheetId="13">#REF!</definedName>
    <definedName name="hjuuy" localSheetId="17">#REF!</definedName>
    <definedName name="hjuuy" localSheetId="12">#REF!</definedName>
    <definedName name="hjuuy" localSheetId="22">#REF!</definedName>
    <definedName name="hjuuy" localSheetId="28">#REF!</definedName>
    <definedName name="hjuuy" localSheetId="35">#REF!</definedName>
    <definedName name="hjuuy">#REF!</definedName>
    <definedName name="HK" localSheetId="18">#REF!</definedName>
    <definedName name="HK" localSheetId="25">#REF!</definedName>
    <definedName name="HK" localSheetId="29">#REF!</definedName>
    <definedName name="HK" localSheetId="31">#REF!</definedName>
    <definedName name="HK" localSheetId="15">#REF!</definedName>
    <definedName name="HK" localSheetId="13">#REF!</definedName>
    <definedName name="HK" localSheetId="17">#REF!</definedName>
    <definedName name="HK" localSheetId="12">#REF!</definedName>
    <definedName name="HK" localSheetId="22">#REF!</definedName>
    <definedName name="HK" localSheetId="28">#REF!</definedName>
    <definedName name="HK" localSheetId="35">#REF!</definedName>
    <definedName name="HK">#REF!</definedName>
    <definedName name="hkhkf" localSheetId="18">#REF!</definedName>
    <definedName name="hkhkf" localSheetId="25">#REF!</definedName>
    <definedName name="hkhkf" localSheetId="29">#REF!</definedName>
    <definedName name="hkhkf" localSheetId="31">#REF!</definedName>
    <definedName name="hkhkf" localSheetId="15">#REF!</definedName>
    <definedName name="hkhkf" localSheetId="13">#REF!</definedName>
    <definedName name="hkhkf" localSheetId="17">#REF!</definedName>
    <definedName name="hkhkf" localSheetId="12">#REF!</definedName>
    <definedName name="hkhkf" localSheetId="22">#REF!</definedName>
    <definedName name="hkhkf" localSheetId="28">#REF!</definedName>
    <definedName name="hkhkf" localSheetId="35">#REF!</definedName>
    <definedName name="hkhkf">#REF!</definedName>
    <definedName name="hoi" localSheetId="18">[6]!hoi</definedName>
    <definedName name="hoi" localSheetId="25">[6]!hoi</definedName>
    <definedName name="hoi" localSheetId="29">[6]!hoi</definedName>
    <definedName name="hoi" localSheetId="31">[6]!hoi</definedName>
    <definedName name="hoi" localSheetId="15">[6]!hoi</definedName>
    <definedName name="hoi" localSheetId="13">[6]!hoi</definedName>
    <definedName name="hoi" localSheetId="19">[7]!hoi</definedName>
    <definedName name="hoi" localSheetId="17">[6]!hoi</definedName>
    <definedName name="hoi" localSheetId="12">[6]!hoi</definedName>
    <definedName name="hoi" localSheetId="22">[8]!hoi</definedName>
    <definedName name="hoi">[6]!hoi</definedName>
    <definedName name="honor" localSheetId="18">#REF!</definedName>
    <definedName name="honor" localSheetId="25">#REF!</definedName>
    <definedName name="honor" localSheetId="29">#REF!</definedName>
    <definedName name="honor" localSheetId="31">#REF!</definedName>
    <definedName name="honor" localSheetId="15">#REF!</definedName>
    <definedName name="honor" localSheetId="13">#REF!</definedName>
    <definedName name="honor" localSheetId="17">#REF!</definedName>
    <definedName name="honor" localSheetId="12">#REF!</definedName>
    <definedName name="honor" localSheetId="22">#REF!</definedName>
    <definedName name="honor" localSheetId="28">#REF!</definedName>
    <definedName name="honor" localSheetId="35">#REF!</definedName>
    <definedName name="honor">#REF!</definedName>
    <definedName name="hqehqeh">#N/A</definedName>
    <definedName name="hqerhqerh">#N/A</definedName>
    <definedName name="hqethqrtj">#N/A</definedName>
    <definedName name="HSFRZ" localSheetId="18">[6]!HSFRZ</definedName>
    <definedName name="HSFRZ" localSheetId="25">[6]!HSFRZ</definedName>
    <definedName name="HSFRZ" localSheetId="29">[6]!HSFRZ</definedName>
    <definedName name="HSFRZ" localSheetId="31">[6]!HSFRZ</definedName>
    <definedName name="HSFRZ" localSheetId="15">[6]!HSFRZ</definedName>
    <definedName name="HSFRZ" localSheetId="13">[6]!HSFRZ</definedName>
    <definedName name="HSFRZ" localSheetId="19">[7]!HSFRZ</definedName>
    <definedName name="HSFRZ" localSheetId="17">[6]!HSFRZ</definedName>
    <definedName name="HSFRZ" localSheetId="12">[6]!HSFRZ</definedName>
    <definedName name="HSFRZ" localSheetId="22">[8]!HSFRZ</definedName>
    <definedName name="HSFRZ">[6]!HSFRZ</definedName>
    <definedName name="HSGF">#N/A</definedName>
    <definedName name="ht" localSheetId="29">#REF!</definedName>
    <definedName name="ht" localSheetId="31">#REF!</definedName>
    <definedName name="ht" localSheetId="28">#REF!</definedName>
    <definedName name="ht" localSheetId="35">#REF!</definedName>
    <definedName name="ht">#REF!</definedName>
    <definedName name="HTML_CodePage" hidden="1">1252</definedName>
    <definedName name="HTML_Control" localSheetId="25" hidden="1">{"' calendrier 2000'!$A$1:$Q$38"}</definedName>
    <definedName name="HTML_Control" localSheetId="19" hidden="1">{"' calendrier 2000'!$A$1:$Q$38"}</definedName>
    <definedName name="HTML_Control" localSheetId="22" hidden="1">{"' calendrier 2000'!$A$1:$Q$38"}</definedName>
    <definedName name="HTML_Control" localSheetId="28" hidden="1">{"' calendrier 2000'!$A$1:$Q$38"}</definedName>
    <definedName name="HTML_Control" localSheetId="35" hidden="1">{"' calendrier 2000'!$A$1:$Q$38"}</definedName>
    <definedName name="HTML_Control" hidden="1">{"' calendrier 2000'!$A$1:$Q$38"}</definedName>
    <definedName name="HTML_Control2" localSheetId="25" hidden="1">{"' calendrier 2000'!$A$1:$Q$38"}</definedName>
    <definedName name="HTML_Control2" localSheetId="19" hidden="1">{"' calendrier 2000'!$A$1:$Q$38"}</definedName>
    <definedName name="HTML_Control2" localSheetId="22" hidden="1">{"' calendrier 2000'!$A$1:$Q$38"}</definedName>
    <definedName name="HTML_Control2" localSheetId="28" hidden="1">{"' calendrier 2000'!$A$1:$Q$38"}</definedName>
    <definedName name="HTML_Control2" localSheetId="35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 localSheetId="18">#REF!</definedName>
    <definedName name="HUF" localSheetId="25">#REF!</definedName>
    <definedName name="HUF" localSheetId="29">#REF!</definedName>
    <definedName name="HUF" localSheetId="31">#REF!</definedName>
    <definedName name="HUF" localSheetId="15">#REF!</definedName>
    <definedName name="HUF" localSheetId="13">#REF!</definedName>
    <definedName name="HUF" localSheetId="17">#REF!</definedName>
    <definedName name="HUF" localSheetId="12">#REF!</definedName>
    <definedName name="HUF" localSheetId="22">#REF!</definedName>
    <definedName name="HUF" localSheetId="28">#REF!</definedName>
    <definedName name="HUF" localSheetId="35">#REF!</definedName>
    <definedName name="HUF">#REF!</definedName>
    <definedName name="hughfj">#N/A</definedName>
    <definedName name="I" localSheetId="18">#REF!</definedName>
    <definedName name="I" localSheetId="25">#REF!</definedName>
    <definedName name="I" localSheetId="29">#REF!</definedName>
    <definedName name="I" localSheetId="31">#REF!</definedName>
    <definedName name="I" localSheetId="15">#REF!</definedName>
    <definedName name="I" localSheetId="13">#REF!</definedName>
    <definedName name="I" localSheetId="17">#REF!</definedName>
    <definedName name="I" localSheetId="12">#REF!</definedName>
    <definedName name="I" localSheetId="22">#REF!</definedName>
    <definedName name="I" localSheetId="28">#REF!</definedName>
    <definedName name="I" localSheetId="35">#REF!</definedName>
    <definedName name="I">#REF!</definedName>
    <definedName name="I___0">NA()</definedName>
    <definedName name="I___12">#N/A</definedName>
    <definedName name="I___2">#N/A</definedName>
    <definedName name="I___25">#N/A</definedName>
    <definedName name="I___26">#N/A</definedName>
    <definedName name="I___27">NA()</definedName>
    <definedName name="I___4">#N/A</definedName>
    <definedName name="I___5">NA()</definedName>
    <definedName name="I___6">#N/A</definedName>
    <definedName name="I___7">#N/A</definedName>
    <definedName name="iflyl">#N/A</definedName>
    <definedName name="ik" localSheetId="28" hidden="1">{"casespecific",#N/A,FALSE,"Assumptions"}</definedName>
    <definedName name="ik" localSheetId="35" hidden="1">{"casespecific",#N/A,FALSE,"Assumptions"}</definedName>
    <definedName name="ik" hidden="1">{"casespecific",#N/A,FALSE,"Assumptions"}</definedName>
    <definedName name="IM" localSheetId="18">[6]!IM</definedName>
    <definedName name="IM" localSheetId="25">[6]!IM</definedName>
    <definedName name="IM" localSheetId="29">[6]!IM</definedName>
    <definedName name="IM" localSheetId="31">[6]!IM</definedName>
    <definedName name="IM" localSheetId="15">[6]!IM</definedName>
    <definedName name="IM" localSheetId="13">[6]!IM</definedName>
    <definedName name="IM" localSheetId="19">[7]!IM</definedName>
    <definedName name="IM" localSheetId="17">[6]!IM</definedName>
    <definedName name="IM" localSheetId="12">[6]!IM</definedName>
    <definedName name="IM" localSheetId="22">[8]!IM</definedName>
    <definedName name="IM">[6]!IM</definedName>
    <definedName name="imdaged" localSheetId="29">'[63]CIG+OV'!#REF!</definedName>
    <definedName name="imdaged" localSheetId="31">'[63]CIG+OV'!#REF!</definedName>
    <definedName name="imdaged" localSheetId="28">'[63]CIG+OV'!#REF!</definedName>
    <definedName name="imdaged" localSheetId="35">'[63]CIG+OV'!#REF!</definedName>
    <definedName name="imdaged">'[63]CIG+OV'!#REF!</definedName>
    <definedName name="imdcb" localSheetId="29">'[63]CIG+OV'!#REF!</definedName>
    <definedName name="imdcb" localSheetId="31">'[63]CIG+OV'!#REF!</definedName>
    <definedName name="imdcb" localSheetId="28">'[63]CIG+OV'!#REF!</definedName>
    <definedName name="imdcb" localSheetId="35">'[63]CIG+OV'!#REF!</definedName>
    <definedName name="imdcb">'[63]CIG+OV'!#REF!</definedName>
    <definedName name="imdcr" localSheetId="29">'[63]CIG+OV'!#REF!</definedName>
    <definedName name="imdcr" localSheetId="31">'[63]CIG+OV'!#REF!</definedName>
    <definedName name="imdcr" localSheetId="28">'[63]CIG+OV'!#REF!</definedName>
    <definedName name="imdcr" localSheetId="35">'[63]CIG+OV'!#REF!</definedName>
    <definedName name="imdcr">'[63]CIG+OV'!#REF!</definedName>
    <definedName name="imdcs" localSheetId="29">'[63]CIG+OV'!#REF!</definedName>
    <definedName name="imdcs" localSheetId="31">'[63]CIG+OV'!#REF!</definedName>
    <definedName name="imdcs" localSheetId="28">'[63]CIG+OV'!#REF!</definedName>
    <definedName name="imdcs" localSheetId="35">'[63]CIG+OV'!#REF!</definedName>
    <definedName name="imdcs">'[63]CIG+OV'!#REF!</definedName>
    <definedName name="imdpb" localSheetId="29">'[63]CIG+OV'!#REF!</definedName>
    <definedName name="imdpb" localSheetId="31">'[63]CIG+OV'!#REF!</definedName>
    <definedName name="imdpb" localSheetId="28">'[63]CIG+OV'!#REF!</definedName>
    <definedName name="imdpb" localSheetId="35">'[63]CIG+OV'!#REF!</definedName>
    <definedName name="imdpb">'[63]CIG+OV'!#REF!</definedName>
    <definedName name="imdpr" localSheetId="29">'[63]CIG+OV'!#REF!</definedName>
    <definedName name="imdpr" localSheetId="31">'[63]CIG+OV'!#REF!</definedName>
    <definedName name="imdpr" localSheetId="28">'[63]CIG+OV'!#REF!</definedName>
    <definedName name="imdpr" localSheetId="35">'[63]CIG+OV'!#REF!</definedName>
    <definedName name="imdpr">'[63]CIG+OV'!#REF!</definedName>
    <definedName name="imdps" localSheetId="29">'[63]CIG+OV'!#REF!</definedName>
    <definedName name="imdps" localSheetId="31">'[63]CIG+OV'!#REF!</definedName>
    <definedName name="imdps" localSheetId="28">'[63]CIG+OV'!#REF!</definedName>
    <definedName name="imdps" localSheetId="35">'[63]CIG+OV'!#REF!</definedName>
    <definedName name="imdps">'[63]CIG+OV'!#REF!</definedName>
    <definedName name="immo" localSheetId="18">#REF!</definedName>
    <definedName name="immo" localSheetId="25">#REF!</definedName>
    <definedName name="immo" localSheetId="29">#REF!</definedName>
    <definedName name="immo" localSheetId="31">#REF!</definedName>
    <definedName name="immo" localSheetId="15">#REF!</definedName>
    <definedName name="immo" localSheetId="13">#REF!</definedName>
    <definedName name="immo" localSheetId="17">#REF!</definedName>
    <definedName name="immo" localSheetId="12">#REF!</definedName>
    <definedName name="immo" localSheetId="22">#REF!</definedName>
    <definedName name="immo" localSheetId="28">#REF!</definedName>
    <definedName name="immo" localSheetId="35">#REF!</definedName>
    <definedName name="immo">#REF!</definedName>
    <definedName name="immodiv" localSheetId="18">#REF!</definedName>
    <definedName name="immodiv" localSheetId="25">#REF!</definedName>
    <definedName name="immodiv" localSheetId="29">#REF!</definedName>
    <definedName name="immodiv" localSheetId="31">#REF!</definedName>
    <definedName name="immodiv" localSheetId="15">#REF!</definedName>
    <definedName name="immodiv" localSheetId="13">#REF!</definedName>
    <definedName name="immodiv" localSheetId="17">#REF!</definedName>
    <definedName name="immodiv" localSheetId="12">#REF!</definedName>
    <definedName name="immodiv" localSheetId="22">#REF!</definedName>
    <definedName name="immodiv" localSheetId="28">#REF!</definedName>
    <definedName name="immodiv" localSheetId="35">#REF!</definedName>
    <definedName name="immodiv">#REF!</definedName>
    <definedName name="IMPACT_CASH">[47]SV161!$E$43</definedName>
    <definedName name="IMPACT_EXTERNE">[47]SV161!$E$44</definedName>
    <definedName name="IMPACT_INTERNE">[47]SV161!$E$42</definedName>
    <definedName name="IMPACTS">[47]SV161!$E$42:$E$44</definedName>
    <definedName name="ImportFile" localSheetId="18">[6]!ImportFile</definedName>
    <definedName name="ImportFile" localSheetId="25">[6]!ImportFile</definedName>
    <definedName name="ImportFile" localSheetId="29">[6]!ImportFile</definedName>
    <definedName name="ImportFile" localSheetId="31">[6]!ImportFile</definedName>
    <definedName name="ImportFile" localSheetId="15">[6]!ImportFile</definedName>
    <definedName name="ImportFile" localSheetId="13">[6]!ImportFile</definedName>
    <definedName name="ImportFile" localSheetId="19">[7]!ImportFile</definedName>
    <definedName name="ImportFile" localSheetId="17">[6]!ImportFile</definedName>
    <definedName name="ImportFile" localSheetId="12">[6]!ImportFile</definedName>
    <definedName name="ImportFile" localSheetId="22">[8]!ImportFile</definedName>
    <definedName name="ImportFile">[6]!ImportFile</definedName>
    <definedName name="ImportFile___0" localSheetId="25">ISPctList___2</definedName>
    <definedName name="ImportFile___0" localSheetId="19">ISPctList___2</definedName>
    <definedName name="ImportFile___0" localSheetId="22">ISPctList___2</definedName>
    <definedName name="ImportFile___0" localSheetId="28">ISPctList___2</definedName>
    <definedName name="ImportFile___0" localSheetId="35">ISPctList___2</definedName>
    <definedName name="ImportFile___0">ISPctList___2</definedName>
    <definedName name="ImportFile___12">#N/A</definedName>
    <definedName name="ImportFile___14" localSheetId="25">ISPctChoice___7</definedName>
    <definedName name="ImportFile___14" localSheetId="19">ISPctChoice___7</definedName>
    <definedName name="ImportFile___14" localSheetId="22">ISPctChoice___7</definedName>
    <definedName name="ImportFile___14" localSheetId="28">ISPctChoice___7</definedName>
    <definedName name="ImportFile___14" localSheetId="35">ISPctChoice___7</definedName>
    <definedName name="ImportFile___14">ISPctChoice___7</definedName>
    <definedName name="ImportFile___16" localSheetId="25">ISPctChoice___2</definedName>
    <definedName name="ImportFile___16" localSheetId="19">ISPctChoice___2</definedName>
    <definedName name="ImportFile___16" localSheetId="22">ISPctChoice___2</definedName>
    <definedName name="ImportFile___16" localSheetId="28">ISPctChoice___2</definedName>
    <definedName name="ImportFile___16" localSheetId="35">ISPctChoice___2</definedName>
    <definedName name="ImportFile___16">ISPctChoice___2</definedName>
    <definedName name="ImportFile___2" localSheetId="25">ISPctChoice___0</definedName>
    <definedName name="ImportFile___2" localSheetId="19">ISPctChoice___0</definedName>
    <definedName name="ImportFile___2" localSheetId="22">ISPctChoice___0</definedName>
    <definedName name="ImportFile___2" localSheetId="28">ISPctChoice___0</definedName>
    <definedName name="ImportFile___2" localSheetId="35">ISPctChoice___0</definedName>
    <definedName name="ImportFile___2">ISPctChoice___0</definedName>
    <definedName name="ImportFile___23" localSheetId="25">ISPctChoice___14</definedName>
    <definedName name="ImportFile___23" localSheetId="19">ISPctChoice___14</definedName>
    <definedName name="ImportFile___23" localSheetId="22">ISPctChoice___14</definedName>
    <definedName name="ImportFile___23" localSheetId="28">ISPctChoice___14</definedName>
    <definedName name="ImportFile___23" localSheetId="35">ISPctChoice___14</definedName>
    <definedName name="ImportFile___23">ISPctChoice___14</definedName>
    <definedName name="ImportFile___25" localSheetId="25">ISPctChoice___27</definedName>
    <definedName name="ImportFile___25" localSheetId="19">ISPctChoice___27</definedName>
    <definedName name="ImportFile___25" localSheetId="22">ISPctChoice___27</definedName>
    <definedName name="ImportFile___25" localSheetId="28">ISPctChoice___27</definedName>
    <definedName name="ImportFile___25" localSheetId="35">ISPctChoice___27</definedName>
    <definedName name="ImportFile___25">ISPctChoice___27</definedName>
    <definedName name="ImportFile___26" localSheetId="25">ISPctList___25</definedName>
    <definedName name="ImportFile___26" localSheetId="19">ISPctList___25</definedName>
    <definedName name="ImportFile___26" localSheetId="22">ISPctList___25</definedName>
    <definedName name="ImportFile___26" localSheetId="28">ISPctList___25</definedName>
    <definedName name="ImportFile___26" localSheetId="35">ISPctList___25</definedName>
    <definedName name="ImportFile___26">ISPctList___25</definedName>
    <definedName name="ImportFile___27" localSheetId="25">ISPctList___16</definedName>
    <definedName name="ImportFile___27" localSheetId="19">ISPctList___16</definedName>
    <definedName name="ImportFile___27" localSheetId="22">ISPctList___16</definedName>
    <definedName name="ImportFile___27" localSheetId="28">ISPctList___16</definedName>
    <definedName name="ImportFile___27" localSheetId="35">ISPctList___16</definedName>
    <definedName name="ImportFile___27">ISPctList___16</definedName>
    <definedName name="ImportFile___3" localSheetId="25">ISPctChoice___26</definedName>
    <definedName name="ImportFile___3" localSheetId="19">ISPctChoice___26</definedName>
    <definedName name="ImportFile___3" localSheetId="22">ISPctChoice___26</definedName>
    <definedName name="ImportFile___3" localSheetId="28">ISPctChoice___26</definedName>
    <definedName name="ImportFile___3" localSheetId="35">ISPctChoice___26</definedName>
    <definedName name="ImportFile___3">ISPctChoice___26</definedName>
    <definedName name="ImportFile___4" localSheetId="25">ISPctChoice___12</definedName>
    <definedName name="ImportFile___4" localSheetId="19">ISPctChoice___12</definedName>
    <definedName name="ImportFile___4" localSheetId="22">ISPctChoice___12</definedName>
    <definedName name="ImportFile___4" localSheetId="28">ISPctChoice___12</definedName>
    <definedName name="ImportFile___4" localSheetId="35">ISPctChoice___12</definedName>
    <definedName name="ImportFile___4">ISPctChoice___12</definedName>
    <definedName name="ImportFile___5" localSheetId="25">ISPctList___4</definedName>
    <definedName name="ImportFile___5" localSheetId="19">ISPctList___4</definedName>
    <definedName name="ImportFile___5" localSheetId="22">ISPctList___4</definedName>
    <definedName name="ImportFile___5" localSheetId="28">ISPctList___4</definedName>
    <definedName name="ImportFile___5" localSheetId="35">ISPctList___4</definedName>
    <definedName name="ImportFile___5">ISPctList___4</definedName>
    <definedName name="ImportFile___6" localSheetId="25">ISPctChoice___25</definedName>
    <definedName name="ImportFile___6" localSheetId="19">ISPctChoice___25</definedName>
    <definedName name="ImportFile___6" localSheetId="22">ISPctChoice___25</definedName>
    <definedName name="ImportFile___6" localSheetId="28">ISPctChoice___25</definedName>
    <definedName name="ImportFile___6" localSheetId="35">ISPctChoice___25</definedName>
    <definedName name="ImportFile___6">ISPctChoice___25</definedName>
    <definedName name="ImportFile___7" localSheetId="25">ISPctList___14</definedName>
    <definedName name="ImportFile___7" localSheetId="19">ISPctList___14</definedName>
    <definedName name="ImportFile___7" localSheetId="22">ISPctList___14</definedName>
    <definedName name="ImportFile___7" localSheetId="28">ISPctList___14</definedName>
    <definedName name="ImportFile___7" localSheetId="35">ISPctList___14</definedName>
    <definedName name="ImportFile___7">ISPctList___14</definedName>
    <definedName name="ImportFile___9" localSheetId="25">ISPctChoice___5</definedName>
    <definedName name="ImportFile___9" localSheetId="19">ISPctChoice___5</definedName>
    <definedName name="ImportFile___9" localSheetId="22">ISPctChoice___5</definedName>
    <definedName name="ImportFile___9" localSheetId="28">ISPctChoice___5</definedName>
    <definedName name="ImportFile___9" localSheetId="35">ISPctChoice___5</definedName>
    <definedName name="ImportFile___9">ISPctChoice___5</definedName>
    <definedName name="Impres_titres_MI" localSheetId="18">#REF!</definedName>
    <definedName name="Impres_titres_MI" localSheetId="25">#REF!</definedName>
    <definedName name="Impres_titres_MI" localSheetId="29">#REF!</definedName>
    <definedName name="Impres_titres_MI" localSheetId="31">#REF!</definedName>
    <definedName name="Impres_titres_MI" localSheetId="15">#REF!</definedName>
    <definedName name="Impres_titres_MI" localSheetId="13">#REF!</definedName>
    <definedName name="Impres_titres_MI" localSheetId="17">#REF!</definedName>
    <definedName name="Impres_titres_MI" localSheetId="12">#REF!</definedName>
    <definedName name="Impres_titres_MI" localSheetId="22">#REF!</definedName>
    <definedName name="Impres_titres_MI" localSheetId="28">#REF!</definedName>
    <definedName name="Impres_titres_MI" localSheetId="35">#REF!</definedName>
    <definedName name="Impres_titres_MI">#REF!</definedName>
    <definedName name="Impres_titres_MI___0">NA()</definedName>
    <definedName name="Impres_titres_MI___12">#N/A</definedName>
    <definedName name="Impres_titres_MI___2">#N/A</definedName>
    <definedName name="Impres_titres_MI___25">#N/A</definedName>
    <definedName name="Impres_titres_MI___26">#N/A</definedName>
    <definedName name="Impres_titres_MI___27">NA()</definedName>
    <definedName name="Impres_titres_MI___4">#N/A</definedName>
    <definedName name="Impres_titres_MI___5">NA()</definedName>
    <definedName name="Impres_titres_MI___6">#N/A</definedName>
    <definedName name="Impres_titres_MI___7">#N/A</definedName>
    <definedName name="_xlnm.Print_Titles" localSheetId="13">'Bilan-par flux'!$4:$5</definedName>
    <definedName name="INCIT">#N/A</definedName>
    <definedName name="inddd" localSheetId="29">#REF!</definedName>
    <definedName name="inddd" localSheetId="31">#REF!</definedName>
    <definedName name="inddd" localSheetId="28">#REF!</definedName>
    <definedName name="inddd" localSheetId="35">#REF!</definedName>
    <definedName name="inddd">#REF!</definedName>
    <definedName name="IndexMD">[25]Ventes!$O$2:$O$18806</definedName>
    <definedName name="Indexmoian">[25]Ventes!$Q$2:$Q$18806</definedName>
    <definedName name="Indexprod">[25]Ventes!$P$2:$P$18806</definedName>
    <definedName name="InfoNext" localSheetId="28">#N/A</definedName>
    <definedName name="InfoNext" localSheetId="35">'Taxe 5%'!InfoNext</definedName>
    <definedName name="InfoNext">'Taxe 5%'!InfoNext</definedName>
    <definedName name="InfoPrev" localSheetId="28">#N/A</definedName>
    <definedName name="InfoPrev" localSheetId="35">'Taxe 5%'!InfoPrev</definedName>
    <definedName name="InfoPrev">'Taxe 5%'!InfoPrev</definedName>
    <definedName name="INSUR" localSheetId="18">#REF!</definedName>
    <definedName name="INSUR" localSheetId="25">#REF!</definedName>
    <definedName name="INSUR" localSheetId="29">#REF!</definedName>
    <definedName name="INSUR" localSheetId="31">#REF!</definedName>
    <definedName name="INSUR" localSheetId="15">#REF!</definedName>
    <definedName name="INSUR" localSheetId="13">#REF!</definedName>
    <definedName name="INSUR" localSheetId="17">#REF!</definedName>
    <definedName name="INSUR" localSheetId="12">#REF!</definedName>
    <definedName name="INSUR" localSheetId="22">#REF!</definedName>
    <definedName name="INSUR" localSheetId="28">#REF!</definedName>
    <definedName name="INSUR" localSheetId="35">#REF!</definedName>
    <definedName name="INSUR">#REF!</definedName>
    <definedName name="INTEREST" localSheetId="18">#REF!</definedName>
    <definedName name="INTEREST" localSheetId="25">#REF!</definedName>
    <definedName name="INTEREST" localSheetId="29">#REF!</definedName>
    <definedName name="INTEREST" localSheetId="31">#REF!</definedName>
    <definedName name="INTEREST" localSheetId="15">#REF!</definedName>
    <definedName name="INTEREST" localSheetId="13">#REF!</definedName>
    <definedName name="INTEREST" localSheetId="17">#REF!</definedName>
    <definedName name="INTEREST" localSheetId="12">#REF!</definedName>
    <definedName name="INTEREST" localSheetId="22">#REF!</definedName>
    <definedName name="INTEREST" localSheetId="28">#REF!</definedName>
    <definedName name="INTEREST" localSheetId="35">#REF!</definedName>
    <definedName name="INTEREST">#REF!</definedName>
    <definedName name="interpolation">#N/A</definedName>
    <definedName name="inv" localSheetId="18">#N/A</definedName>
    <definedName name="inv" localSheetId="25">Activation!Tx_intérêt_par_an/#REF!</definedName>
    <definedName name="inv" localSheetId="29">'Amortissment boa'!Tx_intérêt_par_an/#REF!</definedName>
    <definedName name="inv" localSheetId="31">'Amortissment Cboa'!Tx_intérêt_par_an/#REF!</definedName>
    <definedName name="inv" localSheetId="15">#N/A</definedName>
    <definedName name="inv" localSheetId="13">#N/A</definedName>
    <definedName name="inv" localSheetId="19">#N/A</definedName>
    <definedName name="inv" localSheetId="17">#N/A</definedName>
    <definedName name="inv" localSheetId="12">#N/A</definedName>
    <definedName name="inv" localSheetId="22">[5]!Tx_intérêt_par_an/#REF!</definedName>
    <definedName name="inv" localSheetId="28">'SYNTHESE BOA'!Tx_intérêt_par_an/#REF!</definedName>
    <definedName name="inv" localSheetId="35">'Taxe 5%'!Tx_intérêt_par_an/#REF!</definedName>
    <definedName name="inv">[0]!Tx_intérêt_par_an/#REF!</definedName>
    <definedName name="inv___0">#N/A</definedName>
    <definedName name="inv___12">#N/A</definedName>
    <definedName name="inv___14">#N/A</definedName>
    <definedName name="inv___16">#N/A</definedName>
    <definedName name="inv___2">#N/A</definedName>
    <definedName name="inv___23">#N/A</definedName>
    <definedName name="inv___25">#N/A</definedName>
    <definedName name="inv___26">#N/A</definedName>
    <definedName name="inv___27">#N/A</definedName>
    <definedName name="inv___3">#N/A</definedName>
    <definedName name="inv___4">#N/A</definedName>
    <definedName name="inv___5">#N/A</definedName>
    <definedName name="inv___6">#N/A</definedName>
    <definedName name="inv___7">#N/A</definedName>
    <definedName name="inv___9">#N/A</definedName>
    <definedName name="INVENTORY_PRIOR_MONTH" localSheetId="18">#REF!</definedName>
    <definedName name="INVENTORY_PRIOR_MONTH" localSheetId="25">#REF!</definedName>
    <definedName name="INVENTORY_PRIOR_MONTH" localSheetId="29">#REF!</definedName>
    <definedName name="INVENTORY_PRIOR_MONTH" localSheetId="31">#REF!</definedName>
    <definedName name="INVENTORY_PRIOR_MONTH" localSheetId="15">#REF!</definedName>
    <definedName name="INVENTORY_PRIOR_MONTH" localSheetId="13">#REF!</definedName>
    <definedName name="INVENTORY_PRIOR_MONTH" localSheetId="17">#REF!</definedName>
    <definedName name="INVENTORY_PRIOR_MONTH" localSheetId="12">#REF!</definedName>
    <definedName name="INVENTORY_PRIOR_MONTH" localSheetId="22">#REF!</definedName>
    <definedName name="INVENTORY_PRIOR_MONTH" localSheetId="28">#REF!</definedName>
    <definedName name="INVENTORY_PRIOR_MONTH" localSheetId="35">#REF!</definedName>
    <definedName name="INVENTORY_PRIOR_MONTH">#REF!</definedName>
    <definedName name="INVEST">#N/A</definedName>
    <definedName name="io" localSheetId="25" hidden="1">{#N/A,#N/A,FALSE,"Contribution Analysis"}</definedName>
    <definedName name="io" localSheetId="19" hidden="1">{#N/A,#N/A,FALSE,"Contribution Analysis"}</definedName>
    <definedName name="io" localSheetId="22" hidden="1">{#N/A,#N/A,FALSE,"Contribution Analysis"}</definedName>
    <definedName name="io" localSheetId="28" hidden="1">{#N/A,#N/A,FALSE,"Contribution Analysis"}</definedName>
    <definedName name="io" localSheetId="35" hidden="1">{#N/A,#N/A,FALSE,"Contribution Analysis"}</definedName>
    <definedName name="io" hidden="1">{#N/A,#N/A,FALSE,"Contribution Analysis"}</definedName>
    <definedName name="iouirtrt" localSheetId="18" hidden="1">#REF!</definedName>
    <definedName name="iouirtrt" localSheetId="25" hidden="1">#REF!</definedName>
    <definedName name="iouirtrt" localSheetId="29" hidden="1">#REF!</definedName>
    <definedName name="iouirtrt" localSheetId="31" hidden="1">#REF!</definedName>
    <definedName name="iouirtrt" localSheetId="15" hidden="1">#REF!</definedName>
    <definedName name="iouirtrt" localSheetId="13" hidden="1">#REF!</definedName>
    <definedName name="iouirtrt" localSheetId="17" hidden="1">#REF!</definedName>
    <definedName name="iouirtrt" localSheetId="12" hidden="1">#REF!</definedName>
    <definedName name="iouirtrt" localSheetId="22" hidden="1">#REF!</definedName>
    <definedName name="iouirtrt" localSheetId="28" hidden="1">#REF!</definedName>
    <definedName name="iouirtrt" localSheetId="35" hidden="1">#REF!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 hidden="1">"c7"</definedName>
    <definedName name="IQ_ACQ_COST_SUB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DOUBT_ACCT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>"c2072"</definedName>
    <definedName name="IQ_AVG_BANK_LOANS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 hidden="1">"c89"</definedName>
    <definedName name="IQ_BOARD_MEMBER" hidden="1">"c96"</definedName>
    <definedName name="IQ_BOARD_MEMBER_BACKGROUND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>"c1911"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>"c1971"</definedName>
    <definedName name="IQ_CLASSA_OUTSTANDING_FILING_DATE">"c1973"</definedName>
    <definedName name="IQ_CLOSEPRICE" hidden="1">"c174"</definedName>
    <definedName name="IQ_CLOSEPRICE_ADJ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>"c2094"</definedName>
    <definedName name="IQ_CURR_DOMESTIC_TAXES">"c2074"</definedName>
    <definedName name="IQ_CURR_FOREIGN_TAXES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>"c2077"</definedName>
    <definedName name="IQ_DEFERRED_FOREIGN_TAXES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>"c1903"</definedName>
    <definedName name="IQ_DILUT_NI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>"c2106"</definedName>
    <definedName name="IQ_DIV_RECORD_DATE">"c2105"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>"c1681"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"c360"</definedName>
    <definedName name="IQ_EBIT_STDDEV_EST">"c1686"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>"c369"</definedName>
    <definedName name="IQ_EBITDA_HIGH_EST">"c370"</definedName>
    <definedName name="IQ_EBITDA_INT" hidden="1">"c373"</definedName>
    <definedName name="IQ_EBITDA_LOW_EST">"c371"</definedName>
    <definedName name="IQ_EBITDA_MARGIN" hidden="1">"c372"</definedName>
    <definedName name="IQ_EBITDA_MEDIAN_EST">"c1663"</definedName>
    <definedName name="IQ_EBITDA_NUM_EST">"c374"</definedName>
    <definedName name="IQ_EBITDA_OVER_TOTAL_IE" hidden="1">"c373"</definedName>
    <definedName name="IQ_EBITDA_STDDEV_EST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>"c1737"</definedName>
    <definedName name="IQ_EPS_GW_HIGH_EST">"c1739"</definedName>
    <definedName name="IQ_EPS_GW_LOW_EST">"c1740"</definedName>
    <definedName name="IQ_EPS_GW_MEDIAN_EST">"c1738"</definedName>
    <definedName name="IQ_EPS_GW_NUM_EST">"c1741"</definedName>
    <definedName name="IQ_EPS_GW_STDDEV_EST">"c1742"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REPORTED_EST">"c1744"</definedName>
    <definedName name="IQ_EPS_REPORTED_HIGH_EST">"c1746"</definedName>
    <definedName name="IQ_EPS_REPORTED_LOW_EST">"c1747"</definedName>
    <definedName name="IQ_EPS_REPORTED_MEDIAN_EST">"c1745"</definedName>
    <definedName name="IQ_EPS_REPORTED_NUM_EST">"c1748"</definedName>
    <definedName name="IQ_EPS_REPORTED_STDDEV_EST">"c1749"</definedName>
    <definedName name="IQ_EPS_STDDEV_EST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 hidden="1">"c1648"</definedName>
    <definedName name="IQ_EST_ACT_EPS_GW">"c1743"</definedName>
    <definedName name="IQ_EST_ACT_EPS_REPORTED">"c1750"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DATE" hidden="1">"c1634"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2YR">"c1637"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STDDEV">"c1660"</definedName>
    <definedName name="IQ_EST_EPS_GROWTH_Q_1YR" hidden="1">"c1641"</definedName>
    <definedName name="IQ_EST_EPS_GW_DIFF">"c1891"</definedName>
    <definedName name="IQ_EST_EPS_GW_SURPRISE_PERCENT">"c1892"</definedName>
    <definedName name="IQ_EST_EPS_REPORT_DIFF">"c1893"</definedName>
    <definedName name="IQ_EST_EPS_REPORT_SURPRISE_PERCENT">"c1894"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ERCISED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STDDEV_EST">"c422"</definedName>
    <definedName name="IQ_FHLB_DEBT" hidden="1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_SPLIT_DATE">"c2095"</definedName>
    <definedName name="IQ_LAST_SPLIT_FACTOR">"c2093"</definedName>
    <definedName name="IQ_LASTSALEPRICE" hidden="1">"c646"</definedName>
    <definedName name="IQ_LASTSALEPRICE_DATE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_TARGET_PRICE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INT_REPAIR">"c2087"</definedName>
    <definedName name="IQ_MARKETCAP" hidden="1">"c712"</definedName>
    <definedName name="IQ_MEDIAN_TARGET_PRICE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FAS" hidden="1">"c795"</definedName>
    <definedName name="IQ_NI_STDDEV_EST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 hidden="1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OIL_PRODUCTON">"c2059"</definedName>
    <definedName name="IQ_OG_UNDEVELOPED_RESERVES_GAS">"c2051"</definedName>
    <definedName name="IQ_OG_UNDEVELOPED_RESERVES_OIL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"c362"</definedName>
    <definedName name="IQ_OPER_INC_MEDIAN_EST">"c1689"</definedName>
    <definedName name="IQ_OPER_INC_NUM_EST">"c1692"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>"c2116"</definedName>
    <definedName name="IQ_OPTIONS_ISSUED" hidden="1">"c857"</definedName>
    <definedName name="IQ_ORDER_BACKLOG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>"c1972"</definedName>
    <definedName name="IQ_OTHER_OUTSTANDING_FILING_DATE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AYOUT_RATIO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>"c1863"</definedName>
    <definedName name="IQ_PENSION" hidden="1">"c1031"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>"c2121"</definedName>
    <definedName name="IQ_POSTPAID_SUBS">"c2118"</definedName>
    <definedName name="IQ_POTENTIAL_UPSIDE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>"c2120"</definedName>
    <definedName name="IQ_PREPAID_EXP" hidden="1">"c1068"</definedName>
    <definedName name="IQ_PREPAID_EXPEN" hidden="1">"c1068"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OVER_BVPS" hidden="1">"c1026"</definedName>
    <definedName name="IQ_PRICE_OVER_LTM_EPS" hidden="1">"c1029"</definedName>
    <definedName name="IQ_PRICE_TARGET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>"c1124"</definedName>
    <definedName name="IQ_REV_UTI" hidden="1">"c1125"</definedName>
    <definedName name="IQ_REVENUE" hidden="1">"c1122"</definedName>
    <definedName name="IQ_REVENUE_EST">"c1126"</definedName>
    <definedName name="IQ_REVENUE_HIGH_EST">"c1127"</definedName>
    <definedName name="IQ_REVENUE_LOW_EST">"c1128"</definedName>
    <definedName name="IQ_REVENUE_MEDIAN_EST">"c1662"</definedName>
    <definedName name="IQ_REVENUE_NUM_EST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>"c1653"</definedName>
    <definedName name="IQ_TARGET_PRICE_STDDEV">"c1654"</definedName>
    <definedName name="IQ_TAX_BENEFIT_OPTIONS" hidden="1">"c1215"</definedName>
    <definedName name="IQ_TAX_EQUIV_NET_INT_INC" hidden="1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>"c1022"</definedName>
    <definedName name="IQ_TOTAL_OUTSTANDING_FILING_DATE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S">"c2119"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>"c1908"</definedName>
    <definedName name="IQ_UNPAID_CLAIMS" hidden="1">"c1330"</definedName>
    <definedName name="IQ_UNREALIZED_GAIN" hidden="1">"c1619"</definedName>
    <definedName name="IQ_UNUSUAL_EXP">"c1456"</definedName>
    <definedName name="IQ_US_GAAP" hidden="1">"c1331"</definedName>
    <definedName name="IQ_UTIL_PPE_NET" hidden="1">"c1620"</definedName>
    <definedName name="IQ_UTIL_REV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 localSheetId="18">#REF!</definedName>
    <definedName name="ISPctChoice" localSheetId="25">#REF!</definedName>
    <definedName name="ISPctChoice" localSheetId="29">#REF!</definedName>
    <definedName name="ISPctChoice" localSheetId="31">#REF!</definedName>
    <definedName name="ISPctChoice" localSheetId="15">#REF!</definedName>
    <definedName name="ISPctChoice" localSheetId="13">#REF!</definedName>
    <definedName name="ISPctChoice" localSheetId="17">#REF!</definedName>
    <definedName name="ISPctChoice" localSheetId="12">#REF!</definedName>
    <definedName name="ISPctChoice" localSheetId="22">#REF!</definedName>
    <definedName name="ISPctChoice" localSheetId="28">#REF!</definedName>
    <definedName name="ISPctChoice" localSheetId="35">#REF!</definedName>
    <definedName name="ISPctChoice">#REF!</definedName>
    <definedName name="ISPctChoice___0">#N/A</definedName>
    <definedName name="ISPctChoice___12">#N/A</definedName>
    <definedName name="ISPctChoice___14">#N/A</definedName>
    <definedName name="ISPctChoice___16">#N/A</definedName>
    <definedName name="ISPctChoice___2">#N/A</definedName>
    <definedName name="ISPctChoice___25">#N/A</definedName>
    <definedName name="ISPctChoice___26">#N/A</definedName>
    <definedName name="ISPctChoice___27">#N/A</definedName>
    <definedName name="ISPctChoice___4">#N/A</definedName>
    <definedName name="ISPctChoice___5">#N/A</definedName>
    <definedName name="ISPctChoice___7">#N/A</definedName>
    <definedName name="ISPctList" localSheetId="18">#REF!</definedName>
    <definedName name="ISPctList" localSheetId="25">#REF!</definedName>
    <definedName name="ISPctList" localSheetId="29">#REF!</definedName>
    <definedName name="ISPctList" localSheetId="31">#REF!</definedName>
    <definedName name="ISPctList" localSheetId="15">#REF!</definedName>
    <definedName name="ISPctList" localSheetId="13">#REF!</definedName>
    <definedName name="ISPctList" localSheetId="17">#REF!</definedName>
    <definedName name="ISPctList" localSheetId="12">#REF!</definedName>
    <definedName name="ISPctList" localSheetId="22">#REF!</definedName>
    <definedName name="ISPctList" localSheetId="28">#REF!</definedName>
    <definedName name="ISPctList" localSheetId="35">#REF!</definedName>
    <definedName name="ISPctList">#REF!</definedName>
    <definedName name="ISPctList___0">#N/A</definedName>
    <definedName name="ISPctList___12">#N/A</definedName>
    <definedName name="ISPctList___14">#N/A</definedName>
    <definedName name="ISPctList___16">#N/A</definedName>
    <definedName name="ISPctList___2">#N/A</definedName>
    <definedName name="ISPctList___25">#N/A</definedName>
    <definedName name="ISPctList___26">#N/A</definedName>
    <definedName name="ISPctList___27">#N/A</definedName>
    <definedName name="ISPctList___4">#N/A</definedName>
    <definedName name="ISPctList___5">#N/A</definedName>
    <definedName name="ISPctList___7">#N/A</definedName>
    <definedName name="itjoijgotj" localSheetId="18">#REF!</definedName>
    <definedName name="itjoijgotj" localSheetId="25">#REF!</definedName>
    <definedName name="itjoijgotj" localSheetId="29">#REF!</definedName>
    <definedName name="itjoijgotj" localSheetId="31">#REF!</definedName>
    <definedName name="itjoijgotj" localSheetId="15">#REF!</definedName>
    <definedName name="itjoijgotj" localSheetId="13">#REF!</definedName>
    <definedName name="itjoijgotj" localSheetId="17">#REF!</definedName>
    <definedName name="itjoijgotj" localSheetId="12">#REF!</definedName>
    <definedName name="itjoijgotj" localSheetId="22">#REF!</definedName>
    <definedName name="itjoijgotj" localSheetId="28">#REF!</definedName>
    <definedName name="itjoijgotj" localSheetId="35">#REF!</definedName>
    <definedName name="itjoijgotj">#REF!</definedName>
    <definedName name="itl" localSheetId="18">#REF!</definedName>
    <definedName name="itl" localSheetId="25">#REF!</definedName>
    <definedName name="itl" localSheetId="29">#REF!</definedName>
    <definedName name="itl" localSheetId="31">#REF!</definedName>
    <definedName name="itl" localSheetId="15">#REF!</definedName>
    <definedName name="itl" localSheetId="13">#REF!</definedName>
    <definedName name="itl" localSheetId="17">#REF!</definedName>
    <definedName name="itl" localSheetId="12">#REF!</definedName>
    <definedName name="itl" localSheetId="22">#REF!</definedName>
    <definedName name="itl" localSheetId="28">#REF!</definedName>
    <definedName name="itl" localSheetId="35">#REF!</definedName>
    <definedName name="itl">#REF!</definedName>
    <definedName name="iu" localSheetId="25" hidden="1">{"orixcsc",#N/A,FALSE,"ORIX CSC";"orixcsc2",#N/A,FALSE,"ORIX CSC"}</definedName>
    <definedName name="iu" localSheetId="19" hidden="1">{"orixcsc",#N/A,FALSE,"ORIX CSC";"orixcsc2",#N/A,FALSE,"ORIX CSC"}</definedName>
    <definedName name="iu" localSheetId="22" hidden="1">{"orixcsc",#N/A,FALSE,"ORIX CSC";"orixcsc2",#N/A,FALSE,"ORIX CSC"}</definedName>
    <definedName name="iu" localSheetId="28" hidden="1">{"orixcsc",#N/A,FALSE,"ORIX CSC";"orixcsc2",#N/A,FALSE,"ORIX CSC"}</definedName>
    <definedName name="iu" localSheetId="35" hidden="1">{"orixcsc",#N/A,FALSE,"ORIX CSC";"orixcsc2",#N/A,FALSE,"ORIX CSC"}</definedName>
    <definedName name="iu" hidden="1">{"orixcsc",#N/A,FALSE,"ORIX CSC";"orixcsc2",#N/A,FALSE,"ORIX CSC"}</definedName>
    <definedName name="IUIOUIH" localSheetId="18">#REF!</definedName>
    <definedName name="IUIOUIH" localSheetId="25">#REF!</definedName>
    <definedName name="IUIOUIH" localSheetId="29">#REF!</definedName>
    <definedName name="IUIOUIH" localSheetId="31">#REF!</definedName>
    <definedName name="IUIOUIH" localSheetId="15">#REF!</definedName>
    <definedName name="IUIOUIH" localSheetId="13">#REF!</definedName>
    <definedName name="IUIOUIH" localSheetId="17">#REF!</definedName>
    <definedName name="IUIOUIH" localSheetId="12">#REF!</definedName>
    <definedName name="IUIOUIH" localSheetId="22">#REF!</definedName>
    <definedName name="IUIOUIH" localSheetId="28">#REF!</definedName>
    <definedName name="IUIOUIH" localSheetId="35">#REF!</definedName>
    <definedName name="IUIOUIH">#REF!</definedName>
    <definedName name="j" localSheetId="28" hidden="1">{"résultats",#N/A,FALSE,"résultats SFS";"indicateurs",#N/A,FALSE,"résultats SFS";"commentaires",#N/A,FALSE,"commentaires SFS";"graphiques",#N/A,FALSE,"graphiques SFS"}</definedName>
    <definedName name="j" localSheetId="35" hidden="1">{"résultats",#N/A,FALSE,"résultats SFS";"indicateurs",#N/A,FALSE,"résultats SFS";"commentaires",#N/A,FALSE,"commentaires SFS";"graphiques",#N/A,FALSE,"graphiques SFS"}</definedName>
    <definedName name="j" hidden="1">{"résultats",#N/A,FALSE,"résultats SFS";"indicateurs",#N/A,FALSE,"résultats SFS";"commentaires",#N/A,FALSE,"commentaires SFS";"graphiques",#N/A,FALSE,"graphiques SFS"}</definedName>
    <definedName name="Jadida">#N/A</definedName>
    <definedName name="January" localSheetId="18">#REF!</definedName>
    <definedName name="January" localSheetId="25">#REF!</definedName>
    <definedName name="January" localSheetId="29">#REF!</definedName>
    <definedName name="January" localSheetId="31">#REF!</definedName>
    <definedName name="January" localSheetId="15">#REF!</definedName>
    <definedName name="January" localSheetId="13">#REF!</definedName>
    <definedName name="January" localSheetId="17">#REF!</definedName>
    <definedName name="January" localSheetId="12">#REF!</definedName>
    <definedName name="January" localSheetId="22">#REF!</definedName>
    <definedName name="January" localSheetId="28">#REF!</definedName>
    <definedName name="January" localSheetId="35">#REF!</definedName>
    <definedName name="January">#REF!</definedName>
    <definedName name="Janvier" localSheetId="18">#REF!</definedName>
    <definedName name="Janvier" localSheetId="25">#REF!</definedName>
    <definedName name="Janvier" localSheetId="29">#REF!</definedName>
    <definedName name="Janvier" localSheetId="31">#REF!</definedName>
    <definedName name="Janvier" localSheetId="15">#REF!</definedName>
    <definedName name="Janvier" localSheetId="13">#REF!</definedName>
    <definedName name="Janvier" localSheetId="17">#REF!</definedName>
    <definedName name="Janvier" localSheetId="12">#REF!</definedName>
    <definedName name="Janvier" localSheetId="22">#REF!</definedName>
    <definedName name="Janvier" localSheetId="28">#REF!</definedName>
    <definedName name="Janvier" localSheetId="35">#REF!</definedName>
    <definedName name="Janvier">#REF!</definedName>
    <definedName name="JB" localSheetId="29">#REF!</definedName>
    <definedName name="JB" localSheetId="31">#REF!</definedName>
    <definedName name="JB" localSheetId="28">#REF!</definedName>
    <definedName name="JB" localSheetId="35">#REF!</definedName>
    <definedName name="JB">#REF!</definedName>
    <definedName name="jbh">#N/A</definedName>
    <definedName name="jcidaged" localSheetId="29">'[63]CIG+OV'!#REF!</definedName>
    <definedName name="jcidaged" localSheetId="31">'[63]CIG+OV'!#REF!</definedName>
    <definedName name="jcidaged" localSheetId="28">'[63]CIG+OV'!#REF!</definedName>
    <definedName name="jcidaged" localSheetId="35">'[63]CIG+OV'!#REF!</definedName>
    <definedName name="jcidaged">'[63]CIG+OV'!#REF!</definedName>
    <definedName name="jcidcb" localSheetId="29">'[63]CIG+OV'!#REF!</definedName>
    <definedName name="jcidcb" localSheetId="31">'[63]CIG+OV'!#REF!</definedName>
    <definedName name="jcidcb" localSheetId="28">'[63]CIG+OV'!#REF!</definedName>
    <definedName name="jcidcb" localSheetId="35">'[63]CIG+OV'!#REF!</definedName>
    <definedName name="jcidcb">'[63]CIG+OV'!#REF!</definedName>
    <definedName name="jcidcr" localSheetId="29">'[63]CIG+OV'!#REF!</definedName>
    <definedName name="jcidcr" localSheetId="31">'[63]CIG+OV'!#REF!</definedName>
    <definedName name="jcidcr" localSheetId="28">'[63]CIG+OV'!#REF!</definedName>
    <definedName name="jcidcr" localSheetId="35">'[63]CIG+OV'!#REF!</definedName>
    <definedName name="jcidcr">'[63]CIG+OV'!#REF!</definedName>
    <definedName name="jcidcs" localSheetId="29">'[63]CIG+OV'!#REF!</definedName>
    <definedName name="jcidcs" localSheetId="31">'[63]CIG+OV'!#REF!</definedName>
    <definedName name="jcidcs" localSheetId="28">'[63]CIG+OV'!#REF!</definedName>
    <definedName name="jcidcs" localSheetId="35">'[63]CIG+OV'!#REF!</definedName>
    <definedName name="jcidcs">'[63]CIG+OV'!#REF!</definedName>
    <definedName name="jcidpb" localSheetId="29">'[63]CIG+OV'!#REF!</definedName>
    <definedName name="jcidpb" localSheetId="31">'[63]CIG+OV'!#REF!</definedName>
    <definedName name="jcidpb" localSheetId="28">'[63]CIG+OV'!#REF!</definedName>
    <definedName name="jcidpb" localSheetId="35">'[63]CIG+OV'!#REF!</definedName>
    <definedName name="jcidpb">'[63]CIG+OV'!#REF!</definedName>
    <definedName name="jcidpr" localSheetId="29">'[63]CIG+OV'!#REF!</definedName>
    <definedName name="jcidpr" localSheetId="31">'[63]CIG+OV'!#REF!</definedName>
    <definedName name="jcidpr" localSheetId="28">'[63]CIG+OV'!#REF!</definedName>
    <definedName name="jcidpr" localSheetId="35">'[63]CIG+OV'!#REF!</definedName>
    <definedName name="jcidpr">'[63]CIG+OV'!#REF!</definedName>
    <definedName name="jcidps" localSheetId="29">'[63]CIG+OV'!#REF!</definedName>
    <definedName name="jcidps" localSheetId="31">'[63]CIG+OV'!#REF!</definedName>
    <definedName name="jcidps" localSheetId="28">'[63]CIG+OV'!#REF!</definedName>
    <definedName name="jcidps" localSheetId="35">'[63]CIG+OV'!#REF!</definedName>
    <definedName name="jcidps">'[63]CIG+OV'!#REF!</definedName>
    <definedName name="JDJY" localSheetId="18">[6]!JDJY</definedName>
    <definedName name="JDJY" localSheetId="25">[6]!JDJY</definedName>
    <definedName name="JDJY" localSheetId="29">[6]!JDJY</definedName>
    <definedName name="JDJY" localSheetId="31">[6]!JDJY</definedName>
    <definedName name="JDJY" localSheetId="15">[6]!JDJY</definedName>
    <definedName name="JDJY" localSheetId="13">[6]!JDJY</definedName>
    <definedName name="JDJY" localSheetId="19">[7]!JDJY</definedName>
    <definedName name="JDJY" localSheetId="17">[6]!JDJY</definedName>
    <definedName name="JDJY" localSheetId="12">[6]!JDJY</definedName>
    <definedName name="JDJY" localSheetId="22">[8]!JDJY</definedName>
    <definedName name="JDJY">[6]!JDJY</definedName>
    <definedName name="jdtju">#N/A</definedName>
    <definedName name="jfgkj">#N/A</definedName>
    <definedName name="jfh">#N/A</definedName>
    <definedName name="jfhbvc">#N/A</definedName>
    <definedName name="jfhg">#N/A</definedName>
    <definedName name="jfhgf">#N/A</definedName>
    <definedName name="jfhjkfv" localSheetId="18">[6]!jfhjkfv</definedName>
    <definedName name="jfhjkfv" localSheetId="25">[6]!jfhjkfv</definedName>
    <definedName name="jfhjkfv" localSheetId="29">[6]!jfhjkfv</definedName>
    <definedName name="jfhjkfv" localSheetId="31">[6]!jfhjkfv</definedName>
    <definedName name="jfhjkfv" localSheetId="15">[6]!jfhjkfv</definedName>
    <definedName name="jfhjkfv" localSheetId="13">[6]!jfhjkfv</definedName>
    <definedName name="jfhjkfv" localSheetId="19">[7]!jfhjkfv</definedName>
    <definedName name="jfhjkfv" localSheetId="17">[6]!jfhjkfv</definedName>
    <definedName name="jfhjkfv" localSheetId="12">[6]!jfhjkfv</definedName>
    <definedName name="jfhjkfv" localSheetId="22">[8]!jfhjkfv</definedName>
    <definedName name="jfhjkfv">[6]!jfhjkfv</definedName>
    <definedName name="jfhkf">#N/A</definedName>
    <definedName name="jfhkfn" localSheetId="18">[6]!jfhkfn</definedName>
    <definedName name="jfhkfn" localSheetId="25">[6]!jfhkfn</definedName>
    <definedName name="jfhkfn" localSheetId="29">[6]!jfhkfn</definedName>
    <definedName name="jfhkfn" localSheetId="31">[6]!jfhkfn</definedName>
    <definedName name="jfhkfn" localSheetId="15">[6]!jfhkfn</definedName>
    <definedName name="jfhkfn" localSheetId="13">[6]!jfhkfn</definedName>
    <definedName name="jfhkfn" localSheetId="19">[7]!jfhkfn</definedName>
    <definedName name="jfhkfn" localSheetId="17">[6]!jfhkfn</definedName>
    <definedName name="jfhkfn" localSheetId="12">[6]!jfhkfn</definedName>
    <definedName name="jfhkfn" localSheetId="22">[8]!jfhkfn</definedName>
    <definedName name="jfhkfn">[6]!jfhkfn</definedName>
    <definedName name="jfhkfv">#N/A</definedName>
    <definedName name="JFHKG" localSheetId="18">[6]!JFHKG</definedName>
    <definedName name="JFHKG" localSheetId="25">[6]!JFHKG</definedName>
    <definedName name="JFHKG" localSheetId="29">[6]!JFHKG</definedName>
    <definedName name="JFHKG" localSheetId="31">[6]!JFHKG</definedName>
    <definedName name="JFHKG" localSheetId="15">[6]!JFHKG</definedName>
    <definedName name="JFHKG" localSheetId="13">[6]!JFHKG</definedName>
    <definedName name="JFHKG" localSheetId="19">[7]!JFHKG</definedName>
    <definedName name="JFHKG" localSheetId="17">[6]!JFHKG</definedName>
    <definedName name="JFHKG" localSheetId="12">[6]!JFHKG</definedName>
    <definedName name="JFHKG" localSheetId="22">[8]!JFHKG</definedName>
    <definedName name="JFHKG">[6]!JFHKG</definedName>
    <definedName name="JFHLF">#N/A</definedName>
    <definedName name="jfhur">#N/A</definedName>
    <definedName name="jfjfj" localSheetId="28" hidden="1">{#N/A,#N/A,TRUE,"Cover sheet";#N/A,#N/A,TRUE,"DCF analysis";#N/A,#N/A,TRUE,"WACC calculation"}</definedName>
    <definedName name="jfjfj" localSheetId="35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FL">#N/A</definedName>
    <definedName name="jgjgotgjrih" localSheetId="18">#REF!</definedName>
    <definedName name="jgjgotgjrih" localSheetId="25">#REF!</definedName>
    <definedName name="jgjgotgjrih" localSheetId="29">#REF!</definedName>
    <definedName name="jgjgotgjrih" localSheetId="31">#REF!</definedName>
    <definedName name="jgjgotgjrih" localSheetId="15">#REF!</definedName>
    <definedName name="jgjgotgjrih" localSheetId="13">#REF!</definedName>
    <definedName name="jgjgotgjrih" localSheetId="17">#REF!</definedName>
    <definedName name="jgjgotgjrih" localSheetId="12">#REF!</definedName>
    <definedName name="jgjgotgjrih" localSheetId="22">#REF!</definedName>
    <definedName name="jgjgotgjrih" localSheetId="28">#REF!</definedName>
    <definedName name="jgjgotgjrih" localSheetId="35">#REF!</definedName>
    <definedName name="jgjgotgjrih">#REF!</definedName>
    <definedName name="jgkhjk" localSheetId="18" hidden="1">#REF!</definedName>
    <definedName name="jgkhjk" localSheetId="25" hidden="1">#REF!</definedName>
    <definedName name="jgkhjk" localSheetId="29" hidden="1">#REF!</definedName>
    <definedName name="jgkhjk" localSheetId="31" hidden="1">#REF!</definedName>
    <definedName name="jgkhjk" localSheetId="15" hidden="1">#REF!</definedName>
    <definedName name="jgkhjk" localSheetId="13" hidden="1">#REF!</definedName>
    <definedName name="jgkhjk" localSheetId="17" hidden="1">#REF!</definedName>
    <definedName name="jgkhjk" localSheetId="12" hidden="1">#REF!</definedName>
    <definedName name="jgkhjk" localSheetId="22" hidden="1">#REF!</definedName>
    <definedName name="jgkhjk" localSheetId="28" hidden="1">#REF!</definedName>
    <definedName name="jgkhjk" localSheetId="35" hidden="1">#REF!</definedName>
    <definedName name="jgkhjk" hidden="1">#REF!</definedName>
    <definedName name="jgojiuhu" localSheetId="18">#REF!</definedName>
    <definedName name="jgojiuhu" localSheetId="25">#REF!</definedName>
    <definedName name="jgojiuhu" localSheetId="29">#REF!</definedName>
    <definedName name="jgojiuhu" localSheetId="31">#REF!</definedName>
    <definedName name="jgojiuhu" localSheetId="15">#REF!</definedName>
    <definedName name="jgojiuhu" localSheetId="13">#REF!</definedName>
    <definedName name="jgojiuhu" localSheetId="17">#REF!</definedName>
    <definedName name="jgojiuhu" localSheetId="12">#REF!</definedName>
    <definedName name="jgojiuhu" localSheetId="22">#REF!</definedName>
    <definedName name="jgojiuhu" localSheetId="28">#REF!</definedName>
    <definedName name="jgojiuhu" localSheetId="35">#REF!</definedName>
    <definedName name="jgojiuhu">#REF!</definedName>
    <definedName name="JH">#N/A</definedName>
    <definedName name="JHDYGFFD">#N/A</definedName>
    <definedName name="JHFK">#N/A</definedName>
    <definedName name="JHFK.">#N/A</definedName>
    <definedName name="jhgjhgjhh" localSheetId="18">[6]!jhgjhgjhh</definedName>
    <definedName name="jhgjhgjhh" localSheetId="25">[6]!jhgjhgjhh</definedName>
    <definedName name="jhgjhgjhh" localSheetId="29">[6]!jhgjhgjhh</definedName>
    <definedName name="jhgjhgjhh" localSheetId="31">[6]!jhgjhgjhh</definedName>
    <definedName name="jhgjhgjhh" localSheetId="15">[6]!jhgjhgjhh</definedName>
    <definedName name="jhgjhgjhh" localSheetId="13">[6]!jhgjhgjhh</definedName>
    <definedName name="jhgjhgjhh" localSheetId="19">[7]!jhgjhgjhh</definedName>
    <definedName name="jhgjhgjhh" localSheetId="17">[6]!jhgjhgjhh</definedName>
    <definedName name="jhgjhgjhh" localSheetId="12">[6]!jhgjhgjhh</definedName>
    <definedName name="jhgjhgjhh" localSheetId="22">[8]!jhgjhgjhh</definedName>
    <definedName name="jhgjhgjhh">[6]!jhgjhgjhh</definedName>
    <definedName name="jhgjhgjhh___0" localSheetId="25">LastAmort___0</definedName>
    <definedName name="jhgjhgjhh___0" localSheetId="19">LastAmort___0</definedName>
    <definedName name="jhgjhgjhh___0" localSheetId="22">LastAmort___0</definedName>
    <definedName name="jhgjhgjhh___0" localSheetId="28">LastAmort___0</definedName>
    <definedName name="jhgjhgjhh___0" localSheetId="35">LastAmort___0</definedName>
    <definedName name="jhgjhgjhh___0">LastAmort___0</definedName>
    <definedName name="jhgjhgjhh___12" localSheetId="25">LastAmort___12</definedName>
    <definedName name="jhgjhgjhh___12" localSheetId="19">LastAmort___12</definedName>
    <definedName name="jhgjhgjhh___12" localSheetId="22">LastAmort___12</definedName>
    <definedName name="jhgjhgjhh___12" localSheetId="28">LastAmort___12</definedName>
    <definedName name="jhgjhgjhh___12" localSheetId="35">LastAmort___12</definedName>
    <definedName name="jhgjhgjhh___12">LastAmort___12</definedName>
    <definedName name="jhgjhgjhh___14" localSheetId="25">LastAmort___14</definedName>
    <definedName name="jhgjhgjhh___14" localSheetId="19">LastAmort___14</definedName>
    <definedName name="jhgjhgjhh___14" localSheetId="22">LastAmort___14</definedName>
    <definedName name="jhgjhgjhh___14" localSheetId="28">LastAmort___14</definedName>
    <definedName name="jhgjhgjhh___14" localSheetId="35">LastAmort___14</definedName>
    <definedName name="jhgjhgjhh___14">LastAmort___14</definedName>
    <definedName name="jhgjhgjhh___16" localSheetId="25">LAssets___0</definedName>
    <definedName name="jhgjhgjhh___16" localSheetId="19">LAssets___0</definedName>
    <definedName name="jhgjhgjhh___16" localSheetId="22">LAssets___0</definedName>
    <definedName name="jhgjhgjhh___16" localSheetId="28">LAssets___0</definedName>
    <definedName name="jhgjhgjhh___16" localSheetId="35">LAssets___0</definedName>
    <definedName name="jhgjhgjhh___16">LAssets___0</definedName>
    <definedName name="jhgjhgjhh___2" localSheetId="25">LastAmort___2</definedName>
    <definedName name="jhgjhgjhh___2" localSheetId="19">LastAmort___2</definedName>
    <definedName name="jhgjhgjhh___2" localSheetId="22">LastAmort___2</definedName>
    <definedName name="jhgjhgjhh___2" localSheetId="28">LastAmort___2</definedName>
    <definedName name="jhgjhgjhh___2" localSheetId="35">LastAmort___2</definedName>
    <definedName name="jhgjhgjhh___2">LastAmort___2</definedName>
    <definedName name="jhgjhgjhh___23" localSheetId="25">LAssets___7</definedName>
    <definedName name="jhgjhgjhh___23" localSheetId="19">LAssets___7</definedName>
    <definedName name="jhgjhgjhh___23" localSheetId="22">LAssets___7</definedName>
    <definedName name="jhgjhgjhh___23" localSheetId="28">LAssets___7</definedName>
    <definedName name="jhgjhgjhh___23" localSheetId="35">LAssets___7</definedName>
    <definedName name="jhgjhgjhh___23">LAssets___7</definedName>
    <definedName name="jhgjhgjhh___25" localSheetId="25">LastAmort___16</definedName>
    <definedName name="jhgjhgjhh___25" localSheetId="19">LastAmort___16</definedName>
    <definedName name="jhgjhgjhh___25" localSheetId="22">LastAmort___16</definedName>
    <definedName name="jhgjhgjhh___25" localSheetId="28">LastAmort___16</definedName>
    <definedName name="jhgjhgjhh___25" localSheetId="35">LastAmort___16</definedName>
    <definedName name="jhgjhgjhh___25">LastAmort___16</definedName>
    <definedName name="jhgjhgjhh___26" localSheetId="25">LastAmort___26</definedName>
    <definedName name="jhgjhgjhh___26" localSheetId="19">LastAmort___26</definedName>
    <definedName name="jhgjhgjhh___26" localSheetId="22">LastAmort___26</definedName>
    <definedName name="jhgjhgjhh___26" localSheetId="28">LastAmort___26</definedName>
    <definedName name="jhgjhgjhh___26" localSheetId="35">LastAmort___26</definedName>
    <definedName name="jhgjhgjhh___26">LastAmort___26</definedName>
    <definedName name="jhgjhgjhh___27" localSheetId="25">LastAmort___27</definedName>
    <definedName name="jhgjhgjhh___27" localSheetId="19">LastAmort___27</definedName>
    <definedName name="jhgjhgjhh___27" localSheetId="22">LastAmort___27</definedName>
    <definedName name="jhgjhgjhh___27" localSheetId="28">LastAmort___27</definedName>
    <definedName name="jhgjhgjhh___27" localSheetId="35">LastAmort___27</definedName>
    <definedName name="jhgjhgjhh___27">LastAmort___27</definedName>
    <definedName name="jhgjhgjhh___3" localSheetId="25">LastAmort___25</definedName>
    <definedName name="jhgjhgjhh___3" localSheetId="19">LastAmort___25</definedName>
    <definedName name="jhgjhgjhh___3" localSheetId="22">LastAmort___25</definedName>
    <definedName name="jhgjhgjhh___3" localSheetId="28">LastAmort___25</definedName>
    <definedName name="jhgjhgjhh___3" localSheetId="35">LastAmort___25</definedName>
    <definedName name="jhgjhgjhh___3">LastAmort___25</definedName>
    <definedName name="jhgjhgjhh___4">#N/A</definedName>
    <definedName name="jhgjhgjhh___5" localSheetId="25">LastAmort___5</definedName>
    <definedName name="jhgjhgjhh___5" localSheetId="19">LastAmort___5</definedName>
    <definedName name="jhgjhgjhh___5" localSheetId="22">LastAmort___5</definedName>
    <definedName name="jhgjhgjhh___5" localSheetId="28">LastAmort___5</definedName>
    <definedName name="jhgjhgjhh___5" localSheetId="35">LastAmort___5</definedName>
    <definedName name="jhgjhgjhh___5">LastAmort___5</definedName>
    <definedName name="jhgjhgjhh___6" localSheetId="25">LAssets___26</definedName>
    <definedName name="jhgjhgjhh___6" localSheetId="19">LAssets___26</definedName>
    <definedName name="jhgjhgjhh___6" localSheetId="22">LAssets___26</definedName>
    <definedName name="jhgjhgjhh___6" localSheetId="28">LAssets___26</definedName>
    <definedName name="jhgjhgjhh___6" localSheetId="35">LAssets___26</definedName>
    <definedName name="jhgjhgjhh___6">LAssets___26</definedName>
    <definedName name="jhgjhgjhh___7" localSheetId="25">LastAmort___7</definedName>
    <definedName name="jhgjhgjhh___7" localSheetId="19">LastAmort___7</definedName>
    <definedName name="jhgjhgjhh___7" localSheetId="22">LastAmort___7</definedName>
    <definedName name="jhgjhgjhh___7" localSheetId="28">LastAmort___7</definedName>
    <definedName name="jhgjhgjhh___7" localSheetId="35">LastAmort___7</definedName>
    <definedName name="jhgjhgjhh___7">LastAmort___7</definedName>
    <definedName name="jhgjhgjhh___9" localSheetId="25">LastAmort___4</definedName>
    <definedName name="jhgjhgjhh___9" localSheetId="19">LastAmort___4</definedName>
    <definedName name="jhgjhgjhh___9" localSheetId="22">LastAmort___4</definedName>
    <definedName name="jhgjhgjhh___9" localSheetId="28">LastAmort___4</definedName>
    <definedName name="jhgjhgjhh___9" localSheetId="35">LastAmort___4</definedName>
    <definedName name="jhgjhgjhh___9">LastAmort___4</definedName>
    <definedName name="jhgjuy" localSheetId="18">[6]!jhgjuy</definedName>
    <definedName name="jhgjuy" localSheetId="25">[6]!jhgjuy</definedName>
    <definedName name="jhgjuy" localSheetId="29">[6]!jhgjuy</definedName>
    <definedName name="jhgjuy" localSheetId="31">[6]!jhgjuy</definedName>
    <definedName name="jhgjuy" localSheetId="15">[6]!jhgjuy</definedName>
    <definedName name="jhgjuy" localSheetId="13">[6]!jhgjuy</definedName>
    <definedName name="jhgjuy" localSheetId="19">[7]!jhgjuy</definedName>
    <definedName name="jhgjuy" localSheetId="17">[6]!jhgjuy</definedName>
    <definedName name="jhgjuy" localSheetId="12">[6]!jhgjuy</definedName>
    <definedName name="jhgjuy" localSheetId="22">[8]!jhgjuy</definedName>
    <definedName name="jhgjuy">[6]!jhgjuy</definedName>
    <definedName name="jhy">#N/A</definedName>
    <definedName name="JHYBG">#N/A</definedName>
    <definedName name="JHYGB" localSheetId="18">[6]!JHYGB</definedName>
    <definedName name="JHYGB" localSheetId="25">[6]!JHYGB</definedName>
    <definedName name="JHYGB" localSheetId="29">[6]!JHYGB</definedName>
    <definedName name="JHYGB" localSheetId="31">[6]!JHYGB</definedName>
    <definedName name="JHYGB" localSheetId="15">[6]!JHYGB</definedName>
    <definedName name="JHYGB" localSheetId="13">[6]!JHYGB</definedName>
    <definedName name="JHYGB" localSheetId="19">[7]!JHYGB</definedName>
    <definedName name="JHYGB" localSheetId="17">[6]!JHYGB</definedName>
    <definedName name="JHYGB" localSheetId="12">[6]!JHYGB</definedName>
    <definedName name="JHYGB" localSheetId="22">[8]!JHYGB</definedName>
    <definedName name="JHYGB">[6]!JHYGB</definedName>
    <definedName name="jhyt">#N/A</definedName>
    <definedName name="jijijoi">#N/A</definedName>
    <definedName name="jj" localSheetId="18">[6]!jj</definedName>
    <definedName name="jj" localSheetId="25">[6]!jj</definedName>
    <definedName name="jj" localSheetId="29">[6]!jj</definedName>
    <definedName name="jj" localSheetId="31">[6]!jj</definedName>
    <definedName name="jj" localSheetId="15">[6]!jj</definedName>
    <definedName name="jj" localSheetId="13">[6]!jj</definedName>
    <definedName name="jj" localSheetId="19">[7]!jj</definedName>
    <definedName name="jj" localSheetId="17">[6]!jj</definedName>
    <definedName name="jj" localSheetId="12">[6]!jj</definedName>
    <definedName name="jj" localSheetId="22">[8]!jj</definedName>
    <definedName name="jj">[6]!jj</definedName>
    <definedName name="JJJJJ">#N/A</definedName>
    <definedName name="JJJJJJ" localSheetId="18">[6]!JJJJJJ</definedName>
    <definedName name="JJJJJJ" localSheetId="25">[6]!JJJJJJ</definedName>
    <definedName name="JJJJJJ" localSheetId="29">[6]!JJJJJJ</definedName>
    <definedName name="JJJJJJ" localSheetId="31">[6]!JJJJJJ</definedName>
    <definedName name="JJJJJJ" localSheetId="15">[6]!JJJJJJ</definedName>
    <definedName name="JJJJJJ" localSheetId="13">[6]!JJJJJJ</definedName>
    <definedName name="JJJJJJ" localSheetId="19">[7]!JJJJJJ</definedName>
    <definedName name="JJJJJJ" localSheetId="17">[6]!JJJJJJ</definedName>
    <definedName name="JJJJJJ" localSheetId="12">[6]!JJJJJJ</definedName>
    <definedName name="JJJJJJ" localSheetId="22">[8]!JJJJJJ</definedName>
    <definedName name="JJJJJJ">[6]!JJJJJJ</definedName>
    <definedName name="JJJJJJJJJJJ">#N/A</definedName>
    <definedName name="JJKH" localSheetId="18">#REF!</definedName>
    <definedName name="JJKH" localSheetId="25">#REF!</definedName>
    <definedName name="JJKH" localSheetId="29">#REF!</definedName>
    <definedName name="JJKH" localSheetId="31">#REF!</definedName>
    <definedName name="JJKH" localSheetId="15">#REF!</definedName>
    <definedName name="JJKH" localSheetId="13">#REF!</definedName>
    <definedName name="JJKH" localSheetId="17">#REF!</definedName>
    <definedName name="JJKH" localSheetId="12">#REF!</definedName>
    <definedName name="JJKH" localSheetId="22">#REF!</definedName>
    <definedName name="JJKH" localSheetId="28">#REF!</definedName>
    <definedName name="JJKH" localSheetId="35">#REF!</definedName>
    <definedName name="JJKH">#REF!</definedName>
    <definedName name="jjsf" localSheetId="18">#REF!</definedName>
    <definedName name="jjsf" localSheetId="25">#REF!</definedName>
    <definedName name="jjsf" localSheetId="29">#REF!</definedName>
    <definedName name="jjsf" localSheetId="31">#REF!</definedName>
    <definedName name="jjsf" localSheetId="15">#REF!</definedName>
    <definedName name="jjsf" localSheetId="13">#REF!</definedName>
    <definedName name="jjsf" localSheetId="17">#REF!</definedName>
    <definedName name="jjsf" localSheetId="12">#REF!</definedName>
    <definedName name="jjsf" localSheetId="22">#REF!</definedName>
    <definedName name="jjsf" localSheetId="28">#REF!</definedName>
    <definedName name="jjsf" localSheetId="35">#REF!</definedName>
    <definedName name="jjsf">#REF!</definedName>
    <definedName name="jkl" localSheetId="28" hidden="1">{#N/A,#N/A,FALSE,"EL-M-01";#N/A,#N/A,FALSE,"EL-M-02";#N/A,#N/A,FALSE,"EL-M-03";#N/A,#N/A,FALSE,"EL-S-01";#N/A,#N/A,FALSE,"EL-S-02";#N/A,#N/A,FALSE,"EL-A-01";#N/A,#N/A,FALSE,"EL-A-02"}</definedName>
    <definedName name="jkl" localSheetId="35" hidden="1">{#N/A,#N/A,FALSE,"EL-M-01";#N/A,#N/A,FALSE,"EL-M-02";#N/A,#N/A,FALSE,"EL-M-03";#N/A,#N/A,FALSE,"EL-S-01";#N/A,#N/A,FALSE,"EL-S-02";#N/A,#N/A,FALSE,"EL-A-01";#N/A,#N/A,FALSE,"EL-A-02"}</definedName>
    <definedName name="jkl" hidden="1">{#N/A,#N/A,FALSE,"EL-M-01";#N/A,#N/A,FALSE,"EL-M-02";#N/A,#N/A,FALSE,"EL-M-03";#N/A,#N/A,FALSE,"EL-S-01";#N/A,#N/A,FALSE,"EL-S-02";#N/A,#N/A,FALSE,"EL-A-01";#N/A,#N/A,FALSE,"EL-A-02"}</definedName>
    <definedName name="JLKJLK" localSheetId="18">#REF!</definedName>
    <definedName name="JLKJLK" localSheetId="25">#REF!</definedName>
    <definedName name="JLKJLK" localSheetId="29">#REF!</definedName>
    <definedName name="JLKJLK" localSheetId="31">#REF!</definedName>
    <definedName name="JLKJLK" localSheetId="15">#REF!</definedName>
    <definedName name="JLKJLK" localSheetId="13">#REF!</definedName>
    <definedName name="JLKJLK" localSheetId="17">#REF!</definedName>
    <definedName name="JLKJLK" localSheetId="12">#REF!</definedName>
    <definedName name="JLKJLK" localSheetId="22">#REF!</definedName>
    <definedName name="JLKJLK" localSheetId="28">#REF!</definedName>
    <definedName name="JLKJLK" localSheetId="35">#REF!</definedName>
    <definedName name="JLKJLK">#REF!</definedName>
    <definedName name="JNBGHVC" localSheetId="18">[6]!JNBGHVC</definedName>
    <definedName name="JNBGHVC" localSheetId="25">[6]!JNBGHVC</definedName>
    <definedName name="JNBGHVC" localSheetId="29">[6]!JNBGHVC</definedName>
    <definedName name="JNBGHVC" localSheetId="31">[6]!JNBGHVC</definedName>
    <definedName name="JNBGHVC" localSheetId="15">[6]!JNBGHVC</definedName>
    <definedName name="JNBGHVC" localSheetId="13">[6]!JNBGHVC</definedName>
    <definedName name="JNBGHVC" localSheetId="19">[7]!JNBGHVC</definedName>
    <definedName name="JNBGHVC" localSheetId="17">[6]!JNBGHVC</definedName>
    <definedName name="JNBGHVC" localSheetId="12">[6]!JNBGHVC</definedName>
    <definedName name="JNBGHVC" localSheetId="22">[8]!JNBGHVC</definedName>
    <definedName name="JNBGHVC">[6]!JNBGHVC</definedName>
    <definedName name="jnijk" localSheetId="18">[6]!jnijk</definedName>
    <definedName name="jnijk" localSheetId="25">[6]!jnijk</definedName>
    <definedName name="jnijk" localSheetId="29">[6]!jnijk</definedName>
    <definedName name="jnijk" localSheetId="31">[6]!jnijk</definedName>
    <definedName name="jnijk" localSheetId="15">[6]!jnijk</definedName>
    <definedName name="jnijk" localSheetId="13">[6]!jnijk</definedName>
    <definedName name="jnijk" localSheetId="19">[7]!jnijk</definedName>
    <definedName name="jnijk" localSheetId="17">[6]!jnijk</definedName>
    <definedName name="jnijk" localSheetId="12">[6]!jnijk</definedName>
    <definedName name="jnijk" localSheetId="22">[8]!jnijk</definedName>
    <definedName name="jnijk">[6]!jnijk</definedName>
    <definedName name="Jourprod">[25]Ventes!$V$2:$V$18806</definedName>
    <definedName name="jqksdsqkd" localSheetId="2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localSheetId="35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sfjf" localSheetId="18">#REF!</definedName>
    <definedName name="jsfjf" localSheetId="25">#REF!</definedName>
    <definedName name="jsfjf" localSheetId="29">#REF!</definedName>
    <definedName name="jsfjf" localSheetId="31">#REF!</definedName>
    <definedName name="jsfjf" localSheetId="15">#REF!</definedName>
    <definedName name="jsfjf" localSheetId="13">#REF!</definedName>
    <definedName name="jsfjf" localSheetId="17">#REF!</definedName>
    <definedName name="jsfjf" localSheetId="12">#REF!</definedName>
    <definedName name="jsfjf" localSheetId="22">#REF!</definedName>
    <definedName name="jsfjf" localSheetId="28">#REF!</definedName>
    <definedName name="jsfjf" localSheetId="35">#REF!</definedName>
    <definedName name="jsfjf">#REF!</definedName>
    <definedName name="jtkyu" localSheetId="18">#REF!</definedName>
    <definedName name="jtkyu" localSheetId="25">#REF!</definedName>
    <definedName name="jtkyu" localSheetId="29">#REF!</definedName>
    <definedName name="jtkyu" localSheetId="31">#REF!</definedName>
    <definedName name="jtkyu" localSheetId="15">#REF!</definedName>
    <definedName name="jtkyu" localSheetId="13">#REF!</definedName>
    <definedName name="jtkyu" localSheetId="17">#REF!</definedName>
    <definedName name="jtkyu" localSheetId="12">#REF!</definedName>
    <definedName name="jtkyu" localSheetId="22">#REF!</definedName>
    <definedName name="jtkyu" localSheetId="28">#REF!</definedName>
    <definedName name="jtkyu" localSheetId="35">#REF!</definedName>
    <definedName name="jtkyu">#REF!</definedName>
    <definedName name="JTYJKYTK" localSheetId="18">[6]!JTYJKYTK</definedName>
    <definedName name="JTYJKYTK" localSheetId="25">[6]!JTYJKYTK</definedName>
    <definedName name="JTYJKYTK" localSheetId="29">[6]!JTYJKYTK</definedName>
    <definedName name="JTYJKYTK" localSheetId="31">[6]!JTYJKYTK</definedName>
    <definedName name="JTYJKYTK" localSheetId="15">[6]!JTYJKYTK</definedName>
    <definedName name="JTYJKYTK" localSheetId="13">[6]!JTYJKYTK</definedName>
    <definedName name="JTYJKYTK" localSheetId="19">[7]!JTYJKYTK</definedName>
    <definedName name="JTYJKYTK" localSheetId="17">[6]!JTYJKYTK</definedName>
    <definedName name="JTYJKYTK" localSheetId="12">[6]!JTYJKYTK</definedName>
    <definedName name="JTYJKYTK" localSheetId="22">[8]!JTYJKYTK</definedName>
    <definedName name="JTYJKYTK">[6]!JTYJKYTK</definedName>
    <definedName name="juin" localSheetId="18">#REF!</definedName>
    <definedName name="juin" localSheetId="25">#REF!</definedName>
    <definedName name="juin" localSheetId="29">#REF!</definedName>
    <definedName name="juin" localSheetId="31">#REF!</definedName>
    <definedName name="juin" localSheetId="15">#REF!</definedName>
    <definedName name="juin" localSheetId="13">#REF!</definedName>
    <definedName name="juin" localSheetId="17">#REF!</definedName>
    <definedName name="juin" localSheetId="12">#REF!</definedName>
    <definedName name="juin" localSheetId="22">#REF!</definedName>
    <definedName name="juin" localSheetId="28">#REF!</definedName>
    <definedName name="juin" localSheetId="35">#REF!</definedName>
    <definedName name="juin">#REF!</definedName>
    <definedName name="julei" localSheetId="28">#N/A</definedName>
    <definedName name="julei" localSheetId="35">'Taxe 5%'!julei</definedName>
    <definedName name="julei">'Taxe 5%'!julei</definedName>
    <definedName name="July" localSheetId="18">#REF!</definedName>
    <definedName name="July" localSheetId="25">#REF!</definedName>
    <definedName name="July" localSheetId="29">#REF!</definedName>
    <definedName name="July" localSheetId="31">#REF!</definedName>
    <definedName name="July" localSheetId="15">#REF!</definedName>
    <definedName name="July" localSheetId="13">#REF!</definedName>
    <definedName name="July" localSheetId="17">#REF!</definedName>
    <definedName name="July" localSheetId="12">#REF!</definedName>
    <definedName name="July" localSheetId="22">#REF!</definedName>
    <definedName name="July" localSheetId="28">#REF!</definedName>
    <definedName name="July" localSheetId="35">#REF!</definedName>
    <definedName name="July">#REF!</definedName>
    <definedName name="June" localSheetId="18">#REF!</definedName>
    <definedName name="June" localSheetId="25">#REF!</definedName>
    <definedName name="June" localSheetId="29">#REF!</definedName>
    <definedName name="June" localSheetId="31">#REF!</definedName>
    <definedName name="June" localSheetId="15">#REF!</definedName>
    <definedName name="June" localSheetId="13">#REF!</definedName>
    <definedName name="June" localSheetId="17">#REF!</definedName>
    <definedName name="June" localSheetId="12">#REF!</definedName>
    <definedName name="June" localSheetId="22">#REF!</definedName>
    <definedName name="June" localSheetId="28">#REF!</definedName>
    <definedName name="June" localSheetId="35">#REF!</definedName>
    <definedName name="June">#REF!</definedName>
    <definedName name="JYDTJKTK" localSheetId="18">[6]!JYDTJKTK</definedName>
    <definedName name="JYDTJKTK" localSheetId="25">[6]!JYDTJKTK</definedName>
    <definedName name="JYDTJKTK" localSheetId="29">[6]!JYDTJKTK</definedName>
    <definedName name="JYDTJKTK" localSheetId="31">[6]!JYDTJKTK</definedName>
    <definedName name="JYDTJKTK" localSheetId="15">[6]!JYDTJKTK</definedName>
    <definedName name="JYDTJKTK" localSheetId="13">[6]!JYDTJKTK</definedName>
    <definedName name="JYDTJKTK" localSheetId="19">[7]!JYDTJKTK</definedName>
    <definedName name="JYDTJKTK" localSheetId="17">[6]!JYDTJKTK</definedName>
    <definedName name="JYDTJKTK" localSheetId="12">[6]!JYDTJKTK</definedName>
    <definedName name="JYDTJKTK" localSheetId="22">[8]!JYDTJKTK</definedName>
    <definedName name="JYDTJKTK">[6]!JYDTJKTK</definedName>
    <definedName name="jzrdsf" localSheetId="18">[6]!jzrdsf</definedName>
    <definedName name="jzrdsf" localSheetId="25">[6]!jzrdsf</definedName>
    <definedName name="jzrdsf" localSheetId="29">[6]!jzrdsf</definedName>
    <definedName name="jzrdsf" localSheetId="31">[6]!jzrdsf</definedName>
    <definedName name="jzrdsf" localSheetId="15">[6]!jzrdsf</definedName>
    <definedName name="jzrdsf" localSheetId="13">[6]!jzrdsf</definedName>
    <definedName name="jzrdsf" localSheetId="19">[7]!jzrdsf</definedName>
    <definedName name="jzrdsf" localSheetId="17">[6]!jzrdsf</definedName>
    <definedName name="jzrdsf" localSheetId="12">[6]!jzrdsf</definedName>
    <definedName name="jzrdsf" localSheetId="22">[8]!jzrdsf</definedName>
    <definedName name="jzrdsf">[6]!jzrdsf</definedName>
    <definedName name="K" localSheetId="18">#REF!</definedName>
    <definedName name="K" localSheetId="25">#REF!</definedName>
    <definedName name="K" localSheetId="29">#REF!</definedName>
    <definedName name="K" localSheetId="31">#REF!</definedName>
    <definedName name="K" localSheetId="15">#REF!</definedName>
    <definedName name="K" localSheetId="13">#REF!</definedName>
    <definedName name="K" localSheetId="17">#REF!</definedName>
    <definedName name="K" localSheetId="12">#REF!</definedName>
    <definedName name="K" localSheetId="22">#REF!</definedName>
    <definedName name="K" localSheetId="28">#REF!</definedName>
    <definedName name="K" localSheetId="35">#REF!</definedName>
    <definedName name="K">#REF!</definedName>
    <definedName name="K___0">#N/A</definedName>
    <definedName name="K___12">#N/A</definedName>
    <definedName name="K___14">#N/A</definedName>
    <definedName name="K___16">#N/A</definedName>
    <definedName name="K___2">#N/A</definedName>
    <definedName name="K___25">#N/A</definedName>
    <definedName name="K___26">#N/A</definedName>
    <definedName name="K___27">#N/A</definedName>
    <definedName name="K___4">#N/A</definedName>
    <definedName name="K___5">#N/A</definedName>
    <definedName name="K___7">#N/A</definedName>
    <definedName name="ka" localSheetId="25" hidden="1">{"IS",#N/A,FALSE,"IS";"RPTIS",#N/A,FALSE,"RPTIS";"STATS",#N/A,FALSE,"STATS";"CELL",#N/A,FALSE,"CELL";"BS",#N/A,FALSE,"BS"}</definedName>
    <definedName name="ka" localSheetId="19" hidden="1">{"IS",#N/A,FALSE,"IS";"RPTIS",#N/A,FALSE,"RPTIS";"STATS",#N/A,FALSE,"STATS";"CELL",#N/A,FALSE,"CELL";"BS",#N/A,FALSE,"BS"}</definedName>
    <definedName name="ka" localSheetId="22" hidden="1">{"IS",#N/A,FALSE,"IS";"RPTIS",#N/A,FALSE,"RPTIS";"STATS",#N/A,FALSE,"STATS";"CELL",#N/A,FALSE,"CELL";"BS",#N/A,FALSE,"BS"}</definedName>
    <definedName name="ka" localSheetId="28" hidden="1">{"IS",#N/A,FALSE,"IS";"RPTIS",#N/A,FALSE,"RPTIS";"STATS",#N/A,FALSE,"STATS";"CELL",#N/A,FALSE,"CELL";"BS",#N/A,FALSE,"BS"}</definedName>
    <definedName name="ka" localSheetId="35" hidden="1">{"IS",#N/A,FALSE,"IS";"RPTIS",#N/A,FALSE,"RPTIS";"STATS",#N/A,FALSE,"STATS";"CELL",#N/A,FALSE,"CELL";"BS",#N/A,FALSE,"BS"}</definedName>
    <definedName name="ka" hidden="1">{"IS",#N/A,FALSE,"IS";"RPTIS",#N/A,FALSE,"RPTIS";"STATS",#N/A,FALSE,"STATS";"CELL",#N/A,FALSE,"CELL";"BS",#N/A,FALSE,"BS"}</definedName>
    <definedName name="kadmiri" localSheetId="29">'[52]FES  ATLAS'!#REF!</definedName>
    <definedName name="kadmiri" localSheetId="31">'[52]FES  ATLAS'!#REF!</definedName>
    <definedName name="kadmiri" localSheetId="28">'[52]FES  ATLAS'!#REF!</definedName>
    <definedName name="kadmiri" localSheetId="35">'[52]FES  ATLAS'!#REF!</definedName>
    <definedName name="kadmiri">'[52]FES  ATLAS'!#REF!</definedName>
    <definedName name="kazd" localSheetId="29">'[52]FES  ATLAS'!#REF!</definedName>
    <definedName name="kazd" localSheetId="31">'[52]FES  ATLAS'!#REF!</definedName>
    <definedName name="kazd" localSheetId="28">'[52]FES  ATLAS'!#REF!</definedName>
    <definedName name="kazd" localSheetId="35">'[52]FES  ATLAS'!#REF!</definedName>
    <definedName name="kazd">'[52]FES  ATLAS'!#REF!</definedName>
    <definedName name="KBoardPt">'[108]DO NOT TOUCH'!$B$43:$B$55</definedName>
    <definedName name="kd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 localSheetId="18">[6]!kdnhfg</definedName>
    <definedName name="kdnhfg" localSheetId="25">[6]!kdnhfg</definedName>
    <definedName name="kdnhfg" localSheetId="29">[6]!kdnhfg</definedName>
    <definedName name="kdnhfg" localSheetId="31">[6]!kdnhfg</definedName>
    <definedName name="kdnhfg" localSheetId="15">[6]!kdnhfg</definedName>
    <definedName name="kdnhfg" localSheetId="13">[6]!kdnhfg</definedName>
    <definedName name="kdnhfg" localSheetId="19">[7]!kdnhfg</definedName>
    <definedName name="kdnhfg" localSheetId="17">[6]!kdnhfg</definedName>
    <definedName name="kdnhfg" localSheetId="12">[6]!kdnhfg</definedName>
    <definedName name="kdnhfg" localSheetId="22">[8]!kdnhfg</definedName>
    <definedName name="kdnhfg">[6]!kdnhfg</definedName>
    <definedName name="ke" localSheetId="25" hidden="1">{"orixcsc",#N/A,FALSE,"ORIX CSC";"orixcsc2",#N/A,FALSE,"ORIX CSC"}</definedName>
    <definedName name="ke" localSheetId="19" hidden="1">{"orixcsc",#N/A,FALSE,"ORIX CSC";"orixcsc2",#N/A,FALSE,"ORIX CSC"}</definedName>
    <definedName name="ke" localSheetId="22" hidden="1">{"orixcsc",#N/A,FALSE,"ORIX CSC";"orixcsc2",#N/A,FALSE,"ORIX CSC"}</definedName>
    <definedName name="ke" localSheetId="28" hidden="1">{"orixcsc",#N/A,FALSE,"ORIX CSC";"orixcsc2",#N/A,FALSE,"ORIX CSC"}</definedName>
    <definedName name="ke" localSheetId="35" hidden="1">{"orixcsc",#N/A,FALSE,"ORIX CSC";"orixcsc2",#N/A,FALSE,"ORIX CSC"}</definedName>
    <definedName name="ke" hidden="1">{"orixcsc",#N/A,FALSE,"ORIX CSC";"orixcsc2",#N/A,FALSE,"ORIX CSC"}</definedName>
    <definedName name="Kenitra">#N/A</definedName>
    <definedName name="Keyboards" localSheetId="29">#REF!</definedName>
    <definedName name="Keyboards" localSheetId="31">#REF!</definedName>
    <definedName name="Keyboards" localSheetId="28">#REF!</definedName>
    <definedName name="Keyboards" localSheetId="35">#REF!</definedName>
    <definedName name="Keyboards">#REF!</definedName>
    <definedName name="KeyPt" localSheetId="29">#REF!</definedName>
    <definedName name="KeyPt" localSheetId="31">#REF!</definedName>
    <definedName name="KeyPt" localSheetId="28">#REF!</definedName>
    <definedName name="KeyPt" localSheetId="35">#REF!</definedName>
    <definedName name="KeyPt">#REF!</definedName>
    <definedName name="KeyValues" localSheetId="29">#REF!</definedName>
    <definedName name="KeyValues" localSheetId="31">#REF!</definedName>
    <definedName name="KeyValues" localSheetId="28">#REF!</definedName>
    <definedName name="KeyValues" localSheetId="35">#REF!</definedName>
    <definedName name="KeyValues">#REF!</definedName>
    <definedName name="kf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29">#REF!</definedName>
    <definedName name="KFG" localSheetId="31">#REF!</definedName>
    <definedName name="KFG" localSheetId="28">#REF!</definedName>
    <definedName name="KFG" localSheetId="35">#REF!</definedName>
    <definedName name="KFG">#REF!</definedName>
    <definedName name="kfhgdj" localSheetId="18">[6]!kfhgdj</definedName>
    <definedName name="kfhgdj" localSheetId="25">[6]!kfhgdj</definedName>
    <definedName name="kfhgdj" localSheetId="29">[6]!kfhgdj</definedName>
    <definedName name="kfhgdj" localSheetId="31">[6]!kfhgdj</definedName>
    <definedName name="kfhgdj" localSheetId="15">[6]!kfhgdj</definedName>
    <definedName name="kfhgdj" localSheetId="13">[6]!kfhgdj</definedName>
    <definedName name="kfhgdj" localSheetId="19">[7]!kfhgdj</definedName>
    <definedName name="kfhgdj" localSheetId="17">[6]!kfhgdj</definedName>
    <definedName name="kfhgdj" localSheetId="12">[6]!kfhgdj</definedName>
    <definedName name="kfhgdj" localSheetId="22">[8]!kfhgdj</definedName>
    <definedName name="kfhgdj">[6]!kfhgdj</definedName>
    <definedName name="kfhy">#N/A</definedName>
    <definedName name="kfjdfj" localSheetId="18">#REF!</definedName>
    <definedName name="kfjdfj" localSheetId="25">#REF!</definedName>
    <definedName name="kfjdfj" localSheetId="29">#REF!</definedName>
    <definedName name="kfjdfj" localSheetId="31">#REF!</definedName>
    <definedName name="kfjdfj" localSheetId="15">#REF!</definedName>
    <definedName name="kfjdfj" localSheetId="13">#REF!</definedName>
    <definedName name="kfjdfj" localSheetId="17">#REF!</definedName>
    <definedName name="kfjdfj" localSheetId="12">#REF!</definedName>
    <definedName name="kfjdfj" localSheetId="22">#REF!</definedName>
    <definedName name="kfjdfj" localSheetId="28">#REF!</definedName>
    <definedName name="kfjdfj" localSheetId="35">#REF!</definedName>
    <definedName name="kfjdfj">#REF!</definedName>
    <definedName name="kg" localSheetId="25" hidden="1">{"print 1",#N/A,FALSE,"PrimeCo PCS";"print 2",#N/A,FALSE,"PrimeCo PCS";"valuation",#N/A,FALSE,"PrimeCo PCS"}</definedName>
    <definedName name="kg" localSheetId="19" hidden="1">{"print 1",#N/A,FALSE,"PrimeCo PCS";"print 2",#N/A,FALSE,"PrimeCo PCS";"valuation",#N/A,FALSE,"PrimeCo PCS"}</definedName>
    <definedName name="kg" localSheetId="22" hidden="1">{"print 1",#N/A,FALSE,"PrimeCo PCS";"print 2",#N/A,FALSE,"PrimeCo PCS";"valuation",#N/A,FALSE,"PrimeCo PCS"}</definedName>
    <definedName name="kg" localSheetId="28" hidden="1">{"print 1",#N/A,FALSE,"PrimeCo PCS";"print 2",#N/A,FALSE,"PrimeCo PCS";"valuation",#N/A,FALSE,"PrimeCo PCS"}</definedName>
    <definedName name="kg" localSheetId="35" hidden="1">{"print 1",#N/A,FALSE,"PrimeCo PCS";"print 2",#N/A,FALSE,"PrimeCo PCS";"valuation",#N/A,FALSE,"PrimeCo PCS"}</definedName>
    <definedName name="kg" hidden="1">{"print 1",#N/A,FALSE,"PrimeCo PCS";"print 2",#N/A,FALSE,"PrimeCo PCS";"valuation",#N/A,FALSE,"PrimeCo PCS"}</definedName>
    <definedName name="kgkgk" localSheetId="28" hidden="1">{#N/A,#N/A,TRUE,"Cover sheet";#N/A,#N/A,TRUE,"DCF analysis";#N/A,#N/A,TRUE,"WACC calculation"}</definedName>
    <definedName name="kgkgk" localSheetId="35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glkdfjg" localSheetId="18">#REF!</definedName>
    <definedName name="kglkdfjg" localSheetId="25">#REF!</definedName>
    <definedName name="kglkdfjg" localSheetId="29">#REF!</definedName>
    <definedName name="kglkdfjg" localSheetId="31">#REF!</definedName>
    <definedName name="kglkdfjg" localSheetId="15">#REF!</definedName>
    <definedName name="kglkdfjg" localSheetId="13">#REF!</definedName>
    <definedName name="kglkdfjg" localSheetId="17">#REF!</definedName>
    <definedName name="kglkdfjg" localSheetId="12">#REF!</definedName>
    <definedName name="kglkdfjg" localSheetId="22">#REF!</definedName>
    <definedName name="kglkdfjg" localSheetId="28">#REF!</definedName>
    <definedName name="kglkdfjg" localSheetId="35">#REF!</definedName>
    <definedName name="kglkdfjg">#REF!</definedName>
    <definedName name="kh" localSheetId="25" hidden="1">{"test2",#N/A,TRUE,"Prices"}</definedName>
    <definedName name="kh" localSheetId="19" hidden="1">{"test2",#N/A,TRUE,"Prices"}</definedName>
    <definedName name="kh" localSheetId="22" hidden="1">{"test2",#N/A,TRUE,"Prices"}</definedName>
    <definedName name="kh" localSheetId="28" hidden="1">{"test2",#N/A,TRUE,"Prices"}</definedName>
    <definedName name="kh" localSheetId="35" hidden="1">{"test2",#N/A,TRUE,"Prices"}</definedName>
    <definedName name="kh" hidden="1">{"test2",#N/A,TRUE,"Prices"}</definedName>
    <definedName name="ki" localSheetId="25" hidden="1">{"orixcsc",#N/A,FALSE,"ORIX CSC";"orixcsc2",#N/A,FALSE,"ORIX CSC"}</definedName>
    <definedName name="ki" localSheetId="19" hidden="1">{"orixcsc",#N/A,FALSE,"ORIX CSC";"orixcsc2",#N/A,FALSE,"ORIX CSC"}</definedName>
    <definedName name="ki" localSheetId="22" hidden="1">{"orixcsc",#N/A,FALSE,"ORIX CSC";"orixcsc2",#N/A,FALSE,"ORIX CSC"}</definedName>
    <definedName name="ki" localSheetId="28" hidden="1">{"orixcsc",#N/A,FALSE,"ORIX CSC";"orixcsc2",#N/A,FALSE,"ORIX CSC"}</definedName>
    <definedName name="ki" localSheetId="35" hidden="1">{"orixcsc",#N/A,FALSE,"ORIX CSC";"orixcsc2",#N/A,FALSE,"ORIX CSC"}</definedName>
    <definedName name="ki" hidden="1">{"orixcsc",#N/A,FALSE,"ORIX CSC";"orixcsc2",#N/A,FALSE,"ORIX CSC"}</definedName>
    <definedName name="Kit_RMD_VPC">#N/A</definedName>
    <definedName name="KitEL_RM_Distri">#N/A</definedName>
    <definedName name="KitEL_RM_SCS">#N/A</definedName>
    <definedName name="KitPart" localSheetId="29">#REF!</definedName>
    <definedName name="KitPart" localSheetId="31">#REF!</definedName>
    <definedName name="KitPart" localSheetId="28">#REF!</definedName>
    <definedName name="KitPart" localSheetId="35">#REF!</definedName>
    <definedName name="KitPart">#REF!</definedName>
    <definedName name="Kits" localSheetId="29">#REF!</definedName>
    <definedName name="Kits" localSheetId="31">#REF!</definedName>
    <definedName name="Kits" localSheetId="28">#REF!</definedName>
    <definedName name="Kits" localSheetId="35">#REF!</definedName>
    <definedName name="Kits">#REF!</definedName>
    <definedName name="kj" localSheetId="25" hidden="1">{"IS",#N/A,FALSE,"IS";"RPTIS",#N/A,FALSE,"RPTIS";"STATS",#N/A,FALSE,"STATS";"BS",#N/A,FALSE,"BS"}</definedName>
    <definedName name="kj" localSheetId="19" hidden="1">{"IS",#N/A,FALSE,"IS";"RPTIS",#N/A,FALSE,"RPTIS";"STATS",#N/A,FALSE,"STATS";"BS",#N/A,FALSE,"BS"}</definedName>
    <definedName name="kj" localSheetId="22" hidden="1">{"IS",#N/A,FALSE,"IS";"RPTIS",#N/A,FALSE,"RPTIS";"STATS",#N/A,FALSE,"STATS";"BS",#N/A,FALSE,"BS"}</definedName>
    <definedName name="kj" localSheetId="28" hidden="1">{"IS",#N/A,FALSE,"IS";"RPTIS",#N/A,FALSE,"RPTIS";"STATS",#N/A,FALSE,"STATS";"BS",#N/A,FALSE,"BS"}</definedName>
    <definedName name="kj" localSheetId="35" hidden="1">{"IS",#N/A,FALSE,"IS";"RPTIS",#N/A,FALSE,"RPTIS";"STATS",#N/A,FALSE,"STATS";"BS",#N/A,FALSE,"BS"}</definedName>
    <definedName name="kj" hidden="1">{"IS",#N/A,FALSE,"IS";"RPTIS",#N/A,FALSE,"RPTIS";"STATS",#N/A,FALSE,"STATS";"BS",#N/A,FALSE,"BS"}</definedName>
    <definedName name="kk" localSheetId="25" hidden="1">{#N/A,#N/A,FALSE,"ORIX CSC"}</definedName>
    <definedName name="kk" localSheetId="19" hidden="1">{#N/A,#N/A,FALSE,"ORIX CSC"}</definedName>
    <definedName name="kk" localSheetId="22" hidden="1">{#N/A,#N/A,FALSE,"ORIX CSC"}</definedName>
    <definedName name="kk" localSheetId="28" hidden="1">{#N/A,#N/A,FALSE,"ORIX CSC"}</definedName>
    <definedName name="kk" localSheetId="35" hidden="1">{#N/A,#N/A,FALSE,"ORIX CSC"}</definedName>
    <definedName name="kk" hidden="1">{#N/A,#N/A,FALSE,"ORIX CSC"}</definedName>
    <definedName name="kkk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25" hidden="1">{#N/A,#N/A,FALSE,"ORIX CSC"}</definedName>
    <definedName name="kkkkkk" localSheetId="19" hidden="1">{#N/A,#N/A,FALSE,"ORIX CSC"}</definedName>
    <definedName name="kkkkkk" localSheetId="22" hidden="1">{#N/A,#N/A,FALSE,"ORIX CSC"}</definedName>
    <definedName name="kkkkkk" localSheetId="28" hidden="1">{#N/A,#N/A,FALSE,"ORIX CSC"}</definedName>
    <definedName name="kkkkkk" localSheetId="35" hidden="1">{#N/A,#N/A,FALSE,"ORIX CSC"}</definedName>
    <definedName name="kkkkkk" hidden="1">{#N/A,#N/A,FALSE,"ORIX CSC"}</definedName>
    <definedName name="kkkkkkk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25" hidden="1">{#N/A,#N/A,FALSE,"Contribution Analysis"}</definedName>
    <definedName name="kkkkkkkkkkk" localSheetId="19" hidden="1">{#N/A,#N/A,FALSE,"Contribution Analysis"}</definedName>
    <definedName name="kkkkkkkkkkk" localSheetId="22" hidden="1">{#N/A,#N/A,FALSE,"Contribution Analysis"}</definedName>
    <definedName name="kkkkkkkkkkk" localSheetId="28" hidden="1">{#N/A,#N/A,FALSE,"Contribution Analysis"}</definedName>
    <definedName name="kkkkkkkkkkk" localSheetId="35" hidden="1">{#N/A,#N/A,FALSE,"Contribution Analysis"}</definedName>
    <definedName name="kkkkkkkkkkk" hidden="1">{#N/A,#N/A,FALSE,"Contribution Analysis"}</definedName>
    <definedName name="kkkkkkkkkkkk" localSheetId="25" hidden="1">{"IS",#N/A,FALSE,"IS";"RPTIS",#N/A,FALSE,"RPTIS";"STATS",#N/A,FALSE,"STATS";"CELL",#N/A,FALSE,"CELL";"BS",#N/A,FALSE,"BS"}</definedName>
    <definedName name="kkkkkkkkkkkk" localSheetId="19" hidden="1">{"IS",#N/A,FALSE,"IS";"RPTIS",#N/A,FALSE,"RPTIS";"STATS",#N/A,FALSE,"STATS";"CELL",#N/A,FALSE,"CELL";"BS",#N/A,FALSE,"BS"}</definedName>
    <definedName name="kkkkkkkkkkkk" localSheetId="22" hidden="1">{"IS",#N/A,FALSE,"IS";"RPTIS",#N/A,FALSE,"RPTIS";"STATS",#N/A,FALSE,"STATS";"CELL",#N/A,FALSE,"CELL";"BS",#N/A,FALSE,"BS"}</definedName>
    <definedName name="kkkkkkkkkkkk" localSheetId="28" hidden="1">{"IS",#N/A,FALSE,"IS";"RPTIS",#N/A,FALSE,"RPTIS";"STATS",#N/A,FALSE,"STATS";"CELL",#N/A,FALSE,"CELL";"BS",#N/A,FALSE,"BS"}</definedName>
    <definedName name="kkkkkkkkkkkk" localSheetId="35" hidden="1">{"IS",#N/A,FALSE,"IS";"RPTIS",#N/A,FALSE,"RPTIS";"STATS",#N/A,FALSE,"STATS";"CELL",#N/A,FALSE,"CELL";"BS",#N/A,FALSE,"BS"}</definedName>
    <definedName name="kkkkkkkkkkkk" hidden="1">{"IS",#N/A,FALSE,"IS";"RPTIS",#N/A,FALSE,"RPTIS";"STATS",#N/A,FALSE,"STATS";"CELL",#N/A,FALSE,"CELL";"BS",#N/A,FALSE,"BS"}</definedName>
    <definedName name="kkkkkkkkkkkkk" localSheetId="25" hidden="1">{#N/A,#N/A,FALSE,"ORIX CSC"}</definedName>
    <definedName name="kkkkkkkkkkkkk" localSheetId="19" hidden="1">{#N/A,#N/A,FALSE,"ORIX CSC"}</definedName>
    <definedName name="kkkkkkkkkkkkk" localSheetId="22" hidden="1">{#N/A,#N/A,FALSE,"ORIX CSC"}</definedName>
    <definedName name="kkkkkkkkkkkkk" localSheetId="28" hidden="1">{#N/A,#N/A,FALSE,"ORIX CSC"}</definedName>
    <definedName name="kkkkkkkkkkkkk" localSheetId="35" hidden="1">{#N/A,#N/A,FALSE,"ORIX CSC"}</definedName>
    <definedName name="kkkkkkkkkkkkk" hidden="1">{#N/A,#N/A,FALSE,"ORIX CSC"}</definedName>
    <definedName name="kkkkkkkkkkkkkk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25" hidden="1">{"IS",#N/A,FALSE,"IS";"RPTIS",#N/A,FALSE,"RPTIS";"STATS",#N/A,FALSE,"STATS";"CELL",#N/A,FALSE,"CELL";"BS",#N/A,FALSE,"BS"}</definedName>
    <definedName name="kkkkkkkkkkkkkkkkkk" localSheetId="19" hidden="1">{"IS",#N/A,FALSE,"IS";"RPTIS",#N/A,FALSE,"RPTIS";"STATS",#N/A,FALSE,"STATS";"CELL",#N/A,FALSE,"CELL";"BS",#N/A,FALSE,"BS"}</definedName>
    <definedName name="kkkkkkkkkkkkkkkkkk" localSheetId="22" hidden="1">{"IS",#N/A,FALSE,"IS";"RPTIS",#N/A,FALSE,"RPTIS";"STATS",#N/A,FALSE,"STATS";"CELL",#N/A,FALSE,"CELL";"BS",#N/A,FALSE,"BS"}</definedName>
    <definedName name="kkkkkkkkkkkkkkkkkk" localSheetId="28" hidden="1">{"IS",#N/A,FALSE,"IS";"RPTIS",#N/A,FALSE,"RPTIS";"STATS",#N/A,FALSE,"STATS";"CELL",#N/A,FALSE,"CELL";"BS",#N/A,FALSE,"BS"}</definedName>
    <definedName name="kkkkkkkkkkkkkkkkkk" localSheetId="35" hidden="1">{"IS",#N/A,FALSE,"IS";"RPTIS",#N/A,FALSE,"RPTIS";"STATS",#N/A,FALSE,"STATS";"CELL",#N/A,FALSE,"CELL";"BS",#N/A,FALSE,"BS"}</definedName>
    <definedName name="kkkkkkkkkkkkkkkkkk" hidden="1">{"IS",#N/A,FALSE,"IS";"RPTIS",#N/A,FALSE,"RPTIS";"STATS",#N/A,FALSE,"STATS";"CELL",#N/A,FALSE,"CELL";"BS",#N/A,FALSE,"BS"}</definedName>
    <definedName name="kma" localSheetId="28" hidden="1">{#N/A,#N/A,TRUE,"Cover sheet";#N/A,#N/A,TRUE,"DCF analysis";#N/A,#N/A,TRUE,"WACC calculation"}</definedName>
    <definedName name="kma" localSheetId="35" hidden="1">{#N/A,#N/A,TRUE,"Cover sheet";#N/A,#N/A,TRUE,"DCF analysis";#N/A,#N/A,TRUE,"WACC calculation"}</definedName>
    <definedName name="kma" hidden="1">{#N/A,#N/A,TRUE,"Cover sheet";#N/A,#N/A,TRUE,"DCF analysis";#N/A,#N/A,TRUE,"WACC calculation"}</definedName>
    <definedName name="kmh" localSheetId="28" hidden="1">{#N/A,#N/A,TRUE,"Cover sheet";#N/A,#N/A,TRUE,"DCF analysis";#N/A,#N/A,TRUE,"WACC calculation"}</definedName>
    <definedName name="kmh" localSheetId="35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 localSheetId="18">#REF!</definedName>
    <definedName name="KMP" localSheetId="25">#REF!</definedName>
    <definedName name="KMP" localSheetId="29">#REF!</definedName>
    <definedName name="KMP" localSheetId="31">#REF!</definedName>
    <definedName name="KMP" localSheetId="15">#REF!</definedName>
    <definedName name="KMP" localSheetId="13">#REF!</definedName>
    <definedName name="KMP" localSheetId="17">#REF!</definedName>
    <definedName name="KMP" localSheetId="12">#REF!</definedName>
    <definedName name="KMP" localSheetId="22">#REF!</definedName>
    <definedName name="KMP" localSheetId="28">#REF!</definedName>
    <definedName name="KMP" localSheetId="35">#REF!</definedName>
    <definedName name="KMP">#REF!</definedName>
    <definedName name="knl" localSheetId="18">[6]!knl</definedName>
    <definedName name="knl" localSheetId="25">[6]!knl</definedName>
    <definedName name="knl" localSheetId="29">[6]!knl</definedName>
    <definedName name="knl" localSheetId="31">[6]!knl</definedName>
    <definedName name="knl" localSheetId="15">[6]!knl</definedName>
    <definedName name="knl" localSheetId="13">[6]!knl</definedName>
    <definedName name="knl" localSheetId="19">[7]!knl</definedName>
    <definedName name="knl" localSheetId="17">[6]!knl</definedName>
    <definedName name="knl" localSheetId="12">[6]!knl</definedName>
    <definedName name="knl" localSheetId="22">[8]!knl</definedName>
    <definedName name="knl">[6]!knl</definedName>
    <definedName name="ko" localSheetId="25" hidden="1">{#N/A,#N/A,FALSE,"ORIX CSC"}</definedName>
    <definedName name="ko" localSheetId="19" hidden="1">{#N/A,#N/A,FALSE,"ORIX CSC"}</definedName>
    <definedName name="ko" localSheetId="22" hidden="1">{#N/A,#N/A,FALSE,"ORIX CSC"}</definedName>
    <definedName name="ko" localSheetId="28" hidden="1">{#N/A,#N/A,FALSE,"ORIX CSC"}</definedName>
    <definedName name="ko" localSheetId="35" hidden="1">{#N/A,#N/A,FALSE,"ORIX CSC"}</definedName>
    <definedName name="ko" hidden="1">{#N/A,#N/A,FALSE,"ORIX CSC"}</definedName>
    <definedName name="kol" localSheetId="28" hidden="1">{"away stand alones",#N/A,FALSE,"Target"}</definedName>
    <definedName name="kol" localSheetId="35" hidden="1">{"away stand alones",#N/A,FALSE,"Target"}</definedName>
    <definedName name="kol" hidden="1">{"away stand alones",#N/A,FALSE,"Target"}</definedName>
    <definedName name="kp" localSheetId="25" hidden="1">{"subs",#N/A,FALSE,"database ";"proportional",#N/A,FALSE,"database "}</definedName>
    <definedName name="kp" localSheetId="19" hidden="1">{"subs",#N/A,FALSE,"database ";"proportional",#N/A,FALSE,"database "}</definedName>
    <definedName name="kp" localSheetId="22" hidden="1">{"subs",#N/A,FALSE,"database ";"proportional",#N/A,FALSE,"database "}</definedName>
    <definedName name="kp" localSheetId="28" hidden="1">{"subs",#N/A,FALSE,"database ";"proportional",#N/A,FALSE,"database "}</definedName>
    <definedName name="kp" localSheetId="35" hidden="1">{"subs",#N/A,FALSE,"database ";"proportional",#N/A,FALSE,"database "}</definedName>
    <definedName name="kp" hidden="1">{"subs",#N/A,FALSE,"database ";"proportional",#N/A,FALSE,"database "}</definedName>
    <definedName name="kpo">#N/A</definedName>
    <definedName name="kporipoio" localSheetId="18">#REF!</definedName>
    <definedName name="kporipoio" localSheetId="25">#REF!</definedName>
    <definedName name="kporipoio" localSheetId="29">#REF!</definedName>
    <definedName name="kporipoio" localSheetId="31">#REF!</definedName>
    <definedName name="kporipoio" localSheetId="15">#REF!</definedName>
    <definedName name="kporipoio" localSheetId="13">#REF!</definedName>
    <definedName name="kporipoio" localSheetId="17">#REF!</definedName>
    <definedName name="kporipoio" localSheetId="12">#REF!</definedName>
    <definedName name="kporipoio" localSheetId="22">#REF!</definedName>
    <definedName name="kporipoio" localSheetId="28">#REF!</definedName>
    <definedName name="kporipoio" localSheetId="35">#REF!</definedName>
    <definedName name="kporipoio">#REF!</definedName>
    <definedName name="kq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29">#REF!</definedName>
    <definedName name="Kqty" localSheetId="31">#REF!</definedName>
    <definedName name="Kqty" localSheetId="28">#REF!</definedName>
    <definedName name="Kqty" localSheetId="35">#REF!</definedName>
    <definedName name="Kqty">#REF!</definedName>
    <definedName name="Kqty2" localSheetId="29">#REF!</definedName>
    <definedName name="Kqty2" localSheetId="31">#REF!</definedName>
    <definedName name="Kqty2" localSheetId="28">#REF!</definedName>
    <definedName name="Kqty2" localSheetId="35">#REF!</definedName>
    <definedName name="Kqty2">#REF!</definedName>
    <definedName name="kr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18">#REF!</definedName>
    <definedName name="KRates" localSheetId="25">#REF!</definedName>
    <definedName name="KRates" localSheetId="29">#REF!</definedName>
    <definedName name="KRates" localSheetId="31">#REF!</definedName>
    <definedName name="KRates" localSheetId="15">#REF!</definedName>
    <definedName name="KRates" localSheetId="13">#REF!</definedName>
    <definedName name="KRates" localSheetId="17">#REF!</definedName>
    <definedName name="KRates" localSheetId="12">#REF!</definedName>
    <definedName name="KRates" localSheetId="22">#REF!</definedName>
    <definedName name="KRates" localSheetId="28">#REF!</definedName>
    <definedName name="KRates" localSheetId="35">#REF!</definedName>
    <definedName name="KRates">#REF!</definedName>
    <definedName name="ks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localSheetId="25" hidden="1">{"IS",#N/A,FALSE,"IS";"RPTIS",#N/A,FALSE,"RPTIS";"STATS",#N/A,FALSE,"STATS";"CELL",#N/A,FALSE,"CELL";"BS",#N/A,FALSE,"BS"}</definedName>
    <definedName name="kt" localSheetId="19" hidden="1">{"IS",#N/A,FALSE,"IS";"RPTIS",#N/A,FALSE,"RPTIS";"STATS",#N/A,FALSE,"STATS";"CELL",#N/A,FALSE,"CELL";"BS",#N/A,FALSE,"BS"}</definedName>
    <definedName name="kt" localSheetId="22" hidden="1">{"IS",#N/A,FALSE,"IS";"RPTIS",#N/A,FALSE,"RPTIS";"STATS",#N/A,FALSE,"STATS";"CELL",#N/A,FALSE,"CELL";"BS",#N/A,FALSE,"BS"}</definedName>
    <definedName name="kt" localSheetId="28" hidden="1">{"IS",#N/A,FALSE,"IS";"RPTIS",#N/A,FALSE,"RPTIS";"STATS",#N/A,FALSE,"STATS";"CELL",#N/A,FALSE,"CELL";"BS",#N/A,FALSE,"BS"}</definedName>
    <definedName name="kt" localSheetId="35" hidden="1">{"IS",#N/A,FALSE,"IS";"RPTIS",#N/A,FALSE,"RPTIS";"STATS",#N/A,FALSE,"STATS";"CELL",#N/A,FALSE,"CELL";"BS",#N/A,FALSE,"BS"}</definedName>
    <definedName name="kt" hidden="1">{"IS",#N/A,FALSE,"IS";"RPTIS",#N/A,FALSE,"RPTIS";"STATS",#N/A,FALSE,"STATS";"CELL",#N/A,FALSE,"CELL";"BS",#N/A,FALSE,"BS"}</definedName>
    <definedName name="ku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localSheetId="25" hidden="1">{#N/A,#N/A,FALSE,"Contribution Analysis"}</definedName>
    <definedName name="ky" localSheetId="19" hidden="1">{#N/A,#N/A,FALSE,"Contribution Analysis"}</definedName>
    <definedName name="ky" localSheetId="22" hidden="1">{#N/A,#N/A,FALSE,"Contribution Analysis"}</definedName>
    <definedName name="ky" localSheetId="28" hidden="1">{#N/A,#N/A,FALSE,"Contribution Analysis"}</definedName>
    <definedName name="ky" localSheetId="35" hidden="1">{#N/A,#N/A,FALSE,"Contribution Analysis"}</definedName>
    <definedName name="ky" hidden="1">{#N/A,#N/A,FALSE,"Contribution Analysis"}</definedName>
    <definedName name="kz" localSheetId="25">{"sweden",#N/A,FALSE,"Sweden";"germany",#N/A,FALSE,"Germany";"portugal",#N/A,FALSE,"Portugal";"belgium",#N/A,FALSE,"Belgium";"japan",#N/A,FALSE,"Japan ";"italy",#N/A,FALSE,"Italy";"spain",#N/A,FALSE,"Spain";"korea",#N/A,FALSE,"Korea"}</definedName>
    <definedName name="kz" localSheetId="19">{"sweden",#N/A,FALSE,"Sweden";"germany",#N/A,FALSE,"Germany";"portugal",#N/A,FALSE,"Portugal";"belgium",#N/A,FALSE,"Belgium";"japan",#N/A,FALSE,"Japan ";"italy",#N/A,FALSE,"Italy";"spain",#N/A,FALSE,"Spain";"korea",#N/A,FALSE,"Korea"}</definedName>
    <definedName name="kz" localSheetId="22">{"sweden",#N/A,FALSE,"Sweden";"germany",#N/A,FALSE,"Germany";"portugal",#N/A,FALSE,"Portugal";"belgium",#N/A,FALSE,"Belgium";"japan",#N/A,FALSE,"Japan ";"italy",#N/A,FALSE,"Italy";"spain",#N/A,FALSE,"Spain";"korea",#N/A,FALSE,"Korea"}</definedName>
    <definedName name="kz" localSheetId="28">{"sweden",#N/A,FALSE,"Sweden";"germany",#N/A,FALSE,"Germany";"portugal",#N/A,FALSE,"Portugal";"belgium",#N/A,FALSE,"Belgium";"japan",#N/A,FALSE,"Japan ";"italy",#N/A,FALSE,"Italy";"spain",#N/A,FALSE,"Spain";"korea",#N/A,FALSE,"Korea"}</definedName>
    <definedName name="kz" localSheetId="35">{"sweden",#N/A,FALSE,"Sweden";"germany",#N/A,FALSE,"Germany";"portugal",#N/A,FALSE,"Portugal";"belgium",#N/A,FALSE,"Belgium";"japan",#N/A,FALSE,"Japan ";"italy",#N/A,FALSE,"Italy";"spain",#N/A,FALSE,"Spain";"korea",#N/A,FALSE,"Korea"}</definedName>
    <definedName name="kz">{"sweden",#N/A,FALSE,"Sweden";"germany",#N/A,FALSE,"Germany";"portugal",#N/A,FALSE,"Portugal";"belgium",#N/A,FALSE,"Belgium";"japan",#N/A,FALSE,"Japan ";"italy",#N/A,FALSE,"Italy";"spain",#N/A,FALSE,"Spain";"korea",#N/A,FALSE,"Korea"}</definedName>
    <definedName name="L_" localSheetId="18">#REF!</definedName>
    <definedName name="L_" localSheetId="25">#REF!</definedName>
    <definedName name="L_" localSheetId="29">#REF!</definedName>
    <definedName name="L_" localSheetId="31">#REF!</definedName>
    <definedName name="L_" localSheetId="15">#REF!</definedName>
    <definedName name="L_" localSheetId="13">#REF!</definedName>
    <definedName name="L_" localSheetId="17">#REF!</definedName>
    <definedName name="L_" localSheetId="12">#REF!</definedName>
    <definedName name="L_" localSheetId="22">#REF!</definedName>
    <definedName name="L_" localSheetId="28">#REF!</definedName>
    <definedName name="L_" localSheetId="35">#REF!</definedName>
    <definedName name="L_">#REF!</definedName>
    <definedName name="L____0">#N/A</definedName>
    <definedName name="L____12">#N/A</definedName>
    <definedName name="L____14">#N/A</definedName>
    <definedName name="L____16">#N/A</definedName>
    <definedName name="L____2">#N/A</definedName>
    <definedName name="L____25">#N/A</definedName>
    <definedName name="L____26">#N/A</definedName>
    <definedName name="L____27">#N/A</definedName>
    <definedName name="L____4">#N/A</definedName>
    <definedName name="L____5">#N/A</definedName>
    <definedName name="L____7">#N/A</definedName>
    <definedName name="la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localSheetId="28" hidden="1">{#N/A,#N/A,TRUE,"Cover sheet";#N/A,#N/A,TRUE,"DCF analysis";#N/A,#N/A,TRUE,"WACC calculation"}</definedName>
    <definedName name="lala" localSheetId="35" hidden="1">{#N/A,#N/A,TRUE,"Cover sheet";#N/A,#N/A,TRUE,"DCF analysis";#N/A,#N/A,TRUE,"WACC calculation"}</definedName>
    <definedName name="lala" hidden="1">{#N/A,#N/A,TRUE,"Cover sheet";#N/A,#N/A,TRUE,"DCF analysis";#N/A,#N/A,TRUE,"WACC calculation"}</definedName>
    <definedName name="laribi">#N/A</definedName>
    <definedName name="LAssets" localSheetId="18">#REF!</definedName>
    <definedName name="LAssets" localSheetId="25">#REF!</definedName>
    <definedName name="LAssets" localSheetId="29">#REF!</definedName>
    <definedName name="LAssets" localSheetId="31">#REF!</definedName>
    <definedName name="LAssets" localSheetId="15">#REF!</definedName>
    <definedName name="LAssets" localSheetId="13">#REF!</definedName>
    <definedName name="LAssets" localSheetId="17">#REF!</definedName>
    <definedName name="LAssets" localSheetId="12">#REF!</definedName>
    <definedName name="LAssets" localSheetId="22">#REF!</definedName>
    <definedName name="LAssets" localSheetId="28">#REF!</definedName>
    <definedName name="LAssets" localSheetId="35">#REF!</definedName>
    <definedName name="LAssets">#REF!</definedName>
    <definedName name="LAssets___0">#N/A</definedName>
    <definedName name="LAssets___12">#N/A</definedName>
    <definedName name="LAssets___14">#N/A</definedName>
    <definedName name="LAssets___16">#N/A</definedName>
    <definedName name="LAssets___2">#N/A</definedName>
    <definedName name="LAssets___25">#N/A</definedName>
    <definedName name="LAssets___26">#N/A</definedName>
    <definedName name="LAssets___27">#N/A</definedName>
    <definedName name="LAssets___4">#N/A</definedName>
    <definedName name="LAssets___5">#N/A</definedName>
    <definedName name="LAssets___7">#N/A</definedName>
    <definedName name="LastAmort" localSheetId="18">#REF!</definedName>
    <definedName name="LastAmort" localSheetId="25">#REF!</definedName>
    <definedName name="LastAmort" localSheetId="29">#REF!</definedName>
    <definedName name="LastAmort" localSheetId="31">#REF!</definedName>
    <definedName name="LastAmort" localSheetId="15">#REF!</definedName>
    <definedName name="LastAmort" localSheetId="13">#REF!</definedName>
    <definedName name="LastAmort" localSheetId="17">#REF!</definedName>
    <definedName name="LastAmort" localSheetId="12">#REF!</definedName>
    <definedName name="LastAmort" localSheetId="22">#REF!</definedName>
    <definedName name="LastAmort" localSheetId="28">#REF!</definedName>
    <definedName name="LastAmort" localSheetId="35">#REF!</definedName>
    <definedName name="LastAmort">#REF!</definedName>
    <definedName name="LastAmort___0">#N/A</definedName>
    <definedName name="LastAmort___12">#N/A</definedName>
    <definedName name="LastAmort___14">#N/A</definedName>
    <definedName name="LastAmort___16">#N/A</definedName>
    <definedName name="LastAmort___2">#N/A</definedName>
    <definedName name="LastAmort___25">#N/A</definedName>
    <definedName name="LastAmort___26">#N/A</definedName>
    <definedName name="LastAmort___27">#N/A</definedName>
    <definedName name="LastAmort___4">#N/A</definedName>
    <definedName name="LastAmort___5">#N/A</definedName>
    <definedName name="LastAmort___7">#N/A</definedName>
    <definedName name="LastChgDefTax" localSheetId="18">#REF!</definedName>
    <definedName name="LastChgDefTax" localSheetId="25">#REF!</definedName>
    <definedName name="LastChgDefTax" localSheetId="29">#REF!</definedName>
    <definedName name="LastChgDefTax" localSheetId="31">#REF!</definedName>
    <definedName name="LastChgDefTax" localSheetId="15">#REF!</definedName>
    <definedName name="LastChgDefTax" localSheetId="13">#REF!</definedName>
    <definedName name="LastChgDefTax" localSheetId="17">#REF!</definedName>
    <definedName name="LastChgDefTax" localSheetId="12">#REF!</definedName>
    <definedName name="LastChgDefTax" localSheetId="22">#REF!</definedName>
    <definedName name="LastChgDefTax" localSheetId="28">#REF!</definedName>
    <definedName name="LastChgDefTax" localSheetId="35">#REF!</definedName>
    <definedName name="LastChgDefTax">#REF!</definedName>
    <definedName name="LastChgDefTax___0">#N/A</definedName>
    <definedName name="LastChgDefTax___12">#N/A</definedName>
    <definedName name="LastChgDefTax___14">#N/A</definedName>
    <definedName name="LastChgDefTax___16">#N/A</definedName>
    <definedName name="LastChgDefTax___2">#N/A</definedName>
    <definedName name="LastChgDefTax___25">#N/A</definedName>
    <definedName name="LastChgDefTax___26">#N/A</definedName>
    <definedName name="LastChgDefTax___27">#N/A</definedName>
    <definedName name="LastChgDefTax___4">#N/A</definedName>
    <definedName name="LastChgDefTax___5">#N/A</definedName>
    <definedName name="LastChgDefTax___7">#N/A</definedName>
    <definedName name="LastDepr" localSheetId="18">#REF!</definedName>
    <definedName name="LastDepr" localSheetId="25">#REF!</definedName>
    <definedName name="LastDepr" localSheetId="29">#REF!</definedName>
    <definedName name="LastDepr" localSheetId="31">#REF!</definedName>
    <definedName name="LastDepr" localSheetId="15">#REF!</definedName>
    <definedName name="LastDepr" localSheetId="13">#REF!</definedName>
    <definedName name="LastDepr" localSheetId="17">#REF!</definedName>
    <definedName name="LastDepr" localSheetId="12">#REF!</definedName>
    <definedName name="LastDepr" localSheetId="22">#REF!</definedName>
    <definedName name="LastDepr" localSheetId="28">#REF!</definedName>
    <definedName name="LastDepr" localSheetId="35">#REF!</definedName>
    <definedName name="LastDepr">#REF!</definedName>
    <definedName name="LastDepr___0">#N/A</definedName>
    <definedName name="LastDepr___12">#N/A</definedName>
    <definedName name="LastDepr___14">#N/A</definedName>
    <definedName name="LastDepr___16">#N/A</definedName>
    <definedName name="LastDepr___2">#N/A</definedName>
    <definedName name="LastDepr___25">#N/A</definedName>
    <definedName name="LastDepr___26">#N/A</definedName>
    <definedName name="LastDepr___27">#N/A</definedName>
    <definedName name="LastDepr___4">#N/A</definedName>
    <definedName name="LastDepr___5">#N/A</definedName>
    <definedName name="LastDepr___7">#N/A</definedName>
    <definedName name="LastHistYr" localSheetId="18">#REF!</definedName>
    <definedName name="LastHistYr" localSheetId="25">#REF!</definedName>
    <definedName name="LastHistYr" localSheetId="29">#REF!</definedName>
    <definedName name="LastHistYr" localSheetId="31">#REF!</definedName>
    <definedName name="LastHistYr" localSheetId="15">#REF!</definedName>
    <definedName name="LastHistYr" localSheetId="13">#REF!</definedName>
    <definedName name="LastHistYr" localSheetId="17">#REF!</definedName>
    <definedName name="LastHistYr" localSheetId="12">#REF!</definedName>
    <definedName name="LastHistYr" localSheetId="22">#REF!</definedName>
    <definedName name="LastHistYr" localSheetId="28">#REF!</definedName>
    <definedName name="LastHistYr" localSheetId="35">#REF!</definedName>
    <definedName name="LastHistYr">#REF!</definedName>
    <definedName name="LastHistYr___0">#N/A</definedName>
    <definedName name="LastHistYr___12">#N/A</definedName>
    <definedName name="LastHistYr___14">#N/A</definedName>
    <definedName name="LastHistYr___16">#N/A</definedName>
    <definedName name="LastHistYr___2">#N/A</definedName>
    <definedName name="LastHistYr___25">#N/A</definedName>
    <definedName name="LastHistYr___26">#N/A</definedName>
    <definedName name="LastHistYr___27">#N/A</definedName>
    <definedName name="LastHistYr___4">#N/A</definedName>
    <definedName name="LastHistYr___5">#N/A</definedName>
    <definedName name="LastHistYr___7">#N/A</definedName>
    <definedName name="LastNetPPE" localSheetId="18">#REF!</definedName>
    <definedName name="LastNetPPE" localSheetId="25">#REF!</definedName>
    <definedName name="LastNetPPE" localSheetId="29">#REF!</definedName>
    <definedName name="LastNetPPE" localSheetId="31">#REF!</definedName>
    <definedName name="LastNetPPE" localSheetId="15">#REF!</definedName>
    <definedName name="LastNetPPE" localSheetId="13">#REF!</definedName>
    <definedName name="LastNetPPE" localSheetId="17">#REF!</definedName>
    <definedName name="LastNetPPE" localSheetId="12">#REF!</definedName>
    <definedName name="LastNetPPE" localSheetId="22">#REF!</definedName>
    <definedName name="LastNetPPE" localSheetId="28">#REF!</definedName>
    <definedName name="LastNetPPE" localSheetId="35">#REF!</definedName>
    <definedName name="LastNetPPE">#REF!</definedName>
    <definedName name="LastNetPPE___0">#N/A</definedName>
    <definedName name="LastNetPPE___12">#N/A</definedName>
    <definedName name="LastNetPPE___14">#N/A</definedName>
    <definedName name="LastNetPPE___16">#N/A</definedName>
    <definedName name="LastNetPPE___2">#N/A</definedName>
    <definedName name="LastNetPPE___25">#N/A</definedName>
    <definedName name="LastNetPPE___26">#N/A</definedName>
    <definedName name="LastNetPPE___27">#N/A</definedName>
    <definedName name="LastNetPPE___4">#N/A</definedName>
    <definedName name="LastNetPPE___5">#N/A</definedName>
    <definedName name="LastNetPPE___7">#N/A</definedName>
    <definedName name="LastNWIPct" localSheetId="18">#REF!</definedName>
    <definedName name="LastNWIPct" localSheetId="25">#REF!</definedName>
    <definedName name="LastNWIPct" localSheetId="29">#REF!</definedName>
    <definedName name="LastNWIPct" localSheetId="31">#REF!</definedName>
    <definedName name="LastNWIPct" localSheetId="15">#REF!</definedName>
    <definedName name="LastNWIPct" localSheetId="13">#REF!</definedName>
    <definedName name="LastNWIPct" localSheetId="17">#REF!</definedName>
    <definedName name="LastNWIPct" localSheetId="12">#REF!</definedName>
    <definedName name="LastNWIPct" localSheetId="22">#REF!</definedName>
    <definedName name="LastNWIPct" localSheetId="28">#REF!</definedName>
    <definedName name="LastNWIPct" localSheetId="35">#REF!</definedName>
    <definedName name="LastNWIPct">#REF!</definedName>
    <definedName name="LastNWIPct___0">#N/A</definedName>
    <definedName name="LastNWIPct___12">#N/A</definedName>
    <definedName name="LastNWIPct___14">#N/A</definedName>
    <definedName name="LastNWIPct___16">#N/A</definedName>
    <definedName name="LastNWIPct___2">#N/A</definedName>
    <definedName name="LastNWIPct___25">#N/A</definedName>
    <definedName name="LastNWIPct___26">#N/A</definedName>
    <definedName name="LastNWIPct___27">#N/A</definedName>
    <definedName name="LastNWIPct___4">#N/A</definedName>
    <definedName name="LastNWIPct___5">#N/A</definedName>
    <definedName name="LastNWIPct___7">#N/A</definedName>
    <definedName name="LastPPESalesPct" localSheetId="18">#REF!</definedName>
    <definedName name="LastPPESalesPct" localSheetId="25">#REF!</definedName>
    <definedName name="LastPPESalesPct" localSheetId="29">#REF!</definedName>
    <definedName name="LastPPESalesPct" localSheetId="31">#REF!</definedName>
    <definedName name="LastPPESalesPct" localSheetId="15">#REF!</definedName>
    <definedName name="LastPPESalesPct" localSheetId="13">#REF!</definedName>
    <definedName name="LastPPESalesPct" localSheetId="17">#REF!</definedName>
    <definedName name="LastPPESalesPct" localSheetId="12">#REF!</definedName>
    <definedName name="LastPPESalesPct" localSheetId="22">#REF!</definedName>
    <definedName name="LastPPESalesPct" localSheetId="28">#REF!</definedName>
    <definedName name="LastPPESalesPct" localSheetId="35">#REF!</definedName>
    <definedName name="LastPPESalesPct">#REF!</definedName>
    <definedName name="LastPPESalesPct___0">#N/A</definedName>
    <definedName name="LastPPESalesPct___12">#N/A</definedName>
    <definedName name="LastPPESalesPct___14">#N/A</definedName>
    <definedName name="LastPPESalesPct___16">#N/A</definedName>
    <definedName name="LastPPESalesPct___2">#N/A</definedName>
    <definedName name="LastPPESalesPct___25">#N/A</definedName>
    <definedName name="LastPPESalesPct___26">#N/A</definedName>
    <definedName name="LastPPESalesPct___27">#N/A</definedName>
    <definedName name="LastPPESalesPct___4">#N/A</definedName>
    <definedName name="LastPPESalesPct___5">#N/A</definedName>
    <definedName name="LastPPESalesPct___7">#N/A</definedName>
    <definedName name="LastProjYr" localSheetId="18">#REF!</definedName>
    <definedName name="LastProjYr" localSheetId="25">#REF!</definedName>
    <definedName name="LastProjYr" localSheetId="29">#REF!</definedName>
    <definedName name="LastProjYr" localSheetId="31">#REF!</definedName>
    <definedName name="LastProjYr" localSheetId="15">#REF!</definedName>
    <definedName name="LastProjYr" localSheetId="13">#REF!</definedName>
    <definedName name="LastProjYr" localSheetId="17">#REF!</definedName>
    <definedName name="LastProjYr" localSheetId="12">#REF!</definedName>
    <definedName name="LastProjYr" localSheetId="22">#REF!</definedName>
    <definedName name="LastProjYr" localSheetId="28">#REF!</definedName>
    <definedName name="LastProjYr" localSheetId="35">#REF!</definedName>
    <definedName name="LastProjYr">#REF!</definedName>
    <definedName name="LastProjYr___0">#N/A</definedName>
    <definedName name="LastProjYr___12">#N/A</definedName>
    <definedName name="LastProjYr___14">#N/A</definedName>
    <definedName name="LastProjYr___16">#N/A</definedName>
    <definedName name="LastProjYr___2">#N/A</definedName>
    <definedName name="LastProjYr___25">#N/A</definedName>
    <definedName name="LastProjYr___26">#N/A</definedName>
    <definedName name="LastProjYr___27">#N/A</definedName>
    <definedName name="LastProjYr___4">#N/A</definedName>
    <definedName name="LastProjYr___5">#N/A</definedName>
    <definedName name="LastProjYr___7">#N/A</definedName>
    <definedName name="LastProvisions" localSheetId="18">#REF!</definedName>
    <definedName name="LastProvisions" localSheetId="25">#REF!</definedName>
    <definedName name="LastProvisions" localSheetId="29">#REF!</definedName>
    <definedName name="LastProvisions" localSheetId="31">#REF!</definedName>
    <definedName name="LastProvisions" localSheetId="15">#REF!</definedName>
    <definedName name="LastProvisions" localSheetId="13">#REF!</definedName>
    <definedName name="LastProvisions" localSheetId="17">#REF!</definedName>
    <definedName name="LastProvisions" localSheetId="12">#REF!</definedName>
    <definedName name="LastProvisions" localSheetId="22">#REF!</definedName>
    <definedName name="LastProvisions" localSheetId="28">#REF!</definedName>
    <definedName name="LastProvisions" localSheetId="35">#REF!</definedName>
    <definedName name="LastProvisions">#REF!</definedName>
    <definedName name="LastProvisions___0">#N/A</definedName>
    <definedName name="LastProvisions___12">#N/A</definedName>
    <definedName name="LastProvisions___14">#N/A</definedName>
    <definedName name="LastProvisions___16">#N/A</definedName>
    <definedName name="LastProvisions___2">#N/A</definedName>
    <definedName name="LastProvisions___25">#N/A</definedName>
    <definedName name="LastProvisions___26">#N/A</definedName>
    <definedName name="LastProvisions___27">#N/A</definedName>
    <definedName name="LastProvisions___4">#N/A</definedName>
    <definedName name="LastProvisions___5">#N/A</definedName>
    <definedName name="LastProvisions___7">#N/A</definedName>
    <definedName name="LastSales" localSheetId="18">#REF!</definedName>
    <definedName name="LastSales" localSheetId="25">#REF!</definedName>
    <definedName name="LastSales" localSheetId="29">#REF!</definedName>
    <definedName name="LastSales" localSheetId="31">#REF!</definedName>
    <definedName name="LastSales" localSheetId="15">#REF!</definedName>
    <definedName name="LastSales" localSheetId="13">#REF!</definedName>
    <definedName name="LastSales" localSheetId="17">#REF!</definedName>
    <definedName name="LastSales" localSheetId="12">#REF!</definedName>
    <definedName name="LastSales" localSheetId="22">#REF!</definedName>
    <definedName name="LastSales" localSheetId="28">#REF!</definedName>
    <definedName name="LastSales" localSheetId="35">#REF!</definedName>
    <definedName name="LastSales">#REF!</definedName>
    <definedName name="LastSales___0">#N/A</definedName>
    <definedName name="LastSales___12">#N/A</definedName>
    <definedName name="LastSales___14">#N/A</definedName>
    <definedName name="LastSales___16">#N/A</definedName>
    <definedName name="LastSales___2">#N/A</definedName>
    <definedName name="LastSales___25">#N/A</definedName>
    <definedName name="LastSales___26">#N/A</definedName>
    <definedName name="LastSales___27">#N/A</definedName>
    <definedName name="LastSales___4">#N/A</definedName>
    <definedName name="LastSales___5">#N/A</definedName>
    <definedName name="LastSales___7">#N/A</definedName>
    <definedName name="lb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18">#REF!</definedName>
    <definedName name="LCapexPct" localSheetId="25">#REF!</definedName>
    <definedName name="LCapexPct" localSheetId="29">#REF!</definedName>
    <definedName name="LCapexPct" localSheetId="31">#REF!</definedName>
    <definedName name="LCapexPct" localSheetId="15">#REF!</definedName>
    <definedName name="LCapexPct" localSheetId="13">#REF!</definedName>
    <definedName name="LCapexPct" localSheetId="17">#REF!</definedName>
    <definedName name="LCapexPct" localSheetId="12">#REF!</definedName>
    <definedName name="LCapexPct" localSheetId="22">#REF!</definedName>
    <definedName name="LCapexPct" localSheetId="28">#REF!</definedName>
    <definedName name="LCapexPct" localSheetId="35">#REF!</definedName>
    <definedName name="LCapexPct">#REF!</definedName>
    <definedName name="LCapexPct___0">#N/A</definedName>
    <definedName name="LCapexPct___12">#N/A</definedName>
    <definedName name="LCapexPct___14">#N/A</definedName>
    <definedName name="LCapexPct___16">#N/A</definedName>
    <definedName name="LCapexPct___2">#N/A</definedName>
    <definedName name="LCapexPct___25">#N/A</definedName>
    <definedName name="LCapexPct___26">#N/A</definedName>
    <definedName name="LCapexPct___27">#N/A</definedName>
    <definedName name="LCapexPct___4">#N/A</definedName>
    <definedName name="LCapexPct___5">#N/A</definedName>
    <definedName name="LCapexPct___7">#N/A</definedName>
    <definedName name="ld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18">[6]!ldgy</definedName>
    <definedName name="ldgy" localSheetId="25">[6]!ldgy</definedName>
    <definedName name="ldgy" localSheetId="29">[6]!ldgy</definedName>
    <definedName name="ldgy" localSheetId="31">[6]!ldgy</definedName>
    <definedName name="ldgy" localSheetId="15">[6]!ldgy</definedName>
    <definedName name="ldgy" localSheetId="13">[6]!ldgy</definedName>
    <definedName name="ldgy" localSheetId="19">[7]!ldgy</definedName>
    <definedName name="ldgy" localSheetId="17">[6]!ldgy</definedName>
    <definedName name="ldgy" localSheetId="12">[6]!ldgy</definedName>
    <definedName name="ldgy" localSheetId="22">[8]!ldgy</definedName>
    <definedName name="ldgy">[6]!ldgy</definedName>
    <definedName name="le" localSheetId="25" hidden="1">{"IS",#N/A,FALSE,"IS";"RPTIS",#N/A,FALSE,"RPTIS";"STATS",#N/A,FALSE,"STATS";"CELL",#N/A,FALSE,"CELL";"BS",#N/A,FALSE,"BS"}</definedName>
    <definedName name="le" localSheetId="19" hidden="1">{"IS",#N/A,FALSE,"IS";"RPTIS",#N/A,FALSE,"RPTIS";"STATS",#N/A,FALSE,"STATS";"CELL",#N/A,FALSE,"CELL";"BS",#N/A,FALSE,"BS"}</definedName>
    <definedName name="le" localSheetId="22" hidden="1">{"IS",#N/A,FALSE,"IS";"RPTIS",#N/A,FALSE,"RPTIS";"STATS",#N/A,FALSE,"STATS";"CELL",#N/A,FALSE,"CELL";"BS",#N/A,FALSE,"BS"}</definedName>
    <definedName name="le" localSheetId="28" hidden="1">{"IS",#N/A,FALSE,"IS";"RPTIS",#N/A,FALSE,"RPTIS";"STATS",#N/A,FALSE,"STATS";"CELL",#N/A,FALSE,"CELL";"BS",#N/A,FALSE,"BS"}</definedName>
    <definedName name="le" localSheetId="35" hidden="1">{"IS",#N/A,FALSE,"IS";"RPTIS",#N/A,FALSE,"RPTIS";"STATS",#N/A,FALSE,"STATS";"CELL",#N/A,FALSE,"CELL";"BS",#N/A,FALSE,"BS"}</definedName>
    <definedName name="le" hidden="1">{"IS",#N/A,FALSE,"IS";"RPTIS",#N/A,FALSE,"RPTIS";"STATS",#N/A,FALSE,"STATS";"CELL",#N/A,FALSE,"CELL";"BS",#N/A,FALSE,"BS"}</definedName>
    <definedName name="leader_salary" localSheetId="18">#REF!</definedName>
    <definedName name="leader_salary" localSheetId="25">#REF!</definedName>
    <definedName name="leader_salary" localSheetId="29">#REF!</definedName>
    <definedName name="leader_salary" localSheetId="31">#REF!</definedName>
    <definedName name="leader_salary" localSheetId="15">#REF!</definedName>
    <definedName name="leader_salary" localSheetId="13">#REF!</definedName>
    <definedName name="leader_salary" localSheetId="17">#REF!</definedName>
    <definedName name="leader_salary" localSheetId="12">#REF!</definedName>
    <definedName name="leader_salary" localSheetId="22">#REF!</definedName>
    <definedName name="leader_salary" localSheetId="28">#REF!</definedName>
    <definedName name="leader_salary" localSheetId="35">#REF!</definedName>
    <definedName name="leader_salary">#REF!</definedName>
    <definedName name="LEBITMargin" localSheetId="18">#REF!</definedName>
    <definedName name="LEBITMargin" localSheetId="25">#REF!</definedName>
    <definedName name="LEBITMargin" localSheetId="29">#REF!</definedName>
    <definedName name="LEBITMargin" localSheetId="31">#REF!</definedName>
    <definedName name="LEBITMargin" localSheetId="15">#REF!</definedName>
    <definedName name="LEBITMargin" localSheetId="13">#REF!</definedName>
    <definedName name="LEBITMargin" localSheetId="17">#REF!</definedName>
    <definedName name="LEBITMargin" localSheetId="12">#REF!</definedName>
    <definedName name="LEBITMargin" localSheetId="22">#REF!</definedName>
    <definedName name="LEBITMargin" localSheetId="28">#REF!</definedName>
    <definedName name="LEBITMargin" localSheetId="35">#REF!</definedName>
    <definedName name="LEBITMargin">#REF!</definedName>
    <definedName name="LEBITMargin___0">#N/A</definedName>
    <definedName name="LEBITMargin___12">#N/A</definedName>
    <definedName name="LEBITMargin___14">#N/A</definedName>
    <definedName name="LEBITMargin___16">#N/A</definedName>
    <definedName name="LEBITMargin___2">#N/A</definedName>
    <definedName name="LEBITMargin___25">#N/A</definedName>
    <definedName name="LEBITMargin___26">#N/A</definedName>
    <definedName name="LEBITMargin___27">#N/A</definedName>
    <definedName name="LEBITMargin___4">#N/A</definedName>
    <definedName name="LEBITMargin___5">#N/A</definedName>
    <definedName name="LEBITMargin___7">#N/A</definedName>
    <definedName name="length_wk_area" localSheetId="18">#REF!</definedName>
    <definedName name="length_wk_area" localSheetId="25">#REF!</definedName>
    <definedName name="length_wk_area" localSheetId="29">#REF!</definedName>
    <definedName name="length_wk_area" localSheetId="31">#REF!</definedName>
    <definedName name="length_wk_area" localSheetId="15">#REF!</definedName>
    <definedName name="length_wk_area" localSheetId="13">#REF!</definedName>
    <definedName name="length_wk_area" localSheetId="17">#REF!</definedName>
    <definedName name="length_wk_area" localSheetId="12">#REF!</definedName>
    <definedName name="length_wk_area" localSheetId="22">#REF!</definedName>
    <definedName name="length_wk_area" localSheetId="28">#REF!</definedName>
    <definedName name="length_wk_area" localSheetId="35">#REF!</definedName>
    <definedName name="length_wk_area">#REF!</definedName>
    <definedName name="LeveredBeta" localSheetId="18">#REF!</definedName>
    <definedName name="LeveredBeta" localSheetId="25">#REF!</definedName>
    <definedName name="LeveredBeta" localSheetId="29">#REF!</definedName>
    <definedName name="LeveredBeta" localSheetId="31">#REF!</definedName>
    <definedName name="LeveredBeta" localSheetId="15">#REF!</definedName>
    <definedName name="LeveredBeta" localSheetId="13">#REF!</definedName>
    <definedName name="LeveredBeta" localSheetId="17">#REF!</definedName>
    <definedName name="LeveredBeta" localSheetId="12">#REF!</definedName>
    <definedName name="LeveredBeta" localSheetId="22">#REF!</definedName>
    <definedName name="LeveredBeta" localSheetId="28">#REF!</definedName>
    <definedName name="LeveredBeta" localSheetId="35">#REF!</definedName>
    <definedName name="LeveredBeta">#REF!</definedName>
    <definedName name="LeveredBeta___0">#N/A</definedName>
    <definedName name="LeveredBeta___12">#N/A</definedName>
    <definedName name="LeveredBeta___14">#N/A</definedName>
    <definedName name="LeveredBeta___16">#N/A</definedName>
    <definedName name="LeveredBeta___2">#N/A</definedName>
    <definedName name="LeveredBeta___25">#N/A</definedName>
    <definedName name="LeveredBeta___26">#N/A</definedName>
    <definedName name="LeveredBeta___27">#N/A</definedName>
    <definedName name="LeveredBeta___4">#N/A</definedName>
    <definedName name="LeveredBeta___5">#N/A</definedName>
    <definedName name="LeveredBeta___7">#N/A</definedName>
    <definedName name="li" localSheetId="25" hidden="1">{"IS",#N/A,FALSE,"IS";"RPTIS",#N/A,FALSE,"RPTIS";"STATS",#N/A,FALSE,"STATS";"CELL",#N/A,FALSE,"CELL";"BS",#N/A,FALSE,"BS"}</definedName>
    <definedName name="li" localSheetId="19" hidden="1">{"IS",#N/A,FALSE,"IS";"RPTIS",#N/A,FALSE,"RPTIS";"STATS",#N/A,FALSE,"STATS";"CELL",#N/A,FALSE,"CELL";"BS",#N/A,FALSE,"BS"}</definedName>
    <definedName name="li" localSheetId="22" hidden="1">{"IS",#N/A,FALSE,"IS";"RPTIS",#N/A,FALSE,"RPTIS";"STATS",#N/A,FALSE,"STATS";"CELL",#N/A,FALSE,"CELL";"BS",#N/A,FALSE,"BS"}</definedName>
    <definedName name="li" localSheetId="28" hidden="1">{"IS",#N/A,FALSE,"IS";"RPTIS",#N/A,FALSE,"RPTIS";"STATS",#N/A,FALSE,"STATS";"CELL",#N/A,FALSE,"CELL";"BS",#N/A,FALSE,"BS"}</definedName>
    <definedName name="li" localSheetId="35" hidden="1">{"IS",#N/A,FALSE,"IS";"RPTIS",#N/A,FALSE,"RPTIS";"STATS",#N/A,FALSE,"STATS";"CELL",#N/A,FALSE,"CELL";"BS",#N/A,FALSE,"BS"}</definedName>
    <definedName name="li" hidden="1">{"IS",#N/A,FALSE,"IS";"RPTIS",#N/A,FALSE,"RPTIS";"STATS",#N/A,FALSE,"STATS";"CELL",#N/A,FALSE,"CELL";"BS",#N/A,FALSE,"BS"}</definedName>
    <definedName name="liasse" localSheetId="18">#REF!</definedName>
    <definedName name="liasse" localSheetId="25">#REF!</definedName>
    <definedName name="liasse" localSheetId="29">#REF!</definedName>
    <definedName name="liasse" localSheetId="31">#REF!</definedName>
    <definedName name="liasse" localSheetId="15">#REF!</definedName>
    <definedName name="liasse" localSheetId="13">#REF!</definedName>
    <definedName name="liasse" localSheetId="17">#REF!</definedName>
    <definedName name="liasse" localSheetId="12">#REF!</definedName>
    <definedName name="liasse" localSheetId="22">#REF!</definedName>
    <definedName name="liasse" localSheetId="28">#REF!</definedName>
    <definedName name="liasse" localSheetId="35">#REF!</definedName>
    <definedName name="liasse">#REF!</definedName>
    <definedName name="liasse30" localSheetId="18">#REF!</definedName>
    <definedName name="liasse30" localSheetId="25">#REF!</definedName>
    <definedName name="liasse30" localSheetId="29">#REF!</definedName>
    <definedName name="liasse30" localSheetId="31">#REF!</definedName>
    <definedName name="liasse30" localSheetId="15">#REF!</definedName>
    <definedName name="liasse30" localSheetId="13">#REF!</definedName>
    <definedName name="liasse30" localSheetId="17">#REF!</definedName>
    <definedName name="liasse30" localSheetId="12">#REF!</definedName>
    <definedName name="liasse30" localSheetId="22">#REF!</definedName>
    <definedName name="liasse30" localSheetId="28">#REF!</definedName>
    <definedName name="liasse30" localSheetId="35">#REF!</definedName>
    <definedName name="liasse30">#REF!</definedName>
    <definedName name="libelles" localSheetId="18">#REF!</definedName>
    <definedName name="libelles" localSheetId="25">#REF!</definedName>
    <definedName name="libelles" localSheetId="29">#REF!</definedName>
    <definedName name="libelles" localSheetId="31">#REF!</definedName>
    <definedName name="libelles" localSheetId="15">#REF!</definedName>
    <definedName name="libelles" localSheetId="13">#REF!</definedName>
    <definedName name="libelles" localSheetId="17">#REF!</definedName>
    <definedName name="libelles" localSheetId="12">#REF!</definedName>
    <definedName name="libelles" localSheetId="22">#REF!</definedName>
    <definedName name="libelles" localSheetId="28">#REF!</definedName>
    <definedName name="libelles" localSheetId="35">#REF!</definedName>
    <definedName name="libelles">#REF!</definedName>
    <definedName name="LIBOR">'[97]Affected facilities'!$C$30</definedName>
    <definedName name="LIEN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IEN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IEN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IEN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IEN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IE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IFE">#N/A</definedName>
    <definedName name="limcount" hidden="1">1</definedName>
    <definedName name="Lissasfa">#N/A</definedName>
    <definedName name="LISTA_100" localSheetId="29">#REF!</definedName>
    <definedName name="LISTA_100" localSheetId="31">#REF!</definedName>
    <definedName name="LISTA_100" localSheetId="28">#REF!</definedName>
    <definedName name="LISTA_100" localSheetId="35">#REF!</definedName>
    <definedName name="LISTA_100">#REF!</definedName>
    <definedName name="lista100">'[109]100% prices'!$B$4:$H$847</definedName>
    <definedName name="LISTE">'[110]Détail projets Capex'!$A$88:$A$91</definedName>
    <definedName name="ListOffset">1</definedName>
    <definedName name="ListPrice" localSheetId="29">#REF!</definedName>
    <definedName name="ListPrice" localSheetId="31">#REF!</definedName>
    <definedName name="ListPrice" localSheetId="28">#REF!</definedName>
    <definedName name="ListPrice" localSheetId="35">#REF!</definedName>
    <definedName name="ListPrice">#REF!</definedName>
    <definedName name="LJ" localSheetId="29">#REF!</definedName>
    <definedName name="LJ" localSheetId="31">#REF!</definedName>
    <definedName name="LJ" localSheetId="28">#REF!</definedName>
    <definedName name="LJ" localSheetId="35">#REF!</definedName>
    <definedName name="LJ">#REF!</definedName>
    <definedName name="ljk" localSheetId="18" hidden="1">[109]P.EQUIPEMENT99!#REF!</definedName>
    <definedName name="ljk" localSheetId="29" hidden="1">[109]P.EQUIPEMENT99!#REF!</definedName>
    <definedName name="ljk" localSheetId="31" hidden="1">[109]P.EQUIPEMENT99!#REF!</definedName>
    <definedName name="ljk" localSheetId="15" hidden="1">[109]P.EQUIPEMENT99!#REF!</definedName>
    <definedName name="ljk" localSheetId="13" hidden="1">[109]P.EQUIPEMENT99!#REF!</definedName>
    <definedName name="ljk" localSheetId="17" hidden="1">[109]P.EQUIPEMENT99!#REF!</definedName>
    <definedName name="ljk" localSheetId="12" hidden="1">[109]P.EQUIPEMENT99!#REF!</definedName>
    <definedName name="ljk" localSheetId="22" hidden="1">[109]P.EQUIPEMENT99!#REF!</definedName>
    <definedName name="ljk" localSheetId="28" hidden="1">[109]P.EQUIPEMENT99!#REF!</definedName>
    <definedName name="ljk" localSheetId="35" hidden="1">[109]P.EQUIPEMENT99!#REF!</definedName>
    <definedName name="ljk" hidden="1">[109]P.EQUIPEMENT99!#REF!</definedName>
    <definedName name="lkglotr" localSheetId="18" hidden="1">#REF!</definedName>
    <definedName name="lkglotr" localSheetId="25" hidden="1">#REF!</definedName>
    <definedName name="lkglotr" localSheetId="29" hidden="1">#REF!</definedName>
    <definedName name="lkglotr" localSheetId="31" hidden="1">#REF!</definedName>
    <definedName name="lkglotr" localSheetId="15" hidden="1">#REF!</definedName>
    <definedName name="lkglotr" localSheetId="13" hidden="1">#REF!</definedName>
    <definedName name="lkglotr" localSheetId="17" hidden="1">#REF!</definedName>
    <definedName name="lkglotr" localSheetId="12" hidden="1">#REF!</definedName>
    <definedName name="lkglotr" localSheetId="22" hidden="1">#REF!</definedName>
    <definedName name="lkglotr" localSheetId="28" hidden="1">#REF!</definedName>
    <definedName name="lkglotr" localSheetId="35" hidden="1">#REF!</definedName>
    <definedName name="lkglotr" hidden="1">#REF!</definedName>
    <definedName name="lkjhh">#N/A</definedName>
    <definedName name="LKJHLKM" localSheetId="18">#REF!</definedName>
    <definedName name="LKJHLKM" localSheetId="25">#REF!</definedName>
    <definedName name="LKJHLKM" localSheetId="29">#REF!</definedName>
    <definedName name="LKJHLKM" localSheetId="31">#REF!</definedName>
    <definedName name="LKJHLKM" localSheetId="15">#REF!</definedName>
    <definedName name="LKJHLKM" localSheetId="13">#REF!</definedName>
    <definedName name="LKJHLKM" localSheetId="17">#REF!</definedName>
    <definedName name="LKJHLKM" localSheetId="12">#REF!</definedName>
    <definedName name="LKJHLKM" localSheetId="22">#REF!</definedName>
    <definedName name="LKJHLKM" localSheetId="28">#REF!</definedName>
    <definedName name="LKJHLKM" localSheetId="35">#REF!</definedName>
    <definedName name="LKJHLKM">#REF!</definedName>
    <definedName name="LKJLJLK" localSheetId="18">#REF!</definedName>
    <definedName name="LKJLJLK" localSheetId="25">#REF!</definedName>
    <definedName name="LKJLJLK" localSheetId="29">#REF!</definedName>
    <definedName name="LKJLJLK" localSheetId="31">#REF!</definedName>
    <definedName name="LKJLJLK" localSheetId="15">#REF!</definedName>
    <definedName name="LKJLJLK" localSheetId="13">#REF!</definedName>
    <definedName name="LKJLJLK" localSheetId="17">#REF!</definedName>
    <definedName name="LKJLJLK" localSheetId="12">#REF!</definedName>
    <definedName name="LKJLJLK" localSheetId="22">#REF!</definedName>
    <definedName name="LKJLJLK" localSheetId="28">#REF!</definedName>
    <definedName name="LKJLJLK" localSheetId="35">#REF!</definedName>
    <definedName name="LKJLJLK">#REF!</definedName>
    <definedName name="LKJLML" localSheetId="18" hidden="1">#REF!</definedName>
    <definedName name="LKJLML" localSheetId="25" hidden="1">#REF!</definedName>
    <definedName name="LKJLML" localSheetId="29" hidden="1">#REF!</definedName>
    <definedName name="LKJLML" localSheetId="31" hidden="1">#REF!</definedName>
    <definedName name="LKJLML" localSheetId="15" hidden="1">#REF!</definedName>
    <definedName name="LKJLML" localSheetId="13" hidden="1">#REF!</definedName>
    <definedName name="LKJLML" localSheetId="17" hidden="1">#REF!</definedName>
    <definedName name="LKJLML" localSheetId="12" hidden="1">#REF!</definedName>
    <definedName name="LKJLML" localSheetId="22" hidden="1">#REF!</definedName>
    <definedName name="LKJLML" localSheetId="28" hidden="1">#REF!</definedName>
    <definedName name="LKJLML" localSheetId="35" hidden="1">#REF!</definedName>
    <definedName name="LKJLML" hidden="1">#REF!</definedName>
    <definedName name="lkkgopr" localSheetId="18" hidden="1">#REF!</definedName>
    <definedName name="lkkgopr" localSheetId="25" hidden="1">#REF!</definedName>
    <definedName name="lkkgopr" localSheetId="29" hidden="1">#REF!</definedName>
    <definedName name="lkkgopr" localSheetId="31" hidden="1">#REF!</definedName>
    <definedName name="lkkgopr" localSheetId="15" hidden="1">#REF!</definedName>
    <definedName name="lkkgopr" localSheetId="13" hidden="1">#REF!</definedName>
    <definedName name="lkkgopr" localSheetId="17" hidden="1">#REF!</definedName>
    <definedName name="lkkgopr" localSheetId="12" hidden="1">#REF!</definedName>
    <definedName name="lkkgopr" localSheetId="22" hidden="1">#REF!</definedName>
    <definedName name="lkkgopr" localSheetId="28" hidden="1">#REF!</definedName>
    <definedName name="lkkgopr" localSheetId="35" hidden="1">#REF!</definedName>
    <definedName name="lkkgopr" hidden="1">#REF!</definedName>
    <definedName name="ll" localSheetId="18">[25]Ventes!#REF!</definedName>
    <definedName name="ll" localSheetId="29">[25]Ventes!#REF!</definedName>
    <definedName name="ll" localSheetId="31">[25]Ventes!#REF!</definedName>
    <definedName name="ll" localSheetId="15">[25]Ventes!#REF!</definedName>
    <definedName name="ll" localSheetId="13">[25]Ventes!#REF!</definedName>
    <definedName name="ll" localSheetId="17">[25]Ventes!#REF!</definedName>
    <definedName name="ll" localSheetId="12">[25]Ventes!#REF!</definedName>
    <definedName name="ll" localSheetId="22">[25]Ventes!#REF!</definedName>
    <definedName name="ll" localSheetId="28">[25]Ventes!#REF!</definedName>
    <definedName name="ll" localSheetId="35">[25]Ventes!#REF!</definedName>
    <definedName name="ll">[25]Ventes!#REF!</definedName>
    <definedName name="LLiabs" localSheetId="18">#REF!</definedName>
    <definedName name="LLiabs" localSheetId="25">#REF!</definedName>
    <definedName name="LLiabs" localSheetId="29">#REF!</definedName>
    <definedName name="LLiabs" localSheetId="31">#REF!</definedName>
    <definedName name="LLiabs" localSheetId="15">#REF!</definedName>
    <definedName name="LLiabs" localSheetId="13">#REF!</definedName>
    <definedName name="LLiabs" localSheetId="17">#REF!</definedName>
    <definedName name="LLiabs" localSheetId="12">#REF!</definedName>
    <definedName name="LLiabs" localSheetId="22">#REF!</definedName>
    <definedName name="LLiabs" localSheetId="28">#REF!</definedName>
    <definedName name="LLiabs" localSheetId="35">#REF!</definedName>
    <definedName name="LLiabs">#REF!</definedName>
    <definedName name="LLiabs___0">#N/A</definedName>
    <definedName name="LLiabs___12">#N/A</definedName>
    <definedName name="LLiabs___14">#N/A</definedName>
    <definedName name="LLiabs___16">#N/A</definedName>
    <definedName name="LLiabs___2">#N/A</definedName>
    <definedName name="LLiabs___25">#N/A</definedName>
    <definedName name="LLiabs___26">#N/A</definedName>
    <definedName name="LLiabs___27">#N/A</definedName>
    <definedName name="LLiabs___4">#N/A</definedName>
    <definedName name="LLiabs___5">#N/A</definedName>
    <definedName name="LLiabs___7">#N/A</definedName>
    <definedName name="lmpok" localSheetId="18">#REF!</definedName>
    <definedName name="lmpok" localSheetId="25">#REF!</definedName>
    <definedName name="lmpok" localSheetId="29">#REF!</definedName>
    <definedName name="lmpok" localSheetId="31">#REF!</definedName>
    <definedName name="lmpok" localSheetId="15">#REF!</definedName>
    <definedName name="lmpok" localSheetId="13">#REF!</definedName>
    <definedName name="lmpok" localSheetId="17">#REF!</definedName>
    <definedName name="lmpok" localSheetId="12">#REF!</definedName>
    <definedName name="lmpok" localSheetId="22">#REF!</definedName>
    <definedName name="lmpok" localSheetId="28">#REF!</definedName>
    <definedName name="lmpok" localSheetId="35">#REF!</definedName>
    <definedName name="lmpok">#REF!</definedName>
    <definedName name="LMPS" localSheetId="29">#REF!</definedName>
    <definedName name="LMPS" localSheetId="31">#REF!</definedName>
    <definedName name="LMPS" localSheetId="28">#REF!</definedName>
    <definedName name="LMPS" localSheetId="35">#REF!</definedName>
    <definedName name="LMPS">#REF!</definedName>
    <definedName name="ln" localSheetId="25" hidden="1">{#N/A,#N/A,FALSE,"Contribution Analysis"}</definedName>
    <definedName name="ln" localSheetId="19" hidden="1">{#N/A,#N/A,FALSE,"Contribution Analysis"}</definedName>
    <definedName name="ln" localSheetId="22" hidden="1">{#N/A,#N/A,FALSE,"Contribution Analysis"}</definedName>
    <definedName name="ln" localSheetId="28" hidden="1">{#N/A,#N/A,FALSE,"Contribution Analysis"}</definedName>
    <definedName name="ln" localSheetId="35" hidden="1">{#N/A,#N/A,FALSE,"Contribution Analysis"}</definedName>
    <definedName name="ln" hidden="1">{#N/A,#N/A,FALSE,"Contribution Analysis"}</definedName>
    <definedName name="LNPPESales" localSheetId="18">#REF!</definedName>
    <definedName name="LNPPESales" localSheetId="25">#REF!</definedName>
    <definedName name="LNPPESales" localSheetId="29">#REF!</definedName>
    <definedName name="LNPPESales" localSheetId="31">#REF!</definedName>
    <definedName name="LNPPESales" localSheetId="15">#REF!</definedName>
    <definedName name="LNPPESales" localSheetId="13">#REF!</definedName>
    <definedName name="LNPPESales" localSheetId="17">#REF!</definedName>
    <definedName name="LNPPESales" localSheetId="12">#REF!</definedName>
    <definedName name="LNPPESales" localSheetId="22">#REF!</definedName>
    <definedName name="LNPPESales" localSheetId="28">#REF!</definedName>
    <definedName name="LNPPESales" localSheetId="35">#REF!</definedName>
    <definedName name="LNPPESales">#REF!</definedName>
    <definedName name="LNPPESales___0">#N/A</definedName>
    <definedName name="LNPPESales___12">#N/A</definedName>
    <definedName name="LNPPESales___14">#N/A</definedName>
    <definedName name="LNPPESales___16">#N/A</definedName>
    <definedName name="LNPPESales___2">#N/A</definedName>
    <definedName name="LNPPESales___25">#N/A</definedName>
    <definedName name="LNPPESales___26">#N/A</definedName>
    <definedName name="LNPPESales___27">#N/A</definedName>
    <definedName name="LNPPESales___4">#N/A</definedName>
    <definedName name="LNPPESales___5">#N/A</definedName>
    <definedName name="LNPPESales___7">#N/A</definedName>
    <definedName name="lo" localSheetId="25" hidden="1">{"IS",#N/A,FALSE,"IS";"RPTIS",#N/A,FALSE,"RPTIS";"STATS",#N/A,FALSE,"STATS";"CELL",#N/A,FALSE,"CELL";"BS",#N/A,FALSE,"BS"}</definedName>
    <definedName name="lo" localSheetId="19" hidden="1">{"IS",#N/A,FALSE,"IS";"RPTIS",#N/A,FALSE,"RPTIS";"STATS",#N/A,FALSE,"STATS";"CELL",#N/A,FALSE,"CELL";"BS",#N/A,FALSE,"BS"}</definedName>
    <definedName name="lo" localSheetId="22" hidden="1">{"IS",#N/A,FALSE,"IS";"RPTIS",#N/A,FALSE,"RPTIS";"STATS",#N/A,FALSE,"STATS";"CELL",#N/A,FALSE,"CELL";"BS",#N/A,FALSE,"BS"}</definedName>
    <definedName name="lo" localSheetId="28" hidden="1">{"IS",#N/A,FALSE,"IS";"RPTIS",#N/A,FALSE,"RPTIS";"STATS",#N/A,FALSE,"STATS";"CELL",#N/A,FALSE,"CELL";"BS",#N/A,FALSE,"BS"}</definedName>
    <definedName name="lo" localSheetId="35" hidden="1">{"IS",#N/A,FALSE,"IS";"RPTIS",#N/A,FALSE,"RPTIS";"STATS",#N/A,FALSE,"STATS";"CELL",#N/A,FALSE,"CELL";"BS",#N/A,FALSE,"BS"}</definedName>
    <definedName name="lo" hidden="1">{"IS",#N/A,FALSE,"IS";"RPTIS",#N/A,FALSE,"RPTIS";"STATS",#N/A,FALSE,"STATS";"CELL",#N/A,FALSE,"CELL";"BS",#N/A,FALSE,"BS"}</definedName>
    <definedName name="loki" localSheetId="18" hidden="1">#REF!</definedName>
    <definedName name="loki" localSheetId="25" hidden="1">#REF!</definedName>
    <definedName name="loki" localSheetId="29" hidden="1">#REF!</definedName>
    <definedName name="loki" localSheetId="31" hidden="1">#REF!</definedName>
    <definedName name="loki" localSheetId="15" hidden="1">#REF!</definedName>
    <definedName name="loki" localSheetId="13" hidden="1">#REF!</definedName>
    <definedName name="loki" localSheetId="17" hidden="1">#REF!</definedName>
    <definedName name="loki" localSheetId="12" hidden="1">#REF!</definedName>
    <definedName name="loki" localSheetId="22" hidden="1">#REF!</definedName>
    <definedName name="loki" localSheetId="28" hidden="1">#REF!</definedName>
    <definedName name="loki" localSheetId="35" hidden="1">#REF!</definedName>
    <definedName name="loki" hidden="1">#REF!</definedName>
    <definedName name="LongBond" localSheetId="18">#REF!</definedName>
    <definedName name="LongBond" localSheetId="25">#REF!</definedName>
    <definedName name="LongBond" localSheetId="29">#REF!</definedName>
    <definedName name="LongBond" localSheetId="31">#REF!</definedName>
    <definedName name="LongBond" localSheetId="15">#REF!</definedName>
    <definedName name="LongBond" localSheetId="13">#REF!</definedName>
    <definedName name="LongBond" localSheetId="17">#REF!</definedName>
    <definedName name="LongBond" localSheetId="12">#REF!</definedName>
    <definedName name="LongBond" localSheetId="22">#REF!</definedName>
    <definedName name="LongBond" localSheetId="28">#REF!</definedName>
    <definedName name="LongBond" localSheetId="35">#REF!</definedName>
    <definedName name="LongBond">#REF!</definedName>
    <definedName name="LongBond___0">#N/A</definedName>
    <definedName name="LongBond___12">#N/A</definedName>
    <definedName name="LongBond___14">#N/A</definedName>
    <definedName name="LongBond___16">#N/A</definedName>
    <definedName name="LongBond___2">#N/A</definedName>
    <definedName name="LongBond___25">#N/A</definedName>
    <definedName name="LongBond___26">#N/A</definedName>
    <definedName name="LongBond___27">#N/A</definedName>
    <definedName name="LongBond___4">#N/A</definedName>
    <definedName name="LongBond___5">#N/A</definedName>
    <definedName name="LongBond___7">#N/A</definedName>
    <definedName name="loubna">#N/A</definedName>
    <definedName name="lp" localSheetId="25">{"subs",#N/A,FALSE,"database ";"proportional",#N/A,FALSE,"database "}</definedName>
    <definedName name="lp" localSheetId="19">{"subs",#N/A,FALSE,"database ";"proportional",#N/A,FALSE,"database "}</definedName>
    <definedName name="lp" localSheetId="22">{"subs",#N/A,FALSE,"database ";"proportional",#N/A,FALSE,"database "}</definedName>
    <definedName name="lp" localSheetId="28">{"subs",#N/A,FALSE,"database ";"proportional",#N/A,FALSE,"database "}</definedName>
    <definedName name="lp" localSheetId="35">{"subs",#N/A,FALSE,"database ";"proportional",#N/A,FALSE,"database "}</definedName>
    <definedName name="lp">{"subs",#N/A,FALSE,"database ";"proportional",#N/A,FALSE,"database "}</definedName>
    <definedName name="LPEBIT" localSheetId="18">#REF!</definedName>
    <definedName name="LPEBIT" localSheetId="25">#REF!</definedName>
    <definedName name="LPEBIT" localSheetId="29">#REF!</definedName>
    <definedName name="LPEBIT" localSheetId="31">#REF!</definedName>
    <definedName name="LPEBIT" localSheetId="15">#REF!</definedName>
    <definedName name="LPEBIT" localSheetId="13">#REF!</definedName>
    <definedName name="LPEBIT" localSheetId="17">#REF!</definedName>
    <definedName name="LPEBIT" localSheetId="12">#REF!</definedName>
    <definedName name="LPEBIT" localSheetId="22">#REF!</definedName>
    <definedName name="LPEBIT" localSheetId="28">#REF!</definedName>
    <definedName name="LPEBIT" localSheetId="35">#REF!</definedName>
    <definedName name="LPEBIT">#REF!</definedName>
    <definedName name="LPEBIT___0">#N/A</definedName>
    <definedName name="LPEBIT___12">#N/A</definedName>
    <definedName name="LPEBIT___14">#N/A</definedName>
    <definedName name="LPEBIT___16">#N/A</definedName>
    <definedName name="LPEBIT___2">#N/A</definedName>
    <definedName name="LPEBIT___25">#N/A</definedName>
    <definedName name="LPEBIT___26">#N/A</definedName>
    <definedName name="LPEBIT___27">#N/A</definedName>
    <definedName name="LPEBIT___4">#N/A</definedName>
    <definedName name="LPEBIT___5">#N/A</definedName>
    <definedName name="LPEBIT___7">#N/A</definedName>
    <definedName name="LPEBITDA" localSheetId="18">#REF!</definedName>
    <definedName name="LPEBITDA" localSheetId="25">#REF!</definedName>
    <definedName name="LPEBITDA" localSheetId="29">#REF!</definedName>
    <definedName name="LPEBITDA" localSheetId="31">#REF!</definedName>
    <definedName name="LPEBITDA" localSheetId="15">#REF!</definedName>
    <definedName name="LPEBITDA" localSheetId="13">#REF!</definedName>
    <definedName name="LPEBITDA" localSheetId="17">#REF!</definedName>
    <definedName name="LPEBITDA" localSheetId="12">#REF!</definedName>
    <definedName name="LPEBITDA" localSheetId="22">#REF!</definedName>
    <definedName name="LPEBITDA" localSheetId="28">#REF!</definedName>
    <definedName name="LPEBITDA" localSheetId="35">#REF!</definedName>
    <definedName name="LPEBITDA">#REF!</definedName>
    <definedName name="LPEBITDA___0">#N/A</definedName>
    <definedName name="LPEBITDA___12">#N/A</definedName>
    <definedName name="LPEBITDA___14">#N/A</definedName>
    <definedName name="LPEBITDA___16">#N/A</definedName>
    <definedName name="LPEBITDA___2">#N/A</definedName>
    <definedName name="LPEBITDA___25">#N/A</definedName>
    <definedName name="LPEBITDA___26">#N/A</definedName>
    <definedName name="LPEBITDA___27">#N/A</definedName>
    <definedName name="LPEBITDA___4">#N/A</definedName>
    <definedName name="LPEBITDA___5">#N/A</definedName>
    <definedName name="LPEBITDA___7">#N/A</definedName>
    <definedName name="LPOperProfit" localSheetId="18">#REF!</definedName>
    <definedName name="LPOperProfit" localSheetId="25">#REF!</definedName>
    <definedName name="LPOperProfit" localSheetId="29">#REF!</definedName>
    <definedName name="LPOperProfit" localSheetId="31">#REF!</definedName>
    <definedName name="LPOperProfit" localSheetId="15">#REF!</definedName>
    <definedName name="LPOperProfit" localSheetId="13">#REF!</definedName>
    <definedName name="LPOperProfit" localSheetId="17">#REF!</definedName>
    <definedName name="LPOperProfit" localSheetId="12">#REF!</definedName>
    <definedName name="LPOperProfit" localSheetId="22">#REF!</definedName>
    <definedName name="LPOperProfit" localSheetId="28">#REF!</definedName>
    <definedName name="LPOperProfit" localSheetId="35">#REF!</definedName>
    <definedName name="LPOperProfit">#REF!</definedName>
    <definedName name="LPOperProfit___0">#N/A</definedName>
    <definedName name="LPOperProfit___12">#N/A</definedName>
    <definedName name="LPOperProfit___14">#N/A</definedName>
    <definedName name="LPOperProfit___16">#N/A</definedName>
    <definedName name="LPOperProfit___2">#N/A</definedName>
    <definedName name="LPOperProfit___25">#N/A</definedName>
    <definedName name="LPOperProfit___26">#N/A</definedName>
    <definedName name="LPOperProfit___27">#N/A</definedName>
    <definedName name="LPOperProfit___4">#N/A</definedName>
    <definedName name="LPOperProfit___5">#N/A</definedName>
    <definedName name="LPOperProfit___7">#N/A</definedName>
    <definedName name="LPOther1" localSheetId="18">#REF!</definedName>
    <definedName name="LPOther1" localSheetId="25">#REF!</definedName>
    <definedName name="LPOther1" localSheetId="29">#REF!</definedName>
    <definedName name="LPOther1" localSheetId="31">#REF!</definedName>
    <definedName name="LPOther1" localSheetId="15">#REF!</definedName>
    <definedName name="LPOther1" localSheetId="13">#REF!</definedName>
    <definedName name="LPOther1" localSheetId="17">#REF!</definedName>
    <definedName name="LPOther1" localSheetId="12">#REF!</definedName>
    <definedName name="LPOther1" localSheetId="22">#REF!</definedName>
    <definedName name="LPOther1" localSheetId="28">#REF!</definedName>
    <definedName name="LPOther1" localSheetId="35">#REF!</definedName>
    <definedName name="LPOther1">#REF!</definedName>
    <definedName name="LPOther1___0">#N/A</definedName>
    <definedName name="LPOther1___12">#N/A</definedName>
    <definedName name="LPOther1___14">#N/A</definedName>
    <definedName name="LPOther1___16">#N/A</definedName>
    <definedName name="LPOther1___2">#N/A</definedName>
    <definedName name="LPOther1___25">#N/A</definedName>
    <definedName name="LPOther1___26">#N/A</definedName>
    <definedName name="LPOther1___27">#N/A</definedName>
    <definedName name="LPOther1___4">#N/A</definedName>
    <definedName name="LPOther1___5">#N/A</definedName>
    <definedName name="LPOther1___7">#N/A</definedName>
    <definedName name="LPOther2" localSheetId="18">#REF!</definedName>
    <definedName name="LPOther2" localSheetId="25">#REF!</definedName>
    <definedName name="LPOther2" localSheetId="29">#REF!</definedName>
    <definedName name="LPOther2" localSheetId="31">#REF!</definedName>
    <definedName name="LPOther2" localSheetId="15">#REF!</definedName>
    <definedName name="LPOther2" localSheetId="13">#REF!</definedName>
    <definedName name="LPOther2" localSheetId="17">#REF!</definedName>
    <definedName name="LPOther2" localSheetId="12">#REF!</definedName>
    <definedName name="LPOther2" localSheetId="22">#REF!</definedName>
    <definedName name="LPOther2" localSheetId="28">#REF!</definedName>
    <definedName name="LPOther2" localSheetId="35">#REF!</definedName>
    <definedName name="LPOther2">#REF!</definedName>
    <definedName name="LPOther2___0">#N/A</definedName>
    <definedName name="LPOther2___12">#N/A</definedName>
    <definedName name="LPOther2___14">#N/A</definedName>
    <definedName name="LPOther2___16">#N/A</definedName>
    <definedName name="LPOther2___2">#N/A</definedName>
    <definedName name="LPOther2___25">#N/A</definedName>
    <definedName name="LPOther2___26">#N/A</definedName>
    <definedName name="LPOther2___27">#N/A</definedName>
    <definedName name="LPOther2___4">#N/A</definedName>
    <definedName name="LPOther2___5">#N/A</definedName>
    <definedName name="LPOther2___7">#N/A</definedName>
    <definedName name="LPOther3" localSheetId="18">#REF!</definedName>
    <definedName name="LPOther3" localSheetId="25">#REF!</definedName>
    <definedName name="LPOther3" localSheetId="29">#REF!</definedName>
    <definedName name="LPOther3" localSheetId="31">#REF!</definedName>
    <definedName name="LPOther3" localSheetId="15">#REF!</definedName>
    <definedName name="LPOther3" localSheetId="13">#REF!</definedName>
    <definedName name="LPOther3" localSheetId="17">#REF!</definedName>
    <definedName name="LPOther3" localSheetId="12">#REF!</definedName>
    <definedName name="LPOther3" localSheetId="22">#REF!</definedName>
    <definedName name="LPOther3" localSheetId="28">#REF!</definedName>
    <definedName name="LPOther3" localSheetId="35">#REF!</definedName>
    <definedName name="LPOther3">#REF!</definedName>
    <definedName name="LPOther3___0">#N/A</definedName>
    <definedName name="LPOther3___12">#N/A</definedName>
    <definedName name="LPOther3___14">#N/A</definedName>
    <definedName name="LPOther3___16">#N/A</definedName>
    <definedName name="LPOther3___2">#N/A</definedName>
    <definedName name="LPOther3___25">#N/A</definedName>
    <definedName name="LPOther3___26">#N/A</definedName>
    <definedName name="LPOther3___27">#N/A</definedName>
    <definedName name="LPOther3___4">#N/A</definedName>
    <definedName name="LPOther3___5">#N/A</definedName>
    <definedName name="LPOther3___7">#N/A</definedName>
    <definedName name="LPSales" localSheetId="18">#REF!</definedName>
    <definedName name="LPSales" localSheetId="25">#REF!</definedName>
    <definedName name="LPSales" localSheetId="29">#REF!</definedName>
    <definedName name="LPSales" localSheetId="31">#REF!</definedName>
    <definedName name="LPSales" localSheetId="15">#REF!</definedName>
    <definedName name="LPSales" localSheetId="13">#REF!</definedName>
    <definedName name="LPSales" localSheetId="17">#REF!</definedName>
    <definedName name="LPSales" localSheetId="12">#REF!</definedName>
    <definedName name="LPSales" localSheetId="22">#REF!</definedName>
    <definedName name="LPSales" localSheetId="28">#REF!</definedName>
    <definedName name="LPSales" localSheetId="35">#REF!</definedName>
    <definedName name="LPSales">#REF!</definedName>
    <definedName name="LPSales___0">#N/A</definedName>
    <definedName name="LPSales___12">#N/A</definedName>
    <definedName name="LPSales___14">#N/A</definedName>
    <definedName name="LPSales___16">#N/A</definedName>
    <definedName name="LPSales___2">#N/A</definedName>
    <definedName name="LPSales___25">#N/A</definedName>
    <definedName name="LPSales___26">#N/A</definedName>
    <definedName name="LPSales___27">#N/A</definedName>
    <definedName name="LPSales___4">#N/A</definedName>
    <definedName name="LPSales___5">#N/A</definedName>
    <definedName name="LPSales___7">#N/A</definedName>
    <definedName name="lq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25" hidden="1">{"IS",#N/A,FALSE,"IS";"RPTIS",#N/A,FALSE,"RPTIS";"STATS",#N/A,FALSE,"STATS";"CELL",#N/A,FALSE,"CELL";"BS",#N/A,FALSE,"BS"}</definedName>
    <definedName name="lr" localSheetId="19" hidden="1">{"IS",#N/A,FALSE,"IS";"RPTIS",#N/A,FALSE,"RPTIS";"STATS",#N/A,FALSE,"STATS";"CELL",#N/A,FALSE,"CELL";"BS",#N/A,FALSE,"BS"}</definedName>
    <definedName name="lr" localSheetId="22" hidden="1">{"IS",#N/A,FALSE,"IS";"RPTIS",#N/A,FALSE,"RPTIS";"STATS",#N/A,FALSE,"STATS";"CELL",#N/A,FALSE,"CELL";"BS",#N/A,FALSE,"BS"}</definedName>
    <definedName name="lr" localSheetId="28" hidden="1">{"IS",#N/A,FALSE,"IS";"RPTIS",#N/A,FALSE,"RPTIS";"STATS",#N/A,FALSE,"STATS";"CELL",#N/A,FALSE,"CELL";"BS",#N/A,FALSE,"BS"}</definedName>
    <definedName name="lr" localSheetId="35" hidden="1">{"IS",#N/A,FALSE,"IS";"RPTIS",#N/A,FALSE,"RPTIS";"STATS",#N/A,FALSE,"STATS";"CELL",#N/A,FALSE,"CELL";"BS",#N/A,FALSE,"BS"}</definedName>
    <definedName name="lr" hidden="1">{"IS",#N/A,FALSE,"IS";"RPTIS",#N/A,FALSE,"RPTIS";"STATS",#N/A,FALSE,"STATS";"CELL",#N/A,FALSE,"CELL";"BS",#N/A,FALSE,"BS"}</definedName>
    <definedName name="lrty" localSheetId="18">#REF!</definedName>
    <definedName name="lrty" localSheetId="25">#REF!</definedName>
    <definedName name="lrty" localSheetId="29">#REF!</definedName>
    <definedName name="lrty" localSheetId="31">#REF!</definedName>
    <definedName name="lrty" localSheetId="15">#REF!</definedName>
    <definedName name="lrty" localSheetId="13">#REF!</definedName>
    <definedName name="lrty" localSheetId="17">#REF!</definedName>
    <definedName name="lrty" localSheetId="12">#REF!</definedName>
    <definedName name="lrty" localSheetId="22">#REF!</definedName>
    <definedName name="lrty" localSheetId="28">#REF!</definedName>
    <definedName name="lrty" localSheetId="35">#REF!</definedName>
    <definedName name="lrty">#REF!</definedName>
    <definedName name="ls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18">#REF!</definedName>
    <definedName name="LSalesGrowth" localSheetId="25">#REF!</definedName>
    <definedName name="LSalesGrowth" localSheetId="29">#REF!</definedName>
    <definedName name="LSalesGrowth" localSheetId="31">#REF!</definedName>
    <definedName name="LSalesGrowth" localSheetId="15">#REF!</definedName>
    <definedName name="LSalesGrowth" localSheetId="13">#REF!</definedName>
    <definedName name="LSalesGrowth" localSheetId="17">#REF!</definedName>
    <definedName name="LSalesGrowth" localSheetId="12">#REF!</definedName>
    <definedName name="LSalesGrowth" localSheetId="22">#REF!</definedName>
    <definedName name="LSalesGrowth" localSheetId="28">#REF!</definedName>
    <definedName name="LSalesGrowth" localSheetId="35">#REF!</definedName>
    <definedName name="LSalesGrowth">#REF!</definedName>
    <definedName name="LSalesGrowth___0">#N/A</definedName>
    <definedName name="LSalesGrowth___12">#N/A</definedName>
    <definedName name="LSalesGrowth___14">#N/A</definedName>
    <definedName name="LSalesGrowth___16">#N/A</definedName>
    <definedName name="LSalesGrowth___2">#N/A</definedName>
    <definedName name="LSalesGrowth___25">#N/A</definedName>
    <definedName name="LSalesGrowth___26">#N/A</definedName>
    <definedName name="LSalesGrowth___27">#N/A</definedName>
    <definedName name="LSalesGrowth___4">#N/A</definedName>
    <definedName name="LSalesGrowth___5">#N/A</definedName>
    <definedName name="LSalesGrowth___7">#N/A</definedName>
    <definedName name="lt" localSheetId="25">{#N/A,#N/A,FALSE,"ORIX CSC"}</definedName>
    <definedName name="lt" localSheetId="19">{#N/A,#N/A,FALSE,"ORIX CSC"}</definedName>
    <definedName name="lt" localSheetId="22">{#N/A,#N/A,FALSE,"ORIX CSC"}</definedName>
    <definedName name="lt" localSheetId="28">{#N/A,#N/A,FALSE,"ORIX CSC"}</definedName>
    <definedName name="lt" localSheetId="35">{#N/A,#N/A,FALSE,"ORIX CSC"}</definedName>
    <definedName name="lt">{#N/A,#N/A,FALSE,"ORIX CSC"}</definedName>
    <definedName name="LTaxRate" localSheetId="18">#REF!</definedName>
    <definedName name="LTaxRate" localSheetId="25">#REF!</definedName>
    <definedName name="LTaxRate" localSheetId="29">#REF!</definedName>
    <definedName name="LTaxRate" localSheetId="31">#REF!</definedName>
    <definedName name="LTaxRate" localSheetId="15">#REF!</definedName>
    <definedName name="LTaxRate" localSheetId="13">#REF!</definedName>
    <definedName name="LTaxRate" localSheetId="17">#REF!</definedName>
    <definedName name="LTaxRate" localSheetId="12">#REF!</definedName>
    <definedName name="LTaxRate" localSheetId="22">#REF!</definedName>
    <definedName name="LTaxRate" localSheetId="28">#REF!</definedName>
    <definedName name="LTaxRate" localSheetId="35">#REF!</definedName>
    <definedName name="LTaxRate">#REF!</definedName>
    <definedName name="LTaxRate___0">#N/A</definedName>
    <definedName name="LTaxRate___12">#N/A</definedName>
    <definedName name="LTaxRate___14">#N/A</definedName>
    <definedName name="LTaxRate___16">#N/A</definedName>
    <definedName name="LTaxRate___2">#N/A</definedName>
    <definedName name="LTaxRate___25">#N/A</definedName>
    <definedName name="LTaxRate___26">#N/A</definedName>
    <definedName name="LTaxRate___27">#N/A</definedName>
    <definedName name="LTaxRate___4">#N/A</definedName>
    <definedName name="LTaxRate___5">#N/A</definedName>
    <definedName name="LTaxRate___7">#N/A</definedName>
    <definedName name="lu" localSheetId="25" hidden="1">{"orixcsc",#N/A,FALSE,"ORIX CSC";"orixcsc2",#N/A,FALSE,"ORIX CSC"}</definedName>
    <definedName name="lu" localSheetId="19" hidden="1">{"orixcsc",#N/A,FALSE,"ORIX CSC";"orixcsc2",#N/A,FALSE,"ORIX CSC"}</definedName>
    <definedName name="lu" localSheetId="22" hidden="1">{"orixcsc",#N/A,FALSE,"ORIX CSC";"orixcsc2",#N/A,FALSE,"ORIX CSC"}</definedName>
    <definedName name="lu" localSheetId="28" hidden="1">{"orixcsc",#N/A,FALSE,"ORIX CSC";"orixcsc2",#N/A,FALSE,"ORIX CSC"}</definedName>
    <definedName name="lu" localSheetId="35" hidden="1">{"orixcsc",#N/A,FALSE,"ORIX CSC";"orixcsc2",#N/A,FALSE,"ORIX CSC"}</definedName>
    <definedName name="lu" hidden="1">{"orixcsc",#N/A,FALSE,"ORIX CSC";"orixcsc2",#N/A,FALSE,"ORIX CSC"}</definedName>
    <definedName name="lumpjiùo" localSheetId="25" hidden="1">{"IS",#N/A,FALSE,"IS";"RPTIS",#N/A,FALSE,"RPTIS";"STATS",#N/A,FALSE,"STATS";"BS",#N/A,FALSE,"BS"}</definedName>
    <definedName name="lumpjiùo" localSheetId="19" hidden="1">{"IS",#N/A,FALSE,"IS";"RPTIS",#N/A,FALSE,"RPTIS";"STATS",#N/A,FALSE,"STATS";"BS",#N/A,FALSE,"BS"}</definedName>
    <definedName name="lumpjiùo" localSheetId="22" hidden="1">{"IS",#N/A,FALSE,"IS";"RPTIS",#N/A,FALSE,"RPTIS";"STATS",#N/A,FALSE,"STATS";"BS",#N/A,FALSE,"BS"}</definedName>
    <definedName name="lumpjiùo" localSheetId="28" hidden="1">{"IS",#N/A,FALSE,"IS";"RPTIS",#N/A,FALSE,"RPTIS";"STATS",#N/A,FALSE,"STATS";"BS",#N/A,FALSE,"BS"}</definedName>
    <definedName name="lumpjiùo" localSheetId="35" hidden="1">{"IS",#N/A,FALSE,"IS";"RPTIS",#N/A,FALSE,"RPTIS";"STATS",#N/A,FALSE,"STATS";"BS",#N/A,FALSE,"BS"}</definedName>
    <definedName name="lumpjiùo" hidden="1">{"IS",#N/A,FALSE,"IS";"RPTIS",#N/A,FALSE,"RPTIS";"STATS",#N/A,FALSE,"STATS";"BS",#N/A,FALSE,"BS"}</definedName>
    <definedName name="lv" localSheetId="25" hidden="1">{"IS",#N/A,FALSE,"IS";"RPTIS",#N/A,FALSE,"RPTIS";"STATS",#N/A,FALSE,"STATS";"BS",#N/A,FALSE,"BS"}</definedName>
    <definedName name="lv" localSheetId="19" hidden="1">{"IS",#N/A,FALSE,"IS";"RPTIS",#N/A,FALSE,"RPTIS";"STATS",#N/A,FALSE,"STATS";"BS",#N/A,FALSE,"BS"}</definedName>
    <definedName name="lv" localSheetId="22" hidden="1">{"IS",#N/A,FALSE,"IS";"RPTIS",#N/A,FALSE,"RPTIS";"STATS",#N/A,FALSE,"STATS";"BS",#N/A,FALSE,"BS"}</definedName>
    <definedName name="lv" localSheetId="28" hidden="1">{"IS",#N/A,FALSE,"IS";"RPTIS",#N/A,FALSE,"RPTIS";"STATS",#N/A,FALSE,"STATS";"BS",#N/A,FALSE,"BS"}</definedName>
    <definedName name="lv" localSheetId="35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localSheetId="25" hidden="1">{#N/A,#N/A,FALSE,"Contribution Analysis"}</definedName>
    <definedName name="ly" localSheetId="19" hidden="1">{#N/A,#N/A,FALSE,"Contribution Analysis"}</definedName>
    <definedName name="ly" localSheetId="22" hidden="1">{#N/A,#N/A,FALSE,"Contribution Analysis"}</definedName>
    <definedName name="ly" localSheetId="28" hidden="1">{#N/A,#N/A,FALSE,"Contribution Analysis"}</definedName>
    <definedName name="ly" localSheetId="35" hidden="1">{#N/A,#N/A,FALSE,"Contribution Analysis"}</definedName>
    <definedName name="ly" hidden="1">{#N/A,#N/A,FALSE,"Contribution Analysis"}</definedName>
    <definedName name="LYN" localSheetId="18">#REF!</definedName>
    <definedName name="LYN" localSheetId="25">#REF!</definedName>
    <definedName name="LYN" localSheetId="29">#REF!</definedName>
    <definedName name="LYN" localSheetId="31">#REF!</definedName>
    <definedName name="LYN" localSheetId="15">#REF!</definedName>
    <definedName name="LYN" localSheetId="13">#REF!</definedName>
    <definedName name="LYN" localSheetId="17">#REF!</definedName>
    <definedName name="LYN" localSheetId="12">#REF!</definedName>
    <definedName name="LYN" localSheetId="22">#REF!</definedName>
    <definedName name="LYN" localSheetId="28">#REF!</definedName>
    <definedName name="LYN" localSheetId="35">#REF!</definedName>
    <definedName name="LYN">#REF!</definedName>
    <definedName name="lz" localSheetId="25" hidden="1">{"IS",#N/A,FALSE,"IS";"RPTIS",#N/A,FALSE,"RPTIS";"STATS",#N/A,FALSE,"STATS";"CELL",#N/A,FALSE,"CELL";"BS",#N/A,FALSE,"BS"}</definedName>
    <definedName name="lz" localSheetId="19" hidden="1">{"IS",#N/A,FALSE,"IS";"RPTIS",#N/A,FALSE,"RPTIS";"STATS",#N/A,FALSE,"STATS";"CELL",#N/A,FALSE,"CELL";"BS",#N/A,FALSE,"BS"}</definedName>
    <definedName name="lz" localSheetId="22" hidden="1">{"IS",#N/A,FALSE,"IS";"RPTIS",#N/A,FALSE,"RPTIS";"STATS",#N/A,FALSE,"STATS";"CELL",#N/A,FALSE,"CELL";"BS",#N/A,FALSE,"BS"}</definedName>
    <definedName name="lz" localSheetId="28" hidden="1">{"IS",#N/A,FALSE,"IS";"RPTIS",#N/A,FALSE,"RPTIS";"STATS",#N/A,FALSE,"STATS";"CELL",#N/A,FALSE,"CELL";"BS",#N/A,FALSE,"BS"}</definedName>
    <definedName name="lz" localSheetId="35" hidden="1">{"IS",#N/A,FALSE,"IS";"RPTIS",#N/A,FALSE,"RPTIS";"STATS",#N/A,FALSE,"STATS";"CELL",#N/A,FALSE,"CELL";"BS",#N/A,FALSE,"BS"}</definedName>
    <definedName name="lz" hidden="1">{"IS",#N/A,FALSE,"IS";"RPTIS",#N/A,FALSE,"RPTIS";"STATS",#N/A,FALSE,"STATS";"CELL",#N/A,FALSE,"CELL";"BS",#N/A,FALSE,"BS"}</definedName>
    <definedName name="M" localSheetId="18">#REF!</definedName>
    <definedName name="M" localSheetId="25">#REF!</definedName>
    <definedName name="M" localSheetId="29">#REF!</definedName>
    <definedName name="M" localSheetId="31">#REF!</definedName>
    <definedName name="M" localSheetId="15">#REF!</definedName>
    <definedName name="M" localSheetId="13">#REF!</definedName>
    <definedName name="M" localSheetId="17">#REF!</definedName>
    <definedName name="M" localSheetId="12">#REF!</definedName>
    <definedName name="M" localSheetId="22">#REF!</definedName>
    <definedName name="M" localSheetId="28">#REF!</definedName>
    <definedName name="M" localSheetId="35">#REF!</definedName>
    <definedName name="M">#REF!</definedName>
    <definedName name="M.E.SFES" localSheetId="18" hidden="1">#REF!</definedName>
    <definedName name="M.E.SFES" localSheetId="25" hidden="1">#REF!</definedName>
    <definedName name="M.E.SFES" localSheetId="29" hidden="1">#REF!</definedName>
    <definedName name="M.E.SFES" localSheetId="31" hidden="1">#REF!</definedName>
    <definedName name="M.E.SFES" localSheetId="15" hidden="1">#REF!</definedName>
    <definedName name="M.E.SFES" localSheetId="13" hidden="1">#REF!</definedName>
    <definedName name="M.E.SFES" localSheetId="17" hidden="1">#REF!</definedName>
    <definedName name="M.E.SFES" localSheetId="12" hidden="1">#REF!</definedName>
    <definedName name="M.E.SFES" localSheetId="22" hidden="1">#REF!</definedName>
    <definedName name="M.E.SFES" localSheetId="28" hidden="1">#REF!</definedName>
    <definedName name="M.E.SFES" localSheetId="35" hidden="1">#REF!</definedName>
    <definedName name="M.E.SFES" hidden="1">#REF!</definedName>
    <definedName name="M___0">#N/A</definedName>
    <definedName name="M___12">#N/A</definedName>
    <definedName name="M___14">#N/A</definedName>
    <definedName name="M___16">#N/A</definedName>
    <definedName name="M___2">#N/A</definedName>
    <definedName name="M___25">#N/A</definedName>
    <definedName name="M___26">#N/A</definedName>
    <definedName name="M___27">#N/A</definedName>
    <definedName name="M___4">#N/A</definedName>
    <definedName name="M___5">#N/A</definedName>
    <definedName name="M___7">#N/A</definedName>
    <definedName name="ma" localSheetId="25" hidden="1">{#N/A,#N/A,FALSE,"ORIX CSC"}</definedName>
    <definedName name="ma" localSheetId="19" hidden="1">{#N/A,#N/A,FALSE,"ORIX CSC"}</definedName>
    <definedName name="ma" localSheetId="22" hidden="1">{#N/A,#N/A,FALSE,"ORIX CSC"}</definedName>
    <definedName name="ma" localSheetId="28" hidden="1">{#N/A,#N/A,FALSE,"ORIX CSC"}</definedName>
    <definedName name="ma" localSheetId="35" hidden="1">{#N/A,#N/A,FALSE,"ORIX CSC"}</definedName>
    <definedName name="ma" hidden="1">{#N/A,#N/A,FALSE,"ORIX CSC"}</definedName>
    <definedName name="Macro113" localSheetId="28">#N/A</definedName>
    <definedName name="Macro113" localSheetId="35">'Taxe 5%'!Macro113</definedName>
    <definedName name="Macro113">'Taxe 5%'!Macro113</definedName>
    <definedName name="Macro3" localSheetId="18">#REF!</definedName>
    <definedName name="Macro3" localSheetId="25">#REF!</definedName>
    <definedName name="Macro3" localSheetId="29">#REF!</definedName>
    <definedName name="Macro3" localSheetId="31">#REF!</definedName>
    <definedName name="Macro3" localSheetId="15">#REF!</definedName>
    <definedName name="Macro3" localSheetId="13">#REF!</definedName>
    <definedName name="Macro3" localSheetId="17">#REF!</definedName>
    <definedName name="Macro3" localSheetId="12">#REF!</definedName>
    <definedName name="Macro3" localSheetId="22">#REF!</definedName>
    <definedName name="Macro3" localSheetId="28">#REF!</definedName>
    <definedName name="Macro3" localSheetId="35">#REF!</definedName>
    <definedName name="Macro3">#REF!</definedName>
    <definedName name="Macro3___0">#N/A</definedName>
    <definedName name="Macro3___12">#N/A</definedName>
    <definedName name="Macro3___2">#N/A</definedName>
    <definedName name="Macro3___27">#N/A</definedName>
    <definedName name="Macro3___5">#N/A</definedName>
    <definedName name="MAIN" localSheetId="29">#REF!</definedName>
    <definedName name="MAIN" localSheetId="31">#REF!</definedName>
    <definedName name="MAIN" localSheetId="28">#REF!</definedName>
    <definedName name="MAIN" localSheetId="35">#REF!</definedName>
    <definedName name="MAIN">#REF!</definedName>
    <definedName name="Maintenance_Markup" localSheetId="29">#REF!</definedName>
    <definedName name="Maintenance_Markup" localSheetId="31">#REF!</definedName>
    <definedName name="Maintenance_Markup" localSheetId="28">#REF!</definedName>
    <definedName name="Maintenance_Markup" localSheetId="35">#REF!</definedName>
    <definedName name="Maintenance_Markup">#REF!</definedName>
    <definedName name="maprub">'[111]Mapping Rub - Def'!$A$3:$D$435</definedName>
    <definedName name="mar" localSheetId="18">[112]BATIMENT!#REF!</definedName>
    <definedName name="mar" localSheetId="29">[112]BATIMENT!#REF!</definedName>
    <definedName name="mar" localSheetId="31">[112]BATIMENT!#REF!</definedName>
    <definedName name="mar" localSheetId="15">[112]BATIMENT!#REF!</definedName>
    <definedName name="mar" localSheetId="13">[112]BATIMENT!#REF!</definedName>
    <definedName name="mar" localSheetId="19">[112]BATIMENT!#REF!</definedName>
    <definedName name="mar" localSheetId="17">[112]BATIMENT!#REF!</definedName>
    <definedName name="mar" localSheetId="12">[112]BATIMENT!#REF!</definedName>
    <definedName name="mar" localSheetId="22">[112]BATIMENT!#REF!</definedName>
    <definedName name="mar" localSheetId="28">[112]BATIMENT!#REF!</definedName>
    <definedName name="mar" localSheetId="35">[112]BATIMENT!#REF!</definedName>
    <definedName name="mar">[112]BATIMENT!#REF!</definedName>
    <definedName name="March" localSheetId="18">#REF!</definedName>
    <definedName name="March" localSheetId="25">#REF!</definedName>
    <definedName name="March" localSheetId="29">#REF!</definedName>
    <definedName name="March" localSheetId="31">#REF!</definedName>
    <definedName name="March" localSheetId="15">#REF!</definedName>
    <definedName name="March" localSheetId="13">#REF!</definedName>
    <definedName name="March" localSheetId="17">#REF!</definedName>
    <definedName name="March" localSheetId="12">#REF!</definedName>
    <definedName name="March" localSheetId="22">#REF!</definedName>
    <definedName name="March" localSheetId="28">#REF!</definedName>
    <definedName name="March" localSheetId="35">#REF!</definedName>
    <definedName name="March">#REF!</definedName>
    <definedName name="Markets" localSheetId="29">#REF!</definedName>
    <definedName name="Markets" localSheetId="31">#REF!</definedName>
    <definedName name="Markets" localSheetId="28">#REF!</definedName>
    <definedName name="Markets" localSheetId="35">#REF!</definedName>
    <definedName name="Markets">#REF!</definedName>
    <definedName name="Marrakech">#N/A</definedName>
    <definedName name="Mars" localSheetId="18">#REF!</definedName>
    <definedName name="Mars" localSheetId="25">#REF!</definedName>
    <definedName name="Mars" localSheetId="29">#REF!</definedName>
    <definedName name="Mars" localSheetId="31">#REF!</definedName>
    <definedName name="Mars" localSheetId="15">#REF!</definedName>
    <definedName name="Mars" localSheetId="13">#REF!</definedName>
    <definedName name="Mars" localSheetId="17">#REF!</definedName>
    <definedName name="Mars" localSheetId="12">#REF!</definedName>
    <definedName name="Mars" localSheetId="22">#REF!</definedName>
    <definedName name="Mars" localSheetId="28">#REF!</definedName>
    <definedName name="Mars" localSheetId="35">#REF!</definedName>
    <definedName name="Mars">#REF!</definedName>
    <definedName name="marsabon" localSheetId="18">#REF!</definedName>
    <definedName name="marsabon" localSheetId="25">#REF!</definedName>
    <definedName name="marsabon" localSheetId="29">#REF!</definedName>
    <definedName name="marsabon" localSheetId="31">#REF!</definedName>
    <definedName name="marsabon" localSheetId="15">#REF!</definedName>
    <definedName name="marsabon" localSheetId="13">#REF!</definedName>
    <definedName name="marsabon" localSheetId="17">#REF!</definedName>
    <definedName name="marsabon" localSheetId="12">#REF!</definedName>
    <definedName name="marsabon" localSheetId="22">#REF!</definedName>
    <definedName name="marsabon" localSheetId="28">#REF!</definedName>
    <definedName name="marsabon" localSheetId="35">#REF!</definedName>
    <definedName name="marsabon">#REF!</definedName>
    <definedName name="marsabon___0">#N/A</definedName>
    <definedName name="marsabon___14">#N/A</definedName>
    <definedName name="marsinterur" localSheetId="18">#REF!</definedName>
    <definedName name="marsinterur" localSheetId="25">#REF!</definedName>
    <definedName name="marsinterur" localSheetId="29">#REF!</definedName>
    <definedName name="marsinterur" localSheetId="31">#REF!</definedName>
    <definedName name="marsinterur" localSheetId="15">#REF!</definedName>
    <definedName name="marsinterur" localSheetId="13">#REF!</definedName>
    <definedName name="marsinterur" localSheetId="17">#REF!</definedName>
    <definedName name="marsinterur" localSheetId="12">#REF!</definedName>
    <definedName name="marsinterur" localSheetId="22">#REF!</definedName>
    <definedName name="marsinterur" localSheetId="28">#REF!</definedName>
    <definedName name="marsinterur" localSheetId="35">#REF!</definedName>
    <definedName name="marsinterur">#REF!</definedName>
    <definedName name="marsinterur___0">#N/A</definedName>
    <definedName name="marsinterur___14">#N/A</definedName>
    <definedName name="marsloc" localSheetId="18">#REF!</definedName>
    <definedName name="marsloc" localSheetId="25">#REF!</definedName>
    <definedName name="marsloc" localSheetId="29">#REF!</definedName>
    <definedName name="marsloc" localSheetId="31">#REF!</definedName>
    <definedName name="marsloc" localSheetId="15">#REF!</definedName>
    <definedName name="marsloc" localSheetId="13">#REF!</definedName>
    <definedName name="marsloc" localSheetId="17">#REF!</definedName>
    <definedName name="marsloc" localSheetId="12">#REF!</definedName>
    <definedName name="marsloc" localSheetId="22">#REF!</definedName>
    <definedName name="marsloc" localSheetId="28">#REF!</definedName>
    <definedName name="marsloc" localSheetId="35">#REF!</definedName>
    <definedName name="marsloc">#REF!</definedName>
    <definedName name="marsloc___0">#N/A</definedName>
    <definedName name="marsloc___14">#N/A</definedName>
    <definedName name="MaSalar" localSheetId="18">#REF!</definedName>
    <definedName name="MaSalar" localSheetId="25">#REF!</definedName>
    <definedName name="MaSalar" localSheetId="29">#REF!</definedName>
    <definedName name="MaSalar" localSheetId="31">#REF!</definedName>
    <definedName name="MaSalar" localSheetId="15">#REF!</definedName>
    <definedName name="MaSalar" localSheetId="13">#REF!</definedName>
    <definedName name="MaSalar" localSheetId="17">#REF!</definedName>
    <definedName name="MaSalar" localSheetId="12">#REF!</definedName>
    <definedName name="MaSalar" localSheetId="22">#REF!</definedName>
    <definedName name="MaSalar" localSheetId="28">#REF!</definedName>
    <definedName name="MaSalar" localSheetId="35">#REF!</definedName>
    <definedName name="MaSalar">#REF!</definedName>
    <definedName name="masi">[98]Masi!$A$1:$C$65536</definedName>
    <definedName name="Master">'[25]Vente Mensuelle Master'!$B$1</definedName>
    <definedName name="Matrice">[47]SV161!$B$3:$S$14</definedName>
    <definedName name="May" localSheetId="18">#REF!</definedName>
    <definedName name="May" localSheetId="25">#REF!</definedName>
    <definedName name="May" localSheetId="29">#REF!</definedName>
    <definedName name="May" localSheetId="31">#REF!</definedName>
    <definedName name="May" localSheetId="15">#REF!</definedName>
    <definedName name="May" localSheetId="13">#REF!</definedName>
    <definedName name="May" localSheetId="17">#REF!</definedName>
    <definedName name="May" localSheetId="12">#REF!</definedName>
    <definedName name="May" localSheetId="22">#REF!</definedName>
    <definedName name="May" localSheetId="28">#REF!</definedName>
    <definedName name="May" localSheetId="35">#REF!</definedName>
    <definedName name="May">#REF!</definedName>
    <definedName name="mb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25" hidden="1">{"IS",#N/A,FALSE,"IS";"RPTIS",#N/A,FALSE,"RPTIS";"STATS",#N/A,FALSE,"STATS";"BS",#N/A,FALSE,"BS"}</definedName>
    <definedName name="mc" localSheetId="19" hidden="1">{"IS",#N/A,FALSE,"IS";"RPTIS",#N/A,FALSE,"RPTIS";"STATS",#N/A,FALSE,"STATS";"BS",#N/A,FALSE,"BS"}</definedName>
    <definedName name="mc" localSheetId="22" hidden="1">{"IS",#N/A,FALSE,"IS";"RPTIS",#N/A,FALSE,"RPTIS";"STATS",#N/A,FALSE,"STATS";"BS",#N/A,FALSE,"BS"}</definedName>
    <definedName name="mc" localSheetId="28" hidden="1">{"IS",#N/A,FALSE,"IS";"RPTIS",#N/A,FALSE,"RPTIS";"STATS",#N/A,FALSE,"STATS";"BS",#N/A,FALSE,"BS"}</definedName>
    <definedName name="mc" localSheetId="35" hidden="1">{"IS",#N/A,FALSE,"IS";"RPTIS",#N/A,FALSE,"RPTIS";"STATS",#N/A,FALSE,"STATS";"BS",#N/A,FALSE,"BS"}</definedName>
    <definedName name="mc" hidden="1">{"IS",#N/A,FALSE,"IS";"RPTIS",#N/A,FALSE,"RPTIS";"STATS",#N/A,FALSE,"STATS";"BS",#N/A,FALSE,"BS"}</definedName>
    <definedName name="mcccr" localSheetId="29">'[63]CIG+OV'!#REF!</definedName>
    <definedName name="mcccr" localSheetId="31">'[63]CIG+OV'!#REF!</definedName>
    <definedName name="mcccr" localSheetId="28">'[63]CIG+OV'!#REF!</definedName>
    <definedName name="mcccr" localSheetId="35">'[63]CIG+OV'!#REF!</definedName>
    <definedName name="mcccr">'[63]CIG+OV'!#REF!</definedName>
    <definedName name="mcccs" localSheetId="29">'[63]CIG+OV'!#REF!</definedName>
    <definedName name="mcccs" localSheetId="31">'[63]CIG+OV'!#REF!</definedName>
    <definedName name="mcccs" localSheetId="28">'[63]CIG+OV'!#REF!</definedName>
    <definedName name="mcccs" localSheetId="35">'[63]CIG+OV'!#REF!</definedName>
    <definedName name="mcccs">'[63]CIG+OV'!#REF!</definedName>
    <definedName name="mccps" localSheetId="29">'[63]CIG+OV'!#REF!</definedName>
    <definedName name="mccps" localSheetId="31">'[63]CIG+OV'!#REF!</definedName>
    <definedName name="mccps" localSheetId="28">'[63]CIG+OV'!#REF!</definedName>
    <definedName name="mccps" localSheetId="35">'[63]CIG+OV'!#REF!</definedName>
    <definedName name="mccps">'[63]CIG+OV'!#REF!</definedName>
    <definedName name="md" localSheetId="25" hidden="1">{"IS",#N/A,FALSE,"IS";"RPTIS",#N/A,FALSE,"RPTIS";"STATS",#N/A,FALSE,"STATS";"CELL",#N/A,FALSE,"CELL";"BS",#N/A,FALSE,"BS"}</definedName>
    <definedName name="md" localSheetId="19" hidden="1">{"IS",#N/A,FALSE,"IS";"RPTIS",#N/A,FALSE,"RPTIS";"STATS",#N/A,FALSE,"STATS";"CELL",#N/A,FALSE,"CELL";"BS",#N/A,FALSE,"BS"}</definedName>
    <definedName name="md" localSheetId="22" hidden="1">{"IS",#N/A,FALSE,"IS";"RPTIS",#N/A,FALSE,"RPTIS";"STATS",#N/A,FALSE,"STATS";"CELL",#N/A,FALSE,"CELL";"BS",#N/A,FALSE,"BS"}</definedName>
    <definedName name="md" localSheetId="28" hidden="1">{"IS",#N/A,FALSE,"IS";"RPTIS",#N/A,FALSE,"RPTIS";"STATS",#N/A,FALSE,"STATS";"CELL",#N/A,FALSE,"CELL";"BS",#N/A,FALSE,"BS"}</definedName>
    <definedName name="md" localSheetId="35" hidden="1">{"IS",#N/A,FALSE,"IS";"RPTIS",#N/A,FALSE,"RPTIS";"STATS",#N/A,FALSE,"STATS";"CELL",#N/A,FALSE,"CELL";"BS",#N/A,FALSE,"BS"}</definedName>
    <definedName name="md" hidden="1">{"IS",#N/A,FALSE,"IS";"RPTIS",#N/A,FALSE,"RPTIS";"STATS",#N/A,FALSE,"STATS";"CELL",#N/A,FALSE,"CELL";"BS",#N/A,FALSE,"BS"}</definedName>
    <definedName name="MDB_SAQ" localSheetId="29">#REF!</definedName>
    <definedName name="MDB_SAQ" localSheetId="31">#REF!</definedName>
    <definedName name="MDB_SAQ" localSheetId="28">#REF!</definedName>
    <definedName name="MDB_SAQ" localSheetId="35">#REF!</definedName>
    <definedName name="MDB_SAQ">#REF!</definedName>
    <definedName name="MDindex">[25]Ventes!$N$2:$N$18806</definedName>
    <definedName name="mdlm" localSheetId="28" hidden="1">{#N/A,#N/A,TRUE,"financial";#N/A,#N/A,TRUE,"plants"}</definedName>
    <definedName name="mdlm" localSheetId="35" hidden="1">{#N/A,#N/A,TRUE,"financial";#N/A,#N/A,TRUE,"plants"}</definedName>
    <definedName name="mdlm" hidden="1">{#N/A,#N/A,TRUE,"financial";#N/A,#N/A,TRUE,"plants"}</definedName>
    <definedName name="me">"Button 5"</definedName>
    <definedName name="Meknes">#N/A</definedName>
    <definedName name="MENA" localSheetId="29">'[52]FES  ATLAS'!#REF!</definedName>
    <definedName name="MENA" localSheetId="31">'[52]FES  ATLAS'!#REF!</definedName>
    <definedName name="MENA" localSheetId="28">'[52]FES  ATLAS'!#REF!</definedName>
    <definedName name="MENA" localSheetId="35">'[52]FES  ATLAS'!#REF!</definedName>
    <definedName name="MENA">'[52]FES  ATLAS'!#REF!</definedName>
    <definedName name="MerrillPrintIt" localSheetId="28">#N/A</definedName>
    <definedName name="MerrillPrintIt" localSheetId="35">'Taxe 5%'!MerrillPrintIt</definedName>
    <definedName name="MerrillPrintIt">'Taxe 5%'!MerrillPrintIt</definedName>
    <definedName name="mf" localSheetId="25" hidden="1">{"print 1",#N/A,FALSE,"PrimeCo PCS";"print 2",#N/A,FALSE,"PrimeCo PCS";"valuation",#N/A,FALSE,"PrimeCo PCS"}</definedName>
    <definedName name="mf" localSheetId="19" hidden="1">{"print 1",#N/A,FALSE,"PrimeCo PCS";"print 2",#N/A,FALSE,"PrimeCo PCS";"valuation",#N/A,FALSE,"PrimeCo PCS"}</definedName>
    <definedName name="mf" localSheetId="22" hidden="1">{"print 1",#N/A,FALSE,"PrimeCo PCS";"print 2",#N/A,FALSE,"PrimeCo PCS";"valuation",#N/A,FALSE,"PrimeCo PCS"}</definedName>
    <definedName name="mf" localSheetId="28" hidden="1">{"print 1",#N/A,FALSE,"PrimeCo PCS";"print 2",#N/A,FALSE,"PrimeCo PCS";"valuation",#N/A,FALSE,"PrimeCo PCS"}</definedName>
    <definedName name="mf" localSheetId="35" hidden="1">{"print 1",#N/A,FALSE,"PrimeCo PCS";"print 2",#N/A,FALSE,"PrimeCo PCS";"valuation",#N/A,FALSE,"PrimeCo PCS"}</definedName>
    <definedName name="mf" hidden="1">{"print 1",#N/A,FALSE,"PrimeCo PCS";"print 2",#N/A,FALSE,"PrimeCo PCS";"valuation",#N/A,FALSE,"PrimeCo PCS"}</definedName>
    <definedName name="mg" localSheetId="25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g" localSheetId="19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g" localSheetId="22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g" localSheetId="2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g" localSheetId="35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g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h" localSheetId="25" hidden="1">{"IS",#N/A,FALSE,"IS";"RPTIS",#N/A,FALSE,"RPTIS";"STATS",#N/A,FALSE,"STATS";"BS",#N/A,FALSE,"BS"}</definedName>
    <definedName name="mh" localSheetId="19" hidden="1">{"IS",#N/A,FALSE,"IS";"RPTIS",#N/A,FALSE,"RPTIS";"STATS",#N/A,FALSE,"STATS";"BS",#N/A,FALSE,"BS"}</definedName>
    <definedName name="mh" localSheetId="22" hidden="1">{"IS",#N/A,FALSE,"IS";"RPTIS",#N/A,FALSE,"RPTIS";"STATS",#N/A,FALSE,"STATS";"BS",#N/A,FALSE,"BS"}</definedName>
    <definedName name="mh" localSheetId="28" hidden="1">{"IS",#N/A,FALSE,"IS";"RPTIS",#N/A,FALSE,"RPTIS";"STATS",#N/A,FALSE,"STATS";"BS",#N/A,FALSE,"BS"}</definedName>
    <definedName name="mh" localSheetId="35" hidden="1">{"IS",#N/A,FALSE,"IS";"RPTIS",#N/A,FALSE,"RPTIS";"STATS",#N/A,FALSE,"STATS";"BS",#N/A,FALSE,"BS"}</definedName>
    <definedName name="mh" hidden="1">{"IS",#N/A,FALSE,"IS";"RPTIS",#N/A,FALSE,"RPTIS";"STATS",#N/A,FALSE,"STATS";"BS",#N/A,FALSE,"BS"}</definedName>
    <definedName name="mi" localSheetId="25" hidden="1">{"subs",#N/A,FALSE,"database ";"proportional",#N/A,FALSE,"database "}</definedName>
    <definedName name="mi" localSheetId="19" hidden="1">{"subs",#N/A,FALSE,"database ";"proportional",#N/A,FALSE,"database "}</definedName>
    <definedName name="mi" localSheetId="22" hidden="1">{"subs",#N/A,FALSE,"database ";"proportional",#N/A,FALSE,"database "}</definedName>
    <definedName name="mi" localSheetId="28" hidden="1">{"subs",#N/A,FALSE,"database ";"proportional",#N/A,FALSE,"database "}</definedName>
    <definedName name="mi" localSheetId="35" hidden="1">{"subs",#N/A,FALSE,"database ";"proportional",#N/A,FALSE,"database "}</definedName>
    <definedName name="mi" hidden="1">{"subs",#N/A,FALSE,"database ";"proportional",#N/A,FALSE,"database "}</definedName>
    <definedName name="MIDR" localSheetId="18">#REF!</definedName>
    <definedName name="MIDR" localSheetId="25">#REF!</definedName>
    <definedName name="MIDR" localSheetId="29">#REF!</definedName>
    <definedName name="MIDR" localSheetId="31">#REF!</definedName>
    <definedName name="MIDR" localSheetId="15">#REF!</definedName>
    <definedName name="MIDR" localSheetId="13">#REF!</definedName>
    <definedName name="MIDR" localSheetId="17">#REF!</definedName>
    <definedName name="MIDR" localSheetId="12">#REF!</definedName>
    <definedName name="MIDR" localSheetId="22">#REF!</definedName>
    <definedName name="MIDR" localSheetId="28">#REF!</definedName>
    <definedName name="MIDR" localSheetId="35">#REF!</definedName>
    <definedName name="MIDR">#REF!</definedName>
    <definedName name="MigrationEL">#N/A</definedName>
    <definedName name="MIMS" localSheetId="29">#REF!</definedName>
    <definedName name="MIMS" localSheetId="31">#REF!</definedName>
    <definedName name="MIMS" localSheetId="28">#REF!</definedName>
    <definedName name="MIMS" localSheetId="35">#REF!</definedName>
    <definedName name="MIMS">#REF!</definedName>
    <definedName name="mj" localSheetId="25" hidden="1">{"test2",#N/A,TRUE,"Prices"}</definedName>
    <definedName name="mj" localSheetId="19" hidden="1">{"test2",#N/A,TRUE,"Prices"}</definedName>
    <definedName name="mj" localSheetId="22" hidden="1">{"test2",#N/A,TRUE,"Prices"}</definedName>
    <definedName name="mj" localSheetId="28" hidden="1">{"test2",#N/A,TRUE,"Prices"}</definedName>
    <definedName name="mj" localSheetId="35" hidden="1">{"test2",#N/A,TRUE,"Prices"}</definedName>
    <definedName name="mj" hidden="1">{"test2",#N/A,TRUE,"Prices"}</definedName>
    <definedName name="MktRiskAdj" localSheetId="18">#REF!</definedName>
    <definedName name="MktRiskAdj" localSheetId="25">#REF!</definedName>
    <definedName name="MktRiskAdj" localSheetId="29">#REF!</definedName>
    <definedName name="MktRiskAdj" localSheetId="31">#REF!</definedName>
    <definedName name="MktRiskAdj" localSheetId="15">#REF!</definedName>
    <definedName name="MktRiskAdj" localSheetId="13">#REF!</definedName>
    <definedName name="MktRiskAdj" localSheetId="17">#REF!</definedName>
    <definedName name="MktRiskAdj" localSheetId="12">#REF!</definedName>
    <definedName name="MktRiskAdj" localSheetId="22">#REF!</definedName>
    <definedName name="MktRiskAdj" localSheetId="28">#REF!</definedName>
    <definedName name="MktRiskAdj" localSheetId="35">#REF!</definedName>
    <definedName name="MktRiskAdj">#REF!</definedName>
    <definedName name="MktRiskAdj___0">#N/A</definedName>
    <definedName name="MktRiskAdj___12">#N/A</definedName>
    <definedName name="MktRiskAdj___14">#N/A</definedName>
    <definedName name="MktRiskAdj___16">#N/A</definedName>
    <definedName name="MktRiskAdj___2">#N/A</definedName>
    <definedName name="MktRiskAdj___25">#N/A</definedName>
    <definedName name="MktRiskAdj___26">#N/A</definedName>
    <definedName name="MktRiskAdj___27">#N/A</definedName>
    <definedName name="MktRiskAdj___4">#N/A</definedName>
    <definedName name="MktRiskAdj___5">#N/A</definedName>
    <definedName name="MktRiskAdj___7">#N/A</definedName>
    <definedName name="ml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">[25]Ventes!$J$2:$J$18806</definedName>
    <definedName name="MMMMM" localSheetId="18">[6]!MMMMM</definedName>
    <definedName name="MMMMM" localSheetId="25">[6]!MMMMM</definedName>
    <definedName name="MMMMM" localSheetId="29">[6]!MMMMM</definedName>
    <definedName name="MMMMM" localSheetId="31">[6]!MMMMM</definedName>
    <definedName name="MMMMM" localSheetId="15">[6]!MMMMM</definedName>
    <definedName name="MMMMM" localSheetId="13">[6]!MMMMM</definedName>
    <definedName name="MMMMM" localSheetId="19">[7]!MMMMM</definedName>
    <definedName name="MMMMM" localSheetId="17">[6]!MMMMM</definedName>
    <definedName name="MMMMM" localSheetId="12">[6]!MMMMM</definedName>
    <definedName name="MMMMM" localSheetId="22">[8]!MMMMM</definedName>
    <definedName name="MMMMM">[6]!MMMMM</definedName>
    <definedName name="mn" localSheetId="25" hidden="1">{"print 1",#N/A,FALSE,"PrimeCo PCS";"print 2",#N/A,FALSE,"PrimeCo PCS";"valuation",#N/A,FALSE,"PrimeCo PCS"}</definedName>
    <definedName name="mn" localSheetId="19" hidden="1">{"print 1",#N/A,FALSE,"PrimeCo PCS";"print 2",#N/A,FALSE,"PrimeCo PCS";"valuation",#N/A,FALSE,"PrimeCo PCS"}</definedName>
    <definedName name="mn" localSheetId="22" hidden="1">{"print 1",#N/A,FALSE,"PrimeCo PCS";"print 2",#N/A,FALSE,"PrimeCo PCS";"valuation",#N/A,FALSE,"PrimeCo PCS"}</definedName>
    <definedName name="mn" localSheetId="28" hidden="1">{"print 1",#N/A,FALSE,"PrimeCo PCS";"print 2",#N/A,FALSE,"PrimeCo PCS";"valuation",#N/A,FALSE,"PrimeCo PCS"}</definedName>
    <definedName name="mn" localSheetId="35" hidden="1">{"print 1",#N/A,FALSE,"PrimeCo PCS";"print 2",#N/A,FALSE,"PrimeCo PCS";"valuation",#N/A,FALSE,"PrimeCo PCS"}</definedName>
    <definedName name="mn" hidden="1">{"print 1",#N/A,FALSE,"PrimeCo PCS";"print 2",#N/A,FALSE,"PrimeCo PCS";"valuation",#N/A,FALSE,"PrimeCo PCS"}</definedName>
    <definedName name="mo" localSheetId="25" hidden="1">{"test2",#N/A,TRUE,"Prices"}</definedName>
    <definedName name="mo" localSheetId="19" hidden="1">{"test2",#N/A,TRUE,"Prices"}</definedName>
    <definedName name="mo" localSheetId="22" hidden="1">{"test2",#N/A,TRUE,"Prices"}</definedName>
    <definedName name="mo" localSheetId="28" hidden="1">{"test2",#N/A,TRUE,"Prices"}</definedName>
    <definedName name="mo" localSheetId="35" hidden="1">{"test2",#N/A,TRUE,"Prices"}</definedName>
    <definedName name="mo" hidden="1">{"test2",#N/A,TRUE,"Prices"}</definedName>
    <definedName name="MOB" localSheetId="18">[113]MOB!#REF!</definedName>
    <definedName name="MOB" localSheetId="29">[113]MOB!#REF!</definedName>
    <definedName name="MOB" localSheetId="31">[113]MOB!#REF!</definedName>
    <definedName name="MOB" localSheetId="15">[113]MOB!#REF!</definedName>
    <definedName name="MOB" localSheetId="13">[113]MOB!#REF!</definedName>
    <definedName name="MOB" localSheetId="17">[113]MOB!#REF!</definedName>
    <definedName name="MOB" localSheetId="12">[113]MOB!#REF!</definedName>
    <definedName name="MOB" localSheetId="22">[113]MOB!#REF!</definedName>
    <definedName name="MOB" localSheetId="28">[113]MOB!#REF!</definedName>
    <definedName name="MOB" localSheetId="35">[113]MOB!#REF!</definedName>
    <definedName name="MOB">[113]MOB!#REF!</definedName>
    <definedName name="Mob___0">#N/A</definedName>
    <definedName name="Mobile_Relation_Client1">'[82]Catégories&amp; motifs_réclamations'!$D$3:$D$15</definedName>
    <definedName name="Mobile_Technique1">'[82]Catégories&amp; motifs_réclamations'!$C$3:$C$8</definedName>
    <definedName name="Mobiles">#N/A</definedName>
    <definedName name="ModemPt">'[108]DO NOT TOUCH'!$B$63:$B$80</definedName>
    <definedName name="ModemQty">[108]Configurator!$L$7:$L$24</definedName>
    <definedName name="Modems">[108]Configurator!$K$7:$K$24</definedName>
    <definedName name="Mohammedia">#N/A</definedName>
    <definedName name="mois" localSheetId="18">#REF!</definedName>
    <definedName name="mois" localSheetId="25">#REF!</definedName>
    <definedName name="mois" localSheetId="29">#REF!</definedName>
    <definedName name="mois" localSheetId="31">#REF!</definedName>
    <definedName name="mois" localSheetId="15">#REF!</definedName>
    <definedName name="mois" localSheetId="13">#REF!</definedName>
    <definedName name="mois" localSheetId="17">#REF!</definedName>
    <definedName name="mois" localSheetId="12">#REF!</definedName>
    <definedName name="mois" localSheetId="22">#REF!</definedName>
    <definedName name="mois" localSheetId="28">#REF!</definedName>
    <definedName name="mois" localSheetId="35">#REF!</definedName>
    <definedName name="mois">#REF!</definedName>
    <definedName name="mois___0">#N/A</definedName>
    <definedName name="mois___14">#N/A</definedName>
    <definedName name="mois___26">#N/A</definedName>
    <definedName name="mois___27">#N/A</definedName>
    <definedName name="mois___5">#N/A</definedName>
    <definedName name="mois___7">#N/A</definedName>
    <definedName name="moisanMD">[25]Ventes!$T$2:$T$18806</definedName>
    <definedName name="moisanMDprod">[25]Ventes!$U$2:$U$18806</definedName>
    <definedName name="Moisanprod">[25]Ventes!$R$2:$R$18806</definedName>
    <definedName name="Montant_prêt" localSheetId="18">#REF!</definedName>
    <definedName name="Montant_prêt" localSheetId="25">#REF!</definedName>
    <definedName name="Montant_prêt" localSheetId="29">#REF!</definedName>
    <definedName name="Montant_prêt" localSheetId="31">#REF!</definedName>
    <definedName name="Montant_prêt" localSheetId="15">#REF!</definedName>
    <definedName name="Montant_prêt" localSheetId="13">#REF!</definedName>
    <definedName name="Montant_prêt" localSheetId="17">#REF!</definedName>
    <definedName name="Montant_prêt" localSheetId="12">#REF!</definedName>
    <definedName name="Montant_prêt" localSheetId="22">#REF!</definedName>
    <definedName name="Montant_prêt" localSheetId="28">#REF!</definedName>
    <definedName name="Montant_prêt" localSheetId="35">#REF!</definedName>
    <definedName name="Montant_prêt">#REF!</definedName>
    <definedName name="Montant_prêt___0">#N/A</definedName>
    <definedName name="Montant_prêt___12">#N/A</definedName>
    <definedName name="Montant_prêt___14">#N/A</definedName>
    <definedName name="Montant_prêt___16">#N/A</definedName>
    <definedName name="Montant_prêt___2">#N/A</definedName>
    <definedName name="Montant_prêt___25">#N/A</definedName>
    <definedName name="Montant_prêt___26">#N/A</definedName>
    <definedName name="Montant_prêt___27">#N/A</definedName>
    <definedName name="Montant_prêt___4">#N/A</definedName>
    <definedName name="Montant_prêt___5">#N/A</definedName>
    <definedName name="Montant_prêt___7">#N/A</definedName>
    <definedName name="month" localSheetId="18">#REF!</definedName>
    <definedName name="month" localSheetId="25">#REF!</definedName>
    <definedName name="month" localSheetId="29">#REF!</definedName>
    <definedName name="month" localSheetId="31">#REF!</definedName>
    <definedName name="month" localSheetId="15">#REF!</definedName>
    <definedName name="month" localSheetId="13">#REF!</definedName>
    <definedName name="month" localSheetId="17">#REF!</definedName>
    <definedName name="month" localSheetId="12">#REF!</definedName>
    <definedName name="month" localSheetId="22">#REF!</definedName>
    <definedName name="month" localSheetId="28">#REF!</definedName>
    <definedName name="month" localSheetId="35">#REF!</definedName>
    <definedName name="month">#REF!</definedName>
    <definedName name="Monthly">#N/A</definedName>
    <definedName name="MONTHLY_AMORT_ENTRY" localSheetId="18">'[114]August '!#REF!</definedName>
    <definedName name="MONTHLY_AMORT_ENTRY" localSheetId="25">'[114]August '!#REF!</definedName>
    <definedName name="MONTHLY_AMORT_ENTRY" localSheetId="29">'[114]August '!#REF!</definedName>
    <definedName name="MONTHLY_AMORT_ENTRY" localSheetId="31">'[114]August '!#REF!</definedName>
    <definedName name="MONTHLY_AMORT_ENTRY" localSheetId="15">'[114]August '!#REF!</definedName>
    <definedName name="MONTHLY_AMORT_ENTRY" localSheetId="13">'[114]August '!#REF!</definedName>
    <definedName name="MONTHLY_AMORT_ENTRY" localSheetId="17">'[114]August '!#REF!</definedName>
    <definedName name="MONTHLY_AMORT_ENTRY" localSheetId="12">'[114]August '!#REF!</definedName>
    <definedName name="MONTHLY_AMORT_ENTRY" localSheetId="22">'[115]August '!#REF!</definedName>
    <definedName name="MONTHLY_AMORT_ENTRY" localSheetId="28">'[114]August '!#REF!</definedName>
    <definedName name="MONTHLY_AMORT_ENTRY" localSheetId="35">'[114]August '!#REF!</definedName>
    <definedName name="MONTHLY_AMORT_ENTRY">'[114]August '!#REF!</definedName>
    <definedName name="MonthlyLigne1">#N/A</definedName>
    <definedName name="MonthlyLigne2">#N/A</definedName>
    <definedName name="MOONLIGHT" localSheetId="18">'[116]May Memo'!#REF!</definedName>
    <definedName name="MOONLIGHT" localSheetId="25">'[116]May Memo'!#REF!</definedName>
    <definedName name="MOONLIGHT" localSheetId="29">'[116]May Memo'!#REF!</definedName>
    <definedName name="MOONLIGHT" localSheetId="31">'[116]May Memo'!#REF!</definedName>
    <definedName name="MOONLIGHT" localSheetId="15">'[116]May Memo'!#REF!</definedName>
    <definedName name="MOONLIGHT" localSheetId="13">'[116]May Memo'!#REF!</definedName>
    <definedName name="MOONLIGHT" localSheetId="17">'[116]May Memo'!#REF!</definedName>
    <definedName name="MOONLIGHT" localSheetId="12">'[116]May Memo'!#REF!</definedName>
    <definedName name="MOONLIGHT" localSheetId="22">'[117]May Memo'!#REF!</definedName>
    <definedName name="MOONLIGHT" localSheetId="28">'[116]May Memo'!#REF!</definedName>
    <definedName name="MOONLIGHT" localSheetId="35">'[116]May Memo'!#REF!</definedName>
    <definedName name="MOONLIGHT">'[116]May Memo'!#REF!</definedName>
    <definedName name="Movie_Grid" localSheetId="18">#REF!</definedName>
    <definedName name="Movie_Grid" localSheetId="25">#REF!</definedName>
    <definedName name="Movie_Grid" localSheetId="29">#REF!</definedName>
    <definedName name="Movie_Grid" localSheetId="31">#REF!</definedName>
    <definedName name="Movie_Grid" localSheetId="15">#REF!</definedName>
    <definedName name="Movie_Grid" localSheetId="13">#REF!</definedName>
    <definedName name="Movie_Grid" localSheetId="17">#REF!</definedName>
    <definedName name="Movie_Grid" localSheetId="12">#REF!</definedName>
    <definedName name="Movie_Grid" localSheetId="22">#REF!</definedName>
    <definedName name="Movie_Grid" localSheetId="28">#REF!</definedName>
    <definedName name="Movie_Grid" localSheetId="35">#REF!</definedName>
    <definedName name="Movie_Grid">#REF!</definedName>
    <definedName name="MOVIES">#N/A</definedName>
    <definedName name="Movies_Shared_w_USA" localSheetId="18">#REF!</definedName>
    <definedName name="Movies_Shared_w_USA" localSheetId="25">#REF!</definedName>
    <definedName name="Movies_Shared_w_USA" localSheetId="29">#REF!</definedName>
    <definedName name="Movies_Shared_w_USA" localSheetId="31">#REF!</definedName>
    <definedName name="Movies_Shared_w_USA" localSheetId="15">#REF!</definedName>
    <definedName name="Movies_Shared_w_USA" localSheetId="13">#REF!</definedName>
    <definedName name="Movies_Shared_w_USA" localSheetId="17">#REF!</definedName>
    <definedName name="Movies_Shared_w_USA" localSheetId="12">#REF!</definedName>
    <definedName name="Movies_Shared_w_USA" localSheetId="22">#REF!</definedName>
    <definedName name="Movies_Shared_w_USA" localSheetId="28">#REF!</definedName>
    <definedName name="Movies_Shared_w_USA" localSheetId="35">#REF!</definedName>
    <definedName name="Movies_Shared_w_USA">#REF!</definedName>
    <definedName name="mp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18" hidden="1">#REF!</definedName>
    <definedName name="mpol" localSheetId="25" hidden="1">#REF!</definedName>
    <definedName name="mpol" localSheetId="29" hidden="1">#REF!</definedName>
    <definedName name="mpol" localSheetId="31" hidden="1">#REF!</definedName>
    <definedName name="mpol" localSheetId="15" hidden="1">#REF!</definedName>
    <definedName name="mpol" localSheetId="13" hidden="1">#REF!</definedName>
    <definedName name="mpol" localSheetId="17" hidden="1">#REF!</definedName>
    <definedName name="mpol" localSheetId="12" hidden="1">#REF!</definedName>
    <definedName name="mpol" localSheetId="22" hidden="1">#REF!</definedName>
    <definedName name="mpol" localSheetId="28" hidden="1">#REF!</definedName>
    <definedName name="mpol" localSheetId="35" hidden="1">#REF!</definedName>
    <definedName name="mpol" hidden="1">#REF!</definedName>
    <definedName name="mq" localSheetId="25" hidden="1">{"IS",#N/A,FALSE,"IS";"RPTIS",#N/A,FALSE,"RPTIS";"STATS",#N/A,FALSE,"STATS";"CELL",#N/A,FALSE,"CELL";"BS",#N/A,FALSE,"BS"}</definedName>
    <definedName name="mq" localSheetId="19" hidden="1">{"IS",#N/A,FALSE,"IS";"RPTIS",#N/A,FALSE,"RPTIS";"STATS",#N/A,FALSE,"STATS";"CELL",#N/A,FALSE,"CELL";"BS",#N/A,FALSE,"BS"}</definedName>
    <definedName name="mq" localSheetId="22" hidden="1">{"IS",#N/A,FALSE,"IS";"RPTIS",#N/A,FALSE,"RPTIS";"STATS",#N/A,FALSE,"STATS";"CELL",#N/A,FALSE,"CELL";"BS",#N/A,FALSE,"BS"}</definedName>
    <definedName name="mq" localSheetId="28" hidden="1">{"IS",#N/A,FALSE,"IS";"RPTIS",#N/A,FALSE,"RPTIS";"STATS",#N/A,FALSE,"STATS";"CELL",#N/A,FALSE,"CELL";"BS",#N/A,FALSE,"BS"}</definedName>
    <definedName name="mq" localSheetId="35" hidden="1">{"IS",#N/A,FALSE,"IS";"RPTIS",#N/A,FALSE,"RPTIS";"STATS",#N/A,FALSE,"STATS";"CELL",#N/A,FALSE,"CELL";"BS",#N/A,FALSE,"BS"}</definedName>
    <definedName name="mq" hidden="1">{"IS",#N/A,FALSE,"IS";"RPTIS",#N/A,FALSE,"RPTIS";"STATS",#N/A,FALSE,"STATS";"CELL",#N/A,FALSE,"CELL";"BS",#N/A,FALSE,"BS"}</definedName>
    <definedName name="mr" localSheetId="25" hidden="1">{"IS",#N/A,FALSE,"IS";"RPTIS",#N/A,FALSE,"RPTIS";"STATS",#N/A,FALSE,"STATS";"CELL",#N/A,FALSE,"CELL";"BS",#N/A,FALSE,"BS"}</definedName>
    <definedName name="mr" localSheetId="19" hidden="1">{"IS",#N/A,FALSE,"IS";"RPTIS",#N/A,FALSE,"RPTIS";"STATS",#N/A,FALSE,"STATS";"CELL",#N/A,FALSE,"CELL";"BS",#N/A,FALSE,"BS"}</definedName>
    <definedName name="mr" localSheetId="22" hidden="1">{"IS",#N/A,FALSE,"IS";"RPTIS",#N/A,FALSE,"RPTIS";"STATS",#N/A,FALSE,"STATS";"CELL",#N/A,FALSE,"CELL";"BS",#N/A,FALSE,"BS"}</definedName>
    <definedName name="mr" localSheetId="28" hidden="1">{"IS",#N/A,FALSE,"IS";"RPTIS",#N/A,FALSE,"RPTIS";"STATS",#N/A,FALSE,"STATS";"CELL",#N/A,FALSE,"CELL";"BS",#N/A,FALSE,"BS"}</definedName>
    <definedName name="mr" localSheetId="35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localSheetId="25" hidden="1">{"IS",#N/A,FALSE,"IS";"RPTIS",#N/A,FALSE,"RPTIS";"STATS",#N/A,FALSE,"STATS";"CELL",#N/A,FALSE,"CELL";"BS",#N/A,FALSE,"BS"}</definedName>
    <definedName name="ms" localSheetId="19" hidden="1">{"IS",#N/A,FALSE,"IS";"RPTIS",#N/A,FALSE,"RPTIS";"STATS",#N/A,FALSE,"STATS";"CELL",#N/A,FALSE,"CELL";"BS",#N/A,FALSE,"BS"}</definedName>
    <definedName name="ms" localSheetId="22" hidden="1">{"IS",#N/A,FALSE,"IS";"RPTIS",#N/A,FALSE,"RPTIS";"STATS",#N/A,FALSE,"STATS";"CELL",#N/A,FALSE,"CELL";"BS",#N/A,FALSE,"BS"}</definedName>
    <definedName name="ms" localSheetId="28" hidden="1">{"IS",#N/A,FALSE,"IS";"RPTIS",#N/A,FALSE,"RPTIS";"STATS",#N/A,FALSE,"STATS";"CELL",#N/A,FALSE,"CELL";"BS",#N/A,FALSE,"BS"}</definedName>
    <definedName name="ms" localSheetId="35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 localSheetId="18">#REF!</definedName>
    <definedName name="MST_3K" localSheetId="25">#REF!</definedName>
    <definedName name="MST_3K" localSheetId="29">#REF!</definedName>
    <definedName name="MST_3K" localSheetId="31">#REF!</definedName>
    <definedName name="MST_3K" localSheetId="15">#REF!</definedName>
    <definedName name="MST_3K" localSheetId="13">#REF!</definedName>
    <definedName name="MST_3K" localSheetId="17">#REF!</definedName>
    <definedName name="MST_3K" localSheetId="12">#REF!</definedName>
    <definedName name="MST_3K" localSheetId="22">#REF!</definedName>
    <definedName name="MST_3K" localSheetId="28">#REF!</definedName>
    <definedName name="MST_3K" localSheetId="35">#REF!</definedName>
    <definedName name="MST_3K">#REF!</definedName>
    <definedName name="mt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[98]Casablanca!$A$1:$I$65536</definedName>
    <definedName name="MTparisD">[98]Parisd!$A$1:$H$65536</definedName>
    <definedName name="MTparisE">[98]Parise!$A$1:$K$65536</definedName>
    <definedName name="mu" localSheetId="25" hidden="1">{"IS",#N/A,FALSE,"IS";"RPTIS",#N/A,FALSE,"RPTIS";"STATS",#N/A,FALSE,"STATS";"BS",#N/A,FALSE,"BS"}</definedName>
    <definedName name="mu" localSheetId="19" hidden="1">{"IS",#N/A,FALSE,"IS";"RPTIS",#N/A,FALSE,"RPTIS";"STATS",#N/A,FALSE,"STATS";"BS",#N/A,FALSE,"BS"}</definedName>
    <definedName name="mu" localSheetId="22" hidden="1">{"IS",#N/A,FALSE,"IS";"RPTIS",#N/A,FALSE,"RPTIS";"STATS",#N/A,FALSE,"STATS";"BS",#N/A,FALSE,"BS"}</definedName>
    <definedName name="mu" localSheetId="28" hidden="1">{"IS",#N/A,FALSE,"IS";"RPTIS",#N/A,FALSE,"RPTIS";"STATS",#N/A,FALSE,"STATS";"BS",#N/A,FALSE,"BS"}</definedName>
    <definedName name="mu" localSheetId="35" hidden="1">{"IS",#N/A,FALSE,"IS";"RPTIS",#N/A,FALSE,"RPTIS";"STATS",#N/A,FALSE,"STATS";"BS",#N/A,FALSE,"BS"}</definedName>
    <definedName name="mu" hidden="1">{"IS",#N/A,FALSE,"IS";"RPTIS",#N/A,FALSE,"RPTIS";"STATS",#N/A,FALSE,"STATS";"BS",#N/A,FALSE,"BS"}</definedName>
    <definedName name="Multiples" localSheetId="18">#REF!</definedName>
    <definedName name="Multiples" localSheetId="25">#REF!</definedName>
    <definedName name="Multiples" localSheetId="29">#REF!</definedName>
    <definedName name="Multiples" localSheetId="31">#REF!</definedName>
    <definedName name="Multiples" localSheetId="15">#REF!</definedName>
    <definedName name="Multiples" localSheetId="13">#REF!</definedName>
    <definedName name="Multiples" localSheetId="17">#REF!</definedName>
    <definedName name="Multiples" localSheetId="12">#REF!</definedName>
    <definedName name="Multiples" localSheetId="22">#REF!</definedName>
    <definedName name="Multiples" localSheetId="28">#REF!</definedName>
    <definedName name="Multiples" localSheetId="35">#REF!</definedName>
    <definedName name="Multiples">#REF!</definedName>
    <definedName name="Multiples___0">#N/A</definedName>
    <definedName name="Multiples___12">#N/A</definedName>
    <definedName name="Multiples___14">#N/A</definedName>
    <definedName name="Multiples___16">#N/A</definedName>
    <definedName name="Multiples___2">#N/A</definedName>
    <definedName name="Multiples___25">#N/A</definedName>
    <definedName name="Multiples___26">#N/A</definedName>
    <definedName name="Multiples___27">#N/A</definedName>
    <definedName name="Multiples___4">#N/A</definedName>
    <definedName name="Multiples___5">#N/A</definedName>
    <definedName name="Multiples___7">#N/A</definedName>
    <definedName name="mv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 localSheetId="18">#REF!</definedName>
    <definedName name="mvctco" localSheetId="25">#REF!</definedName>
    <definedName name="mvctco" localSheetId="29">#REF!</definedName>
    <definedName name="mvctco" localSheetId="31">#REF!</definedName>
    <definedName name="mvctco" localSheetId="15">#REF!</definedName>
    <definedName name="mvctco" localSheetId="13">#REF!</definedName>
    <definedName name="mvctco" localSheetId="17">#REF!</definedName>
    <definedName name="mvctco" localSheetId="12">#REF!</definedName>
    <definedName name="mvctco" localSheetId="22">#REF!</definedName>
    <definedName name="mvctco" localSheetId="28">#REF!</definedName>
    <definedName name="mvctco" localSheetId="35">#REF!</definedName>
    <definedName name="mvctco">#REF!</definedName>
    <definedName name="mvctim" localSheetId="18">#REF!</definedName>
    <definedName name="mvctim" localSheetId="25">#REF!</definedName>
    <definedName name="mvctim" localSheetId="29">#REF!</definedName>
    <definedName name="mvctim" localSheetId="31">#REF!</definedName>
    <definedName name="mvctim" localSheetId="15">#REF!</definedName>
    <definedName name="mvctim" localSheetId="13">#REF!</definedName>
    <definedName name="mvctim" localSheetId="17">#REF!</definedName>
    <definedName name="mvctim" localSheetId="12">#REF!</definedName>
    <definedName name="mvctim" localSheetId="22">#REF!</definedName>
    <definedName name="mvctim" localSheetId="28">#REF!</definedName>
    <definedName name="mvctim" localSheetId="35">#REF!</definedName>
    <definedName name="mvctim">#REF!</definedName>
    <definedName name="mvctpa" localSheetId="18">#REF!</definedName>
    <definedName name="mvctpa" localSheetId="25">#REF!</definedName>
    <definedName name="mvctpa" localSheetId="29">#REF!</definedName>
    <definedName name="mvctpa" localSheetId="31">#REF!</definedName>
    <definedName name="mvctpa" localSheetId="15">#REF!</definedName>
    <definedName name="mvctpa" localSheetId="13">#REF!</definedName>
    <definedName name="mvctpa" localSheetId="17">#REF!</definedName>
    <definedName name="mvctpa" localSheetId="12">#REF!</definedName>
    <definedName name="mvctpa" localSheetId="22">#REF!</definedName>
    <definedName name="mvctpa" localSheetId="28">#REF!</definedName>
    <definedName name="mvctpa" localSheetId="35">#REF!</definedName>
    <definedName name="mvctpa">#REF!</definedName>
    <definedName name="mvcttiap" localSheetId="18">#REF!</definedName>
    <definedName name="mvcttiap" localSheetId="25">#REF!</definedName>
    <definedName name="mvcttiap" localSheetId="29">#REF!</definedName>
    <definedName name="mvcttiap" localSheetId="31">#REF!</definedName>
    <definedName name="mvcttiap" localSheetId="15">#REF!</definedName>
    <definedName name="mvcttiap" localSheetId="13">#REF!</definedName>
    <definedName name="mvcttiap" localSheetId="17">#REF!</definedName>
    <definedName name="mvcttiap" localSheetId="12">#REF!</definedName>
    <definedName name="mvcttiap" localSheetId="22">#REF!</definedName>
    <definedName name="mvcttiap" localSheetId="28">#REF!</definedName>
    <definedName name="mvcttiap" localSheetId="35">#REF!</definedName>
    <definedName name="mvcttiap">#REF!</definedName>
    <definedName name="mvctvmp" localSheetId="18">#REF!</definedName>
    <definedName name="mvctvmp" localSheetId="25">#REF!</definedName>
    <definedName name="mvctvmp" localSheetId="29">#REF!</definedName>
    <definedName name="mvctvmp" localSheetId="31">#REF!</definedName>
    <definedName name="mvctvmp" localSheetId="15">#REF!</definedName>
    <definedName name="mvctvmp" localSheetId="13">#REF!</definedName>
    <definedName name="mvctvmp" localSheetId="17">#REF!</definedName>
    <definedName name="mvctvmp" localSheetId="12">#REF!</definedName>
    <definedName name="mvctvmp" localSheetId="22">#REF!</definedName>
    <definedName name="mvctvmp" localSheetId="28">#REF!</definedName>
    <definedName name="mvctvmp" localSheetId="35">#REF!</definedName>
    <definedName name="mvctvmp">#REF!</definedName>
    <definedName name="mvltco" localSheetId="18">#REF!</definedName>
    <definedName name="mvltco" localSheetId="25">#REF!</definedName>
    <definedName name="mvltco" localSheetId="29">#REF!</definedName>
    <definedName name="mvltco" localSheetId="31">#REF!</definedName>
    <definedName name="mvltco" localSheetId="15">#REF!</definedName>
    <definedName name="mvltco" localSheetId="13">#REF!</definedName>
    <definedName name="mvltco" localSheetId="17">#REF!</definedName>
    <definedName name="mvltco" localSheetId="12">#REF!</definedName>
    <definedName name="mvltco" localSheetId="22">#REF!</definedName>
    <definedName name="mvltco" localSheetId="28">#REF!</definedName>
    <definedName name="mvltco" localSheetId="35">#REF!</definedName>
    <definedName name="mvltco">#REF!</definedName>
    <definedName name="mvltim" localSheetId="18">#REF!</definedName>
    <definedName name="mvltim" localSheetId="25">#REF!</definedName>
    <definedName name="mvltim" localSheetId="29">#REF!</definedName>
    <definedName name="mvltim" localSheetId="31">#REF!</definedName>
    <definedName name="mvltim" localSheetId="15">#REF!</definedName>
    <definedName name="mvltim" localSheetId="13">#REF!</definedName>
    <definedName name="mvltim" localSheetId="17">#REF!</definedName>
    <definedName name="mvltim" localSheetId="12">#REF!</definedName>
    <definedName name="mvltim" localSheetId="22">#REF!</definedName>
    <definedName name="mvltim" localSheetId="28">#REF!</definedName>
    <definedName name="mvltim" localSheetId="35">#REF!</definedName>
    <definedName name="mvltim">#REF!</definedName>
    <definedName name="mvltnc" localSheetId="18">#REF!</definedName>
    <definedName name="mvltnc" localSheetId="25">#REF!</definedName>
    <definedName name="mvltnc" localSheetId="29">#REF!</definedName>
    <definedName name="mvltnc" localSheetId="31">#REF!</definedName>
    <definedName name="mvltnc" localSheetId="15">#REF!</definedName>
    <definedName name="mvltnc" localSheetId="13">#REF!</definedName>
    <definedName name="mvltnc" localSheetId="17">#REF!</definedName>
    <definedName name="mvltnc" localSheetId="12">#REF!</definedName>
    <definedName name="mvltnc" localSheetId="22">#REF!</definedName>
    <definedName name="mvltnc" localSheetId="28">#REF!</definedName>
    <definedName name="mvltnc" localSheetId="35">#REF!</definedName>
    <definedName name="mvltnc">#REF!</definedName>
    <definedName name="mvltpa" localSheetId="18">#REF!</definedName>
    <definedName name="mvltpa" localSheetId="25">#REF!</definedName>
    <definedName name="mvltpa" localSheetId="29">#REF!</definedName>
    <definedName name="mvltpa" localSheetId="31">#REF!</definedName>
    <definedName name="mvltpa" localSheetId="15">#REF!</definedName>
    <definedName name="mvltpa" localSheetId="13">#REF!</definedName>
    <definedName name="mvltpa" localSheetId="17">#REF!</definedName>
    <definedName name="mvltpa" localSheetId="12">#REF!</definedName>
    <definedName name="mvltpa" localSheetId="22">#REF!</definedName>
    <definedName name="mvltpa" localSheetId="28">#REF!</definedName>
    <definedName name="mvltpa" localSheetId="35">#REF!</definedName>
    <definedName name="mvltpa">#REF!</definedName>
    <definedName name="mvlttiap" localSheetId="18">#REF!</definedName>
    <definedName name="mvlttiap" localSheetId="25">#REF!</definedName>
    <definedName name="mvlttiap" localSheetId="29">#REF!</definedName>
    <definedName name="mvlttiap" localSheetId="31">#REF!</definedName>
    <definedName name="mvlttiap" localSheetId="15">#REF!</definedName>
    <definedName name="mvlttiap" localSheetId="13">#REF!</definedName>
    <definedName name="mvlttiap" localSheetId="17">#REF!</definedName>
    <definedName name="mvlttiap" localSheetId="12">#REF!</definedName>
    <definedName name="mvlttiap" localSheetId="22">#REF!</definedName>
    <definedName name="mvlttiap" localSheetId="28">#REF!</definedName>
    <definedName name="mvlttiap" localSheetId="35">#REF!</definedName>
    <definedName name="mvlttiap">#REF!</definedName>
    <definedName name="mw" localSheetId="25" hidden="1">{"test2",#N/A,TRUE,"Prices"}</definedName>
    <definedName name="mw" localSheetId="19" hidden="1">{"test2",#N/A,TRUE,"Prices"}</definedName>
    <definedName name="mw" localSheetId="22" hidden="1">{"test2",#N/A,TRUE,"Prices"}</definedName>
    <definedName name="mw" localSheetId="28" hidden="1">{"test2",#N/A,TRUE,"Prices"}</definedName>
    <definedName name="mw" localSheetId="35" hidden="1">{"test2",#N/A,TRUE,"Prices"}</definedName>
    <definedName name="mw" hidden="1">{"test2",#N/A,TRUE,"Prices"}</definedName>
    <definedName name="mx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25" hidden="1">{"IS",#N/A,FALSE,"IS";"RPTIS",#N/A,FALSE,"RPTIS";"STATS",#N/A,FALSE,"STATS";"CELL",#N/A,FALSE,"CELL";"BS",#N/A,FALSE,"BS"}</definedName>
    <definedName name="mz" localSheetId="19" hidden="1">{"IS",#N/A,FALSE,"IS";"RPTIS",#N/A,FALSE,"RPTIS";"STATS",#N/A,FALSE,"STATS";"CELL",#N/A,FALSE,"CELL";"BS",#N/A,FALSE,"BS"}</definedName>
    <definedName name="mz" localSheetId="22" hidden="1">{"IS",#N/A,FALSE,"IS";"RPTIS",#N/A,FALSE,"RPTIS";"STATS",#N/A,FALSE,"STATS";"CELL",#N/A,FALSE,"CELL";"BS",#N/A,FALSE,"BS"}</definedName>
    <definedName name="mz" localSheetId="28" hidden="1">{"IS",#N/A,FALSE,"IS";"RPTIS",#N/A,FALSE,"RPTIS";"STATS",#N/A,FALSE,"STATS";"CELL",#N/A,FALSE,"CELL";"BS",#N/A,FALSE,"BS"}</definedName>
    <definedName name="mz" localSheetId="35" hidden="1">{"IS",#N/A,FALSE,"IS";"RPTIS",#N/A,FALSE,"RPTIS";"STATS",#N/A,FALSE,"STATS";"CELL",#N/A,FALSE,"CELL";"BS",#N/A,FALSE,"BS"}</definedName>
    <definedName name="mz" hidden="1">{"IS",#N/A,FALSE,"IS";"RPTIS",#N/A,FALSE,"RPTIS";"STATS",#N/A,FALSE,"STATS";"CELL",#N/A,FALSE,"CELL";"BS",#N/A,FALSE,"BS"}</definedName>
    <definedName name="nadi" localSheetId="29">'[52]FES  ATLAS'!#REF!</definedName>
    <definedName name="nadi" localSheetId="31">'[52]FES  ATLAS'!#REF!</definedName>
    <definedName name="nadi" localSheetId="28">'[52]FES  ATLAS'!#REF!</definedName>
    <definedName name="nadi" localSheetId="35">'[52]FES  ATLAS'!#REF!</definedName>
    <definedName name="nadi">'[52]FES  ATLAS'!#REF!</definedName>
    <definedName name="nalo" localSheetId="29">#REF!</definedName>
    <definedName name="nalo" localSheetId="31">#REF!</definedName>
    <definedName name="nalo" localSheetId="28">#REF!</definedName>
    <definedName name="nalo" localSheetId="35">#REF!</definedName>
    <definedName name="nalo">#REF!</definedName>
    <definedName name="NameVersion">[118]Input!$C$17</definedName>
    <definedName name="NameVersion___0">#N/A</definedName>
    <definedName name="NameVersion___12">#N/A</definedName>
    <definedName name="NameVersion___14">#N/A</definedName>
    <definedName name="NameVersion___16">#N/A</definedName>
    <definedName name="NameVersion___2">#N/A</definedName>
    <definedName name="NameVersion___25">#N/A</definedName>
    <definedName name="NameVersion___26">#N/A</definedName>
    <definedName name="NameVersion___27">#N/A</definedName>
    <definedName name="NameVersion___4">#N/A</definedName>
    <definedName name="NameVersion___5">#N/A</definedName>
    <definedName name="NameVersion___7">#N/A</definedName>
    <definedName name="National">#N/A</definedName>
    <definedName name="Nb_de_paiements_par_an" localSheetId="18">#REF!</definedName>
    <definedName name="Nb_de_paiements_par_an" localSheetId="25">#REF!</definedName>
    <definedName name="Nb_de_paiements_par_an" localSheetId="29">#REF!</definedName>
    <definedName name="Nb_de_paiements_par_an" localSheetId="31">#REF!</definedName>
    <definedName name="Nb_de_paiements_par_an" localSheetId="15">#REF!</definedName>
    <definedName name="Nb_de_paiements_par_an" localSheetId="13">#REF!</definedName>
    <definedName name="Nb_de_paiements_par_an" localSheetId="17">#REF!</definedName>
    <definedName name="Nb_de_paiements_par_an" localSheetId="12">#REF!</definedName>
    <definedName name="Nb_de_paiements_par_an" localSheetId="22">#REF!</definedName>
    <definedName name="Nb_de_paiements_par_an" localSheetId="28">#REF!</definedName>
    <definedName name="Nb_de_paiements_par_an" localSheetId="35">#REF!</definedName>
    <definedName name="Nb_de_paiements_par_an">#REF!</definedName>
    <definedName name="Nb_de_paiements_par_an___0">#N/A</definedName>
    <definedName name="Nb_de_paiements_par_an___12">#N/A</definedName>
    <definedName name="Nb_de_paiements_par_an___14">#N/A</definedName>
    <definedName name="Nb_de_paiements_par_an___16">#N/A</definedName>
    <definedName name="Nb_de_paiements_par_an___2">#N/A</definedName>
    <definedName name="Nb_de_paiements_par_an___25">#N/A</definedName>
    <definedName name="Nb_de_paiements_par_an___26">#N/A</definedName>
    <definedName name="Nb_de_paiements_par_an___27">#N/A</definedName>
    <definedName name="Nb_de_paiements_par_an___4">#N/A</definedName>
    <definedName name="Nb_de_paiements_par_an___5">#N/A</definedName>
    <definedName name="Nb_de_paiements_par_an___7">#N/A</definedName>
    <definedName name="Nbe_total_de_paiements" localSheetId="18">[6]!Nb_de_paiements_par_an*#REF!</definedName>
    <definedName name="Nbe_total_de_paiements" localSheetId="25">[6]!Nb_de_paiements_par_an*#REF!</definedName>
    <definedName name="Nbe_total_de_paiements" localSheetId="29">[6]!Nb_de_paiements_par_an*#REF!</definedName>
    <definedName name="Nbe_total_de_paiements" localSheetId="31">[6]!Nb_de_paiements_par_an*#REF!</definedName>
    <definedName name="Nbe_total_de_paiements" localSheetId="15">[6]!Nb_de_paiements_par_an*#REF!</definedName>
    <definedName name="Nbe_total_de_paiements" localSheetId="13">[6]!Nb_de_paiements_par_an*#REF!</definedName>
    <definedName name="Nbe_total_de_paiements" localSheetId="19">[7]!Nb_de_paiements_par_an*#REF!</definedName>
    <definedName name="Nbe_total_de_paiements" localSheetId="17">[6]!Nb_de_paiements_par_an*#REF!</definedName>
    <definedName name="Nbe_total_de_paiements" localSheetId="12">[6]!Nb_de_paiements_par_an*#REF!</definedName>
    <definedName name="Nbe_total_de_paiements" localSheetId="22">[8]!Nb_de_paiements_par_an*#REF!</definedName>
    <definedName name="Nbe_total_de_paiements" localSheetId="35">[6]!Nb_de_paiements_par_an*#REF!</definedName>
    <definedName name="Nbe_total_de_paiements">[6]!Nb_de_paiements_par_an*#REF!</definedName>
    <definedName name="Nbe_total_de_paiements___0">#N/A</definedName>
    <definedName name="Nbe_total_de_paiements___12">#N/A</definedName>
    <definedName name="Nbe_total_de_paiements___14">#N/A</definedName>
    <definedName name="Nbe_total_de_paiements___16">#N/A</definedName>
    <definedName name="Nbe_total_de_paiements___2">#N/A</definedName>
    <definedName name="Nbe_total_de_paiements___23">#N/A</definedName>
    <definedName name="Nbe_total_de_paiements___25">#N/A</definedName>
    <definedName name="Nbe_total_de_paiements___26">#N/A</definedName>
    <definedName name="Nbe_total_de_paiements___27">#N/A</definedName>
    <definedName name="Nbe_total_de_paiements___3">#N/A</definedName>
    <definedName name="Nbe_total_de_paiements___4">#N/A</definedName>
    <definedName name="Nbe_total_de_paiements___5">#N/A</definedName>
    <definedName name="Nbe_total_de_paiements___6">#N/A</definedName>
    <definedName name="Nbe_total_de_paiements___7">#N/A</definedName>
    <definedName name="Nbe_total_de_paiements___9">#N/A</definedName>
    <definedName name="nbv" localSheetId="18">#REF!</definedName>
    <definedName name="nbv" localSheetId="25">#REF!</definedName>
    <definedName name="nbv" localSheetId="29">#REF!</definedName>
    <definedName name="nbv" localSheetId="31">#REF!</definedName>
    <definedName name="nbv" localSheetId="15">#REF!</definedName>
    <definedName name="nbv" localSheetId="13">#REF!</definedName>
    <definedName name="nbv" localSheetId="17">#REF!</definedName>
    <definedName name="nbv" localSheetId="12">#REF!</definedName>
    <definedName name="nbv" localSheetId="22">#REF!</definedName>
    <definedName name="nbv" localSheetId="28">#REF!</definedName>
    <definedName name="nbv" localSheetId="35">#REF!</definedName>
    <definedName name="nbv">#REF!</definedName>
    <definedName name="NDHEY">#N/A</definedName>
    <definedName name="nes" localSheetId="25">#REF!</definedName>
    <definedName name="nes" localSheetId="29">#REF!</definedName>
    <definedName name="nes" localSheetId="31">#REF!</definedName>
    <definedName name="nes" localSheetId="19">#REF!</definedName>
    <definedName name="nes" localSheetId="22">#REF!</definedName>
    <definedName name="nes" localSheetId="28">#REF!</definedName>
    <definedName name="nes" localSheetId="35">#REF!</definedName>
    <definedName name="nes">#REF!</definedName>
    <definedName name="NETGAAP12M97" localSheetId="18">#REF!</definedName>
    <definedName name="NETGAAP12M97" localSheetId="25">#REF!</definedName>
    <definedName name="NETGAAP12M97" localSheetId="29">#REF!</definedName>
    <definedName name="NETGAAP12M97" localSheetId="31">#REF!</definedName>
    <definedName name="NETGAAP12M97" localSheetId="15">#REF!</definedName>
    <definedName name="NETGAAP12M97" localSheetId="13">#REF!</definedName>
    <definedName name="NETGAAP12M97" localSheetId="17">#REF!</definedName>
    <definedName name="NETGAAP12M97" localSheetId="12">#REF!</definedName>
    <definedName name="NETGAAP12M97" localSheetId="22">#REF!</definedName>
    <definedName name="NETGAAP12M97" localSheetId="28">#REF!</definedName>
    <definedName name="NETGAAP12M97" localSheetId="35">#REF!</definedName>
    <definedName name="NETGAAP12M97">#REF!</definedName>
    <definedName name="new" localSheetId="18" hidden="1">#REF!</definedName>
    <definedName name="new" localSheetId="25" hidden="1">#REF!</definedName>
    <definedName name="new" localSheetId="29" hidden="1">#REF!</definedName>
    <definedName name="new" localSheetId="31" hidden="1">#REF!</definedName>
    <definedName name="new" localSheetId="15" hidden="1">#REF!</definedName>
    <definedName name="new" localSheetId="13" hidden="1">#REF!</definedName>
    <definedName name="new" localSheetId="17" hidden="1">#REF!</definedName>
    <definedName name="new" localSheetId="12" hidden="1">#REF!</definedName>
    <definedName name="new" localSheetId="22" hidden="1">#REF!</definedName>
    <definedName name="new" localSheetId="28" hidden="1">#REF!</definedName>
    <definedName name="new" localSheetId="35" hidden="1">#REF!</definedName>
    <definedName name="new" hidden="1">#REF!</definedName>
    <definedName name="new_FTK" localSheetId="28" hidden="1">{#N/A,#N/A,FALSE,"Outlook for Month ";#N/A,#N/A,FALSE,"Risk for Month ";#N/A,#N/A,FALSE,"Upside for Month"}</definedName>
    <definedName name="new_FTK" localSheetId="35" hidden="1">{#N/A,#N/A,FALSE,"Outlook for Month ";#N/A,#N/A,FALSE,"Risk for Month ";#N/A,#N/A,FALSE,"Upside for Month"}</definedName>
    <definedName name="new_FTK" hidden="1">{#N/A,#N/A,FALSE,"Outlook for Month ";#N/A,#N/A,FALSE,"Risk for Month ";#N/A,#N/A,FALSE,"Upside for Month"}</definedName>
    <definedName name="newbel" localSheetId="25" hidden="1">{"IS",#N/A,FALSE,"IS";"RPTIS",#N/A,FALSE,"RPTIS";"STATS",#N/A,FALSE,"STATS";"CELL",#N/A,FALSE,"CELL";"BS",#N/A,FALSE,"BS"}</definedName>
    <definedName name="newbel" localSheetId="19" hidden="1">{"IS",#N/A,FALSE,"IS";"RPTIS",#N/A,FALSE,"RPTIS";"STATS",#N/A,FALSE,"STATS";"CELL",#N/A,FALSE,"CELL";"BS",#N/A,FALSE,"BS"}</definedName>
    <definedName name="newbel" localSheetId="22" hidden="1">{"IS",#N/A,FALSE,"IS";"RPTIS",#N/A,FALSE,"RPTIS";"STATS",#N/A,FALSE,"STATS";"CELL",#N/A,FALSE,"CELL";"BS",#N/A,FALSE,"BS"}</definedName>
    <definedName name="newbel" localSheetId="28" hidden="1">{"IS",#N/A,FALSE,"IS";"RPTIS",#N/A,FALSE,"RPTIS";"STATS",#N/A,FALSE,"STATS";"CELL",#N/A,FALSE,"CELL";"BS",#N/A,FALSE,"BS"}</definedName>
    <definedName name="newbel" localSheetId="35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1" localSheetId="25" hidden="1">{"IS",#N/A,FALSE,"IS";"RPTIS",#N/A,FALSE,"RPTIS";"STATS",#N/A,FALSE,"STATS";"CELL",#N/A,FALSE,"CELL";"BS",#N/A,FALSE,"BS"}</definedName>
    <definedName name="newbel1" localSheetId="19" hidden="1">{"IS",#N/A,FALSE,"IS";"RPTIS",#N/A,FALSE,"RPTIS";"STATS",#N/A,FALSE,"STATS";"CELL",#N/A,FALSE,"CELL";"BS",#N/A,FALSE,"BS"}</definedName>
    <definedName name="newbel1" localSheetId="22" hidden="1">{"IS",#N/A,FALSE,"IS";"RPTIS",#N/A,FALSE,"RPTIS";"STATS",#N/A,FALSE,"STATS";"CELL",#N/A,FALSE,"CELL";"BS",#N/A,FALSE,"BS"}</definedName>
    <definedName name="newbel1" localSheetId="28" hidden="1">{"IS",#N/A,FALSE,"IS";"RPTIS",#N/A,FALSE,"RPTIS";"STATS",#N/A,FALSE,"STATS";"CELL",#N/A,FALSE,"CELL";"BS",#N/A,FALSE,"BS"}</definedName>
    <definedName name="newbel1" localSheetId="35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localSheetId="28" hidden="1">{#N/A,#N/A,TRUE,"Cover sheet";#N/A,#N/A,TRUE,"DCF analysis";#N/A,#N/A,TRUE,"WACC calculation"}</definedName>
    <definedName name="newDC" localSheetId="35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one" localSheetId="28">#N/A</definedName>
    <definedName name="newone" localSheetId="35">'Taxe 5%'!newone</definedName>
    <definedName name="newone">'Taxe 5%'!newone</definedName>
    <definedName name="NewRange" localSheetId="28">#N/A</definedName>
    <definedName name="NewRange" localSheetId="35">'Taxe 5%'!NewRange</definedName>
    <definedName name="NewRange">'Taxe 5%'!NewRange</definedName>
    <definedName name="nfh">#N/A</definedName>
    <definedName name="nhf">#N/A</definedName>
    <definedName name="NHFGJ" localSheetId="18">[6]!NHFGJ</definedName>
    <definedName name="NHFGJ" localSheetId="25">[6]!NHFGJ</definedName>
    <definedName name="NHFGJ" localSheetId="29">[6]!NHFGJ</definedName>
    <definedName name="NHFGJ" localSheetId="31">[6]!NHFGJ</definedName>
    <definedName name="NHFGJ" localSheetId="15">[6]!NHFGJ</definedName>
    <definedName name="NHFGJ" localSheetId="13">[6]!NHFGJ</definedName>
    <definedName name="NHFGJ" localSheetId="19">[7]!NHFGJ</definedName>
    <definedName name="NHFGJ" localSheetId="17">[6]!NHFGJ</definedName>
    <definedName name="NHFGJ" localSheetId="12">[6]!NHFGJ</definedName>
    <definedName name="NHFGJ" localSheetId="22">[8]!NHFGJ</definedName>
    <definedName name="NHFGJ">[6]!NHFGJ</definedName>
    <definedName name="nhgk">#N/A</definedName>
    <definedName name="Nine" localSheetId="29">#REF!</definedName>
    <definedName name="Nine" localSheetId="31">#REF!</definedName>
    <definedName name="Nine" localSheetId="28">#REF!</definedName>
    <definedName name="Nine" localSheetId="35">#REF!</definedName>
    <definedName name="Nine">#REF!</definedName>
    <definedName name="nka" localSheetId="29">#REF!</definedName>
    <definedName name="nka" localSheetId="31">#REF!</definedName>
    <definedName name="nka" localSheetId="28">#REF!</definedName>
    <definedName name="nka" localSheetId="35">#REF!</definedName>
    <definedName name="nka">#REF!</definedName>
    <definedName name="nki" localSheetId="29">#REF!</definedName>
    <definedName name="nki" localSheetId="31">#REF!</definedName>
    <definedName name="nki" localSheetId="28">#REF!</definedName>
    <definedName name="nki" localSheetId="35">#REF!</definedName>
    <definedName name="nki">#REF!</definedName>
    <definedName name="nlk">#N/A</definedName>
    <definedName name="NN" localSheetId="18">[25]Ventes!#REF!</definedName>
    <definedName name="NN" localSheetId="29">[25]Ventes!#REF!</definedName>
    <definedName name="NN" localSheetId="31">[25]Ventes!#REF!</definedName>
    <definedName name="NN" localSheetId="15">[25]Ventes!#REF!</definedName>
    <definedName name="NN" localSheetId="13">[25]Ventes!#REF!</definedName>
    <definedName name="NN" localSheetId="17">[25]Ventes!#REF!</definedName>
    <definedName name="NN" localSheetId="12">[25]Ventes!#REF!</definedName>
    <definedName name="NN" localSheetId="22">[25]Ventes!#REF!</definedName>
    <definedName name="NN" localSheetId="28">[25]Ventes!#REF!</definedName>
    <definedName name="NN" localSheetId="35">[25]Ventes!#REF!</definedName>
    <definedName name="NN">[25]Ventes!#REF!</definedName>
    <definedName name="nnflklkfrji" localSheetId="18" hidden="1">#REF!</definedName>
    <definedName name="nnflklkfrji" localSheetId="25" hidden="1">#REF!</definedName>
    <definedName name="nnflklkfrji" localSheetId="29" hidden="1">#REF!</definedName>
    <definedName name="nnflklkfrji" localSheetId="31" hidden="1">#REF!</definedName>
    <definedName name="nnflklkfrji" localSheetId="15" hidden="1">#REF!</definedName>
    <definedName name="nnflklkfrji" localSheetId="13" hidden="1">#REF!</definedName>
    <definedName name="nnflklkfrji" localSheetId="17" hidden="1">#REF!</definedName>
    <definedName name="nnflklkfrji" localSheetId="12" hidden="1">#REF!</definedName>
    <definedName name="nnflklkfrji" localSheetId="22" hidden="1">#REF!</definedName>
    <definedName name="nnflklkfrji" localSheetId="28" hidden="1">#REF!</definedName>
    <definedName name="nnflklkfrji" localSheetId="35" hidden="1">#REF!</definedName>
    <definedName name="nnflklkfrji" hidden="1">#REF!</definedName>
    <definedName name="nnn" localSheetId="18" hidden="1">OFFSET([6]!DateRangeCompMain,9,0,COUNTA([6]!DateRangeCompMain)-COUNTA(#REF!),1)</definedName>
    <definedName name="nnn" localSheetId="25" hidden="1">OFFSET([6]!DateRangeCompMain,9,0,COUNTA([6]!DateRangeCompMain)-COUNTA(#REF!),1)</definedName>
    <definedName name="nnn" localSheetId="29" hidden="1">OFFSET([6]!DateRangeCompMain,9,0,COUNTA([6]!DateRangeCompMain)-COUNTA(#REF!),1)</definedName>
    <definedName name="nnn" localSheetId="31" hidden="1">OFFSET([6]!DateRangeCompMain,9,0,COUNTA([6]!DateRangeCompMain)-COUNTA(#REF!),1)</definedName>
    <definedName name="nnn" localSheetId="15" hidden="1">OFFSET([6]!DateRangeCompMain,9,0,COUNTA([6]!DateRangeCompMain)-COUNTA(#REF!),1)</definedName>
    <definedName name="nnn" localSheetId="13" hidden="1">OFFSET([6]!DateRangeCompMain,9,0,COUNTA([6]!DateRangeCompMain)-COUNTA(#REF!),1)</definedName>
    <definedName name="nnn" localSheetId="19" hidden="1">OFFSET([7]!DateRangeCompMain,9,0,COUNTA([7]!DateRangeCompMain)-COUNTA(#REF!),1)</definedName>
    <definedName name="nnn" localSheetId="17" hidden="1">OFFSET([6]!DateRangeCompMain,9,0,COUNTA([6]!DateRangeCompMain)-COUNTA(#REF!),1)</definedName>
    <definedName name="nnn" localSheetId="12" hidden="1">OFFSET([6]!DateRangeCompMain,9,0,COUNTA([6]!DateRangeCompMain)-COUNTA(#REF!),1)</definedName>
    <definedName name="nnn" localSheetId="22" hidden="1">OFFSET([8]!DateRangeCompMain,9,0,COUNTA([8]!DateRangeCompMain)-COUNTA(#REF!),1)</definedName>
    <definedName name="nnn" hidden="1">OFFSET([6]!DateRangeCompMain,9,0,COUNTA([6]!DateRangeCompMain)-COUNTA(#REF!),1)</definedName>
    <definedName name="NOEL" localSheetId="25" hidden="1">{"test2",#N/A,TRUE,"Prices"}</definedName>
    <definedName name="NOEL" localSheetId="19" hidden="1">{"test2",#N/A,TRUE,"Prices"}</definedName>
    <definedName name="NOEL" localSheetId="22" hidden="1">{"test2",#N/A,TRUE,"Prices"}</definedName>
    <definedName name="NOEL" localSheetId="28" hidden="1">{"test2",#N/A,TRUE,"Prices"}</definedName>
    <definedName name="NOEL" localSheetId="35" hidden="1">{"test2",#N/A,TRUE,"Prices"}</definedName>
    <definedName name="NOEL" hidden="1">{"test2",#N/A,TRUE,"Prices"}</definedName>
    <definedName name="noidea" localSheetId="28" hidden="1">{#N/A,#N/A,FALSE,"Calc";#N/A,#N/A,FALSE,"Sensitivity";#N/A,#N/A,FALSE,"LT Earn.Dil.";#N/A,#N/A,FALSE,"Dil. AVP"}</definedName>
    <definedName name="noidea" localSheetId="35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28" hidden="1">{#N/A,#N/A,FALSE,"Calc";#N/A,#N/A,FALSE,"Sensitivity";#N/A,#N/A,FALSE,"LT Earn.Dil.";#N/A,#N/A,FALSE,"Dil. AVP"}</definedName>
    <definedName name="NOIDEA2" localSheetId="35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 localSheetId="29">'[70]FES  ATLAS'!#REF!</definedName>
    <definedName name="non" localSheetId="31">'[70]FES  ATLAS'!#REF!</definedName>
    <definedName name="non" localSheetId="28">'[70]FES  ATLAS'!#REF!</definedName>
    <definedName name="non" localSheetId="35">'[70]FES  ATLAS'!#REF!</definedName>
    <definedName name="non">'[70]FES  ATLAS'!#REF!</definedName>
    <definedName name="NonRGCols" localSheetId="18">#REF!</definedName>
    <definedName name="NonRGCols" localSheetId="25">#REF!</definedName>
    <definedName name="NonRGCols" localSheetId="29">#REF!</definedName>
    <definedName name="NonRGCols" localSheetId="31">#REF!</definedName>
    <definedName name="NonRGCols" localSheetId="15">#REF!</definedName>
    <definedName name="NonRGCols" localSheetId="13">#REF!</definedName>
    <definedName name="NonRGCols" localSheetId="17">#REF!</definedName>
    <definedName name="NonRGCols" localSheetId="12">#REF!</definedName>
    <definedName name="NonRGCols" localSheetId="22">#REF!</definedName>
    <definedName name="NonRGCols" localSheetId="28">#REF!</definedName>
    <definedName name="NonRGCols" localSheetId="35">#REF!</definedName>
    <definedName name="NonRGCols">#REF!</definedName>
    <definedName name="NonRGCols___0">#N/A</definedName>
    <definedName name="NonRGCols___12">#N/A</definedName>
    <definedName name="NonRGCols___14">#N/A</definedName>
    <definedName name="NonRGCols___16">#N/A</definedName>
    <definedName name="NonRGCols___2">#N/A</definedName>
    <definedName name="NonRGCols___25">#N/A</definedName>
    <definedName name="NonRGCols___26">#N/A</definedName>
    <definedName name="NonRGCols___27">#N/A</definedName>
    <definedName name="NonRGCols___4">#N/A</definedName>
    <definedName name="NonRGCols___5">#N/A</definedName>
    <definedName name="NonRGCols___7">#N/A</definedName>
    <definedName name="NOUVEAU">#N/A</definedName>
    <definedName name="nouvelle_identification" localSheetId="29">#REF!</definedName>
    <definedName name="nouvelle_identification" localSheetId="31">#REF!</definedName>
    <definedName name="nouvelle_identification" localSheetId="28">#REF!</definedName>
    <definedName name="nouvelle_identification" localSheetId="35">#REF!</definedName>
    <definedName name="nouvelle_identification">#REF!</definedName>
    <definedName name="Novacom" localSheetId="18" hidden="1">OFFSET([6]!CompRange1Main,9,0,COUNTA([6]!CompRange1Main)-COUNTA(#REF!),1)</definedName>
    <definedName name="Novacom" localSheetId="25" hidden="1">OFFSET([6]!CompRange1Main,9,0,COUNTA([6]!CompRange1Main)-COUNTA(#REF!),1)</definedName>
    <definedName name="Novacom" localSheetId="29" hidden="1">OFFSET([6]!CompRange1Main,9,0,COUNTA([6]!CompRange1Main)-COUNTA(#REF!),1)</definedName>
    <definedName name="Novacom" localSheetId="31" hidden="1">OFFSET([6]!CompRange1Main,9,0,COUNTA([6]!CompRange1Main)-COUNTA(#REF!),1)</definedName>
    <definedName name="Novacom" localSheetId="15" hidden="1">OFFSET([6]!CompRange1Main,9,0,COUNTA([6]!CompRange1Main)-COUNTA(#REF!),1)</definedName>
    <definedName name="Novacom" localSheetId="13" hidden="1">OFFSET([6]!CompRange1Main,9,0,COUNTA([6]!CompRange1Main)-COUNTA(#REF!),1)</definedName>
    <definedName name="Novacom" localSheetId="19" hidden="1">OFFSET([7]!CompRange1Main,9,0,COUNTA([7]!CompRange1Main)-COUNTA(#REF!),1)</definedName>
    <definedName name="Novacom" localSheetId="17" hidden="1">OFFSET([6]!CompRange1Main,9,0,COUNTA([6]!CompRange1Main)-COUNTA(#REF!),1)</definedName>
    <definedName name="Novacom" localSheetId="12" hidden="1">OFFSET([6]!CompRange1Main,9,0,COUNTA([6]!CompRange1Main)-COUNTA(#REF!),1)</definedName>
    <definedName name="Novacom" localSheetId="22" hidden="1">OFFSET([8]!CompRange1Main,9,0,COUNTA([8]!CompRange1Main)-COUNTA(#REF!),1)</definedName>
    <definedName name="Novacom" hidden="1">OFFSET([6]!CompRange1Main,9,0,COUNTA([6]!CompRange1Main)-COUNTA(#REF!),1)</definedName>
    <definedName name="November" localSheetId="18">#REF!</definedName>
    <definedName name="November" localSheetId="25">#REF!</definedName>
    <definedName name="November" localSheetId="29">#REF!</definedName>
    <definedName name="November" localSheetId="31">#REF!</definedName>
    <definedName name="November" localSheetId="15">#REF!</definedName>
    <definedName name="November" localSheetId="13">#REF!</definedName>
    <definedName name="November" localSheetId="17">#REF!</definedName>
    <definedName name="November" localSheetId="12">#REF!</definedName>
    <definedName name="November" localSheetId="22">#REF!</definedName>
    <definedName name="November" localSheetId="28">#REF!</definedName>
    <definedName name="November" localSheetId="35">#REF!</definedName>
    <definedName name="November">#REF!</definedName>
    <definedName name="NSS_RVA_Encours">#N/A</definedName>
    <definedName name="Num_premier_paiement" localSheetId="18">#REF!</definedName>
    <definedName name="Num_premier_paiement" localSheetId="25">#REF!</definedName>
    <definedName name="Num_premier_paiement" localSheetId="29">#REF!</definedName>
    <definedName name="Num_premier_paiement" localSheetId="31">#REF!</definedName>
    <definedName name="Num_premier_paiement" localSheetId="15">#REF!</definedName>
    <definedName name="Num_premier_paiement" localSheetId="13">#REF!</definedName>
    <definedName name="Num_premier_paiement" localSheetId="17">#REF!</definedName>
    <definedName name="Num_premier_paiement" localSheetId="12">#REF!</definedName>
    <definedName name="Num_premier_paiement" localSheetId="22">#REF!</definedName>
    <definedName name="Num_premier_paiement" localSheetId="28">#REF!</definedName>
    <definedName name="Num_premier_paiement" localSheetId="35">#REF!</definedName>
    <definedName name="Num_premier_paiement">#REF!</definedName>
    <definedName name="Num_premier_paiement___0">#N/A</definedName>
    <definedName name="Num_premier_paiement___12">#N/A</definedName>
    <definedName name="Num_premier_paiement___14">#N/A</definedName>
    <definedName name="Num_premier_paiement___16">#N/A</definedName>
    <definedName name="Num_premier_paiement___2">#N/A</definedName>
    <definedName name="Num_premier_paiement___25">#N/A</definedName>
    <definedName name="Num_premier_paiement___26">#N/A</definedName>
    <definedName name="Num_premier_paiement___27">#N/A</definedName>
    <definedName name="Num_premier_paiement___4">#N/A</definedName>
    <definedName name="Num_premier_paiement___5">#N/A</definedName>
    <definedName name="Num_premier_paiement___7">#N/A</definedName>
    <definedName name="nvbidf" localSheetId="18">[6]!nvbidf</definedName>
    <definedName name="nvbidf" localSheetId="25">[6]!nvbidf</definedName>
    <definedName name="nvbidf" localSheetId="29">[6]!nvbidf</definedName>
    <definedName name="nvbidf" localSheetId="31">[6]!nvbidf</definedName>
    <definedName name="nvbidf" localSheetId="15">[6]!nvbidf</definedName>
    <definedName name="nvbidf" localSheetId="13">[6]!nvbidf</definedName>
    <definedName name="nvbidf" localSheetId="19">[7]!nvbidf</definedName>
    <definedName name="nvbidf" localSheetId="17">[6]!nvbidf</definedName>
    <definedName name="nvbidf" localSheetId="12">[6]!nvbidf</definedName>
    <definedName name="nvbidf" localSheetId="22">[8]!nvbidf</definedName>
    <definedName name="nvbidf">[6]!nvbidf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 localSheetId="18">#REF!</definedName>
    <definedName name="O" localSheetId="25">#REF!</definedName>
    <definedName name="O" localSheetId="29">#REF!</definedName>
    <definedName name="O" localSheetId="31">#REF!</definedName>
    <definedName name="O" localSheetId="15">#REF!</definedName>
    <definedName name="O" localSheetId="13">#REF!</definedName>
    <definedName name="O" localSheetId="17">#REF!</definedName>
    <definedName name="O" localSheetId="12">#REF!</definedName>
    <definedName name="O" localSheetId="22">#REF!</definedName>
    <definedName name="O" localSheetId="28">#REF!</definedName>
    <definedName name="O" localSheetId="35">#REF!</definedName>
    <definedName name="O">#REF!</definedName>
    <definedName name="O___0">NA()</definedName>
    <definedName name="O___12">#N/A</definedName>
    <definedName name="O___2">#N/A</definedName>
    <definedName name="O___25">#N/A</definedName>
    <definedName name="O___26">#N/A</definedName>
    <definedName name="O___27">NA()</definedName>
    <definedName name="O___4">#N/A</definedName>
    <definedName name="O___5">NA()</definedName>
    <definedName name="O___6">#N/A</definedName>
    <definedName name="O___7">#N/A</definedName>
    <definedName name="ObjectifCommutation" localSheetId="29">#REF!,#REF!,#REF!</definedName>
    <definedName name="ObjectifCommutation" localSheetId="31">#REF!,#REF!,#REF!</definedName>
    <definedName name="ObjectifCommutation" localSheetId="28">#REF!,#REF!,#REF!</definedName>
    <definedName name="ObjectifCommutation" localSheetId="35">#REF!,#REF!,#REF!</definedName>
    <definedName name="ObjectifCommutation">#REF!,#REF!,#REF!</definedName>
    <definedName name="OBSERVATIONS" localSheetId="18">#REF!</definedName>
    <definedName name="OBSERVATIONS" localSheetId="25">#REF!</definedName>
    <definedName name="OBSERVATIONS" localSheetId="29">#REF!</definedName>
    <definedName name="OBSERVATIONS" localSheetId="31">#REF!</definedName>
    <definedName name="OBSERVATIONS" localSheetId="15">#REF!</definedName>
    <definedName name="OBSERVATIONS" localSheetId="13">#REF!</definedName>
    <definedName name="OBSERVATIONS" localSheetId="17">#REF!</definedName>
    <definedName name="OBSERVATIONS" localSheetId="12">#REF!</definedName>
    <definedName name="OBSERVATIONS" localSheetId="22">#REF!</definedName>
    <definedName name="OBSERVATIONS" localSheetId="28">#REF!</definedName>
    <definedName name="OBSERVATIONS" localSheetId="35">#REF!</definedName>
    <definedName name="OBSERVATIONS">#REF!</definedName>
    <definedName name="October" localSheetId="18">#REF!</definedName>
    <definedName name="October" localSheetId="25">#REF!</definedName>
    <definedName name="October" localSheetId="29">#REF!</definedName>
    <definedName name="October" localSheetId="31">#REF!</definedName>
    <definedName name="October" localSheetId="15">#REF!</definedName>
    <definedName name="October" localSheetId="13">#REF!</definedName>
    <definedName name="October" localSheetId="17">#REF!</definedName>
    <definedName name="October" localSheetId="12">#REF!</definedName>
    <definedName name="October" localSheetId="22">#REF!</definedName>
    <definedName name="October" localSheetId="28">#REF!</definedName>
    <definedName name="October" localSheetId="35">#REF!</definedName>
    <definedName name="October">#REF!</definedName>
    <definedName name="OH" localSheetId="18">#REF!</definedName>
    <definedName name="OH" localSheetId="25">#REF!</definedName>
    <definedName name="OH" localSheetId="29">#REF!</definedName>
    <definedName name="OH" localSheetId="31">#REF!</definedName>
    <definedName name="OH" localSheetId="15">#REF!</definedName>
    <definedName name="OH" localSheetId="13">#REF!</definedName>
    <definedName name="OH" localSheetId="17">#REF!</definedName>
    <definedName name="OH" localSheetId="12">#REF!</definedName>
    <definedName name="OH" localSheetId="22">#REF!</definedName>
    <definedName name="OH" localSheetId="28">#REF!</definedName>
    <definedName name="OH" localSheetId="35">#REF!</definedName>
    <definedName name="OH">#REF!</definedName>
    <definedName name="oiuoiuouiyuiui" localSheetId="18" hidden="1">#REF!</definedName>
    <definedName name="oiuoiuouiyuiui" localSheetId="25" hidden="1">#REF!</definedName>
    <definedName name="oiuoiuouiyuiui" localSheetId="29" hidden="1">#REF!</definedName>
    <definedName name="oiuoiuouiyuiui" localSheetId="31" hidden="1">#REF!</definedName>
    <definedName name="oiuoiuouiyuiui" localSheetId="15" hidden="1">#REF!</definedName>
    <definedName name="oiuoiuouiyuiui" localSheetId="13" hidden="1">#REF!</definedName>
    <definedName name="oiuoiuouiyuiui" localSheetId="17" hidden="1">#REF!</definedName>
    <definedName name="oiuoiuouiyuiui" localSheetId="12" hidden="1">#REF!</definedName>
    <definedName name="oiuoiuouiyuiui" localSheetId="22" hidden="1">#REF!</definedName>
    <definedName name="oiuoiuouiyuiui" localSheetId="28" hidden="1">#REF!</definedName>
    <definedName name="oiuoiuouiyuiui" localSheetId="35" hidden="1">#REF!</definedName>
    <definedName name="oiuoiuouiyuiui" hidden="1">#REF!</definedName>
    <definedName name="ok" localSheetId="28" hidden="1">{#N/A,#N/A,FALSE,"Calc";#N/A,#N/A,FALSE,"Sensitivity";#N/A,#N/A,FALSE,"LT Earn.Dil.";#N/A,#N/A,FALSE,"Dil. AVP"}</definedName>
    <definedName name="ok" localSheetId="35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j" localSheetId="18">[6]!okj</definedName>
    <definedName name="okj" localSheetId="25">[6]!okj</definedName>
    <definedName name="okj" localSheetId="29">[6]!okj</definedName>
    <definedName name="okj" localSheetId="31">[6]!okj</definedName>
    <definedName name="okj" localSheetId="15">[6]!okj</definedName>
    <definedName name="okj" localSheetId="13">[6]!okj</definedName>
    <definedName name="okj" localSheetId="19">[7]!okj</definedName>
    <definedName name="okj" localSheetId="17">[6]!okj</definedName>
    <definedName name="okj" localSheetId="12">[6]!okj</definedName>
    <definedName name="okj" localSheetId="22">[8]!okj</definedName>
    <definedName name="okj">[6]!okj</definedName>
    <definedName name="oku" localSheetId="2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3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18">#REF!</definedName>
    <definedName name="omar" localSheetId="25">#REF!</definedName>
    <definedName name="omar" localSheetId="29">#REF!</definedName>
    <definedName name="omar" localSheetId="31">#REF!</definedName>
    <definedName name="omar" localSheetId="15">#REF!</definedName>
    <definedName name="omar" localSheetId="13">#REF!</definedName>
    <definedName name="omar" localSheetId="17">#REF!</definedName>
    <definedName name="omar" localSheetId="12">#REF!</definedName>
    <definedName name="omar" localSheetId="22">#REF!</definedName>
    <definedName name="omar" localSheetId="28">#REF!</definedName>
    <definedName name="omar" localSheetId="35">#REF!</definedName>
    <definedName name="omar">#REF!</definedName>
    <definedName name="OMC_HARDWARE" localSheetId="29">#REF!</definedName>
    <definedName name="OMC_HARDWARE" localSheetId="31">#REF!</definedName>
    <definedName name="OMC_HARDWARE" localSheetId="28">#REF!</definedName>
    <definedName name="OMC_HARDWARE" localSheetId="35">#REF!</definedName>
    <definedName name="OMC_HARDWARE">#REF!</definedName>
    <definedName name="OMC_SOFTWARE" localSheetId="29">#REF!</definedName>
    <definedName name="OMC_SOFTWARE" localSheetId="31">#REF!</definedName>
    <definedName name="OMC_SOFTWARE" localSheetId="28">#REF!</definedName>
    <definedName name="OMC_SOFTWARE" localSheetId="35">#REF!</definedName>
    <definedName name="OMC_SOFTWARE">#REF!</definedName>
    <definedName name="OO" localSheetId="18">[25]Ventes!#REF!</definedName>
    <definedName name="OO" localSheetId="29">[25]Ventes!#REF!</definedName>
    <definedName name="OO" localSheetId="31">[25]Ventes!#REF!</definedName>
    <definedName name="OO" localSheetId="15">[25]Ventes!#REF!</definedName>
    <definedName name="OO" localSheetId="13">[25]Ventes!#REF!</definedName>
    <definedName name="OO" localSheetId="19">[25]Ventes!#REF!</definedName>
    <definedName name="OO" localSheetId="17">[25]Ventes!#REF!</definedName>
    <definedName name="OO" localSheetId="12">[25]Ventes!#REF!</definedName>
    <definedName name="OO" localSheetId="22">[25]Ventes!#REF!</definedName>
    <definedName name="OO" localSheetId="28">[25]Ventes!#REF!</definedName>
    <definedName name="OO" localSheetId="35">[25]Ventes!#REF!</definedName>
    <definedName name="OO">[25]Ventes!#REF!</definedName>
    <definedName name="OP" localSheetId="28" hidden="1">{#N/A,#N/A,FALSE,"Operations";#N/A,#N/A,FALSE,"Financials"}</definedName>
    <definedName name="OP" localSheetId="35" hidden="1">{#N/A,#N/A,FALSE,"Operations";#N/A,#N/A,FALSE,"Financials"}</definedName>
    <definedName name="OP" hidden="1">{#N/A,#N/A,FALSE,"Operations";#N/A,#N/A,FALSE,"Financials"}</definedName>
    <definedName name="OPEX">#N/A</definedName>
    <definedName name="opex_">#N/A</definedName>
    <definedName name="OPEX_ACTU_DETAIL_DIV">#N/A</definedName>
    <definedName name="OPEX_CG_03">#N/A</definedName>
    <definedName name="OPEX_CR" localSheetId="29">#REF!</definedName>
    <definedName name="OPEX_CR" localSheetId="31">#REF!</definedName>
    <definedName name="OPEX_CR" localSheetId="28">#REF!</definedName>
    <definedName name="OPEX_CR" localSheetId="35">#REF!</definedName>
    <definedName name="OPEX_CR">#REF!</definedName>
    <definedName name="OPEX_MC" localSheetId="29">#REF!</definedName>
    <definedName name="OPEX_MC" localSheetId="31">#REF!</definedName>
    <definedName name="OPEX_MC" localSheetId="28">#REF!</definedName>
    <definedName name="OPEX_MC" localSheetId="35">#REF!</definedName>
    <definedName name="OPEX_MC">#REF!</definedName>
    <definedName name="OPEX_PREVISION">#N/A</definedName>
    <definedName name="OPEX0">[119]OPEX!$A$7:$U$7</definedName>
    <definedName name="opex2">#N/A</definedName>
    <definedName name="opex3" localSheetId="18">[6]!opex3</definedName>
    <definedName name="opex3" localSheetId="25">[6]!opex3</definedName>
    <definedName name="opex3" localSheetId="29">[6]!opex3</definedName>
    <definedName name="opex3" localSheetId="31">[6]!opex3</definedName>
    <definedName name="opex3" localSheetId="15">[6]!opex3</definedName>
    <definedName name="opex3" localSheetId="13">[6]!opex3</definedName>
    <definedName name="opex3" localSheetId="19">[7]!opex3</definedName>
    <definedName name="opex3" localSheetId="17">[6]!opex3</definedName>
    <definedName name="opex3" localSheetId="12">[6]!opex3</definedName>
    <definedName name="opex3" localSheetId="22">[8]!opex3</definedName>
    <definedName name="opex3">[6]!opex3</definedName>
    <definedName name="OPEX4RCG">#N/A</definedName>
    <definedName name="OPEX4Rcumul_general">#N/A</definedName>
    <definedName name="OTHER" localSheetId="18">#REF!</definedName>
    <definedName name="OTHER" localSheetId="25">#REF!</definedName>
    <definedName name="OTHER" localSheetId="29">#REF!</definedName>
    <definedName name="OTHER" localSheetId="31">#REF!</definedName>
    <definedName name="OTHER" localSheetId="15">#REF!</definedName>
    <definedName name="OTHER" localSheetId="13">#REF!</definedName>
    <definedName name="OTHER" localSheetId="17">#REF!</definedName>
    <definedName name="OTHER" localSheetId="12">#REF!</definedName>
    <definedName name="OTHER" localSheetId="22">#REF!</definedName>
    <definedName name="OTHER" localSheetId="28">#REF!</definedName>
    <definedName name="OTHER" localSheetId="35">#REF!</definedName>
    <definedName name="OTHER">#REF!</definedName>
    <definedName name="OUJ" localSheetId="18">#REF!</definedName>
    <definedName name="OUJ" localSheetId="25">#REF!</definedName>
    <definedName name="OUJ" localSheetId="29">#REF!</definedName>
    <definedName name="OUJ" localSheetId="31">#REF!</definedName>
    <definedName name="OUJ" localSheetId="15">#REF!</definedName>
    <definedName name="OUJ" localSheetId="13">#REF!</definedName>
    <definedName name="OUJ" localSheetId="17">#REF!</definedName>
    <definedName name="OUJ" localSheetId="12">#REF!</definedName>
    <definedName name="OUJ" localSheetId="22">#REF!</definedName>
    <definedName name="OUJ" localSheetId="28">#REF!</definedName>
    <definedName name="OUJ" localSheetId="35">#REF!</definedName>
    <definedName name="OUJ">#REF!</definedName>
    <definedName name="OUJDA">#N/A</definedName>
    <definedName name="outi">#N/A</definedName>
    <definedName name="outilagemobile">#N/A</definedName>
    <definedName name="ouverture" localSheetId="18">#REF!</definedName>
    <definedName name="ouverture" localSheetId="25">#REF!</definedName>
    <definedName name="ouverture" localSheetId="29">#REF!</definedName>
    <definedName name="ouverture" localSheetId="31">#REF!</definedName>
    <definedName name="ouverture" localSheetId="15">#REF!</definedName>
    <definedName name="ouverture" localSheetId="13">#REF!</definedName>
    <definedName name="ouverture" localSheetId="17">#REF!</definedName>
    <definedName name="ouverture" localSheetId="12">#REF!</definedName>
    <definedName name="ouverture" localSheetId="22">#REF!</definedName>
    <definedName name="ouverture" localSheetId="28">#REF!</definedName>
    <definedName name="ouverture" localSheetId="35">#REF!</definedName>
    <definedName name="ouverture">#REF!</definedName>
    <definedName name="ovaged" localSheetId="29">'[63]CIG+OV'!#REF!</definedName>
    <definedName name="ovaged" localSheetId="31">'[63]CIG+OV'!#REF!</definedName>
    <definedName name="ovaged" localSheetId="28">'[63]CIG+OV'!#REF!</definedName>
    <definedName name="ovaged" localSheetId="35">'[63]CIG+OV'!#REF!</definedName>
    <definedName name="ovaged">'[63]CIG+OV'!#REF!</definedName>
    <definedName name="ovcs" localSheetId="29">'[63]CIG+OV'!#REF!</definedName>
    <definedName name="ovcs" localSheetId="31">'[63]CIG+OV'!#REF!</definedName>
    <definedName name="ovcs" localSheetId="28">'[63]CIG+OV'!#REF!</definedName>
    <definedName name="ovcs" localSheetId="35">'[63]CIG+OV'!#REF!</definedName>
    <definedName name="ovcs">'[63]CIG+OV'!#REF!</definedName>
    <definedName name="overview">[120]overview!$B$6:$GV$130</definedName>
    <definedName name="ovps" localSheetId="29">'[63]CIG+OV'!#REF!</definedName>
    <definedName name="ovps" localSheetId="31">'[63]CIG+OV'!#REF!</definedName>
    <definedName name="ovps" localSheetId="28">'[63]CIG+OV'!#REF!</definedName>
    <definedName name="ovps" localSheetId="35">'[63]CIG+OV'!#REF!</definedName>
    <definedName name="ovps">'[63]CIG+OV'!#REF!</definedName>
    <definedName name="p" localSheetId="18">#REF!</definedName>
    <definedName name="p" localSheetId="25">#REF!</definedName>
    <definedName name="p" localSheetId="29">#REF!</definedName>
    <definedName name="p" localSheetId="31">#REF!</definedName>
    <definedName name="p" localSheetId="15">#REF!</definedName>
    <definedName name="p" localSheetId="13">#REF!</definedName>
    <definedName name="p" localSheetId="17">#REF!</definedName>
    <definedName name="p" localSheetId="12">#REF!</definedName>
    <definedName name="p" localSheetId="22">#REF!</definedName>
    <definedName name="p" localSheetId="28">#REF!</definedName>
    <definedName name="p" localSheetId="35">#REF!</definedName>
    <definedName name="p">#REF!</definedName>
    <definedName name="PAGE_1">#N/A</definedName>
    <definedName name="PAGE_2">#N/A</definedName>
    <definedName name="page1" localSheetId="18">#REF!</definedName>
    <definedName name="page1" localSheetId="25">#REF!</definedName>
    <definedName name="page1" localSheetId="29">#REF!</definedName>
    <definedName name="page1" localSheetId="31">#REF!</definedName>
    <definedName name="page1" localSheetId="15">#REF!</definedName>
    <definedName name="page1" localSheetId="13">#REF!</definedName>
    <definedName name="page1" localSheetId="17">#REF!</definedName>
    <definedName name="page1" localSheetId="12">#REF!</definedName>
    <definedName name="page1" localSheetId="22">#REF!</definedName>
    <definedName name="page1" localSheetId="28">#REF!</definedName>
    <definedName name="page1" localSheetId="35">#REF!</definedName>
    <definedName name="page1">#REF!</definedName>
    <definedName name="page2" localSheetId="18">#REF!</definedName>
    <definedName name="page2" localSheetId="25">#REF!</definedName>
    <definedName name="page2" localSheetId="29">#REF!</definedName>
    <definedName name="page2" localSheetId="31">#REF!</definedName>
    <definedName name="page2" localSheetId="15">#REF!</definedName>
    <definedName name="page2" localSheetId="13">#REF!</definedName>
    <definedName name="page2" localSheetId="17">#REF!</definedName>
    <definedName name="page2" localSheetId="12">#REF!</definedName>
    <definedName name="page2" localSheetId="22">#REF!</definedName>
    <definedName name="page2" localSheetId="28">#REF!</definedName>
    <definedName name="page2" localSheetId="35">#REF!</definedName>
    <definedName name="page2">#REF!</definedName>
    <definedName name="page3" localSheetId="18">#REF!</definedName>
    <definedName name="page3" localSheetId="25">#REF!</definedName>
    <definedName name="page3" localSheetId="29">#REF!</definedName>
    <definedName name="page3" localSheetId="31">#REF!</definedName>
    <definedName name="page3" localSheetId="15">#REF!</definedName>
    <definedName name="page3" localSheetId="13">#REF!</definedName>
    <definedName name="page3" localSheetId="17">#REF!</definedName>
    <definedName name="page3" localSheetId="12">#REF!</definedName>
    <definedName name="page3" localSheetId="22">#REF!</definedName>
    <definedName name="page3" localSheetId="28">#REF!</definedName>
    <definedName name="page3" localSheetId="35">#REF!</definedName>
    <definedName name="page3">#REF!</definedName>
    <definedName name="PageHeader1">"Daily cumulative demand "</definedName>
    <definedName name="PageHeader2">" "</definedName>
    <definedName name="PAIE" localSheetId="18">#REF!</definedName>
    <definedName name="PAIE" localSheetId="25">#REF!</definedName>
    <definedName name="PAIE" localSheetId="29">#REF!</definedName>
    <definedName name="PAIE" localSheetId="31">#REF!</definedName>
    <definedName name="PAIE" localSheetId="15">#REF!</definedName>
    <definedName name="PAIE" localSheetId="13">#REF!</definedName>
    <definedName name="PAIE" localSheetId="17">#REF!</definedName>
    <definedName name="PAIE" localSheetId="12">#REF!</definedName>
    <definedName name="PAIE" localSheetId="22">#REF!</definedName>
    <definedName name="PAIE" localSheetId="28">#REF!</definedName>
    <definedName name="PAIE" localSheetId="35">#REF!</definedName>
    <definedName name="PAIE">#REF!</definedName>
    <definedName name="Paiement_calculé" localSheetId="18">#REF!</definedName>
    <definedName name="Paiement_calculé" localSheetId="25">#REF!</definedName>
    <definedName name="Paiement_calculé" localSheetId="29">#REF!</definedName>
    <definedName name="Paiement_calculé" localSheetId="31">#REF!</definedName>
    <definedName name="Paiement_calculé" localSheetId="15">#REF!</definedName>
    <definedName name="Paiement_calculé" localSheetId="13">#REF!</definedName>
    <definedName name="Paiement_calculé" localSheetId="17">#REF!</definedName>
    <definedName name="Paiement_calculé" localSheetId="12">#REF!</definedName>
    <definedName name="Paiement_calculé" localSheetId="22">#REF!</definedName>
    <definedName name="Paiement_calculé" localSheetId="28">#REF!</definedName>
    <definedName name="Paiement_calculé" localSheetId="35">#REF!</definedName>
    <definedName name="Paiement_calculé">#REF!</definedName>
    <definedName name="Paiement_calculé___0">#N/A</definedName>
    <definedName name="Paiement_calculé___12">#N/A</definedName>
    <definedName name="Paiement_calculé___14">#N/A</definedName>
    <definedName name="Paiement_calculé___16">#N/A</definedName>
    <definedName name="Paiement_calculé___2">#N/A</definedName>
    <definedName name="Paiement_calculé___25">#N/A</definedName>
    <definedName name="Paiement_calculé___26">#N/A</definedName>
    <definedName name="Paiement_calculé___27">#N/A</definedName>
    <definedName name="Paiement_calculé___4">#N/A</definedName>
    <definedName name="Paiement_calculé___5">#N/A</definedName>
    <definedName name="Paiement_calculé___7">#N/A</definedName>
    <definedName name="PAM" localSheetId="18">[6]!PAM</definedName>
    <definedName name="PAM" localSheetId="25">[6]!PAM</definedName>
    <definedName name="PAM" localSheetId="29">[6]!PAM</definedName>
    <definedName name="PAM" localSheetId="31">[6]!PAM</definedName>
    <definedName name="PAM" localSheetId="15">[6]!PAM</definedName>
    <definedName name="PAM" localSheetId="13">[6]!PAM</definedName>
    <definedName name="PAM" localSheetId="19">[7]!PAM</definedName>
    <definedName name="PAM" localSheetId="17">[6]!PAM</definedName>
    <definedName name="PAM" localSheetId="12">[6]!PAM</definedName>
    <definedName name="PAM" localSheetId="22">[8]!PAM</definedName>
    <definedName name="PAM">[6]!PAM</definedName>
    <definedName name="PAM___0" localSheetId="25">Premier_paiement___16</definedName>
    <definedName name="PAM___0" localSheetId="19">Premier_paiement___16</definedName>
    <definedName name="PAM___0" localSheetId="22">Premier_paiement___16</definedName>
    <definedName name="PAM___0" localSheetId="28">Premier_paiement___16</definedName>
    <definedName name="PAM___0" localSheetId="35">Premier_paiement___16</definedName>
    <definedName name="PAM___0">Premier_paiement___16</definedName>
    <definedName name="PAM___12" localSheetId="25">PreDealReduction___5</definedName>
    <definedName name="PAM___12" localSheetId="19">PreDealReduction___5</definedName>
    <definedName name="PAM___12" localSheetId="22">PreDealReduction___5</definedName>
    <definedName name="PAM___12" localSheetId="28">PreDealReduction___5</definedName>
    <definedName name="PAM___12" localSheetId="35">PreDealReduction___5</definedName>
    <definedName name="PAM___12">PreDealReduction___5</definedName>
    <definedName name="PAM___14" localSheetId="25">PreDealReduction___27</definedName>
    <definedName name="PAM___14" localSheetId="19">PreDealReduction___27</definedName>
    <definedName name="PAM___14" localSheetId="22">PreDealReduction___27</definedName>
    <definedName name="PAM___14" localSheetId="28">PreDealReduction___27</definedName>
    <definedName name="PAM___14" localSheetId="35">PreDealReduction___27</definedName>
    <definedName name="PAM___14">PreDealReduction___27</definedName>
    <definedName name="PAM___16" localSheetId="25">PreDealReduction___14</definedName>
    <definedName name="PAM___16" localSheetId="19">PreDealReduction___14</definedName>
    <definedName name="PAM___16" localSheetId="22">PreDealReduction___14</definedName>
    <definedName name="PAM___16" localSheetId="28">PreDealReduction___14</definedName>
    <definedName name="PAM___16" localSheetId="35">PreDealReduction___14</definedName>
    <definedName name="PAM___16">PreDealReduction___14</definedName>
    <definedName name="PAM___23" localSheetId="25">PreDealReduction___25</definedName>
    <definedName name="PAM___23" localSheetId="19">PreDealReduction___25</definedName>
    <definedName name="PAM___23" localSheetId="22">PreDealReduction___25</definedName>
    <definedName name="PAM___23" localSheetId="28">PreDealReduction___25</definedName>
    <definedName name="PAM___23" localSheetId="35">PreDealReduction___25</definedName>
    <definedName name="PAM___23">PreDealReduction___25</definedName>
    <definedName name="PAM___25" localSheetId="25">PreDealReduction___2</definedName>
    <definedName name="PAM___25" localSheetId="19">PreDealReduction___2</definedName>
    <definedName name="PAM___25" localSheetId="22">PreDealReduction___2</definedName>
    <definedName name="PAM___25" localSheetId="28">PreDealReduction___2</definedName>
    <definedName name="PAM___25" localSheetId="35">PreDealReduction___2</definedName>
    <definedName name="PAM___25">PreDealReduction___2</definedName>
    <definedName name="PAM___26" localSheetId="25">PreDealReduction___0</definedName>
    <definedName name="PAM___26" localSheetId="19">PreDealReduction___0</definedName>
    <definedName name="PAM___26" localSheetId="22">PreDealReduction___0</definedName>
    <definedName name="PAM___26" localSheetId="28">PreDealReduction___0</definedName>
    <definedName name="PAM___26" localSheetId="35">PreDealReduction___0</definedName>
    <definedName name="PAM___26">PreDealReduction___0</definedName>
    <definedName name="PAM___27" localSheetId="25">PreDealReduction___26</definedName>
    <definedName name="PAM___27" localSheetId="19">PreDealReduction___26</definedName>
    <definedName name="PAM___27" localSheetId="22">PreDealReduction___26</definedName>
    <definedName name="PAM___27" localSheetId="28">PreDealReduction___26</definedName>
    <definedName name="PAM___27" localSheetId="35">PreDealReduction___26</definedName>
    <definedName name="PAM___27">PreDealReduction___26</definedName>
    <definedName name="PAM___5" localSheetId="25">PreDealReduction___7</definedName>
    <definedName name="PAM___5" localSheetId="19">PreDealReduction___7</definedName>
    <definedName name="PAM___5" localSheetId="22">PreDealReduction___7</definedName>
    <definedName name="PAM___5" localSheetId="28">PreDealReduction___7</definedName>
    <definedName name="PAM___5" localSheetId="35">PreDealReduction___7</definedName>
    <definedName name="PAM___5">PreDealReduction___7</definedName>
    <definedName name="PAM___6" localSheetId="25">PreDealReduction___4</definedName>
    <definedName name="PAM___6" localSheetId="19">PreDealReduction___4</definedName>
    <definedName name="PAM___6" localSheetId="22">PreDealReduction___4</definedName>
    <definedName name="PAM___6" localSheetId="28">PreDealReduction___4</definedName>
    <definedName name="PAM___6" localSheetId="35">PreDealReduction___4</definedName>
    <definedName name="PAM___6">PreDealReduction___4</definedName>
    <definedName name="PAM___7">#N/A</definedName>
    <definedName name="PAM___9" localSheetId="25">PreDealReduction___12</definedName>
    <definedName name="PAM___9" localSheetId="19">PreDealReduction___12</definedName>
    <definedName name="PAM___9" localSheetId="22">PreDealReduction___12</definedName>
    <definedName name="PAM___9" localSheetId="28">PreDealReduction___12</definedName>
    <definedName name="PAM___9" localSheetId="35">PreDealReduction___12</definedName>
    <definedName name="PAM___9">PreDealReduction___12</definedName>
    <definedName name="pamdaged" localSheetId="29">'[63]CIG+OV'!#REF!</definedName>
    <definedName name="pamdaged" localSheetId="31">'[63]CIG+OV'!#REF!</definedName>
    <definedName name="pamdaged" localSheetId="28">'[63]CIG+OV'!#REF!</definedName>
    <definedName name="pamdaged" localSheetId="35">'[63]CIG+OV'!#REF!</definedName>
    <definedName name="pamdaged">'[63]CIG+OV'!#REF!</definedName>
    <definedName name="pamdcb" localSheetId="29">'[63]CIG+OV'!#REF!</definedName>
    <definedName name="pamdcb" localSheetId="31">'[63]CIG+OV'!#REF!</definedName>
    <definedName name="pamdcb" localSheetId="28">'[63]CIG+OV'!#REF!</definedName>
    <definedName name="pamdcb" localSheetId="35">'[63]CIG+OV'!#REF!</definedName>
    <definedName name="pamdcb">'[63]CIG+OV'!#REF!</definedName>
    <definedName name="pamdcr" localSheetId="29">'[63]CIG+OV'!#REF!</definedName>
    <definedName name="pamdcr" localSheetId="31">'[63]CIG+OV'!#REF!</definedName>
    <definedName name="pamdcr" localSheetId="28">'[63]CIG+OV'!#REF!</definedName>
    <definedName name="pamdcr" localSheetId="35">'[63]CIG+OV'!#REF!</definedName>
    <definedName name="pamdcr">'[63]CIG+OV'!#REF!</definedName>
    <definedName name="pamdcs" localSheetId="29">'[63]CIG+OV'!#REF!</definedName>
    <definedName name="pamdcs" localSheetId="31">'[63]CIG+OV'!#REF!</definedName>
    <definedName name="pamdcs" localSheetId="28">'[63]CIG+OV'!#REF!</definedName>
    <definedName name="pamdcs" localSheetId="35">'[63]CIG+OV'!#REF!</definedName>
    <definedName name="pamdcs">'[63]CIG+OV'!#REF!</definedName>
    <definedName name="pamdpb" localSheetId="29">'[63]CIG+OV'!#REF!</definedName>
    <definedName name="pamdpb" localSheetId="31">'[63]CIG+OV'!#REF!</definedName>
    <definedName name="pamdpb" localSheetId="28">'[63]CIG+OV'!#REF!</definedName>
    <definedName name="pamdpb" localSheetId="35">'[63]CIG+OV'!#REF!</definedName>
    <definedName name="pamdpb">'[63]CIG+OV'!#REF!</definedName>
    <definedName name="pamdpr" localSheetId="29">'[63]CIG+OV'!#REF!</definedName>
    <definedName name="pamdpr" localSheetId="31">'[63]CIG+OV'!#REF!</definedName>
    <definedName name="pamdpr" localSheetId="28">'[63]CIG+OV'!#REF!</definedName>
    <definedName name="pamdpr" localSheetId="35">'[63]CIG+OV'!#REF!</definedName>
    <definedName name="pamdpr">'[63]CIG+OV'!#REF!</definedName>
    <definedName name="pamdps" localSheetId="29">'[63]CIG+OV'!#REF!</definedName>
    <definedName name="pamdps" localSheetId="31">'[63]CIG+OV'!#REF!</definedName>
    <definedName name="pamdps" localSheetId="28">'[63]CIG+OV'!#REF!</definedName>
    <definedName name="pamdps" localSheetId="35">'[63]CIG+OV'!#REF!</definedName>
    <definedName name="pamdps">'[63]CIG+OV'!#REF!</definedName>
    <definedName name="par_article" localSheetId="18">#REF!</definedName>
    <definedName name="par_article" localSheetId="25">#REF!</definedName>
    <definedName name="par_article" localSheetId="29">#REF!</definedName>
    <definedName name="par_article" localSheetId="31">#REF!</definedName>
    <definedName name="par_article" localSheetId="15">#REF!</definedName>
    <definedName name="par_article" localSheetId="13">#REF!</definedName>
    <definedName name="par_article" localSheetId="17">#REF!</definedName>
    <definedName name="par_article" localSheetId="12">#REF!</definedName>
    <definedName name="par_article" localSheetId="22">#REF!</definedName>
    <definedName name="par_article" localSheetId="28">#REF!</definedName>
    <definedName name="par_article" localSheetId="35">#REF!</definedName>
    <definedName name="par_article">#REF!</definedName>
    <definedName name="part" localSheetId="18">#REF!</definedName>
    <definedName name="part" localSheetId="25">#REF!</definedName>
    <definedName name="part" localSheetId="29">#REF!</definedName>
    <definedName name="part" localSheetId="31">#REF!</definedName>
    <definedName name="part" localSheetId="15">#REF!</definedName>
    <definedName name="part" localSheetId="13">#REF!</definedName>
    <definedName name="part" localSheetId="17">#REF!</definedName>
    <definedName name="part" localSheetId="12">#REF!</definedName>
    <definedName name="part" localSheetId="22">#REF!</definedName>
    <definedName name="part" localSheetId="28">#REF!</definedName>
    <definedName name="part" localSheetId="35">#REF!</definedName>
    <definedName name="part">#REF!</definedName>
    <definedName name="partdiv" localSheetId="18">#REF!</definedName>
    <definedName name="partdiv" localSheetId="25">#REF!</definedName>
    <definedName name="partdiv" localSheetId="29">#REF!</definedName>
    <definedName name="partdiv" localSheetId="31">#REF!</definedName>
    <definedName name="partdiv" localSheetId="15">#REF!</definedName>
    <definedName name="partdiv" localSheetId="13">#REF!</definedName>
    <definedName name="partdiv" localSheetId="17">#REF!</definedName>
    <definedName name="partdiv" localSheetId="12">#REF!</definedName>
    <definedName name="partdiv" localSheetId="22">#REF!</definedName>
    <definedName name="partdiv" localSheetId="28">#REF!</definedName>
    <definedName name="partdiv" localSheetId="35">#REF!</definedName>
    <definedName name="partdiv">#REF!</definedName>
    <definedName name="PartialBarrier" localSheetId="18">[121]!PartialBarrier</definedName>
    <definedName name="PartialBarrier" localSheetId="29">[121]!PartialBarrier</definedName>
    <definedName name="PartialBarrier" localSheetId="31">[121]!PartialBarrier</definedName>
    <definedName name="PartialBarrier" localSheetId="15">[121]!PartialBarrier</definedName>
    <definedName name="PartialBarrier" localSheetId="13">[121]!PartialBarrier</definedName>
    <definedName name="PartialBarrier" localSheetId="17">[121]!PartialBarrier</definedName>
    <definedName name="PartialBarrier" localSheetId="12">[121]!PartialBarrier</definedName>
    <definedName name="PartialBarrier">[121]!PartialBarrier</definedName>
    <definedName name="PARTICIP" localSheetId="18">#REF!</definedName>
    <definedName name="PARTICIP" localSheetId="25">#REF!</definedName>
    <definedName name="PARTICIP" localSheetId="29">#REF!</definedName>
    <definedName name="PARTICIP" localSheetId="31">#REF!</definedName>
    <definedName name="PARTICIP" localSheetId="15">#REF!</definedName>
    <definedName name="PARTICIP" localSheetId="13">#REF!</definedName>
    <definedName name="PARTICIP" localSheetId="17">#REF!</definedName>
    <definedName name="PARTICIP" localSheetId="12">#REF!</definedName>
    <definedName name="PARTICIP" localSheetId="22">#REF!</definedName>
    <definedName name="PARTICIP" localSheetId="28">#REF!</definedName>
    <definedName name="PARTICIP" localSheetId="35">#REF!</definedName>
    <definedName name="PARTICIP">#REF!</definedName>
    <definedName name="PASS1_2">'[122]Product Summary (2)'!$Y$6:$AE$73</definedName>
    <definedName name="PASSE1">[47]SV161!$D$19:$D$24</definedName>
    <definedName name="PASSE2">[47]SV161!$D$30:$D$32</definedName>
    <definedName name="PASSIF_OSIRIS">'[60]O-V PASSIF'!$A$3:$F$74</definedName>
    <definedName name="PATENTE_2003" localSheetId="18">#REF!</definedName>
    <definedName name="PATENTE_2003" localSheetId="25">#REF!</definedName>
    <definedName name="PATENTE_2003" localSheetId="29">#REF!</definedName>
    <definedName name="PATENTE_2003" localSheetId="31">#REF!</definedName>
    <definedName name="PATENTE_2003" localSheetId="15">#REF!</definedName>
    <definedName name="PATENTE_2003" localSheetId="13">#REF!</definedName>
    <definedName name="PATENTE_2003" localSheetId="17">#REF!</definedName>
    <definedName name="PATENTE_2003" localSheetId="12">#REF!</definedName>
    <definedName name="PATENTE_2003" localSheetId="22">#REF!</definedName>
    <definedName name="PATENTE_2003" localSheetId="28">#REF!</definedName>
    <definedName name="PATENTE_2003" localSheetId="35">#REF!</definedName>
    <definedName name="PATENTE_2003">#REF!</definedName>
    <definedName name="patrimoine" localSheetId="18">[104]BATIMENT!#REF!</definedName>
    <definedName name="patrimoine" localSheetId="29">[104]BATIMENT!#REF!</definedName>
    <definedName name="patrimoine" localSheetId="31">[104]BATIMENT!#REF!</definedName>
    <definedName name="patrimoine" localSheetId="15">[104]BATIMENT!#REF!</definedName>
    <definedName name="patrimoine" localSheetId="13">[104]BATIMENT!#REF!</definedName>
    <definedName name="patrimoine" localSheetId="17">[104]BATIMENT!#REF!</definedName>
    <definedName name="patrimoine" localSheetId="12">[104]BATIMENT!#REF!</definedName>
    <definedName name="patrimoine" localSheetId="22">[104]BATIMENT!#REF!</definedName>
    <definedName name="patrimoine" localSheetId="28">[104]BATIMENT!#REF!</definedName>
    <definedName name="patrimoine" localSheetId="35">[104]BATIMENT!#REF!</definedName>
    <definedName name="patrimoine">[104]BATIMENT!#REF!</definedName>
    <definedName name="PB" localSheetId="18">#REF!</definedName>
    <definedName name="PB" localSheetId="25">#REF!</definedName>
    <definedName name="PB" localSheetId="29">#REF!</definedName>
    <definedName name="PB" localSheetId="31">#REF!</definedName>
    <definedName name="PB" localSheetId="15">#REF!</definedName>
    <definedName name="PB" localSheetId="13">#REF!</definedName>
    <definedName name="PB" localSheetId="17">#REF!</definedName>
    <definedName name="PB" localSheetId="12">#REF!</definedName>
    <definedName name="PB" localSheetId="22">#REF!</definedName>
    <definedName name="PB" localSheetId="28">#REF!</definedName>
    <definedName name="PB" localSheetId="35">#REF!</definedName>
    <definedName name="PB">#REF!</definedName>
    <definedName name="PCU_HARDWARE" localSheetId="29">#REF!</definedName>
    <definedName name="PCU_HARDWARE" localSheetId="31">#REF!</definedName>
    <definedName name="PCU_HARDWARE" localSheetId="28">#REF!</definedName>
    <definedName name="PCU_HARDWARE" localSheetId="35">#REF!</definedName>
    <definedName name="PCU_HARDWARE">#REF!</definedName>
    <definedName name="PCU_SOFTWARE" localSheetId="29">#REF!</definedName>
    <definedName name="PCU_SOFTWARE" localSheetId="31">#REF!</definedName>
    <definedName name="PCU_SOFTWARE" localSheetId="28">#REF!</definedName>
    <definedName name="PCU_SOFTWARE" localSheetId="35">#REF!</definedName>
    <definedName name="PCU_SOFTWARE">#REF!</definedName>
    <definedName name="PD" localSheetId="29">#REF!</definedName>
    <definedName name="PD" localSheetId="31">#REF!</definedName>
    <definedName name="PD" localSheetId="28">#REF!</definedName>
    <definedName name="PD" localSheetId="35">#REF!</definedName>
    <definedName name="PD">#REF!</definedName>
    <definedName name="PERC_CH">#N/A</definedName>
    <definedName name="Percent_Effort_Expend" localSheetId="29">#REF!</definedName>
    <definedName name="Percent_Effort_Expend" localSheetId="31">#REF!</definedName>
    <definedName name="Percent_Effort_Expend" localSheetId="28">#REF!</definedName>
    <definedName name="Percent_Effort_Expend" localSheetId="35">#REF!</definedName>
    <definedName name="Percent_Effort_Expend">#REF!</definedName>
    <definedName name="Performance_Date">DATE(2000,9,15)</definedName>
    <definedName name="PERIODE">[47]SV161!$R$1</definedName>
    <definedName name="PeriodsToRun">[118]Input!$F$8</definedName>
    <definedName name="PeriodsToRun___0">#N/A</definedName>
    <definedName name="PeriodsToRun___12">#N/A</definedName>
    <definedName name="PeriodsToRun___14">#N/A</definedName>
    <definedName name="PeriodsToRun___16">#N/A</definedName>
    <definedName name="PeriodsToRun___2">#N/A</definedName>
    <definedName name="PeriodsToRun___25">#N/A</definedName>
    <definedName name="PeriodsToRun___26">#N/A</definedName>
    <definedName name="PeriodsToRun___27">#N/A</definedName>
    <definedName name="PeriodsToRun___4">#N/A</definedName>
    <definedName name="PeriodsToRun___5">#N/A</definedName>
    <definedName name="PeriodsToRun___7">#N/A</definedName>
    <definedName name="pesetas">[123]WE!$K$21</definedName>
    <definedName name="Phase1" localSheetId="29">#REF!</definedName>
    <definedName name="Phase1" localSheetId="31">#REF!</definedName>
    <definedName name="Phase1" localSheetId="28">#REF!</definedName>
    <definedName name="Phase1" localSheetId="35">#REF!</definedName>
    <definedName name="Phase1">#REF!</definedName>
    <definedName name="Phase2" localSheetId="29">#REF!</definedName>
    <definedName name="Phase2" localSheetId="31">#REF!</definedName>
    <definedName name="Phase2" localSheetId="28">#REF!</definedName>
    <definedName name="Phase2" localSheetId="35">#REF!</definedName>
    <definedName name="Phase2">#REF!</definedName>
    <definedName name="Phase3" localSheetId="29">#REF!</definedName>
    <definedName name="Phase3" localSheetId="31">#REF!</definedName>
    <definedName name="Phase3" localSheetId="28">#REF!</definedName>
    <definedName name="Phase3" localSheetId="35">#REF!</definedName>
    <definedName name="Phase3">#REF!</definedName>
    <definedName name="Phase4" localSheetId="29">#REF!</definedName>
    <definedName name="Phase4" localSheetId="31">#REF!</definedName>
    <definedName name="Phase4" localSheetId="28">#REF!</definedName>
    <definedName name="Phase4" localSheetId="35">#REF!</definedName>
    <definedName name="Phase4">#REF!</definedName>
    <definedName name="Phase5" localSheetId="29">#REF!</definedName>
    <definedName name="Phase5" localSheetId="31">#REF!</definedName>
    <definedName name="Phase5" localSheetId="28">#REF!</definedName>
    <definedName name="Phase5" localSheetId="35">#REF!</definedName>
    <definedName name="Phase5">#REF!</definedName>
    <definedName name="PI" localSheetId="18">#REF!</definedName>
    <definedName name="PI" localSheetId="25">#REF!</definedName>
    <definedName name="PI" localSheetId="29">#REF!</definedName>
    <definedName name="PI" localSheetId="31">#REF!</definedName>
    <definedName name="PI" localSheetId="15">#REF!</definedName>
    <definedName name="PI" localSheetId="13">#REF!</definedName>
    <definedName name="PI" localSheetId="17">#REF!</definedName>
    <definedName name="PI" localSheetId="12">#REF!</definedName>
    <definedName name="PI" localSheetId="22">#REF!</definedName>
    <definedName name="PI" localSheetId="28">#REF!</definedName>
    <definedName name="PI" localSheetId="35">#REF!</definedName>
    <definedName name="PI">#REF!</definedName>
    <definedName name="PI___0">#N/A</definedName>
    <definedName name="PI___12">#N/A</definedName>
    <definedName name="PI___14">#N/A</definedName>
    <definedName name="PI___16">#N/A</definedName>
    <definedName name="PI___2">#N/A</definedName>
    <definedName name="PI___25">#N/A</definedName>
    <definedName name="PI___26">#N/A</definedName>
    <definedName name="PI___27">#N/A</definedName>
    <definedName name="PI___4">#N/A</definedName>
    <definedName name="PI___5">#N/A</definedName>
    <definedName name="PI___7">#N/A</definedName>
    <definedName name="Play">656277505</definedName>
    <definedName name="PLAYS_TO_DATE" localSheetId="18">#REF!</definedName>
    <definedName name="PLAYS_TO_DATE" localSheetId="25">#REF!</definedName>
    <definedName name="PLAYS_TO_DATE" localSheetId="29">#REF!</definedName>
    <definedName name="PLAYS_TO_DATE" localSheetId="31">#REF!</definedName>
    <definedName name="PLAYS_TO_DATE" localSheetId="15">#REF!</definedName>
    <definedName name="PLAYS_TO_DATE" localSheetId="13">#REF!</definedName>
    <definedName name="PLAYS_TO_DATE" localSheetId="17">#REF!</definedName>
    <definedName name="PLAYS_TO_DATE" localSheetId="12">#REF!</definedName>
    <definedName name="PLAYS_TO_DATE" localSheetId="22">#REF!</definedName>
    <definedName name="PLAYS_TO_DATE" localSheetId="28">#REF!</definedName>
    <definedName name="PLAYS_TO_DATE" localSheetId="35">#REF!</definedName>
    <definedName name="PLAYS_TO_DATE">#REF!</definedName>
    <definedName name="PMENU" localSheetId="29">#REF!</definedName>
    <definedName name="PMENU" localSheetId="31">#REF!</definedName>
    <definedName name="PMENU" localSheetId="28">#REF!</definedName>
    <definedName name="PMENU" localSheetId="35">#REF!</definedName>
    <definedName name="PMENU">#REF!</definedName>
    <definedName name="PMENU1" localSheetId="29">#REF!</definedName>
    <definedName name="PMENU1" localSheetId="31">#REF!</definedName>
    <definedName name="PMENU1" localSheetId="28">#REF!</definedName>
    <definedName name="PMENU1" localSheetId="35">#REF!</definedName>
    <definedName name="PMENU1">#REF!</definedName>
    <definedName name="pmlnj" localSheetId="18">#REF!</definedName>
    <definedName name="pmlnj" localSheetId="25">#REF!</definedName>
    <definedName name="pmlnj" localSheetId="29">#REF!</definedName>
    <definedName name="pmlnj" localSheetId="31">#REF!</definedName>
    <definedName name="pmlnj" localSheetId="15">#REF!</definedName>
    <definedName name="pmlnj" localSheetId="13">#REF!</definedName>
    <definedName name="pmlnj" localSheetId="17">#REF!</definedName>
    <definedName name="pmlnj" localSheetId="12">#REF!</definedName>
    <definedName name="pmlnj" localSheetId="22">#REF!</definedName>
    <definedName name="pmlnj" localSheetId="28">#REF!</definedName>
    <definedName name="pmlnj" localSheetId="35">#REF!</definedName>
    <definedName name="pmlnj">#REF!</definedName>
    <definedName name="pmlok" localSheetId="18">#REF!</definedName>
    <definedName name="pmlok" localSheetId="25">#REF!</definedName>
    <definedName name="pmlok" localSheetId="29">#REF!</definedName>
    <definedName name="pmlok" localSheetId="31">#REF!</definedName>
    <definedName name="pmlok" localSheetId="15">#REF!</definedName>
    <definedName name="pmlok" localSheetId="13">#REF!</definedName>
    <definedName name="pmlok" localSheetId="17">#REF!</definedName>
    <definedName name="pmlok" localSheetId="12">#REF!</definedName>
    <definedName name="pmlok" localSheetId="22">#REF!</definedName>
    <definedName name="pmlok" localSheetId="28">#REF!</definedName>
    <definedName name="pmlok" localSheetId="35">#REF!</definedName>
    <definedName name="pmlok">#REF!</definedName>
    <definedName name="po" localSheetId="28" hidden="1">{#N/A,#N/A,FALSE,"Calc";#N/A,#N/A,FALSE,"Sensitivity";#N/A,#N/A,FALSE,"LT Earn.Dil.";#N/A,#N/A,FALSE,"Dil. AVP"}</definedName>
    <definedName name="po" localSheetId="35" hidden="1">{#N/A,#N/A,FALSE,"Calc";#N/A,#N/A,FALSE,"Sensitivity";#N/A,#N/A,FALSE,"LT Earn.Dil.";#N/A,#N/A,FALSE,"Dil. AVP"}</definedName>
    <definedName name="po" hidden="1">{#N/A,#N/A,FALSE,"Calc";#N/A,#N/A,FALSE,"Sensitivity";#N/A,#N/A,FALSE,"LT Earn.Dil.";#N/A,#N/A,FALSE,"Dil. AVP"}</definedName>
    <definedName name="poi" localSheetId="28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35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#N/A</definedName>
    <definedName name="POLY2000" localSheetId="18">#REF!</definedName>
    <definedName name="POLY2000" localSheetId="25">#REF!</definedName>
    <definedName name="POLY2000" localSheetId="29">#REF!</definedName>
    <definedName name="POLY2000" localSheetId="31">#REF!</definedName>
    <definedName name="POLY2000" localSheetId="15">#REF!</definedName>
    <definedName name="POLY2000" localSheetId="13">#REF!</definedName>
    <definedName name="POLY2000" localSheetId="17">#REF!</definedName>
    <definedName name="POLY2000" localSheetId="12">#REF!</definedName>
    <definedName name="POLY2000" localSheetId="22">#REF!</definedName>
    <definedName name="POLY2000" localSheetId="28">#REF!</definedName>
    <definedName name="POLY2000" localSheetId="35">#REF!</definedName>
    <definedName name="POLY2000">#REF!</definedName>
    <definedName name="PortionInDeal" localSheetId="18">#REF!</definedName>
    <definedName name="PortionInDeal" localSheetId="25">#REF!</definedName>
    <definedName name="PortionInDeal" localSheetId="29">#REF!</definedName>
    <definedName name="PortionInDeal" localSheetId="31">#REF!</definedName>
    <definedName name="PortionInDeal" localSheetId="15">#REF!</definedName>
    <definedName name="PortionInDeal" localSheetId="13">#REF!</definedName>
    <definedName name="PortionInDeal" localSheetId="17">#REF!</definedName>
    <definedName name="PortionInDeal" localSheetId="12">#REF!</definedName>
    <definedName name="PortionInDeal" localSheetId="22">#REF!</definedName>
    <definedName name="PortionInDeal" localSheetId="28">#REF!</definedName>
    <definedName name="PortionInDeal" localSheetId="35">#REF!</definedName>
    <definedName name="PortionInDeal">#REF!</definedName>
    <definedName name="PortionInDeal___0">#N/A</definedName>
    <definedName name="PortionInDeal___12">#N/A</definedName>
    <definedName name="PortionInDeal___14">#N/A</definedName>
    <definedName name="PortionInDeal___16">#N/A</definedName>
    <definedName name="PortionInDeal___2">#N/A</definedName>
    <definedName name="PortionInDeal___25">#N/A</definedName>
    <definedName name="PortionInDeal___26">#N/A</definedName>
    <definedName name="PortionInDeal___27">#N/A</definedName>
    <definedName name="PortionInDeal___4">#N/A</definedName>
    <definedName name="PortionInDeal___5">#N/A</definedName>
    <definedName name="PortionInDeal___7">#N/A</definedName>
    <definedName name="PowerCords">[108]Configurator!$H$7:$H$11</definedName>
    <definedName name="PP" localSheetId="18">#REF!</definedName>
    <definedName name="PP" localSheetId="25">#REF!</definedName>
    <definedName name="PP" localSheetId="29">#REF!</definedName>
    <definedName name="PP" localSheetId="31">#REF!</definedName>
    <definedName name="PP" localSheetId="15">#REF!</definedName>
    <definedName name="PP" localSheetId="13">#REF!</definedName>
    <definedName name="PP" localSheetId="17">#REF!</definedName>
    <definedName name="PP" localSheetId="12">#REF!</definedName>
    <definedName name="PP" localSheetId="22">#REF!</definedName>
    <definedName name="PP" localSheetId="28">#REF!</definedName>
    <definedName name="PP" localSheetId="35">#REF!</definedName>
    <definedName name="PP">#REF!</definedName>
    <definedName name="pr" localSheetId="18">[6]!pr</definedName>
    <definedName name="pr" localSheetId="25">[6]!pr</definedName>
    <definedName name="pr" localSheetId="29">[6]!pr</definedName>
    <definedName name="pr" localSheetId="31">[6]!pr</definedName>
    <definedName name="pr" localSheetId="15">[6]!pr</definedName>
    <definedName name="pr" localSheetId="13">[6]!pr</definedName>
    <definedName name="pr" localSheetId="19">[7]!pr</definedName>
    <definedName name="pr" localSheetId="17">[6]!pr</definedName>
    <definedName name="pr" localSheetId="12">[6]!pr</definedName>
    <definedName name="pr" localSheetId="22">[8]!pr</definedName>
    <definedName name="pr">[6]!pr</definedName>
    <definedName name="prange" localSheetId="29">F_INCOME,F_BALANCE,f_free_cash_flow,f_ratios,f_valuation</definedName>
    <definedName name="prange" localSheetId="31">F_INCOME,F_BALANCE,f_free_cash_flow,f_ratios,f_valuation</definedName>
    <definedName name="prange" localSheetId="28">F_INCOME,F_BALANCE,f_free_cash_flow,f_ratios,f_valuation</definedName>
    <definedName name="prange" localSheetId="35">F_INCOME,F_BALANCE,f_free_cash_flow,f_ratios,f_valuation</definedName>
    <definedName name="prange">F_INCOME,F_BALANCE,f_free_cash_flow,f_ratios,f_valuation</definedName>
    <definedName name="PreDealReduction" localSheetId="18">#REF!</definedName>
    <definedName name="PreDealReduction" localSheetId="25">#REF!</definedName>
    <definedName name="PreDealReduction" localSheetId="29">#REF!</definedName>
    <definedName name="PreDealReduction" localSheetId="31">#REF!</definedName>
    <definedName name="PreDealReduction" localSheetId="15">#REF!</definedName>
    <definedName name="PreDealReduction" localSheetId="13">#REF!</definedName>
    <definedName name="PreDealReduction" localSheetId="17">#REF!</definedName>
    <definedName name="PreDealReduction" localSheetId="12">#REF!</definedName>
    <definedName name="PreDealReduction" localSheetId="22">#REF!</definedName>
    <definedName name="PreDealReduction" localSheetId="28">#REF!</definedName>
    <definedName name="PreDealReduction" localSheetId="35">#REF!</definedName>
    <definedName name="PreDealReduction">#REF!</definedName>
    <definedName name="PreDealReduction___0">#N/A</definedName>
    <definedName name="PreDealReduction___12">#N/A</definedName>
    <definedName name="PreDealReduction___14">#N/A</definedName>
    <definedName name="PreDealReduction___16">#N/A</definedName>
    <definedName name="PreDealReduction___2">#N/A</definedName>
    <definedName name="PreDealReduction___25">#N/A</definedName>
    <definedName name="PreDealReduction___26">#N/A</definedName>
    <definedName name="PreDealReduction___27">#N/A</definedName>
    <definedName name="PreDealReduction___4">#N/A</definedName>
    <definedName name="PreDealReduction___5">#N/A</definedName>
    <definedName name="PreDealReduction___7">#N/A</definedName>
    <definedName name="Premier_paiement" localSheetId="18">#REF!</definedName>
    <definedName name="Premier_paiement" localSheetId="25">#REF!</definedName>
    <definedName name="Premier_paiement" localSheetId="29">#REF!</definedName>
    <definedName name="Premier_paiement" localSheetId="31">#REF!</definedName>
    <definedName name="Premier_paiement" localSheetId="15">#REF!</definedName>
    <definedName name="Premier_paiement" localSheetId="13">#REF!</definedName>
    <definedName name="Premier_paiement" localSheetId="17">#REF!</definedName>
    <definedName name="Premier_paiement" localSheetId="12">#REF!</definedName>
    <definedName name="Premier_paiement" localSheetId="22">#REF!</definedName>
    <definedName name="Premier_paiement" localSheetId="28">#REF!</definedName>
    <definedName name="Premier_paiement" localSheetId="35">#REF!</definedName>
    <definedName name="Premier_paiement">#REF!</definedName>
    <definedName name="Premier_paiement___0">#N/A</definedName>
    <definedName name="Premier_paiement___12">#N/A</definedName>
    <definedName name="Premier_paiement___14">#N/A</definedName>
    <definedName name="Premier_paiement___16">#N/A</definedName>
    <definedName name="Premier_paiement___2">#N/A</definedName>
    <definedName name="Premier_paiement___25">#N/A</definedName>
    <definedName name="Premier_paiement___26">#N/A</definedName>
    <definedName name="Premier_paiement___27">#N/A</definedName>
    <definedName name="Premier_paiement___4">#N/A</definedName>
    <definedName name="Premier_paiement___5">#N/A</definedName>
    <definedName name="Premier_paiement___7">#N/A</definedName>
    <definedName name="Pres" localSheetId="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18">#REF!</definedName>
    <definedName name="PresentationNormalA4" localSheetId="25">#REF!</definedName>
    <definedName name="PresentationNormalA4" localSheetId="29">#REF!</definedName>
    <definedName name="PresentationNormalA4" localSheetId="31">#REF!</definedName>
    <definedName name="PresentationNormalA4" localSheetId="15">#REF!</definedName>
    <definedName name="PresentationNormalA4" localSheetId="13">#REF!</definedName>
    <definedName name="PresentationNormalA4" localSheetId="17">#REF!</definedName>
    <definedName name="PresentationNormalA4" localSheetId="12">#REF!</definedName>
    <definedName name="PresentationNormalA4" localSheetId="22">#REF!</definedName>
    <definedName name="PresentationNormalA4" localSheetId="28">#REF!</definedName>
    <definedName name="PresentationNormalA4" localSheetId="35">#REF!</definedName>
    <definedName name="PresentationNormalA4">#REF!</definedName>
    <definedName name="prets" localSheetId="18">#REF!</definedName>
    <definedName name="prets" localSheetId="25">#REF!</definedName>
    <definedName name="prets" localSheetId="29">#REF!</definedName>
    <definedName name="prets" localSheetId="31">#REF!</definedName>
    <definedName name="prets" localSheetId="15">#REF!</definedName>
    <definedName name="prets" localSheetId="13">#REF!</definedName>
    <definedName name="prets" localSheetId="17">#REF!</definedName>
    <definedName name="prets" localSheetId="12">#REF!</definedName>
    <definedName name="prets" localSheetId="22">#REF!</definedName>
    <definedName name="prets" localSheetId="28">#REF!</definedName>
    <definedName name="prets" localSheetId="35">#REF!</definedName>
    <definedName name="prets">#REF!</definedName>
    <definedName name="PREVU1">[47]SV161!$G$19:$G$24</definedName>
    <definedName name="PREVU2">[47]SV161!$G$30:$G$32</definedName>
    <definedName name="PRICE">#N/A</definedName>
    <definedName name="Price_Toggle">[124]PriceDB!$F$2</definedName>
    <definedName name="Print_fullyear" localSheetId="18">#REF!</definedName>
    <definedName name="Print_fullyear" localSheetId="25">#REF!</definedName>
    <definedName name="Print_fullyear" localSheetId="29">#REF!</definedName>
    <definedName name="Print_fullyear" localSheetId="31">#REF!</definedName>
    <definedName name="Print_fullyear" localSheetId="15">#REF!</definedName>
    <definedName name="Print_fullyear" localSheetId="13">#REF!</definedName>
    <definedName name="Print_fullyear" localSheetId="17">#REF!</definedName>
    <definedName name="Print_fullyear" localSheetId="12">#REF!</definedName>
    <definedName name="Print_fullyear" localSheetId="22">#REF!</definedName>
    <definedName name="Print_fullyear" localSheetId="28">#REF!</definedName>
    <definedName name="Print_fullyear" localSheetId="35">#REF!</definedName>
    <definedName name="Print_fullyear">#REF!</definedName>
    <definedName name="Print_OS_fin" localSheetId="18">[125]Sheet1!#REF!</definedName>
    <definedName name="Print_OS_fin" localSheetId="25">[125]Sheet1!#REF!</definedName>
    <definedName name="Print_OS_fin" localSheetId="29">[125]Sheet1!#REF!</definedName>
    <definedName name="Print_OS_fin" localSheetId="31">[125]Sheet1!#REF!</definedName>
    <definedName name="Print_OS_fin" localSheetId="15">[125]Sheet1!#REF!</definedName>
    <definedName name="Print_OS_fin" localSheetId="13">[125]Sheet1!#REF!</definedName>
    <definedName name="Print_OS_fin" localSheetId="17">[125]Sheet1!#REF!</definedName>
    <definedName name="Print_OS_fin" localSheetId="12">[125]Sheet1!#REF!</definedName>
    <definedName name="Print_OS_fin" localSheetId="22">[126]Sheet1!#REF!</definedName>
    <definedName name="Print_OS_fin" localSheetId="28">[125]Sheet1!#REF!</definedName>
    <definedName name="Print_OS_fin" localSheetId="35">[125]Sheet1!#REF!</definedName>
    <definedName name="Print_OS_fin">[125]Sheet1!#REF!</definedName>
    <definedName name="Print_Terms_Tatene">"Text 2"</definedName>
    <definedName name="Print_Tony" localSheetId="18">[125]Sheet1!#REF!</definedName>
    <definedName name="Print_Tony" localSheetId="25">[125]Sheet1!#REF!</definedName>
    <definedName name="Print_Tony" localSheetId="29">[125]Sheet1!#REF!</definedName>
    <definedName name="Print_Tony" localSheetId="31">[125]Sheet1!#REF!</definedName>
    <definedName name="Print_Tony" localSheetId="15">[125]Sheet1!#REF!</definedName>
    <definedName name="Print_Tony" localSheetId="13">[125]Sheet1!#REF!</definedName>
    <definedName name="Print_Tony" localSheetId="17">[125]Sheet1!#REF!</definedName>
    <definedName name="Print_Tony" localSheetId="12">[125]Sheet1!#REF!</definedName>
    <definedName name="Print_Tony" localSheetId="22">[126]Sheet1!#REF!</definedName>
    <definedName name="Print_Tony" localSheetId="28">[125]Sheet1!#REF!</definedName>
    <definedName name="Print_Tony" localSheetId="35">[125]Sheet1!#REF!</definedName>
    <definedName name="Print_Tony">[125]Sheet1!#REF!</definedName>
    <definedName name="Print_totalproj" localSheetId="18">#REF!</definedName>
    <definedName name="Print_totalproj" localSheetId="25">#REF!</definedName>
    <definedName name="Print_totalproj" localSheetId="29">#REF!</definedName>
    <definedName name="Print_totalproj" localSheetId="31">#REF!</definedName>
    <definedName name="Print_totalproj" localSheetId="15">#REF!</definedName>
    <definedName name="Print_totalproj" localSheetId="13">#REF!</definedName>
    <definedName name="Print_totalproj" localSheetId="17">#REF!</definedName>
    <definedName name="Print_totalproj" localSheetId="12">#REF!</definedName>
    <definedName name="Print_totalproj" localSheetId="22">#REF!</definedName>
    <definedName name="Print_totalproj" localSheetId="28">#REF!</definedName>
    <definedName name="Print_totalproj" localSheetId="35">#REF!</definedName>
    <definedName name="Print_totalproj">#REF!</definedName>
    <definedName name="print4" localSheetId="28" hidden="1">{#N/A,#N/A,FALSE,"Operations";#N/A,#N/A,FALSE,"Financials"}</definedName>
    <definedName name="print4" localSheetId="35" hidden="1">{#N/A,#N/A,FALSE,"Operations";#N/A,#N/A,FALSE,"Financials"}</definedName>
    <definedName name="print4" hidden="1">{#N/A,#N/A,FALSE,"Operations";#N/A,#N/A,FALSE,"Financials"}</definedName>
    <definedName name="printall" localSheetId="28">#N/A</definedName>
    <definedName name="printall" localSheetId="35">'Taxe 5%'!printall</definedName>
    <definedName name="printall">'Taxe 5%'!printall</definedName>
    <definedName name="PRIOR_MONTH_PLAYS" localSheetId="18">#REF!</definedName>
    <definedName name="PRIOR_MONTH_PLAYS" localSheetId="25">#REF!</definedName>
    <definedName name="PRIOR_MONTH_PLAYS" localSheetId="29">#REF!</definedName>
    <definedName name="PRIOR_MONTH_PLAYS" localSheetId="31">#REF!</definedName>
    <definedName name="PRIOR_MONTH_PLAYS" localSheetId="15">#REF!</definedName>
    <definedName name="PRIOR_MONTH_PLAYS" localSheetId="13">#REF!</definedName>
    <definedName name="PRIOR_MONTH_PLAYS" localSheetId="17">#REF!</definedName>
    <definedName name="PRIOR_MONTH_PLAYS" localSheetId="12">#REF!</definedName>
    <definedName name="PRIOR_MONTH_PLAYS" localSheetId="22">#REF!</definedName>
    <definedName name="PRIOR_MONTH_PLAYS" localSheetId="28">#REF!</definedName>
    <definedName name="PRIOR_MONTH_PLAYS" localSheetId="35">#REF!</definedName>
    <definedName name="PRIOR_MONTH_PLAYS">#REF!</definedName>
    <definedName name="Prix">[127]Produits!$C$2:$C$13</definedName>
    <definedName name="PROD" localSheetId="18">#REF!</definedName>
    <definedName name="PROD" localSheetId="25">#REF!</definedName>
    <definedName name="PROD" localSheetId="29">#REF!</definedName>
    <definedName name="PROD" localSheetId="31">#REF!</definedName>
    <definedName name="PROD" localSheetId="15">#REF!</definedName>
    <definedName name="PROD" localSheetId="13">#REF!</definedName>
    <definedName name="PROD" localSheetId="17">#REF!</definedName>
    <definedName name="PROD" localSheetId="12">#REF!</definedName>
    <definedName name="PROD" localSheetId="22">#REF!</definedName>
    <definedName name="PROD" localSheetId="28">#REF!</definedName>
    <definedName name="PROD" localSheetId="35">#REF!</definedName>
    <definedName name="PROD">#REF!</definedName>
    <definedName name="ProdCorresp" localSheetId="18">#REF!</definedName>
    <definedName name="ProdCorresp" localSheetId="25">#REF!</definedName>
    <definedName name="ProdCorresp" localSheetId="29">#REF!</definedName>
    <definedName name="ProdCorresp" localSheetId="31">#REF!</definedName>
    <definedName name="ProdCorresp" localSheetId="15">#REF!</definedName>
    <definedName name="ProdCorresp" localSheetId="13">#REF!</definedName>
    <definedName name="ProdCorresp" localSheetId="17">#REF!</definedName>
    <definedName name="ProdCorresp" localSheetId="12">#REF!</definedName>
    <definedName name="ProdCorresp" localSheetId="22">#REF!</definedName>
    <definedName name="ProdCorresp" localSheetId="28">#REF!</definedName>
    <definedName name="ProdCorresp" localSheetId="35">#REF!</definedName>
    <definedName name="ProdCorresp">#REF!</definedName>
    <definedName name="ProdCorresp___0">#N/A</definedName>
    <definedName name="ProdCorresp___12">#N/A</definedName>
    <definedName name="ProdCorresp___14">#N/A</definedName>
    <definedName name="ProdCorresp___16">#N/A</definedName>
    <definedName name="ProdCorresp___2">#N/A</definedName>
    <definedName name="ProdCorresp___25">#N/A</definedName>
    <definedName name="ProdCorresp___26">#N/A</definedName>
    <definedName name="ProdCorresp___27">#N/A</definedName>
    <definedName name="ProdCorresp___4">#N/A</definedName>
    <definedName name="ProdCorresp___5">#N/A</definedName>
    <definedName name="ProdCorresp___7">#N/A</definedName>
    <definedName name="Produit" localSheetId="18">#REF!</definedName>
    <definedName name="Produit" localSheetId="25">#REF!</definedName>
    <definedName name="Produit" localSheetId="29">#REF!</definedName>
    <definedName name="Produit" localSheetId="31">#REF!</definedName>
    <definedName name="Produit" localSheetId="15">#REF!</definedName>
    <definedName name="Produit" localSheetId="13">#REF!</definedName>
    <definedName name="Produit" localSheetId="17">#REF!</definedName>
    <definedName name="Produit" localSheetId="12">#REF!</definedName>
    <definedName name="Produit" localSheetId="22">#REF!</definedName>
    <definedName name="Produit" localSheetId="28">#REF!</definedName>
    <definedName name="Produit" localSheetId="35">#REF!</definedName>
    <definedName name="Produit">#REF!</definedName>
    <definedName name="Produits">'[25]Suivi Stocks'!$B$2:$B$13</definedName>
    <definedName name="PROG2002" localSheetId="18" hidden="1">[128]P.EQUIPEMENT99!#REF!</definedName>
    <definedName name="PROG2002" localSheetId="29" hidden="1">[128]P.EQUIPEMENT99!#REF!</definedName>
    <definedName name="PROG2002" localSheetId="31" hidden="1">[128]P.EQUIPEMENT99!#REF!</definedName>
    <definedName name="PROG2002" localSheetId="15" hidden="1">[128]P.EQUIPEMENT99!#REF!</definedName>
    <definedName name="PROG2002" localSheetId="13" hidden="1">[128]P.EQUIPEMENT99!#REF!</definedName>
    <definedName name="PROG2002" localSheetId="17" hidden="1">[128]P.EQUIPEMENT99!#REF!</definedName>
    <definedName name="PROG2002" localSheetId="12" hidden="1">[128]P.EQUIPEMENT99!#REF!</definedName>
    <definedName name="PROG2002" localSheetId="22" hidden="1">[128]P.EQUIPEMENT99!#REF!</definedName>
    <definedName name="PROG2002" localSheetId="28" hidden="1">[128]P.EQUIPEMENT99!#REF!</definedName>
    <definedName name="PROG2002" localSheetId="35" hidden="1">[128]P.EQUIPEMENT99!#REF!</definedName>
    <definedName name="PROG2002" hidden="1">[128]P.EQUIPEMENT99!#REF!</definedName>
    <definedName name="PROGRAM_LU" localSheetId="18">#REF!</definedName>
    <definedName name="PROGRAM_LU" localSheetId="25">#REF!</definedName>
    <definedName name="PROGRAM_LU" localSheetId="29">#REF!</definedName>
    <definedName name="PROGRAM_LU" localSheetId="31">#REF!</definedName>
    <definedName name="PROGRAM_LU" localSheetId="15">#REF!</definedName>
    <definedName name="PROGRAM_LU" localSheetId="13">#REF!</definedName>
    <definedName name="PROGRAM_LU" localSheetId="17">#REF!</definedName>
    <definedName name="PROGRAM_LU" localSheetId="12">#REF!</definedName>
    <definedName name="PROGRAM_LU" localSheetId="22">#REF!</definedName>
    <definedName name="PROGRAM_LU" localSheetId="28">#REF!</definedName>
    <definedName name="PROGRAM_LU" localSheetId="35">#REF!</definedName>
    <definedName name="PROGRAM_LU">#REF!</definedName>
    <definedName name="ProImportExport.ImportFile" localSheetId="18">[6]!ProImportExport.ImportFile</definedName>
    <definedName name="ProImportExport.ImportFile" localSheetId="25">[6]!ProImportExport.ImportFile</definedName>
    <definedName name="ProImportExport.ImportFile" localSheetId="29">[6]!ProImportExport.ImportFile</definedName>
    <definedName name="ProImportExport.ImportFile" localSheetId="31">[6]!ProImportExport.ImportFile</definedName>
    <definedName name="ProImportExport.ImportFile" localSheetId="15">[6]!ProImportExport.ImportFile</definedName>
    <definedName name="ProImportExport.ImportFile" localSheetId="13">[6]!ProImportExport.ImportFile</definedName>
    <definedName name="ProImportExport.ImportFile" localSheetId="19">[7]!ProImportExport.ImportFile</definedName>
    <definedName name="ProImportExport.ImportFile" localSheetId="17">[6]!ProImportExport.ImportFile</definedName>
    <definedName name="ProImportExport.ImportFile" localSheetId="12">[6]!ProImportExport.ImportFile</definedName>
    <definedName name="ProImportExport.ImportFile" localSheetId="22">[8]!ProImportExport.ImportFile</definedName>
    <definedName name="ProImportExport.ImportFile">[6]!ProImportExport.ImportFile</definedName>
    <definedName name="ProImportExport.ImportFile___0" localSheetId="25">qa___26</definedName>
    <definedName name="ProImportExport.ImportFile___0" localSheetId="19">qa___26</definedName>
    <definedName name="ProImportExport.ImportFile___0" localSheetId="22">qa___26</definedName>
    <definedName name="ProImportExport.ImportFile___0" localSheetId="28">qa___26</definedName>
    <definedName name="ProImportExport.ImportFile___0" localSheetId="35">qa___26</definedName>
    <definedName name="ProImportExport.ImportFile___0">qa___26</definedName>
    <definedName name="ProImportExport.ImportFile___12" localSheetId="25">qa___14</definedName>
    <definedName name="ProImportExport.ImportFile___12" localSheetId="19">qa___14</definedName>
    <definedName name="ProImportExport.ImportFile___12" localSheetId="22">qa___14</definedName>
    <definedName name="ProImportExport.ImportFile___12" localSheetId="28">qa___14</definedName>
    <definedName name="ProImportExport.ImportFile___12" localSheetId="35">qa___14</definedName>
    <definedName name="ProImportExport.ImportFile___12">qa___14</definedName>
    <definedName name="ProImportExport.ImportFile___14" localSheetId="25">qa___9</definedName>
    <definedName name="ProImportExport.ImportFile___14" localSheetId="19">qa___9</definedName>
    <definedName name="ProImportExport.ImportFile___14" localSheetId="22">qa___9</definedName>
    <definedName name="ProImportExport.ImportFile___14" localSheetId="28">qa___9</definedName>
    <definedName name="ProImportExport.ImportFile___14" localSheetId="35">qa___9</definedName>
    <definedName name="ProImportExport.ImportFile___14">qa___9</definedName>
    <definedName name="ProImportExport.ImportFile___16" localSheetId="25">qa___6</definedName>
    <definedName name="ProImportExport.ImportFile___16" localSheetId="19">qa___6</definedName>
    <definedName name="ProImportExport.ImportFile___16" localSheetId="22">qa___6</definedName>
    <definedName name="ProImportExport.ImportFile___16" localSheetId="28">qa___6</definedName>
    <definedName name="ProImportExport.ImportFile___16" localSheetId="35">qa___6</definedName>
    <definedName name="ProImportExport.ImportFile___16">qa___6</definedName>
    <definedName name="ProImportExport.ImportFile___2" localSheetId="25">qa___3</definedName>
    <definedName name="ProImportExport.ImportFile___2" localSheetId="19">qa___3</definedName>
    <definedName name="ProImportExport.ImportFile___2" localSheetId="22">qa___3</definedName>
    <definedName name="ProImportExport.ImportFile___2" localSheetId="28">qa___3</definedName>
    <definedName name="ProImportExport.ImportFile___2" localSheetId="35">qa___3</definedName>
    <definedName name="ProImportExport.ImportFile___2">qa___3</definedName>
    <definedName name="ProImportExport.ImportFile___23">#N/A</definedName>
    <definedName name="ProImportExport.ImportFile___25" localSheetId="25">qa___16</definedName>
    <definedName name="ProImportExport.ImportFile___25" localSheetId="19">qa___16</definedName>
    <definedName name="ProImportExport.ImportFile___25" localSheetId="22">qa___16</definedName>
    <definedName name="ProImportExport.ImportFile___25" localSheetId="28">qa___16</definedName>
    <definedName name="ProImportExport.ImportFile___25" localSheetId="35">qa___16</definedName>
    <definedName name="ProImportExport.ImportFile___25">qa___16</definedName>
    <definedName name="ProImportExport.ImportFile___26" localSheetId="25">qa___27</definedName>
    <definedName name="ProImportExport.ImportFile___26" localSheetId="19">qa___27</definedName>
    <definedName name="ProImportExport.ImportFile___26" localSheetId="22">qa___27</definedName>
    <definedName name="ProImportExport.ImportFile___26" localSheetId="28">qa___27</definedName>
    <definedName name="ProImportExport.ImportFile___26" localSheetId="35">qa___27</definedName>
    <definedName name="ProImportExport.ImportFile___26">qa___27</definedName>
    <definedName name="ProImportExport.ImportFile___27" localSheetId="25">qa___2</definedName>
    <definedName name="ProImportExport.ImportFile___27" localSheetId="19">qa___2</definedName>
    <definedName name="ProImportExport.ImportFile___27" localSheetId="22">qa___2</definedName>
    <definedName name="ProImportExport.ImportFile___27" localSheetId="28">qa___2</definedName>
    <definedName name="ProImportExport.ImportFile___27" localSheetId="35">qa___2</definedName>
    <definedName name="ProImportExport.ImportFile___27">qa___2</definedName>
    <definedName name="ProImportExport.ImportFile___3" localSheetId="25">qa___25</definedName>
    <definedName name="ProImportExport.ImportFile___3" localSheetId="19">qa___25</definedName>
    <definedName name="ProImportExport.ImportFile___3" localSheetId="22">qa___25</definedName>
    <definedName name="ProImportExport.ImportFile___3" localSheetId="28">qa___25</definedName>
    <definedName name="ProImportExport.ImportFile___3" localSheetId="35">qa___25</definedName>
    <definedName name="ProImportExport.ImportFile___3">qa___25</definedName>
    <definedName name="ProImportExport.ImportFile___4" localSheetId="25">qa___23</definedName>
    <definedName name="ProImportExport.ImportFile___4" localSheetId="19">qa___23</definedName>
    <definedName name="ProImportExport.ImportFile___4" localSheetId="22">qa___23</definedName>
    <definedName name="ProImportExport.ImportFile___4" localSheetId="28">qa___23</definedName>
    <definedName name="ProImportExport.ImportFile___4" localSheetId="35">qa___23</definedName>
    <definedName name="ProImportExport.ImportFile___4">qa___23</definedName>
    <definedName name="ProImportExport.ImportFile___5" localSheetId="25">qa___12</definedName>
    <definedName name="ProImportExport.ImportFile___5" localSheetId="19">qa___12</definedName>
    <definedName name="ProImportExport.ImportFile___5" localSheetId="22">qa___12</definedName>
    <definedName name="ProImportExport.ImportFile___5" localSheetId="28">qa___12</definedName>
    <definedName name="ProImportExport.ImportFile___5" localSheetId="35">qa___12</definedName>
    <definedName name="ProImportExport.ImportFile___5">qa___12</definedName>
    <definedName name="ProImportExport.ImportFile___6" localSheetId="25">Q___0</definedName>
    <definedName name="ProImportExport.ImportFile___6" localSheetId="19">Q___0</definedName>
    <definedName name="ProImportExport.ImportFile___6" localSheetId="22">Q___0</definedName>
    <definedName name="ProImportExport.ImportFile___6" localSheetId="28">Q___0</definedName>
    <definedName name="ProImportExport.ImportFile___6" localSheetId="35">Q___0</definedName>
    <definedName name="ProImportExport.ImportFile___6">Q___0</definedName>
    <definedName name="ProImportExport.ImportFile___7" localSheetId="25">qa___5</definedName>
    <definedName name="ProImportExport.ImportFile___7" localSheetId="19">qa___5</definedName>
    <definedName name="ProImportExport.ImportFile___7" localSheetId="22">qa___5</definedName>
    <definedName name="ProImportExport.ImportFile___7" localSheetId="28">qa___5</definedName>
    <definedName name="ProImportExport.ImportFile___7" localSheetId="35">qa___5</definedName>
    <definedName name="ProImportExport.ImportFile___7">qa___5</definedName>
    <definedName name="ProImportExport.ImportFile___9" localSheetId="25">qa___4</definedName>
    <definedName name="ProImportExport.ImportFile___9" localSheetId="19">qa___4</definedName>
    <definedName name="ProImportExport.ImportFile___9" localSheetId="22">qa___4</definedName>
    <definedName name="ProImportExport.ImportFile___9" localSheetId="28">qa___4</definedName>
    <definedName name="ProImportExport.ImportFile___9" localSheetId="35">qa___4</definedName>
    <definedName name="ProImportExport.ImportFile___9">qa___4</definedName>
    <definedName name="ProImportExport.SaveNewFile" localSheetId="18">[6]!ProImportExport.SaveNewFile</definedName>
    <definedName name="ProImportExport.SaveNewFile" localSheetId="25">[6]!ProImportExport.SaveNewFile</definedName>
    <definedName name="ProImportExport.SaveNewFile" localSheetId="29">[6]!ProImportExport.SaveNewFile</definedName>
    <definedName name="ProImportExport.SaveNewFile" localSheetId="31">[6]!ProImportExport.SaveNewFile</definedName>
    <definedName name="ProImportExport.SaveNewFile" localSheetId="15">[6]!ProImportExport.SaveNewFile</definedName>
    <definedName name="ProImportExport.SaveNewFile" localSheetId="13">[6]!ProImportExport.SaveNewFile</definedName>
    <definedName name="ProImportExport.SaveNewFile" localSheetId="19">[7]!ProImportExport.SaveNewFile</definedName>
    <definedName name="ProImportExport.SaveNewFile" localSheetId="17">[6]!ProImportExport.SaveNewFile</definedName>
    <definedName name="ProImportExport.SaveNewFile" localSheetId="12">[6]!ProImportExport.SaveNewFile</definedName>
    <definedName name="ProImportExport.SaveNewFile" localSheetId="22">[8]!ProImportExport.SaveNewFile</definedName>
    <definedName name="ProImportExport.SaveNewFile">[6]!ProImportExport.SaveNewFile</definedName>
    <definedName name="ProImportExport.SaveNewFile___0" localSheetId="25">qq___26</definedName>
    <definedName name="ProImportExport.SaveNewFile___0" localSheetId="19">qq___26</definedName>
    <definedName name="ProImportExport.SaveNewFile___0" localSheetId="22">qq___26</definedName>
    <definedName name="ProImportExport.SaveNewFile___0" localSheetId="28">qq___26</definedName>
    <definedName name="ProImportExport.SaveNewFile___0" localSheetId="35">qq___26</definedName>
    <definedName name="ProImportExport.SaveNewFile___0">qq___26</definedName>
    <definedName name="ProImportExport.SaveNewFile___12" localSheetId="25">qq___14</definedName>
    <definedName name="ProImportExport.SaveNewFile___12" localSheetId="19">qq___14</definedName>
    <definedName name="ProImportExport.SaveNewFile___12" localSheetId="22">qq___14</definedName>
    <definedName name="ProImportExport.SaveNewFile___12" localSheetId="28">qq___14</definedName>
    <definedName name="ProImportExport.SaveNewFile___12" localSheetId="35">qq___14</definedName>
    <definedName name="ProImportExport.SaveNewFile___12">qq___14</definedName>
    <definedName name="ProImportExport.SaveNewFile___14" localSheetId="25">qq___9</definedName>
    <definedName name="ProImportExport.SaveNewFile___14" localSheetId="19">qq___9</definedName>
    <definedName name="ProImportExport.SaveNewFile___14" localSheetId="22">qq___9</definedName>
    <definedName name="ProImportExport.SaveNewFile___14" localSheetId="28">qq___9</definedName>
    <definedName name="ProImportExport.SaveNewFile___14" localSheetId="35">qq___9</definedName>
    <definedName name="ProImportExport.SaveNewFile___14">qq___9</definedName>
    <definedName name="ProImportExport.SaveNewFile___16" localSheetId="25">qq___6</definedName>
    <definedName name="ProImportExport.SaveNewFile___16" localSheetId="19">qq___6</definedName>
    <definedName name="ProImportExport.SaveNewFile___16" localSheetId="22">qq___6</definedName>
    <definedName name="ProImportExport.SaveNewFile___16" localSheetId="28">qq___6</definedName>
    <definedName name="ProImportExport.SaveNewFile___16" localSheetId="35">qq___6</definedName>
    <definedName name="ProImportExport.SaveNewFile___16">qq___6</definedName>
    <definedName name="ProImportExport.SaveNewFile___2" localSheetId="25">qq___3</definedName>
    <definedName name="ProImportExport.SaveNewFile___2" localSheetId="19">qq___3</definedName>
    <definedName name="ProImportExport.SaveNewFile___2" localSheetId="22">qq___3</definedName>
    <definedName name="ProImportExport.SaveNewFile___2" localSheetId="28">qq___3</definedName>
    <definedName name="ProImportExport.SaveNewFile___2" localSheetId="35">qq___3</definedName>
    <definedName name="ProImportExport.SaveNewFile___2">qq___3</definedName>
    <definedName name="ProImportExport.SaveNewFile___23">#N/A</definedName>
    <definedName name="ProImportExport.SaveNewFile___25" localSheetId="25">qq___16</definedName>
    <definedName name="ProImportExport.SaveNewFile___25" localSheetId="19">qq___16</definedName>
    <definedName name="ProImportExport.SaveNewFile___25" localSheetId="22">qq___16</definedName>
    <definedName name="ProImportExport.SaveNewFile___25" localSheetId="28">qq___16</definedName>
    <definedName name="ProImportExport.SaveNewFile___25" localSheetId="35">qq___16</definedName>
    <definedName name="ProImportExport.SaveNewFile___25">qq___16</definedName>
    <definedName name="ProImportExport.SaveNewFile___26" localSheetId="25">qq___27</definedName>
    <definedName name="ProImportExport.SaveNewFile___26" localSheetId="19">qq___27</definedName>
    <definedName name="ProImportExport.SaveNewFile___26" localSheetId="22">qq___27</definedName>
    <definedName name="ProImportExport.SaveNewFile___26" localSheetId="28">qq___27</definedName>
    <definedName name="ProImportExport.SaveNewFile___26" localSheetId="35">qq___27</definedName>
    <definedName name="ProImportExport.SaveNewFile___26">qq___27</definedName>
    <definedName name="ProImportExport.SaveNewFile___27" localSheetId="25">qq___2</definedName>
    <definedName name="ProImportExport.SaveNewFile___27" localSheetId="19">qq___2</definedName>
    <definedName name="ProImportExport.SaveNewFile___27" localSheetId="22">qq___2</definedName>
    <definedName name="ProImportExport.SaveNewFile___27" localSheetId="28">qq___2</definedName>
    <definedName name="ProImportExport.SaveNewFile___27" localSheetId="35">qq___2</definedName>
    <definedName name="ProImportExport.SaveNewFile___27">qq___2</definedName>
    <definedName name="ProImportExport.SaveNewFile___3" localSheetId="25">qq___25</definedName>
    <definedName name="ProImportExport.SaveNewFile___3" localSheetId="19">qq___25</definedName>
    <definedName name="ProImportExport.SaveNewFile___3" localSheetId="22">qq___25</definedName>
    <definedName name="ProImportExport.SaveNewFile___3" localSheetId="28">qq___25</definedName>
    <definedName name="ProImportExport.SaveNewFile___3" localSheetId="35">qq___25</definedName>
    <definedName name="ProImportExport.SaveNewFile___3">qq___25</definedName>
    <definedName name="ProImportExport.SaveNewFile___4" localSheetId="25">qq___23</definedName>
    <definedName name="ProImportExport.SaveNewFile___4" localSheetId="19">qq___23</definedName>
    <definedName name="ProImportExport.SaveNewFile___4" localSheetId="22">qq___23</definedName>
    <definedName name="ProImportExport.SaveNewFile___4" localSheetId="28">qq___23</definedName>
    <definedName name="ProImportExport.SaveNewFile___4" localSheetId="35">qq___23</definedName>
    <definedName name="ProImportExport.SaveNewFile___4">qq___23</definedName>
    <definedName name="ProImportExport.SaveNewFile___5" localSheetId="25">qq___12</definedName>
    <definedName name="ProImportExport.SaveNewFile___5" localSheetId="19">qq___12</definedName>
    <definedName name="ProImportExport.SaveNewFile___5" localSheetId="22">qq___12</definedName>
    <definedName name="ProImportExport.SaveNewFile___5" localSheetId="28">qq___12</definedName>
    <definedName name="ProImportExport.SaveNewFile___5" localSheetId="35">qq___12</definedName>
    <definedName name="ProImportExport.SaveNewFile___5">qq___12</definedName>
    <definedName name="ProImportExport.SaveNewFile___6" localSheetId="25">qa___0</definedName>
    <definedName name="ProImportExport.SaveNewFile___6" localSheetId="19">qa___0</definedName>
    <definedName name="ProImportExport.SaveNewFile___6" localSheetId="22">qa___0</definedName>
    <definedName name="ProImportExport.SaveNewFile___6" localSheetId="28">qa___0</definedName>
    <definedName name="ProImportExport.SaveNewFile___6" localSheetId="35">qa___0</definedName>
    <definedName name="ProImportExport.SaveNewFile___6">qa___0</definedName>
    <definedName name="ProImportExport.SaveNewFile___7" localSheetId="25">qq___5</definedName>
    <definedName name="ProImportExport.SaveNewFile___7" localSheetId="19">qq___5</definedName>
    <definedName name="ProImportExport.SaveNewFile___7" localSheetId="22">qq___5</definedName>
    <definedName name="ProImportExport.SaveNewFile___7" localSheetId="28">qq___5</definedName>
    <definedName name="ProImportExport.SaveNewFile___7" localSheetId="35">qq___5</definedName>
    <definedName name="ProImportExport.SaveNewFile___7">qq___5</definedName>
    <definedName name="ProImportExport.SaveNewFile___9" localSheetId="25">qq___4</definedName>
    <definedName name="ProImportExport.SaveNewFile___9" localSheetId="19">qq___4</definedName>
    <definedName name="ProImportExport.SaveNewFile___9" localSheetId="22">qq___4</definedName>
    <definedName name="ProImportExport.SaveNewFile___9" localSheetId="28">qq___4</definedName>
    <definedName name="ProImportExport.SaveNewFile___9" localSheetId="35">qq___4</definedName>
    <definedName name="ProImportExport.SaveNewFile___9">qq___4</definedName>
    <definedName name="projectname" localSheetId="29">#REF!</definedName>
    <definedName name="projectname" localSheetId="31">#REF!</definedName>
    <definedName name="projectname" localSheetId="28">#REF!</definedName>
    <definedName name="projectname" localSheetId="35">#REF!</definedName>
    <definedName name="projectname">#REF!</definedName>
    <definedName name="projets" localSheetId="18">#REF!</definedName>
    <definedName name="projets" localSheetId="25">#REF!</definedName>
    <definedName name="projets" localSheetId="29">#REF!</definedName>
    <definedName name="projets" localSheetId="31">#REF!</definedName>
    <definedName name="projets" localSheetId="15">#REF!</definedName>
    <definedName name="projets" localSheetId="13">#REF!</definedName>
    <definedName name="projets" localSheetId="17">#REF!</definedName>
    <definedName name="projets" localSheetId="12">#REF!</definedName>
    <definedName name="projets" localSheetId="22">#REF!</definedName>
    <definedName name="projets" localSheetId="28">#REF!</definedName>
    <definedName name="projets" localSheetId="35">#REF!</definedName>
    <definedName name="projets">#REF!</definedName>
    <definedName name="projets___0">#N/A</definedName>
    <definedName name="projets___12">#N/A</definedName>
    <definedName name="projets___14">#N/A</definedName>
    <definedName name="projets___16">#N/A</definedName>
    <definedName name="projets___2">#N/A</definedName>
    <definedName name="projets___26">#N/A</definedName>
    <definedName name="projets___27">#N/A</definedName>
    <definedName name="projets___5">#N/A</definedName>
    <definedName name="projets___7">#N/A</definedName>
    <definedName name="PROOF">#N/A</definedName>
    <definedName name="prout" localSheetId="28" hidden="1">{"comp1",#N/A,FALSE,"COMPS";"footnotes",#N/A,FALSE,"COMPS"}</definedName>
    <definedName name="prout" localSheetId="35" hidden="1">{"comp1",#N/A,FALSE,"COMPS";"footnotes",#N/A,FALSE,"COMPS"}</definedName>
    <definedName name="prout" hidden="1">{"comp1",#N/A,FALSE,"COMPS";"footnotes",#N/A,FALSE,"COMPS"}</definedName>
    <definedName name="PTK" localSheetId="29">#REF!</definedName>
    <definedName name="PTK" localSheetId="31">#REF!</definedName>
    <definedName name="PTK" localSheetId="28">#REF!</definedName>
    <definedName name="PTK" localSheetId="35">#REF!</definedName>
    <definedName name="PTK">#REF!</definedName>
    <definedName name="PTRt" localSheetId="18" hidden="1">OFFSET([6]!CompRange3Main,9,0,COUNTA([6]!CompRange3Main)-COUNTA(#REF!),1)</definedName>
    <definedName name="PTRt" localSheetId="25" hidden="1">OFFSET([6]!CompRange3Main,9,0,COUNTA([6]!CompRange3Main)-COUNTA(#REF!),1)</definedName>
    <definedName name="PTRt" localSheetId="29" hidden="1">OFFSET([6]!CompRange3Main,9,0,COUNTA([6]!CompRange3Main)-COUNTA(#REF!),1)</definedName>
    <definedName name="PTRt" localSheetId="31" hidden="1">OFFSET([6]!CompRange3Main,9,0,COUNTA([6]!CompRange3Main)-COUNTA(#REF!),1)</definedName>
    <definedName name="PTRt" localSheetId="15" hidden="1">OFFSET([6]!CompRange3Main,9,0,COUNTA([6]!CompRange3Main)-COUNTA(#REF!),1)</definedName>
    <definedName name="PTRt" localSheetId="13" hidden="1">OFFSET([6]!CompRange3Main,9,0,COUNTA([6]!CompRange3Main)-COUNTA(#REF!),1)</definedName>
    <definedName name="PTRt" localSheetId="19" hidden="1">OFFSET([7]!CompRange3Main,9,0,COUNTA([7]!CompRange3Main)-COUNTA(#REF!),1)</definedName>
    <definedName name="PTRt" localSheetId="17" hidden="1">OFFSET([6]!CompRange3Main,9,0,COUNTA([6]!CompRange3Main)-COUNTA(#REF!),1)</definedName>
    <definedName name="PTRt" localSheetId="12" hidden="1">OFFSET([6]!CompRange3Main,9,0,COUNTA([6]!CompRange3Main)-COUNTA(#REF!),1)</definedName>
    <definedName name="PTRt" localSheetId="22" hidden="1">OFFSET([8]!CompRange3Main,9,0,COUNTA([8]!CompRange3Main)-COUNTA(#REF!),1)</definedName>
    <definedName name="PTRt" hidden="1">OFFSET([6]!CompRange3Main,9,0,COUNTA([6]!CompRange3Main)-COUNTA(#REF!),1)</definedName>
    <definedName name="PV_Planned_Value" localSheetId="29">#REF!</definedName>
    <definedName name="PV_Planned_Value" localSheetId="31">#REF!</definedName>
    <definedName name="PV_Planned_Value" localSheetId="28">#REF!</definedName>
    <definedName name="PV_Planned_Value" localSheetId="35">#REF!</definedName>
    <definedName name="PV_Planned_Value">#REF!</definedName>
    <definedName name="pvctco" localSheetId="18">#REF!</definedName>
    <definedName name="pvctco" localSheetId="25">#REF!</definedName>
    <definedName name="pvctco" localSheetId="29">#REF!</definedName>
    <definedName name="pvctco" localSheetId="31">#REF!</definedName>
    <definedName name="pvctco" localSheetId="15">#REF!</definedName>
    <definedName name="pvctco" localSheetId="13">#REF!</definedName>
    <definedName name="pvctco" localSheetId="17">#REF!</definedName>
    <definedName name="pvctco" localSheetId="12">#REF!</definedName>
    <definedName name="pvctco" localSheetId="22">#REF!</definedName>
    <definedName name="pvctco" localSheetId="28">#REF!</definedName>
    <definedName name="pvctco" localSheetId="35">#REF!</definedName>
    <definedName name="pvctco">#REF!</definedName>
    <definedName name="pvctim" localSheetId="18">#REF!</definedName>
    <definedName name="pvctim" localSheetId="25">#REF!</definedName>
    <definedName name="pvctim" localSheetId="29">#REF!</definedName>
    <definedName name="pvctim" localSheetId="31">#REF!</definedName>
    <definedName name="pvctim" localSheetId="15">#REF!</definedName>
    <definedName name="pvctim" localSheetId="13">#REF!</definedName>
    <definedName name="pvctim" localSheetId="17">#REF!</definedName>
    <definedName name="pvctim" localSheetId="12">#REF!</definedName>
    <definedName name="pvctim" localSheetId="22">#REF!</definedName>
    <definedName name="pvctim" localSheetId="28">#REF!</definedName>
    <definedName name="pvctim" localSheetId="35">#REF!</definedName>
    <definedName name="pvctim">#REF!</definedName>
    <definedName name="pvctnc" localSheetId="18">#REF!</definedName>
    <definedName name="pvctnc" localSheetId="25">#REF!</definedName>
    <definedName name="pvctnc" localSheetId="29">#REF!</definedName>
    <definedName name="pvctnc" localSheetId="31">#REF!</definedName>
    <definedName name="pvctnc" localSheetId="15">#REF!</definedName>
    <definedName name="pvctnc" localSheetId="13">#REF!</definedName>
    <definedName name="pvctnc" localSheetId="17">#REF!</definedName>
    <definedName name="pvctnc" localSheetId="12">#REF!</definedName>
    <definedName name="pvctnc" localSheetId="22">#REF!</definedName>
    <definedName name="pvctnc" localSheetId="28">#REF!</definedName>
    <definedName name="pvctnc" localSheetId="35">#REF!</definedName>
    <definedName name="pvctnc">#REF!</definedName>
    <definedName name="pvctpa" localSheetId="18">#REF!</definedName>
    <definedName name="pvctpa" localSheetId="25">#REF!</definedName>
    <definedName name="pvctpa" localSheetId="29">#REF!</definedName>
    <definedName name="pvctpa" localSheetId="31">#REF!</definedName>
    <definedName name="pvctpa" localSheetId="15">#REF!</definedName>
    <definedName name="pvctpa" localSheetId="13">#REF!</definedName>
    <definedName name="pvctpa" localSheetId="17">#REF!</definedName>
    <definedName name="pvctpa" localSheetId="12">#REF!</definedName>
    <definedName name="pvctpa" localSheetId="22">#REF!</definedName>
    <definedName name="pvctpa" localSheetId="28">#REF!</definedName>
    <definedName name="pvctpa" localSheetId="35">#REF!</definedName>
    <definedName name="pvctpa">#REF!</definedName>
    <definedName name="pvctpl" localSheetId="18">#REF!</definedName>
    <definedName name="pvctpl" localSheetId="25">#REF!</definedName>
    <definedName name="pvctpl" localSheetId="29">#REF!</definedName>
    <definedName name="pvctpl" localSheetId="31">#REF!</definedName>
    <definedName name="pvctpl" localSheetId="15">#REF!</definedName>
    <definedName name="pvctpl" localSheetId="13">#REF!</definedName>
    <definedName name="pvctpl" localSheetId="17">#REF!</definedName>
    <definedName name="pvctpl" localSheetId="12">#REF!</definedName>
    <definedName name="pvctpl" localSheetId="22">#REF!</definedName>
    <definedName name="pvctpl" localSheetId="28">#REF!</definedName>
    <definedName name="pvctpl" localSheetId="35">#REF!</definedName>
    <definedName name="pvctpl">#REF!</definedName>
    <definedName name="pvcttiap" localSheetId="18">#REF!</definedName>
    <definedName name="pvcttiap" localSheetId="25">#REF!</definedName>
    <definedName name="pvcttiap" localSheetId="29">#REF!</definedName>
    <definedName name="pvcttiap" localSheetId="31">#REF!</definedName>
    <definedName name="pvcttiap" localSheetId="15">#REF!</definedName>
    <definedName name="pvcttiap" localSheetId="13">#REF!</definedName>
    <definedName name="pvcttiap" localSheetId="17">#REF!</definedName>
    <definedName name="pvcttiap" localSheetId="12">#REF!</definedName>
    <definedName name="pvcttiap" localSheetId="22">#REF!</definedName>
    <definedName name="pvcttiap" localSheetId="28">#REF!</definedName>
    <definedName name="pvcttiap" localSheetId="35">#REF!</definedName>
    <definedName name="pvcttiap">#REF!</definedName>
    <definedName name="pvctvmp" localSheetId="18">#REF!</definedName>
    <definedName name="pvctvmp" localSheetId="25">#REF!</definedName>
    <definedName name="pvctvmp" localSheetId="29">#REF!</definedName>
    <definedName name="pvctvmp" localSheetId="31">#REF!</definedName>
    <definedName name="pvctvmp" localSheetId="15">#REF!</definedName>
    <definedName name="pvctvmp" localSheetId="13">#REF!</definedName>
    <definedName name="pvctvmp" localSheetId="17">#REF!</definedName>
    <definedName name="pvctvmp" localSheetId="12">#REF!</definedName>
    <definedName name="pvctvmp" localSheetId="22">#REF!</definedName>
    <definedName name="pvctvmp" localSheetId="28">#REF!</definedName>
    <definedName name="pvctvmp" localSheetId="35">#REF!</definedName>
    <definedName name="pvctvmp">#REF!</definedName>
    <definedName name="pvltim" localSheetId="18">#REF!</definedName>
    <definedName name="pvltim" localSheetId="25">#REF!</definedName>
    <definedName name="pvltim" localSheetId="29">#REF!</definedName>
    <definedName name="pvltim" localSheetId="31">#REF!</definedName>
    <definedName name="pvltim" localSheetId="15">#REF!</definedName>
    <definedName name="pvltim" localSheetId="13">#REF!</definedName>
    <definedName name="pvltim" localSheetId="17">#REF!</definedName>
    <definedName name="pvltim" localSheetId="12">#REF!</definedName>
    <definedName name="pvltim" localSheetId="22">#REF!</definedName>
    <definedName name="pvltim" localSheetId="28">#REF!</definedName>
    <definedName name="pvltim" localSheetId="35">#REF!</definedName>
    <definedName name="pvltim">#REF!</definedName>
    <definedName name="pvltnc" localSheetId="18">#REF!</definedName>
    <definedName name="pvltnc" localSheetId="25">#REF!</definedName>
    <definedName name="pvltnc" localSheetId="29">#REF!</definedName>
    <definedName name="pvltnc" localSheetId="31">#REF!</definedName>
    <definedName name="pvltnc" localSheetId="15">#REF!</definedName>
    <definedName name="pvltnc" localSheetId="13">#REF!</definedName>
    <definedName name="pvltnc" localSheetId="17">#REF!</definedName>
    <definedName name="pvltnc" localSheetId="12">#REF!</definedName>
    <definedName name="pvltnc" localSheetId="22">#REF!</definedName>
    <definedName name="pvltnc" localSheetId="28">#REF!</definedName>
    <definedName name="pvltnc" localSheetId="35">#REF!</definedName>
    <definedName name="pvltnc">#REF!</definedName>
    <definedName name="pvltpa" localSheetId="18">#REF!</definedName>
    <definedName name="pvltpa" localSheetId="25">#REF!</definedName>
    <definedName name="pvltpa" localSheetId="29">#REF!</definedName>
    <definedName name="pvltpa" localSheetId="31">#REF!</definedName>
    <definedName name="pvltpa" localSheetId="15">#REF!</definedName>
    <definedName name="pvltpa" localSheetId="13">#REF!</definedName>
    <definedName name="pvltpa" localSheetId="17">#REF!</definedName>
    <definedName name="pvltpa" localSheetId="12">#REF!</definedName>
    <definedName name="pvltpa" localSheetId="22">#REF!</definedName>
    <definedName name="pvltpa" localSheetId="28">#REF!</definedName>
    <definedName name="pvltpa" localSheetId="35">#REF!</definedName>
    <definedName name="pvltpa">#REF!</definedName>
    <definedName name="pvltpl" localSheetId="18">#REF!</definedName>
    <definedName name="pvltpl" localSheetId="25">#REF!</definedName>
    <definedName name="pvltpl" localSheetId="29">#REF!</definedName>
    <definedName name="pvltpl" localSheetId="31">#REF!</definedName>
    <definedName name="pvltpl" localSheetId="15">#REF!</definedName>
    <definedName name="pvltpl" localSheetId="13">#REF!</definedName>
    <definedName name="pvltpl" localSheetId="17">#REF!</definedName>
    <definedName name="pvltpl" localSheetId="12">#REF!</definedName>
    <definedName name="pvltpl" localSheetId="22">#REF!</definedName>
    <definedName name="pvltpl" localSheetId="28">#REF!</definedName>
    <definedName name="pvltpl" localSheetId="35">#REF!</definedName>
    <definedName name="pvltpl">#REF!</definedName>
    <definedName name="pvlttiap" localSheetId="18">#REF!</definedName>
    <definedName name="pvlttiap" localSheetId="25">#REF!</definedName>
    <definedName name="pvlttiap" localSheetId="29">#REF!</definedName>
    <definedName name="pvlttiap" localSheetId="31">#REF!</definedName>
    <definedName name="pvlttiap" localSheetId="15">#REF!</definedName>
    <definedName name="pvlttiap" localSheetId="13">#REF!</definedName>
    <definedName name="pvlttiap" localSheetId="17">#REF!</definedName>
    <definedName name="pvlttiap" localSheetId="12">#REF!</definedName>
    <definedName name="pvlttiap" localSheetId="22">#REF!</definedName>
    <definedName name="pvlttiap" localSheetId="28">#REF!</definedName>
    <definedName name="pvlttiap" localSheetId="35">#REF!</definedName>
    <definedName name="pvlttiap">#REF!</definedName>
    <definedName name="pvlttp" localSheetId="18">#REF!</definedName>
    <definedName name="pvlttp" localSheetId="25">#REF!</definedName>
    <definedName name="pvlttp" localSheetId="29">#REF!</definedName>
    <definedName name="pvlttp" localSheetId="31">#REF!</definedName>
    <definedName name="pvlttp" localSheetId="15">#REF!</definedName>
    <definedName name="pvlttp" localSheetId="13">#REF!</definedName>
    <definedName name="pvlttp" localSheetId="17">#REF!</definedName>
    <definedName name="pvlttp" localSheetId="12">#REF!</definedName>
    <definedName name="pvlttp" localSheetId="22">#REF!</definedName>
    <definedName name="pvlttp" localSheetId="28">#REF!</definedName>
    <definedName name="pvlttp" localSheetId="35">#REF!</definedName>
    <definedName name="pvlttp">#REF!</definedName>
    <definedName name="pvltvmp" localSheetId="18">#REF!</definedName>
    <definedName name="pvltvmp" localSheetId="25">#REF!</definedName>
    <definedName name="pvltvmp" localSheetId="29">#REF!</definedName>
    <definedName name="pvltvmp" localSheetId="31">#REF!</definedName>
    <definedName name="pvltvmp" localSheetId="15">#REF!</definedName>
    <definedName name="pvltvmp" localSheetId="13">#REF!</definedName>
    <definedName name="pvltvmp" localSheetId="17">#REF!</definedName>
    <definedName name="pvltvmp" localSheetId="12">#REF!</definedName>
    <definedName name="pvltvmp" localSheetId="22">#REF!</definedName>
    <definedName name="pvltvmp" localSheetId="28">#REF!</definedName>
    <definedName name="pvltvmp" localSheetId="35">#REF!</definedName>
    <definedName name="pvltvmp">#REF!</definedName>
    <definedName name="pvtiap" localSheetId="18">#REF!</definedName>
    <definedName name="pvtiap" localSheetId="25">#REF!</definedName>
    <definedName name="pvtiap" localSheetId="29">#REF!</definedName>
    <definedName name="pvtiap" localSheetId="31">#REF!</definedName>
    <definedName name="pvtiap" localSheetId="15">#REF!</definedName>
    <definedName name="pvtiap" localSheetId="13">#REF!</definedName>
    <definedName name="pvtiap" localSheetId="17">#REF!</definedName>
    <definedName name="pvtiap" localSheetId="12">#REF!</definedName>
    <definedName name="pvtiap" localSheetId="22">#REF!</definedName>
    <definedName name="pvtiap" localSheetId="28">#REF!</definedName>
    <definedName name="pvtiap" localSheetId="35">#REF!</definedName>
    <definedName name="pvtiap">#REF!</definedName>
    <definedName name="PwrCordPt">'[108]DO NOT TOUCH'!$B$57:$B$61</definedName>
    <definedName name="PwrQty">[108]Configurator!$I$7:$I$11</definedName>
    <definedName name="PwrRed" localSheetId="29">#REF!</definedName>
    <definedName name="PwrRed" localSheetId="31">#REF!</definedName>
    <definedName name="PwrRed" localSheetId="28">#REF!</definedName>
    <definedName name="PwrRed" localSheetId="35">#REF!</definedName>
    <definedName name="PwrRed">#REF!</definedName>
    <definedName name="PY" localSheetId="18">[6]!PY</definedName>
    <definedName name="PY" localSheetId="25">[6]!PY</definedName>
    <definedName name="PY" localSheetId="29">[6]!PY</definedName>
    <definedName name="PY" localSheetId="31">[6]!PY</definedName>
    <definedName name="PY" localSheetId="15">[6]!PY</definedName>
    <definedName name="PY" localSheetId="13">[6]!PY</definedName>
    <definedName name="PY" localSheetId="19">[7]!PY</definedName>
    <definedName name="PY" localSheetId="17">[6]!PY</definedName>
    <definedName name="PY" localSheetId="12">[6]!PY</definedName>
    <definedName name="PY" localSheetId="22">[8]!PY</definedName>
    <definedName name="PY">[6]!PY</definedName>
    <definedName name="Q" localSheetId="18">#REF!</definedName>
    <definedName name="Q" localSheetId="25">#REF!</definedName>
    <definedName name="Q" localSheetId="29">#REF!</definedName>
    <definedName name="Q" localSheetId="31">#REF!</definedName>
    <definedName name="Q" localSheetId="15">#REF!</definedName>
    <definedName name="Q" localSheetId="13">#REF!</definedName>
    <definedName name="Q" localSheetId="17">#REF!</definedName>
    <definedName name="Q" localSheetId="12">#REF!</definedName>
    <definedName name="Q" localSheetId="22">#REF!</definedName>
    <definedName name="Q" localSheetId="28">#REF!</definedName>
    <definedName name="Q" localSheetId="35">#REF!</definedName>
    <definedName name="Q">#REF!</definedName>
    <definedName name="Q___0">#N/A</definedName>
    <definedName name="Q___12">#N/A</definedName>
    <definedName name="Q___14">#N/A</definedName>
    <definedName name="Q___16">#N/A</definedName>
    <definedName name="Q___2">#N/A</definedName>
    <definedName name="Q___25">#N/A</definedName>
    <definedName name="Q___26">#N/A</definedName>
    <definedName name="Q___27">#N/A</definedName>
    <definedName name="Q___4">#N/A</definedName>
    <definedName name="Q___5">#N/A</definedName>
    <definedName name="Q___7">#N/A</definedName>
    <definedName name="qa" localSheetId="18">[6]!Nb_de_paiements_par_an*#REF!</definedName>
    <definedName name="qa" localSheetId="25">[6]!Nb_de_paiements_par_an*#REF!</definedName>
    <definedName name="qa" localSheetId="29">[6]!Nb_de_paiements_par_an*#REF!</definedName>
    <definedName name="qa" localSheetId="31">[6]!Nb_de_paiements_par_an*#REF!</definedName>
    <definedName name="qa" localSheetId="15">[6]!Nb_de_paiements_par_an*#REF!</definedName>
    <definedName name="qa" localSheetId="13">[6]!Nb_de_paiements_par_an*#REF!</definedName>
    <definedName name="qa" localSheetId="19">[7]!Nb_de_paiements_par_an*#REF!</definedName>
    <definedName name="qa" localSheetId="17">[6]!Nb_de_paiements_par_an*#REF!</definedName>
    <definedName name="qa" localSheetId="12">[6]!Nb_de_paiements_par_an*#REF!</definedName>
    <definedName name="qa" localSheetId="22">[8]!Nb_de_paiements_par_an*#REF!</definedName>
    <definedName name="qa" localSheetId="35">[6]!Nb_de_paiements_par_an*#REF!</definedName>
    <definedName name="qa">[6]!Nb_de_paiements_par_an*#REF!</definedName>
    <definedName name="qa___0">#N/A</definedName>
    <definedName name="qa___12">#N/A</definedName>
    <definedName name="qa___14">#N/A</definedName>
    <definedName name="qa___16">#N/A</definedName>
    <definedName name="qa___2">#N/A</definedName>
    <definedName name="qa___23">#N/A</definedName>
    <definedName name="qa___25">#N/A</definedName>
    <definedName name="qa___26">#N/A</definedName>
    <definedName name="qa___27">#N/A</definedName>
    <definedName name="qa___3">#N/A</definedName>
    <definedName name="qa___4">#N/A</definedName>
    <definedName name="qa___5">#N/A</definedName>
    <definedName name="qa___6">#N/A</definedName>
    <definedName name="qa___7">#N/A</definedName>
    <definedName name="qa___9">#N/A</definedName>
    <definedName name="qaecdaze" localSheetId="28" hidden="1">{"First Page",#N/A,FALSE,"Surfactants LBO";"Second Page",#N/A,FALSE,"Surfactants LBO"}</definedName>
    <definedName name="qaecdaze" localSheetId="35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as" localSheetId="18">[6]!Nb_de_paiements_par_an*#REF!</definedName>
    <definedName name="qas" localSheetId="25">[6]!Nb_de_paiements_par_an*#REF!</definedName>
    <definedName name="qas" localSheetId="29">[6]!Nb_de_paiements_par_an*#REF!</definedName>
    <definedName name="qas" localSheetId="31">[6]!Nb_de_paiements_par_an*#REF!</definedName>
    <definedName name="qas" localSheetId="15">[6]!Nb_de_paiements_par_an*#REF!</definedName>
    <definedName name="qas" localSheetId="13">[6]!Nb_de_paiements_par_an*#REF!</definedName>
    <definedName name="qas" localSheetId="19">[7]!Nb_de_paiements_par_an*#REF!</definedName>
    <definedName name="qas" localSheetId="17">[6]!Nb_de_paiements_par_an*#REF!</definedName>
    <definedName name="qas" localSheetId="12">[6]!Nb_de_paiements_par_an*#REF!</definedName>
    <definedName name="qas" localSheetId="22">[8]!Nb_de_paiements_par_an*#REF!</definedName>
    <definedName name="qas" localSheetId="35">[6]!Nb_de_paiements_par_an*#REF!</definedName>
    <definedName name="qas">[6]!Nb_de_paiements_par_an*#REF!</definedName>
    <definedName name="qc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localSheetId="18" hidden="1">#REF!</definedName>
    <definedName name="qdffd" localSheetId="25" hidden="1">#REF!</definedName>
    <definedName name="qdffd" localSheetId="29" hidden="1">#REF!</definedName>
    <definedName name="qdffd" localSheetId="31" hidden="1">#REF!</definedName>
    <definedName name="qdffd" localSheetId="15" hidden="1">#REF!</definedName>
    <definedName name="qdffd" localSheetId="13" hidden="1">#REF!</definedName>
    <definedName name="qdffd" localSheetId="17" hidden="1">#REF!</definedName>
    <definedName name="qdffd" localSheetId="12" hidden="1">#REF!</definedName>
    <definedName name="qdffd" localSheetId="22" hidden="1">#REF!</definedName>
    <definedName name="qdffd" localSheetId="28" hidden="1">#REF!</definedName>
    <definedName name="qdffd" localSheetId="35" hidden="1">#REF!</definedName>
    <definedName name="qdffd" hidden="1">#REF!</definedName>
    <definedName name="qererh">#N/A</definedName>
    <definedName name="qergh" localSheetId="18">[6]!qergh</definedName>
    <definedName name="qergh" localSheetId="25">[6]!qergh</definedName>
    <definedName name="qergh" localSheetId="29">[6]!qergh</definedName>
    <definedName name="qergh" localSheetId="31">[6]!qergh</definedName>
    <definedName name="qergh" localSheetId="15">[6]!qergh</definedName>
    <definedName name="qergh" localSheetId="13">[6]!qergh</definedName>
    <definedName name="qergh" localSheetId="19">[7]!qergh</definedName>
    <definedName name="qergh" localSheetId="17">[6]!qergh</definedName>
    <definedName name="qergh" localSheetId="12">[6]!qergh</definedName>
    <definedName name="qergh" localSheetId="22">[8]!qergh</definedName>
    <definedName name="qergh">[6]!qergh</definedName>
    <definedName name="qerhy">#N/A</definedName>
    <definedName name="qerqeh">#N/A</definedName>
    <definedName name="qerqr">#N/A</definedName>
    <definedName name="qerqreqr">#N/A</definedName>
    <definedName name="qethte" localSheetId="18">[6]!qethte</definedName>
    <definedName name="qethte" localSheetId="25">[6]!qethte</definedName>
    <definedName name="qethte" localSheetId="29">[6]!qethte</definedName>
    <definedName name="qethte" localSheetId="31">[6]!qethte</definedName>
    <definedName name="qethte" localSheetId="15">[6]!qethte</definedName>
    <definedName name="qethte" localSheetId="13">[6]!qethte</definedName>
    <definedName name="qethte" localSheetId="19">[7]!qethte</definedName>
    <definedName name="qethte" localSheetId="17">[6]!qethte</definedName>
    <definedName name="qethte" localSheetId="12">[6]!qethte</definedName>
    <definedName name="qethte" localSheetId="22">[8]!qethte</definedName>
    <definedName name="qethte">[6]!qethte</definedName>
    <definedName name="qf" localSheetId="28" hidden="1">{#N/A,#N/A,TRUE,"Cover sheet";#N/A,#N/A,TRUE,"INPUTS";#N/A,#N/A,TRUE,"OUTPUTS";#N/A,#N/A,TRUE,"VALUATION"}</definedName>
    <definedName name="qf" localSheetId="35" hidden="1">{#N/A,#N/A,TRUE,"Cover sheet";#N/A,#N/A,TRUE,"INPUTS";#N/A,#N/A,TRUE,"OUTPUTS";#N/A,#N/A,TRUE,"VALUATION"}</definedName>
    <definedName name="qf" hidden="1">{#N/A,#N/A,TRUE,"Cover sheet";#N/A,#N/A,TRUE,"INPUTS";#N/A,#N/A,TRUE,"OUTPUTS";#N/A,#N/A,TRUE,"VALUATION"}</definedName>
    <definedName name="qfsd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 localSheetId="18">[6]!qger</definedName>
    <definedName name="qger" localSheetId="25">[6]!qger</definedName>
    <definedName name="qger" localSheetId="29">[6]!qger</definedName>
    <definedName name="qger" localSheetId="31">[6]!qger</definedName>
    <definedName name="qger" localSheetId="15">[6]!qger</definedName>
    <definedName name="qger" localSheetId="13">[6]!qger</definedName>
    <definedName name="qger" localSheetId="19">[7]!qger</definedName>
    <definedName name="qger" localSheetId="17">[6]!qger</definedName>
    <definedName name="qger" localSheetId="12">[6]!qger</definedName>
    <definedName name="qger" localSheetId="22">[8]!qger</definedName>
    <definedName name="qger">[6]!qger</definedName>
    <definedName name="qgg" localSheetId="28" hidden="1">{#N/A,#N/A,FALSE,"Cover";"outputs total",#N/A,FALSE,"Outputs"}</definedName>
    <definedName name="qgg" localSheetId="35" hidden="1">{#N/A,#N/A,FALSE,"Cover";"outputs total",#N/A,FALSE,"Outputs"}</definedName>
    <definedName name="qgg" hidden="1">{#N/A,#N/A,FALSE,"Cover";"outputs total",#N/A,FALSE,"Outputs"}</definedName>
    <definedName name="qgq" localSheetId="28">#N/A</definedName>
    <definedName name="qgq" localSheetId="35">'Taxe 5%'!qgq</definedName>
    <definedName name="qgq">'Taxe 5%'!qgq</definedName>
    <definedName name="qgte">#N/A</definedName>
    <definedName name="qgtqrq">#N/A</definedName>
    <definedName name="qh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18">[6]!qheh</definedName>
    <definedName name="qheh" localSheetId="25">[6]!qheh</definedName>
    <definedName name="qheh" localSheetId="29">[6]!qheh</definedName>
    <definedName name="qheh" localSheetId="31">[6]!qheh</definedName>
    <definedName name="qheh" localSheetId="15">[6]!qheh</definedName>
    <definedName name="qheh" localSheetId="13">[6]!qheh</definedName>
    <definedName name="qheh" localSheetId="19">[7]!qheh</definedName>
    <definedName name="qheh" localSheetId="17">[6]!qheh</definedName>
    <definedName name="qheh" localSheetId="12">[6]!qheh</definedName>
    <definedName name="qheh" localSheetId="22">[8]!qheh</definedName>
    <definedName name="qheh">[6]!qheh</definedName>
    <definedName name="qhehyqe">#N/A</definedName>
    <definedName name="qhethet">#N/A</definedName>
    <definedName name="qhth">#N/A</definedName>
    <definedName name="ql" localSheetId="25" hidden="1">{"test2",#N/A,TRUE,"Prices"}</definedName>
    <definedName name="ql" localSheetId="19" hidden="1">{"test2",#N/A,TRUE,"Prices"}</definedName>
    <definedName name="ql" localSheetId="22" hidden="1">{"test2",#N/A,TRUE,"Prices"}</definedName>
    <definedName name="ql" localSheetId="28" hidden="1">{"test2",#N/A,TRUE,"Prices"}</definedName>
    <definedName name="ql" localSheetId="35" hidden="1">{"test2",#N/A,TRUE,"Prices"}</definedName>
    <definedName name="ql" hidden="1">{"test2",#N/A,TRUE,"Prices"}</definedName>
    <definedName name="qm" localSheetId="25" hidden="1">{"IS",#N/A,FALSE,"IS";"RPTIS",#N/A,FALSE,"RPTIS";"STATS",#N/A,FALSE,"STATS";"BS",#N/A,FALSE,"BS"}</definedName>
    <definedName name="qm" localSheetId="19" hidden="1">{"IS",#N/A,FALSE,"IS";"RPTIS",#N/A,FALSE,"RPTIS";"STATS",#N/A,FALSE,"STATS";"BS",#N/A,FALSE,"BS"}</definedName>
    <definedName name="qm" localSheetId="22" hidden="1">{"IS",#N/A,FALSE,"IS";"RPTIS",#N/A,FALSE,"RPTIS";"STATS",#N/A,FALSE,"STATS";"BS",#N/A,FALSE,"BS"}</definedName>
    <definedName name="qm" localSheetId="28" hidden="1">{"IS",#N/A,FALSE,"IS";"RPTIS",#N/A,FALSE,"RPTIS";"STATS",#N/A,FALSE,"STATS";"BS",#N/A,FALSE,"BS"}</definedName>
    <definedName name="qm" localSheetId="35" hidden="1">{"IS",#N/A,FALSE,"IS";"RPTIS",#N/A,FALSE,"RPTIS";"STATS",#N/A,FALSE,"STATS";"BS",#N/A,FALSE,"BS"}</definedName>
    <definedName name="qm" hidden="1">{"IS",#N/A,FALSE,"IS";"RPTIS",#N/A,FALSE,"RPTIS";"STATS",#N/A,FALSE,"STATS";"BS",#N/A,FALSE,"BS"}</definedName>
    <definedName name="qq" localSheetId="18">[58]!Tx_intérêt_par_an/#REF!</definedName>
    <definedName name="qq" localSheetId="25">[58]!Tx_intérêt_par_an/#REF!</definedName>
    <definedName name="qq" localSheetId="29">[58]!Tx_intérêt_par_an/#REF!</definedName>
    <definedName name="qq" localSheetId="31">[58]!Tx_intérêt_par_an/#REF!</definedName>
    <definedName name="qq" localSheetId="15">[58]!Tx_intérêt_par_an/#REF!</definedName>
    <definedName name="qq" localSheetId="13">[58]!Tx_intérêt_par_an/#REF!</definedName>
    <definedName name="qq" localSheetId="17">[58]!Tx_intérêt_par_an/#REF!</definedName>
    <definedName name="qq" localSheetId="12">[58]!Tx_intérêt_par_an/#REF!</definedName>
    <definedName name="qq" localSheetId="22">[59]!Tx_intérêt_par_an/#REF!</definedName>
    <definedName name="qq" localSheetId="35">[58]!Tx_intérêt_par_an/#REF!</definedName>
    <definedName name="qq">[58]!Tx_intérêt_par_an/#REF!</definedName>
    <definedName name="qq___0">#N/A</definedName>
    <definedName name="qq___12">NA()</definedName>
    <definedName name="qq___14">#N/A</definedName>
    <definedName name="qq___16">#N/A</definedName>
    <definedName name="qq___2">NA()</definedName>
    <definedName name="qq___23">#N/A</definedName>
    <definedName name="qq___25">#N/A</definedName>
    <definedName name="qq___26">NA()</definedName>
    <definedName name="qq___27">#N/A</definedName>
    <definedName name="qq___3">#N/A</definedName>
    <definedName name="qq___4">#N/A</definedName>
    <definedName name="qq___5">#N/A</definedName>
    <definedName name="qq___6">NA()</definedName>
    <definedName name="qq___7">NA()</definedName>
    <definedName name="qq___9">#N/A</definedName>
    <definedName name="qqqq" localSheetId="18">[6]!qqqq</definedName>
    <definedName name="qqqq" localSheetId="25">[6]!qqqq</definedName>
    <definedName name="qqqq" localSheetId="29">[6]!qqqq</definedName>
    <definedName name="qqqq" localSheetId="31">[6]!qqqq</definedName>
    <definedName name="qqqq" localSheetId="15">[6]!qqqq</definedName>
    <definedName name="qqqq" localSheetId="13">[6]!qqqq</definedName>
    <definedName name="qqqq" localSheetId="19">[7]!qqqq</definedName>
    <definedName name="qqqq" localSheetId="17">[6]!qqqq</definedName>
    <definedName name="qqqq" localSheetId="12">[6]!qqqq</definedName>
    <definedName name="qqqq" localSheetId="22">[8]!qqqq</definedName>
    <definedName name="qqqq">[6]!qqqq</definedName>
    <definedName name="qqqqqqq" localSheetId="22">#N/A</definedName>
    <definedName name="qqqqqqq" localSheetId="28">#N/A</definedName>
    <definedName name="qqqqqqq" localSheetId="35">'Taxe 5%'!qqqqqqq</definedName>
    <definedName name="qqqqqqq">'PIDR (2)'!qqqqqqq</definedName>
    <definedName name="qqtrrt" localSheetId="18">[6]!qqtrrt</definedName>
    <definedName name="qqtrrt" localSheetId="25">[6]!qqtrrt</definedName>
    <definedName name="qqtrrt" localSheetId="29">[6]!qqtrrt</definedName>
    <definedName name="qqtrrt" localSheetId="31">[6]!qqtrrt</definedName>
    <definedName name="qqtrrt" localSheetId="15">[6]!qqtrrt</definedName>
    <definedName name="qqtrrt" localSheetId="13">[6]!qqtrrt</definedName>
    <definedName name="qqtrrt" localSheetId="19">[7]!qqtrrt</definedName>
    <definedName name="qqtrrt" localSheetId="17">[6]!qqtrrt</definedName>
    <definedName name="qqtrrt" localSheetId="12">[6]!qqtrrt</definedName>
    <definedName name="qqtrrt" localSheetId="22">[8]!qqtrrt</definedName>
    <definedName name="qqtrrt">[6]!qqtrrt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28" hidden="1">{"First Page",#N/A,FALSE,"Surfactants LBO";"Second Page",#N/A,FALSE,"Surfactants LBO"}</definedName>
    <definedName name="qscfaq" localSheetId="35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" localSheetId="28" hidden="1">{#N/A,#N/A,TRUE,"Cover sheet";#N/A,#N/A,TRUE,"DCF analysis";#N/A,#N/A,TRUE,"WACC calculation"}</definedName>
    <definedName name="qsd" localSheetId="35" hidden="1">{#N/A,#N/A,TRUE,"Cover sheet";#N/A,#N/A,TRUE,"DCF analysis";#N/A,#N/A,TRUE,"WACC calculation"}</definedName>
    <definedName name="qsd" hidden="1">{#N/A,#N/A,TRUE,"Cover sheet";#N/A,#N/A,TRUE,"DCF analysis";#N/A,#N/A,TRUE,"WACC calculation"}</definedName>
    <definedName name="qsdf" localSheetId="25" hidden="1">{#N/A,#N/A,FALSE,"Contribution Analysis"}</definedName>
    <definedName name="qsdf" localSheetId="19" hidden="1">{#N/A,#N/A,FALSE,"Contribution Analysis"}</definedName>
    <definedName name="qsdf" localSheetId="22" hidden="1">{#N/A,#N/A,FALSE,"Contribution Analysis"}</definedName>
    <definedName name="qsdf" localSheetId="28" hidden="1">{#N/A,#N/A,FALSE,"Contribution Analysis"}</definedName>
    <definedName name="qsdf" localSheetId="35" hidden="1">{#N/A,#N/A,FALSE,"Contribution Analysis"}</definedName>
    <definedName name="qsdf" hidden="1">{#N/A,#N/A,FALSE,"Contribution Analysis"}</definedName>
    <definedName name="qsdfqsdf">#N/A</definedName>
    <definedName name="qsdjlgzerg" localSheetId="28" hidden="1">{#N/A,#N/A,TRUE,"Cover sheet";#N/A,#N/A,TRUE,"DCF analysis";#N/A,#N/A,TRUE,"WACC calculation"}</definedName>
    <definedName name="qsdjlgzerg" localSheetId="35" hidden="1">{#N/A,#N/A,TRUE,"Cover sheet";#N/A,#N/A,TRUE,"DCF analysis";#N/A,#N/A,TRUE,"WACC calculation"}</definedName>
    <definedName name="qsdjlgzerg" hidden="1">{#N/A,#N/A,TRUE,"Cover sheet";#N/A,#N/A,TRUE,"DCF analysis";#N/A,#N/A,TRUE,"WACC calculation"}</definedName>
    <definedName name="QSDQS" localSheetId="18" hidden="1">[86]RSG!#REF!</definedName>
    <definedName name="QSDQS" localSheetId="29" hidden="1">[86]RSG!#REF!</definedName>
    <definedName name="QSDQS" localSheetId="31" hidden="1">[86]RSG!#REF!</definedName>
    <definedName name="QSDQS" localSheetId="15" hidden="1">[86]RSG!#REF!</definedName>
    <definedName name="QSDQS" localSheetId="13" hidden="1">[86]RSG!#REF!</definedName>
    <definedName name="QSDQS" localSheetId="19" hidden="1">[86]RSG!#REF!</definedName>
    <definedName name="QSDQS" localSheetId="17" hidden="1">[86]RSG!#REF!</definedName>
    <definedName name="QSDQS" localSheetId="12" hidden="1">[86]RSG!#REF!</definedName>
    <definedName name="QSDQS" localSheetId="22" hidden="1">[86]RSG!#REF!</definedName>
    <definedName name="QSDQS" localSheetId="28" hidden="1">[86]RSG!#REF!</definedName>
    <definedName name="QSDQS" localSheetId="35" hidden="1">[86]RSG!#REF!</definedName>
    <definedName name="QSDQS" hidden="1">[86]RSG!#REF!</definedName>
    <definedName name="qsfd" localSheetId="25" hidden="1">{"IS",#N/A,FALSE,"IS";"RPTIS",#N/A,FALSE,"RPTIS";"STATS",#N/A,FALSE,"STATS";"CELL",#N/A,FALSE,"CELL";"BS",#N/A,FALSE,"BS"}</definedName>
    <definedName name="qsfd" localSheetId="19" hidden="1">{"IS",#N/A,FALSE,"IS";"RPTIS",#N/A,FALSE,"RPTIS";"STATS",#N/A,FALSE,"STATS";"CELL",#N/A,FALSE,"CELL";"BS",#N/A,FALSE,"BS"}</definedName>
    <definedName name="qsfd" localSheetId="22" hidden="1">{"IS",#N/A,FALSE,"IS";"RPTIS",#N/A,FALSE,"RPTIS";"STATS",#N/A,FALSE,"STATS";"CELL",#N/A,FALSE,"CELL";"BS",#N/A,FALSE,"BS"}</definedName>
    <definedName name="qsfd" localSheetId="28" hidden="1">{"IS",#N/A,FALSE,"IS";"RPTIS",#N/A,FALSE,"RPTIS";"STATS",#N/A,FALSE,"STATS";"CELL",#N/A,FALSE,"CELL";"BS",#N/A,FALSE,"BS"}</definedName>
    <definedName name="qsfd" localSheetId="35" hidden="1">{"IS",#N/A,FALSE,"IS";"RPTIS",#N/A,FALSE,"RPTIS";"STATS",#N/A,FALSE,"STATS";"CELL",#N/A,FALSE,"CELL";"BS",#N/A,FALSE,"BS"}</definedName>
    <definedName name="qsfd" hidden="1">{"IS",#N/A,FALSE,"IS";"RPTIS",#N/A,FALSE,"RPTIS";"STATS",#N/A,FALSE,"STATS";"CELL",#N/A,FALSE,"CELL";"BS",#N/A,FALSE,"BS"}</definedName>
    <definedName name="QtéVend" localSheetId="18">#REF!</definedName>
    <definedName name="QtéVend" localSheetId="25">#REF!</definedName>
    <definedName name="QtéVend" localSheetId="29">#REF!</definedName>
    <definedName name="QtéVend" localSheetId="31">#REF!</definedName>
    <definedName name="QtéVend" localSheetId="15">#REF!</definedName>
    <definedName name="QtéVend" localSheetId="13">#REF!</definedName>
    <definedName name="QtéVend" localSheetId="17">#REF!</definedName>
    <definedName name="QtéVend" localSheetId="12">#REF!</definedName>
    <definedName name="QtéVend" localSheetId="22">#REF!</definedName>
    <definedName name="QtéVend" localSheetId="28">#REF!</definedName>
    <definedName name="QtéVend" localSheetId="35">#REF!</definedName>
    <definedName name="QtéVend">#REF!</definedName>
    <definedName name="QTéVent" localSheetId="18">#REF!</definedName>
    <definedName name="QTéVent" localSheetId="25">#REF!</definedName>
    <definedName name="QTéVent" localSheetId="29">#REF!</definedName>
    <definedName name="QTéVent" localSheetId="31">#REF!</definedName>
    <definedName name="QTéVent" localSheetId="15">#REF!</definedName>
    <definedName name="QTéVent" localSheetId="13">#REF!</definedName>
    <definedName name="QTéVent" localSheetId="17">#REF!</definedName>
    <definedName name="QTéVent" localSheetId="12">#REF!</definedName>
    <definedName name="QTéVent" localSheetId="22">#REF!</definedName>
    <definedName name="QTéVent" localSheetId="28">#REF!</definedName>
    <definedName name="QTéVent" localSheetId="35">#REF!</definedName>
    <definedName name="QTéVent">#REF!</definedName>
    <definedName name="qth" localSheetId="18">[6]!qth</definedName>
    <definedName name="qth" localSheetId="25">[6]!qth</definedName>
    <definedName name="qth" localSheetId="29">[6]!qth</definedName>
    <definedName name="qth" localSheetId="31">[6]!qth</definedName>
    <definedName name="qth" localSheetId="15">[6]!qth</definedName>
    <definedName name="qth" localSheetId="13">[6]!qth</definedName>
    <definedName name="qth" localSheetId="19">[7]!qth</definedName>
    <definedName name="qth" localSheetId="17">[6]!qth</definedName>
    <definedName name="qth" localSheetId="12">[6]!qth</definedName>
    <definedName name="qth" localSheetId="22">[8]!qth</definedName>
    <definedName name="qth">[6]!qth</definedName>
    <definedName name="qthqq">#N/A</definedName>
    <definedName name="QTHRSJ" localSheetId="18">[6]!QTHRSJ</definedName>
    <definedName name="QTHRSJ" localSheetId="25">[6]!QTHRSJ</definedName>
    <definedName name="QTHRSJ" localSheetId="29">[6]!QTHRSJ</definedName>
    <definedName name="QTHRSJ" localSheetId="31">[6]!QTHRSJ</definedName>
    <definedName name="QTHRSJ" localSheetId="15">[6]!QTHRSJ</definedName>
    <definedName name="QTHRSJ" localSheetId="13">[6]!QTHRSJ</definedName>
    <definedName name="QTHRSJ" localSheetId="19">[7]!QTHRSJ</definedName>
    <definedName name="QTHRSJ" localSheetId="17">[6]!QTHRSJ</definedName>
    <definedName name="QTHRSJ" localSheetId="12">[6]!QTHRSJ</definedName>
    <definedName name="QTHRSJ" localSheetId="22">[8]!QTHRSJ</definedName>
    <definedName name="QTHRSJ">[6]!QTHRSJ</definedName>
    <definedName name="qtqy" localSheetId="18">[6]!qtqy</definedName>
    <definedName name="qtqy" localSheetId="25">[6]!qtqy</definedName>
    <definedName name="qtqy" localSheetId="29">[6]!qtqy</definedName>
    <definedName name="qtqy" localSheetId="31">[6]!qtqy</definedName>
    <definedName name="qtqy" localSheetId="15">[6]!qtqy</definedName>
    <definedName name="qtqy" localSheetId="13">[6]!qtqy</definedName>
    <definedName name="qtqy" localSheetId="19">[7]!qtqy</definedName>
    <definedName name="qtqy" localSheetId="17">[6]!qtqy</definedName>
    <definedName name="qtqy" localSheetId="12">[6]!qtqy</definedName>
    <definedName name="qtqy" localSheetId="22">[8]!qtqy</definedName>
    <definedName name="qtqy">[6]!qtqy</definedName>
    <definedName name="QUARF">[62]QUARF!$A$13:$J$4815</definedName>
    <definedName name="QUARM">[62]QUARM!$A$13:$J$4236</definedName>
    <definedName name="QUARTC">[62]QUARTC!$A$13:$J$868</definedName>
    <definedName name="qwqwqw" localSheetId="28">#N/A</definedName>
    <definedName name="qwqwqw" localSheetId="35">'Taxe 5%'!qwqwqw</definedName>
    <definedName name="qwqwqw">'Taxe 5%'!qwqwqw</definedName>
    <definedName name="qyqey">#N/A</definedName>
    <definedName name="qyqyqery" localSheetId="18">[6]!qyqyqery</definedName>
    <definedName name="qyqyqery" localSheetId="25">[6]!qyqyqery</definedName>
    <definedName name="qyqyqery" localSheetId="29">[6]!qyqyqery</definedName>
    <definedName name="qyqyqery" localSheetId="31">[6]!qyqyqery</definedName>
    <definedName name="qyqyqery" localSheetId="15">[6]!qyqyqery</definedName>
    <definedName name="qyqyqery" localSheetId="13">[6]!qyqyqery</definedName>
    <definedName name="qyqyqery" localSheetId="19">[7]!qyqyqery</definedName>
    <definedName name="qyqyqery" localSheetId="17">[6]!qyqyqery</definedName>
    <definedName name="qyqyqery" localSheetId="12">[6]!qyqyqery</definedName>
    <definedName name="qyqyqery" localSheetId="22">[8]!qyqyqery</definedName>
    <definedName name="qyqyqery">[6]!qyqyqery</definedName>
    <definedName name="QZ" localSheetId="18">#REF!</definedName>
    <definedName name="QZ" localSheetId="25">#REF!</definedName>
    <definedName name="QZ" localSheetId="29">#REF!</definedName>
    <definedName name="QZ" localSheetId="31">#REF!</definedName>
    <definedName name="QZ" localSheetId="15">#REF!</definedName>
    <definedName name="QZ" localSheetId="13">#REF!</definedName>
    <definedName name="QZ" localSheetId="17">#REF!</definedName>
    <definedName name="QZ" localSheetId="12">#REF!</definedName>
    <definedName name="QZ" localSheetId="22">#REF!</definedName>
    <definedName name="QZ" localSheetId="28">#REF!</definedName>
    <definedName name="QZ" localSheetId="35">#REF!</definedName>
    <definedName name="QZ">#REF!</definedName>
    <definedName name="QZ___0">#N/A</definedName>
    <definedName name="QZ___12">#N/A</definedName>
    <definedName name="QZ___14">#N/A</definedName>
    <definedName name="QZ___16">#N/A</definedName>
    <definedName name="QZ___2">#N/A</definedName>
    <definedName name="QZ___25">#N/A</definedName>
    <definedName name="QZ___26">#N/A</definedName>
    <definedName name="QZ___27">#N/A</definedName>
    <definedName name="QZ___4">#N/A</definedName>
    <definedName name="QZ___5">#N/A</definedName>
    <definedName name="QZ___7">#N/A</definedName>
    <definedName name="qzetqt" localSheetId="18">[6]!qzetqt</definedName>
    <definedName name="qzetqt" localSheetId="25">[6]!qzetqt</definedName>
    <definedName name="qzetqt" localSheetId="29">[6]!qzetqt</definedName>
    <definedName name="qzetqt" localSheetId="31">[6]!qzetqt</definedName>
    <definedName name="qzetqt" localSheetId="15">[6]!qzetqt</definedName>
    <definedName name="qzetqt" localSheetId="13">[6]!qzetqt</definedName>
    <definedName name="qzetqt" localSheetId="19">[7]!qzetqt</definedName>
    <definedName name="qzetqt" localSheetId="17">[6]!qzetqt</definedName>
    <definedName name="qzetqt" localSheetId="12">[6]!qzetqt</definedName>
    <definedName name="qzetqt" localSheetId="22">[8]!qzetqt</definedName>
    <definedName name="qzetqt">[6]!qzetqt</definedName>
    <definedName name="qzezezare" localSheetId="18" hidden="1">#REF!</definedName>
    <definedName name="qzezezare" localSheetId="25" hidden="1">#REF!</definedName>
    <definedName name="qzezezare" localSheetId="29" hidden="1">#REF!</definedName>
    <definedName name="qzezezare" localSheetId="31" hidden="1">#REF!</definedName>
    <definedName name="qzezezare" localSheetId="15" hidden="1">#REF!</definedName>
    <definedName name="qzezezare" localSheetId="13" hidden="1">#REF!</definedName>
    <definedName name="qzezezare" localSheetId="17" hidden="1">#REF!</definedName>
    <definedName name="qzezezare" localSheetId="12" hidden="1">#REF!</definedName>
    <definedName name="qzezezare" localSheetId="22" hidden="1">#REF!</definedName>
    <definedName name="qzezezare" localSheetId="28" hidden="1">#REF!</definedName>
    <definedName name="qzezezare" localSheetId="35" hidden="1">#REF!</definedName>
    <definedName name="qzezezare" hidden="1">#REF!</definedName>
    <definedName name="qzq">#N/A</definedName>
    <definedName name="qztqt">#N/A</definedName>
    <definedName name="qztze" localSheetId="18">[6]!qztze</definedName>
    <definedName name="qztze" localSheetId="25">[6]!qztze</definedName>
    <definedName name="qztze" localSheetId="29">[6]!qztze</definedName>
    <definedName name="qztze" localSheetId="31">[6]!qztze</definedName>
    <definedName name="qztze" localSheetId="15">[6]!qztze</definedName>
    <definedName name="qztze" localSheetId="13">[6]!qztze</definedName>
    <definedName name="qztze" localSheetId="19">[7]!qztze</definedName>
    <definedName name="qztze" localSheetId="17">[6]!qztze</definedName>
    <definedName name="qztze" localSheetId="12">[6]!qztze</definedName>
    <definedName name="qztze" localSheetId="22">[8]!qztze</definedName>
    <definedName name="qztze">[6]!qztze</definedName>
    <definedName name="R___0">NA()</definedName>
    <definedName name="R___12">#N/A</definedName>
    <definedName name="R___2">#N/A</definedName>
    <definedName name="R___25">#N/A</definedName>
    <definedName name="R___26">#N/A</definedName>
    <definedName name="R___27">NA()</definedName>
    <definedName name="R___4">#N/A</definedName>
    <definedName name="R___5">NA()</definedName>
    <definedName name="R___6">#N/A</definedName>
    <definedName name="R___7">#N/A</definedName>
    <definedName name="Rabat2">#N/A</definedName>
    <definedName name="rad">0</definedName>
    <definedName name="RAISON">[84]MODELE!$B$1</definedName>
    <definedName name="rate" localSheetId="25">[129]Check!$A$48:$A$50</definedName>
    <definedName name="rate" localSheetId="22">[130]Check!$A$48:$A$50</definedName>
    <definedName name="rate">[129]Check!$A$48:$A$50</definedName>
    <definedName name="RE" localSheetId="29">#REF!</definedName>
    <definedName name="RE" localSheetId="31">#REF!</definedName>
    <definedName name="RE" localSheetId="28">#REF!</definedName>
    <definedName name="RE" localSheetId="35">#REF!</definedName>
    <definedName name="RE">#REF!</definedName>
    <definedName name="REC" localSheetId="18">#REF!</definedName>
    <definedName name="REC" localSheetId="25">#REF!</definedName>
    <definedName name="REC" localSheetId="29">#REF!</definedName>
    <definedName name="REC" localSheetId="31">#REF!</definedName>
    <definedName name="REC" localSheetId="15">#REF!</definedName>
    <definedName name="REC" localSheetId="13">#REF!</definedName>
    <definedName name="REC" localSheetId="17">#REF!</definedName>
    <definedName name="REC" localSheetId="12">#REF!</definedName>
    <definedName name="REC" localSheetId="22">#REF!</definedName>
    <definedName name="REC" localSheetId="28">#REF!</definedName>
    <definedName name="REC" localSheetId="35">#REF!</definedName>
    <definedName name="REC">#REF!</definedName>
    <definedName name="REC___0">#N/A</definedName>
    <definedName name="REC___12">#N/A</definedName>
    <definedName name="REC___14">#N/A</definedName>
    <definedName name="REC___16">#N/A</definedName>
    <definedName name="REC___2">#N/A</definedName>
    <definedName name="REC___25">#N/A</definedName>
    <definedName name="REC___26">#N/A</definedName>
    <definedName name="REC___27">#N/A</definedName>
    <definedName name="REC___4">#N/A</definedName>
    <definedName name="REC___5">#N/A</definedName>
    <definedName name="REC___7">#N/A</definedName>
    <definedName name="RECAP" localSheetId="18">#REF!</definedName>
    <definedName name="RECAP" localSheetId="25">#REF!</definedName>
    <definedName name="RECAP" localSheetId="29">#REF!</definedName>
    <definedName name="RECAP" localSheetId="31">#REF!</definedName>
    <definedName name="RECAP" localSheetId="15">#REF!</definedName>
    <definedName name="RECAP" localSheetId="13">#REF!</definedName>
    <definedName name="RECAP" localSheetId="17">#REF!</definedName>
    <definedName name="RECAP" localSheetId="12">#REF!</definedName>
    <definedName name="RECAP" localSheetId="22">#REF!</definedName>
    <definedName name="RECAP" localSheetId="28">#REF!</definedName>
    <definedName name="RECAP" localSheetId="35">#REF!</definedName>
    <definedName name="RECAP">#REF!</definedName>
    <definedName name="RECAP___0">#N/A</definedName>
    <definedName name="RECAP___12">#N/A</definedName>
    <definedName name="RECAP___2">#N/A</definedName>
    <definedName name="RECAP___25">#N/A</definedName>
    <definedName name="RECAP___26">#N/A</definedName>
    <definedName name="RECAP___27">#N/A</definedName>
    <definedName name="RECAP___4">#N/A</definedName>
    <definedName name="RECAP___5">#N/A</definedName>
    <definedName name="RECAP___6">#N/A</definedName>
    <definedName name="RECAP___7">#N/A</definedName>
    <definedName name="recap0504" localSheetId="18">[131]CUMUL05_04!#REF!</definedName>
    <definedName name="recap0504" localSheetId="29">[131]CUMUL05_04!#REF!</definedName>
    <definedName name="recap0504" localSheetId="31">[131]CUMUL05_04!#REF!</definedName>
    <definedName name="recap0504" localSheetId="15">[131]CUMUL05_04!#REF!</definedName>
    <definedName name="recap0504" localSheetId="13">[131]CUMUL05_04!#REF!</definedName>
    <definedName name="recap0504" localSheetId="17">[131]CUMUL05_04!#REF!</definedName>
    <definedName name="recap0504" localSheetId="12">[131]CUMUL05_04!#REF!</definedName>
    <definedName name="recap0504" localSheetId="22">[131]CUMUL05_04!#REF!</definedName>
    <definedName name="recap0504" localSheetId="28">[131]CUMUL05_04!#REF!</definedName>
    <definedName name="recap0504" localSheetId="35">[131]CUMUL05_04!#REF!</definedName>
    <definedName name="recap0504">[131]CUMUL05_04!#REF!</definedName>
    <definedName name="recappv" localSheetId="18">#REF!</definedName>
    <definedName name="recappv" localSheetId="25">#REF!</definedName>
    <definedName name="recappv" localSheetId="29">#REF!</definedName>
    <definedName name="recappv" localSheetId="31">#REF!</definedName>
    <definedName name="recappv" localSheetId="15">#REF!</definedName>
    <definedName name="recappv" localSheetId="13">#REF!</definedName>
    <definedName name="recappv" localSheetId="17">#REF!</definedName>
    <definedName name="recappv" localSheetId="12">#REF!</definedName>
    <definedName name="recappv" localSheetId="22">#REF!</definedName>
    <definedName name="recappv" localSheetId="28">#REF!</definedName>
    <definedName name="recappv" localSheetId="35">#REF!</definedName>
    <definedName name="recappv">#REF!</definedName>
    <definedName name="RecEBITDA_flyr95" localSheetId="25">'[132]P&amp;L-YR'!$E$15:$G$15</definedName>
    <definedName name="RecEBITDA_flyr95" localSheetId="22">'[133]P&amp;L-YR'!$E$15:$G$15</definedName>
    <definedName name="RecEBITDA_flyr95">'[132]P&amp;L-YR'!$E$15:$G$15</definedName>
    <definedName name="recglob" localSheetId="18">'[134]PRODUIT PAR DRT'!#REF!</definedName>
    <definedName name="recglob" localSheetId="29">'[134]PRODUIT PAR DRT'!#REF!</definedName>
    <definedName name="recglob" localSheetId="31">'[134]PRODUIT PAR DRT'!#REF!</definedName>
    <definedName name="recglob" localSheetId="15">'[134]PRODUIT PAR DRT'!#REF!</definedName>
    <definedName name="recglob" localSheetId="13">'[134]PRODUIT PAR DRT'!#REF!</definedName>
    <definedName name="recglob" localSheetId="17">'[134]PRODUIT PAR DRT'!#REF!</definedName>
    <definedName name="recglob" localSheetId="12">'[134]PRODUIT PAR DRT'!#REF!</definedName>
    <definedName name="recglob" localSheetId="22">'[134]PRODUIT PAR DRT'!#REF!</definedName>
    <definedName name="recglob" localSheetId="28">'[134]PRODUIT PAR DRT'!#REF!</definedName>
    <definedName name="recglob" localSheetId="35">'[134]PRODUIT PAR DRT'!#REF!</definedName>
    <definedName name="recglob">'[134]PRODUIT PAR DRT'!#REF!</definedName>
    <definedName name="recglob___0">#N/A</definedName>
    <definedName name="recglob___12">#N/A</definedName>
    <definedName name="recglob___6">#N/A</definedName>
    <definedName name="RECON" localSheetId="18">#REF!</definedName>
    <definedName name="RECON" localSheetId="25">#REF!</definedName>
    <definedName name="RECON" localSheetId="29">#REF!</definedName>
    <definedName name="RECON" localSheetId="31">#REF!</definedName>
    <definedName name="RECON" localSheetId="15">#REF!</definedName>
    <definedName name="RECON" localSheetId="13">#REF!</definedName>
    <definedName name="RECON" localSheetId="17">#REF!</definedName>
    <definedName name="RECON" localSheetId="12">#REF!</definedName>
    <definedName name="RECON" localSheetId="22">#REF!</definedName>
    <definedName name="RECON" localSheetId="28">#REF!</definedName>
    <definedName name="RECON" localSheetId="35">#REF!</definedName>
    <definedName name="RECON">#REF!</definedName>
    <definedName name="Recrutement2002" localSheetId="18">#REF!</definedName>
    <definedName name="Recrutement2002" localSheetId="25">#REF!</definedName>
    <definedName name="Recrutement2002" localSheetId="29">#REF!</definedName>
    <definedName name="Recrutement2002" localSheetId="31">#REF!</definedName>
    <definedName name="Recrutement2002" localSheetId="15">#REF!</definedName>
    <definedName name="Recrutement2002" localSheetId="13">#REF!</definedName>
    <definedName name="Recrutement2002" localSheetId="17">#REF!</definedName>
    <definedName name="Recrutement2002" localSheetId="12">#REF!</definedName>
    <definedName name="Recrutement2002" localSheetId="22">#REF!</definedName>
    <definedName name="Recrutement2002" localSheetId="28">#REF!</definedName>
    <definedName name="Recrutement2002" localSheetId="35">#REF!</definedName>
    <definedName name="Recrutement2002">#REF!</definedName>
    <definedName name="Recrutement2003" localSheetId="18">#REF!</definedName>
    <definedName name="Recrutement2003" localSheetId="25">#REF!</definedName>
    <definedName name="Recrutement2003" localSheetId="29">#REF!</definedName>
    <definedName name="Recrutement2003" localSheetId="31">#REF!</definedName>
    <definedName name="Recrutement2003" localSheetId="15">#REF!</definedName>
    <definedName name="Recrutement2003" localSheetId="13">#REF!</definedName>
    <definedName name="Recrutement2003" localSheetId="17">#REF!</definedName>
    <definedName name="Recrutement2003" localSheetId="12">#REF!</definedName>
    <definedName name="Recrutement2003" localSheetId="22">#REF!</definedName>
    <definedName name="Recrutement2003" localSheetId="28">#REF!</definedName>
    <definedName name="Recrutement2003" localSheetId="35">#REF!</definedName>
    <definedName name="Recrutement2003">#REF!</definedName>
    <definedName name="RecyclageEL">#N/A</definedName>
    <definedName name="RedefinePrintTableRange" localSheetId="28">#N/A</definedName>
    <definedName name="RedefinePrintTableRange" localSheetId="35">'Taxe 5%'!RedefinePrintTableRange</definedName>
    <definedName name="RedefinePrintTableRange">'Taxe 5%'!RedefinePrintTableRange</definedName>
    <definedName name="REDEVANCE_OCCUPATION_DOMAINE_PUBLIC" localSheetId="18">#REF!</definedName>
    <definedName name="REDEVANCE_OCCUPATION_DOMAINE_PUBLIC" localSheetId="25">#REF!</definedName>
    <definedName name="REDEVANCE_OCCUPATION_DOMAINE_PUBLIC" localSheetId="29">#REF!</definedName>
    <definedName name="REDEVANCE_OCCUPATION_DOMAINE_PUBLIC" localSheetId="31">#REF!</definedName>
    <definedName name="REDEVANCE_OCCUPATION_DOMAINE_PUBLIC" localSheetId="15">#REF!</definedName>
    <definedName name="REDEVANCE_OCCUPATION_DOMAINE_PUBLIC" localSheetId="13">#REF!</definedName>
    <definedName name="REDEVANCE_OCCUPATION_DOMAINE_PUBLIC" localSheetId="17">#REF!</definedName>
    <definedName name="REDEVANCE_OCCUPATION_DOMAINE_PUBLIC" localSheetId="12">#REF!</definedName>
    <definedName name="REDEVANCE_OCCUPATION_DOMAINE_PUBLIC" localSheetId="22">#REF!</definedName>
    <definedName name="REDEVANCE_OCCUPATION_DOMAINE_PUBLIC" localSheetId="28">#REF!</definedName>
    <definedName name="REDEVANCE_OCCUPATION_DOMAINE_PUBLIC" localSheetId="35">#REF!</definedName>
    <definedName name="REDEVANCE_OCCUPATION_DOMAINE_PUBLIC">#REF!</definedName>
    <definedName name="reel2000" localSheetId="18">#REF!</definedName>
    <definedName name="reel2000" localSheetId="25">#REF!</definedName>
    <definedName name="reel2000" localSheetId="29">#REF!</definedName>
    <definedName name="reel2000" localSheetId="31">#REF!</definedName>
    <definedName name="reel2000" localSheetId="15">#REF!</definedName>
    <definedName name="reel2000" localSheetId="13">#REF!</definedName>
    <definedName name="reel2000" localSheetId="17">#REF!</definedName>
    <definedName name="reel2000" localSheetId="12">#REF!</definedName>
    <definedName name="reel2000" localSheetId="22">#REF!</definedName>
    <definedName name="reel2000" localSheetId="28">#REF!</definedName>
    <definedName name="reel2000" localSheetId="35">#REF!</definedName>
    <definedName name="reel2000">#REF!</definedName>
    <definedName name="reel2000___0">#N/A</definedName>
    <definedName name="reel2000___14">#N/A</definedName>
    <definedName name="reel2000___27">#N/A</definedName>
    <definedName name="reel2000___5">#N/A</definedName>
    <definedName name="refbc" localSheetId="18">'[112]A.I.A'!#REF!</definedName>
    <definedName name="refbc" localSheetId="29">'[112]A.I.A'!#REF!</definedName>
    <definedName name="refbc" localSheetId="31">'[112]A.I.A'!#REF!</definedName>
    <definedName name="refbc" localSheetId="15">'[112]A.I.A'!#REF!</definedName>
    <definedName name="refbc" localSheetId="13">'[112]A.I.A'!#REF!</definedName>
    <definedName name="refbc" localSheetId="17">'[112]A.I.A'!#REF!</definedName>
    <definedName name="refbc" localSheetId="12">'[112]A.I.A'!#REF!</definedName>
    <definedName name="refbc" localSheetId="22">'[112]A.I.A'!#REF!</definedName>
    <definedName name="refbc" localSheetId="28">'[112]A.I.A'!#REF!</definedName>
    <definedName name="refbc" localSheetId="35">'[112]A.I.A'!#REF!</definedName>
    <definedName name="refbc">'[112]A.I.A'!#REF!</definedName>
    <definedName name="refbc1">#N/A</definedName>
    <definedName name="référence" localSheetId="18">#REF!</definedName>
    <definedName name="référence" localSheetId="25">#REF!</definedName>
    <definedName name="référence" localSheetId="29">#REF!</definedName>
    <definedName name="référence" localSheetId="31">#REF!</definedName>
    <definedName name="référence" localSheetId="15">#REF!</definedName>
    <definedName name="référence" localSheetId="13">#REF!</definedName>
    <definedName name="référence" localSheetId="17">#REF!</definedName>
    <definedName name="référence" localSheetId="12">#REF!</definedName>
    <definedName name="référence" localSheetId="22">#REF!</definedName>
    <definedName name="référence" localSheetId="28">#REF!</definedName>
    <definedName name="référence" localSheetId="35">#REF!</definedName>
    <definedName name="référence">#REF!</definedName>
    <definedName name="REFERENCIA" localSheetId="29">'[135]SECCIÓN 02'!#REF!</definedName>
    <definedName name="REFERENCIA" localSheetId="31">'[135]SECCIÓN 02'!#REF!</definedName>
    <definedName name="REFERENCIA" localSheetId="28">'[135]SECCIÓN 02'!#REF!</definedName>
    <definedName name="REFERENCIA" localSheetId="35">'[135]SECCIÓN 02'!#REF!</definedName>
    <definedName name="REFERENCIA">'[135]SECCIÓN 02'!#REF!</definedName>
    <definedName name="REFERENCIA_1" localSheetId="29">'[135]SECCIÓN 02'!#REF!</definedName>
    <definedName name="REFERENCIA_1" localSheetId="31">'[135]SECCIÓN 02'!#REF!</definedName>
    <definedName name="REFERENCIA_1" localSheetId="28">'[135]SECCIÓN 02'!#REF!</definedName>
    <definedName name="REFERENCIA_1" localSheetId="35">'[135]SECCIÓN 02'!#REF!</definedName>
    <definedName name="REFERENCIA_1">'[135]SECCIÓN 02'!#REF!</definedName>
    <definedName name="REFERENCIA_3" localSheetId="29">'[135]SECCIÓN 02'!#REF!</definedName>
    <definedName name="REFERENCIA_3" localSheetId="31">'[135]SECCIÓN 02'!#REF!</definedName>
    <definedName name="REFERENCIA_3" localSheetId="28">'[135]SECCIÓN 02'!#REF!</definedName>
    <definedName name="REFERENCIA_3" localSheetId="35">'[135]SECCIÓN 02'!#REF!</definedName>
    <definedName name="REFERENCIA_3">'[135]SECCIÓN 02'!#REF!</definedName>
    <definedName name="REFERENCIA_4" localSheetId="29">'[135]SECCIÓN 02'!#REF!</definedName>
    <definedName name="REFERENCIA_4" localSheetId="31">'[135]SECCIÓN 02'!#REF!</definedName>
    <definedName name="REFERENCIA_4" localSheetId="28">'[135]SECCIÓN 02'!#REF!</definedName>
    <definedName name="REFERENCIA_4" localSheetId="35">'[135]SECCIÓN 02'!#REF!</definedName>
    <definedName name="REFERENCIA_4">'[135]SECCIÓN 02'!#REF!</definedName>
    <definedName name="REFMARCHE">#N/A</definedName>
    <definedName name="REGLEE_LE_02_06_2003" localSheetId="18">#REF!</definedName>
    <definedName name="REGLEE_LE_02_06_2003" localSheetId="25">#REF!</definedName>
    <definedName name="REGLEE_LE_02_06_2003" localSheetId="29">#REF!</definedName>
    <definedName name="REGLEE_LE_02_06_2003" localSheetId="31">#REF!</definedName>
    <definedName name="REGLEE_LE_02_06_2003" localSheetId="15">#REF!</definedName>
    <definedName name="REGLEE_LE_02_06_2003" localSheetId="13">#REF!</definedName>
    <definedName name="REGLEE_LE_02_06_2003" localSheetId="17">#REF!</definedName>
    <definedName name="REGLEE_LE_02_06_2003" localSheetId="12">#REF!</definedName>
    <definedName name="REGLEE_LE_02_06_2003" localSheetId="22">#REF!</definedName>
    <definedName name="REGLEE_LE_02_06_2003" localSheetId="28">#REF!</definedName>
    <definedName name="REGLEE_LE_02_06_2003" localSheetId="35">#REF!</definedName>
    <definedName name="REGLEE_LE_02_06_2003">#REF!</definedName>
    <definedName name="Regular_Movies" localSheetId="18">#REF!</definedName>
    <definedName name="Regular_Movies" localSheetId="25">#REF!</definedName>
    <definedName name="Regular_Movies" localSheetId="29">#REF!</definedName>
    <definedName name="Regular_Movies" localSheetId="31">#REF!</definedName>
    <definedName name="Regular_Movies" localSheetId="15">#REF!</definedName>
    <definedName name="Regular_Movies" localSheetId="13">#REF!</definedName>
    <definedName name="Regular_Movies" localSheetId="17">#REF!</definedName>
    <definedName name="Regular_Movies" localSheetId="12">#REF!</definedName>
    <definedName name="Regular_Movies" localSheetId="22">#REF!</definedName>
    <definedName name="Regular_Movies" localSheetId="28">#REF!</definedName>
    <definedName name="Regular_Movies" localSheetId="35">#REF!</definedName>
    <definedName name="Regular_Movies">#REF!</definedName>
    <definedName name="Relation_Client1">'[82]Catégories&amp; motifs_réclamations'!$B$3:$B$16</definedName>
    <definedName name="Release_Summary_Q1" localSheetId="29">'[63]CIG+OV'!#REF!</definedName>
    <definedName name="Release_Summary_Q1" localSheetId="31">'[63]CIG+OV'!#REF!</definedName>
    <definedName name="Release_Summary_Q1" localSheetId="28">'[63]CIG+OV'!#REF!</definedName>
    <definedName name="Release_Summary_Q1" localSheetId="35">'[63]CIG+OV'!#REF!</definedName>
    <definedName name="Release_Summary_Q1">'[63]CIG+OV'!#REF!</definedName>
    <definedName name="remis" localSheetId="29">'[52]FES  ATLAS'!#REF!</definedName>
    <definedName name="remis" localSheetId="31">'[52]FES  ATLAS'!#REF!</definedName>
    <definedName name="remis" localSheetId="28">'[52]FES  ATLAS'!#REF!</definedName>
    <definedName name="remis" localSheetId="35">'[52]FES  ATLAS'!#REF!</definedName>
    <definedName name="remis">'[52]FES  ATLAS'!#REF!</definedName>
    <definedName name="REPORT">[47]SV161!$A$4</definedName>
    <definedName name="rer">#N/A</definedName>
    <definedName name="rert" localSheetId="29">#REF!</definedName>
    <definedName name="rert" localSheetId="31">#REF!</definedName>
    <definedName name="rert" localSheetId="28">#REF!</definedName>
    <definedName name="rert" localSheetId="35">#REF!</definedName>
    <definedName name="rert">#REF!</definedName>
    <definedName name="resfdxxf">#N/A</definedName>
    <definedName name="REST" localSheetId="18">[136]BATIMENT!#REF!</definedName>
    <definedName name="REST" localSheetId="29">[136]BATIMENT!#REF!</definedName>
    <definedName name="REST" localSheetId="31">[136]BATIMENT!#REF!</definedName>
    <definedName name="REST" localSheetId="15">[136]BATIMENT!#REF!</definedName>
    <definedName name="REST" localSheetId="13">[136]BATIMENT!#REF!</definedName>
    <definedName name="REST" localSheetId="17">[136]BATIMENT!#REF!</definedName>
    <definedName name="REST" localSheetId="12">[136]BATIMENT!#REF!</definedName>
    <definedName name="REST" localSheetId="22">[136]BATIMENT!#REF!</definedName>
    <definedName name="REST" localSheetId="28">[136]BATIMENT!#REF!</definedName>
    <definedName name="REST" localSheetId="35">[136]BATIMENT!#REF!</definedName>
    <definedName name="REST">[136]BATIMENT!#REF!</definedName>
    <definedName name="Restent_bât">#N/A</definedName>
    <definedName name="RESV99">[72]ULTIMATES!$A$51:$BV$90</definedName>
    <definedName name="Retour_coupon_12_mois">#N/A</definedName>
    <definedName name="Retour_coupon_18_mois">#N/A</definedName>
    <definedName name="RetourEngCoupon">#N/A</definedName>
    <definedName name="retraite2002" localSheetId="18">#REF!</definedName>
    <definedName name="retraite2002" localSheetId="25">#REF!</definedName>
    <definedName name="retraite2002" localSheetId="29">#REF!</definedName>
    <definedName name="retraite2002" localSheetId="31">#REF!</definedName>
    <definedName name="retraite2002" localSheetId="15">#REF!</definedName>
    <definedName name="retraite2002" localSheetId="13">#REF!</definedName>
    <definedName name="retraite2002" localSheetId="17">#REF!</definedName>
    <definedName name="retraite2002" localSheetId="12">#REF!</definedName>
    <definedName name="retraite2002" localSheetId="22">#REF!</definedName>
    <definedName name="retraite2002" localSheetId="28">#REF!</definedName>
    <definedName name="retraite2002" localSheetId="35">#REF!</definedName>
    <definedName name="retraite2002">#REF!</definedName>
    <definedName name="Retraite2003" localSheetId="18">#REF!</definedName>
    <definedName name="Retraite2003" localSheetId="25">#REF!</definedName>
    <definedName name="Retraite2003" localSheetId="29">#REF!</definedName>
    <definedName name="Retraite2003" localSheetId="31">#REF!</definedName>
    <definedName name="Retraite2003" localSheetId="15">#REF!</definedName>
    <definedName name="Retraite2003" localSheetId="13">#REF!</definedName>
    <definedName name="Retraite2003" localSheetId="17">#REF!</definedName>
    <definedName name="Retraite2003" localSheetId="12">#REF!</definedName>
    <definedName name="Retraite2003" localSheetId="22">#REF!</definedName>
    <definedName name="Retraite2003" localSheetId="28">#REF!</definedName>
    <definedName name="Retraite2003" localSheetId="35">#REF!</definedName>
    <definedName name="Retraite2003">#REF!</definedName>
    <definedName name="rev" localSheetId="18">'[137]Revenus hors intercomp.'!#REF!</definedName>
    <definedName name="rev" localSheetId="29">'[137]Revenus hors intercomp.'!#REF!</definedName>
    <definedName name="rev" localSheetId="31">'[137]Revenus hors intercomp.'!#REF!</definedName>
    <definedName name="rev" localSheetId="15">'[137]Revenus hors intercomp.'!#REF!</definedName>
    <definedName name="rev" localSheetId="13">'[137]Revenus hors intercomp.'!#REF!</definedName>
    <definedName name="rev" localSheetId="17">'[137]Revenus hors intercomp.'!#REF!</definedName>
    <definedName name="rev" localSheetId="12">'[137]Revenus hors intercomp.'!#REF!</definedName>
    <definedName name="rev" localSheetId="22">'[137]Revenus hors intercomp.'!#REF!</definedName>
    <definedName name="rev" localSheetId="28">'[137]Revenus hors intercomp.'!#REF!</definedName>
    <definedName name="rev" localSheetId="35">'[137]Revenus hors intercomp.'!#REF!</definedName>
    <definedName name="rev">'[137]Revenus hors intercomp.'!#REF!</definedName>
    <definedName name="rev___0">#N/A</definedName>
    <definedName name="rev___12">#N/A</definedName>
    <definedName name="rev___14">#N/A</definedName>
    <definedName name="rev___16">#N/A</definedName>
    <definedName name="rev___2">#N/A</definedName>
    <definedName name="rev___25">#N/A</definedName>
    <definedName name="rev___26">#N/A</definedName>
    <definedName name="rev___27">#N/A</definedName>
    <definedName name="rev___4">#N/A</definedName>
    <definedName name="rev___5">#N/A</definedName>
    <definedName name="rev___7">#N/A</definedName>
    <definedName name="revenus" localSheetId="18">#REF!</definedName>
    <definedName name="revenus" localSheetId="25">#REF!</definedName>
    <definedName name="revenus" localSheetId="29">#REF!</definedName>
    <definedName name="revenus" localSheetId="31">#REF!</definedName>
    <definedName name="revenus" localSheetId="15">#REF!</definedName>
    <definedName name="revenus" localSheetId="13">#REF!</definedName>
    <definedName name="revenus" localSheetId="17">#REF!</definedName>
    <definedName name="revenus" localSheetId="12">#REF!</definedName>
    <definedName name="revenus" localSheetId="22">#REF!</definedName>
    <definedName name="revenus" localSheetId="28">#REF!</definedName>
    <definedName name="revenus" localSheetId="35">#REF!</definedName>
    <definedName name="revenus">#REF!</definedName>
    <definedName name="revenus___0">#N/A</definedName>
    <definedName name="revenus___12">#N/A</definedName>
    <definedName name="revenus___14">#N/A</definedName>
    <definedName name="revenus___16">#N/A</definedName>
    <definedName name="revenus___2">#N/A</definedName>
    <definedName name="revenus___25">#N/A</definedName>
    <definedName name="revenus___26">#N/A</definedName>
    <definedName name="revenus___27">#N/A</definedName>
    <definedName name="revenus___4">#N/A</definedName>
    <definedName name="revenus___5">#N/A</definedName>
    <definedName name="revenus___7">#N/A</definedName>
    <definedName name="REVISIONS" localSheetId="18">#REF!</definedName>
    <definedName name="REVISIONS" localSheetId="25">#REF!</definedName>
    <definedName name="REVISIONS" localSheetId="29">#REF!</definedName>
    <definedName name="REVISIONS" localSheetId="31">#REF!</definedName>
    <definedName name="REVISIONS" localSheetId="15">#REF!</definedName>
    <definedName name="REVISIONS" localSheetId="13">#REF!</definedName>
    <definedName name="REVISIONS" localSheetId="17">#REF!</definedName>
    <definedName name="REVISIONS" localSheetId="12">#REF!</definedName>
    <definedName name="REVISIONS" localSheetId="22">#REF!</definedName>
    <definedName name="REVISIONS" localSheetId="28">#REF!</definedName>
    <definedName name="REVISIONS" localSheetId="35">#REF!</definedName>
    <definedName name="REVISIONS">#REF!</definedName>
    <definedName name="REZTEZRT" hidden="1">[86]AW!$A$11:$A$24</definedName>
    <definedName name="rezze">#N/A</definedName>
    <definedName name="rgedfbgd">#N/A</definedName>
    <definedName name="rgedrgvd" localSheetId="18">#REF!</definedName>
    <definedName name="rgedrgvd" localSheetId="25">#REF!</definedName>
    <definedName name="rgedrgvd" localSheetId="29">#REF!</definedName>
    <definedName name="rgedrgvd" localSheetId="31">#REF!</definedName>
    <definedName name="rgedrgvd" localSheetId="15">#REF!</definedName>
    <definedName name="rgedrgvd" localSheetId="13">#REF!</definedName>
    <definedName name="rgedrgvd" localSheetId="17">#REF!</definedName>
    <definedName name="rgedrgvd" localSheetId="12">#REF!</definedName>
    <definedName name="rgedrgvd" localSheetId="22">#REF!</definedName>
    <definedName name="rgedrgvd" localSheetId="28">#REF!</definedName>
    <definedName name="rgedrgvd" localSheetId="35">#REF!</definedName>
    <definedName name="rgedrgvd">#REF!</definedName>
    <definedName name="rgthsrjsyj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18">#REF!</definedName>
    <definedName name="rhrr" localSheetId="25">#REF!</definedName>
    <definedName name="rhrr" localSheetId="29">#REF!</definedName>
    <definedName name="rhrr" localSheetId="31">#REF!</definedName>
    <definedName name="rhrr" localSheetId="15">#REF!</definedName>
    <definedName name="rhrr" localSheetId="13">#REF!</definedName>
    <definedName name="rhrr" localSheetId="17">#REF!</definedName>
    <definedName name="rhrr" localSheetId="12">#REF!</definedName>
    <definedName name="rhrr" localSheetId="22">#REF!</definedName>
    <definedName name="rhrr" localSheetId="28">#REF!</definedName>
    <definedName name="rhrr" localSheetId="35">#REF!</definedName>
    <definedName name="rhrr">#REF!</definedName>
    <definedName name="Riad">#N/A</definedName>
    <definedName name="RID" localSheetId="18">#REF!</definedName>
    <definedName name="RID" localSheetId="25">#REF!</definedName>
    <definedName name="RID" localSheetId="29">#REF!</definedName>
    <definedName name="RID" localSheetId="31">#REF!</definedName>
    <definedName name="RID" localSheetId="15">#REF!</definedName>
    <definedName name="RID" localSheetId="13">#REF!</definedName>
    <definedName name="RID" localSheetId="17">#REF!</definedName>
    <definedName name="RID" localSheetId="12">#REF!</definedName>
    <definedName name="RID" localSheetId="22">#REF!</definedName>
    <definedName name="RID" localSheetId="28">#REF!</definedName>
    <definedName name="RID" localSheetId="35">#REF!</definedName>
    <definedName name="RID">#REF!</definedName>
    <definedName name="RiskPremium" localSheetId="18">#REF!</definedName>
    <definedName name="RiskPremium" localSheetId="25">#REF!</definedName>
    <definedName name="RiskPremium" localSheetId="29">#REF!</definedName>
    <definedName name="RiskPremium" localSheetId="31">#REF!</definedName>
    <definedName name="RiskPremium" localSheetId="15">#REF!</definedName>
    <definedName name="RiskPremium" localSheetId="13">#REF!</definedName>
    <definedName name="RiskPremium" localSheetId="17">#REF!</definedName>
    <definedName name="RiskPremium" localSheetId="12">#REF!</definedName>
    <definedName name="RiskPremium" localSheetId="22">#REF!</definedName>
    <definedName name="RiskPremium" localSheetId="28">#REF!</definedName>
    <definedName name="RiskPremium" localSheetId="35">#REF!</definedName>
    <definedName name="RiskPremium">#REF!</definedName>
    <definedName name="RiskPremium___0">#N/A</definedName>
    <definedName name="RiskPremium___12">#N/A</definedName>
    <definedName name="RiskPremium___14">#N/A</definedName>
    <definedName name="RiskPremium___16">#N/A</definedName>
    <definedName name="RiskPremium___2">#N/A</definedName>
    <definedName name="RiskPremium___25">#N/A</definedName>
    <definedName name="RiskPremium___26">#N/A</definedName>
    <definedName name="RiskPremium___27">#N/A</definedName>
    <definedName name="RiskPremium___4">#N/A</definedName>
    <definedName name="RiskPremium___5">#N/A</definedName>
    <definedName name="RiskPremium___7">#N/A</definedName>
    <definedName name="RM_Distri">#N/A</definedName>
    <definedName name="RM_SCS">#N/A</definedName>
    <definedName name="RMD_VPC">#N/A</definedName>
    <definedName name="RMDexp">#N/A</definedName>
    <definedName name="RMDTot">#N/A</definedName>
    <definedName name="rngCellNotes" localSheetId="18">#REF!</definedName>
    <definedName name="rngCellNotes" localSheetId="25">#REF!</definedName>
    <definedName name="rngCellNotes" localSheetId="29">#REF!</definedName>
    <definedName name="rngCellNotes" localSheetId="31">#REF!</definedName>
    <definedName name="rngCellNotes" localSheetId="15">#REF!</definedName>
    <definedName name="rngCellNotes" localSheetId="13">#REF!</definedName>
    <definedName name="rngCellNotes" localSheetId="17">#REF!</definedName>
    <definedName name="rngCellNotes" localSheetId="12">#REF!</definedName>
    <definedName name="rngCellNotes" localSheetId="22">#REF!</definedName>
    <definedName name="rngCellNotes" localSheetId="28">#REF!</definedName>
    <definedName name="rngCellNotes" localSheetId="35">#REF!</definedName>
    <definedName name="rngCellNotes">#REF!</definedName>
    <definedName name="rngColor" localSheetId="18">#REF!</definedName>
    <definedName name="rngColor" localSheetId="25">#REF!</definedName>
    <definedName name="rngColor" localSheetId="29">#REF!</definedName>
    <definedName name="rngColor" localSheetId="31">#REF!</definedName>
    <definedName name="rngColor" localSheetId="15">#REF!</definedName>
    <definedName name="rngColor" localSheetId="13">#REF!</definedName>
    <definedName name="rngColor" localSheetId="17">#REF!</definedName>
    <definedName name="rngColor" localSheetId="12">#REF!</definedName>
    <definedName name="rngColor" localSheetId="22">#REF!</definedName>
    <definedName name="rngColor" localSheetId="28">#REF!</definedName>
    <definedName name="rngColor" localSheetId="35">#REF!</definedName>
    <definedName name="rngColor">#REF!</definedName>
    <definedName name="rngDim1" localSheetId="18">#REF!</definedName>
    <definedName name="rngDim1" localSheetId="25">#REF!</definedName>
    <definedName name="rngDim1" localSheetId="29">#REF!</definedName>
    <definedName name="rngDim1" localSheetId="31">#REF!</definedName>
    <definedName name="rngDim1" localSheetId="15">#REF!</definedName>
    <definedName name="rngDim1" localSheetId="13">#REF!</definedName>
    <definedName name="rngDim1" localSheetId="17">#REF!</definedName>
    <definedName name="rngDim1" localSheetId="12">#REF!</definedName>
    <definedName name="rngDim1" localSheetId="22">#REF!</definedName>
    <definedName name="rngDim1" localSheetId="28">#REF!</definedName>
    <definedName name="rngDim1" localSheetId="35">#REF!</definedName>
    <definedName name="rngDim1">#REF!</definedName>
    <definedName name="rngDim2" localSheetId="18">#REF!</definedName>
    <definedName name="rngDim2" localSheetId="25">#REF!</definedName>
    <definedName name="rngDim2" localSheetId="29">#REF!</definedName>
    <definedName name="rngDim2" localSheetId="31">#REF!</definedName>
    <definedName name="rngDim2" localSheetId="15">#REF!</definedName>
    <definedName name="rngDim2" localSheetId="13">#REF!</definedName>
    <definedName name="rngDim2" localSheetId="17">#REF!</definedName>
    <definedName name="rngDim2" localSheetId="12">#REF!</definedName>
    <definedName name="rngDim2" localSheetId="22">#REF!</definedName>
    <definedName name="rngDim2" localSheetId="28">#REF!</definedName>
    <definedName name="rngDim2" localSheetId="35">#REF!</definedName>
    <definedName name="rngDim2">#REF!</definedName>
    <definedName name="rngDim3" localSheetId="18">#REF!</definedName>
    <definedName name="rngDim3" localSheetId="25">#REF!</definedName>
    <definedName name="rngDim3" localSheetId="29">#REF!</definedName>
    <definedName name="rngDim3" localSheetId="31">#REF!</definedName>
    <definedName name="rngDim3" localSheetId="15">#REF!</definedName>
    <definedName name="rngDim3" localSheetId="13">#REF!</definedName>
    <definedName name="rngDim3" localSheetId="17">#REF!</definedName>
    <definedName name="rngDim3" localSheetId="12">#REF!</definedName>
    <definedName name="rngDim3" localSheetId="22">#REF!</definedName>
    <definedName name="rngDim3" localSheetId="28">#REF!</definedName>
    <definedName name="rngDim3" localSheetId="35">#REF!</definedName>
    <definedName name="rngDim3">#REF!</definedName>
    <definedName name="rngDim4" localSheetId="18">#REF!</definedName>
    <definedName name="rngDim4" localSheetId="25">#REF!</definedName>
    <definedName name="rngDim4" localSheetId="29">#REF!</definedName>
    <definedName name="rngDim4" localSheetId="31">#REF!</definedName>
    <definedName name="rngDim4" localSheetId="15">#REF!</definedName>
    <definedName name="rngDim4" localSheetId="13">#REF!</definedName>
    <definedName name="rngDim4" localSheetId="17">#REF!</definedName>
    <definedName name="rngDim4" localSheetId="12">#REF!</definedName>
    <definedName name="rngDim4" localSheetId="22">#REF!</definedName>
    <definedName name="rngDim4" localSheetId="28">#REF!</definedName>
    <definedName name="rngDim4" localSheetId="35">#REF!</definedName>
    <definedName name="rngDim4">#REF!</definedName>
    <definedName name="rngRetrieve" localSheetId="18">#REF!</definedName>
    <definedName name="rngRetrieve" localSheetId="25">#REF!</definedName>
    <definedName name="rngRetrieve" localSheetId="29">#REF!</definedName>
    <definedName name="rngRetrieve" localSheetId="31">#REF!</definedName>
    <definedName name="rngRetrieve" localSheetId="15">#REF!</definedName>
    <definedName name="rngRetrieve" localSheetId="13">#REF!</definedName>
    <definedName name="rngRetrieve" localSheetId="17">#REF!</definedName>
    <definedName name="rngRetrieve" localSheetId="12">#REF!</definedName>
    <definedName name="rngRetrieve" localSheetId="22">#REF!</definedName>
    <definedName name="rngRetrieve" localSheetId="28">#REF!</definedName>
    <definedName name="rngRetrieve" localSheetId="35">#REF!</definedName>
    <definedName name="rngRetrieve">#REF!</definedName>
    <definedName name="rngRetrieveFlags" localSheetId="18">#REF!</definedName>
    <definedName name="rngRetrieveFlags" localSheetId="25">#REF!</definedName>
    <definedName name="rngRetrieveFlags" localSheetId="29">#REF!</definedName>
    <definedName name="rngRetrieveFlags" localSheetId="31">#REF!</definedName>
    <definedName name="rngRetrieveFlags" localSheetId="15">#REF!</definedName>
    <definedName name="rngRetrieveFlags" localSheetId="13">#REF!</definedName>
    <definedName name="rngRetrieveFlags" localSheetId="17">#REF!</definedName>
    <definedName name="rngRetrieveFlags" localSheetId="12">#REF!</definedName>
    <definedName name="rngRetrieveFlags" localSheetId="22">#REF!</definedName>
    <definedName name="rngRetrieveFlags" localSheetId="28">#REF!</definedName>
    <definedName name="rngRetrieveFlags" localSheetId="35">#REF!</definedName>
    <definedName name="rngRetrieveFlags">#REF!</definedName>
    <definedName name="Rochd">#N/A</definedName>
    <definedName name="ROCK">#N/A</definedName>
    <definedName name="ROLL">#N/A</definedName>
    <definedName name="Romania___MobilRom">"Orange_RomaniaSubs"</definedName>
    <definedName name="ROWS">#N/A</definedName>
    <definedName name="rqerger" localSheetId="18">[6]!rqerger</definedName>
    <definedName name="rqerger" localSheetId="25">[6]!rqerger</definedName>
    <definedName name="rqerger" localSheetId="29">[6]!rqerger</definedName>
    <definedName name="rqerger" localSheetId="31">[6]!rqerger</definedName>
    <definedName name="rqerger" localSheetId="15">[6]!rqerger</definedName>
    <definedName name="rqerger" localSheetId="13">[6]!rqerger</definedName>
    <definedName name="rqerger" localSheetId="19">[7]!rqerger</definedName>
    <definedName name="rqerger" localSheetId="17">[6]!rqerger</definedName>
    <definedName name="rqerger" localSheetId="12">[6]!rqerger</definedName>
    <definedName name="rqerger" localSheetId="22">[8]!rqerger</definedName>
    <definedName name="rqerger">[6]!rqerger</definedName>
    <definedName name="rr" localSheetId="18">#REF!</definedName>
    <definedName name="rr" localSheetId="25">#REF!</definedName>
    <definedName name="rr" localSheetId="29">#REF!</definedName>
    <definedName name="rr" localSheetId="31">#REF!</definedName>
    <definedName name="rr" localSheetId="15">#REF!</definedName>
    <definedName name="rr" localSheetId="13">#REF!</definedName>
    <definedName name="rr" localSheetId="17">#REF!</definedName>
    <definedName name="rr" localSheetId="12">#REF!</definedName>
    <definedName name="rr" localSheetId="22">#REF!</definedName>
    <definedName name="rr" localSheetId="28">#REF!</definedName>
    <definedName name="rr" localSheetId="35">#REF!</definedName>
    <definedName name="rr">#REF!</definedName>
    <definedName name="rrrr">#N/A</definedName>
    <definedName name="rrrrr" localSheetId="29">#REF!</definedName>
    <definedName name="rrrrr" localSheetId="31">#REF!</definedName>
    <definedName name="rrrrr" localSheetId="28">#REF!</definedName>
    <definedName name="rrrrr" localSheetId="35">#REF!</definedName>
    <definedName name="rrrrr">#REF!</definedName>
    <definedName name="rrthth" localSheetId="18" hidden="1">#REF!</definedName>
    <definedName name="rrthth" localSheetId="25" hidden="1">#REF!</definedName>
    <definedName name="rrthth" localSheetId="29" hidden="1">#REF!</definedName>
    <definedName name="rrthth" localSheetId="31" hidden="1">#REF!</definedName>
    <definedName name="rrthth" localSheetId="15" hidden="1">#REF!</definedName>
    <definedName name="rrthth" localSheetId="13" hidden="1">#REF!</definedName>
    <definedName name="rrthth" localSheetId="17" hidden="1">#REF!</definedName>
    <definedName name="rrthth" localSheetId="12" hidden="1">#REF!</definedName>
    <definedName name="rrthth" localSheetId="22" hidden="1">#REF!</definedName>
    <definedName name="rrthth" localSheetId="28" hidden="1">#REF!</definedName>
    <definedName name="rrthth" localSheetId="35" hidden="1">#REF!</definedName>
    <definedName name="rrthth" hidden="1">#REF!</definedName>
    <definedName name="RS">#N/A</definedName>
    <definedName name="rsb_cig" localSheetId="29">#REF!</definedName>
    <definedName name="rsb_cig" localSheetId="31">#REF!</definedName>
    <definedName name="rsb_cig" localSheetId="28">#REF!</definedName>
    <definedName name="rsb_cig" localSheetId="35">#REF!</definedName>
    <definedName name="rsb_cig">#REF!</definedName>
    <definedName name="rsb_ecid" localSheetId="29">'[63]CIG+OV'!#REF!</definedName>
    <definedName name="rsb_ecid" localSheetId="31">'[63]CIG+OV'!#REF!</definedName>
    <definedName name="rsb_ecid" localSheetId="28">'[63]CIG+OV'!#REF!</definedName>
    <definedName name="rsb_ecid" localSheetId="35">'[63]CIG+OV'!#REF!</definedName>
    <definedName name="rsb_ecid">'[63]CIG+OV'!#REF!</definedName>
    <definedName name="rsb_icid" localSheetId="29">'[63]CIG+OV'!#REF!</definedName>
    <definedName name="rsb_icid" localSheetId="31">'[63]CIG+OV'!#REF!</definedName>
    <definedName name="rsb_icid" localSheetId="28">'[63]CIG+OV'!#REF!</definedName>
    <definedName name="rsb_icid" localSheetId="35">'[63]CIG+OV'!#REF!</definedName>
    <definedName name="rsb_icid">'[63]CIG+OV'!#REF!</definedName>
    <definedName name="rsb_jcid" localSheetId="29">'[63]CIG+OV'!#REF!</definedName>
    <definedName name="rsb_jcid" localSheetId="31">'[63]CIG+OV'!#REF!</definedName>
    <definedName name="rsb_jcid" localSheetId="28">'[63]CIG+OV'!#REF!</definedName>
    <definedName name="rsb_jcid" localSheetId="35">'[63]CIG+OV'!#REF!</definedName>
    <definedName name="rsb_jcid">'[63]CIG+OV'!#REF!</definedName>
    <definedName name="RSB_Markets" localSheetId="29">#REF!</definedName>
    <definedName name="RSB_Markets" localSheetId="31">#REF!</definedName>
    <definedName name="RSB_Markets" localSheetId="28">#REF!</definedName>
    <definedName name="RSB_Markets" localSheetId="35">#REF!</definedName>
    <definedName name="RSB_Markets">#REF!</definedName>
    <definedName name="rsb_mcc" localSheetId="29">'[63]CIG+OV'!#REF!</definedName>
    <definedName name="rsb_mcc" localSheetId="31">'[63]CIG+OV'!#REF!</definedName>
    <definedName name="rsb_mcc" localSheetId="28">'[63]CIG+OV'!#REF!</definedName>
    <definedName name="rsb_mcc" localSheetId="35">'[63]CIG+OV'!#REF!</definedName>
    <definedName name="rsb_mcc">'[63]CIG+OV'!#REF!</definedName>
    <definedName name="rsb_mncc" localSheetId="29">'[63]CIG+OV'!#REF!</definedName>
    <definedName name="rsb_mncc" localSheetId="31">'[63]CIG+OV'!#REF!</definedName>
    <definedName name="rsb_mncc" localSheetId="28">'[63]CIG+OV'!#REF!</definedName>
    <definedName name="rsb_mncc" localSheetId="35">'[63]CIG+OV'!#REF!</definedName>
    <definedName name="rsb_mncc">'[63]CIG+OV'!#REF!</definedName>
    <definedName name="rsb_overview" localSheetId="29">'[63]CIG+OV'!#REF!</definedName>
    <definedName name="rsb_overview" localSheetId="31">'[63]CIG+OV'!#REF!</definedName>
    <definedName name="rsb_overview" localSheetId="28">'[63]CIG+OV'!#REF!</definedName>
    <definedName name="rsb_overview" localSheetId="35">'[63]CIG+OV'!#REF!</definedName>
    <definedName name="rsb_overview">'[63]CIG+OV'!#REF!</definedName>
    <definedName name="RT">#N/A</definedName>
    <definedName name="rthbcg" localSheetId="18">'[95]A.I.A'!#REF!</definedName>
    <definedName name="rthbcg" localSheetId="29">'[95]A.I.A'!#REF!</definedName>
    <definedName name="rthbcg" localSheetId="31">'[95]A.I.A'!#REF!</definedName>
    <definedName name="rthbcg" localSheetId="15">'[95]A.I.A'!#REF!</definedName>
    <definedName name="rthbcg" localSheetId="13">'[95]A.I.A'!#REF!</definedName>
    <definedName name="rthbcg" localSheetId="17">'[95]A.I.A'!#REF!</definedName>
    <definedName name="rthbcg" localSheetId="12">'[95]A.I.A'!#REF!</definedName>
    <definedName name="rthbcg" localSheetId="22">'[95]A.I.A'!#REF!</definedName>
    <definedName name="rthbcg" localSheetId="28">'[95]A.I.A'!#REF!</definedName>
    <definedName name="rthbcg" localSheetId="35">'[95]A.I.A'!#REF!</definedName>
    <definedName name="rthbcg">'[95]A.I.A'!#REF!</definedName>
    <definedName name="rthrfh" localSheetId="18">[95]BATIMENT!#REF!</definedName>
    <definedName name="rthrfh" localSheetId="29">[95]BATIMENT!#REF!</definedName>
    <definedName name="rthrfh" localSheetId="31">[95]BATIMENT!#REF!</definedName>
    <definedName name="rthrfh" localSheetId="15">[95]BATIMENT!#REF!</definedName>
    <definedName name="rthrfh" localSheetId="13">[95]BATIMENT!#REF!</definedName>
    <definedName name="rthrfh" localSheetId="17">[95]BATIMENT!#REF!</definedName>
    <definedName name="rthrfh" localSheetId="12">[95]BATIMENT!#REF!</definedName>
    <definedName name="rthrfh" localSheetId="22">[95]BATIMENT!#REF!</definedName>
    <definedName name="rthrfh" localSheetId="28">[95]BATIMENT!#REF!</definedName>
    <definedName name="rthrfh" localSheetId="35">[95]BATIMENT!#REF!</definedName>
    <definedName name="rthrfh">[95]BATIMENT!#REF!</definedName>
    <definedName name="rtrtrter" localSheetId="18">#REF!</definedName>
    <definedName name="rtrtrter" localSheetId="25">#REF!</definedName>
    <definedName name="rtrtrter" localSheetId="29">#REF!</definedName>
    <definedName name="rtrtrter" localSheetId="31">#REF!</definedName>
    <definedName name="rtrtrter" localSheetId="15">#REF!</definedName>
    <definedName name="rtrtrter" localSheetId="13">#REF!</definedName>
    <definedName name="rtrtrter" localSheetId="17">#REF!</definedName>
    <definedName name="rtrtrter" localSheetId="12">#REF!</definedName>
    <definedName name="rtrtrter" localSheetId="22">#REF!</definedName>
    <definedName name="rtrtrter" localSheetId="28">#REF!</definedName>
    <definedName name="rtrtrter" localSheetId="35">#REF!</definedName>
    <definedName name="rtrtrter">#REF!</definedName>
    <definedName name="rty" localSheetId="28" hidden="1">{#N/A,#N/A,TRUE,"Pro Forma";#N/A,#N/A,TRUE,"PF_Bal";#N/A,#N/A,TRUE,"PF_INC";#N/A,#N/A,TRUE,"CBE";#N/A,#N/A,TRUE,"SWK"}</definedName>
    <definedName name="rty" localSheetId="35" hidden="1">{#N/A,#N/A,TRUE,"Pro Forma";#N/A,#N/A,TRUE,"PF_Bal";#N/A,#N/A,TRUE,"PF_INC";#N/A,#N/A,TRUE,"CBE";#N/A,#N/A,TRUE,"SWK"}</definedName>
    <definedName name="rty" hidden="1">{#N/A,#N/A,TRUE,"Pro Forma";#N/A,#N/A,TRUE,"PF_Bal";#N/A,#N/A,TRUE,"PF_INC";#N/A,#N/A,TRUE,"CBE";#N/A,#N/A,TRUE,"SWK"}</definedName>
    <definedName name="rtygrtgr">#N/A</definedName>
    <definedName name="RVA">'[25]Rapport Période'!$P$3:$P$23</definedName>
    <definedName name="RVM" localSheetId="18">#REF!</definedName>
    <definedName name="RVM" localSheetId="25">#REF!</definedName>
    <definedName name="RVM" localSheetId="29">#REF!</definedName>
    <definedName name="RVM" localSheetId="31">#REF!</definedName>
    <definedName name="RVM" localSheetId="15">#REF!</definedName>
    <definedName name="RVM" localSheetId="13">#REF!</definedName>
    <definedName name="RVM" localSheetId="17">#REF!</definedName>
    <definedName name="RVM" localSheetId="12">#REF!</definedName>
    <definedName name="RVM" localSheetId="22">#REF!</definedName>
    <definedName name="RVM" localSheetId="28">#REF!</definedName>
    <definedName name="RVM" localSheetId="35">#REF!</definedName>
    <definedName name="RVM">#REF!</definedName>
    <definedName name="S" localSheetId="18">#REF!</definedName>
    <definedName name="S" localSheetId="25">#REF!</definedName>
    <definedName name="S" localSheetId="29">#REF!</definedName>
    <definedName name="S" localSheetId="31">#REF!</definedName>
    <definedName name="S" localSheetId="15">#REF!</definedName>
    <definedName name="S" localSheetId="13">#REF!</definedName>
    <definedName name="S" localSheetId="17">#REF!</definedName>
    <definedName name="S" localSheetId="12">#REF!</definedName>
    <definedName name="S" localSheetId="22">#REF!</definedName>
    <definedName name="S" localSheetId="28">#REF!</definedName>
    <definedName name="S" localSheetId="35">#REF!</definedName>
    <definedName name="S">#REF!</definedName>
    <definedName name="S.G.M.B" localSheetId="18">#REF!</definedName>
    <definedName name="S.G.M.B" localSheetId="25">#REF!</definedName>
    <definedName name="S.G.M.B" localSheetId="29">#REF!</definedName>
    <definedName name="S.G.M.B" localSheetId="31">#REF!</definedName>
    <definedName name="S.G.M.B" localSheetId="15">#REF!</definedName>
    <definedName name="S.G.M.B" localSheetId="13">#REF!</definedName>
    <definedName name="S.G.M.B" localSheetId="17">#REF!</definedName>
    <definedName name="S.G.M.B" localSheetId="12">#REF!</definedName>
    <definedName name="S.G.M.B" localSheetId="22">#REF!</definedName>
    <definedName name="S.G.M.B" localSheetId="28">#REF!</definedName>
    <definedName name="S.G.M.B" localSheetId="35">#REF!</definedName>
    <definedName name="S.G.M.B">#REF!</definedName>
    <definedName name="S.G.M.B." localSheetId="18">#REF!</definedName>
    <definedName name="S.G.M.B." localSheetId="25">#REF!</definedName>
    <definedName name="S.G.M.B." localSheetId="29">#REF!</definedName>
    <definedName name="S.G.M.B." localSheetId="31">#REF!</definedName>
    <definedName name="S.G.M.B." localSheetId="15">#REF!</definedName>
    <definedName name="S.G.M.B." localSheetId="13">#REF!</definedName>
    <definedName name="S.G.M.B." localSheetId="17">#REF!</definedName>
    <definedName name="S.G.M.B." localSheetId="12">#REF!</definedName>
    <definedName name="S.G.M.B." localSheetId="22">#REF!</definedName>
    <definedName name="S.G.M.B." localSheetId="28">#REF!</definedName>
    <definedName name="S.G.M.B." localSheetId="35">#REF!</definedName>
    <definedName name="S.G.M.B.">#REF!</definedName>
    <definedName name="S.M.D.C" localSheetId="18">#REF!</definedName>
    <definedName name="S.M.D.C" localSheetId="25">#REF!</definedName>
    <definedName name="S.M.D.C" localSheetId="29">#REF!</definedName>
    <definedName name="S.M.D.C" localSheetId="31">#REF!</definedName>
    <definedName name="S.M.D.C" localSheetId="15">#REF!</definedName>
    <definedName name="S.M.D.C" localSheetId="13">#REF!</definedName>
    <definedName name="S.M.D.C" localSheetId="17">#REF!</definedName>
    <definedName name="S.M.D.C" localSheetId="12">#REF!</definedName>
    <definedName name="S.M.D.C" localSheetId="22">#REF!</definedName>
    <definedName name="S.M.D.C" localSheetId="28">#REF!</definedName>
    <definedName name="S.M.D.C" localSheetId="35">#REF!</definedName>
    <definedName name="S.M.D.C">#REF!</definedName>
    <definedName name="S.M.D.C." localSheetId="18">#REF!</definedName>
    <definedName name="S.M.D.C." localSheetId="25">#REF!</definedName>
    <definedName name="S.M.D.C." localSheetId="29">#REF!</definedName>
    <definedName name="S.M.D.C." localSheetId="31">#REF!</definedName>
    <definedName name="S.M.D.C." localSheetId="15">#REF!</definedName>
    <definedName name="S.M.D.C." localSheetId="13">#REF!</definedName>
    <definedName name="S.M.D.C." localSheetId="17">#REF!</definedName>
    <definedName name="S.M.D.C." localSheetId="12">#REF!</definedName>
    <definedName name="S.M.D.C." localSheetId="22">#REF!</definedName>
    <definedName name="S.M.D.C." localSheetId="28">#REF!</definedName>
    <definedName name="S.M.D.C." localSheetId="35">#REF!</definedName>
    <definedName name="S.M.D.C.">#REF!</definedName>
    <definedName name="S___0">#N/A</definedName>
    <definedName name="S___12">#N/A</definedName>
    <definedName name="S___14">#N/A</definedName>
    <definedName name="S___16">#N/A</definedName>
    <definedName name="S___2">#N/A</definedName>
    <definedName name="S___25">#N/A</definedName>
    <definedName name="S___26">#N/A</definedName>
    <definedName name="S___27">#N/A</definedName>
    <definedName name="S___4">#N/A</definedName>
    <definedName name="S___5">#N/A</definedName>
    <definedName name="S___7">#N/A</definedName>
    <definedName name="SAChoice" localSheetId="18">#REF!</definedName>
    <definedName name="SAChoice" localSheetId="25">#REF!</definedName>
    <definedName name="SAChoice" localSheetId="29">#REF!</definedName>
    <definedName name="SAChoice" localSheetId="31">#REF!</definedName>
    <definedName name="SAChoice" localSheetId="15">#REF!</definedName>
    <definedName name="SAChoice" localSheetId="13">#REF!</definedName>
    <definedName name="SAChoice" localSheetId="17">#REF!</definedName>
    <definedName name="SAChoice" localSheetId="12">#REF!</definedName>
    <definedName name="SAChoice" localSheetId="22">#REF!</definedName>
    <definedName name="SAChoice" localSheetId="28">#REF!</definedName>
    <definedName name="SAChoice" localSheetId="35">#REF!</definedName>
    <definedName name="SAChoice">#REF!</definedName>
    <definedName name="SAChoice___0">#N/A</definedName>
    <definedName name="SAChoice___12">#N/A</definedName>
    <definedName name="SAChoice___14">#N/A</definedName>
    <definedName name="SAChoice___16">#N/A</definedName>
    <definedName name="SAChoice___2">#N/A</definedName>
    <definedName name="SAChoice___25">#N/A</definedName>
    <definedName name="SAChoice___26">#N/A</definedName>
    <definedName name="SAChoice___27">#N/A</definedName>
    <definedName name="SAChoice___4">#N/A</definedName>
    <definedName name="SAChoice___5">#N/A</definedName>
    <definedName name="SAChoice___7">#N/A</definedName>
    <definedName name="sadd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8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35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#N/A</definedName>
    <definedName name="SAList" localSheetId="18">#REF!</definedName>
    <definedName name="SAList" localSheetId="25">#REF!</definedName>
    <definedName name="SAList" localSheetId="29">#REF!</definedName>
    <definedName name="SAList" localSheetId="31">#REF!</definedName>
    <definedName name="SAList" localSheetId="15">#REF!</definedName>
    <definedName name="SAList" localSheetId="13">#REF!</definedName>
    <definedName name="SAList" localSheetId="17">#REF!</definedName>
    <definedName name="SAList" localSheetId="12">#REF!</definedName>
    <definedName name="SAList" localSheetId="22">#REF!</definedName>
    <definedName name="SAList" localSheetId="28">#REF!</definedName>
    <definedName name="SAList" localSheetId="35">#REF!</definedName>
    <definedName name="SAList">#REF!</definedName>
    <definedName name="SAList___0">#N/A</definedName>
    <definedName name="SAList___12">#N/A</definedName>
    <definedName name="SAList___14">#N/A</definedName>
    <definedName name="SAList___16">#N/A</definedName>
    <definedName name="SAList___2">#N/A</definedName>
    <definedName name="SAList___25">#N/A</definedName>
    <definedName name="SAList___26">#N/A</definedName>
    <definedName name="SAList___27">#N/A</definedName>
    <definedName name="SAList___4">#N/A</definedName>
    <definedName name="SAList___5">#N/A</definedName>
    <definedName name="SAList___7">#N/A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sgf" localSheetId="28">#N/A</definedName>
    <definedName name="sasgf" localSheetId="35">'Taxe 5%'!sasgf</definedName>
    <definedName name="sasgf">'Taxe 5%'!sasgf</definedName>
    <definedName name="Saturday_Animated" localSheetId="18">#REF!</definedName>
    <definedName name="Saturday_Animated" localSheetId="25">#REF!</definedName>
    <definedName name="Saturday_Animated" localSheetId="29">#REF!</definedName>
    <definedName name="Saturday_Animated" localSheetId="31">#REF!</definedName>
    <definedName name="Saturday_Animated" localSheetId="15">#REF!</definedName>
    <definedName name="Saturday_Animated" localSheetId="13">#REF!</definedName>
    <definedName name="Saturday_Animated" localSheetId="17">#REF!</definedName>
    <definedName name="Saturday_Animated" localSheetId="12">#REF!</definedName>
    <definedName name="Saturday_Animated" localSheetId="22">#REF!</definedName>
    <definedName name="Saturday_Animated" localSheetId="28">#REF!</definedName>
    <definedName name="Saturday_Animated" localSheetId="35">#REF!</definedName>
    <definedName name="Saturday_Animated">#REF!</definedName>
    <definedName name="save" localSheetId="18">[6]!save</definedName>
    <definedName name="save" localSheetId="25">[6]!save</definedName>
    <definedName name="save" localSheetId="29">[6]!save</definedName>
    <definedName name="save" localSheetId="31">[6]!save</definedName>
    <definedName name="save" localSheetId="15">[6]!save</definedName>
    <definedName name="save" localSheetId="13">[6]!save</definedName>
    <definedName name="save" localSheetId="19">[7]!save</definedName>
    <definedName name="save" localSheetId="17">[6]!save</definedName>
    <definedName name="save" localSheetId="12">[6]!save</definedName>
    <definedName name="save" localSheetId="22">[8]!save</definedName>
    <definedName name="save">[6]!save</definedName>
    <definedName name="SaveNewFile" localSheetId="18">[6]!SaveNewFile</definedName>
    <definedName name="SaveNewFile" localSheetId="25">[6]!SaveNewFile</definedName>
    <definedName name="SaveNewFile" localSheetId="29">[6]!SaveNewFile</definedName>
    <definedName name="SaveNewFile" localSheetId="31">[6]!SaveNewFile</definedName>
    <definedName name="SaveNewFile" localSheetId="15">[6]!SaveNewFile</definedName>
    <definedName name="SaveNewFile" localSheetId="13">[6]!SaveNewFile</definedName>
    <definedName name="SaveNewFile" localSheetId="19">[7]!SaveNewFile</definedName>
    <definedName name="SaveNewFile" localSheetId="17">[6]!SaveNewFile</definedName>
    <definedName name="SaveNewFile" localSheetId="12">[6]!SaveNewFile</definedName>
    <definedName name="SaveNewFile" localSheetId="22">[8]!SaveNewFile</definedName>
    <definedName name="SaveNewFile">[6]!SaveNewFile</definedName>
    <definedName name="SaveNewFile___0" localSheetId="25">TAmort___2</definedName>
    <definedName name="SaveNewFile___0" localSheetId="19">TAmort___2</definedName>
    <definedName name="SaveNewFile___0" localSheetId="22">TAmort___2</definedName>
    <definedName name="SaveNewFile___0" localSheetId="28">TAmort___2</definedName>
    <definedName name="SaveNewFile___0" localSheetId="35">TAmort___2</definedName>
    <definedName name="SaveNewFile___0">TAmort___2</definedName>
    <definedName name="SaveNewFile___12">#N/A</definedName>
    <definedName name="SaveNewFile___14">#N/A</definedName>
    <definedName name="SaveNewFile___16" localSheetId="25">sss___27</definedName>
    <definedName name="SaveNewFile___16" localSheetId="19">sss___27</definedName>
    <definedName name="SaveNewFile___16" localSheetId="22">sss___27</definedName>
    <definedName name="SaveNewFile___16" localSheetId="28">sss___27</definedName>
    <definedName name="SaveNewFile___16" localSheetId="35">sss___27</definedName>
    <definedName name="SaveNewFile___16">sss___27</definedName>
    <definedName name="SaveNewFile___2" localSheetId="25">T.G</definedName>
    <definedName name="SaveNewFile___2" localSheetId="19">T.G</definedName>
    <definedName name="SaveNewFile___2" localSheetId="22">T.G</definedName>
    <definedName name="SaveNewFile___2" localSheetId="28">T.G</definedName>
    <definedName name="SaveNewFile___2" localSheetId="35">T.G</definedName>
    <definedName name="SaveNewFile___2">T.G</definedName>
    <definedName name="SaveNewFile___23" localSheetId="25">sss___12</definedName>
    <definedName name="SaveNewFile___23" localSheetId="19">sss___12</definedName>
    <definedName name="SaveNewFile___23" localSheetId="22">sss___12</definedName>
    <definedName name="SaveNewFile___23" localSheetId="28">sss___12</definedName>
    <definedName name="SaveNewFile___23" localSheetId="35">sss___12</definedName>
    <definedName name="SaveNewFile___23">sss___12</definedName>
    <definedName name="SaveNewFile___25" localSheetId="25">sss___26</definedName>
    <definedName name="SaveNewFile___25" localSheetId="19">sss___26</definedName>
    <definedName name="SaveNewFile___25" localSheetId="22">sss___26</definedName>
    <definedName name="SaveNewFile___25" localSheetId="28">sss___26</definedName>
    <definedName name="SaveNewFile___25" localSheetId="35">sss___26</definedName>
    <definedName name="SaveNewFile___25">sss___26</definedName>
    <definedName name="SaveNewFile___26" localSheetId="25">TAmort___25</definedName>
    <definedName name="SaveNewFile___26" localSheetId="19">TAmort___25</definedName>
    <definedName name="SaveNewFile___26" localSheetId="22">TAmort___25</definedName>
    <definedName name="SaveNewFile___26" localSheetId="28">TAmort___25</definedName>
    <definedName name="SaveNewFile___26" localSheetId="35">TAmort___25</definedName>
    <definedName name="SaveNewFile___26">TAmort___25</definedName>
    <definedName name="SaveNewFile___27" localSheetId="25">TAmort___16</definedName>
    <definedName name="SaveNewFile___27" localSheetId="19">TAmort___16</definedName>
    <definedName name="SaveNewFile___27" localSheetId="22">TAmort___16</definedName>
    <definedName name="SaveNewFile___27" localSheetId="28">TAmort___16</definedName>
    <definedName name="SaveNewFile___27" localSheetId="35">TAmort___16</definedName>
    <definedName name="SaveNewFile___27">TAmort___16</definedName>
    <definedName name="SaveNewFile___3" localSheetId="25">sss___0</definedName>
    <definedName name="SaveNewFile___3" localSheetId="19">sss___0</definedName>
    <definedName name="SaveNewFile___3" localSheetId="22">sss___0</definedName>
    <definedName name="SaveNewFile___3" localSheetId="28">sss___0</definedName>
    <definedName name="SaveNewFile___3" localSheetId="35">sss___0</definedName>
    <definedName name="SaveNewFile___3">sss___0</definedName>
    <definedName name="SaveNewFile___4" localSheetId="25">sss___5</definedName>
    <definedName name="SaveNewFile___4" localSheetId="19">sss___5</definedName>
    <definedName name="SaveNewFile___4" localSheetId="22">sss___5</definedName>
    <definedName name="SaveNewFile___4" localSheetId="28">sss___5</definedName>
    <definedName name="SaveNewFile___4" localSheetId="35">sss___5</definedName>
    <definedName name="SaveNewFile___4">sss___5</definedName>
    <definedName name="SaveNewFile___5" localSheetId="25">TAmort___4</definedName>
    <definedName name="SaveNewFile___5" localSheetId="19">TAmort___4</definedName>
    <definedName name="SaveNewFile___5" localSheetId="22">TAmort___4</definedName>
    <definedName name="SaveNewFile___5" localSheetId="28">TAmort___4</definedName>
    <definedName name="SaveNewFile___5" localSheetId="35">TAmort___4</definedName>
    <definedName name="SaveNewFile___5">TAmort___4</definedName>
    <definedName name="SaveNewFile___6" localSheetId="25">sss___2</definedName>
    <definedName name="SaveNewFile___6" localSheetId="19">sss___2</definedName>
    <definedName name="SaveNewFile___6" localSheetId="22">sss___2</definedName>
    <definedName name="SaveNewFile___6" localSheetId="28">sss___2</definedName>
    <definedName name="SaveNewFile___6" localSheetId="35">sss___2</definedName>
    <definedName name="SaveNewFile___6">sss___2</definedName>
    <definedName name="SaveNewFile___7" localSheetId="25">TAmort___14</definedName>
    <definedName name="SaveNewFile___7" localSheetId="19">TAmort___14</definedName>
    <definedName name="SaveNewFile___7" localSheetId="22">TAmort___14</definedName>
    <definedName name="SaveNewFile___7" localSheetId="28">TAmort___14</definedName>
    <definedName name="SaveNewFile___7" localSheetId="35">TAmort___14</definedName>
    <definedName name="SaveNewFile___7">TAmort___14</definedName>
    <definedName name="SaveNewFile___9" localSheetId="25">sss___7</definedName>
    <definedName name="SaveNewFile___9" localSheetId="19">sss___7</definedName>
    <definedName name="SaveNewFile___9" localSheetId="22">sss___7</definedName>
    <definedName name="SaveNewFile___9" localSheetId="28">sss___7</definedName>
    <definedName name="SaveNewFile___9" localSheetId="35">sss___7</definedName>
    <definedName name="SaveNewFile___9">sss___7</definedName>
    <definedName name="sbgsdgfgbb" hidden="1">[86]AW!$E$18</definedName>
    <definedName name="SC16___0">#N/A</definedName>
    <definedName name="SC16___12">#N/A</definedName>
    <definedName name="SC16___14">#N/A</definedName>
    <definedName name="SC16___16">#N/A</definedName>
    <definedName name="SC16___2">#N/A</definedName>
    <definedName name="SC16___25">#N/A</definedName>
    <definedName name="SC16___26">#N/A</definedName>
    <definedName name="SC16___27">#N/A</definedName>
    <definedName name="SC16___4">#N/A</definedName>
    <definedName name="SC16___5">#N/A</definedName>
    <definedName name="SC16___7">#N/A</definedName>
    <definedName name="scdv" localSheetId="18">[6]!scdv</definedName>
    <definedName name="scdv" localSheetId="25">[6]!scdv</definedName>
    <definedName name="scdv" localSheetId="29">[6]!scdv</definedName>
    <definedName name="scdv" localSheetId="31">[6]!scdv</definedName>
    <definedName name="scdv" localSheetId="15">[6]!scdv</definedName>
    <definedName name="scdv" localSheetId="13">[6]!scdv</definedName>
    <definedName name="scdv" localSheetId="19">[7]!scdv</definedName>
    <definedName name="scdv" localSheetId="17">[6]!scdv</definedName>
    <definedName name="scdv" localSheetId="12">[6]!scdv</definedName>
    <definedName name="scdv" localSheetId="22">[8]!scdv</definedName>
    <definedName name="scdv">[6]!scdv</definedName>
    <definedName name="SCN" localSheetId="18">#REF!</definedName>
    <definedName name="SCN" localSheetId="25">#REF!</definedName>
    <definedName name="SCN" localSheetId="29">#REF!</definedName>
    <definedName name="SCN" localSheetId="31">#REF!</definedName>
    <definedName name="SCN" localSheetId="15">#REF!</definedName>
    <definedName name="SCN" localSheetId="13">#REF!</definedName>
    <definedName name="SCN" localSheetId="17">#REF!</definedName>
    <definedName name="SCN" localSheetId="12">#REF!</definedName>
    <definedName name="SCN" localSheetId="22">#REF!</definedName>
    <definedName name="SCN" localSheetId="28">#REF!</definedName>
    <definedName name="SCN" localSheetId="35">#REF!</definedName>
    <definedName name="SCN">#REF!</definedName>
    <definedName name="SCS">#N/A</definedName>
    <definedName name="SD" localSheetId="18">[6]!SD</definedName>
    <definedName name="SD" localSheetId="25">[6]!SD</definedName>
    <definedName name="SD" localSheetId="29">[6]!SD</definedName>
    <definedName name="SD" localSheetId="31">[6]!SD</definedName>
    <definedName name="SD" localSheetId="15">[6]!SD</definedName>
    <definedName name="SD" localSheetId="13">[6]!SD</definedName>
    <definedName name="SD" localSheetId="19">[7]!SD</definedName>
    <definedName name="SD" localSheetId="17">[6]!SD</definedName>
    <definedName name="SD" localSheetId="12">[6]!SD</definedName>
    <definedName name="SD" localSheetId="22">[8]!SD</definedName>
    <definedName name="SD">[6]!SD</definedName>
    <definedName name="sdd">#N/A</definedName>
    <definedName name="sdf" localSheetId="28" hidden="1">{#N/A,#N/A,FALSE,"Calc";#N/A,#N/A,FALSE,"Sensitivity";#N/A,#N/A,FALSE,"LT Earn.Dil.";#N/A,#N/A,FALSE,"Dil. AVP"}</definedName>
    <definedName name="sdf" localSheetId="35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gdsf" hidden="1">[86]AW!$E$11:$E$24</definedName>
    <definedName name="SDFGFG" hidden="1">[86]AW!$E$18</definedName>
    <definedName name="SDFHLSDH">#N/A</definedName>
    <definedName name="sdfr">#N/A</definedName>
    <definedName name="sdfsdf">#N/A</definedName>
    <definedName name="SDFSDFD" localSheetId="18">#REF!</definedName>
    <definedName name="SDFSDFD" localSheetId="25">#REF!</definedName>
    <definedName name="SDFSDFD" localSheetId="29">#REF!</definedName>
    <definedName name="SDFSDFD" localSheetId="31">#REF!</definedName>
    <definedName name="SDFSDFD" localSheetId="15">#REF!</definedName>
    <definedName name="SDFSDFD" localSheetId="13">#REF!</definedName>
    <definedName name="SDFSDFD" localSheetId="17">#REF!</definedName>
    <definedName name="SDFSDFD" localSheetId="12">#REF!</definedName>
    <definedName name="SDFSDFD" localSheetId="22">#REF!</definedName>
    <definedName name="SDFSDFD" localSheetId="28">#REF!</definedName>
    <definedName name="SDFSDFD" localSheetId="35">#REF!</definedName>
    <definedName name="SDFSDFD">#REF!</definedName>
    <definedName name="SDHKSLTH">#N/A</definedName>
    <definedName name="SDSD">'[96]Liste des Partenaires'!$B$2:$B$21</definedName>
    <definedName name="sdsfsdgfdfg" localSheetId="18">#N/A</definedName>
    <definedName name="sdsfsdgfdfg" localSheetId="25">Activation!Tx_intérêt_par_an/#REF!</definedName>
    <definedName name="sdsfsdgfdfg" localSheetId="29">'Amortissment boa'!Tx_intérêt_par_an/#REF!</definedName>
    <definedName name="sdsfsdgfdfg" localSheetId="31">'Amortissment Cboa'!Tx_intérêt_par_an/#REF!</definedName>
    <definedName name="sdsfsdgfdfg" localSheetId="15">#N/A</definedName>
    <definedName name="sdsfsdgfdfg" localSheetId="13">#N/A</definedName>
    <definedName name="sdsfsdgfdfg" localSheetId="19">#N/A</definedName>
    <definedName name="sdsfsdgfdfg" localSheetId="17">#N/A</definedName>
    <definedName name="sdsfsdgfdfg" localSheetId="12">#N/A</definedName>
    <definedName name="sdsfsdgfdfg" localSheetId="22">[5]!Tx_intérêt_par_an/#REF!</definedName>
    <definedName name="sdsfsdgfdfg" localSheetId="28">'SYNTHESE BOA'!Tx_intérêt_par_an/#REF!</definedName>
    <definedName name="sdsfsdgfdfg" localSheetId="35">'Taxe 5%'!Tx_intérêt_par_an/#REF!</definedName>
    <definedName name="sdsfsdgfdfg">[0]!Tx_intérêt_par_an/#REF!</definedName>
    <definedName name="SDSS" localSheetId="18">#REF!</definedName>
    <definedName name="SDSS" localSheetId="25">#REF!</definedName>
    <definedName name="SDSS" localSheetId="29">#REF!</definedName>
    <definedName name="SDSS" localSheetId="31">#REF!</definedName>
    <definedName name="SDSS" localSheetId="15">#REF!</definedName>
    <definedName name="SDSS" localSheetId="13">#REF!</definedName>
    <definedName name="SDSS" localSheetId="17">#REF!</definedName>
    <definedName name="SDSS" localSheetId="12">#REF!</definedName>
    <definedName name="SDSS" localSheetId="22">#REF!</definedName>
    <definedName name="SDSS" localSheetId="28">#REF!</definedName>
    <definedName name="SDSS" localSheetId="35">#REF!</definedName>
    <definedName name="SDSS">#REF!</definedName>
    <definedName name="sdvsfdvfdsb" hidden="1">[86]AW!$A$11:$A$24</definedName>
    <definedName name="se" localSheetId="28" hidden="1">{"consolidated",#N/A,FALSE,"Sheet1";"cms",#N/A,FALSE,"Sheet1";"fse",#N/A,FALSE,"Sheet1"}</definedName>
    <definedName name="se" localSheetId="35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CTORISATION" localSheetId="18">#N/A</definedName>
    <definedName name="SECTORISATION" localSheetId="25">Activation!Tx_intérêt_par_an/#REF!</definedName>
    <definedName name="SECTORISATION" localSheetId="29">'Amortissment boa'!Tx_intérêt_par_an/#REF!</definedName>
    <definedName name="SECTORISATION" localSheetId="31">'Amortissment Cboa'!Tx_intérêt_par_an/#REF!</definedName>
    <definedName name="SECTORISATION" localSheetId="15">#N/A</definedName>
    <definedName name="SECTORISATION" localSheetId="13">#N/A</definedName>
    <definedName name="SECTORISATION" localSheetId="19">#N/A</definedName>
    <definedName name="SECTORISATION" localSheetId="17">#N/A</definedName>
    <definedName name="SECTORISATION" localSheetId="12">#N/A</definedName>
    <definedName name="SECTORISATION" localSheetId="22">[5]!Tx_intérêt_par_an/#REF!</definedName>
    <definedName name="SECTORISATION" localSheetId="28">'SYNTHESE BOA'!Tx_intérêt_par_an/#REF!</definedName>
    <definedName name="SECTORISATION" localSheetId="35">'Taxe 5%'!Tx_intérêt_par_an/#REF!</definedName>
    <definedName name="SECTORISATION">[0]!Tx_intérêt_par_an/#REF!</definedName>
    <definedName name="SEE">[96]Produits!$B$2:$B$13</definedName>
    <definedName name="segr">#N/A</definedName>
    <definedName name="sel" localSheetId="29">#REF!</definedName>
    <definedName name="sel" localSheetId="31">#REF!</definedName>
    <definedName name="sel" localSheetId="28">#REF!</definedName>
    <definedName name="sel" localSheetId="35">#REF!</definedName>
    <definedName name="sel">#REF!</definedName>
    <definedName name="SELEC">[138]Feuil1!$A$1:$M$44</definedName>
    <definedName name="select" localSheetId="29">#REF!</definedName>
    <definedName name="select" localSheetId="31">#REF!</definedName>
    <definedName name="select" localSheetId="28">#REF!</definedName>
    <definedName name="select" localSheetId="35">#REF!</definedName>
    <definedName name="select">#REF!</definedName>
    <definedName name="Select_BIB" localSheetId="29">#REF!</definedName>
    <definedName name="Select_BIB" localSheetId="31">#REF!</definedName>
    <definedName name="Select_BIB" localSheetId="28">#REF!</definedName>
    <definedName name="Select_BIB" localSheetId="35">#REF!</definedName>
    <definedName name="Select_BIB">#REF!</definedName>
    <definedName name="Select_Power27v" localSheetId="29">#REF!</definedName>
    <definedName name="Select_Power27v" localSheetId="31">#REF!</definedName>
    <definedName name="Select_Power27v" localSheetId="28">#REF!</definedName>
    <definedName name="Select_Power27v" localSheetId="35">#REF!</definedName>
    <definedName name="Select_Power27v">#REF!</definedName>
    <definedName name="Select_PowerSelect" localSheetId="29">#REF!</definedName>
    <definedName name="Select_PowerSelect" localSheetId="31">#REF!</definedName>
    <definedName name="Select_PowerSelect" localSheetId="28">#REF!</definedName>
    <definedName name="Select_PowerSelect" localSheetId="35">#REF!</definedName>
    <definedName name="Select_PowerSelect">#REF!</definedName>
    <definedName name="selectALI" localSheetId="29">#REF!</definedName>
    <definedName name="selectALI" localSheetId="31">#REF!</definedName>
    <definedName name="selectALI" localSheetId="28">#REF!</definedName>
    <definedName name="selectALI" localSheetId="35">#REF!</definedName>
    <definedName name="selectALI">#REF!</definedName>
    <definedName name="selection" localSheetId="29">#REF!</definedName>
    <definedName name="selection" localSheetId="31">#REF!</definedName>
    <definedName name="selection" localSheetId="28">#REF!</definedName>
    <definedName name="selection" localSheetId="35">#REF!</definedName>
    <definedName name="selection">#REF!</definedName>
    <definedName name="seltzer" localSheetId="18">#REF!</definedName>
    <definedName name="seltzer" localSheetId="25">#REF!</definedName>
    <definedName name="seltzer" localSheetId="29">#REF!</definedName>
    <definedName name="seltzer" localSheetId="31">#REF!</definedName>
    <definedName name="seltzer" localSheetId="15">#REF!</definedName>
    <definedName name="seltzer" localSheetId="13">#REF!</definedName>
    <definedName name="seltzer" localSheetId="17">#REF!</definedName>
    <definedName name="seltzer" localSheetId="12">#REF!</definedName>
    <definedName name="seltzer" localSheetId="22">#REF!</definedName>
    <definedName name="seltzer" localSheetId="28">#REF!</definedName>
    <definedName name="seltzer" localSheetId="35">#REF!</definedName>
    <definedName name="seltzer">#REF!</definedName>
    <definedName name="sencount" hidden="1">1</definedName>
    <definedName name="September" localSheetId="18">#REF!</definedName>
    <definedName name="September" localSheetId="25">#REF!</definedName>
    <definedName name="September" localSheetId="29">#REF!</definedName>
    <definedName name="September" localSheetId="31">#REF!</definedName>
    <definedName name="September" localSheetId="15">#REF!</definedName>
    <definedName name="September" localSheetId="13">#REF!</definedName>
    <definedName name="September" localSheetId="17">#REF!</definedName>
    <definedName name="September" localSheetId="12">#REF!</definedName>
    <definedName name="September" localSheetId="22">#REF!</definedName>
    <definedName name="September" localSheetId="28">#REF!</definedName>
    <definedName name="September" localSheetId="35">#REF!</definedName>
    <definedName name="September">#REF!</definedName>
    <definedName name="SERIES1">#N/A</definedName>
    <definedName name="SERIES2">#N/A</definedName>
    <definedName name="ServerList">'[108]DO NOT TOUCH'!$H$10:$H$11</definedName>
    <definedName name="ServerPt">'[108]DO NOT TOUCH'!$B$10:$B$11</definedName>
    <definedName name="ServerQty">[108]Configurator!$C$7:$C$8</definedName>
    <definedName name="Servers">[108]Configurator!$B$7:$B$8</definedName>
    <definedName name="Services_Markup" localSheetId="29">#REF!</definedName>
    <definedName name="Services_Markup" localSheetId="31">#REF!</definedName>
    <definedName name="Services_Markup" localSheetId="28">#REF!</definedName>
    <definedName name="Services_Markup" localSheetId="35">#REF!</definedName>
    <definedName name="Services_Markup">#REF!</definedName>
    <definedName name="Sésame">#N/A</definedName>
    <definedName name="set" localSheetId="18" hidden="1">#REF!</definedName>
    <definedName name="set" localSheetId="25" hidden="1">#REF!</definedName>
    <definedName name="set" localSheetId="29" hidden="1">#REF!</definedName>
    <definedName name="set" localSheetId="31" hidden="1">#REF!</definedName>
    <definedName name="set" localSheetId="15" hidden="1">#REF!</definedName>
    <definedName name="set" localSheetId="13" hidden="1">#REF!</definedName>
    <definedName name="set" localSheetId="17" hidden="1">#REF!</definedName>
    <definedName name="set" localSheetId="12" hidden="1">#REF!</definedName>
    <definedName name="set" localSheetId="22" hidden="1">#REF!</definedName>
    <definedName name="set" localSheetId="28" hidden="1">#REF!</definedName>
    <definedName name="set" localSheetId="35" hidden="1">#REF!</definedName>
    <definedName name="set" hidden="1">#REF!</definedName>
    <definedName name="SF_Original" localSheetId="18">#REF!</definedName>
    <definedName name="SF_Original" localSheetId="25">#REF!</definedName>
    <definedName name="SF_Original" localSheetId="29">#REF!</definedName>
    <definedName name="SF_Original" localSheetId="31">#REF!</definedName>
    <definedName name="SF_Original" localSheetId="15">#REF!</definedName>
    <definedName name="SF_Original" localSheetId="13">#REF!</definedName>
    <definedName name="SF_Original" localSheetId="17">#REF!</definedName>
    <definedName name="SF_Original" localSheetId="12">#REF!</definedName>
    <definedName name="SF_Original" localSheetId="22">#REF!</definedName>
    <definedName name="SF_Original" localSheetId="28">#REF!</definedName>
    <definedName name="SF_Original" localSheetId="35">#REF!</definedName>
    <definedName name="SF_Original">#REF!</definedName>
    <definedName name="sfadf" localSheetId="28">#N/A</definedName>
    <definedName name="sfadf" localSheetId="35">'Taxe 5%'!sfadf</definedName>
    <definedName name="sfadf">'Taxe 5%'!sfadf</definedName>
    <definedName name="sfbgsfbgsfbg" hidden="1">[86]AW!$C$30:$H$35</definedName>
    <definedName name="sfdff" localSheetId="18">[6]!sfdff</definedName>
    <definedName name="sfdff" localSheetId="25">[6]!sfdff</definedName>
    <definedName name="sfdff" localSheetId="29">[6]!sfdff</definedName>
    <definedName name="sfdff" localSheetId="31">[6]!sfdff</definedName>
    <definedName name="sfdff" localSheetId="15">[6]!sfdff</definedName>
    <definedName name="sfdff" localSheetId="13">[6]!sfdff</definedName>
    <definedName name="sfdff" localSheetId="19">[7]!sfdff</definedName>
    <definedName name="sfdff" localSheetId="17">[6]!sfdff</definedName>
    <definedName name="sfdff" localSheetId="12">[6]!sfdff</definedName>
    <definedName name="sfdff" localSheetId="22">[8]!sfdff</definedName>
    <definedName name="sfdff">[6]!sfdff</definedName>
    <definedName name="sfdffff" localSheetId="28">#N/A</definedName>
    <definedName name="sfdffff" localSheetId="35">'Taxe 5%'!sfdffff</definedName>
    <definedName name="sfdffff">'Taxe 5%'!sfdffff</definedName>
    <definedName name="SFDGDSG" localSheetId="18" hidden="1">[86]RSG!#REF!</definedName>
    <definedName name="SFDGDSG" localSheetId="29" hidden="1">[86]RSG!#REF!</definedName>
    <definedName name="SFDGDSG" localSheetId="31" hidden="1">[86]RSG!#REF!</definedName>
    <definedName name="SFDGDSG" localSheetId="15" hidden="1">[86]RSG!#REF!</definedName>
    <definedName name="SFDGDSG" localSheetId="13" hidden="1">[86]RSG!#REF!</definedName>
    <definedName name="SFDGDSG" localSheetId="17" hidden="1">[86]RSG!#REF!</definedName>
    <definedName name="SFDGDSG" localSheetId="12" hidden="1">[86]RSG!#REF!</definedName>
    <definedName name="SFDGDSG" localSheetId="22" hidden="1">[86]RSG!#REF!</definedName>
    <definedName name="SFDGDSG" localSheetId="28" hidden="1">[86]RSG!#REF!</definedName>
    <definedName name="SFDGDSG" localSheetId="35" hidden="1">[86]RSG!#REF!</definedName>
    <definedName name="SFDGDSG" hidden="1">[86]RSG!#REF!</definedName>
    <definedName name="sfdtgjh">#N/A</definedName>
    <definedName name="sfdvxcvx" localSheetId="18">#REF!</definedName>
    <definedName name="sfdvxcvx" localSheetId="25">#REF!</definedName>
    <definedName name="sfdvxcvx" localSheetId="29">#REF!</definedName>
    <definedName name="sfdvxcvx" localSheetId="31">#REF!</definedName>
    <definedName name="sfdvxcvx" localSheetId="15">#REF!</definedName>
    <definedName name="sfdvxcvx" localSheetId="13">#REF!</definedName>
    <definedName name="sfdvxcvx" localSheetId="17">#REF!</definedName>
    <definedName name="sfdvxcvx" localSheetId="12">#REF!</definedName>
    <definedName name="sfdvxcvx" localSheetId="22">#REF!</definedName>
    <definedName name="sfdvxcvx" localSheetId="28">#REF!</definedName>
    <definedName name="sfdvxcvx" localSheetId="35">#REF!</definedName>
    <definedName name="sfdvxcvx">#REF!</definedName>
    <definedName name="sfgj">#N/A</definedName>
    <definedName name="sfgjhsf" localSheetId="18">[6]!sfgjhsf</definedName>
    <definedName name="sfgjhsf" localSheetId="25">[6]!sfgjhsf</definedName>
    <definedName name="sfgjhsf" localSheetId="29">[6]!sfgjhsf</definedName>
    <definedName name="sfgjhsf" localSheetId="31">[6]!sfgjhsf</definedName>
    <definedName name="sfgjhsf" localSheetId="15">[6]!sfgjhsf</definedName>
    <definedName name="sfgjhsf" localSheetId="13">[6]!sfgjhsf</definedName>
    <definedName name="sfgjhsf" localSheetId="19">[7]!sfgjhsf</definedName>
    <definedName name="sfgjhsf" localSheetId="17">[6]!sfgjhsf</definedName>
    <definedName name="sfgjhsf" localSheetId="12">[6]!sfgjhsf</definedName>
    <definedName name="sfgjhsf" localSheetId="22">[8]!sfgjhsf</definedName>
    <definedName name="sfgjhsf">[6]!sfgjhsf</definedName>
    <definedName name="sfgjsf" localSheetId="18">[6]!sfgjsf</definedName>
    <definedName name="sfgjsf" localSheetId="25">[6]!sfgjsf</definedName>
    <definedName name="sfgjsf" localSheetId="29">[6]!sfgjsf</definedName>
    <definedName name="sfgjsf" localSheetId="31">[6]!sfgjsf</definedName>
    <definedName name="sfgjsf" localSheetId="15">[6]!sfgjsf</definedName>
    <definedName name="sfgjsf" localSheetId="13">[6]!sfgjsf</definedName>
    <definedName name="sfgjsf" localSheetId="19">[7]!sfgjsf</definedName>
    <definedName name="sfgjsf" localSheetId="17">[6]!sfgjsf</definedName>
    <definedName name="sfgjsf" localSheetId="12">[6]!sfgjsf</definedName>
    <definedName name="sfgjsf" localSheetId="22">[8]!sfgjsf</definedName>
    <definedName name="sfgjsf">[6]!sfgjsf</definedName>
    <definedName name="sfhjkj" localSheetId="29">#REF!</definedName>
    <definedName name="sfhjkj" localSheetId="31">#REF!</definedName>
    <definedName name="sfhjkj" localSheetId="28">#REF!</definedName>
    <definedName name="sfhjkj" localSheetId="35">#REF!</definedName>
    <definedName name="sfhjkj">#REF!</definedName>
    <definedName name="sfsdfsf" localSheetId="28" hidden="1">{"First Page",#N/A,FALSE,"Surfactants LBO";"Second Page",#N/A,FALSE,"Surfactants LBO"}</definedName>
    <definedName name="sfsdfsf" localSheetId="35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c" localSheetId="18">[6]!sfsfc</definedName>
    <definedName name="sfsfc" localSheetId="25">[6]!sfsfc</definedName>
    <definedName name="sfsfc" localSheetId="29">[6]!sfsfc</definedName>
    <definedName name="sfsfc" localSheetId="31">[6]!sfsfc</definedName>
    <definedName name="sfsfc" localSheetId="15">[6]!sfsfc</definedName>
    <definedName name="sfsfc" localSheetId="13">[6]!sfsfc</definedName>
    <definedName name="sfsfc" localSheetId="19">[7]!sfsfc</definedName>
    <definedName name="sfsfc" localSheetId="17">[6]!sfsfc</definedName>
    <definedName name="sfsfc" localSheetId="12">[6]!sfsfc</definedName>
    <definedName name="sfsfc" localSheetId="22">[8]!sfsfc</definedName>
    <definedName name="sfsfc">[6]!sfsfc</definedName>
    <definedName name="sfsfd" localSheetId="18">#REF!</definedName>
    <definedName name="sfsfd" localSheetId="25">#REF!</definedName>
    <definedName name="sfsfd" localSheetId="29">#REF!</definedName>
    <definedName name="sfsfd" localSheetId="31">#REF!</definedName>
    <definedName name="sfsfd" localSheetId="15">#REF!</definedName>
    <definedName name="sfsfd" localSheetId="13">#REF!</definedName>
    <definedName name="sfsfd" localSheetId="17">#REF!</definedName>
    <definedName name="sfsfd" localSheetId="12">#REF!</definedName>
    <definedName name="sfsfd" localSheetId="22">#REF!</definedName>
    <definedName name="sfsfd" localSheetId="28">#REF!</definedName>
    <definedName name="sfsfd" localSheetId="35">#REF!</definedName>
    <definedName name="sfsfd">#REF!</definedName>
    <definedName name="sfze" localSheetId="25" hidden="1">{#N/A,#N/A,FALSE,"Contribution Analysis"}</definedName>
    <definedName name="sfze" localSheetId="19" hidden="1">{#N/A,#N/A,FALSE,"Contribution Analysis"}</definedName>
    <definedName name="sfze" localSheetId="22" hidden="1">{#N/A,#N/A,FALSE,"Contribution Analysis"}</definedName>
    <definedName name="sfze" localSheetId="28" hidden="1">{#N/A,#N/A,FALSE,"Contribution Analysis"}</definedName>
    <definedName name="sfze" localSheetId="35" hidden="1">{#N/A,#N/A,FALSE,"Contribution Analysis"}</definedName>
    <definedName name="sfze" hidden="1">{#N/A,#N/A,FALSE,"Contribution Analysis"}</definedName>
    <definedName name="SGADJ" localSheetId="29">#REF!</definedName>
    <definedName name="SGADJ" localSheetId="31">#REF!</definedName>
    <definedName name="SGADJ" localSheetId="28">#REF!</definedName>
    <definedName name="SGADJ" localSheetId="35">#REF!</definedName>
    <definedName name="SGADJ">#REF!</definedName>
    <definedName name="SGMB">[65]ONPT!$B$53</definedName>
    <definedName name="SGUNADJ" localSheetId="29">#REF!</definedName>
    <definedName name="SGUNADJ" localSheetId="31">#REF!</definedName>
    <definedName name="SGUNADJ" localSheetId="28">#REF!</definedName>
    <definedName name="SGUNADJ" localSheetId="35">#REF!</definedName>
    <definedName name="SGUNADJ">#REF!</definedName>
    <definedName name="sh" localSheetId="18">[6]!sh</definedName>
    <definedName name="sh" localSheetId="25">[6]!sh</definedName>
    <definedName name="sh" localSheetId="29">[6]!sh</definedName>
    <definedName name="sh" localSheetId="31">[6]!sh</definedName>
    <definedName name="sh" localSheetId="15">[6]!sh</definedName>
    <definedName name="sh" localSheetId="13">[6]!sh</definedName>
    <definedName name="sh" localSheetId="19">[7]!sh</definedName>
    <definedName name="sh" localSheetId="17">[6]!sh</definedName>
    <definedName name="sh" localSheetId="12">[6]!sh</definedName>
    <definedName name="sh" localSheetId="22">[8]!sh</definedName>
    <definedName name="sh">[6]!sh</definedName>
    <definedName name="shdrhjrt" localSheetId="18">[6]!shdrhjrt</definedName>
    <definedName name="shdrhjrt" localSheetId="25">[6]!shdrhjrt</definedName>
    <definedName name="shdrhjrt" localSheetId="29">[6]!shdrhjrt</definedName>
    <definedName name="shdrhjrt" localSheetId="31">[6]!shdrhjrt</definedName>
    <definedName name="shdrhjrt" localSheetId="15">[6]!shdrhjrt</definedName>
    <definedName name="shdrhjrt" localSheetId="13">[6]!shdrhjrt</definedName>
    <definedName name="shdrhjrt" localSheetId="19">[7]!shdrhjrt</definedName>
    <definedName name="shdrhjrt" localSheetId="17">[6]!shdrhjrt</definedName>
    <definedName name="shdrhjrt" localSheetId="12">[6]!shdrhjrt</definedName>
    <definedName name="shdrhjrt" localSheetId="22">[8]!shdrhjrt</definedName>
    <definedName name="shdrhjrt">[6]!shdrhjrt</definedName>
    <definedName name="shshryhasyhj" localSheetId="28">#N/A</definedName>
    <definedName name="shshryhasyhj" localSheetId="35">'Taxe 5%'!shshryhasyhj</definedName>
    <definedName name="shshryhasyhj">'Taxe 5%'!shshryhasyhj</definedName>
    <definedName name="shss" localSheetId="28">#N/A</definedName>
    <definedName name="shss" localSheetId="35">'Taxe 5%'!shss</definedName>
    <definedName name="shss">'Taxe 5%'!shss</definedName>
    <definedName name="shst" localSheetId="18">[6]!shst</definedName>
    <definedName name="shst" localSheetId="25">[6]!shst</definedName>
    <definedName name="shst" localSheetId="29">[6]!shst</definedName>
    <definedName name="shst" localSheetId="31">[6]!shst</definedName>
    <definedName name="shst" localSheetId="15">[6]!shst</definedName>
    <definedName name="shst" localSheetId="13">[6]!shst</definedName>
    <definedName name="shst" localSheetId="19">[7]!shst</definedName>
    <definedName name="shst" localSheetId="17">[6]!shst</definedName>
    <definedName name="shst" localSheetId="12">[6]!shst</definedName>
    <definedName name="shst" localSheetId="22">[8]!shst</definedName>
    <definedName name="shst">[6]!shst</definedName>
    <definedName name="si" localSheetId="29">#REF!</definedName>
    <definedName name="si" localSheetId="31">#REF!</definedName>
    <definedName name="si" localSheetId="28">#REF!</definedName>
    <definedName name="si" localSheetId="35">#REF!</definedName>
    <definedName name="si">#REF!</definedName>
    <definedName name="SILVER">#N/A</definedName>
    <definedName name="siva" localSheetId="28">#N/A</definedName>
    <definedName name="siva" localSheetId="35">'Taxe 5%'!siva</definedName>
    <definedName name="siva">'Taxe 5%'!siva</definedName>
    <definedName name="sjg" localSheetId="18">[6]!sjg</definedName>
    <definedName name="sjg" localSheetId="25">[6]!sjg</definedName>
    <definedName name="sjg" localSheetId="29">[6]!sjg</definedName>
    <definedName name="sjg" localSheetId="31">[6]!sjg</definedName>
    <definedName name="sjg" localSheetId="15">[6]!sjg</definedName>
    <definedName name="sjg" localSheetId="13">[6]!sjg</definedName>
    <definedName name="sjg" localSheetId="19">[7]!sjg</definedName>
    <definedName name="sjg" localSheetId="17">[6]!sjg</definedName>
    <definedName name="sjg" localSheetId="12">[6]!sjg</definedName>
    <definedName name="sjg" localSheetId="22">[8]!sjg</definedName>
    <definedName name="sjg">[6]!sjg</definedName>
    <definedName name="sm" localSheetId="29">#REF!</definedName>
    <definedName name="sm" localSheetId="31">#REF!</definedName>
    <definedName name="sm" localSheetId="28">#REF!</definedName>
    <definedName name="sm" localSheetId="35">#REF!</definedName>
    <definedName name="sm">#REF!</definedName>
    <definedName name="SMDC">[65]ONPT!$B$50</definedName>
    <definedName name="Societe" localSheetId="18">#REF!</definedName>
    <definedName name="Societe" localSheetId="25">#REF!</definedName>
    <definedName name="Societe" localSheetId="29">#REF!</definedName>
    <definedName name="Societe" localSheetId="31">#REF!</definedName>
    <definedName name="Societe" localSheetId="15">#REF!</definedName>
    <definedName name="Societe" localSheetId="13">#REF!</definedName>
    <definedName name="Societe" localSheetId="17">#REF!</definedName>
    <definedName name="Societe" localSheetId="12">#REF!</definedName>
    <definedName name="Societe" localSheetId="22">#REF!</definedName>
    <definedName name="Societe" localSheetId="28">#REF!</definedName>
    <definedName name="Societe" localSheetId="35">#REF!</definedName>
    <definedName name="Societe">#REF!</definedName>
    <definedName name="solver_lin" hidden="1">0</definedName>
    <definedName name="solver_num" hidden="1">0</definedName>
    <definedName name="solver_opt" localSheetId="18" hidden="1">#REF!</definedName>
    <definedName name="solver_opt" localSheetId="25" hidden="1">#REF!</definedName>
    <definedName name="solver_opt" localSheetId="29" hidden="1">#REF!</definedName>
    <definedName name="solver_opt" localSheetId="31" hidden="1">#REF!</definedName>
    <definedName name="solver_opt" localSheetId="15" hidden="1">#REF!</definedName>
    <definedName name="solver_opt" localSheetId="13" hidden="1">#REF!</definedName>
    <definedName name="solver_opt" localSheetId="17" hidden="1">#REF!</definedName>
    <definedName name="solver_opt" localSheetId="12" hidden="1">#REF!</definedName>
    <definedName name="solver_opt" localSheetId="22" hidden="1">#REF!</definedName>
    <definedName name="solver_opt" localSheetId="28" hidden="1">#REF!</definedName>
    <definedName name="solver_opt" localSheetId="35" hidden="1">#REF!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[62]Source!$A$13:$Z$4431</definedName>
    <definedName name="Source2">[62]Source!$A$12:$A$4431</definedName>
    <definedName name="Source2F">[62]SourceF!$A$10:$A$3900</definedName>
    <definedName name="SourceC">[62]SourceC!$A$14:$Y$917</definedName>
    <definedName name="SourceF">[62]SourceF!$A$11:$Z$3900</definedName>
    <definedName name="SPARES" localSheetId="29">#REF!</definedName>
    <definedName name="SPARES" localSheetId="31">#REF!</definedName>
    <definedName name="SPARES" localSheetId="28">#REF!</definedName>
    <definedName name="SPARES" localSheetId="35">#REF!</definedName>
    <definedName name="SPARES">#REF!</definedName>
    <definedName name="Spares_Markup" localSheetId="29">#REF!</definedName>
    <definedName name="Spares_Markup" localSheetId="31">#REF!</definedName>
    <definedName name="Spares_Markup" localSheetId="28">#REF!</definedName>
    <definedName name="Spares_Markup" localSheetId="35">#REF!</definedName>
    <definedName name="Spares_Markup">#REF!</definedName>
    <definedName name="SPI_Sch_Perf_Index" localSheetId="29">#REF!</definedName>
    <definedName name="SPI_Sch_Perf_Index" localSheetId="31">#REF!</definedName>
    <definedName name="SPI_Sch_Perf_Index" localSheetId="28">#REF!</definedName>
    <definedName name="SPI_Sch_Perf_Index" localSheetId="35">#REF!</definedName>
    <definedName name="SPI_Sch_Perf_Index">#REF!</definedName>
    <definedName name="SPS" localSheetId="29">#REF!</definedName>
    <definedName name="SPS" localSheetId="31">#REF!</definedName>
    <definedName name="SPS" localSheetId="28">#REF!</definedName>
    <definedName name="SPS" localSheetId="35">#REF!</definedName>
    <definedName name="SPS">#REF!</definedName>
    <definedName name="SPWS_WBID">"D97C467F-5BCD-11D3-88EB-008048AF41E7"</definedName>
    <definedName name="sq">#N/A</definedName>
    <definedName name="sqdf">#N/A</definedName>
    <definedName name="sqdqs" localSheetId="18">#REF!</definedName>
    <definedName name="sqdqs" localSheetId="25">#REF!</definedName>
    <definedName name="sqdqs" localSheetId="29">#REF!</definedName>
    <definedName name="sqdqs" localSheetId="31">#REF!</definedName>
    <definedName name="sqdqs" localSheetId="15">#REF!</definedName>
    <definedName name="sqdqs" localSheetId="13">#REF!</definedName>
    <definedName name="sqdqs" localSheetId="17">#REF!</definedName>
    <definedName name="sqdqs" localSheetId="12">#REF!</definedName>
    <definedName name="sqdqs" localSheetId="22">#REF!</definedName>
    <definedName name="sqdqs" localSheetId="28">#REF!</definedName>
    <definedName name="sqdqs" localSheetId="35">#REF!</definedName>
    <definedName name="sqdqs">#REF!</definedName>
    <definedName name="sqdsf">#N/A</definedName>
    <definedName name="srjj">#N/A</definedName>
    <definedName name="ss" localSheetId="18">#REF!</definedName>
    <definedName name="ss" localSheetId="25">#REF!</definedName>
    <definedName name="ss" localSheetId="29">#REF!</definedName>
    <definedName name="ss" localSheetId="31">#REF!</definedName>
    <definedName name="ss" localSheetId="15">#REF!</definedName>
    <definedName name="ss" localSheetId="13">#REF!</definedName>
    <definedName name="ss" localSheetId="17">#REF!</definedName>
    <definedName name="ss" localSheetId="12">#REF!</definedName>
    <definedName name="ss" localSheetId="22">#REF!</definedName>
    <definedName name="ss" localSheetId="28">#REF!</definedName>
    <definedName name="ss" localSheetId="35">#REF!</definedName>
    <definedName name="ss">#REF!</definedName>
    <definedName name="SSCurrInput" localSheetId="18">#REF!</definedName>
    <definedName name="SSCurrInput" localSheetId="25">#REF!</definedName>
    <definedName name="SSCurrInput" localSheetId="29">#REF!</definedName>
    <definedName name="SSCurrInput" localSheetId="31">#REF!</definedName>
    <definedName name="SSCurrInput" localSheetId="15">#REF!</definedName>
    <definedName name="SSCurrInput" localSheetId="13">#REF!</definedName>
    <definedName name="SSCurrInput" localSheetId="17">#REF!</definedName>
    <definedName name="SSCurrInput" localSheetId="12">#REF!</definedName>
    <definedName name="SSCurrInput" localSheetId="22">#REF!</definedName>
    <definedName name="SSCurrInput" localSheetId="28">#REF!</definedName>
    <definedName name="SSCurrInput" localSheetId="35">#REF!</definedName>
    <definedName name="SSCurrInput">#REF!</definedName>
    <definedName name="SSCurrInput___0">#N/A</definedName>
    <definedName name="SSCurrInput___12">#N/A</definedName>
    <definedName name="SSCurrInput___14">#N/A</definedName>
    <definedName name="SSCurrInput___16">#N/A</definedName>
    <definedName name="SSCurrInput___2">#N/A</definedName>
    <definedName name="SSCurrInput___25">#N/A</definedName>
    <definedName name="SSCurrInput___26">#N/A</definedName>
    <definedName name="SSCurrInput___27">#N/A</definedName>
    <definedName name="SSCurrInput___4">#N/A</definedName>
    <definedName name="SSCurrInput___5">#N/A</definedName>
    <definedName name="SSCurrInput___7">#N/A</definedName>
    <definedName name="ssdsds" localSheetId="28" hidden="1">{#N/A,#N/A,TRUE,"Cover sheet";#N/A,#N/A,TRUE,"DCF analysis";#N/A,#N/A,TRUE,"WACC calculation"}</definedName>
    <definedName name="ssdsds" localSheetId="35" hidden="1">{#N/A,#N/A,TRUE,"Cover sheet";#N/A,#N/A,TRUE,"DCF analysis";#N/A,#N/A,TRUE,"WACC calculation"}</definedName>
    <definedName name="ssdsds" hidden="1">{#N/A,#N/A,TRUE,"Cover sheet";#N/A,#N/A,TRUE,"DCF analysis";#N/A,#N/A,TRUE,"WACC calculation"}</definedName>
    <definedName name="sshsh">#N/A</definedName>
    <definedName name="SSQ" localSheetId="29">#REF!</definedName>
    <definedName name="SSQ" localSheetId="31">#REF!</definedName>
    <definedName name="SSQ" localSheetId="28">#REF!</definedName>
    <definedName name="SSQ" localSheetId="35">#REF!</definedName>
    <definedName name="SSQ">#REF!</definedName>
    <definedName name="sss" localSheetId="18">#N/A</definedName>
    <definedName name="sss" localSheetId="25">Activation!Tx_intérêt_par_an/#REF!</definedName>
    <definedName name="sss" localSheetId="29">'Amortissment boa'!Tx_intérêt_par_an/#REF!</definedName>
    <definedName name="sss" localSheetId="31">'Amortissment Cboa'!Tx_intérêt_par_an/#REF!</definedName>
    <definedName name="sss" localSheetId="15">#N/A</definedName>
    <definedName name="sss" localSheetId="13">#N/A</definedName>
    <definedName name="sss" localSheetId="19">#N/A</definedName>
    <definedName name="sss" localSheetId="17">#N/A</definedName>
    <definedName name="sss" localSheetId="12">#N/A</definedName>
    <definedName name="sss" localSheetId="22">[5]!Tx_intérêt_par_an/#REF!</definedName>
    <definedName name="sss" localSheetId="28">'SYNTHESE BOA'!Tx_intérêt_par_an/#REF!</definedName>
    <definedName name="sss" localSheetId="35">'Taxe 5%'!Tx_intérêt_par_an/#REF!</definedName>
    <definedName name="sss">[0]!Tx_intérêt_par_an/#REF!</definedName>
    <definedName name="sss___0">#N/A</definedName>
    <definedName name="sss___12">#N/A</definedName>
    <definedName name="sss___14">#N/A</definedName>
    <definedName name="sss___16">#N/A</definedName>
    <definedName name="sss___2">#N/A</definedName>
    <definedName name="sss___23">#N/A</definedName>
    <definedName name="sss___25">#N/A</definedName>
    <definedName name="sss___26">#N/A</definedName>
    <definedName name="sss___27">#N/A</definedName>
    <definedName name="sss___3">#N/A</definedName>
    <definedName name="sss___4">#N/A</definedName>
    <definedName name="sss___5">#N/A</definedName>
    <definedName name="sss___6">#N/A</definedName>
    <definedName name="sss___7">#N/A</definedName>
    <definedName name="sss___9">#N/A</definedName>
    <definedName name="sssc">#N/A</definedName>
    <definedName name="ssss" localSheetId="18" hidden="1">[92]P.EQUIPEMENT99!#REF!</definedName>
    <definedName name="ssss" localSheetId="29" hidden="1">[92]P.EQUIPEMENT99!#REF!</definedName>
    <definedName name="ssss" localSheetId="31" hidden="1">[92]P.EQUIPEMENT99!#REF!</definedName>
    <definedName name="ssss" localSheetId="15" hidden="1">[92]P.EQUIPEMENT99!#REF!</definedName>
    <definedName name="ssss" localSheetId="13" hidden="1">[92]P.EQUIPEMENT99!#REF!</definedName>
    <definedName name="ssss" localSheetId="19" hidden="1">[92]P.EQUIPEMENT99!#REF!</definedName>
    <definedName name="ssss" localSheetId="17" hidden="1">[92]P.EQUIPEMENT99!#REF!</definedName>
    <definedName name="ssss" localSheetId="12" hidden="1">[92]P.EQUIPEMENT99!#REF!</definedName>
    <definedName name="ssss" localSheetId="22" hidden="1">[92]P.EQUIPEMENT99!#REF!</definedName>
    <definedName name="ssss" localSheetId="28" hidden="1">[92]P.EQUIPEMENT99!#REF!</definedName>
    <definedName name="ssss" localSheetId="35" hidden="1">[92]P.EQUIPEMENT99!#REF!</definedName>
    <definedName name="ssss" hidden="1">[92]P.EQUIPEMENT99!#REF!</definedName>
    <definedName name="ssss03" localSheetId="18" hidden="1">[109]P.EQUIPEMENT99!#REF!</definedName>
    <definedName name="ssss03" localSheetId="29" hidden="1">[109]P.EQUIPEMENT99!#REF!</definedName>
    <definedName name="ssss03" localSheetId="31" hidden="1">[109]P.EQUIPEMENT99!#REF!</definedName>
    <definedName name="ssss03" localSheetId="15" hidden="1">[109]P.EQUIPEMENT99!#REF!</definedName>
    <definedName name="ssss03" localSheetId="13" hidden="1">[109]P.EQUIPEMENT99!#REF!</definedName>
    <definedName name="ssss03" localSheetId="17" hidden="1">[109]P.EQUIPEMENT99!#REF!</definedName>
    <definedName name="ssss03" localSheetId="12" hidden="1">[109]P.EQUIPEMENT99!#REF!</definedName>
    <definedName name="ssss03" localSheetId="22" hidden="1">[109]P.EQUIPEMENT99!#REF!</definedName>
    <definedName name="ssss03" localSheetId="28" hidden="1">[109]P.EQUIPEMENT99!#REF!</definedName>
    <definedName name="ssss03" localSheetId="35" hidden="1">[109]P.EQUIPEMENT99!#REF!</definedName>
    <definedName name="ssss03" hidden="1">[109]P.EQUIPEMENT99!#REF!</definedName>
    <definedName name="SSSSS" localSheetId="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" localSheetId="28">#N/A</definedName>
    <definedName name="sssssssss" localSheetId="35">'Taxe 5%'!sssssssss</definedName>
    <definedName name="sssssssss">'Taxe 5%'!sssssssss</definedName>
    <definedName name="ssssssssssss">#N/A</definedName>
    <definedName name="ssy" localSheetId="28">#N/A</definedName>
    <definedName name="ssy" localSheetId="35">'Taxe 5%'!ssy</definedName>
    <definedName name="ssy">'Taxe 5%'!ssy</definedName>
    <definedName name="Staff_salary" localSheetId="18">#REF!</definedName>
    <definedName name="Staff_salary" localSheetId="25">#REF!</definedName>
    <definedName name="Staff_salary" localSheetId="29">#REF!</definedName>
    <definedName name="Staff_salary" localSheetId="31">#REF!</definedName>
    <definedName name="Staff_salary" localSheetId="15">#REF!</definedName>
    <definedName name="Staff_salary" localSheetId="13">#REF!</definedName>
    <definedName name="Staff_salary" localSheetId="17">#REF!</definedName>
    <definedName name="Staff_salary" localSheetId="12">#REF!</definedName>
    <definedName name="Staff_salary" localSheetId="22">#REF!</definedName>
    <definedName name="Staff_salary" localSheetId="28">#REF!</definedName>
    <definedName name="Staff_salary" localSheetId="35">#REF!</definedName>
    <definedName name="Staff_salary">#REF!</definedName>
    <definedName name="startdate" localSheetId="29">#REF!</definedName>
    <definedName name="startdate" localSheetId="31">#REF!</definedName>
    <definedName name="startdate" localSheetId="28">#REF!</definedName>
    <definedName name="startdate" localSheetId="35">#REF!</definedName>
    <definedName name="startdate">#REF!</definedName>
    <definedName name="Statut">[62]Statut!$A$9:$B$1428</definedName>
    <definedName name="StatutF">[62]StatutF!$A$11:$B$3677</definedName>
    <definedName name="STDCOSTS" localSheetId="29">#REF!</definedName>
    <definedName name="STDCOSTS" localSheetId="31">#REF!</definedName>
    <definedName name="STDCOSTS" localSheetId="28">#REF!</definedName>
    <definedName name="STDCOSTS" localSheetId="35">#REF!</definedName>
    <definedName name="STDCOSTS">#REF!</definedName>
    <definedName name="stef" localSheetId="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 localSheetId="29">'[52]FES  ATLAS'!#REF!</definedName>
    <definedName name="sto" localSheetId="31">'[52]FES  ATLAS'!#REF!</definedName>
    <definedName name="sto" localSheetId="28">'[52]FES  ATLAS'!#REF!</definedName>
    <definedName name="sto" localSheetId="35">'[52]FES  ATLAS'!#REF!</definedName>
    <definedName name="sto">'[52]FES  ATLAS'!#REF!</definedName>
    <definedName name="stock" localSheetId="29">'[51]FES  ATLAS'!#REF!</definedName>
    <definedName name="stock" localSheetId="31">'[51]FES  ATLAS'!#REF!</definedName>
    <definedName name="stock" localSheetId="28">'[51]FES  ATLAS'!#REF!</definedName>
    <definedName name="stock" localSheetId="35">'[51]FES  ATLAS'!#REF!</definedName>
    <definedName name="stock">'[51]FES  ATLAS'!#REF!</definedName>
    <definedName name="StockR">'[25]Suivi Stocks'!$B$2:$B$13</definedName>
    <definedName name="STPER" localSheetId="29">#REF!</definedName>
    <definedName name="STPER" localSheetId="31">#REF!</definedName>
    <definedName name="STPER" localSheetId="28">#REF!</definedName>
    <definedName name="STPER" localSheetId="35">#REF!</definedName>
    <definedName name="STPER">#REF!</definedName>
    <definedName name="strplan" localSheetId="18">'[39]by dept'!#REF!</definedName>
    <definedName name="strplan" localSheetId="25">'[39]by dept'!#REF!</definedName>
    <definedName name="strplan" localSheetId="29">'[39]by dept'!#REF!</definedName>
    <definedName name="strplan" localSheetId="31">'[39]by dept'!#REF!</definedName>
    <definedName name="strplan" localSheetId="15">'[39]by dept'!#REF!</definedName>
    <definedName name="strplan" localSheetId="13">'[39]by dept'!#REF!</definedName>
    <definedName name="strplan" localSheetId="17">'[39]by dept'!#REF!</definedName>
    <definedName name="strplan" localSheetId="12">'[39]by dept'!#REF!</definedName>
    <definedName name="strplan" localSheetId="22">'[40]by dept'!#REF!</definedName>
    <definedName name="strplan" localSheetId="28">'[39]by dept'!#REF!</definedName>
    <definedName name="strplan" localSheetId="35">'[39]by dept'!#REF!</definedName>
    <definedName name="strplan">'[39]by dept'!#REF!</definedName>
    <definedName name="SUM" localSheetId="18">#REF!</definedName>
    <definedName name="SUM" localSheetId="25">#REF!</definedName>
    <definedName name="SUM" localSheetId="29">#REF!</definedName>
    <definedName name="SUM" localSheetId="31">#REF!</definedName>
    <definedName name="SUM" localSheetId="15">#REF!</definedName>
    <definedName name="SUM" localSheetId="13">#REF!</definedName>
    <definedName name="SUM" localSheetId="17">#REF!</definedName>
    <definedName name="SUM" localSheetId="12">#REF!</definedName>
    <definedName name="SUM" localSheetId="22">#REF!</definedName>
    <definedName name="SUM" localSheetId="28">#REF!</definedName>
    <definedName name="SUM" localSheetId="35">#REF!</definedName>
    <definedName name="SUM">#REF!</definedName>
    <definedName name="SUM_DETAIL">'[122]Product Summary (2)'!$A$6:$W$68</definedName>
    <definedName name="SUM_SUM">'[122]Product Summary (2)'!$A$81:$R$103</definedName>
    <definedName name="SV_Sch_Var" localSheetId="29">#REF!</definedName>
    <definedName name="SV_Sch_Var" localSheetId="31">#REF!</definedName>
    <definedName name="SV_Sch_Var" localSheetId="28">#REF!</definedName>
    <definedName name="SV_Sch_Var" localSheetId="35">#REF!</definedName>
    <definedName name="SV_Sch_Var">#REF!</definedName>
    <definedName name="SV_Sch_Variance" localSheetId="29">#REF!</definedName>
    <definedName name="SV_Sch_Variance" localSheetId="31">#REF!</definedName>
    <definedName name="SV_Sch_Variance" localSheetId="28">#REF!</definedName>
    <definedName name="SV_Sch_Variance" localSheetId="35">#REF!</definedName>
    <definedName name="SV_Sch_Variance">#REF!</definedName>
    <definedName name="sxwc">#N/A</definedName>
    <definedName name="synthèse">#N/A</definedName>
    <definedName name="SYNTHESE_BA__ETAT_PRIVE" localSheetId="29">#REF!</definedName>
    <definedName name="SYNTHESE_BA__ETAT_PRIVE" localSheetId="31">#REF!</definedName>
    <definedName name="SYNTHESE_BA__ETAT_PRIVE" localSheetId="28">#REF!</definedName>
    <definedName name="SYNTHESE_BA__ETAT_PRIVE" localSheetId="35">#REF!</definedName>
    <definedName name="SYNTHESE_BA__ETAT_PRIVE">#REF!</definedName>
    <definedName name="SystemImpedance" localSheetId="29">#REF!</definedName>
    <definedName name="SystemImpedance" localSheetId="31">#REF!</definedName>
    <definedName name="SystemImpedance" localSheetId="28">#REF!</definedName>
    <definedName name="SystemImpedance" localSheetId="35">#REF!</definedName>
    <definedName name="SystemImpedance">#REF!</definedName>
    <definedName name="T">#N/A</definedName>
    <definedName name="T.G">[65]ONPT!$E$30</definedName>
    <definedName name="T.V.A__MAI__2003" localSheetId="18">#REF!</definedName>
    <definedName name="T.V.A__MAI__2003" localSheetId="25">#REF!</definedName>
    <definedName name="T.V.A__MAI__2003" localSheetId="29">#REF!</definedName>
    <definedName name="T.V.A__MAI__2003" localSheetId="31">#REF!</definedName>
    <definedName name="T.V.A__MAI__2003" localSheetId="15">#REF!</definedName>
    <definedName name="T.V.A__MAI__2003" localSheetId="13">#REF!</definedName>
    <definedName name="T.V.A__MAI__2003" localSheetId="17">#REF!</definedName>
    <definedName name="T.V.A__MAI__2003" localSheetId="12">#REF!</definedName>
    <definedName name="T.V.A__MAI__2003" localSheetId="22">#REF!</definedName>
    <definedName name="T.V.A__MAI__2003" localSheetId="28">#REF!</definedName>
    <definedName name="T.V.A__MAI__2003" localSheetId="35">#REF!</definedName>
    <definedName name="T.V.A__MAI__2003">#REF!</definedName>
    <definedName name="tab" localSheetId="29">[139]Marrakech!#REF!</definedName>
    <definedName name="tab" localSheetId="31">[139]Marrakech!#REF!</definedName>
    <definedName name="tab" localSheetId="28">[139]Marrakech!#REF!</definedName>
    <definedName name="tab" localSheetId="35">[139]Marrakech!#REF!</definedName>
    <definedName name="tab">[139]Marrakech!#REF!</definedName>
    <definedName name="TABLE">#N/A</definedName>
    <definedName name="Table_1_Facilities" localSheetId="18">#REF!</definedName>
    <definedName name="Table_1_Facilities" localSheetId="25">#REF!</definedName>
    <definedName name="Table_1_Facilities" localSheetId="29">#REF!</definedName>
    <definedName name="Table_1_Facilities" localSheetId="31">#REF!</definedName>
    <definedName name="Table_1_Facilities" localSheetId="15">#REF!</definedName>
    <definedName name="Table_1_Facilities" localSheetId="13">#REF!</definedName>
    <definedName name="Table_1_Facilities" localSheetId="17">#REF!</definedName>
    <definedName name="Table_1_Facilities" localSheetId="12">#REF!</definedName>
    <definedName name="Table_1_Facilities" localSheetId="22">#REF!</definedName>
    <definedName name="Table_1_Facilities" localSheetId="28">#REF!</definedName>
    <definedName name="Table_1_Facilities" localSheetId="35">#REF!</definedName>
    <definedName name="Table_1_Facilities">#REF!</definedName>
    <definedName name="tableau" localSheetId="18">#REF!</definedName>
    <definedName name="tableau" localSheetId="25">#REF!</definedName>
    <definedName name="tableau" localSheetId="29">#REF!</definedName>
    <definedName name="tableau" localSheetId="31">#REF!</definedName>
    <definedName name="tableau" localSheetId="15">#REF!</definedName>
    <definedName name="tableau" localSheetId="13">#REF!</definedName>
    <definedName name="tableau" localSheetId="17">#REF!</definedName>
    <definedName name="tableau" localSheetId="12">#REF!</definedName>
    <definedName name="tableau" localSheetId="22">#REF!</definedName>
    <definedName name="tableau" localSheetId="28">#REF!</definedName>
    <definedName name="tableau" localSheetId="35">#REF!</definedName>
    <definedName name="tableau">#REF!</definedName>
    <definedName name="tableau10" localSheetId="18">#REF!,#REF!</definedName>
    <definedName name="tableau10" localSheetId="25">#REF!,#REF!</definedName>
    <definedName name="tableau10" localSheetId="29">#REF!,#REF!</definedName>
    <definedName name="tableau10" localSheetId="31">#REF!,#REF!</definedName>
    <definedName name="tableau10" localSheetId="15">#REF!,#REF!</definedName>
    <definedName name="tableau10" localSheetId="13">#REF!,#REF!</definedName>
    <definedName name="tableau10" localSheetId="17">#REF!,#REF!</definedName>
    <definedName name="tableau10" localSheetId="12">#REF!,#REF!</definedName>
    <definedName name="tableau10" localSheetId="22">#REF!,#REF!</definedName>
    <definedName name="tableau10" localSheetId="28">#REF!,#REF!</definedName>
    <definedName name="tableau10" localSheetId="35">#REF!,#REF!</definedName>
    <definedName name="tableau10">#REF!,#REF!</definedName>
    <definedName name="tableau11" localSheetId="18">#REF!,#REF!,#REF!,#REF!</definedName>
    <definedName name="tableau11" localSheetId="25">#REF!,#REF!,#REF!,#REF!</definedName>
    <definedName name="tableau11" localSheetId="29">#REF!,#REF!,#REF!,#REF!</definedName>
    <definedName name="tableau11" localSheetId="31">#REF!,#REF!,#REF!,#REF!</definedName>
    <definedName name="tableau11" localSheetId="15">#REF!,#REF!,#REF!,#REF!</definedName>
    <definedName name="tableau11" localSheetId="13">#REF!,#REF!,#REF!,#REF!</definedName>
    <definedName name="tableau11" localSheetId="17">#REF!,#REF!,#REF!,#REF!</definedName>
    <definedName name="tableau11" localSheetId="12">#REF!,#REF!,#REF!,#REF!</definedName>
    <definedName name="tableau11" localSheetId="22">#REF!,#REF!,#REF!,#REF!</definedName>
    <definedName name="tableau11" localSheetId="28">#REF!,#REF!,#REF!,#REF!</definedName>
    <definedName name="tableau11" localSheetId="35">#REF!,#REF!,#REF!,#REF!</definedName>
    <definedName name="tableau11">#REF!,#REF!,#REF!,#REF!</definedName>
    <definedName name="tableau12" localSheetId="18">#REF!,#REF!</definedName>
    <definedName name="tableau12" localSheetId="25">#REF!,#REF!</definedName>
    <definedName name="tableau12" localSheetId="29">#REF!,#REF!</definedName>
    <definedName name="tableau12" localSheetId="31">#REF!,#REF!</definedName>
    <definedName name="tableau12" localSheetId="15">#REF!,#REF!</definedName>
    <definedName name="tableau12" localSheetId="13">#REF!,#REF!</definedName>
    <definedName name="tableau12" localSheetId="17">#REF!,#REF!</definedName>
    <definedName name="tableau12" localSheetId="12">#REF!,#REF!</definedName>
    <definedName name="tableau12" localSheetId="22">#REF!,#REF!</definedName>
    <definedName name="tableau12" localSheetId="28">#REF!,#REF!</definedName>
    <definedName name="tableau12" localSheetId="35">#REF!,#REF!</definedName>
    <definedName name="tableau12">#REF!,#REF!</definedName>
    <definedName name="tableau13" localSheetId="18">#REF!,#REF!</definedName>
    <definedName name="tableau13" localSheetId="25">#REF!,#REF!</definedName>
    <definedName name="tableau13" localSheetId="29">#REF!,#REF!</definedName>
    <definedName name="tableau13" localSheetId="31">#REF!,#REF!</definedName>
    <definedName name="tableau13" localSheetId="15">#REF!,#REF!</definedName>
    <definedName name="tableau13" localSheetId="13">#REF!,#REF!</definedName>
    <definedName name="tableau13" localSheetId="17">#REF!,#REF!</definedName>
    <definedName name="tableau13" localSheetId="12">#REF!,#REF!</definedName>
    <definedName name="tableau13" localSheetId="22">#REF!,#REF!</definedName>
    <definedName name="tableau13" localSheetId="28">#REF!,#REF!</definedName>
    <definedName name="tableau13" localSheetId="35">#REF!,#REF!</definedName>
    <definedName name="tableau13">#REF!,#REF!</definedName>
    <definedName name="tableau14">'[140]Other Intangible Assets US GAAP'!$E$7:$Q$31</definedName>
    <definedName name="tableau15">'[140]Other Intangible Assets French'!$F$7:$T$43</definedName>
    <definedName name="tableau16">'[141]Other LT Liabilities'!$B$7:$C$21,'[141]Other LT Liabilities'!$E$7:$F$21</definedName>
    <definedName name="tableau17" localSheetId="18">#REF!</definedName>
    <definedName name="tableau17" localSheetId="25">#REF!</definedName>
    <definedName name="tableau17" localSheetId="29">#REF!</definedName>
    <definedName name="tableau17" localSheetId="31">#REF!</definedName>
    <definedName name="tableau17" localSheetId="15">#REF!</definedName>
    <definedName name="tableau17" localSheetId="13">#REF!</definedName>
    <definedName name="tableau17" localSheetId="17">#REF!</definedName>
    <definedName name="tableau17" localSheetId="12">#REF!</definedName>
    <definedName name="tableau17" localSheetId="22">#REF!</definedName>
    <definedName name="tableau17" localSheetId="28">#REF!</definedName>
    <definedName name="tableau17" localSheetId="35">#REF!</definedName>
    <definedName name="tableau17">#REF!</definedName>
    <definedName name="tableau18" localSheetId="18">#REF!,#REF!,#REF!</definedName>
    <definedName name="tableau18" localSheetId="25">#REF!,#REF!,#REF!</definedName>
    <definedName name="tableau18" localSheetId="29">#REF!,#REF!,#REF!</definedName>
    <definedName name="tableau18" localSheetId="31">#REF!,#REF!,#REF!</definedName>
    <definedName name="tableau18" localSheetId="15">#REF!,#REF!,#REF!</definedName>
    <definedName name="tableau18" localSheetId="13">#REF!,#REF!,#REF!</definedName>
    <definedName name="tableau18" localSheetId="17">#REF!,#REF!,#REF!</definedName>
    <definedName name="tableau18" localSheetId="12">#REF!,#REF!,#REF!</definedName>
    <definedName name="tableau18" localSheetId="22">#REF!,#REF!,#REF!</definedName>
    <definedName name="tableau18" localSheetId="28">#REF!,#REF!,#REF!</definedName>
    <definedName name="tableau18" localSheetId="35">#REF!,#REF!,#REF!</definedName>
    <definedName name="tableau18">#REF!,#REF!,#REF!</definedName>
    <definedName name="tableau2" localSheetId="18">#REF!,#REF!</definedName>
    <definedName name="tableau2" localSheetId="25">#REF!,#REF!</definedName>
    <definedName name="tableau2" localSheetId="29">#REF!,#REF!</definedName>
    <definedName name="tableau2" localSheetId="31">#REF!,#REF!</definedName>
    <definedName name="tableau2" localSheetId="15">#REF!,#REF!</definedName>
    <definedName name="tableau2" localSheetId="13">#REF!,#REF!</definedName>
    <definedName name="tableau2" localSheetId="17">#REF!,#REF!</definedName>
    <definedName name="tableau2" localSheetId="12">#REF!,#REF!</definedName>
    <definedName name="tableau2" localSheetId="22">#REF!,#REF!</definedName>
    <definedName name="tableau2" localSheetId="28">#REF!,#REF!</definedName>
    <definedName name="tableau2" localSheetId="35">#REF!,#REF!</definedName>
    <definedName name="tableau2">#REF!,#REF!</definedName>
    <definedName name="tableau3" localSheetId="18">#REF!,#REF!,#REF!,#REF!</definedName>
    <definedName name="tableau3" localSheetId="25">#REF!,#REF!,#REF!,#REF!</definedName>
    <definedName name="tableau3" localSheetId="29">#REF!,#REF!,#REF!,#REF!</definedName>
    <definedName name="tableau3" localSheetId="31">#REF!,#REF!,#REF!,#REF!</definedName>
    <definedName name="tableau3" localSheetId="15">#REF!,#REF!,#REF!,#REF!</definedName>
    <definedName name="tableau3" localSheetId="13">#REF!,#REF!,#REF!,#REF!</definedName>
    <definedName name="tableau3" localSheetId="17">#REF!,#REF!,#REF!,#REF!</definedName>
    <definedName name="tableau3" localSheetId="12">#REF!,#REF!,#REF!,#REF!</definedName>
    <definedName name="tableau3" localSheetId="22">#REF!,#REF!,#REF!,#REF!</definedName>
    <definedName name="tableau3" localSheetId="28">#REF!,#REF!,#REF!,#REF!</definedName>
    <definedName name="tableau3" localSheetId="35">#REF!,#REF!,#REF!,#REF!</definedName>
    <definedName name="tableau3">#REF!,#REF!,#REF!,#REF!</definedName>
    <definedName name="tableau4" localSheetId="18">#REF!,#REF!,#REF!</definedName>
    <definedName name="tableau4" localSheetId="25">#REF!,#REF!,#REF!</definedName>
    <definedName name="tableau4" localSheetId="29">#REF!,#REF!,#REF!</definedName>
    <definedName name="tableau4" localSheetId="31">#REF!,#REF!,#REF!</definedName>
    <definedName name="tableau4" localSheetId="15">#REF!,#REF!,#REF!</definedName>
    <definedName name="tableau4" localSheetId="13">#REF!,#REF!,#REF!</definedName>
    <definedName name="tableau4" localSheetId="17">#REF!,#REF!,#REF!</definedName>
    <definedName name="tableau4" localSheetId="12">#REF!,#REF!,#REF!</definedName>
    <definedName name="tableau4" localSheetId="22">#REF!,#REF!,#REF!</definedName>
    <definedName name="tableau4" localSheetId="28">#REF!,#REF!,#REF!</definedName>
    <definedName name="tableau4" localSheetId="35">#REF!,#REF!,#REF!</definedName>
    <definedName name="tableau4">#REF!,#REF!,#REF!</definedName>
    <definedName name="tableau5" localSheetId="18">#REF!</definedName>
    <definedName name="tableau5" localSheetId="25">#REF!</definedName>
    <definedName name="tableau5" localSheetId="29">#REF!</definedName>
    <definedName name="tableau5" localSheetId="31">#REF!</definedName>
    <definedName name="tableau5" localSheetId="15">#REF!</definedName>
    <definedName name="tableau5" localSheetId="13">#REF!</definedName>
    <definedName name="tableau5" localSheetId="17">#REF!</definedName>
    <definedName name="tableau5" localSheetId="12">#REF!</definedName>
    <definedName name="tableau5" localSheetId="22">#REF!</definedName>
    <definedName name="tableau5" localSheetId="28">#REF!</definedName>
    <definedName name="tableau5" localSheetId="35">#REF!</definedName>
    <definedName name="tableau5">#REF!</definedName>
    <definedName name="tableau6" localSheetId="18">#REF!</definedName>
    <definedName name="tableau6" localSheetId="25">#REF!</definedName>
    <definedName name="tableau6" localSheetId="29">#REF!</definedName>
    <definedName name="tableau6" localSheetId="31">#REF!</definedName>
    <definedName name="tableau6" localSheetId="15">#REF!</definedName>
    <definedName name="tableau6" localSheetId="13">#REF!</definedName>
    <definedName name="tableau6" localSheetId="17">#REF!</definedName>
    <definedName name="tableau6" localSheetId="12">#REF!</definedName>
    <definedName name="tableau6" localSheetId="22">#REF!</definedName>
    <definedName name="tableau6" localSheetId="28">#REF!</definedName>
    <definedName name="tableau6" localSheetId="35">#REF!</definedName>
    <definedName name="tableau6">#REF!</definedName>
    <definedName name="tableau7" localSheetId="18">#REF!</definedName>
    <definedName name="tableau7" localSheetId="25">#REF!</definedName>
    <definedName name="tableau7" localSheetId="29">#REF!</definedName>
    <definedName name="tableau7" localSheetId="31">#REF!</definedName>
    <definedName name="tableau7" localSheetId="15">#REF!</definedName>
    <definedName name="tableau7" localSheetId="13">#REF!</definedName>
    <definedName name="tableau7" localSheetId="17">#REF!</definedName>
    <definedName name="tableau7" localSheetId="12">#REF!</definedName>
    <definedName name="tableau7" localSheetId="22">#REF!</definedName>
    <definedName name="tableau7" localSheetId="28">#REF!</definedName>
    <definedName name="tableau7" localSheetId="35">#REF!</definedName>
    <definedName name="tableau7">#REF!</definedName>
    <definedName name="tableau8">'[141]Acc. Rec. &amp; Acc. Pay.'!$B$4:$T$17,'[141]Acc. Rec. &amp; Acc. Pay.'!$B$29:$T$40</definedName>
    <definedName name="tableau9" localSheetId="18">#REF!,#REF!</definedName>
    <definedName name="tableau9" localSheetId="25">#REF!,#REF!</definedName>
    <definedName name="tableau9" localSheetId="29">#REF!,#REF!</definedName>
    <definedName name="tableau9" localSheetId="31">#REF!,#REF!</definedName>
    <definedName name="tableau9" localSheetId="15">#REF!,#REF!</definedName>
    <definedName name="tableau9" localSheetId="13">#REF!,#REF!</definedName>
    <definedName name="tableau9" localSheetId="17">#REF!,#REF!</definedName>
    <definedName name="tableau9" localSheetId="12">#REF!,#REF!</definedName>
    <definedName name="tableau9" localSheetId="22">#REF!,#REF!</definedName>
    <definedName name="tableau9" localSheetId="28">#REF!,#REF!</definedName>
    <definedName name="tableau9" localSheetId="35">#REF!,#REF!</definedName>
    <definedName name="tableau9">#REF!,#REF!</definedName>
    <definedName name="tableconv">#N/A</definedName>
    <definedName name="tableconversion">#N/A</definedName>
    <definedName name="TableName">"Dummy"</definedName>
    <definedName name="TAmort" localSheetId="18">#REF!</definedName>
    <definedName name="TAmort" localSheetId="25">#REF!</definedName>
    <definedName name="TAmort" localSheetId="29">#REF!</definedName>
    <definedName name="TAmort" localSheetId="31">#REF!</definedName>
    <definedName name="TAmort" localSheetId="15">#REF!</definedName>
    <definedName name="TAmort" localSheetId="13">#REF!</definedName>
    <definedName name="TAmort" localSheetId="17">#REF!</definedName>
    <definedName name="TAmort" localSheetId="12">#REF!</definedName>
    <definedName name="TAmort" localSheetId="22">#REF!</definedName>
    <definedName name="TAmort" localSheetId="28">#REF!</definedName>
    <definedName name="TAmort" localSheetId="35">#REF!</definedName>
    <definedName name="TAmort">#REF!</definedName>
    <definedName name="TAmort___0">#N/A</definedName>
    <definedName name="TAmort___12">#N/A</definedName>
    <definedName name="TAmort___14">#N/A</definedName>
    <definedName name="TAmort___16">#N/A</definedName>
    <definedName name="TAmort___2">#N/A</definedName>
    <definedName name="TAmort___25">#N/A</definedName>
    <definedName name="TAmort___26">#N/A</definedName>
    <definedName name="TAmort___27">#N/A</definedName>
    <definedName name="TAmort___4">#N/A</definedName>
    <definedName name="TAmort___5">#N/A</definedName>
    <definedName name="TAmort___7">#N/A</definedName>
    <definedName name="Tanger">#N/A</definedName>
    <definedName name="TargetDebtToCapital" localSheetId="18">#REF!</definedName>
    <definedName name="TargetDebtToCapital" localSheetId="25">#REF!</definedName>
    <definedName name="TargetDebtToCapital" localSheetId="29">#REF!</definedName>
    <definedName name="TargetDebtToCapital" localSheetId="31">#REF!</definedName>
    <definedName name="TargetDebtToCapital" localSheetId="15">#REF!</definedName>
    <definedName name="TargetDebtToCapital" localSheetId="13">#REF!</definedName>
    <definedName name="TargetDebtToCapital" localSheetId="17">#REF!</definedName>
    <definedName name="TargetDebtToCapital" localSheetId="12">#REF!</definedName>
    <definedName name="TargetDebtToCapital" localSheetId="22">#REF!</definedName>
    <definedName name="TargetDebtToCapital" localSheetId="28">#REF!</definedName>
    <definedName name="TargetDebtToCapital" localSheetId="35">#REF!</definedName>
    <definedName name="TargetDebtToCapital">#REF!</definedName>
    <definedName name="TargetDebtToCapital___0">#N/A</definedName>
    <definedName name="TargetDebtToCapital___12">#N/A</definedName>
    <definedName name="TargetDebtToCapital___14">#N/A</definedName>
    <definedName name="TargetDebtToCapital___16">#N/A</definedName>
    <definedName name="TargetDebtToCapital___2">#N/A</definedName>
    <definedName name="TargetDebtToCapital___25">#N/A</definedName>
    <definedName name="TargetDebtToCapital___26">#N/A</definedName>
    <definedName name="TargetDebtToCapital___27">#N/A</definedName>
    <definedName name="TargetDebtToCapital___4">#N/A</definedName>
    <definedName name="TargetDebtToCapital___5">#N/A</definedName>
    <definedName name="TargetDebtToCapital___7">#N/A</definedName>
    <definedName name="TAssetPct" localSheetId="18">#REF!</definedName>
    <definedName name="TAssetPct" localSheetId="25">#REF!</definedName>
    <definedName name="TAssetPct" localSheetId="29">#REF!</definedName>
    <definedName name="TAssetPct" localSheetId="31">#REF!</definedName>
    <definedName name="TAssetPct" localSheetId="15">#REF!</definedName>
    <definedName name="TAssetPct" localSheetId="13">#REF!</definedName>
    <definedName name="TAssetPct" localSheetId="17">#REF!</definedName>
    <definedName name="TAssetPct" localSheetId="12">#REF!</definedName>
    <definedName name="TAssetPct" localSheetId="22">#REF!</definedName>
    <definedName name="TAssetPct" localSheetId="28">#REF!</definedName>
    <definedName name="TAssetPct" localSheetId="35">#REF!</definedName>
    <definedName name="TAssetPct">#REF!</definedName>
    <definedName name="TAssetPct___0">#N/A</definedName>
    <definedName name="TAssetPct___12">#N/A</definedName>
    <definedName name="TAssetPct___14">#N/A</definedName>
    <definedName name="TAssetPct___16">#N/A</definedName>
    <definedName name="TAssetPct___2">#N/A</definedName>
    <definedName name="TAssetPct___25">#N/A</definedName>
    <definedName name="TAssetPct___26">#N/A</definedName>
    <definedName name="TAssetPct___27">#N/A</definedName>
    <definedName name="TAssetPct___4">#N/A</definedName>
    <definedName name="TAssetPct___5">#N/A</definedName>
    <definedName name="TAssetPct___7">#N/A</definedName>
    <definedName name="TAssets" localSheetId="18">#REF!</definedName>
    <definedName name="TAssets" localSheetId="25">#REF!</definedName>
    <definedName name="TAssets" localSheetId="29">#REF!</definedName>
    <definedName name="TAssets" localSheetId="31">#REF!</definedName>
    <definedName name="TAssets" localSheetId="15">#REF!</definedName>
    <definedName name="TAssets" localSheetId="13">#REF!</definedName>
    <definedName name="TAssets" localSheetId="17">#REF!</definedName>
    <definedName name="TAssets" localSheetId="12">#REF!</definedName>
    <definedName name="TAssets" localSheetId="22">#REF!</definedName>
    <definedName name="TAssets" localSheetId="28">#REF!</definedName>
    <definedName name="TAssets" localSheetId="35">#REF!</definedName>
    <definedName name="TAssets">#REF!</definedName>
    <definedName name="TAssets___0">#N/A</definedName>
    <definedName name="TAssets___12">#N/A</definedName>
    <definedName name="TAssets___14">#N/A</definedName>
    <definedName name="TAssets___16">#N/A</definedName>
    <definedName name="TAssets___2">#N/A</definedName>
    <definedName name="TAssets___25">#N/A</definedName>
    <definedName name="TAssets___26">#N/A</definedName>
    <definedName name="TAssets___27">#N/A</definedName>
    <definedName name="TAssets___4">#N/A</definedName>
    <definedName name="TAssets___5">#N/A</definedName>
    <definedName name="TAssets___7">#N/A</definedName>
    <definedName name="tata" localSheetId="29">#REF!</definedName>
    <definedName name="tata" localSheetId="31">#REF!</definedName>
    <definedName name="tata" localSheetId="28">#REF!</definedName>
    <definedName name="tata" localSheetId="35">#REF!</definedName>
    <definedName name="tata">#REF!</definedName>
    <definedName name="tatat" localSheetId="25" hidden="1">{"IS",#N/A,FALSE,"IS";"RPTIS",#N/A,FALSE,"RPTIS";"STATS",#N/A,FALSE,"STATS";"CELL",#N/A,FALSE,"CELL";"BS",#N/A,FALSE,"BS"}</definedName>
    <definedName name="tatat" localSheetId="19" hidden="1">{"IS",#N/A,FALSE,"IS";"RPTIS",#N/A,FALSE,"RPTIS";"STATS",#N/A,FALSE,"STATS";"CELL",#N/A,FALSE,"CELL";"BS",#N/A,FALSE,"BS"}</definedName>
    <definedName name="tatat" localSheetId="22" hidden="1">{"IS",#N/A,FALSE,"IS";"RPTIS",#N/A,FALSE,"RPTIS";"STATS",#N/A,FALSE,"STATS";"CELL",#N/A,FALSE,"CELL";"BS",#N/A,FALSE,"BS"}</definedName>
    <definedName name="tatat" localSheetId="28" hidden="1">{"IS",#N/A,FALSE,"IS";"RPTIS",#N/A,FALSE,"RPTIS";"STATS",#N/A,FALSE,"STATS";"CELL",#N/A,FALSE,"CELL";"BS",#N/A,FALSE,"BS"}</definedName>
    <definedName name="tatat" localSheetId="35" hidden="1">{"IS",#N/A,FALSE,"IS";"RPTIS",#N/A,FALSE,"RPTIS";"STATS",#N/A,FALSE,"STATS";"CELL",#N/A,FALSE,"CELL";"BS",#N/A,FALSE,"BS"}</definedName>
    <definedName name="tatat" hidden="1">{"IS",#N/A,FALSE,"IS";"RPTIS",#N/A,FALSE,"RPTIS";"STATS",#N/A,FALSE,"STATS";"CELL",#N/A,FALSE,"CELL";"BS",#N/A,FALSE,"BS"}</definedName>
    <definedName name="Taux_intérêt_par_an" localSheetId="18">#REF!</definedName>
    <definedName name="Taux_intérêt_par_an" localSheetId="25">#REF!</definedName>
    <definedName name="Taux_intérêt_par_an" localSheetId="29">#REF!</definedName>
    <definedName name="Taux_intérêt_par_an" localSheetId="31">#REF!</definedName>
    <definedName name="Taux_intérêt_par_an" localSheetId="15">#REF!</definedName>
    <definedName name="Taux_intérêt_par_an" localSheetId="13">#REF!</definedName>
    <definedName name="Taux_intérêt_par_an" localSheetId="17">#REF!</definedName>
    <definedName name="Taux_intérêt_par_an" localSheetId="12">#REF!</definedName>
    <definedName name="Taux_intérêt_par_an" localSheetId="22">#REF!</definedName>
    <definedName name="Taux_intérêt_par_an" localSheetId="28">#REF!</definedName>
    <definedName name="Taux_intérêt_par_an" localSheetId="35">#REF!</definedName>
    <definedName name="Taux_intérêt_par_an">#REF!</definedName>
    <definedName name="Taux_intérêt_par_an___0">#N/A</definedName>
    <definedName name="Taux_intérêt_par_an___12">#N/A</definedName>
    <definedName name="Taux_intérêt_par_an___14">#N/A</definedName>
    <definedName name="Taux_intérêt_par_an___16">#N/A</definedName>
    <definedName name="Taux_intérêt_par_an___2">#N/A</definedName>
    <definedName name="Taux_intérêt_par_an___25">#N/A</definedName>
    <definedName name="Taux_intérêt_par_an___26">#N/A</definedName>
    <definedName name="Taux_intérêt_par_an___27">#N/A</definedName>
    <definedName name="Taux_intérêt_par_an___4">#N/A</definedName>
    <definedName name="Taux_intérêt_par_an___5">#N/A</definedName>
    <definedName name="Taux_intérêt_par_an___7">#N/A</definedName>
    <definedName name="TAX">#N/A</definedName>
    <definedName name="TCapex" localSheetId="18">#REF!</definedName>
    <definedName name="TCapex" localSheetId="25">#REF!</definedName>
    <definedName name="TCapex" localSheetId="29">#REF!</definedName>
    <definedName name="TCapex" localSheetId="31">#REF!</definedName>
    <definedName name="TCapex" localSheetId="15">#REF!</definedName>
    <definedName name="TCapex" localSheetId="13">#REF!</definedName>
    <definedName name="TCapex" localSheetId="17">#REF!</definedName>
    <definedName name="TCapex" localSheetId="12">#REF!</definedName>
    <definedName name="TCapex" localSheetId="22">#REF!</definedName>
    <definedName name="TCapex" localSheetId="28">#REF!</definedName>
    <definedName name="TCapex" localSheetId="35">#REF!</definedName>
    <definedName name="TCapex">#REF!</definedName>
    <definedName name="TCapex___0">#N/A</definedName>
    <definedName name="TCapex___12">#N/A</definedName>
    <definedName name="TCapex___14">#N/A</definedName>
    <definedName name="TCapex___16">#N/A</definedName>
    <definedName name="TCapex___2">#N/A</definedName>
    <definedName name="TCapex___25">#N/A</definedName>
    <definedName name="TCapex___26">#N/A</definedName>
    <definedName name="TCapex___27">#N/A</definedName>
    <definedName name="TCapex___4">#N/A</definedName>
    <definedName name="TCapex___5">#N/A</definedName>
    <definedName name="TCapex___7">#N/A</definedName>
    <definedName name="TCapexPct" localSheetId="18">#REF!</definedName>
    <definedName name="TCapexPct" localSheetId="25">#REF!</definedName>
    <definedName name="TCapexPct" localSheetId="29">#REF!</definedName>
    <definedName name="TCapexPct" localSheetId="31">#REF!</definedName>
    <definedName name="TCapexPct" localSheetId="15">#REF!</definedName>
    <definedName name="TCapexPct" localSheetId="13">#REF!</definedName>
    <definedName name="TCapexPct" localSheetId="17">#REF!</definedName>
    <definedName name="TCapexPct" localSheetId="12">#REF!</definedName>
    <definedName name="TCapexPct" localSheetId="22">#REF!</definedName>
    <definedName name="TCapexPct" localSheetId="28">#REF!</definedName>
    <definedName name="TCapexPct" localSheetId="35">#REF!</definedName>
    <definedName name="TCapexPct">#REF!</definedName>
    <definedName name="TCapexPct___0">#N/A</definedName>
    <definedName name="TCapexPct___12">#N/A</definedName>
    <definedName name="TCapexPct___14">#N/A</definedName>
    <definedName name="TCapexPct___16">#N/A</definedName>
    <definedName name="TCapexPct___2">#N/A</definedName>
    <definedName name="TCapexPct___25">#N/A</definedName>
    <definedName name="TCapexPct___26">#N/A</definedName>
    <definedName name="TCapexPct___27">#N/A</definedName>
    <definedName name="TCapexPct___4">#N/A</definedName>
    <definedName name="TCapexPct___5">#N/A</definedName>
    <definedName name="TCapexPct___7">#N/A</definedName>
    <definedName name="Tcasa">#N/A</definedName>
    <definedName name="TChgDefTax" localSheetId="18">#REF!</definedName>
    <definedName name="TChgDefTax" localSheetId="25">#REF!</definedName>
    <definedName name="TChgDefTax" localSheetId="29">#REF!</definedName>
    <definedName name="TChgDefTax" localSheetId="31">#REF!</definedName>
    <definedName name="TChgDefTax" localSheetId="15">#REF!</definedName>
    <definedName name="TChgDefTax" localSheetId="13">#REF!</definedName>
    <definedName name="TChgDefTax" localSheetId="17">#REF!</definedName>
    <definedName name="TChgDefTax" localSheetId="12">#REF!</definedName>
    <definedName name="TChgDefTax" localSheetId="22">#REF!</definedName>
    <definedName name="TChgDefTax" localSheetId="28">#REF!</definedName>
    <definedName name="TChgDefTax" localSheetId="35">#REF!</definedName>
    <definedName name="TChgDefTax">#REF!</definedName>
    <definedName name="TChgDefTax___0">#N/A</definedName>
    <definedName name="TChgDefTax___12">#N/A</definedName>
    <definedName name="TChgDefTax___14">#N/A</definedName>
    <definedName name="TChgDefTax___16">#N/A</definedName>
    <definedName name="TChgDefTax___2">#N/A</definedName>
    <definedName name="TChgDefTax___25">#N/A</definedName>
    <definedName name="TChgDefTax___26">#N/A</definedName>
    <definedName name="TChgDefTax___27">#N/A</definedName>
    <definedName name="TChgDefTax___4">#N/A</definedName>
    <definedName name="TChgDefTax___5">#N/A</definedName>
    <definedName name="TChgDefTax___7">#N/A</definedName>
    <definedName name="TChgNWI" localSheetId="18">#REF!</definedName>
    <definedName name="TChgNWI" localSheetId="25">#REF!</definedName>
    <definedName name="TChgNWI" localSheetId="29">#REF!</definedName>
    <definedName name="TChgNWI" localSheetId="31">#REF!</definedName>
    <definedName name="TChgNWI" localSheetId="15">#REF!</definedName>
    <definedName name="TChgNWI" localSheetId="13">#REF!</definedName>
    <definedName name="TChgNWI" localSheetId="17">#REF!</definedName>
    <definedName name="TChgNWI" localSheetId="12">#REF!</definedName>
    <definedName name="TChgNWI" localSheetId="22">#REF!</definedName>
    <definedName name="TChgNWI" localSheetId="28">#REF!</definedName>
    <definedName name="TChgNWI" localSheetId="35">#REF!</definedName>
    <definedName name="TChgNWI">#REF!</definedName>
    <definedName name="TChgNWI___0">#N/A</definedName>
    <definedName name="TChgNWI___12">#N/A</definedName>
    <definedName name="TChgNWI___14">#N/A</definedName>
    <definedName name="TChgNWI___16">#N/A</definedName>
    <definedName name="TChgNWI___2">#N/A</definedName>
    <definedName name="TChgNWI___25">#N/A</definedName>
    <definedName name="TChgNWI___26">#N/A</definedName>
    <definedName name="TChgNWI___27">#N/A</definedName>
    <definedName name="TChgNWI___4">#N/A</definedName>
    <definedName name="TChgNWI___5">#N/A</definedName>
    <definedName name="TChgNWI___7">#N/A</definedName>
    <definedName name="TCSHARE">0.329</definedName>
    <definedName name="TD">#N/A</definedName>
    <definedName name="TD_CAPEX_ACTU2_PREVISION">#N/A</definedName>
    <definedName name="TD0">#N/A</definedName>
    <definedName name="TDepr" localSheetId="18">#REF!</definedName>
    <definedName name="TDepr" localSheetId="25">#REF!</definedName>
    <definedName name="TDepr" localSheetId="29">#REF!</definedName>
    <definedName name="TDepr" localSheetId="31">#REF!</definedName>
    <definedName name="TDepr" localSheetId="15">#REF!</definedName>
    <definedName name="TDepr" localSheetId="13">#REF!</definedName>
    <definedName name="TDepr" localSheetId="17">#REF!</definedName>
    <definedName name="TDepr" localSheetId="12">#REF!</definedName>
    <definedName name="TDepr" localSheetId="22">#REF!</definedName>
    <definedName name="TDepr" localSheetId="28">#REF!</definedName>
    <definedName name="TDepr" localSheetId="35">#REF!</definedName>
    <definedName name="TDepr">#REF!</definedName>
    <definedName name="TDepr___0">#N/A</definedName>
    <definedName name="TDepr___12">#N/A</definedName>
    <definedName name="TDepr___14">#N/A</definedName>
    <definedName name="TDepr___16">#N/A</definedName>
    <definedName name="TDepr___2">#N/A</definedName>
    <definedName name="TDepr___25">#N/A</definedName>
    <definedName name="TDepr___26">#N/A</definedName>
    <definedName name="TDepr___27">#N/A</definedName>
    <definedName name="TDepr___4">#N/A</definedName>
    <definedName name="TDepr___5">#N/A</definedName>
    <definedName name="TDepr___7">#N/A</definedName>
    <definedName name="TDeprOutput" localSheetId="18">#REF!</definedName>
    <definedName name="TDeprOutput" localSheetId="25">#REF!</definedName>
    <definedName name="TDeprOutput" localSheetId="29">#REF!</definedName>
    <definedName name="TDeprOutput" localSheetId="31">#REF!</definedName>
    <definedName name="TDeprOutput" localSheetId="15">#REF!</definedName>
    <definedName name="TDeprOutput" localSheetId="13">#REF!</definedName>
    <definedName name="TDeprOutput" localSheetId="17">#REF!</definedName>
    <definedName name="TDeprOutput" localSheetId="12">#REF!</definedName>
    <definedName name="TDeprOutput" localSheetId="22">#REF!</definedName>
    <definedName name="TDeprOutput" localSheetId="28">#REF!</definedName>
    <definedName name="TDeprOutput" localSheetId="35">#REF!</definedName>
    <definedName name="TDeprOutput">#REF!</definedName>
    <definedName name="TDeprOutput___0">#N/A</definedName>
    <definedName name="TDeprOutput___12">#N/A</definedName>
    <definedName name="TDeprOutput___14">#N/A</definedName>
    <definedName name="TDeprOutput___16">#N/A</definedName>
    <definedName name="TDeprOutput___2">#N/A</definedName>
    <definedName name="TDeprOutput___25">#N/A</definedName>
    <definedName name="TDeprOutput___26">#N/A</definedName>
    <definedName name="TDeprOutput___27">#N/A</definedName>
    <definedName name="TDeprOutput___4">#N/A</definedName>
    <definedName name="TDeprOutput___5">#N/A</definedName>
    <definedName name="TDeprOutput___7">#N/A</definedName>
    <definedName name="TE">#N/A</definedName>
    <definedName name="TE0">#N/A</definedName>
    <definedName name="TEBIAT" localSheetId="18">#REF!</definedName>
    <definedName name="TEBIAT" localSheetId="25">#REF!</definedName>
    <definedName name="TEBIAT" localSheetId="29">#REF!</definedName>
    <definedName name="TEBIAT" localSheetId="31">#REF!</definedName>
    <definedName name="TEBIAT" localSheetId="15">#REF!</definedName>
    <definedName name="TEBIAT" localSheetId="13">#REF!</definedName>
    <definedName name="TEBIAT" localSheetId="17">#REF!</definedName>
    <definedName name="TEBIAT" localSheetId="12">#REF!</definedName>
    <definedName name="TEBIAT" localSheetId="22">#REF!</definedName>
    <definedName name="TEBIAT" localSheetId="28">#REF!</definedName>
    <definedName name="TEBIAT" localSheetId="35">#REF!</definedName>
    <definedName name="TEBIAT">#REF!</definedName>
    <definedName name="TEBIAT___0">#N/A</definedName>
    <definedName name="TEBIAT___12">#N/A</definedName>
    <definedName name="TEBIAT___14">#N/A</definedName>
    <definedName name="TEBIAT___16">#N/A</definedName>
    <definedName name="TEBIAT___2">#N/A</definedName>
    <definedName name="TEBIAT___25">#N/A</definedName>
    <definedName name="TEBIAT___26">#N/A</definedName>
    <definedName name="TEBIAT___27">#N/A</definedName>
    <definedName name="TEBIAT___4">#N/A</definedName>
    <definedName name="TEBIAT___5">#N/A</definedName>
    <definedName name="TEBIAT___7">#N/A</definedName>
    <definedName name="TEBIT" localSheetId="18">#REF!</definedName>
    <definedName name="TEBIT" localSheetId="25">#REF!</definedName>
    <definedName name="TEBIT" localSheetId="29">#REF!</definedName>
    <definedName name="TEBIT" localSheetId="31">#REF!</definedName>
    <definedName name="TEBIT" localSheetId="15">#REF!</definedName>
    <definedName name="TEBIT" localSheetId="13">#REF!</definedName>
    <definedName name="TEBIT" localSheetId="17">#REF!</definedName>
    <definedName name="TEBIT" localSheetId="12">#REF!</definedName>
    <definedName name="TEBIT" localSheetId="22">#REF!</definedName>
    <definedName name="TEBIT" localSheetId="28">#REF!</definedName>
    <definedName name="TEBIT" localSheetId="35">#REF!</definedName>
    <definedName name="TEBIT">#REF!</definedName>
    <definedName name="TEBIT___0">#N/A</definedName>
    <definedName name="TEBIT___12">#N/A</definedName>
    <definedName name="TEBIT___14">#N/A</definedName>
    <definedName name="TEBIT___16">#N/A</definedName>
    <definedName name="TEBIT___2">#N/A</definedName>
    <definedName name="TEBIT___25">#N/A</definedName>
    <definedName name="TEBIT___26">#N/A</definedName>
    <definedName name="TEBIT___27">#N/A</definedName>
    <definedName name="TEBIT___4">#N/A</definedName>
    <definedName name="TEBIT___5">#N/A</definedName>
    <definedName name="TEBIT___7">#N/A</definedName>
    <definedName name="TEBITAdj" localSheetId="18">#REF!</definedName>
    <definedName name="TEBITAdj" localSheetId="25">#REF!</definedName>
    <definedName name="TEBITAdj" localSheetId="29">#REF!</definedName>
    <definedName name="TEBITAdj" localSheetId="31">#REF!</definedName>
    <definedName name="TEBITAdj" localSheetId="15">#REF!</definedName>
    <definedName name="TEBITAdj" localSheetId="13">#REF!</definedName>
    <definedName name="TEBITAdj" localSheetId="19">#REF!</definedName>
    <definedName name="TEBITAdj" localSheetId="17">#REF!</definedName>
    <definedName name="TEBITAdj" localSheetId="12">#REF!</definedName>
    <definedName name="TEBITAdj" localSheetId="22">#REF!</definedName>
    <definedName name="TEBITAdj" localSheetId="28">#REF!</definedName>
    <definedName name="TEBITAdj" localSheetId="35">#REF!</definedName>
    <definedName name="TEBITAdj">#REF!</definedName>
    <definedName name="TEBITAdj___0">#N/A</definedName>
    <definedName name="TEBITAdj___12">#N/A</definedName>
    <definedName name="TEBITAdj___14">#N/A</definedName>
    <definedName name="TEBITAdj___16">#N/A</definedName>
    <definedName name="TEBITAdj___2">#N/A</definedName>
    <definedName name="TEBITAdj___25">#N/A</definedName>
    <definedName name="TEBITAdj___26">#N/A</definedName>
    <definedName name="TEBITAdj___27">#N/A</definedName>
    <definedName name="TEBITAdj___4">#N/A</definedName>
    <definedName name="TEBITAdj___5">#N/A</definedName>
    <definedName name="TEBITAdj___7">#N/A</definedName>
    <definedName name="TEBITDAAdj" localSheetId="18">#REF!</definedName>
    <definedName name="TEBITDAAdj" localSheetId="25">#REF!</definedName>
    <definedName name="TEBITDAAdj" localSheetId="29">#REF!</definedName>
    <definedName name="TEBITDAAdj" localSheetId="31">#REF!</definedName>
    <definedName name="TEBITDAAdj" localSheetId="15">#REF!</definedName>
    <definedName name="TEBITDAAdj" localSheetId="13">#REF!</definedName>
    <definedName name="TEBITDAAdj" localSheetId="17">#REF!</definedName>
    <definedName name="TEBITDAAdj" localSheetId="12">#REF!</definedName>
    <definedName name="TEBITDAAdj" localSheetId="22">#REF!</definedName>
    <definedName name="TEBITDAAdj" localSheetId="28">#REF!</definedName>
    <definedName name="TEBITDAAdj" localSheetId="35">#REF!</definedName>
    <definedName name="TEBITDAAdj">#REF!</definedName>
    <definedName name="TEBITDAAdj___0">#N/A</definedName>
    <definedName name="TEBITDAAdj___12">#N/A</definedName>
    <definedName name="TEBITDAAdj___14">#N/A</definedName>
    <definedName name="TEBITDAAdj___16">#N/A</definedName>
    <definedName name="TEBITDAAdj___2">#N/A</definedName>
    <definedName name="TEBITDAAdj___25">#N/A</definedName>
    <definedName name="TEBITDAAdj___26">#N/A</definedName>
    <definedName name="TEBITDAAdj___27">#N/A</definedName>
    <definedName name="TEBITDAAdj___4">#N/A</definedName>
    <definedName name="TEBITDAAdj___5">#N/A</definedName>
    <definedName name="TEBITDAAdj___7">#N/A</definedName>
    <definedName name="TEBITDAMult" localSheetId="18">#REF!</definedName>
    <definedName name="TEBITDAMult" localSheetId="25">#REF!</definedName>
    <definedName name="TEBITDAMult" localSheetId="29">#REF!</definedName>
    <definedName name="TEBITDAMult" localSheetId="31">#REF!</definedName>
    <definedName name="TEBITDAMult" localSheetId="15">#REF!</definedName>
    <definedName name="TEBITDAMult" localSheetId="13">#REF!</definedName>
    <definedName name="TEBITDAMult" localSheetId="17">#REF!</definedName>
    <definedName name="TEBITDAMult" localSheetId="12">#REF!</definedName>
    <definedName name="TEBITDAMult" localSheetId="22">#REF!</definedName>
    <definedName name="TEBITDAMult" localSheetId="28">#REF!</definedName>
    <definedName name="TEBITDAMult" localSheetId="35">#REF!</definedName>
    <definedName name="TEBITDAMult">#REF!</definedName>
    <definedName name="TEBITDAMult___0">#N/A</definedName>
    <definedName name="TEBITDAMult___12">#N/A</definedName>
    <definedName name="TEBITDAMult___14">#N/A</definedName>
    <definedName name="TEBITDAMult___16">#N/A</definedName>
    <definedName name="TEBITDAMult___2">#N/A</definedName>
    <definedName name="TEBITDAMult___25">#N/A</definedName>
    <definedName name="TEBITDAMult___26">#N/A</definedName>
    <definedName name="TEBITDAMult___27">#N/A</definedName>
    <definedName name="TEBITDAMult___4">#N/A</definedName>
    <definedName name="TEBITDAMult___5">#N/A</definedName>
    <definedName name="TEBITDAMult___7">#N/A</definedName>
    <definedName name="TEBITMargin" localSheetId="18">#REF!</definedName>
    <definedName name="TEBITMargin" localSheetId="25">#REF!</definedName>
    <definedName name="TEBITMargin" localSheetId="29">#REF!</definedName>
    <definedName name="TEBITMargin" localSheetId="31">#REF!</definedName>
    <definedName name="TEBITMargin" localSheetId="15">#REF!</definedName>
    <definedName name="TEBITMargin" localSheetId="13">#REF!</definedName>
    <definedName name="TEBITMargin" localSheetId="17">#REF!</definedName>
    <definedName name="TEBITMargin" localSheetId="12">#REF!</definedName>
    <definedName name="TEBITMargin" localSheetId="22">#REF!</definedName>
    <definedName name="TEBITMargin" localSheetId="28">#REF!</definedName>
    <definedName name="TEBITMargin" localSheetId="35">#REF!</definedName>
    <definedName name="TEBITMargin">#REF!</definedName>
    <definedName name="TEBITMargin___0">#N/A</definedName>
    <definedName name="TEBITMargin___12">#N/A</definedName>
    <definedName name="TEBITMargin___14">#N/A</definedName>
    <definedName name="TEBITMargin___16">#N/A</definedName>
    <definedName name="TEBITMargin___2">#N/A</definedName>
    <definedName name="TEBITMargin___25">#N/A</definedName>
    <definedName name="TEBITMargin___26">#N/A</definedName>
    <definedName name="TEBITMargin___27">#N/A</definedName>
    <definedName name="TEBITMargin___4">#N/A</definedName>
    <definedName name="TEBITMargin___5">#N/A</definedName>
    <definedName name="TEBITMargin___7">#N/A</definedName>
    <definedName name="TEBITMult" localSheetId="18">#REF!</definedName>
    <definedName name="TEBITMult" localSheetId="25">#REF!</definedName>
    <definedName name="TEBITMult" localSheetId="29">#REF!</definedName>
    <definedName name="TEBITMult" localSheetId="31">#REF!</definedName>
    <definedName name="TEBITMult" localSheetId="15">#REF!</definedName>
    <definedName name="TEBITMult" localSheetId="13">#REF!</definedName>
    <definedName name="TEBITMult" localSheetId="17">#REF!</definedName>
    <definedName name="TEBITMult" localSheetId="12">#REF!</definedName>
    <definedName name="TEBITMult" localSheetId="22">#REF!</definedName>
    <definedName name="TEBITMult" localSheetId="28">#REF!</definedName>
    <definedName name="TEBITMult" localSheetId="35">#REF!</definedName>
    <definedName name="TEBITMult">#REF!</definedName>
    <definedName name="TEBITMult___0">#N/A</definedName>
    <definedName name="TEBITMult___12">#N/A</definedName>
    <definedName name="TEBITMult___14">#N/A</definedName>
    <definedName name="TEBITMult___16">#N/A</definedName>
    <definedName name="TEBITMult___2">#N/A</definedName>
    <definedName name="TEBITMult___25">#N/A</definedName>
    <definedName name="TEBITMult___26">#N/A</definedName>
    <definedName name="TEBITMult___27">#N/A</definedName>
    <definedName name="TEBITMult___4">#N/A</definedName>
    <definedName name="TEBITMult___5">#N/A</definedName>
    <definedName name="TEBITMult___7">#N/A</definedName>
    <definedName name="Telco_GDP" localSheetId="18">#REF!</definedName>
    <definedName name="Telco_GDP" localSheetId="25">#REF!</definedName>
    <definedName name="Telco_GDP" localSheetId="29">#REF!</definedName>
    <definedName name="Telco_GDP" localSheetId="31">#REF!</definedName>
    <definedName name="Telco_GDP" localSheetId="15">#REF!</definedName>
    <definedName name="Telco_GDP" localSheetId="13">#REF!</definedName>
    <definedName name="Telco_GDP" localSheetId="17">#REF!</definedName>
    <definedName name="Telco_GDP" localSheetId="12">#REF!</definedName>
    <definedName name="Telco_GDP" localSheetId="22">#REF!</definedName>
    <definedName name="Telco_GDP" localSheetId="28">#REF!</definedName>
    <definedName name="Telco_GDP" localSheetId="35">#REF!</definedName>
    <definedName name="Telco_GDP">#REF!</definedName>
    <definedName name="Telco_GDP___0">#N/A</definedName>
    <definedName name="Telco_GDP___12">#N/A</definedName>
    <definedName name="Telco_GDP___14">#N/A</definedName>
    <definedName name="Telco_GDP___16">#N/A</definedName>
    <definedName name="Telco_GDP___2">#N/A</definedName>
    <definedName name="Telco_GDP___25">#N/A</definedName>
    <definedName name="Telco_GDP___26">#N/A</definedName>
    <definedName name="Telco_GDP___27">#N/A</definedName>
    <definedName name="Telco_GDP___4">#N/A</definedName>
    <definedName name="Telco_GDP___5">#N/A</definedName>
    <definedName name="Telco_GDP___7">#N/A</definedName>
    <definedName name="télphabontralocal" localSheetId="18">#REF!</definedName>
    <definedName name="télphabontralocal" localSheetId="25">#REF!</definedName>
    <definedName name="télphabontralocal" localSheetId="29">#REF!</definedName>
    <definedName name="télphabontralocal" localSheetId="31">#REF!</definedName>
    <definedName name="télphabontralocal" localSheetId="15">#REF!</definedName>
    <definedName name="télphabontralocal" localSheetId="13">#REF!</definedName>
    <definedName name="télphabontralocal" localSheetId="17">#REF!</definedName>
    <definedName name="télphabontralocal" localSheetId="12">#REF!</definedName>
    <definedName name="télphabontralocal" localSheetId="22">#REF!</definedName>
    <definedName name="télphabontralocal" localSheetId="28">#REF!</definedName>
    <definedName name="télphabontralocal" localSheetId="35">#REF!</definedName>
    <definedName name="télphabontralocal">#REF!</definedName>
    <definedName name="télphabontralocal___0">#N/A</definedName>
    <definedName name="télphabontralocal___14">#N/A</definedName>
    <definedName name="Temps1">'[25]Rapport Période'!$C$1</definedName>
    <definedName name="Temps2">'[25]Rapport Période'!$E$1</definedName>
    <definedName name="TER" localSheetId="29">'[142]CIP 25-11-2006'!#REF!</definedName>
    <definedName name="TER" localSheetId="31">'[142]CIP 25-11-2006'!#REF!</definedName>
    <definedName name="TER" localSheetId="28">'[142]CIP 25-11-2006'!#REF!</definedName>
    <definedName name="TER" localSheetId="35">'[142]CIP 25-11-2006'!#REF!</definedName>
    <definedName name="TER">'[142]CIP 25-11-2006'!#REF!</definedName>
    <definedName name="TermDiscperiods" localSheetId="18">#REF!</definedName>
    <definedName name="TermDiscperiods" localSheetId="25">#REF!</definedName>
    <definedName name="TermDiscperiods" localSheetId="29">#REF!</definedName>
    <definedName name="TermDiscperiods" localSheetId="31">#REF!</definedName>
    <definedName name="TermDiscperiods" localSheetId="15">#REF!</definedName>
    <definedName name="TermDiscperiods" localSheetId="13">#REF!</definedName>
    <definedName name="TermDiscperiods" localSheetId="17">#REF!</definedName>
    <definedName name="TermDiscperiods" localSheetId="12">#REF!</definedName>
    <definedName name="TermDiscperiods" localSheetId="22">#REF!</definedName>
    <definedName name="TermDiscperiods" localSheetId="28">#REF!</definedName>
    <definedName name="TermDiscperiods" localSheetId="35">#REF!</definedName>
    <definedName name="TermDiscperiods">#REF!</definedName>
    <definedName name="TermDiscperiods___0">#N/A</definedName>
    <definedName name="TermDiscperiods___12">#N/A</definedName>
    <definedName name="TermDiscperiods___14">#N/A</definedName>
    <definedName name="TermDiscperiods___16">#N/A</definedName>
    <definedName name="TermDiscperiods___2">#N/A</definedName>
    <definedName name="TermDiscperiods___25">#N/A</definedName>
    <definedName name="TermDiscperiods___26">#N/A</definedName>
    <definedName name="TermDiscperiods___27">#N/A</definedName>
    <definedName name="TermDiscperiods___4">#N/A</definedName>
    <definedName name="TermDiscperiods___5">#N/A</definedName>
    <definedName name="TermDiscperiods___7">#N/A</definedName>
    <definedName name="TerminalWACC" localSheetId="18">#REF!</definedName>
    <definedName name="TerminalWACC" localSheetId="25">#REF!</definedName>
    <definedName name="TerminalWACC" localSheetId="29">#REF!</definedName>
    <definedName name="TerminalWACC" localSheetId="31">#REF!</definedName>
    <definedName name="TerminalWACC" localSheetId="15">#REF!</definedName>
    <definedName name="TerminalWACC" localSheetId="13">#REF!</definedName>
    <definedName name="TerminalWACC" localSheetId="17">#REF!</definedName>
    <definedName name="TerminalWACC" localSheetId="12">#REF!</definedName>
    <definedName name="TerminalWACC" localSheetId="22">#REF!</definedName>
    <definedName name="TerminalWACC" localSheetId="28">#REF!</definedName>
    <definedName name="TerminalWACC" localSheetId="35">#REF!</definedName>
    <definedName name="TerminalWACC">#REF!</definedName>
    <definedName name="TerminalWACC___0">#N/A</definedName>
    <definedName name="TerminalWACC___12">#N/A</definedName>
    <definedName name="TerminalWACC___14">#N/A</definedName>
    <definedName name="TerminalWACC___16">#N/A</definedName>
    <definedName name="TerminalWACC___2">#N/A</definedName>
    <definedName name="TerminalWACC___25">#N/A</definedName>
    <definedName name="TerminalWACC___26">#N/A</definedName>
    <definedName name="TerminalWACC___27">#N/A</definedName>
    <definedName name="TerminalWACC___4">#N/A</definedName>
    <definedName name="TerminalWACC___5">#N/A</definedName>
    <definedName name="TerminalWACC___7">#N/A</definedName>
    <definedName name="test" localSheetId="25" hidden="1">{#N/A,#N/A,FALSE,"F_Plan";#N/A,#N/A,FALSE,"Parameter"}</definedName>
    <definedName name="test" localSheetId="19" hidden="1">{#N/A,#N/A,FALSE,"F_Plan";#N/A,#N/A,FALSE,"Parameter"}</definedName>
    <definedName name="test" localSheetId="22" hidden="1">{#N/A,#N/A,FALSE,"F_Plan";#N/A,#N/A,FALSE,"Parameter"}</definedName>
    <definedName name="test" localSheetId="28" hidden="1">{#N/A,#N/A,FALSE,"F_Plan";#N/A,#N/A,FALSE,"Parameter"}</definedName>
    <definedName name="test" localSheetId="35" hidden="1">{#N/A,#N/A,FALSE,"F_Plan";#N/A,#N/A,FALSE,"Parameter"}</definedName>
    <definedName name="test" hidden="1">{#N/A,#N/A,FALSE,"F_Plan";#N/A,#N/A,FALSE,"Parameter"}</definedName>
    <definedName name="Test_Equipment_Markup" localSheetId="29">#REF!</definedName>
    <definedName name="Test_Equipment_Markup" localSheetId="31">#REF!</definedName>
    <definedName name="Test_Equipment_Markup" localSheetId="28">#REF!</definedName>
    <definedName name="Test_Equipment_Markup" localSheetId="35">#REF!</definedName>
    <definedName name="Test_Equipment_Markup">#REF!</definedName>
    <definedName name="TEST0" localSheetId="18">#REF!</definedName>
    <definedName name="TEST0" localSheetId="25">#REF!</definedName>
    <definedName name="TEST0" localSheetId="29">#REF!</definedName>
    <definedName name="TEST0" localSheetId="31">#REF!</definedName>
    <definedName name="TEST0" localSheetId="15">#REF!</definedName>
    <definedName name="TEST0" localSheetId="13">#REF!</definedName>
    <definedName name="TEST0" localSheetId="17">#REF!</definedName>
    <definedName name="TEST0" localSheetId="12">#REF!</definedName>
    <definedName name="TEST0" localSheetId="22">#REF!</definedName>
    <definedName name="TEST0" localSheetId="28">#REF!</definedName>
    <definedName name="TEST0" localSheetId="35">#REF!</definedName>
    <definedName name="TEST0">#REF!</definedName>
    <definedName name="test1" localSheetId="25" hidden="1">{#N/A,#N/A,FALSE,"Umsatz";#N/A,#N/A,FALSE,"Base V.02";#N/A,#N/A,FALSE,"Charts"}</definedName>
    <definedName name="test1" localSheetId="19" hidden="1">{#N/A,#N/A,FALSE,"Umsatz";#N/A,#N/A,FALSE,"Base V.02";#N/A,#N/A,FALSE,"Charts"}</definedName>
    <definedName name="test1" localSheetId="22" hidden="1">{#N/A,#N/A,FALSE,"Umsatz";#N/A,#N/A,FALSE,"Base V.02";#N/A,#N/A,FALSE,"Charts"}</definedName>
    <definedName name="test1" localSheetId="28" hidden="1">{#N/A,#N/A,FALSE,"Umsatz";#N/A,#N/A,FALSE,"Base V.02";#N/A,#N/A,FALSE,"Charts"}</definedName>
    <definedName name="test1" localSheetId="35" hidden="1">{#N/A,#N/A,FALSE,"Umsatz";#N/A,#N/A,FALSE,"Base V.02";#N/A,#N/A,FALSE,"Charts"}</definedName>
    <definedName name="test1" hidden="1">{#N/A,#N/A,FALSE,"Umsatz";#N/A,#N/A,FALSE,"Base V.02";#N/A,#N/A,FALSE,"Charts"}</definedName>
    <definedName name="TEST10">'[143]Données 2008'!$A$10586:$Q$11761</definedName>
    <definedName name="TEST11">'[143]Données 2008'!$A$11762:$Q$12937</definedName>
    <definedName name="TEST12">'[143]Données 2008'!$A$12938:$Q$14113</definedName>
    <definedName name="TEST13">'[143]Données 2008'!$A$14114:$Q$15289</definedName>
    <definedName name="TEST14">'[143]Données 2008'!$A$15290:$Q$16465</definedName>
    <definedName name="TEST15">'[143]Données 2008'!$A$17642:$Q$17749</definedName>
    <definedName name="test2" localSheetId="25" hidden="1">{#N/A,#N/A,FALSE,"F_Plan";#N/A,#N/A,FALSE,"Parameter"}</definedName>
    <definedName name="test2" localSheetId="19" hidden="1">{#N/A,#N/A,FALSE,"F_Plan";#N/A,#N/A,FALSE,"Parameter"}</definedName>
    <definedName name="test2" localSheetId="22" hidden="1">{#N/A,#N/A,FALSE,"F_Plan";#N/A,#N/A,FALSE,"Parameter"}</definedName>
    <definedName name="test2" localSheetId="28" hidden="1">{#N/A,#N/A,FALSE,"F_Plan";#N/A,#N/A,FALSE,"Parameter"}</definedName>
    <definedName name="test2" localSheetId="35" hidden="1">{#N/A,#N/A,FALSE,"F_Plan";#N/A,#N/A,FALSE,"Parameter"}</definedName>
    <definedName name="test2" hidden="1">{#N/A,#N/A,FALSE,"F_Plan";#N/A,#N/A,FALSE,"Parameter"}</definedName>
    <definedName name="TEST3" hidden="1">#N/A</definedName>
    <definedName name="test4" localSheetId="25" hidden="1">{#N/A,#N/A,FALSE,"F_Plan";#N/A,#N/A,FALSE,"Parameter"}</definedName>
    <definedName name="test4" localSheetId="19" hidden="1">{#N/A,#N/A,FALSE,"F_Plan";#N/A,#N/A,FALSE,"Parameter"}</definedName>
    <definedName name="test4" localSheetId="22" hidden="1">{#N/A,#N/A,FALSE,"F_Plan";#N/A,#N/A,FALSE,"Parameter"}</definedName>
    <definedName name="test4" localSheetId="28" hidden="1">{#N/A,#N/A,FALSE,"F_Plan";#N/A,#N/A,FALSE,"Parameter"}</definedName>
    <definedName name="test4" localSheetId="35" hidden="1">{#N/A,#N/A,FALSE,"F_Plan";#N/A,#N/A,FALSE,"Parameter"}</definedName>
    <definedName name="test4" hidden="1">{#N/A,#N/A,FALSE,"F_Plan";#N/A,#N/A,FALSE,"Parameter"}</definedName>
    <definedName name="TEST5">'[143]Données 2008'!$A$4706:$Q$5881</definedName>
    <definedName name="TEST6">'[143]Données 2008'!$A$5882:$Q$7057</definedName>
    <definedName name="TEST7">'[143]Données 2008'!$A$7058:$Q$8233</definedName>
    <definedName name="TEST8">'[143]Données 2008'!$A$8234:$Q$9409</definedName>
    <definedName name="TEST9">'[143]Données 2008'!$A$9410:$Q$10585</definedName>
    <definedName name="TestAdd">"Test RefersTo1"</definedName>
    <definedName name="teste" localSheetId="29">#REF!</definedName>
    <definedName name="teste" localSheetId="31">#REF!</definedName>
    <definedName name="teste" localSheetId="28">#REF!</definedName>
    <definedName name="teste" localSheetId="35">#REF!</definedName>
    <definedName name="teste">#REF!</definedName>
    <definedName name="TESTHKEY" localSheetId="18">#REF!</definedName>
    <definedName name="TESTHKEY" localSheetId="25">#REF!</definedName>
    <definedName name="TESTHKEY" localSheetId="29">#REF!</definedName>
    <definedName name="TESTHKEY" localSheetId="31">#REF!</definedName>
    <definedName name="TESTHKEY" localSheetId="15">#REF!</definedName>
    <definedName name="TESTHKEY" localSheetId="13">#REF!</definedName>
    <definedName name="TESTHKEY" localSheetId="17">#REF!</definedName>
    <definedName name="TESTHKEY" localSheetId="12">#REF!</definedName>
    <definedName name="TESTHKEY" localSheetId="22">#REF!</definedName>
    <definedName name="TESTHKEY" localSheetId="28">#REF!</definedName>
    <definedName name="TESTHKEY" localSheetId="35">#REF!</definedName>
    <definedName name="TESTHKEY">#REF!</definedName>
    <definedName name="TESTKEYS" localSheetId="18">#REF!</definedName>
    <definedName name="TESTKEYS" localSheetId="25">#REF!</definedName>
    <definedName name="TESTKEYS" localSheetId="29">#REF!</definedName>
    <definedName name="TESTKEYS" localSheetId="31">#REF!</definedName>
    <definedName name="TESTKEYS" localSheetId="15">#REF!</definedName>
    <definedName name="TESTKEYS" localSheetId="13">#REF!</definedName>
    <definedName name="TESTKEYS" localSheetId="17">#REF!</definedName>
    <definedName name="TESTKEYS" localSheetId="12">#REF!</definedName>
    <definedName name="TESTKEYS" localSheetId="22">#REF!</definedName>
    <definedName name="TESTKEYS" localSheetId="28">#REF!</definedName>
    <definedName name="TESTKEYS" localSheetId="35">#REF!</definedName>
    <definedName name="TESTKEYS">#REF!</definedName>
    <definedName name="tests" localSheetId="25" hidden="1">{#N/A,#N/A,FALSE,"F_Plan";#N/A,#N/A,FALSE,"Parameter"}</definedName>
    <definedName name="tests" localSheetId="19" hidden="1">{#N/A,#N/A,FALSE,"F_Plan";#N/A,#N/A,FALSE,"Parameter"}</definedName>
    <definedName name="tests" localSheetId="22" hidden="1">{#N/A,#N/A,FALSE,"F_Plan";#N/A,#N/A,FALSE,"Parameter"}</definedName>
    <definedName name="tests" localSheetId="28" hidden="1">{#N/A,#N/A,FALSE,"F_Plan";#N/A,#N/A,FALSE,"Parameter"}</definedName>
    <definedName name="tests" localSheetId="35" hidden="1">{#N/A,#N/A,FALSE,"F_Plan";#N/A,#N/A,FALSE,"Parameter"}</definedName>
    <definedName name="tests" hidden="1">{#N/A,#N/A,FALSE,"F_Plan";#N/A,#N/A,FALSE,"Parameter"}</definedName>
    <definedName name="TESTVKEY" localSheetId="18">#REF!</definedName>
    <definedName name="TESTVKEY" localSheetId="25">#REF!</definedName>
    <definedName name="TESTVKEY" localSheetId="29">#REF!</definedName>
    <definedName name="TESTVKEY" localSheetId="31">#REF!</definedName>
    <definedName name="TESTVKEY" localSheetId="15">#REF!</definedName>
    <definedName name="TESTVKEY" localSheetId="13">#REF!</definedName>
    <definedName name="TESTVKEY" localSheetId="17">#REF!</definedName>
    <definedName name="TESTVKEY" localSheetId="12">#REF!</definedName>
    <definedName name="TESTVKEY" localSheetId="22">#REF!</definedName>
    <definedName name="TESTVKEY" localSheetId="28">#REF!</definedName>
    <definedName name="TESTVKEY" localSheetId="35">#REF!</definedName>
    <definedName name="TESTVKEY">#REF!</definedName>
    <definedName name="tete" localSheetId="18">#REF!</definedName>
    <definedName name="tete" localSheetId="25">#REF!</definedName>
    <definedName name="tete" localSheetId="29">#REF!</definedName>
    <definedName name="tete" localSheetId="31">#REF!</definedName>
    <definedName name="tete" localSheetId="15">#REF!</definedName>
    <definedName name="tete" localSheetId="13">#REF!</definedName>
    <definedName name="tete" localSheetId="17">#REF!</definedName>
    <definedName name="tete" localSheetId="12">#REF!</definedName>
    <definedName name="tete" localSheetId="22">#REF!</definedName>
    <definedName name="tete" localSheetId="28">#REF!</definedName>
    <definedName name="tete" localSheetId="35">#REF!</definedName>
    <definedName name="tete">#REF!</definedName>
    <definedName name="TextRefCopyRangeCount" hidden="1">1</definedName>
    <definedName name="TEZ" localSheetId="18">#REF!</definedName>
    <definedName name="TEZ" localSheetId="25">#REF!</definedName>
    <definedName name="TEZ" localSheetId="29">#REF!</definedName>
    <definedName name="TEZ" localSheetId="31">#REF!</definedName>
    <definedName name="TEZ" localSheetId="15">#REF!</definedName>
    <definedName name="TEZ" localSheetId="13">#REF!</definedName>
    <definedName name="TEZ" localSheetId="17">#REF!</definedName>
    <definedName name="TEZ" localSheetId="12">#REF!</definedName>
    <definedName name="TEZ" localSheetId="22">#REF!</definedName>
    <definedName name="TEZ" localSheetId="28">#REF!</definedName>
    <definedName name="TEZ" localSheetId="35">#REF!</definedName>
    <definedName name="TEZ">#REF!</definedName>
    <definedName name="TFCF" localSheetId="18">#REF!</definedName>
    <definedName name="TFCF" localSheetId="25">#REF!</definedName>
    <definedName name="TFCF" localSheetId="29">#REF!</definedName>
    <definedName name="TFCF" localSheetId="31">#REF!</definedName>
    <definedName name="TFCF" localSheetId="15">#REF!</definedName>
    <definedName name="TFCF" localSheetId="13">#REF!</definedName>
    <definedName name="TFCF" localSheetId="17">#REF!</definedName>
    <definedName name="TFCF" localSheetId="12">#REF!</definedName>
    <definedName name="TFCF" localSheetId="22">#REF!</definedName>
    <definedName name="TFCF" localSheetId="28">#REF!</definedName>
    <definedName name="TFCF" localSheetId="35">#REF!</definedName>
    <definedName name="TFCF">#REF!</definedName>
    <definedName name="TFCF___0">#N/A</definedName>
    <definedName name="TFCF___12">#N/A</definedName>
    <definedName name="TFCF___14">#N/A</definedName>
    <definedName name="TFCF___16">#N/A</definedName>
    <definedName name="TFCF___2">#N/A</definedName>
    <definedName name="TFCF___25">#N/A</definedName>
    <definedName name="TFCF___26">#N/A</definedName>
    <definedName name="TFCF___27">#N/A</definedName>
    <definedName name="TFCF___4">#N/A</definedName>
    <definedName name="TFCF___5">#N/A</definedName>
    <definedName name="TFCF___7">#N/A</definedName>
    <definedName name="TFCFColumn" localSheetId="18">#REF!</definedName>
    <definedName name="TFCFColumn" localSheetId="25">#REF!</definedName>
    <definedName name="TFCFColumn" localSheetId="29">#REF!</definedName>
    <definedName name="TFCFColumn" localSheetId="31">#REF!</definedName>
    <definedName name="TFCFColumn" localSheetId="15">#REF!</definedName>
    <definedName name="TFCFColumn" localSheetId="13">#REF!</definedName>
    <definedName name="TFCFColumn" localSheetId="17">#REF!</definedName>
    <definedName name="TFCFColumn" localSheetId="12">#REF!</definedName>
    <definedName name="TFCFColumn" localSheetId="22">#REF!</definedName>
    <definedName name="TFCFColumn" localSheetId="28">#REF!</definedName>
    <definedName name="TFCFColumn" localSheetId="35">#REF!</definedName>
    <definedName name="TFCFColumn">#REF!</definedName>
    <definedName name="TFCFColumn___0">#N/A</definedName>
    <definedName name="TFCFColumn___12">#N/A</definedName>
    <definedName name="TFCFColumn___14">#N/A</definedName>
    <definedName name="TFCFColumn___16">#N/A</definedName>
    <definedName name="TFCFColumn___2">#N/A</definedName>
    <definedName name="TFCFColumn___25">#N/A</definedName>
    <definedName name="TFCFColumn___26">#N/A</definedName>
    <definedName name="TFCFColumn___27">#N/A</definedName>
    <definedName name="TFCFColumn___4">#N/A</definedName>
    <definedName name="TFCFColumn___5">#N/A</definedName>
    <definedName name="TFCFColumn___7">#N/A</definedName>
    <definedName name="TFirstProjDate" localSheetId="18">#REF!</definedName>
    <definedName name="TFirstProjDate" localSheetId="25">#REF!</definedName>
    <definedName name="TFirstProjDate" localSheetId="29">#REF!</definedName>
    <definedName name="TFirstProjDate" localSheetId="31">#REF!</definedName>
    <definedName name="TFirstProjDate" localSheetId="15">#REF!</definedName>
    <definedName name="TFirstProjDate" localSheetId="13">#REF!</definedName>
    <definedName name="TFirstProjDate" localSheetId="17">#REF!</definedName>
    <definedName name="TFirstProjDate" localSheetId="12">#REF!</definedName>
    <definedName name="TFirstProjDate" localSheetId="22">#REF!</definedName>
    <definedName name="TFirstProjDate" localSheetId="28">#REF!</definedName>
    <definedName name="TFirstProjDate" localSheetId="35">#REF!</definedName>
    <definedName name="TFirstProjDate">#REF!</definedName>
    <definedName name="TFirstProjDate___0">#N/A</definedName>
    <definedName name="TFirstProjDate___12">#N/A</definedName>
    <definedName name="TFirstProjDate___14">#N/A</definedName>
    <definedName name="TFirstProjDate___16">#N/A</definedName>
    <definedName name="TFirstProjDate___2">#N/A</definedName>
    <definedName name="TFirstProjDate___25">#N/A</definedName>
    <definedName name="TFirstProjDate___26">#N/A</definedName>
    <definedName name="TFirstProjDate___27">#N/A</definedName>
    <definedName name="TFirstProjDate___4">#N/A</definedName>
    <definedName name="TFirstProjDate___5">#N/A</definedName>
    <definedName name="TFirstProjDate___7">#N/A</definedName>
    <definedName name="TFirstProjDateDays" localSheetId="18">#REF!</definedName>
    <definedName name="TFirstProjDateDays" localSheetId="25">#REF!</definedName>
    <definedName name="TFirstProjDateDays" localSheetId="29">#REF!</definedName>
    <definedName name="TFirstProjDateDays" localSheetId="31">#REF!</definedName>
    <definedName name="TFirstProjDateDays" localSheetId="15">#REF!</definedName>
    <definedName name="TFirstProjDateDays" localSheetId="13">#REF!</definedName>
    <definedName name="TFirstProjDateDays" localSheetId="17">#REF!</definedName>
    <definedName name="TFirstProjDateDays" localSheetId="12">#REF!</definedName>
    <definedName name="TFirstProjDateDays" localSheetId="22">#REF!</definedName>
    <definedName name="TFirstProjDateDays" localSheetId="28">#REF!</definedName>
    <definedName name="TFirstProjDateDays" localSheetId="35">#REF!</definedName>
    <definedName name="TFirstProjDateDays">#REF!</definedName>
    <definedName name="TFirstProjDateDays___0">#N/A</definedName>
    <definedName name="TFirstProjDateDays___12">#N/A</definedName>
    <definedName name="TFirstProjDateDays___14">#N/A</definedName>
    <definedName name="TFirstProjDateDays___16">#N/A</definedName>
    <definedName name="TFirstProjDateDays___2">#N/A</definedName>
    <definedName name="TFirstProjDateDays___25">#N/A</definedName>
    <definedName name="TFirstProjDateDays___26">#N/A</definedName>
    <definedName name="TFirstProjDateDays___27">#N/A</definedName>
    <definedName name="TFirstProjDateDays___4">#N/A</definedName>
    <definedName name="TFirstProjDateDays___5">#N/A</definedName>
    <definedName name="TFirstProjDateDays___7">#N/A</definedName>
    <definedName name="TG" localSheetId="18">#REF!</definedName>
    <definedName name="TG" localSheetId="25">#REF!</definedName>
    <definedName name="TG" localSheetId="29">#REF!</definedName>
    <definedName name="TG" localSheetId="31">#REF!</definedName>
    <definedName name="TG" localSheetId="15">#REF!</definedName>
    <definedName name="TG" localSheetId="13">#REF!</definedName>
    <definedName name="TG" localSheetId="17">#REF!</definedName>
    <definedName name="TG" localSheetId="12">#REF!</definedName>
    <definedName name="TG" localSheetId="22">#REF!</definedName>
    <definedName name="TG" localSheetId="28">#REF!</definedName>
    <definedName name="TG" localSheetId="35">#REF!</definedName>
    <definedName name="TG">#REF!</definedName>
    <definedName name="tgyrdh">#N/A</definedName>
    <definedName name="THB" localSheetId="18">#REF!</definedName>
    <definedName name="THB" localSheetId="25">#REF!</definedName>
    <definedName name="THB" localSheetId="29">#REF!</definedName>
    <definedName name="THB" localSheetId="31">#REF!</definedName>
    <definedName name="THB" localSheetId="15">#REF!</definedName>
    <definedName name="THB" localSheetId="13">#REF!</definedName>
    <definedName name="THB" localSheetId="17">#REF!</definedName>
    <definedName name="THB" localSheetId="12">#REF!</definedName>
    <definedName name="THB" localSheetId="22">#REF!</definedName>
    <definedName name="THB" localSheetId="28">#REF!</definedName>
    <definedName name="THB" localSheetId="35">#REF!</definedName>
    <definedName name="THB">#REF!</definedName>
    <definedName name="Theme_Week_Mov" localSheetId="18">#REF!</definedName>
    <definedName name="Theme_Week_Mov" localSheetId="25">#REF!</definedName>
    <definedName name="Theme_Week_Mov" localSheetId="29">#REF!</definedName>
    <definedName name="Theme_Week_Mov" localSheetId="31">#REF!</definedName>
    <definedName name="Theme_Week_Mov" localSheetId="15">#REF!</definedName>
    <definedName name="Theme_Week_Mov" localSheetId="13">#REF!</definedName>
    <definedName name="Theme_Week_Mov" localSheetId="17">#REF!</definedName>
    <definedName name="Theme_Week_Mov" localSheetId="12">#REF!</definedName>
    <definedName name="Theme_Week_Mov" localSheetId="22">#REF!</definedName>
    <definedName name="Theme_Week_Mov" localSheetId="28">#REF!</definedName>
    <definedName name="Theme_Week_Mov" localSheetId="35">#REF!</definedName>
    <definedName name="Theme_Week_Mov">#REF!</definedName>
    <definedName name="TIEEQ" localSheetId="29">#REF!</definedName>
    <definedName name="TIEEQ" localSheetId="31">#REF!</definedName>
    <definedName name="TIEEQ" localSheetId="28">#REF!</definedName>
    <definedName name="TIEEQ" localSheetId="35">#REF!</definedName>
    <definedName name="TIEEQ">#REF!</definedName>
    <definedName name="TITLE" localSheetId="18">[136]BATIMENT!#REF!</definedName>
    <definedName name="TITLE" localSheetId="29">[136]BATIMENT!#REF!</definedName>
    <definedName name="TITLE" localSheetId="31">[136]BATIMENT!#REF!</definedName>
    <definedName name="TITLE" localSheetId="15">[136]BATIMENT!#REF!</definedName>
    <definedName name="TITLE" localSheetId="13">[136]BATIMENT!#REF!</definedName>
    <definedName name="TITLE" localSheetId="17">[136]BATIMENT!#REF!</definedName>
    <definedName name="TITLE" localSheetId="12">[136]BATIMENT!#REF!</definedName>
    <definedName name="TITLE" localSheetId="22">[136]BATIMENT!#REF!</definedName>
    <definedName name="TITLE" localSheetId="28">[136]BATIMENT!#REF!</definedName>
    <definedName name="TITLE" localSheetId="35">[136]BATIMENT!#REF!</definedName>
    <definedName name="TITLE">[136]BATIMENT!#REF!</definedName>
    <definedName name="TITLES">#N/A</definedName>
    <definedName name="Titles2">"a59:a67"</definedName>
    <definedName name="titre">#N/A</definedName>
    <definedName name="titres" localSheetId="18">#REF!</definedName>
    <definedName name="titres" localSheetId="25">#REF!</definedName>
    <definedName name="titres" localSheetId="29">#REF!</definedName>
    <definedName name="titres" localSheetId="31">#REF!</definedName>
    <definedName name="titres" localSheetId="15">#REF!</definedName>
    <definedName name="titres" localSheetId="13">#REF!</definedName>
    <definedName name="titres" localSheetId="17">#REF!</definedName>
    <definedName name="titres" localSheetId="12">#REF!</definedName>
    <definedName name="titres" localSheetId="22">#REF!</definedName>
    <definedName name="titres" localSheetId="28">#REF!</definedName>
    <definedName name="titres" localSheetId="35">#REF!</definedName>
    <definedName name="titres">#REF!</definedName>
    <definedName name="tkprtkt" localSheetId="18" hidden="1">#REF!</definedName>
    <definedName name="tkprtkt" localSheetId="25" hidden="1">#REF!</definedName>
    <definedName name="tkprtkt" localSheetId="29" hidden="1">#REF!</definedName>
    <definedName name="tkprtkt" localSheetId="31" hidden="1">#REF!</definedName>
    <definedName name="tkprtkt" localSheetId="15" hidden="1">#REF!</definedName>
    <definedName name="tkprtkt" localSheetId="13" hidden="1">#REF!</definedName>
    <definedName name="tkprtkt" localSheetId="17" hidden="1">#REF!</definedName>
    <definedName name="tkprtkt" localSheetId="12" hidden="1">#REF!</definedName>
    <definedName name="tkprtkt" localSheetId="22" hidden="1">#REF!</definedName>
    <definedName name="tkprtkt" localSheetId="28" hidden="1">#REF!</definedName>
    <definedName name="tkprtkt" localSheetId="35" hidden="1">#REF!</definedName>
    <definedName name="tkprtkt" hidden="1">#REF!</definedName>
    <definedName name="TLiabPct" localSheetId="18">#REF!</definedName>
    <definedName name="TLiabPct" localSheetId="25">#REF!</definedName>
    <definedName name="TLiabPct" localSheetId="29">#REF!</definedName>
    <definedName name="TLiabPct" localSheetId="31">#REF!</definedName>
    <definedName name="TLiabPct" localSheetId="15">#REF!</definedName>
    <definedName name="TLiabPct" localSheetId="13">#REF!</definedName>
    <definedName name="TLiabPct" localSheetId="17">#REF!</definedName>
    <definedName name="TLiabPct" localSheetId="12">#REF!</definedName>
    <definedName name="TLiabPct" localSheetId="22">#REF!</definedName>
    <definedName name="TLiabPct" localSheetId="28">#REF!</definedName>
    <definedName name="TLiabPct" localSheetId="35">#REF!</definedName>
    <definedName name="TLiabPct">#REF!</definedName>
    <definedName name="TLiabPct___0">#N/A</definedName>
    <definedName name="TLiabPct___12">#N/A</definedName>
    <definedName name="TLiabPct___14">#N/A</definedName>
    <definedName name="TLiabPct___16">#N/A</definedName>
    <definedName name="TLiabPct___2">#N/A</definedName>
    <definedName name="TLiabPct___25">#N/A</definedName>
    <definedName name="TLiabPct___26">#N/A</definedName>
    <definedName name="TLiabPct___27">#N/A</definedName>
    <definedName name="TLiabPct___4">#N/A</definedName>
    <definedName name="TLiabPct___5">#N/A</definedName>
    <definedName name="TLiabPct___7">#N/A</definedName>
    <definedName name="TLiabs" localSheetId="18">#REF!</definedName>
    <definedName name="TLiabs" localSheetId="25">#REF!</definedName>
    <definedName name="TLiabs" localSheetId="29">#REF!</definedName>
    <definedName name="TLiabs" localSheetId="31">#REF!</definedName>
    <definedName name="TLiabs" localSheetId="15">#REF!</definedName>
    <definedName name="TLiabs" localSheetId="13">#REF!</definedName>
    <definedName name="TLiabs" localSheetId="17">#REF!</definedName>
    <definedName name="TLiabs" localSheetId="12">#REF!</definedName>
    <definedName name="TLiabs" localSheetId="22">#REF!</definedName>
    <definedName name="TLiabs" localSheetId="28">#REF!</definedName>
    <definedName name="TLiabs" localSheetId="35">#REF!</definedName>
    <definedName name="TLiabs">#REF!</definedName>
    <definedName name="TLiabs___0">#N/A</definedName>
    <definedName name="TLiabs___12">#N/A</definedName>
    <definedName name="TLiabs___14">#N/A</definedName>
    <definedName name="TLiabs___16">#N/A</definedName>
    <definedName name="TLiabs___2">#N/A</definedName>
    <definedName name="TLiabs___25">#N/A</definedName>
    <definedName name="TLiabs___26">#N/A</definedName>
    <definedName name="TLiabs___27">#N/A</definedName>
    <definedName name="TLiabs___4">#N/A</definedName>
    <definedName name="TLiabs___5">#N/A</definedName>
    <definedName name="TLiabs___7">#N/A</definedName>
    <definedName name="Tmarrakech">#N/A</definedName>
    <definedName name="Tmeknes">#N/A</definedName>
    <definedName name="TNPPESales" localSheetId="18">#REF!</definedName>
    <definedName name="TNPPESales" localSheetId="25">#REF!</definedName>
    <definedName name="TNPPESales" localSheetId="29">#REF!</definedName>
    <definedName name="TNPPESales" localSheetId="31">#REF!</definedName>
    <definedName name="TNPPESales" localSheetId="15">#REF!</definedName>
    <definedName name="TNPPESales" localSheetId="13">#REF!</definedName>
    <definedName name="TNPPESales" localSheetId="17">#REF!</definedName>
    <definedName name="TNPPESales" localSheetId="12">#REF!</definedName>
    <definedName name="TNPPESales" localSheetId="22">#REF!</definedName>
    <definedName name="TNPPESales" localSheetId="28">#REF!</definedName>
    <definedName name="TNPPESales" localSheetId="35">#REF!</definedName>
    <definedName name="TNPPESales">#REF!</definedName>
    <definedName name="TNPPESales___0">#N/A</definedName>
    <definedName name="TNPPESales___12">#N/A</definedName>
    <definedName name="TNPPESales___14">#N/A</definedName>
    <definedName name="TNPPESales___16">#N/A</definedName>
    <definedName name="TNPPESales___2">#N/A</definedName>
    <definedName name="TNPPESales___25">#N/A</definedName>
    <definedName name="TNPPESales___26">#N/A</definedName>
    <definedName name="TNPPESales___27">#N/A</definedName>
    <definedName name="TNPPESales___4">#N/A</definedName>
    <definedName name="TNPPESales___5">#N/A</definedName>
    <definedName name="TNPPESales___7">#N/A</definedName>
    <definedName name="TNWIPct" localSheetId="18">#REF!</definedName>
    <definedName name="TNWIPct" localSheetId="25">#REF!</definedName>
    <definedName name="TNWIPct" localSheetId="29">#REF!</definedName>
    <definedName name="TNWIPct" localSheetId="31">#REF!</definedName>
    <definedName name="TNWIPct" localSheetId="15">#REF!</definedName>
    <definedName name="TNWIPct" localSheetId="13">#REF!</definedName>
    <definedName name="TNWIPct" localSheetId="17">#REF!</definedName>
    <definedName name="TNWIPct" localSheetId="12">#REF!</definedName>
    <definedName name="TNWIPct" localSheetId="22">#REF!</definedName>
    <definedName name="TNWIPct" localSheetId="28">#REF!</definedName>
    <definedName name="TNWIPct" localSheetId="35">#REF!</definedName>
    <definedName name="TNWIPct">#REF!</definedName>
    <definedName name="TNWIPct___0">#N/A</definedName>
    <definedName name="TNWIPct___12">#N/A</definedName>
    <definedName name="TNWIPct___14">#N/A</definedName>
    <definedName name="TNWIPct___16">#N/A</definedName>
    <definedName name="TNWIPct___2">#N/A</definedName>
    <definedName name="TNWIPct___25">#N/A</definedName>
    <definedName name="TNWIPct___26">#N/A</definedName>
    <definedName name="TNWIPct___27">#N/A</definedName>
    <definedName name="TNWIPct___4">#N/A</definedName>
    <definedName name="TNWIPct___5">#N/A</definedName>
    <definedName name="TNWIPct___7">#N/A</definedName>
    <definedName name="TokyoIndFactor" localSheetId="18">#REF!</definedName>
    <definedName name="TokyoIndFactor" localSheetId="25">#REF!</definedName>
    <definedName name="TokyoIndFactor" localSheetId="29">#REF!</definedName>
    <definedName name="TokyoIndFactor" localSheetId="31">#REF!</definedName>
    <definedName name="TokyoIndFactor" localSheetId="15">#REF!</definedName>
    <definedName name="TokyoIndFactor" localSheetId="13">#REF!</definedName>
    <definedName name="TokyoIndFactor" localSheetId="17">#REF!</definedName>
    <definedName name="TokyoIndFactor" localSheetId="12">#REF!</definedName>
    <definedName name="TokyoIndFactor" localSheetId="22">#REF!</definedName>
    <definedName name="TokyoIndFactor" localSheetId="28">#REF!</definedName>
    <definedName name="TokyoIndFactor" localSheetId="35">#REF!</definedName>
    <definedName name="TokyoIndFactor">#REF!</definedName>
    <definedName name="TokyoIndFactor___0">#N/A</definedName>
    <definedName name="TokyoIndFactor___12">#N/A</definedName>
    <definedName name="TokyoIndFactor___14">#N/A</definedName>
    <definedName name="TokyoIndFactor___16">#N/A</definedName>
    <definedName name="TokyoIndFactor___2">#N/A</definedName>
    <definedName name="TokyoIndFactor___25">#N/A</definedName>
    <definedName name="TokyoIndFactor___26">#N/A</definedName>
    <definedName name="TokyoIndFactor___27">#N/A</definedName>
    <definedName name="TokyoIndFactor___4">#N/A</definedName>
    <definedName name="TokyoIndFactor___5">#N/A</definedName>
    <definedName name="TokyoIndFactor___7">#N/A</definedName>
    <definedName name="TOperProfitAdj" localSheetId="18">#REF!</definedName>
    <definedName name="TOperProfitAdj" localSheetId="25">#REF!</definedName>
    <definedName name="TOperProfitAdj" localSheetId="29">#REF!</definedName>
    <definedName name="TOperProfitAdj" localSheetId="31">#REF!</definedName>
    <definedName name="TOperProfitAdj" localSheetId="15">#REF!</definedName>
    <definedName name="TOperProfitAdj" localSheetId="13">#REF!</definedName>
    <definedName name="TOperProfitAdj" localSheetId="17">#REF!</definedName>
    <definedName name="TOperProfitAdj" localSheetId="12">#REF!</definedName>
    <definedName name="TOperProfitAdj" localSheetId="22">#REF!</definedName>
    <definedName name="TOperProfitAdj" localSheetId="28">#REF!</definedName>
    <definedName name="TOperProfitAdj" localSheetId="35">#REF!</definedName>
    <definedName name="TOperProfitAdj">#REF!</definedName>
    <definedName name="TOperProfitAdj___0">#N/A</definedName>
    <definedName name="TOperProfitAdj___12">#N/A</definedName>
    <definedName name="TOperProfitAdj___14">#N/A</definedName>
    <definedName name="TOperProfitAdj___16">#N/A</definedName>
    <definedName name="TOperProfitAdj___2">#N/A</definedName>
    <definedName name="TOperProfitAdj___25">#N/A</definedName>
    <definedName name="TOperProfitAdj___26">#N/A</definedName>
    <definedName name="TOperProfitAdj___27">#N/A</definedName>
    <definedName name="TOperProfitAdj___4">#N/A</definedName>
    <definedName name="TOperProfitAdj___5">#N/A</definedName>
    <definedName name="TOperProfitAdj___7">#N/A</definedName>
    <definedName name="TOPMult" localSheetId="18">#REF!</definedName>
    <definedName name="TOPMult" localSheetId="25">#REF!</definedName>
    <definedName name="TOPMult" localSheetId="29">#REF!</definedName>
    <definedName name="TOPMult" localSheetId="31">#REF!</definedName>
    <definedName name="TOPMult" localSheetId="15">#REF!</definedName>
    <definedName name="TOPMult" localSheetId="13">#REF!</definedName>
    <definedName name="TOPMult" localSheetId="17">#REF!</definedName>
    <definedName name="TOPMult" localSheetId="12">#REF!</definedName>
    <definedName name="TOPMult" localSheetId="22">#REF!</definedName>
    <definedName name="TOPMult" localSheetId="28">#REF!</definedName>
    <definedName name="TOPMult" localSheetId="35">#REF!</definedName>
    <definedName name="TOPMult">#REF!</definedName>
    <definedName name="TOPMult___0">#N/A</definedName>
    <definedName name="TOPMult___12">#N/A</definedName>
    <definedName name="TOPMult___14">#N/A</definedName>
    <definedName name="TOPMult___16">#N/A</definedName>
    <definedName name="TOPMult___2">#N/A</definedName>
    <definedName name="TOPMult___25">#N/A</definedName>
    <definedName name="TOPMult___26">#N/A</definedName>
    <definedName name="TOPMult___27">#N/A</definedName>
    <definedName name="TOPMult___4">#N/A</definedName>
    <definedName name="TOPMult___5">#N/A</definedName>
    <definedName name="TOPMult___7">#N/A</definedName>
    <definedName name="TOTAL" localSheetId="18">[36]CH95!#REF!</definedName>
    <definedName name="TOTAL" localSheetId="29">[36]CH95!#REF!</definedName>
    <definedName name="TOTAL" localSheetId="31">[36]CH95!#REF!</definedName>
    <definedName name="TOTAL" localSheetId="15">[36]CH95!#REF!</definedName>
    <definedName name="TOTAL" localSheetId="13">[36]CH95!#REF!</definedName>
    <definedName name="TOTAL" localSheetId="19">[36]CH95!#REF!</definedName>
    <definedName name="TOTAL" localSheetId="17">[36]CH95!#REF!</definedName>
    <definedName name="TOTAL" localSheetId="12">[36]CH95!#REF!</definedName>
    <definedName name="TOTAL" localSheetId="22">[36]CH95!#REF!</definedName>
    <definedName name="TOTAL" localSheetId="28">[36]CH95!#REF!</definedName>
    <definedName name="TOTAL" localSheetId="35">[36]CH95!#REF!</definedName>
    <definedName name="TOTAL">[36]CH95!#REF!</definedName>
    <definedName name="TOTAL___0">#N/A</definedName>
    <definedName name="TOTAL___12">#N/A</definedName>
    <definedName name="TotalAn">'[25]Rapport Période'!$P$24</definedName>
    <definedName name="TotalGraph">#N/A</definedName>
    <definedName name="TotalMens" localSheetId="18">#REF!</definedName>
    <definedName name="TotalMens" localSheetId="25">#REF!</definedName>
    <definedName name="TotalMens" localSheetId="29">#REF!</definedName>
    <definedName name="TotalMens" localSheetId="31">#REF!</definedName>
    <definedName name="TotalMens" localSheetId="15">#REF!</definedName>
    <definedName name="TotalMens" localSheetId="13">#REF!</definedName>
    <definedName name="TotalMens" localSheetId="17">#REF!</definedName>
    <definedName name="TotalMens" localSheetId="12">#REF!</definedName>
    <definedName name="TotalMens" localSheetId="22">#REF!</definedName>
    <definedName name="TotalMens" localSheetId="28">#REF!</definedName>
    <definedName name="TotalMens" localSheetId="35">#REF!</definedName>
    <definedName name="TotalMens">#REF!</definedName>
    <definedName name="TotalRMDGraph">#N/A</definedName>
    <definedName name="totalvalue" localSheetId="29">#REF!</definedName>
    <definedName name="totalvalue" localSheetId="31">#REF!</definedName>
    <definedName name="totalvalue" localSheetId="28">#REF!</definedName>
    <definedName name="totalvalue" localSheetId="35">#REF!</definedName>
    <definedName name="totalvalue">#REF!</definedName>
    <definedName name="TotalVend" localSheetId="18">#REF!</definedName>
    <definedName name="TotalVend" localSheetId="25">#REF!</definedName>
    <definedName name="TotalVend" localSheetId="29">#REF!</definedName>
    <definedName name="TotalVend" localSheetId="31">#REF!</definedName>
    <definedName name="TotalVend" localSheetId="15">#REF!</definedName>
    <definedName name="TotalVend" localSheetId="13">#REF!</definedName>
    <definedName name="TotalVend" localSheetId="17">#REF!</definedName>
    <definedName name="TotalVend" localSheetId="12">#REF!</definedName>
    <definedName name="TotalVend" localSheetId="22">#REF!</definedName>
    <definedName name="TotalVend" localSheetId="28">#REF!</definedName>
    <definedName name="TotalVend" localSheetId="35">#REF!</definedName>
    <definedName name="TotalVend">#REF!</definedName>
    <definedName name="TOther1" localSheetId="18">#REF!</definedName>
    <definedName name="TOther1" localSheetId="25">#REF!</definedName>
    <definedName name="TOther1" localSheetId="29">#REF!</definedName>
    <definedName name="TOther1" localSheetId="31">#REF!</definedName>
    <definedName name="TOther1" localSheetId="15">#REF!</definedName>
    <definedName name="TOther1" localSheetId="13">#REF!</definedName>
    <definedName name="TOther1" localSheetId="17">#REF!</definedName>
    <definedName name="TOther1" localSheetId="12">#REF!</definedName>
    <definedName name="TOther1" localSheetId="22">#REF!</definedName>
    <definedName name="TOther1" localSheetId="28">#REF!</definedName>
    <definedName name="TOther1" localSheetId="35">#REF!</definedName>
    <definedName name="TOther1">#REF!</definedName>
    <definedName name="TOther1___0">#N/A</definedName>
    <definedName name="TOther1___12">#N/A</definedName>
    <definedName name="TOther1___14">#N/A</definedName>
    <definedName name="TOther1___16">#N/A</definedName>
    <definedName name="TOther1___2">#N/A</definedName>
    <definedName name="TOther1___25">#N/A</definedName>
    <definedName name="TOther1___26">#N/A</definedName>
    <definedName name="TOther1___27">#N/A</definedName>
    <definedName name="TOther1___4">#N/A</definedName>
    <definedName name="TOther1___5">#N/A</definedName>
    <definedName name="TOther1___7">#N/A</definedName>
    <definedName name="TOther1Adj" localSheetId="18">#REF!</definedName>
    <definedName name="TOther1Adj" localSheetId="25">#REF!</definedName>
    <definedName name="TOther1Adj" localSheetId="29">#REF!</definedName>
    <definedName name="TOther1Adj" localSheetId="31">#REF!</definedName>
    <definedName name="TOther1Adj" localSheetId="15">#REF!</definedName>
    <definedName name="TOther1Adj" localSheetId="13">#REF!</definedName>
    <definedName name="TOther1Adj" localSheetId="17">#REF!</definedName>
    <definedName name="TOther1Adj" localSheetId="12">#REF!</definedName>
    <definedName name="TOther1Adj" localSheetId="22">#REF!</definedName>
    <definedName name="TOther1Adj" localSheetId="28">#REF!</definedName>
    <definedName name="TOther1Adj" localSheetId="35">#REF!</definedName>
    <definedName name="TOther1Adj">#REF!</definedName>
    <definedName name="TOther1Adj___0">#N/A</definedName>
    <definedName name="TOther1Adj___12">#N/A</definedName>
    <definedName name="TOther1Adj___14">#N/A</definedName>
    <definedName name="TOther1Adj___16">#N/A</definedName>
    <definedName name="TOther1Adj___2">#N/A</definedName>
    <definedName name="TOther1Adj___25">#N/A</definedName>
    <definedName name="TOther1Adj___26">#N/A</definedName>
    <definedName name="TOther1Adj___27">#N/A</definedName>
    <definedName name="TOther1Adj___4">#N/A</definedName>
    <definedName name="TOther1Adj___5">#N/A</definedName>
    <definedName name="TOther1Adj___7">#N/A</definedName>
    <definedName name="TOther1Mult" localSheetId="18">#REF!</definedName>
    <definedName name="TOther1Mult" localSheetId="25">#REF!</definedName>
    <definedName name="TOther1Mult" localSheetId="29">#REF!</definedName>
    <definedName name="TOther1Mult" localSheetId="31">#REF!</definedName>
    <definedName name="TOther1Mult" localSheetId="15">#REF!</definedName>
    <definedName name="TOther1Mult" localSheetId="13">#REF!</definedName>
    <definedName name="TOther1Mult" localSheetId="17">#REF!</definedName>
    <definedName name="TOther1Mult" localSheetId="12">#REF!</definedName>
    <definedName name="TOther1Mult" localSheetId="22">#REF!</definedName>
    <definedName name="TOther1Mult" localSheetId="28">#REF!</definedName>
    <definedName name="TOther1Mult" localSheetId="35">#REF!</definedName>
    <definedName name="TOther1Mult">#REF!</definedName>
    <definedName name="TOther1Mult___0">#N/A</definedName>
    <definedName name="TOther1Mult___12">#N/A</definedName>
    <definedName name="TOther1Mult___14">#N/A</definedName>
    <definedName name="TOther1Mult___16">#N/A</definedName>
    <definedName name="TOther1Mult___2">#N/A</definedName>
    <definedName name="TOther1Mult___25">#N/A</definedName>
    <definedName name="TOther1Mult___26">#N/A</definedName>
    <definedName name="TOther1Mult___27">#N/A</definedName>
    <definedName name="TOther1Mult___4">#N/A</definedName>
    <definedName name="TOther1Mult___5">#N/A</definedName>
    <definedName name="TOther1Mult___7">#N/A</definedName>
    <definedName name="TOther1Pct" localSheetId="18">#REF!</definedName>
    <definedName name="TOther1Pct" localSheetId="25">#REF!</definedName>
    <definedName name="TOther1Pct" localSheetId="29">#REF!</definedName>
    <definedName name="TOther1Pct" localSheetId="31">#REF!</definedName>
    <definedName name="TOther1Pct" localSheetId="15">#REF!</definedName>
    <definedName name="TOther1Pct" localSheetId="13">#REF!</definedName>
    <definedName name="TOther1Pct" localSheetId="17">#REF!</definedName>
    <definedName name="TOther1Pct" localSheetId="12">#REF!</definedName>
    <definedName name="TOther1Pct" localSheetId="22">#REF!</definedName>
    <definedName name="TOther1Pct" localSheetId="28">#REF!</definedName>
    <definedName name="TOther1Pct" localSheetId="35">#REF!</definedName>
    <definedName name="TOther1Pct">#REF!</definedName>
    <definedName name="TOther1Pct___0">#N/A</definedName>
    <definedName name="TOther1Pct___12">#N/A</definedName>
    <definedName name="TOther1Pct___14">#N/A</definedName>
    <definedName name="TOther1Pct___16">#N/A</definedName>
    <definedName name="TOther1Pct___2">#N/A</definedName>
    <definedName name="TOther1Pct___25">#N/A</definedName>
    <definedName name="TOther1Pct___26">#N/A</definedName>
    <definedName name="TOther1Pct___27">#N/A</definedName>
    <definedName name="TOther1Pct___4">#N/A</definedName>
    <definedName name="TOther1Pct___5">#N/A</definedName>
    <definedName name="TOther1Pct___7">#N/A</definedName>
    <definedName name="TOther2" localSheetId="18">#REF!</definedName>
    <definedName name="TOther2" localSheetId="25">#REF!</definedName>
    <definedName name="TOther2" localSheetId="29">#REF!</definedName>
    <definedName name="TOther2" localSheetId="31">#REF!</definedName>
    <definedName name="TOther2" localSheetId="15">#REF!</definedName>
    <definedName name="TOther2" localSheetId="13">#REF!</definedName>
    <definedName name="TOther2" localSheetId="17">#REF!</definedName>
    <definedName name="TOther2" localSheetId="12">#REF!</definedName>
    <definedName name="TOther2" localSheetId="22">#REF!</definedName>
    <definedName name="TOther2" localSheetId="28">#REF!</definedName>
    <definedName name="TOther2" localSheetId="35">#REF!</definedName>
    <definedName name="TOther2">#REF!</definedName>
    <definedName name="TOther2___0">#N/A</definedName>
    <definedName name="TOther2___12">#N/A</definedName>
    <definedName name="TOther2___14">#N/A</definedName>
    <definedName name="TOther2___16">#N/A</definedName>
    <definedName name="TOther2___2">#N/A</definedName>
    <definedName name="TOther2___25">#N/A</definedName>
    <definedName name="TOther2___26">#N/A</definedName>
    <definedName name="TOther2___27">#N/A</definedName>
    <definedName name="TOther2___4">#N/A</definedName>
    <definedName name="TOther2___5">#N/A</definedName>
    <definedName name="TOther2___7">#N/A</definedName>
    <definedName name="TOther2Adj" localSheetId="18">#REF!</definedName>
    <definedName name="TOther2Adj" localSheetId="25">#REF!</definedName>
    <definedName name="TOther2Adj" localSheetId="29">#REF!</definedName>
    <definedName name="TOther2Adj" localSheetId="31">#REF!</definedName>
    <definedName name="TOther2Adj" localSheetId="15">#REF!</definedName>
    <definedName name="TOther2Adj" localSheetId="13">#REF!</definedName>
    <definedName name="TOther2Adj" localSheetId="17">#REF!</definedName>
    <definedName name="TOther2Adj" localSheetId="12">#REF!</definedName>
    <definedName name="TOther2Adj" localSheetId="22">#REF!</definedName>
    <definedName name="TOther2Adj" localSheetId="28">#REF!</definedName>
    <definedName name="TOther2Adj" localSheetId="35">#REF!</definedName>
    <definedName name="TOther2Adj">#REF!</definedName>
    <definedName name="TOther2Adj___0">#N/A</definedName>
    <definedName name="TOther2Adj___12">#N/A</definedName>
    <definedName name="TOther2Adj___14">#N/A</definedName>
    <definedName name="TOther2Adj___16">#N/A</definedName>
    <definedName name="TOther2Adj___2">#N/A</definedName>
    <definedName name="TOther2Adj___25">#N/A</definedName>
    <definedName name="TOther2Adj___26">#N/A</definedName>
    <definedName name="TOther2Adj___27">#N/A</definedName>
    <definedName name="TOther2Adj___4">#N/A</definedName>
    <definedName name="TOther2Adj___5">#N/A</definedName>
    <definedName name="TOther2Adj___7">#N/A</definedName>
    <definedName name="TOther2Mult" localSheetId="18">#REF!</definedName>
    <definedName name="TOther2Mult" localSheetId="25">#REF!</definedName>
    <definedName name="TOther2Mult" localSheetId="29">#REF!</definedName>
    <definedName name="TOther2Mult" localSheetId="31">#REF!</definedName>
    <definedName name="TOther2Mult" localSheetId="15">#REF!</definedName>
    <definedName name="TOther2Mult" localSheetId="13">#REF!</definedName>
    <definedName name="TOther2Mult" localSheetId="17">#REF!</definedName>
    <definedName name="TOther2Mult" localSheetId="12">#REF!</definedName>
    <definedName name="TOther2Mult" localSheetId="22">#REF!</definedName>
    <definedName name="TOther2Mult" localSheetId="28">#REF!</definedName>
    <definedName name="TOther2Mult" localSheetId="35">#REF!</definedName>
    <definedName name="TOther2Mult">#REF!</definedName>
    <definedName name="TOther2Mult___0">#N/A</definedName>
    <definedName name="TOther2Mult___12">#N/A</definedName>
    <definedName name="TOther2Mult___14">#N/A</definedName>
    <definedName name="TOther2Mult___16">#N/A</definedName>
    <definedName name="TOther2Mult___2">#N/A</definedName>
    <definedName name="TOther2Mult___25">#N/A</definedName>
    <definedName name="TOther2Mult___26">#N/A</definedName>
    <definedName name="TOther2Mult___27">#N/A</definedName>
    <definedName name="TOther2Mult___4">#N/A</definedName>
    <definedName name="TOther2Mult___5">#N/A</definedName>
    <definedName name="TOther2Mult___7">#N/A</definedName>
    <definedName name="TOther2Pct" localSheetId="18">#REF!</definedName>
    <definedName name="TOther2Pct" localSheetId="25">#REF!</definedName>
    <definedName name="TOther2Pct" localSheetId="29">#REF!</definedName>
    <definedName name="TOther2Pct" localSheetId="31">#REF!</definedName>
    <definedName name="TOther2Pct" localSheetId="15">#REF!</definedName>
    <definedName name="TOther2Pct" localSheetId="13">#REF!</definedName>
    <definedName name="TOther2Pct" localSheetId="17">#REF!</definedName>
    <definedName name="TOther2Pct" localSheetId="12">#REF!</definedName>
    <definedName name="TOther2Pct" localSheetId="22">#REF!</definedName>
    <definedName name="TOther2Pct" localSheetId="28">#REF!</definedName>
    <definedName name="TOther2Pct" localSheetId="35">#REF!</definedName>
    <definedName name="TOther2Pct">#REF!</definedName>
    <definedName name="TOther2Pct___0">#N/A</definedName>
    <definedName name="TOther2Pct___12">#N/A</definedName>
    <definedName name="TOther2Pct___14">#N/A</definedName>
    <definedName name="TOther2Pct___16">#N/A</definedName>
    <definedName name="TOther2Pct___2">#N/A</definedName>
    <definedName name="TOther2Pct___25">#N/A</definedName>
    <definedName name="TOther2Pct___26">#N/A</definedName>
    <definedName name="TOther2Pct___27">#N/A</definedName>
    <definedName name="TOther2Pct___4">#N/A</definedName>
    <definedName name="TOther2Pct___5">#N/A</definedName>
    <definedName name="TOther2Pct___7">#N/A</definedName>
    <definedName name="TOther3Adj" localSheetId="18">#REF!</definedName>
    <definedName name="TOther3Adj" localSheetId="25">#REF!</definedName>
    <definedName name="TOther3Adj" localSheetId="29">#REF!</definedName>
    <definedName name="TOther3Adj" localSheetId="31">#REF!</definedName>
    <definedName name="TOther3Adj" localSheetId="15">#REF!</definedName>
    <definedName name="TOther3Adj" localSheetId="13">#REF!</definedName>
    <definedName name="TOther3Adj" localSheetId="17">#REF!</definedName>
    <definedName name="TOther3Adj" localSheetId="12">#REF!</definedName>
    <definedName name="TOther3Adj" localSheetId="22">#REF!</definedName>
    <definedName name="TOther3Adj" localSheetId="28">#REF!</definedName>
    <definedName name="TOther3Adj" localSheetId="35">#REF!</definedName>
    <definedName name="TOther3Adj">#REF!</definedName>
    <definedName name="TOther3Adj___0">#N/A</definedName>
    <definedName name="TOther3Adj___12">#N/A</definedName>
    <definedName name="TOther3Adj___14">#N/A</definedName>
    <definedName name="TOther3Adj___16">#N/A</definedName>
    <definedName name="TOther3Adj___2">#N/A</definedName>
    <definedName name="TOther3Adj___25">#N/A</definedName>
    <definedName name="TOther3Adj___26">#N/A</definedName>
    <definedName name="TOther3Adj___27">#N/A</definedName>
    <definedName name="TOther3Adj___4">#N/A</definedName>
    <definedName name="TOther3Adj___5">#N/A</definedName>
    <definedName name="TOther3Adj___7">#N/A</definedName>
    <definedName name="TOther3Mult" localSheetId="18">#REF!</definedName>
    <definedName name="TOther3Mult" localSheetId="25">#REF!</definedName>
    <definedName name="TOther3Mult" localSheetId="29">#REF!</definedName>
    <definedName name="TOther3Mult" localSheetId="31">#REF!</definedName>
    <definedName name="TOther3Mult" localSheetId="15">#REF!</definedName>
    <definedName name="TOther3Mult" localSheetId="13">#REF!</definedName>
    <definedName name="TOther3Mult" localSheetId="17">#REF!</definedName>
    <definedName name="TOther3Mult" localSheetId="12">#REF!</definedName>
    <definedName name="TOther3Mult" localSheetId="22">#REF!</definedName>
    <definedName name="TOther3Mult" localSheetId="28">#REF!</definedName>
    <definedName name="TOther3Mult" localSheetId="35">#REF!</definedName>
    <definedName name="TOther3Mult">#REF!</definedName>
    <definedName name="TOther3Mult___0">#N/A</definedName>
    <definedName name="TOther3Mult___12">#N/A</definedName>
    <definedName name="TOther3Mult___14">#N/A</definedName>
    <definedName name="TOther3Mult___16">#N/A</definedName>
    <definedName name="TOther3Mult___2">#N/A</definedName>
    <definedName name="TOther3Mult___25">#N/A</definedName>
    <definedName name="TOther3Mult___26">#N/A</definedName>
    <definedName name="TOther3Mult___27">#N/A</definedName>
    <definedName name="TOther3Mult___4">#N/A</definedName>
    <definedName name="TOther3Mult___5">#N/A</definedName>
    <definedName name="TOther3Mult___7">#N/A</definedName>
    <definedName name="TOTMOT" localSheetId="29">#REF!</definedName>
    <definedName name="TOTMOT" localSheetId="31">#REF!</definedName>
    <definedName name="TOTMOT" localSheetId="28">#REF!</definedName>
    <definedName name="TOTMOT" localSheetId="35">#REF!</definedName>
    <definedName name="TOTMOT">#REF!</definedName>
    <definedName name="toto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#N/A</definedName>
    <definedName name="TPPESalesPct" localSheetId="18">#REF!</definedName>
    <definedName name="TPPESalesPct" localSheetId="25">#REF!</definedName>
    <definedName name="TPPESalesPct" localSheetId="29">#REF!</definedName>
    <definedName name="TPPESalesPct" localSheetId="31">#REF!</definedName>
    <definedName name="TPPESalesPct" localSheetId="15">#REF!</definedName>
    <definedName name="TPPESalesPct" localSheetId="13">#REF!</definedName>
    <definedName name="TPPESalesPct" localSheetId="17">#REF!</definedName>
    <definedName name="TPPESalesPct" localSheetId="12">#REF!</definedName>
    <definedName name="TPPESalesPct" localSheetId="22">#REF!</definedName>
    <definedName name="TPPESalesPct" localSheetId="28">#REF!</definedName>
    <definedName name="TPPESalesPct" localSheetId="35">#REF!</definedName>
    <definedName name="TPPESalesPct">#REF!</definedName>
    <definedName name="TPPESalesPct___0">#N/A</definedName>
    <definedName name="TPPESalesPct___12">#N/A</definedName>
    <definedName name="TPPESalesPct___14">#N/A</definedName>
    <definedName name="TPPESalesPct___16">#N/A</definedName>
    <definedName name="TPPESalesPct___2">#N/A</definedName>
    <definedName name="TPPESalesPct___25">#N/A</definedName>
    <definedName name="TPPESalesPct___26">#N/A</definedName>
    <definedName name="TPPESalesPct___27">#N/A</definedName>
    <definedName name="TPPESalesPct___4">#N/A</definedName>
    <definedName name="TPPESalesPct___5">#N/A</definedName>
    <definedName name="TPPESalesPct___7">#N/A</definedName>
    <definedName name="TProvisions" localSheetId="18">#REF!</definedName>
    <definedName name="TProvisions" localSheetId="25">#REF!</definedName>
    <definedName name="TProvisions" localSheetId="29">#REF!</definedName>
    <definedName name="TProvisions" localSheetId="31">#REF!</definedName>
    <definedName name="TProvisions" localSheetId="15">#REF!</definedName>
    <definedName name="TProvisions" localSheetId="13">#REF!</definedName>
    <definedName name="TProvisions" localSheetId="17">#REF!</definedName>
    <definedName name="TProvisions" localSheetId="12">#REF!</definedName>
    <definedName name="TProvisions" localSheetId="22">#REF!</definedName>
    <definedName name="TProvisions" localSheetId="28">#REF!</definedName>
    <definedName name="TProvisions" localSheetId="35">#REF!</definedName>
    <definedName name="TProvisions">#REF!</definedName>
    <definedName name="TProvisions___0">#N/A</definedName>
    <definedName name="TProvisions___12">#N/A</definedName>
    <definedName name="TProvisions___14">#N/A</definedName>
    <definedName name="TProvisions___16">#N/A</definedName>
    <definedName name="TProvisions___2">#N/A</definedName>
    <definedName name="TProvisions___25">#N/A</definedName>
    <definedName name="TProvisions___26">#N/A</definedName>
    <definedName name="TProvisions___27">#N/A</definedName>
    <definedName name="TProvisions___4">#N/A</definedName>
    <definedName name="TProvisions___5">#N/A</definedName>
    <definedName name="TProvisions___7">#N/A</definedName>
    <definedName name="tr">#N/A</definedName>
    <definedName name="Trabat">#N/A</definedName>
    <definedName name="traficinterur" localSheetId="18">#REF!</definedName>
    <definedName name="traficinterur" localSheetId="25">#REF!</definedName>
    <definedName name="traficinterur" localSheetId="29">#REF!</definedName>
    <definedName name="traficinterur" localSheetId="31">#REF!</definedName>
    <definedName name="traficinterur" localSheetId="15">#REF!</definedName>
    <definedName name="traficinterur" localSheetId="13">#REF!</definedName>
    <definedName name="traficinterur" localSheetId="17">#REF!</definedName>
    <definedName name="traficinterur" localSheetId="12">#REF!</definedName>
    <definedName name="traficinterur" localSheetId="22">#REF!</definedName>
    <definedName name="traficinterur" localSheetId="28">#REF!</definedName>
    <definedName name="traficinterur" localSheetId="35">#REF!</definedName>
    <definedName name="traficinterur">#REF!</definedName>
    <definedName name="traficinterur___0">#N/A</definedName>
    <definedName name="traficinterur___14">#N/A</definedName>
    <definedName name="tralocintur" localSheetId="18">#REF!</definedName>
    <definedName name="tralocintur" localSheetId="25">#REF!</definedName>
    <definedName name="tralocintur" localSheetId="29">#REF!</definedName>
    <definedName name="tralocintur" localSheetId="31">#REF!</definedName>
    <definedName name="tralocintur" localSheetId="15">#REF!</definedName>
    <definedName name="tralocintur" localSheetId="13">#REF!</definedName>
    <definedName name="tralocintur" localSheetId="17">#REF!</definedName>
    <definedName name="tralocintur" localSheetId="12">#REF!</definedName>
    <definedName name="tralocintur" localSheetId="22">#REF!</definedName>
    <definedName name="tralocintur" localSheetId="28">#REF!</definedName>
    <definedName name="tralocintur" localSheetId="35">#REF!</definedName>
    <definedName name="tralocintur">#REF!</definedName>
    <definedName name="tralocintur___0">#N/A</definedName>
    <definedName name="tralocintur___12">#N/A</definedName>
    <definedName name="trans">#N/A</definedName>
    <definedName name="TREAS" localSheetId="29">#REF!</definedName>
    <definedName name="TREAS" localSheetId="31">#REF!</definedName>
    <definedName name="TREAS" localSheetId="28">#REF!</definedName>
    <definedName name="TREAS" localSheetId="35">#REF!</definedName>
    <definedName name="TREAS">#REF!</definedName>
    <definedName name="TRESORERIE_REGIONALE">'[83]IAM '!$B$36</definedName>
    <definedName name="TRESORERIE_REGIONALE___0">#N/A</definedName>
    <definedName name="TRESORERIE_REGIONALE___12">#N/A</definedName>
    <definedName name="TRESORERIE_REGIONALE___14">#N/A</definedName>
    <definedName name="trf_des" localSheetId="18">#REF!</definedName>
    <definedName name="trf_des" localSheetId="25">#REF!</definedName>
    <definedName name="trf_des" localSheetId="29">#REF!</definedName>
    <definedName name="trf_des" localSheetId="31">#REF!</definedName>
    <definedName name="trf_des" localSheetId="15">#REF!</definedName>
    <definedName name="trf_des" localSheetId="13">#REF!</definedName>
    <definedName name="trf_des" localSheetId="17">#REF!</definedName>
    <definedName name="trf_des" localSheetId="12">#REF!</definedName>
    <definedName name="trf_des" localSheetId="22">#REF!</definedName>
    <definedName name="trf_des" localSheetId="28">#REF!</definedName>
    <definedName name="trf_des" localSheetId="35">#REF!</definedName>
    <definedName name="trf_des">#REF!</definedName>
    <definedName name="trgsdfq" localSheetId="25">#REF!</definedName>
    <definedName name="trgsdfq" localSheetId="29">#REF!</definedName>
    <definedName name="trgsdfq" localSheetId="31">#REF!</definedName>
    <definedName name="trgsdfq" localSheetId="22">#REF!</definedName>
    <definedName name="trgsdfq" localSheetId="28">#REF!</definedName>
    <definedName name="trgsdfq" localSheetId="35">#REF!</definedName>
    <definedName name="trgsdfq">#REF!</definedName>
    <definedName name="tri">#N/A</definedName>
    <definedName name="trim" localSheetId="18">#REF!</definedName>
    <definedName name="trim" localSheetId="25">#REF!</definedName>
    <definedName name="trim" localSheetId="29">#REF!</definedName>
    <definedName name="trim" localSheetId="31">#REF!</definedName>
    <definedName name="trim" localSheetId="15">#REF!</definedName>
    <definedName name="trim" localSheetId="13">#REF!</definedName>
    <definedName name="trim" localSheetId="17">#REF!</definedName>
    <definedName name="trim" localSheetId="12">#REF!</definedName>
    <definedName name="trim" localSheetId="22">#REF!</definedName>
    <definedName name="trim" localSheetId="28">#REF!</definedName>
    <definedName name="trim" localSheetId="35">#REF!</definedName>
    <definedName name="trim">#REF!</definedName>
    <definedName name="trim___0">#N/A</definedName>
    <definedName name="trim___14">#N/A</definedName>
    <definedName name="trim___26">#N/A</definedName>
    <definedName name="trim___27">#N/A</definedName>
    <definedName name="trim___5">#N/A</definedName>
    <definedName name="trim___7">#N/A</definedName>
    <definedName name="trim2" localSheetId="18">#REF!</definedName>
    <definedName name="trim2" localSheetId="25">#REF!</definedName>
    <definedName name="trim2" localSheetId="29">#REF!</definedName>
    <definedName name="trim2" localSheetId="31">#REF!</definedName>
    <definedName name="trim2" localSheetId="15">#REF!</definedName>
    <definedName name="trim2" localSheetId="13">#REF!</definedName>
    <definedName name="trim2" localSheetId="17">#REF!</definedName>
    <definedName name="trim2" localSheetId="12">#REF!</definedName>
    <definedName name="trim2" localSheetId="22">#REF!</definedName>
    <definedName name="trim2" localSheetId="28">#REF!</definedName>
    <definedName name="trim2" localSheetId="35">#REF!</definedName>
    <definedName name="trim2">#REF!</definedName>
    <definedName name="trim2___0">#N/A</definedName>
    <definedName name="trim2___12">#N/A</definedName>
    <definedName name="trrth" localSheetId="18">[101]BATIMENT!#REF!</definedName>
    <definedName name="trrth" localSheetId="29">[101]BATIMENT!#REF!</definedName>
    <definedName name="trrth" localSheetId="31">[101]BATIMENT!#REF!</definedName>
    <definedName name="trrth" localSheetId="15">[101]BATIMENT!#REF!</definedName>
    <definedName name="trrth" localSheetId="13">[101]BATIMENT!#REF!</definedName>
    <definedName name="trrth" localSheetId="17">[101]BATIMENT!#REF!</definedName>
    <definedName name="trrth" localSheetId="12">[101]BATIMENT!#REF!</definedName>
    <definedName name="trrth" localSheetId="22">[101]BATIMENT!#REF!</definedName>
    <definedName name="trrth" localSheetId="28">[101]BATIMENT!#REF!</definedName>
    <definedName name="trrth" localSheetId="35">[101]BATIMENT!#REF!</definedName>
    <definedName name="trrth">[101]BATIMENT!#REF!</definedName>
    <definedName name="trthhhnlmklm" localSheetId="18" hidden="1">#REF!</definedName>
    <definedName name="trthhhnlmklm" localSheetId="25" hidden="1">#REF!</definedName>
    <definedName name="trthhhnlmklm" localSheetId="29" hidden="1">#REF!</definedName>
    <definedName name="trthhhnlmklm" localSheetId="31" hidden="1">#REF!</definedName>
    <definedName name="trthhhnlmklm" localSheetId="15" hidden="1">#REF!</definedName>
    <definedName name="trthhhnlmklm" localSheetId="13" hidden="1">#REF!</definedName>
    <definedName name="trthhhnlmklm" localSheetId="17" hidden="1">#REF!</definedName>
    <definedName name="trthhhnlmklm" localSheetId="12" hidden="1">#REF!</definedName>
    <definedName name="trthhhnlmklm" localSheetId="22" hidden="1">#REF!</definedName>
    <definedName name="trthhhnlmklm" localSheetId="28" hidden="1">#REF!</definedName>
    <definedName name="trthhhnlmklm" localSheetId="35" hidden="1">#REF!</definedName>
    <definedName name="trthhhnlmklm" hidden="1">#REF!</definedName>
    <definedName name="trtrt" localSheetId="18">#REF!</definedName>
    <definedName name="trtrt" localSheetId="25">#REF!</definedName>
    <definedName name="trtrt" localSheetId="29">#REF!</definedName>
    <definedName name="trtrt" localSheetId="31">#REF!</definedName>
    <definedName name="trtrt" localSheetId="15">#REF!</definedName>
    <definedName name="trtrt" localSheetId="13">#REF!</definedName>
    <definedName name="trtrt" localSheetId="17">#REF!</definedName>
    <definedName name="trtrt" localSheetId="12">#REF!</definedName>
    <definedName name="trtrt" localSheetId="22">#REF!</definedName>
    <definedName name="trtrt" localSheetId="28">#REF!</definedName>
    <definedName name="trtrt" localSheetId="35">#REF!</definedName>
    <definedName name="trtrt">#REF!</definedName>
    <definedName name="trttyt" localSheetId="18">#REF!</definedName>
    <definedName name="trttyt" localSheetId="25">#REF!</definedName>
    <definedName name="trttyt" localSheetId="29">#REF!</definedName>
    <definedName name="trttyt" localSheetId="31">#REF!</definedName>
    <definedName name="trttyt" localSheetId="15">#REF!</definedName>
    <definedName name="trttyt" localSheetId="13">#REF!</definedName>
    <definedName name="trttyt" localSheetId="17">#REF!</definedName>
    <definedName name="trttyt" localSheetId="12">#REF!</definedName>
    <definedName name="trttyt" localSheetId="22">#REF!</definedName>
    <definedName name="trttyt" localSheetId="28">#REF!</definedName>
    <definedName name="trttyt" localSheetId="35">#REF!</definedName>
    <definedName name="trttyt">#REF!</definedName>
    <definedName name="TSales" localSheetId="18">#REF!</definedName>
    <definedName name="TSales" localSheetId="25">#REF!</definedName>
    <definedName name="TSales" localSheetId="29">#REF!</definedName>
    <definedName name="TSales" localSheetId="31">#REF!</definedName>
    <definedName name="TSales" localSheetId="15">#REF!</definedName>
    <definedName name="TSales" localSheetId="13">#REF!</definedName>
    <definedName name="TSales" localSheetId="17">#REF!</definedName>
    <definedName name="TSales" localSheetId="12">#REF!</definedName>
    <definedName name="TSales" localSheetId="22">#REF!</definedName>
    <definedName name="TSales" localSheetId="28">#REF!</definedName>
    <definedName name="TSales" localSheetId="35">#REF!</definedName>
    <definedName name="TSales">#REF!</definedName>
    <definedName name="TSales___0">#N/A</definedName>
    <definedName name="TSales___12">#N/A</definedName>
    <definedName name="TSales___14">#N/A</definedName>
    <definedName name="TSales___16">#N/A</definedName>
    <definedName name="TSales___2">#N/A</definedName>
    <definedName name="TSales___25">#N/A</definedName>
    <definedName name="TSales___26">#N/A</definedName>
    <definedName name="TSales___27">#N/A</definedName>
    <definedName name="TSales___4">#N/A</definedName>
    <definedName name="TSales___5">#N/A</definedName>
    <definedName name="TSales___7">#N/A</definedName>
    <definedName name="TSalesAdj" localSheetId="18">#REF!</definedName>
    <definedName name="TSalesAdj" localSheetId="25">#REF!</definedName>
    <definedName name="TSalesAdj" localSheetId="29">#REF!</definedName>
    <definedName name="TSalesAdj" localSheetId="31">#REF!</definedName>
    <definedName name="TSalesAdj" localSheetId="15">#REF!</definedName>
    <definedName name="TSalesAdj" localSheetId="13">#REF!</definedName>
    <definedName name="TSalesAdj" localSheetId="17">#REF!</definedName>
    <definedName name="TSalesAdj" localSheetId="12">#REF!</definedName>
    <definedName name="TSalesAdj" localSheetId="22">#REF!</definedName>
    <definedName name="TSalesAdj" localSheetId="28">#REF!</definedName>
    <definedName name="TSalesAdj" localSheetId="35">#REF!</definedName>
    <definedName name="TSalesAdj">#REF!</definedName>
    <definedName name="TSalesAdj___0">#N/A</definedName>
    <definedName name="TSalesAdj___12">#N/A</definedName>
    <definedName name="TSalesAdj___14">#N/A</definedName>
    <definedName name="TSalesAdj___16">#N/A</definedName>
    <definedName name="TSalesAdj___2">#N/A</definedName>
    <definedName name="TSalesAdj___25">#N/A</definedName>
    <definedName name="TSalesAdj___26">#N/A</definedName>
    <definedName name="TSalesAdj___27">#N/A</definedName>
    <definedName name="TSalesAdj___4">#N/A</definedName>
    <definedName name="TSalesAdj___5">#N/A</definedName>
    <definedName name="TSalesAdj___7">#N/A</definedName>
    <definedName name="TSalesG" localSheetId="18">#REF!</definedName>
    <definedName name="TSalesG" localSheetId="25">#REF!</definedName>
    <definedName name="TSalesG" localSheetId="29">#REF!</definedName>
    <definedName name="TSalesG" localSheetId="31">#REF!</definedName>
    <definedName name="TSalesG" localSheetId="15">#REF!</definedName>
    <definedName name="TSalesG" localSheetId="13">#REF!</definedName>
    <definedName name="TSalesG" localSheetId="17">#REF!</definedName>
    <definedName name="TSalesG" localSheetId="12">#REF!</definedName>
    <definedName name="TSalesG" localSheetId="22">#REF!</definedName>
    <definedName name="TSalesG" localSheetId="28">#REF!</definedName>
    <definedName name="TSalesG" localSheetId="35">#REF!</definedName>
    <definedName name="TSalesG">#REF!</definedName>
    <definedName name="TSalesG___0">#N/A</definedName>
    <definedName name="TSalesG___12">#N/A</definedName>
    <definedName name="TSalesG___14">#N/A</definedName>
    <definedName name="TSalesG___16">#N/A</definedName>
    <definedName name="TSalesG___2">#N/A</definedName>
    <definedName name="TSalesG___25">#N/A</definedName>
    <definedName name="TSalesG___26">#N/A</definedName>
    <definedName name="TSalesG___27">#N/A</definedName>
    <definedName name="TSalesG___4">#N/A</definedName>
    <definedName name="TSalesG___5">#N/A</definedName>
    <definedName name="TSalesG___7">#N/A</definedName>
    <definedName name="TSalesGIncrement" localSheetId="18">#REF!</definedName>
    <definedName name="TSalesGIncrement" localSheetId="25">#REF!</definedName>
    <definedName name="TSalesGIncrement" localSheetId="29">#REF!</definedName>
    <definedName name="TSalesGIncrement" localSheetId="31">#REF!</definedName>
    <definedName name="TSalesGIncrement" localSheetId="15">#REF!</definedName>
    <definedName name="TSalesGIncrement" localSheetId="13">#REF!</definedName>
    <definedName name="TSalesGIncrement" localSheetId="17">#REF!</definedName>
    <definedName name="TSalesGIncrement" localSheetId="12">#REF!</definedName>
    <definedName name="TSalesGIncrement" localSheetId="22">#REF!</definedName>
    <definedName name="TSalesGIncrement" localSheetId="28">#REF!</definedName>
    <definedName name="TSalesGIncrement" localSheetId="35">#REF!</definedName>
    <definedName name="TSalesGIncrement">#REF!</definedName>
    <definedName name="TSalesGIncrement___0">#N/A</definedName>
    <definedName name="TSalesGIncrement___12">#N/A</definedName>
    <definedName name="TSalesGIncrement___14">#N/A</definedName>
    <definedName name="TSalesGIncrement___16">#N/A</definedName>
    <definedName name="TSalesGIncrement___2">#N/A</definedName>
    <definedName name="TSalesGIncrement___25">#N/A</definedName>
    <definedName name="TSalesGIncrement___26">#N/A</definedName>
    <definedName name="TSalesGIncrement___27">#N/A</definedName>
    <definedName name="TSalesGIncrement___4">#N/A</definedName>
    <definedName name="TSalesGIncrement___5">#N/A</definedName>
    <definedName name="TSalesGIncrement___7">#N/A</definedName>
    <definedName name="TSalesgrowte" localSheetId="18">#REF!</definedName>
    <definedName name="TSalesgrowte" localSheetId="25">#REF!</definedName>
    <definedName name="TSalesgrowte" localSheetId="29">#REF!</definedName>
    <definedName name="TSalesgrowte" localSheetId="31">#REF!</definedName>
    <definedName name="TSalesgrowte" localSheetId="15">#REF!</definedName>
    <definedName name="TSalesgrowte" localSheetId="13">#REF!</definedName>
    <definedName name="TSalesgrowte" localSheetId="17">#REF!</definedName>
    <definedName name="TSalesgrowte" localSheetId="12">#REF!</definedName>
    <definedName name="TSalesgrowte" localSheetId="22">#REF!</definedName>
    <definedName name="TSalesgrowte" localSheetId="28">#REF!</definedName>
    <definedName name="TSalesgrowte" localSheetId="35">#REF!</definedName>
    <definedName name="TSalesgrowte">#REF!</definedName>
    <definedName name="TSalesGrowth" localSheetId="18">#REF!</definedName>
    <definedName name="TSalesGrowth" localSheetId="25">#REF!</definedName>
    <definedName name="TSalesGrowth" localSheetId="29">#REF!</definedName>
    <definedName name="TSalesGrowth" localSheetId="31">#REF!</definedName>
    <definedName name="TSalesGrowth" localSheetId="15">#REF!</definedName>
    <definedName name="TSalesGrowth" localSheetId="13">#REF!</definedName>
    <definedName name="TSalesGrowth" localSheetId="17">#REF!</definedName>
    <definedName name="TSalesGrowth" localSheetId="12">#REF!</definedName>
    <definedName name="TSalesGrowth" localSheetId="22">#REF!</definedName>
    <definedName name="TSalesGrowth" localSheetId="28">#REF!</definedName>
    <definedName name="TSalesGrowth" localSheetId="35">#REF!</definedName>
    <definedName name="TSalesGrowth">#REF!</definedName>
    <definedName name="TSalesGrowth___0">#N/A</definedName>
    <definedName name="TSalesGrowth___12">#N/A</definedName>
    <definedName name="TSalesGrowth___14">#N/A</definedName>
    <definedName name="TSalesGrowth___16">#N/A</definedName>
    <definedName name="TSalesGrowth___2">#N/A</definedName>
    <definedName name="TSalesGrowth___25">#N/A</definedName>
    <definedName name="TSalesGrowth___26">#N/A</definedName>
    <definedName name="TSalesGrowth___27">#N/A</definedName>
    <definedName name="TSalesGrowth___4">#N/A</definedName>
    <definedName name="TSalesGrowth___5">#N/A</definedName>
    <definedName name="TSalesGrowth___7">#N/A</definedName>
    <definedName name="TSalesOutput" localSheetId="18">#REF!</definedName>
    <definedName name="TSalesOutput" localSheetId="25">#REF!</definedName>
    <definedName name="TSalesOutput" localSheetId="29">#REF!</definedName>
    <definedName name="TSalesOutput" localSheetId="31">#REF!</definedName>
    <definedName name="TSalesOutput" localSheetId="15">#REF!</definedName>
    <definedName name="TSalesOutput" localSheetId="13">#REF!</definedName>
    <definedName name="TSalesOutput" localSheetId="17">#REF!</definedName>
    <definedName name="TSalesOutput" localSheetId="12">#REF!</definedName>
    <definedName name="TSalesOutput" localSheetId="22">#REF!</definedName>
    <definedName name="TSalesOutput" localSheetId="28">#REF!</definedName>
    <definedName name="TSalesOutput" localSheetId="35">#REF!</definedName>
    <definedName name="TSalesOutput">#REF!</definedName>
    <definedName name="TSalesOutput___0">#N/A</definedName>
    <definedName name="TSalesOutput___12">#N/A</definedName>
    <definedName name="TSalesOutput___14">#N/A</definedName>
    <definedName name="TSalesOutput___16">#N/A</definedName>
    <definedName name="TSalesOutput___2">#N/A</definedName>
    <definedName name="TSalesOutput___25">#N/A</definedName>
    <definedName name="TSalesOutput___26">#N/A</definedName>
    <definedName name="TSalesOutput___27">#N/A</definedName>
    <definedName name="TSalesOutput___4">#N/A</definedName>
    <definedName name="TSalesOutput___5">#N/A</definedName>
    <definedName name="TSalesOutput___7">#N/A</definedName>
    <definedName name="TSMult" localSheetId="18">#REF!</definedName>
    <definedName name="TSMult" localSheetId="25">#REF!</definedName>
    <definedName name="TSMult" localSheetId="29">#REF!</definedName>
    <definedName name="TSMult" localSheetId="31">#REF!</definedName>
    <definedName name="TSMult" localSheetId="15">#REF!</definedName>
    <definedName name="TSMult" localSheetId="13">#REF!</definedName>
    <definedName name="TSMult" localSheetId="17">#REF!</definedName>
    <definedName name="TSMult" localSheetId="12">#REF!</definedName>
    <definedName name="TSMult" localSheetId="22">#REF!</definedName>
    <definedName name="TSMult" localSheetId="28">#REF!</definedName>
    <definedName name="TSMult" localSheetId="35">#REF!</definedName>
    <definedName name="TSMult">#REF!</definedName>
    <definedName name="TSMult___0">#N/A</definedName>
    <definedName name="TSMult___12">#N/A</definedName>
    <definedName name="TSMult___14">#N/A</definedName>
    <definedName name="TSMult___16">#N/A</definedName>
    <definedName name="TSMult___2">#N/A</definedName>
    <definedName name="TSMult___25">#N/A</definedName>
    <definedName name="TSMult___26">#N/A</definedName>
    <definedName name="TSMult___27">#N/A</definedName>
    <definedName name="TSMult___4">#N/A</definedName>
    <definedName name="TSMult___5">#N/A</definedName>
    <definedName name="TSMult___7">#N/A</definedName>
    <definedName name="tt">#N/A</definedName>
    <definedName name="TTaxes" localSheetId="18">#REF!</definedName>
    <definedName name="TTaxes" localSheetId="25">#REF!</definedName>
    <definedName name="TTaxes" localSheetId="29">#REF!</definedName>
    <definedName name="TTaxes" localSheetId="31">#REF!</definedName>
    <definedName name="TTaxes" localSheetId="15">#REF!</definedName>
    <definedName name="TTaxes" localSheetId="13">#REF!</definedName>
    <definedName name="TTaxes" localSheetId="17">#REF!</definedName>
    <definedName name="TTaxes" localSheetId="12">#REF!</definedName>
    <definedName name="TTaxes" localSheetId="22">#REF!</definedName>
    <definedName name="TTaxes" localSheetId="28">#REF!</definedName>
    <definedName name="TTaxes" localSheetId="35">#REF!</definedName>
    <definedName name="TTaxes">#REF!</definedName>
    <definedName name="TTaxes___0">#N/A</definedName>
    <definedName name="TTaxes___12">#N/A</definedName>
    <definedName name="TTaxes___14">#N/A</definedName>
    <definedName name="TTaxes___16">#N/A</definedName>
    <definedName name="TTaxes___2">#N/A</definedName>
    <definedName name="TTaxes___25">#N/A</definedName>
    <definedName name="TTaxes___26">#N/A</definedName>
    <definedName name="TTaxes___27">#N/A</definedName>
    <definedName name="TTaxes___4">#N/A</definedName>
    <definedName name="TTaxes___5">#N/A</definedName>
    <definedName name="TTaxes___7">#N/A</definedName>
    <definedName name="TTaxRate" localSheetId="18">#REF!</definedName>
    <definedName name="TTaxRate" localSheetId="25">#REF!</definedName>
    <definedName name="TTaxRate" localSheetId="29">#REF!</definedName>
    <definedName name="TTaxRate" localSheetId="31">#REF!</definedName>
    <definedName name="TTaxRate" localSheetId="15">#REF!</definedName>
    <definedName name="TTaxRate" localSheetId="13">#REF!</definedName>
    <definedName name="TTaxRate" localSheetId="17">#REF!</definedName>
    <definedName name="TTaxRate" localSheetId="12">#REF!</definedName>
    <definedName name="TTaxRate" localSheetId="22">#REF!</definedName>
    <definedName name="TTaxRate" localSheetId="28">#REF!</definedName>
    <definedName name="TTaxRate" localSheetId="35">#REF!</definedName>
    <definedName name="TTaxRate">#REF!</definedName>
    <definedName name="TTaxRate___0">#N/A</definedName>
    <definedName name="TTaxRate___12">#N/A</definedName>
    <definedName name="TTaxRate___14">#N/A</definedName>
    <definedName name="TTaxRate___16">#N/A</definedName>
    <definedName name="TTaxRate___2">#N/A</definedName>
    <definedName name="TTaxRate___25">#N/A</definedName>
    <definedName name="TTaxRate___26">#N/A</definedName>
    <definedName name="TTaxRate___27">#N/A</definedName>
    <definedName name="TTaxRate___4">#N/A</definedName>
    <definedName name="TTaxRate___5">#N/A</definedName>
    <definedName name="TTaxRate___7">#N/A</definedName>
    <definedName name="ttt" localSheetId="28">#N/A</definedName>
    <definedName name="ttt" localSheetId="35">'Taxe 5%'!ttt</definedName>
    <definedName name="ttt">'Taxe 5%'!ttt</definedName>
    <definedName name="tttt">#N/A</definedName>
    <definedName name="TVAsChosen" localSheetId="18">#REF!</definedName>
    <definedName name="TVAsChosen" localSheetId="25">#REF!</definedName>
    <definedName name="TVAsChosen" localSheetId="29">#REF!</definedName>
    <definedName name="TVAsChosen" localSheetId="31">#REF!</definedName>
    <definedName name="TVAsChosen" localSheetId="15">#REF!</definedName>
    <definedName name="TVAsChosen" localSheetId="13">#REF!</definedName>
    <definedName name="TVAsChosen" localSheetId="17">#REF!</definedName>
    <definedName name="TVAsChosen" localSheetId="12">#REF!</definedName>
    <definedName name="TVAsChosen" localSheetId="22">#REF!</definedName>
    <definedName name="TVAsChosen" localSheetId="28">#REF!</definedName>
    <definedName name="TVAsChosen" localSheetId="35">#REF!</definedName>
    <definedName name="TVAsChosen">#REF!</definedName>
    <definedName name="TVAsChosen___0">#N/A</definedName>
    <definedName name="TVAsChosen___12">#N/A</definedName>
    <definedName name="TVAsChosen___14">#N/A</definedName>
    <definedName name="TVAsChosen___16">#N/A</definedName>
    <definedName name="TVAsChosen___2">#N/A</definedName>
    <definedName name="TVAsChosen___25">#N/A</definedName>
    <definedName name="TVAsChosen___26">#N/A</definedName>
    <definedName name="TVAsChosen___27">#N/A</definedName>
    <definedName name="TVAsChosen___4">#N/A</definedName>
    <definedName name="TVAsChosen___5">#N/A</definedName>
    <definedName name="TVAsChosen___7">#N/A</definedName>
    <definedName name="TVButton" localSheetId="18">#REF!</definedName>
    <definedName name="TVButton" localSheetId="25">#REF!</definedName>
    <definedName name="TVButton" localSheetId="29">#REF!</definedName>
    <definedName name="TVButton" localSheetId="31">#REF!</definedName>
    <definedName name="TVButton" localSheetId="15">#REF!</definedName>
    <definedName name="TVButton" localSheetId="13">#REF!</definedName>
    <definedName name="TVButton" localSheetId="17">#REF!</definedName>
    <definedName name="TVButton" localSheetId="12">#REF!</definedName>
    <definedName name="TVButton" localSheetId="22">#REF!</definedName>
    <definedName name="TVButton" localSheetId="28">#REF!</definedName>
    <definedName name="TVButton" localSheetId="35">#REF!</definedName>
    <definedName name="TVButton">#REF!</definedName>
    <definedName name="TVButton___0">#N/A</definedName>
    <definedName name="TVButton___12">#N/A</definedName>
    <definedName name="TVButton___14">#N/A</definedName>
    <definedName name="TVButton___16">#N/A</definedName>
    <definedName name="TVButton___2">#N/A</definedName>
    <definedName name="TVButton___25">#N/A</definedName>
    <definedName name="TVButton___26">#N/A</definedName>
    <definedName name="TVButton___27">#N/A</definedName>
    <definedName name="TVButton___4">#N/A</definedName>
    <definedName name="TVButton___5">#N/A</definedName>
    <definedName name="TVButton___7">#N/A</definedName>
    <definedName name="TVbyTFCF" localSheetId="18">#REF!</definedName>
    <definedName name="TVbyTFCF" localSheetId="25">#REF!</definedName>
    <definedName name="TVbyTFCF" localSheetId="29">#REF!</definedName>
    <definedName name="TVbyTFCF" localSheetId="31">#REF!</definedName>
    <definedName name="TVbyTFCF" localSheetId="15">#REF!</definedName>
    <definedName name="TVbyTFCF" localSheetId="13">#REF!</definedName>
    <definedName name="TVbyTFCF" localSheetId="17">#REF!</definedName>
    <definedName name="TVbyTFCF" localSheetId="12">#REF!</definedName>
    <definedName name="TVbyTFCF" localSheetId="22">#REF!</definedName>
    <definedName name="TVbyTFCF" localSheetId="28">#REF!</definedName>
    <definedName name="TVbyTFCF" localSheetId="35">#REF!</definedName>
    <definedName name="TVbyTFCF">#REF!</definedName>
    <definedName name="TVbyTFCF___0">#N/A</definedName>
    <definedName name="TVbyTFCF___12">#N/A</definedName>
    <definedName name="TVbyTFCF___14">#N/A</definedName>
    <definedName name="TVbyTFCF___16">#N/A</definedName>
    <definedName name="TVbyTFCF___2">#N/A</definedName>
    <definedName name="TVbyTFCF___25">#N/A</definedName>
    <definedName name="TVbyTFCF___26">#N/A</definedName>
    <definedName name="TVbyTFCF___27">#N/A</definedName>
    <definedName name="TVbyTFCF___4">#N/A</definedName>
    <definedName name="TVbyTFCF___5">#N/A</definedName>
    <definedName name="TVbyTFCF___7">#N/A</definedName>
    <definedName name="TVMult" localSheetId="18">#REF!</definedName>
    <definedName name="TVMult" localSheetId="25">#REF!</definedName>
    <definedName name="TVMult" localSheetId="29">#REF!</definedName>
    <definedName name="TVMult" localSheetId="31">#REF!</definedName>
    <definedName name="TVMult" localSheetId="15">#REF!</definedName>
    <definedName name="TVMult" localSheetId="13">#REF!</definedName>
    <definedName name="TVMult" localSheetId="17">#REF!</definedName>
    <definedName name="TVMult" localSheetId="12">#REF!</definedName>
    <definedName name="TVMult" localSheetId="22">#REF!</definedName>
    <definedName name="TVMult" localSheetId="28">#REF!</definedName>
    <definedName name="TVMult" localSheetId="35">#REF!</definedName>
    <definedName name="TVMult">#REF!</definedName>
    <definedName name="TVMult___0">#N/A</definedName>
    <definedName name="TVMult___12">#N/A</definedName>
    <definedName name="TVMult___14">#N/A</definedName>
    <definedName name="TVMult___16">#N/A</definedName>
    <definedName name="TVMult___2">#N/A</definedName>
    <definedName name="TVMult___25">#N/A</definedName>
    <definedName name="TVMult___26">#N/A</definedName>
    <definedName name="TVMult___27">#N/A</definedName>
    <definedName name="TVMult___4">#N/A</definedName>
    <definedName name="TVMult___5">#N/A</definedName>
    <definedName name="TVMult___7">#N/A</definedName>
    <definedName name="TVMultIncrement" localSheetId="18">#REF!</definedName>
    <definedName name="TVMultIncrement" localSheetId="25">#REF!</definedName>
    <definedName name="TVMultIncrement" localSheetId="29">#REF!</definedName>
    <definedName name="TVMultIncrement" localSheetId="31">#REF!</definedName>
    <definedName name="TVMultIncrement" localSheetId="15">#REF!</definedName>
    <definedName name="TVMultIncrement" localSheetId="13">#REF!</definedName>
    <definedName name="TVMultIncrement" localSheetId="17">#REF!</definedName>
    <definedName name="TVMultIncrement" localSheetId="12">#REF!</definedName>
    <definedName name="TVMultIncrement" localSheetId="22">#REF!</definedName>
    <definedName name="TVMultIncrement" localSheetId="28">#REF!</definedName>
    <definedName name="TVMultIncrement" localSheetId="35">#REF!</definedName>
    <definedName name="TVMultIncrement">#REF!</definedName>
    <definedName name="TVMultIncrement___0">#N/A</definedName>
    <definedName name="TVMultIncrement___12">#N/A</definedName>
    <definedName name="TVMultIncrement___14">#N/A</definedName>
    <definedName name="TVMultIncrement___16">#N/A</definedName>
    <definedName name="TVMultIncrement___2">#N/A</definedName>
    <definedName name="TVMultIncrement___25">#N/A</definedName>
    <definedName name="TVMultIncrement___26">#N/A</definedName>
    <definedName name="TVMultIncrement___27">#N/A</definedName>
    <definedName name="TVMultIncrement___4">#N/A</definedName>
    <definedName name="TVMultIncrement___5">#N/A</definedName>
    <definedName name="TVMultIncrement___7">#N/A</definedName>
    <definedName name="TVMultInputs" localSheetId="18">#REF!</definedName>
    <definedName name="TVMultInputs" localSheetId="25">#REF!</definedName>
    <definedName name="TVMultInputs" localSheetId="29">#REF!</definedName>
    <definedName name="TVMultInputs" localSheetId="31">#REF!</definedName>
    <definedName name="TVMultInputs" localSheetId="15">#REF!</definedName>
    <definedName name="TVMultInputs" localSheetId="13">#REF!</definedName>
    <definedName name="TVMultInputs" localSheetId="17">#REF!</definedName>
    <definedName name="TVMultInputs" localSheetId="12">#REF!</definedName>
    <definedName name="TVMultInputs" localSheetId="22">#REF!</definedName>
    <definedName name="TVMultInputs" localSheetId="28">#REF!</definedName>
    <definedName name="TVMultInputs" localSheetId="35">#REF!</definedName>
    <definedName name="TVMultInputs">#REF!</definedName>
    <definedName name="TVMultInputs___0">#N/A</definedName>
    <definedName name="TVMultInputs___12">#N/A</definedName>
    <definedName name="TVMultInputs___14">#N/A</definedName>
    <definedName name="TVMultInputs___16">#N/A</definedName>
    <definedName name="TVMultInputs___2">#N/A</definedName>
    <definedName name="TVMultInputs___25">#N/A</definedName>
    <definedName name="TVMultInputs___26">#N/A</definedName>
    <definedName name="TVMultInputs___27">#N/A</definedName>
    <definedName name="TVMultInputs___4">#N/A</definedName>
    <definedName name="TVMultInputs___5">#N/A</definedName>
    <definedName name="TVMultInputs___7">#N/A</definedName>
    <definedName name="TVREV" localSheetId="18">#REF!</definedName>
    <definedName name="TVREV" localSheetId="25">#REF!</definedName>
    <definedName name="TVREV" localSheetId="29">#REF!</definedName>
    <definedName name="TVREV" localSheetId="31">#REF!</definedName>
    <definedName name="TVREV" localSheetId="15">#REF!</definedName>
    <definedName name="TVREV" localSheetId="13">#REF!</definedName>
    <definedName name="TVREV" localSheetId="17">#REF!</definedName>
    <definedName name="TVREV" localSheetId="12">#REF!</definedName>
    <definedName name="TVREV" localSheetId="22">#REF!</definedName>
    <definedName name="TVREV" localSheetId="28">#REF!</definedName>
    <definedName name="TVREV" localSheetId="35">#REF!</definedName>
    <definedName name="TVREV">#REF!</definedName>
    <definedName name="TVTitles" localSheetId="18">#REF!</definedName>
    <definedName name="TVTitles" localSheetId="25">#REF!</definedName>
    <definedName name="TVTitles" localSheetId="29">#REF!</definedName>
    <definedName name="TVTitles" localSheetId="31">#REF!</definedName>
    <definedName name="TVTitles" localSheetId="15">#REF!</definedName>
    <definedName name="TVTitles" localSheetId="13">#REF!</definedName>
    <definedName name="TVTitles" localSheetId="17">#REF!</definedName>
    <definedName name="TVTitles" localSheetId="12">#REF!</definedName>
    <definedName name="TVTitles" localSheetId="22">#REF!</definedName>
    <definedName name="TVTitles" localSheetId="28">#REF!</definedName>
    <definedName name="TVTitles" localSheetId="35">#REF!</definedName>
    <definedName name="TVTitles">#REF!</definedName>
    <definedName name="TVTitles___0">#N/A</definedName>
    <definedName name="TVTitles___12">#N/A</definedName>
    <definedName name="TVTitles___14">#N/A</definedName>
    <definedName name="TVTitles___16">#N/A</definedName>
    <definedName name="TVTitles___2">#N/A</definedName>
    <definedName name="TVTitles___25">#N/A</definedName>
    <definedName name="TVTitles___26">#N/A</definedName>
    <definedName name="TVTitles___27">#N/A</definedName>
    <definedName name="TVTitles___4">#N/A</definedName>
    <definedName name="TVTitles___5">#N/A</definedName>
    <definedName name="TVTitles___7">#N/A</definedName>
    <definedName name="TWACCAdjustment" localSheetId="18">#REF!</definedName>
    <definedName name="TWACCAdjustment" localSheetId="25">#REF!</definedName>
    <definedName name="TWACCAdjustment" localSheetId="29">#REF!</definedName>
    <definedName name="TWACCAdjustment" localSheetId="31">#REF!</definedName>
    <definedName name="TWACCAdjustment" localSheetId="15">#REF!</definedName>
    <definedName name="TWACCAdjustment" localSheetId="13">#REF!</definedName>
    <definedName name="TWACCAdjustment" localSheetId="17">#REF!</definedName>
    <definedName name="TWACCAdjustment" localSheetId="12">#REF!</definedName>
    <definedName name="TWACCAdjustment" localSheetId="22">#REF!</definedName>
    <definedName name="TWACCAdjustment" localSheetId="28">#REF!</definedName>
    <definedName name="TWACCAdjustment" localSheetId="35">#REF!</definedName>
    <definedName name="TWACCAdjustment">#REF!</definedName>
    <definedName name="TWACCAdjustment___0">#N/A</definedName>
    <definedName name="TWACCAdjustment___12">#N/A</definedName>
    <definedName name="TWACCAdjustment___14">#N/A</definedName>
    <definedName name="TWACCAdjustment___16">#N/A</definedName>
    <definedName name="TWACCAdjustment___2">#N/A</definedName>
    <definedName name="TWACCAdjustment___25">#N/A</definedName>
    <definedName name="TWACCAdjustment___26">#N/A</definedName>
    <definedName name="TWACCAdjustment___27">#N/A</definedName>
    <definedName name="TWACCAdjustment___4">#N/A</definedName>
    <definedName name="TWACCAdjustment___5">#N/A</definedName>
    <definedName name="TWACCAdjustment___7">#N/A</definedName>
    <definedName name="twd" localSheetId="18">#REF!</definedName>
    <definedName name="twd" localSheetId="25">#REF!</definedName>
    <definedName name="twd" localSheetId="29">#REF!</definedName>
    <definedName name="twd" localSheetId="31">#REF!</definedName>
    <definedName name="twd" localSheetId="15">#REF!</definedName>
    <definedName name="twd" localSheetId="13">#REF!</definedName>
    <definedName name="twd" localSheetId="17">#REF!</definedName>
    <definedName name="twd" localSheetId="12">#REF!</definedName>
    <definedName name="twd" localSheetId="22">#REF!</definedName>
    <definedName name="twd" localSheetId="28">#REF!</definedName>
    <definedName name="twd" localSheetId="35">#REF!</definedName>
    <definedName name="twd">#REF!</definedName>
    <definedName name="Tx_intérêt_par_an" localSheetId="18">#REF!</definedName>
    <definedName name="Tx_intérêt_par_an" localSheetId="25">#REF!</definedName>
    <definedName name="Tx_intérêt_par_an" localSheetId="29">#REF!</definedName>
    <definedName name="Tx_intérêt_par_an" localSheetId="31">#REF!</definedName>
    <definedName name="Tx_intérêt_par_an" localSheetId="15">#REF!</definedName>
    <definedName name="Tx_intérêt_par_an" localSheetId="13">#REF!</definedName>
    <definedName name="Tx_intérêt_par_an" localSheetId="17">#REF!</definedName>
    <definedName name="Tx_intérêt_par_an" localSheetId="12">#REF!</definedName>
    <definedName name="Tx_intérêt_par_an" localSheetId="22">#REF!</definedName>
    <definedName name="Tx_intérêt_par_an" localSheetId="28">#REF!</definedName>
    <definedName name="Tx_intérêt_par_an" localSheetId="35">#REF!</definedName>
    <definedName name="Tx_intérêt_par_an">#REF!</definedName>
    <definedName name="Tx_intérêt_par_an___0">#N/A</definedName>
    <definedName name="Tx_intérêt_par_an___12">#N/A</definedName>
    <definedName name="Tx_intérêt_par_an___14">#N/A</definedName>
    <definedName name="Tx_intérêt_par_an___16">#N/A</definedName>
    <definedName name="Tx_intérêt_par_an___2">#N/A</definedName>
    <definedName name="Tx_intérêt_par_an___25">#N/A</definedName>
    <definedName name="Tx_intérêt_par_an___26">#N/A</definedName>
    <definedName name="Tx_intérêt_par_an___27">#N/A</definedName>
    <definedName name="Tx_intérêt_par_an___4">#N/A</definedName>
    <definedName name="Tx_intérêt_par_an___5">#N/A</definedName>
    <definedName name="Tx_intérêt_par_an___7">#N/A</definedName>
    <definedName name="txclot" localSheetId="25">[144]Data!$C$1</definedName>
    <definedName name="txclot" localSheetId="22">[145]Data!$C$1</definedName>
    <definedName name="txclot">[144]Data!$C$1</definedName>
    <definedName name="txouv" localSheetId="25">[144]Data!$C$5</definedName>
    <definedName name="txouv" localSheetId="22">[145]Data!$C$5</definedName>
    <definedName name="txouv">[144]Data!$C$5</definedName>
    <definedName name="txpl" localSheetId="25">[144]Data!$B$1</definedName>
    <definedName name="txpl" localSheetId="22">[145]Data!$B$1</definedName>
    <definedName name="txpl">[144]Data!$B$1</definedName>
    <definedName name="ty" localSheetId="25" hidden="1">{"orixcsc",#N/A,FALSE,"ORIX CSC";"orixcsc2",#N/A,FALSE,"ORIX CSC"}</definedName>
    <definedName name="ty" localSheetId="19" hidden="1">{"orixcsc",#N/A,FALSE,"ORIX CSC";"orixcsc2",#N/A,FALSE,"ORIX CSC"}</definedName>
    <definedName name="ty" localSheetId="22" hidden="1">{"orixcsc",#N/A,FALSE,"ORIX CSC";"orixcsc2",#N/A,FALSE,"ORIX CSC"}</definedName>
    <definedName name="ty" localSheetId="28" hidden="1">{"orixcsc",#N/A,FALSE,"ORIX CSC";"orixcsc2",#N/A,FALSE,"ORIX CSC"}</definedName>
    <definedName name="ty" localSheetId="35" hidden="1">{"orixcsc",#N/A,FALSE,"ORIX CSC";"orixcsc2",#N/A,FALSE,"ORIX CSC"}</definedName>
    <definedName name="ty" hidden="1">{"orixcsc",#N/A,FALSE,"ORIX CSC";"orixcsc2",#N/A,FALSE,"ORIX CSC"}</definedName>
    <definedName name="TYFTRYRTYRTYUR" localSheetId="29">#REF!</definedName>
    <definedName name="TYFTRYRTYRTYUR" localSheetId="31">#REF!</definedName>
    <definedName name="TYFTRYRTYRTYUR" localSheetId="28">#REF!</definedName>
    <definedName name="TYFTRYRTYRTYUR" localSheetId="35">#REF!</definedName>
    <definedName name="TYFTRYRTYRTYUR">#REF!</definedName>
    <definedName name="tyhtf" localSheetId="18">#REF!</definedName>
    <definedName name="tyhtf" localSheetId="25">#REF!</definedName>
    <definedName name="tyhtf" localSheetId="29">#REF!</definedName>
    <definedName name="tyhtf" localSheetId="31">#REF!</definedName>
    <definedName name="tyhtf" localSheetId="15">#REF!</definedName>
    <definedName name="tyhtf" localSheetId="13">#REF!</definedName>
    <definedName name="tyhtf" localSheetId="17">#REF!</definedName>
    <definedName name="tyhtf" localSheetId="12">#REF!</definedName>
    <definedName name="tyhtf" localSheetId="22">#REF!</definedName>
    <definedName name="tyhtf" localSheetId="28">#REF!</definedName>
    <definedName name="tyhtf" localSheetId="35">#REF!</definedName>
    <definedName name="tyhtf">#REF!</definedName>
    <definedName name="tyjutjnty">#N/A</definedName>
    <definedName name="Type" localSheetId="18">#REF!</definedName>
    <definedName name="Type" localSheetId="25">#REF!</definedName>
    <definedName name="Type" localSheetId="29">#REF!</definedName>
    <definedName name="Type" localSheetId="31">#REF!</definedName>
    <definedName name="Type" localSheetId="15">#REF!</definedName>
    <definedName name="Type" localSheetId="13">#REF!</definedName>
    <definedName name="Type" localSheetId="17">#REF!</definedName>
    <definedName name="Type" localSheetId="12">#REF!</definedName>
    <definedName name="Type" localSheetId="22">#REF!</definedName>
    <definedName name="Type" localSheetId="28">#REF!</definedName>
    <definedName name="Type" localSheetId="35">#REF!</definedName>
    <definedName name="Type">#REF!</definedName>
    <definedName name="Type_1" localSheetId="29">#REF!</definedName>
    <definedName name="Type_1" localSheetId="31">#REF!</definedName>
    <definedName name="Type_1" localSheetId="28">#REF!</definedName>
    <definedName name="Type_1" localSheetId="35">#REF!</definedName>
    <definedName name="Type_1">#REF!</definedName>
    <definedName name="Type_2" localSheetId="29">#REF!</definedName>
    <definedName name="Type_2" localSheetId="31">#REF!</definedName>
    <definedName name="Type_2" localSheetId="28">#REF!</definedName>
    <definedName name="Type_2" localSheetId="35">#REF!</definedName>
    <definedName name="Type_2">#REF!</definedName>
    <definedName name="TYPES" localSheetId="29">'[146]Summary '!#REF!</definedName>
    <definedName name="TYPES" localSheetId="31">'[146]Summary '!#REF!</definedName>
    <definedName name="TYPES" localSheetId="28">'[146]Summary '!#REF!</definedName>
    <definedName name="TYPES" localSheetId="35">'[146]Summary '!#REF!</definedName>
    <definedName name="TYPES">'[146]Summary '!#REF!</definedName>
    <definedName name="tyryt" localSheetId="18" hidden="1">#REF!</definedName>
    <definedName name="tyryt" localSheetId="25" hidden="1">#REF!</definedName>
    <definedName name="tyryt" localSheetId="29" hidden="1">#REF!</definedName>
    <definedName name="tyryt" localSheetId="31" hidden="1">#REF!</definedName>
    <definedName name="tyryt" localSheetId="15" hidden="1">#REF!</definedName>
    <definedName name="tyryt" localSheetId="13" hidden="1">#REF!</definedName>
    <definedName name="tyryt" localSheetId="17" hidden="1">#REF!</definedName>
    <definedName name="tyryt" localSheetId="12" hidden="1">#REF!</definedName>
    <definedName name="tyryt" localSheetId="22" hidden="1">#REF!</definedName>
    <definedName name="tyryt" localSheetId="28" hidden="1">#REF!</definedName>
    <definedName name="tyryt" localSheetId="35" hidden="1">#REF!</definedName>
    <definedName name="tyryt" hidden="1">#REF!</definedName>
    <definedName name="U">#N/A</definedName>
    <definedName name="ù">#N/A</definedName>
    <definedName name="uektttk" localSheetId="18">#REF!</definedName>
    <definedName name="uektttk" localSheetId="25">#REF!</definedName>
    <definedName name="uektttk" localSheetId="29">#REF!</definedName>
    <definedName name="uektttk" localSheetId="31">#REF!</definedName>
    <definedName name="uektttk" localSheetId="15">#REF!</definedName>
    <definedName name="uektttk" localSheetId="13">#REF!</definedName>
    <definedName name="uektttk" localSheetId="17">#REF!</definedName>
    <definedName name="uektttk" localSheetId="12">#REF!</definedName>
    <definedName name="uektttk" localSheetId="22">#REF!</definedName>
    <definedName name="uektttk" localSheetId="28">#REF!</definedName>
    <definedName name="uektttk" localSheetId="35">#REF!</definedName>
    <definedName name="uektttk">#REF!</definedName>
    <definedName name="ufykfk" localSheetId="25" hidden="1">{"print 1",#N/A,FALSE,"PrimeCo PCS";"print 2",#N/A,FALSE,"PrimeCo PCS";"valuation",#N/A,FALSE,"PrimeCo PCS"}</definedName>
    <definedName name="ufykfk" localSheetId="19" hidden="1">{"print 1",#N/A,FALSE,"PrimeCo PCS";"print 2",#N/A,FALSE,"PrimeCo PCS";"valuation",#N/A,FALSE,"PrimeCo PCS"}</definedName>
    <definedName name="ufykfk" localSheetId="22" hidden="1">{"print 1",#N/A,FALSE,"PrimeCo PCS";"print 2",#N/A,FALSE,"PrimeCo PCS";"valuation",#N/A,FALSE,"PrimeCo PCS"}</definedName>
    <definedName name="ufykfk" localSheetId="28" hidden="1">{"print 1",#N/A,FALSE,"PrimeCo PCS";"print 2",#N/A,FALSE,"PrimeCo PCS";"valuation",#N/A,FALSE,"PrimeCo PCS"}</definedName>
    <definedName name="ufykfk" localSheetId="35" hidden="1">{"print 1",#N/A,FALSE,"PrimeCo PCS";"print 2",#N/A,FALSE,"PrimeCo PCS";"valuation",#N/A,FALSE,"PrimeCo PCS"}</definedName>
    <definedName name="ufykfk" hidden="1">{"print 1",#N/A,FALSE,"PrimeCo PCS";"print 2",#N/A,FALSE,"PrimeCo PCS";"valuation",#N/A,FALSE,"PrimeCo PCS"}</definedName>
    <definedName name="ULTSUMM97" localSheetId="18">#REF!</definedName>
    <definedName name="ULTSUMM97" localSheetId="25">#REF!</definedName>
    <definedName name="ULTSUMM97" localSheetId="29">#REF!</definedName>
    <definedName name="ULTSUMM97" localSheetId="31">#REF!</definedName>
    <definedName name="ULTSUMM97" localSheetId="15">#REF!</definedName>
    <definedName name="ULTSUMM97" localSheetId="13">#REF!</definedName>
    <definedName name="ULTSUMM97" localSheetId="17">#REF!</definedName>
    <definedName name="ULTSUMM97" localSheetId="12">#REF!</definedName>
    <definedName name="ULTSUMM97" localSheetId="22">#REF!</definedName>
    <definedName name="ULTSUMM97" localSheetId="28">#REF!</definedName>
    <definedName name="ULTSUMM97" localSheetId="35">#REF!</definedName>
    <definedName name="ULTSUMM97">#REF!</definedName>
    <definedName name="UNDERLINE">#N/A</definedName>
    <definedName name="Update1" localSheetId="28">#N/A</definedName>
    <definedName name="Update1" localSheetId="35">'Taxe 5%'!Update1</definedName>
    <definedName name="Update1">'Taxe 5%'!Update1</definedName>
    <definedName name="uydk">#N/A</definedName>
    <definedName name="uykfu" localSheetId="18">[6]!uykfu</definedName>
    <definedName name="uykfu" localSheetId="25">[6]!uykfu</definedName>
    <definedName name="uykfu" localSheetId="29">[6]!uykfu</definedName>
    <definedName name="uykfu" localSheetId="31">[6]!uykfu</definedName>
    <definedName name="uykfu" localSheetId="15">[6]!uykfu</definedName>
    <definedName name="uykfu" localSheetId="13">[6]!uykfu</definedName>
    <definedName name="uykfu" localSheetId="19">[7]!uykfu</definedName>
    <definedName name="uykfu" localSheetId="17">[6]!uykfu</definedName>
    <definedName name="uykfu" localSheetId="12">[6]!uykfu</definedName>
    <definedName name="uykfu" localSheetId="22">[8]!uykfu</definedName>
    <definedName name="uykfu">[6]!uykfu</definedName>
    <definedName name="uyuyuyuyuyu" localSheetId="28" hidden="1">{#N/A,#N/A,TRUE,"Cover sheet";#N/A,#N/A,TRUE,"DCF analysis";#N/A,#N/A,TRUE,"WACC calculation"}</definedName>
    <definedName name="uyuyuyuyuyu" localSheetId="35" hidden="1">{#N/A,#N/A,TRUE,"Cover sheet";#N/A,#N/A,TRUE,"DCF analysis";#N/A,#N/A,TRUE,"WACC calculation"}</definedName>
    <definedName name="uyuyuyuyuyu" hidden="1">{#N/A,#N/A,TRUE,"Cover sheet";#N/A,#N/A,TRUE,"DCF analysis";#N/A,#N/A,TRUE,"WACC calculation"}</definedName>
    <definedName name="V" localSheetId="18">[6]!V</definedName>
    <definedName name="V" localSheetId="25">[6]!V</definedName>
    <definedName name="V" localSheetId="29">[6]!V</definedName>
    <definedName name="V" localSheetId="31">[6]!V</definedName>
    <definedName name="V" localSheetId="15">[6]!V</definedName>
    <definedName name="V" localSheetId="13">[6]!V</definedName>
    <definedName name="V" localSheetId="19">[7]!V</definedName>
    <definedName name="V" localSheetId="17">[6]!V</definedName>
    <definedName name="V" localSheetId="12">[6]!V</definedName>
    <definedName name="V" localSheetId="22">[8]!V</definedName>
    <definedName name="V">[6]!V</definedName>
    <definedName name="VA" localSheetId="18">#REF!</definedName>
    <definedName name="VA" localSheetId="25">#REF!</definedName>
    <definedName name="VA" localSheetId="29">#REF!</definedName>
    <definedName name="VA" localSheetId="31">#REF!</definedName>
    <definedName name="VA" localSheetId="15">#REF!</definedName>
    <definedName name="VA" localSheetId="13">#REF!</definedName>
    <definedName name="VA" localSheetId="17">#REF!</definedName>
    <definedName name="VA" localSheetId="12">#REF!</definedName>
    <definedName name="VA" localSheetId="22">#REF!</definedName>
    <definedName name="VA" localSheetId="28">#REF!</definedName>
    <definedName name="VA" localSheetId="35">#REF!</definedName>
    <definedName name="VA">#REF!</definedName>
    <definedName name="vaaaaaavavv" localSheetId="28">#N/A</definedName>
    <definedName name="vaaaaaavavv" localSheetId="35">'Taxe 5%'!vaaaaaavavv</definedName>
    <definedName name="vaaaaaavavv">'Taxe 5%'!vaaaaaavavv</definedName>
    <definedName name="valeur_brute_totale">#N/A</definedName>
    <definedName name="ValuationDate" localSheetId="18">#REF!</definedName>
    <definedName name="ValuationDate" localSheetId="25">#REF!</definedName>
    <definedName name="ValuationDate" localSheetId="29">#REF!</definedName>
    <definedName name="ValuationDate" localSheetId="31">#REF!</definedName>
    <definedName name="ValuationDate" localSheetId="15">#REF!</definedName>
    <definedName name="ValuationDate" localSheetId="13">#REF!</definedName>
    <definedName name="ValuationDate" localSheetId="17">#REF!</definedName>
    <definedName name="ValuationDate" localSheetId="12">#REF!</definedName>
    <definedName name="ValuationDate" localSheetId="22">#REF!</definedName>
    <definedName name="ValuationDate" localSheetId="28">#REF!</definedName>
    <definedName name="ValuationDate" localSheetId="35">#REF!</definedName>
    <definedName name="ValuationDate">#REF!</definedName>
    <definedName name="ValuationDate___0">#N/A</definedName>
    <definedName name="ValuationDate___12">#N/A</definedName>
    <definedName name="ValuationDate___14">#N/A</definedName>
    <definedName name="ValuationDate___16">#N/A</definedName>
    <definedName name="ValuationDate___2">#N/A</definedName>
    <definedName name="ValuationDate___25">#N/A</definedName>
    <definedName name="ValuationDate___26">#N/A</definedName>
    <definedName name="ValuationDate___27">#N/A</definedName>
    <definedName name="ValuationDate___4">#N/A</definedName>
    <definedName name="ValuationDate___5">#N/A</definedName>
    <definedName name="ValuationDate___7">#N/A</definedName>
    <definedName name="variance" localSheetId="18">#REF!</definedName>
    <definedName name="variance" localSheetId="25">#REF!</definedName>
    <definedName name="variance" localSheetId="29">#REF!</definedName>
    <definedName name="variance" localSheetId="31">#REF!</definedName>
    <definedName name="variance" localSheetId="15">#REF!</definedName>
    <definedName name="variance" localSheetId="13">#REF!</definedName>
    <definedName name="variance" localSheetId="17">#REF!</definedName>
    <definedName name="variance" localSheetId="12">#REF!</definedName>
    <definedName name="variance" localSheetId="22">#REF!</definedName>
    <definedName name="variance" localSheetId="28">#REF!</definedName>
    <definedName name="variance" localSheetId="35">#REF!</definedName>
    <definedName name="variance">#REF!</definedName>
    <definedName name="VAT">0.15</definedName>
    <definedName name="vbb">#N/A</definedName>
    <definedName name="VColsToPrint" localSheetId="18">#REF!</definedName>
    <definedName name="VColsToPrint" localSheetId="25">#REF!</definedName>
    <definedName name="VColsToPrint" localSheetId="29">#REF!</definedName>
    <definedName name="VColsToPrint" localSheetId="31">#REF!</definedName>
    <definedName name="VColsToPrint" localSheetId="15">#REF!</definedName>
    <definedName name="VColsToPrint" localSheetId="13">#REF!</definedName>
    <definedName name="VColsToPrint" localSheetId="17">#REF!</definedName>
    <definedName name="VColsToPrint" localSheetId="12">#REF!</definedName>
    <definedName name="VColsToPrint" localSheetId="22">#REF!</definedName>
    <definedName name="VColsToPrint" localSheetId="28">#REF!</definedName>
    <definedName name="VColsToPrint" localSheetId="35">#REF!</definedName>
    <definedName name="VColsToPrint">#REF!</definedName>
    <definedName name="VColsToPrint___0">#N/A</definedName>
    <definedName name="VColsToPrint___12">#N/A</definedName>
    <definedName name="VColsToPrint___14">#N/A</definedName>
    <definedName name="VColsToPrint___16">#N/A</definedName>
    <definedName name="VColsToPrint___2">#N/A</definedName>
    <definedName name="VColsToPrint___25">#N/A</definedName>
    <definedName name="VColsToPrint___26">#N/A</definedName>
    <definedName name="VColsToPrint___27">#N/A</definedName>
    <definedName name="VColsToPrint___4">#N/A</definedName>
    <definedName name="VColsToPrint___5">#N/A</definedName>
    <definedName name="VColsToPrint___7">#N/A</definedName>
    <definedName name="VERRECCCP">[65]ONPT!$B$17</definedName>
    <definedName name="VERS_REC_CCP" localSheetId="18">#REF!</definedName>
    <definedName name="VERS_REC_CCP" localSheetId="25">#REF!</definedName>
    <definedName name="VERS_REC_CCP" localSheetId="29">#REF!</definedName>
    <definedName name="VERS_REC_CCP" localSheetId="31">#REF!</definedName>
    <definedName name="VERS_REC_CCP" localSheetId="15">#REF!</definedName>
    <definedName name="VERS_REC_CCP" localSheetId="13">#REF!</definedName>
    <definedName name="VERS_REC_CCP" localSheetId="17">#REF!</definedName>
    <definedName name="VERS_REC_CCP" localSheetId="12">#REF!</definedName>
    <definedName name="VERS_REC_CCP" localSheetId="22">#REF!</definedName>
    <definedName name="VERS_REC_CCP" localSheetId="28">#REF!</definedName>
    <definedName name="VERS_REC_CCP" localSheetId="35">#REF!</definedName>
    <definedName name="VERS_REC_CCP">#REF!</definedName>
    <definedName name="vgdsj">#N/A</definedName>
    <definedName name="vghh">#N/A</definedName>
    <definedName name="vhghgfhgf" localSheetId="18">#REF!</definedName>
    <definedName name="vhghgfhgf" localSheetId="25">#REF!</definedName>
    <definedName name="vhghgfhgf" localSheetId="29">#REF!</definedName>
    <definedName name="vhghgfhgf" localSheetId="31">#REF!</definedName>
    <definedName name="vhghgfhgf" localSheetId="15">#REF!</definedName>
    <definedName name="vhghgfhgf" localSheetId="13">#REF!</definedName>
    <definedName name="vhghgfhgf" localSheetId="17">#REF!</definedName>
    <definedName name="vhghgfhgf" localSheetId="12">#REF!</definedName>
    <definedName name="vhghgfhgf" localSheetId="22">#REF!</definedName>
    <definedName name="vhghgfhgf" localSheetId="28">#REF!</definedName>
    <definedName name="vhghgfhgf" localSheetId="35">#REF!</definedName>
    <definedName name="vhghgfhgf">#REF!</definedName>
    <definedName name="Vide">'[82]Catégories&amp; motifs_réclamations'!$D$2</definedName>
    <definedName name="VIGNETTES_TG" localSheetId="18">#REF!</definedName>
    <definedName name="VIGNETTES_TG" localSheetId="25">#REF!</definedName>
    <definedName name="VIGNETTES_TG" localSheetId="29">#REF!</definedName>
    <definedName name="VIGNETTES_TG" localSheetId="31">#REF!</definedName>
    <definedName name="VIGNETTES_TG" localSheetId="15">#REF!</definedName>
    <definedName name="VIGNETTES_TG" localSheetId="13">#REF!</definedName>
    <definedName name="VIGNETTES_TG" localSheetId="17">#REF!</definedName>
    <definedName name="VIGNETTES_TG" localSheetId="12">#REF!</definedName>
    <definedName name="VIGNETTES_TG" localSheetId="22">#REF!</definedName>
    <definedName name="VIGNETTES_TG" localSheetId="28">#REF!</definedName>
    <definedName name="VIGNETTES_TG" localSheetId="35">#REF!</definedName>
    <definedName name="VIGNETTES_TG">#REF!</definedName>
    <definedName name="VIGNTG">[65]ONPT!$E$18</definedName>
    <definedName name="vince" localSheetId="28" hidden="1">{#N/A,#N/A,TRUE,"Cover sheet";#N/A,#N/A,TRUE,"DCF analysis";#N/A,#N/A,TRUE,"WACC calculation"}</definedName>
    <definedName name="vince" localSheetId="35" hidden="1">{#N/A,#N/A,TRUE,"Cover sheet";#N/A,#N/A,TRUE,"DCF analysis";#N/A,#N/A,TRUE,"WACC calculation"}</definedName>
    <definedName name="vince" hidden="1">{#N/A,#N/A,TRUE,"Cover sheet";#N/A,#N/A,TRUE,"DCF analysis";#N/A,#N/A,TRUE,"WACC calculation"}</definedName>
    <definedName name="VIR_BANQUE" localSheetId="18">#REF!</definedName>
    <definedName name="VIR_BANQUE" localSheetId="25">#REF!</definedName>
    <definedName name="VIR_BANQUE" localSheetId="29">#REF!</definedName>
    <definedName name="VIR_BANQUE" localSheetId="31">#REF!</definedName>
    <definedName name="VIR_BANQUE" localSheetId="15">#REF!</definedName>
    <definedName name="VIR_BANQUE" localSheetId="13">#REF!</definedName>
    <definedName name="VIR_BANQUE" localSheetId="17">#REF!</definedName>
    <definedName name="VIR_BANQUE" localSheetId="12">#REF!</definedName>
    <definedName name="VIR_BANQUE" localSheetId="22">#REF!</definedName>
    <definedName name="VIR_BANQUE" localSheetId="28">#REF!</definedName>
    <definedName name="VIR_BANQUE" localSheetId="35">#REF!</definedName>
    <definedName name="VIR_BANQUE">#REF!</definedName>
    <definedName name="VIRBQ">[65]ONPT!$H$19</definedName>
    <definedName name="VLastRow" localSheetId="18">#REF!</definedName>
    <definedName name="VLastRow" localSheetId="25">#REF!</definedName>
    <definedName name="VLastRow" localSheetId="29">#REF!</definedName>
    <definedName name="VLastRow" localSheetId="31">#REF!</definedName>
    <definedName name="VLastRow" localSheetId="15">#REF!</definedName>
    <definedName name="VLastRow" localSheetId="13">#REF!</definedName>
    <definedName name="VLastRow" localSheetId="17">#REF!</definedName>
    <definedName name="VLastRow" localSheetId="12">#REF!</definedName>
    <definedName name="VLastRow" localSheetId="22">#REF!</definedName>
    <definedName name="VLastRow" localSheetId="28">#REF!</definedName>
    <definedName name="VLastRow" localSheetId="35">#REF!</definedName>
    <definedName name="VLastRow">#REF!</definedName>
    <definedName name="VLastRow___0">#N/A</definedName>
    <definedName name="VLastRow___12">#N/A</definedName>
    <definedName name="VLastRow___14">#N/A</definedName>
    <definedName name="VLastRow___16">#N/A</definedName>
    <definedName name="VLastRow___2">#N/A</definedName>
    <definedName name="VLastRow___25">#N/A</definedName>
    <definedName name="VLastRow___26">#N/A</definedName>
    <definedName name="VLastRow___27">#N/A</definedName>
    <definedName name="VLastRow___4">#N/A</definedName>
    <definedName name="VLastRow___5">#N/A</definedName>
    <definedName name="VLastRow___7">#N/A</definedName>
    <definedName name="VLastRowToPrint" localSheetId="18">#REF!</definedName>
    <definedName name="VLastRowToPrint" localSheetId="25">#REF!</definedName>
    <definedName name="VLastRowToPrint" localSheetId="29">#REF!</definedName>
    <definedName name="VLastRowToPrint" localSheetId="31">#REF!</definedName>
    <definedName name="VLastRowToPrint" localSheetId="15">#REF!</definedName>
    <definedName name="VLastRowToPrint" localSheetId="13">#REF!</definedName>
    <definedName name="VLastRowToPrint" localSheetId="17">#REF!</definedName>
    <definedName name="VLastRowToPrint" localSheetId="12">#REF!</definedName>
    <definedName name="VLastRowToPrint" localSheetId="22">#REF!</definedName>
    <definedName name="VLastRowToPrint" localSheetId="28">#REF!</definedName>
    <definedName name="VLastRowToPrint" localSheetId="35">#REF!</definedName>
    <definedName name="VLastRowToPrint">#REF!</definedName>
    <definedName name="VLastRowToPrint___0">#N/A</definedName>
    <definedName name="VLastRowToPrint___12">#N/A</definedName>
    <definedName name="VLastRowToPrint___14">#N/A</definedName>
    <definedName name="VLastRowToPrint___16">#N/A</definedName>
    <definedName name="VLastRowToPrint___2">#N/A</definedName>
    <definedName name="VLastRowToPrint___25">#N/A</definedName>
    <definedName name="VLastRowToPrint___26">#N/A</definedName>
    <definedName name="VLastRowToPrint___27">#N/A</definedName>
    <definedName name="VLastRowToPrint___4">#N/A</definedName>
    <definedName name="VLastRowToPrint___5">#N/A</definedName>
    <definedName name="VLastRowToPrint___7">#N/A</definedName>
    <definedName name="VLR">#N/A</definedName>
    <definedName name="VolFactor" localSheetId="18">#REF!</definedName>
    <definedName name="VolFactor" localSheetId="25">#REF!</definedName>
    <definedName name="VolFactor" localSheetId="29">#REF!</definedName>
    <definedName name="VolFactor" localSheetId="31">#REF!</definedName>
    <definedName name="VolFactor" localSheetId="15">#REF!</definedName>
    <definedName name="VolFactor" localSheetId="13">#REF!</definedName>
    <definedName name="VolFactor" localSheetId="17">#REF!</definedName>
    <definedName name="VolFactor" localSheetId="12">#REF!</definedName>
    <definedName name="VolFactor" localSheetId="22">#REF!</definedName>
    <definedName name="VolFactor" localSheetId="28">#REF!</definedName>
    <definedName name="VolFactor" localSheetId="35">#REF!</definedName>
    <definedName name="VolFactor">#REF!</definedName>
    <definedName name="VolFactor___0">#N/A</definedName>
    <definedName name="VolFactor___12">#N/A</definedName>
    <definedName name="VolFactor___14">#N/A</definedName>
    <definedName name="VolFactor___16">#N/A</definedName>
    <definedName name="VolFactor___2">#N/A</definedName>
    <definedName name="VolFactor___25">#N/A</definedName>
    <definedName name="VolFactor___26">#N/A</definedName>
    <definedName name="VolFactor___27">#N/A</definedName>
    <definedName name="VolFactor___4">#N/A</definedName>
    <definedName name="VolFactor___5">#N/A</definedName>
    <definedName name="VolFactor___7">#N/A</definedName>
    <definedName name="VPC">#N/A</definedName>
    <definedName name="VPLastRow" localSheetId="18">#REF!</definedName>
    <definedName name="VPLastRow" localSheetId="25">#REF!</definedName>
    <definedName name="VPLastRow" localSheetId="29">#REF!</definedName>
    <definedName name="VPLastRow" localSheetId="31">#REF!</definedName>
    <definedName name="VPLastRow" localSheetId="15">#REF!</definedName>
    <definedName name="VPLastRow" localSheetId="13">#REF!</definedName>
    <definedName name="VPLastRow" localSheetId="17">#REF!</definedName>
    <definedName name="VPLastRow" localSheetId="12">#REF!</definedName>
    <definedName name="VPLastRow" localSheetId="22">#REF!</definedName>
    <definedName name="VPLastRow" localSheetId="28">#REF!</definedName>
    <definedName name="VPLastRow" localSheetId="35">#REF!</definedName>
    <definedName name="VPLastRow">#REF!</definedName>
    <definedName name="VPLastRow___0">#N/A</definedName>
    <definedName name="VPLastRow___12">#N/A</definedName>
    <definedName name="VPLastRow___14">#N/A</definedName>
    <definedName name="VPLastRow___16">#N/A</definedName>
    <definedName name="VPLastRow___2">#N/A</definedName>
    <definedName name="VPLastRow___25">#N/A</definedName>
    <definedName name="VPLastRow___26">#N/A</definedName>
    <definedName name="VPLastRow___27">#N/A</definedName>
    <definedName name="VPLastRow___4">#N/A</definedName>
    <definedName name="VPLastRow___5">#N/A</definedName>
    <definedName name="VPLastRow___7">#N/A</definedName>
    <definedName name="VTitle" localSheetId="18">#REF!</definedName>
    <definedName name="VTitle" localSheetId="25">#REF!</definedName>
    <definedName name="VTitle" localSheetId="29">#REF!</definedName>
    <definedName name="VTitle" localSheetId="31">#REF!</definedName>
    <definedName name="VTitle" localSheetId="15">#REF!</definedName>
    <definedName name="VTitle" localSheetId="13">#REF!</definedName>
    <definedName name="VTitle" localSheetId="17">#REF!</definedName>
    <definedName name="VTitle" localSheetId="12">#REF!</definedName>
    <definedName name="VTitle" localSheetId="22">#REF!</definedName>
    <definedName name="VTitle" localSheetId="28">#REF!</definedName>
    <definedName name="VTitle" localSheetId="35">#REF!</definedName>
    <definedName name="VTitle">#REF!</definedName>
    <definedName name="VTitle___0">#N/A</definedName>
    <definedName name="VTitle___12">#N/A</definedName>
    <definedName name="VTitle___14">#N/A</definedName>
    <definedName name="VTitle___16">#N/A</definedName>
    <definedName name="VTitle___2">#N/A</definedName>
    <definedName name="VTitle___25">#N/A</definedName>
    <definedName name="VTitle___26">#N/A</definedName>
    <definedName name="VTitle___27">#N/A</definedName>
    <definedName name="VTitle___4">#N/A</definedName>
    <definedName name="VTitle___5">#N/A</definedName>
    <definedName name="VTitle___7">#N/A</definedName>
    <definedName name="vvv" localSheetId="28" hidden="1">{#N/A,#N/A,TRUE,"Cover sheet";#N/A,#N/A,TRUE,"DCF analysis";#N/A,#N/A,TRUE,"WACC calculation"}</definedName>
    <definedName name="vvv" localSheetId="35" hidden="1">{#N/A,#N/A,TRUE,"Cover sheet";#N/A,#N/A,TRUE,"DCF analysis";#N/A,#N/A,TRUE,"WACC calculation"}</definedName>
    <definedName name="vvv" hidden="1">{#N/A,#N/A,TRUE,"Cover sheet";#N/A,#N/A,TRUE,"DCF analysis";#N/A,#N/A,TRUE,"WACC calculation"}</definedName>
    <definedName name="W" localSheetId="18">#REF!</definedName>
    <definedName name="W" localSheetId="25">#REF!</definedName>
    <definedName name="W" localSheetId="29">#REF!</definedName>
    <definedName name="W" localSheetId="31">#REF!</definedName>
    <definedName name="W" localSheetId="15">#REF!</definedName>
    <definedName name="W" localSheetId="13">#REF!</definedName>
    <definedName name="W" localSheetId="17">#REF!</definedName>
    <definedName name="W" localSheetId="12">#REF!</definedName>
    <definedName name="W" localSheetId="22">#REF!</definedName>
    <definedName name="W" localSheetId="28">#REF!</definedName>
    <definedName name="W" localSheetId="35">#REF!</definedName>
    <definedName name="W">#REF!</definedName>
    <definedName name="W.B" localSheetId="18">#REF!</definedName>
    <definedName name="W.B" localSheetId="25">#REF!</definedName>
    <definedName name="W.B" localSheetId="29">#REF!</definedName>
    <definedName name="W.B" localSheetId="31">#REF!</definedName>
    <definedName name="W.B" localSheetId="15">#REF!</definedName>
    <definedName name="W.B" localSheetId="13">#REF!</definedName>
    <definedName name="W.B" localSheetId="17">#REF!</definedName>
    <definedName name="W.B" localSheetId="12">#REF!</definedName>
    <definedName name="W.B" localSheetId="22">#REF!</definedName>
    <definedName name="W.B" localSheetId="28">#REF!</definedName>
    <definedName name="W.B" localSheetId="35">#REF!</definedName>
    <definedName name="W.B">#REF!</definedName>
    <definedName name="W___0">#N/A</definedName>
    <definedName name="W___12">#N/A</definedName>
    <definedName name="W___14">#N/A</definedName>
    <definedName name="W___16">#N/A</definedName>
    <definedName name="W___2">#N/A</definedName>
    <definedName name="W___25">#N/A</definedName>
    <definedName name="W___26">#N/A</definedName>
    <definedName name="W___27">#N/A</definedName>
    <definedName name="W___4">#N/A</definedName>
    <definedName name="W___5">#N/A</definedName>
    <definedName name="W___7">#N/A</definedName>
    <definedName name="WACC" localSheetId="18">#REF!</definedName>
    <definedName name="WACC" localSheetId="25">#REF!</definedName>
    <definedName name="WACC" localSheetId="29">#REF!</definedName>
    <definedName name="WACC" localSheetId="31">#REF!</definedName>
    <definedName name="WACC" localSheetId="15">#REF!</definedName>
    <definedName name="WACC" localSheetId="13">#REF!</definedName>
    <definedName name="WACC" localSheetId="17">#REF!</definedName>
    <definedName name="WACC" localSheetId="12">#REF!</definedName>
    <definedName name="WACC" localSheetId="22">#REF!</definedName>
    <definedName name="WACC" localSheetId="28">#REF!</definedName>
    <definedName name="WACC" localSheetId="35">#REF!</definedName>
    <definedName name="WACC">#REF!</definedName>
    <definedName name="WACC___0">#N/A</definedName>
    <definedName name="WACC___12">#N/A</definedName>
    <definedName name="WACC___14">#N/A</definedName>
    <definedName name="WACC___16">#N/A</definedName>
    <definedName name="WACC___2">#N/A</definedName>
    <definedName name="WACC___25">#N/A</definedName>
    <definedName name="WACC___26">#N/A</definedName>
    <definedName name="WACC___27">#N/A</definedName>
    <definedName name="WACC___4">#N/A</definedName>
    <definedName name="WACC___5">#N/A</definedName>
    <definedName name="WACC___7">#N/A</definedName>
    <definedName name="WACCIncrement" localSheetId="18">#REF!</definedName>
    <definedName name="WACCIncrement" localSheetId="25">#REF!</definedName>
    <definedName name="WACCIncrement" localSheetId="29">#REF!</definedName>
    <definedName name="WACCIncrement" localSheetId="31">#REF!</definedName>
    <definedName name="WACCIncrement" localSheetId="15">#REF!</definedName>
    <definedName name="WACCIncrement" localSheetId="13">#REF!</definedName>
    <definedName name="WACCIncrement" localSheetId="17">#REF!</definedName>
    <definedName name="WACCIncrement" localSheetId="12">#REF!</definedName>
    <definedName name="WACCIncrement" localSheetId="22">#REF!</definedName>
    <definedName name="WACCIncrement" localSheetId="28">#REF!</definedName>
    <definedName name="WACCIncrement" localSheetId="35">#REF!</definedName>
    <definedName name="WACCIncrement">#REF!</definedName>
    <definedName name="WACCIncrement___0">#N/A</definedName>
    <definedName name="WACCIncrement___12">#N/A</definedName>
    <definedName name="WACCIncrement___14">#N/A</definedName>
    <definedName name="WACCIncrement___16">#N/A</definedName>
    <definedName name="WACCIncrement___2">#N/A</definedName>
    <definedName name="WACCIncrement___25">#N/A</definedName>
    <definedName name="WACCIncrement___26">#N/A</definedName>
    <definedName name="WACCIncrement___27">#N/A</definedName>
    <definedName name="WACCIncrement___4">#N/A</definedName>
    <definedName name="WACCIncrement___5">#N/A</definedName>
    <definedName name="WACCIncrement___7">#N/A</definedName>
    <definedName name="WAFA_BANK" localSheetId="18">#REF!</definedName>
    <definedName name="WAFA_BANK" localSheetId="25">#REF!</definedName>
    <definedName name="WAFA_BANK" localSheetId="29">#REF!</definedName>
    <definedName name="WAFA_BANK" localSheetId="31">#REF!</definedName>
    <definedName name="WAFA_BANK" localSheetId="15">#REF!</definedName>
    <definedName name="WAFA_BANK" localSheetId="13">#REF!</definedName>
    <definedName name="WAFA_BANK" localSheetId="17">#REF!</definedName>
    <definedName name="WAFA_BANK" localSheetId="12">#REF!</definedName>
    <definedName name="WAFA_BANK" localSheetId="22">#REF!</definedName>
    <definedName name="WAFA_BANK" localSheetId="28">#REF!</definedName>
    <definedName name="WAFA_BANK" localSheetId="35">#REF!</definedName>
    <definedName name="WAFA_BANK">#REF!</definedName>
    <definedName name="WB">[65]ONPT!$B$52</definedName>
    <definedName name="wefsdfasdf" localSheetId="2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3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gqerrgqwergr" localSheetId="28">#N/A</definedName>
    <definedName name="wergqerrgqwergr" localSheetId="35">'Taxe 5%'!wergqerrgqwergr</definedName>
    <definedName name="wergqerrgqwergr">'Taxe 5%'!wergqerrgqwergr</definedName>
    <definedName name="werqerrgqwerger" localSheetId="28">#N/A</definedName>
    <definedName name="werqerrgqwerger" localSheetId="35">'Taxe 5%'!werqerrgqwerger</definedName>
    <definedName name="werqerrgqwerger">'Taxe 5%'!werqerrgqwerger</definedName>
    <definedName name="wqe" localSheetId="28">#N/A</definedName>
    <definedName name="wqe" localSheetId="35">'Taxe 5%'!wqe</definedName>
    <definedName name="wqe">'Taxe 5%'!wqe</definedName>
    <definedName name="wrn" localSheetId="28" hidden="1">{#N/A,#N/A,FALSE,"DCF Summary";#N/A,#N/A,FALSE,"Casema";#N/A,#N/A,FALSE,"Casema NoTel";#N/A,#N/A,FALSE,"UK";#N/A,#N/A,FALSE,"RCF";#N/A,#N/A,FALSE,"Intercable CZ";#N/A,#N/A,FALSE,"Interkabel P"}</definedName>
    <definedName name="wrn" localSheetId="35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28" hidden="1">{#N/A,#N/A,FALSE,"Calc";#N/A,#N/A,FALSE,"Sensitivity";#N/A,#N/A,FALSE,"LT Earn.Dil.";#N/A,#N/A,FALSE,"Dil. AVP"}</definedName>
    <definedName name="wrn.1." localSheetId="35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2." localSheetId="28" hidden="1">{#N/A,#N/A,FALSE,"Calc";#N/A,#N/A,FALSE,"Sensitivity";#N/A,#N/A,FALSE,"LT Earn.Dil.";#N/A,#N/A,FALSE,"Dil. AVP"}</definedName>
    <definedName name="WRN.2." localSheetId="35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2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3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2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3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28" hidden="1">{#N/A,#N/A,TRUE,"Assumptions";#N/A,#N/A,TRUE,"Op Projection";#N/A,#N/A,TRUE,"Capital";#N/A,#N/A,TRUE,"Income";#N/A,#N/A,TRUE,"Balance";#N/A,#N/A,TRUE,"Sources&amp;Uses"}</definedName>
    <definedName name="wrn.All._.Financials." localSheetId="35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2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3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2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localSheetId="35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28" hidden="1">{"casespecific",#N/A,FALSE,"Assumptions"}</definedName>
    <definedName name="wrn.assumptions." localSheetId="35" hidden="1">{"casespecific",#N/A,FALSE,"Assumptions"}</definedName>
    <definedName name="wrn.assumptions." hidden="1">{"casespecific",#N/A,FALSE,"Assumptions"}</definedName>
    <definedName name="wrn.away." localSheetId="28" hidden="1">{"away stand alones",#N/A,FALSE,"Target"}</definedName>
    <definedName name="wrn.away." localSheetId="35" hidden="1">{"away stand alones",#N/A,FALSE,"Target"}</definedName>
    <definedName name="wrn.away." hidden="1">{"away stand alones",#N/A,FALSE,"Target"}</definedName>
    <definedName name="wrn.baseDEV." localSheetId="28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35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25" hidden="1">{"IS",#N/A,FALSE,"IS";"RPTIS",#N/A,FALSE,"RPTIS";"STATS",#N/A,FALSE,"STATS";"CELL",#N/A,FALSE,"CELL";"BS",#N/A,FALSE,"BS"}</definedName>
    <definedName name="wrn.BEL." localSheetId="19" hidden="1">{"IS",#N/A,FALSE,"IS";"RPTIS",#N/A,FALSE,"RPTIS";"STATS",#N/A,FALSE,"STATS";"CELL",#N/A,FALSE,"CELL";"BS",#N/A,FALSE,"BS"}</definedName>
    <definedName name="wrn.BEL." localSheetId="22" hidden="1">{"IS",#N/A,FALSE,"IS";"RPTIS",#N/A,FALSE,"RPTIS";"STATS",#N/A,FALSE,"STATS";"CELL",#N/A,FALSE,"CELL";"BS",#N/A,FALSE,"BS"}</definedName>
    <definedName name="wrn.BEL." localSheetId="28" hidden="1">{"IS",#N/A,FALSE,"IS";"RPTIS",#N/A,FALSE,"RPTIS";"STATS",#N/A,FALSE,"STATS";"CELL",#N/A,FALSE,"CELL";"BS",#N/A,FALSE,"BS"}</definedName>
    <definedName name="wrn.BEL." localSheetId="35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th." localSheetId="25" hidden="1">{#N/A,#N/A,FALSE,"1998";#N/A,#N/A,FALSE,"1997"}</definedName>
    <definedName name="wrn.Both." localSheetId="19" hidden="1">{#N/A,#N/A,FALSE,"1998";#N/A,#N/A,FALSE,"1997"}</definedName>
    <definedName name="wrn.Both." localSheetId="22" hidden="1">{#N/A,#N/A,FALSE,"1998";#N/A,#N/A,FALSE,"1997"}</definedName>
    <definedName name="wrn.Both." localSheetId="28" hidden="1">{#N/A,#N/A,FALSE,"1998";#N/A,#N/A,FALSE,"1997"}</definedName>
    <definedName name="wrn.Both." localSheetId="35" hidden="1">{#N/A,#N/A,FALSE,"1998";#N/A,#N/A,FALSE,"1997"}</definedName>
    <definedName name="wrn.Both." hidden="1">{#N/A,#N/A,FALSE,"1998";#N/A,#N/A,FALSE,"1997"}</definedName>
    <definedName name="wrn.BPlan." localSheetId="25" hidden="1">{#N/A,#N/A,FALSE,"F_Plan";#N/A,#N/A,FALSE,"Parameter"}</definedName>
    <definedName name="wrn.BPlan." localSheetId="19" hidden="1">{#N/A,#N/A,FALSE,"F_Plan";#N/A,#N/A,FALSE,"Parameter"}</definedName>
    <definedName name="wrn.BPlan." localSheetId="22" hidden="1">{#N/A,#N/A,FALSE,"F_Plan";#N/A,#N/A,FALSE,"Parameter"}</definedName>
    <definedName name="wrn.BPlan." localSheetId="28" hidden="1">{#N/A,#N/A,FALSE,"F_Plan";#N/A,#N/A,FALSE,"Parameter"}</definedName>
    <definedName name="wrn.BPlan." localSheetId="35" hidden="1">{#N/A,#N/A,FALSE,"F_Plan";#N/A,#N/A,FALSE,"Parameter"}</definedName>
    <definedName name="wrn.BPlan." hidden="1">{#N/A,#N/A,FALSE,"F_Plan";#N/A,#N/A,FALSE,"Parameter"}</definedName>
    <definedName name="wrn.brian." localSheetId="28" hidden="1">{#N/A,#N/A,FALSE,"output";#N/A,#N/A,FALSE,"contrib";#N/A,#N/A,FALSE,"profile";#N/A,#N/A,FALSE,"comps"}</definedName>
    <definedName name="wrn.brian." localSheetId="35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udget." localSheetId="25" hidden="1">{#N/A,#N/A,FALSE,"détail CA";#N/A,#N/A,FALSE,"détail coût des ventes";#N/A,#N/A,FALSE,"Détail coûts de fonctionnement";#N/A,#N/A,FALSE," coûts de fonctionnement suite";#N/A,#N/A,FALSE,"Autres";#N/A,#N/A,FALSE,"simplifié";#N/A,#N/A,FALSE,"TabFi";#N/A,#N/A,FALSE,"Bilan";#N/A,#N/A,FALSE,"CAF.EBE";#N/A,#N/A,FALSE,"Endettement global";#N/A,#N/A,FALSE,"Analyse résul";#N/A,#N/A,FALSE,"Plan tréso";#N/A,#N/A,FALSE,"Effectifs";#N/A,#N/A,FALSE,"Intragroupe"}</definedName>
    <definedName name="wrn.budget." localSheetId="19" hidden="1">{#N/A,#N/A,FALSE,"détail CA";#N/A,#N/A,FALSE,"détail coût des ventes";#N/A,#N/A,FALSE,"Détail coûts de fonctionnement";#N/A,#N/A,FALSE," coûts de fonctionnement suite";#N/A,#N/A,FALSE,"Autres";#N/A,#N/A,FALSE,"simplifié";#N/A,#N/A,FALSE,"TabFi";#N/A,#N/A,FALSE,"Bilan";#N/A,#N/A,FALSE,"CAF.EBE";#N/A,#N/A,FALSE,"Endettement global";#N/A,#N/A,FALSE,"Analyse résul";#N/A,#N/A,FALSE,"Plan tréso";#N/A,#N/A,FALSE,"Effectifs";#N/A,#N/A,FALSE,"Intragroupe"}</definedName>
    <definedName name="wrn.budget." localSheetId="22" hidden="1">{#N/A,#N/A,FALSE,"détail CA";#N/A,#N/A,FALSE,"détail coût des ventes";#N/A,#N/A,FALSE,"Détail coûts de fonctionnement";#N/A,#N/A,FALSE," coûts de fonctionnement suite";#N/A,#N/A,FALSE,"Autres";#N/A,#N/A,FALSE,"simplifié";#N/A,#N/A,FALSE,"TabFi";#N/A,#N/A,FALSE,"Bilan";#N/A,#N/A,FALSE,"CAF.EBE";#N/A,#N/A,FALSE,"Endettement global";#N/A,#N/A,FALSE,"Analyse résul";#N/A,#N/A,FALSE,"Plan tréso";#N/A,#N/A,FALSE,"Effectifs";#N/A,#N/A,FALSE,"Intragroupe"}</definedName>
    <definedName name="wrn.budget." localSheetId="28" hidden="1">{#N/A,#N/A,FALSE,"détail CA";#N/A,#N/A,FALSE,"détail coût des ventes";#N/A,#N/A,FALSE,"Détail coûts de fonctionnement";#N/A,#N/A,FALSE," coûts de fonctionnement suite";#N/A,#N/A,FALSE,"Autres";#N/A,#N/A,FALSE,"simplifié";#N/A,#N/A,FALSE,"TabFi";#N/A,#N/A,FALSE,"Bilan";#N/A,#N/A,FALSE,"CAF.EBE";#N/A,#N/A,FALSE,"Endettement global";#N/A,#N/A,FALSE,"Analyse résul";#N/A,#N/A,FALSE,"Plan tréso";#N/A,#N/A,FALSE,"Effectifs";#N/A,#N/A,FALSE,"Intragroupe"}</definedName>
    <definedName name="wrn.budget." localSheetId="35" hidden="1">{#N/A,#N/A,FALSE,"détail CA";#N/A,#N/A,FALSE,"détail coût des ventes";#N/A,#N/A,FALSE,"Détail coûts de fonctionnement";#N/A,#N/A,FALSE," coûts de fonctionnement suite";#N/A,#N/A,FALSE,"Autres";#N/A,#N/A,FALSE,"simplifié";#N/A,#N/A,FALSE,"TabFi";#N/A,#N/A,FALSE,"Bilan";#N/A,#N/A,FALSE,"CAF.EBE";#N/A,#N/A,FALSE,"Endettement global";#N/A,#N/A,FALSE,"Analyse résul";#N/A,#N/A,FALSE,"Plan tréso";#N/A,#N/A,FALSE,"Effectifs";#N/A,#N/A,FALSE,"Intragroupe"}</definedName>
    <definedName name="wrn.budget." hidden="1">{#N/A,#N/A,FALSE,"détail CA";#N/A,#N/A,FALSE,"détail coût des ventes";#N/A,#N/A,FALSE,"Détail coûts de fonctionnement";#N/A,#N/A,FALSE," coûts de fonctionnement suite";#N/A,#N/A,FALSE,"Autres";#N/A,#N/A,FALSE,"simplifié";#N/A,#N/A,FALSE,"TabFi";#N/A,#N/A,FALSE,"Bilan";#N/A,#N/A,FALSE,"CAF.EBE";#N/A,#N/A,FALSE,"Endettement global";#N/A,#N/A,FALSE,"Analyse résul";#N/A,#N/A,FALSE,"Plan tréso";#N/A,#N/A,FALSE,"Effectifs";#N/A,#N/A,FALSE,"Intragroupe"}</definedName>
    <definedName name="wrn.cash." localSheetId="28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35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28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35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localSheetId="28" hidden="1">{"comps",#N/A,FALSE,"comps";"notes",#N/A,FALSE,"comps"}</definedName>
    <definedName name="wrn.comps." localSheetId="35" hidden="1">{"comps",#N/A,FALSE,"comps";"notes",#N/A,FALSE,"comps"}</definedName>
    <definedName name="wrn.comps." hidden="1">{"comps",#N/A,FALSE,"comps";"notes",#N/A,FALSE,"comps"}</definedName>
    <definedName name="wrn.contribution." localSheetId="25" hidden="1">{#N/A,#N/A,FALSE,"Contribution Analysis"}</definedName>
    <definedName name="wrn.contribution." localSheetId="19" hidden="1">{#N/A,#N/A,FALSE,"Contribution Analysis"}</definedName>
    <definedName name="wrn.contribution." localSheetId="22" hidden="1">{#N/A,#N/A,FALSE,"Contribution Analysis"}</definedName>
    <definedName name="wrn.contribution." localSheetId="28" hidden="1">{#N/A,#N/A,FALSE,"Contribution Analysis"}</definedName>
    <definedName name="wrn.contribution." localSheetId="35" hidden="1">{#N/A,#N/A,FALSE,"Contribution Analysis"}</definedName>
    <definedName name="wrn.contribution." hidden="1">{#N/A,#N/A,FALSE,"Contribution Analysis"}</definedName>
    <definedName name="wrn.cooper." localSheetId="28" hidden="1">{#N/A,#N/A,TRUE,"Pro Forma";#N/A,#N/A,TRUE,"PF_Bal";#N/A,#N/A,TRUE,"PF_INC";#N/A,#N/A,TRUE,"CBE";#N/A,#N/A,TRUE,"SWK"}</definedName>
    <definedName name="wrn.cooper." localSheetId="35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ver.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25" hidden="1">{"orixcsc",#N/A,FALSE,"ORIX CSC";"orixcsc2",#N/A,FALSE,"ORIX CSC"}</definedName>
    <definedName name="wrn.csc." localSheetId="19" hidden="1">{"orixcsc",#N/A,FALSE,"ORIX CSC";"orixcsc2",#N/A,FALSE,"ORIX CSC"}</definedName>
    <definedName name="wrn.csc." localSheetId="22" hidden="1">{"orixcsc",#N/A,FALSE,"ORIX CSC";"orixcsc2",#N/A,FALSE,"ORIX CSC"}</definedName>
    <definedName name="wrn.csc." localSheetId="28" hidden="1">{"orixcsc",#N/A,FALSE,"ORIX CSC";"orixcsc2",#N/A,FALSE,"ORIX CSC"}</definedName>
    <definedName name="wrn.csc." localSheetId="35" hidden="1">{"orixcsc",#N/A,FALSE,"ORIX CSC";"orixcsc2",#N/A,FALSE,"ORIX CSC"}</definedName>
    <definedName name="wrn.csc." hidden="1">{"orixcsc",#N/A,FALSE,"ORIX CSC";"orixcsc2",#N/A,FALSE,"ORIX CSC"}</definedName>
    <definedName name="wrn.csc2." localSheetId="25" hidden="1">{#N/A,#N/A,FALSE,"ORIX CSC"}</definedName>
    <definedName name="wrn.csc2." localSheetId="19" hidden="1">{#N/A,#N/A,FALSE,"ORIX CSC"}</definedName>
    <definedName name="wrn.csc2." localSheetId="22" hidden="1">{#N/A,#N/A,FALSE,"ORIX CSC"}</definedName>
    <definedName name="wrn.csc2." localSheetId="28" hidden="1">{#N/A,#N/A,FALSE,"ORIX CSC"}</definedName>
    <definedName name="wrn.csc2." localSheetId="35" hidden="1">{#N/A,#N/A,FALSE,"ORIX CSC"}</definedName>
    <definedName name="wrn.csc2." hidden="1">{#N/A,#N/A,FALSE,"ORIX CSC"}</definedName>
    <definedName name="wrn.database." localSheetId="25" hidden="1">{"subs",#N/A,FALSE,"database ";"proportional",#N/A,FALSE,"database "}</definedName>
    <definedName name="wrn.database." localSheetId="19" hidden="1">{"subs",#N/A,FALSE,"database ";"proportional",#N/A,FALSE,"database "}</definedName>
    <definedName name="wrn.database." localSheetId="22" hidden="1">{"subs",#N/A,FALSE,"database ";"proportional",#N/A,FALSE,"database "}</definedName>
    <definedName name="wrn.database." localSheetId="28" hidden="1">{"subs",#N/A,FALSE,"database ";"proportional",#N/A,FALSE,"database "}</definedName>
    <definedName name="wrn.database." localSheetId="35" hidden="1">{"subs",#N/A,FALSE,"database ";"proportional",#N/A,FALSE,"database "}</definedName>
    <definedName name="wrn.database." hidden="1">{"subs",#N/A,FALSE,"database ";"proportional",#N/A,FALSE,"database "}</definedName>
    <definedName name="wrn.DCF._.Only." localSheetId="28" hidden="1">{#N/A,#N/A,FALSE,"DCF Summary";#N/A,#N/A,FALSE,"Casema";#N/A,#N/A,FALSE,"Casema NoTel";#N/A,#N/A,FALSE,"UK";#N/A,#N/A,FALSE,"RCF";#N/A,#N/A,FALSE,"Intercable CZ";#N/A,#N/A,FALSE,"Interkabel P"}</definedName>
    <definedName name="wrn.DCF._.Only." localSheetId="35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localSheetId="28" hidden="1">{"hiden",#N/A,FALSE,"14";"hidden",#N/A,FALSE,"16";"hidden",#N/A,FALSE,"18";"hidden",#N/A,FALSE,"20"}</definedName>
    <definedName name="wrn.dil_anal." localSheetId="35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28" hidden="1">{"consolidated",#N/A,FALSE,"Sheet1";"cms",#N/A,FALSE,"Sheet1";"fse",#N/A,FALSE,"Sheet1"}</definedName>
    <definedName name="wrn.document." localSheetId="35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28" hidden="1">{"comps2",#N/A,FALSE,"AERO";"footnotes",#N/A,FALSE,"AERO"}</definedName>
    <definedName name="wrn.documentaero." localSheetId="35" hidden="1">{"comps2",#N/A,FALSE,"AERO";"footnotes",#N/A,FALSE,"AERO"}</definedName>
    <definedName name="wrn.documentaero." hidden="1">{"comps2",#N/A,FALSE,"AERO";"footnotes",#N/A,FALSE,"AERO"}</definedName>
    <definedName name="wrn.documenthand." localSheetId="28" hidden="1">{"comps",#N/A,FALSE,"HANDPACK";"footnotes",#N/A,FALSE,"HANDPACK"}</definedName>
    <definedName name="wrn.documenthand." localSheetId="35" hidden="1">{"comps",#N/A,FALSE,"HANDPACK";"footnotes",#N/A,FALSE,"HANDPACK"}</definedName>
    <definedName name="wrn.documenthand." hidden="1">{"comps",#N/A,FALSE,"HANDPACK";"footnotes",#N/A,FALSE,"HANDPACK"}</definedName>
    <definedName name="wrn.édition." localSheetId="28" hidden="1">{"résultats",#N/A,FALSE,"résultats SFS";"indicateurs",#N/A,FALSE,"résultats SFS";"commentaires",#N/A,FALSE,"commentaires SFS";"graphiques",#N/A,FALSE,"graphiques SFS"}</definedName>
    <definedName name="wrn.édition." localSheetId="35" hidden="1">{"résultats",#N/A,FALSE,"résultats SFS";"indicateurs",#N/A,FALSE,"résultats SFS";"commentaires",#N/A,FALSE,"commentaires SFS";"graphiques",#N/A,FALSE,"graphiques SFS"}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localSheetId="28" hidden="1">{"equity comps",#N/A,FALSE,"CS Comps";"equity comps",#N/A,FALSE,"PS Comps";"equity comps",#N/A,FALSE,"GIC_Comps";"equity comps",#N/A,FALSE,"GIC2_Comps"}</definedName>
    <definedName name="wrn.equity._.comps." localSheetId="35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urope.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25" hidden="1">{#N/A,#N/A,FALSE,"1999 Fiscal Current Week";#N/A,#N/A,FALSE,"1999 Flash Report Variance "}</definedName>
    <definedName name="wrn.Flash._.Report." localSheetId="19" hidden="1">{#N/A,#N/A,FALSE,"1999 Fiscal Current Week";#N/A,#N/A,FALSE,"1999 Flash Report Variance "}</definedName>
    <definedName name="wrn.Flash._.Report." localSheetId="22" hidden="1">{#N/A,#N/A,FALSE,"1999 Fiscal Current Week";#N/A,#N/A,FALSE,"1999 Flash Report Variance "}</definedName>
    <definedName name="wrn.Flash._.Report." localSheetId="28" hidden="1">{#N/A,#N/A,FALSE,"1999 Fiscal Current Week";#N/A,#N/A,FALSE,"1999 Flash Report Variance "}</definedName>
    <definedName name="wrn.Flash._.Report." localSheetId="35" hidden="1">{#N/A,#N/A,FALSE,"1999 Fiscal Current Week";#N/A,#N/A,FALSE,"1999 Flash Report Variance "}</definedName>
    <definedName name="wrn.Flash._.Report." hidden="1">{#N/A,#N/A,FALSE,"1999 Fiscal Current Week";#N/A,#N/A,FALSE,"1999 Flash Report Variance "}</definedName>
    <definedName name="wrn.fleck." localSheetId="28" hidden="1">{"first",#N/A,FALSE,"FLEXPAC2";"second",#N/A,FALSE,"FLEXPAC2"}</definedName>
    <definedName name="wrn.fleck." localSheetId="35" hidden="1">{"first",#N/A,FALSE,"FLEXPAC2";"second",#N/A,FALSE,"FLEXPAC2"}</definedName>
    <definedName name="wrn.fleck." hidden="1">{"first",#N/A,FALSE,"FLEXPAC2";"second",#N/A,FALSE,"FLEXPAC2"}</definedName>
    <definedName name="wrn.fleckcompac." localSheetId="28" hidden="1">{"one",#N/A,FALSE,"FLEXPAC2";"two",#N/A,FALSE,"FLEXPAC2";"three",#N/A,FALSE,"FLEXPAC2"}</definedName>
    <definedName name="wrn.fleckcompac." localSheetId="35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red." localSheetId="28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35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28" hidden="1">{#N/A,#N/A,FALSE,"Cover";"outputs total",#N/A,FALSE,"Outputs"}</definedName>
    <definedName name="wrn.Full." localSheetId="35" hidden="1">{#N/A,#N/A,FALSE,"Cover";"outputs total",#N/A,FALSE,"Outputs"}</definedName>
    <definedName name="wrn.Full." hidden="1">{#N/A,#N/A,FALSE,"Cover";"outputs total",#N/A,FALSE,"Outputs"}</definedName>
    <definedName name="wrn.Full._.model." localSheetId="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28" hidden="1">{"vue1",#N/A,FALSE,"synthese";"vue2",#N/A,FALSE,"synthese"}</definedName>
    <definedName name="wrn.imp." localSheetId="35" hidden="1">{"vue1",#N/A,FALSE,"synthese";"vue2",#N/A,FALSE,"synthese"}</definedName>
    <definedName name="wrn.imp." hidden="1">{"vue1",#N/A,FALSE,"synthese";"vue2",#N/A,FALSE,"synthese"}</definedName>
    <definedName name="wrn.Inputsheet_ProjectInput." localSheetId="28" hidden="1">{"ProjectInput",#N/A,FALSE,"INPUT-AREA"}</definedName>
    <definedName name="wrn.Inputsheet_ProjectInput." localSheetId="35" hidden="1">{"ProjectInput",#N/A,FALSE,"INPUT-AREA"}</definedName>
    <definedName name="wrn.Inputsheet_ProjectInput." hidden="1">{"ProjectInput",#N/A,FALSE,"INPUT-AREA"}</definedName>
    <definedName name="wrn.international.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28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35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25" hidden="1">{#N/A,#N/A,FALSE,"1999 Fiscal Current Week";#N/A,#N/A,FALSE,"1999 Fiscal Variance"}</definedName>
    <definedName name="wrn.Mark._.P.._.Report." localSheetId="19" hidden="1">{#N/A,#N/A,FALSE,"1999 Fiscal Current Week";#N/A,#N/A,FALSE,"1999 Fiscal Variance"}</definedName>
    <definedName name="wrn.Mark._.P.._.Report." localSheetId="22" hidden="1">{#N/A,#N/A,FALSE,"1999 Fiscal Current Week";#N/A,#N/A,FALSE,"1999 Fiscal Variance"}</definedName>
    <definedName name="wrn.Mark._.P.._.Report." localSheetId="28" hidden="1">{#N/A,#N/A,FALSE,"1999 Fiscal Current Week";#N/A,#N/A,FALSE,"1999 Fiscal Variance"}</definedName>
    <definedName name="wrn.Mark._.P.._.Report." localSheetId="35" hidden="1">{#N/A,#N/A,FALSE,"1999 Fiscal Current Week";#N/A,#N/A,FALSE,"1999 Fiscal Variance"}</definedName>
    <definedName name="wrn.Mark._.P.._.Report." hidden="1">{#N/A,#N/A,FALSE,"1999 Fiscal Current Week";#N/A,#N/A,FALSE,"1999 Fiscal Variance"}</definedName>
    <definedName name="wrn.memo." localSheetId="28" hidden="1">{#N/A,#N/A,TRUE,"financial";#N/A,#N/A,TRUE,"plants"}</definedName>
    <definedName name="wrn.memo." localSheetId="35" hidden="1">{#N/A,#N/A,TRUE,"financial";#N/A,#N/A,TRUE,"plants"}</definedName>
    <definedName name="wrn.memo." hidden="1">{#N/A,#N/A,TRUE,"financial";#N/A,#N/A,TRUE,"plants"}</definedName>
    <definedName name="wrn.merger." localSheetId="2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3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28" hidden="1">{#N/A,#N/A,FALSE,"EL-M-01";#N/A,#N/A,FALSE,"EL-M-02";#N/A,#N/A,FALSE,"EL-M-03";#N/A,#N/A,FALSE,"EL-S-01";#N/A,#N/A,FALSE,"EL-S-02";#N/A,#N/A,FALSE,"EL-A-01";#N/A,#N/A,FALSE,"EL-A-02"}</definedName>
    <definedName name="wrn.Monthly." localSheetId="35" hidden="1">{#N/A,#N/A,FALSE,"EL-M-01";#N/A,#N/A,FALSE,"EL-M-02";#N/A,#N/A,FALSE,"EL-M-03";#N/A,#N/A,FALSE,"EL-S-01";#N/A,#N/A,FALSE,"EL-S-02";#N/A,#N/A,FALSE,"EL-A-01";#N/A,#N/A,FALSE,"EL-A-02"}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localSheetId="28" hidden="1">{"new1",#N/A,FALSE,"FLEXPAC2";"new2",#N/A,FALSE,"FLEXPAC2"}</definedName>
    <definedName name="wrn.new." localSheetId="35" hidden="1">{"new1",#N/A,FALSE,"FLEXPAC2";"new2",#N/A,FALSE,"FLEXPAC2"}</definedName>
    <definedName name="wrn.new." hidden="1">{"new1",#N/A,FALSE,"FLEXPAC2";"new2",#N/A,FALSE,"FLEXPAC2"}</definedName>
    <definedName name="wrn.newDEV." localSheetId="28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35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28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35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28" hidden="1">{#N/A,#N/A,FALSE,"Outlook for Month ";#N/A,#N/A,FALSE,"Risk for Month ";#N/A,#N/A,FALSE,"Upside for Month"}</definedName>
    <definedName name="wrn.Outlook._.Report." localSheetId="35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Output.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25" hidden="1">{"print 1",#N/A,FALSE,"PrimeCo PCS";"print 2",#N/A,FALSE,"PrimeCo PCS";"valuation",#N/A,FALSE,"PrimeCo PCS"}</definedName>
    <definedName name="wrn.PrimeCo." localSheetId="19" hidden="1">{"print 1",#N/A,FALSE,"PrimeCo PCS";"print 2",#N/A,FALSE,"PrimeCo PCS";"valuation",#N/A,FALSE,"PrimeCo PCS"}</definedName>
    <definedName name="wrn.PrimeCo." localSheetId="22" hidden="1">{"print 1",#N/A,FALSE,"PrimeCo PCS";"print 2",#N/A,FALSE,"PrimeCo PCS";"valuation",#N/A,FALSE,"PrimeCo PCS"}</definedName>
    <definedName name="wrn.PrimeCo." localSheetId="28" hidden="1">{"print 1",#N/A,FALSE,"PrimeCo PCS";"print 2",#N/A,FALSE,"PrimeCo PCS";"valuation",#N/A,FALSE,"PrimeCo PCS"}</definedName>
    <definedName name="wrn.PrimeCo." localSheetId="35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28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35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2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2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28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35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28" hidden="1">{"Valuation",#N/A,TRUE,"Valuation Summary";"Financial Statements",#N/A,TRUE,"Results";"Results",#N/A,TRUE,"Results";"Ratios",#N/A,TRUE,"Results";"P2 Summary",#N/A,TRUE,"Results"}</definedName>
    <definedName name="wrn.Print._.Results._.A4." localSheetId="35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2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28" hidden="1">{"First Page",#N/A,FALSE,"Surfactants LBO";"Second Page",#N/A,FALSE,"Surfactants LBO"}</definedName>
    <definedName name="wrn.Print._.the._.lot." localSheetId="35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.whole._.Report." localSheetId="28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35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8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35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28" hidden="1">{#N/A,"DR",FALSE,"increm pf";#N/A,"MAMSI",FALSE,"increm pf";#N/A,"MAXI",FALSE,"increm pf";#N/A,"PCAM",FALSE,"increm pf";#N/A,"PHSV",FALSE,"increm pf";#N/A,"SIE",FALSE,"increm pf"}</definedName>
    <definedName name="wrn.Print_Buyer." localSheetId="35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28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3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28" hidden="1">{#N/A,#N/A,FALSE,"Eastern";#N/A,#N/A,FALSE,"Western"}</definedName>
    <definedName name="wrn.Printing._.the._.transactions._.sheets." localSheetId="35" hidden="1">{#N/A,#N/A,FALSE,"Eastern";#N/A,#N/A,FALSE,"Western"}</definedName>
    <definedName name="wrn.Printing._.the._.transactions._.sheets." hidden="1">{#N/A,#N/A,FALSE,"Eastern";#N/A,#N/A,FALSE,"Western"}</definedName>
    <definedName name="wrn.ProMonte." localSheetId="25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9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8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35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28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35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28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35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localSheetId="28" hidden="1">{#N/A,#N/A,FALSE,"Operations";#N/A,#N/A,FALSE,"Financials"}</definedName>
    <definedName name="wrn.Report1." localSheetId="35" hidden="1">{#N/A,#N/A,FALSE,"Operations";#N/A,#N/A,FALSE,"Financials"}</definedName>
    <definedName name="wrn.Report1." hidden="1">{#N/A,#N/A,FALSE,"Operations";#N/A,#N/A,FALSE,"Financials"}</definedName>
    <definedName name="wrn.RPT." localSheetId="2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35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28" hidden="1">{#N/A,#N/A,FALSE,"Sensitivities";#N/A,#N/A,FALSE,"Sensitivities2"}</definedName>
    <definedName name="wrn.sens." localSheetId="35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28" hidden="1">{"general",#N/A,FALSE,"Assumptions"}</definedName>
    <definedName name="wrn.sensitivity._.analyses." localSheetId="35" hidden="1">{"general",#N/A,FALSE,"Assumptions"}</definedName>
    <definedName name="wrn.sensitivity._.analyses." hidden="1">{"general",#N/A,FALSE,"Assumptions"}</definedName>
    <definedName name="wrn.Søren." localSheetId="28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localSheetId="35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28" hidden="1">{#N/A,#N/A,FALSE,"CBE";#N/A,#N/A,FALSE,"SWK"}</definedName>
    <definedName name="wrn.stand_alone." localSheetId="35" hidden="1">{#N/A,#N/A,FALSE,"CBE";#N/A,#N/A,FALSE,"SWK"}</definedName>
    <definedName name="wrn.stand_alone." hidden="1">{#N/A,#N/A,FALSE,"CBE";#N/A,#N/A,FALSE,"SWK"}</definedName>
    <definedName name="wrn.Summary." localSheetId="28" hidden="1">{#N/A,#N/A,FALSE,"Summary3";#N/A,#N/A,FALSE,"Summary1";#N/A,#N/A,FALSE,"Summary2";#N/A,#N/A,FALSE,"Sensitivities1";#N/A,#N/A,FALSE,"Sensitivities2"}</definedName>
    <definedName name="wrn.Summary." localSheetId="35" hidden="1">{#N/A,#N/A,FALSE,"Summary3";#N/A,#N/A,FALSE,"Summary1";#N/A,#N/A,FALSE,"Summary2";#N/A,#N/A,FALSE,"Sensitivities1";#N/A,#N/A,FALSE,"Sensitivities2"}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localSheetId="2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3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25" hidden="1">{"test2",#N/A,TRUE,"Prices"}</definedName>
    <definedName name="wrn.test." localSheetId="19" hidden="1">{"test2",#N/A,TRUE,"Prices"}</definedName>
    <definedName name="wrn.test." localSheetId="22" hidden="1">{"test2",#N/A,TRUE,"Prices"}</definedName>
    <definedName name="wrn.test." localSheetId="28" hidden="1">{"test2",#N/A,TRUE,"Prices"}</definedName>
    <definedName name="wrn.test." localSheetId="35" hidden="1">{"test2",#N/A,TRUE,"Prices"}</definedName>
    <definedName name="wrn.test." hidden="1">{"test2",#N/A,TRUE,"Prices"}</definedName>
    <definedName name="wrn.Thomas_Case." localSheetId="28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35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28" hidden="1">{"comp1",#N/A,FALSE,"COMPS";"footnotes",#N/A,FALSE,"COMPS"}</definedName>
    <definedName name="wrn.totalcomp." localSheetId="35" hidden="1">{"comp1",#N/A,FALSE,"COMPS";"footnotes",#N/A,FALSE,"COMPS"}</definedName>
    <definedName name="wrn.totalcomp." hidden="1">{"comp1",#N/A,FALSE,"COMPS";"footnotes",#N/A,FALSE,"COMPS"}</definedName>
    <definedName name="wrn.trans._.sum." localSheetId="28" hidden="1">{"trans assumptions",#N/A,FALSE,"Merger";"trans accretion",#N/A,FALSE,"Merger"}</definedName>
    <definedName name="wrn.trans._.sum." localSheetId="35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dskriv._.alt." localSheetId="28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localSheetId="35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25" hidden="1">{#N/A,#N/A,FALSE,"Umsatz";#N/A,#N/A,FALSE,"Base V.02";#N/A,#N/A,FALSE,"Charts"}</definedName>
    <definedName name="wrn.Umsatz." localSheetId="19" hidden="1">{#N/A,#N/A,FALSE,"Umsatz";#N/A,#N/A,FALSE,"Base V.02";#N/A,#N/A,FALSE,"Charts"}</definedName>
    <definedName name="wrn.Umsatz." localSheetId="22" hidden="1">{#N/A,#N/A,FALSE,"Umsatz";#N/A,#N/A,FALSE,"Base V.02";#N/A,#N/A,FALSE,"Charts"}</definedName>
    <definedName name="wrn.Umsatz." localSheetId="28" hidden="1">{#N/A,#N/A,FALSE,"Umsatz";#N/A,#N/A,FALSE,"Base V.02";#N/A,#N/A,FALSE,"Charts"}</definedName>
    <definedName name="wrn.Umsatz." localSheetId="35" hidden="1">{#N/A,#N/A,FALSE,"Umsatz";#N/A,#N/A,FALSE,"Base V.02";#N/A,#N/A,FALSE,"Charts"}</definedName>
    <definedName name="wrn.Umsatz." hidden="1">{#N/A,#N/A,FALSE,"Umsatz";#N/A,#N/A,FALSE,"Base V.02";#N/A,#N/A,FALSE,"Charts"}</definedName>
    <definedName name="wrn.up." localSheetId="28" hidden="1">{"up stand alones",#N/A,FALSE,"Acquiror"}</definedName>
    <definedName name="wrn.up." localSheetId="35" hidden="1">{"up stand alones",#N/A,FALSE,"Acquiror"}</definedName>
    <definedName name="wrn.up." hidden="1">{"up stand alones",#N/A,FALSE,"Acquiror"}</definedName>
    <definedName name="wrn.upfront." localSheetId="25" hidden="1">{#N/A,#N/A,FALSE,"SUMMARY";#N/A,#N/A,FALSE,"COACH";#N/A,#N/A,FALSE,"ACTIONPK";#N/A,#N/A,FALSE,"LASTCALL";#N/A,#N/A,FALSE,"SUZANNE";#N/A,#N/A,FALSE,"NEXPO"}</definedName>
    <definedName name="wrn.upfront." localSheetId="19" hidden="1">{#N/A,#N/A,FALSE,"SUMMARY";#N/A,#N/A,FALSE,"COACH";#N/A,#N/A,FALSE,"ACTIONPK";#N/A,#N/A,FALSE,"LASTCALL";#N/A,#N/A,FALSE,"SUZANNE";#N/A,#N/A,FALSE,"NEXPO"}</definedName>
    <definedName name="wrn.upfront." localSheetId="22" hidden="1">{#N/A,#N/A,FALSE,"SUMMARY";#N/A,#N/A,FALSE,"COACH";#N/A,#N/A,FALSE,"ACTIONPK";#N/A,#N/A,FALSE,"LASTCALL";#N/A,#N/A,FALSE,"SUZANNE";#N/A,#N/A,FALSE,"NEXPO"}</definedName>
    <definedName name="wrn.upfront." localSheetId="28" hidden="1">{#N/A,#N/A,FALSE,"SUMMARY";#N/A,#N/A,FALSE,"COACH";#N/A,#N/A,FALSE,"ACTIONPK";#N/A,#N/A,FALSE,"LASTCALL";#N/A,#N/A,FALSE,"SUZANNE";#N/A,#N/A,FALSE,"NEXPO"}</definedName>
    <definedName name="wrn.upfront." localSheetId="35" hidden="1">{#N/A,#N/A,FALSE,"SUMMARY";#N/A,#N/A,FALSE,"COACH";#N/A,#N/A,FALSE,"ACTIONPK";#N/A,#N/A,FALSE,"LASTCALL";#N/A,#N/A,FALSE,"SUZANNE";#N/A,#N/A,FALSE,"NEXPO"}</definedName>
    <definedName name="wrn.upfront." hidden="1">{#N/A,#N/A,FALSE,"SUMMARY";#N/A,#N/A,FALSE,"COACH";#N/A,#N/A,FALSE,"ACTIONPK";#N/A,#N/A,FALSE,"LASTCALL";#N/A,#N/A,FALSE,"SUZANNE";#N/A,#N/A,FALSE,"NEXPO"}</definedName>
    <definedName name="wrn.USW." localSheetId="25" hidden="1">{"IS",#N/A,FALSE,"IS";"RPTIS",#N/A,FALSE,"RPTIS";"STATS",#N/A,FALSE,"STATS";"BS",#N/A,FALSE,"BS"}</definedName>
    <definedName name="wrn.USW." localSheetId="19" hidden="1">{"IS",#N/A,FALSE,"IS";"RPTIS",#N/A,FALSE,"RPTIS";"STATS",#N/A,FALSE,"STATS";"BS",#N/A,FALSE,"BS"}</definedName>
    <definedName name="wrn.USW." localSheetId="22" hidden="1">{"IS",#N/A,FALSE,"IS";"RPTIS",#N/A,FALSE,"RPTIS";"STATS",#N/A,FALSE,"STATS";"BS",#N/A,FALSE,"BS"}</definedName>
    <definedName name="wrn.USW." localSheetId="28" hidden="1">{"IS",#N/A,FALSE,"IS";"RPTIS",#N/A,FALSE,"RPTIS";"STATS",#N/A,FALSE,"STATS";"BS",#N/A,FALSE,"BS"}</definedName>
    <definedName name="wrn.USW." localSheetId="35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1.flash._.Report." localSheetId="25" hidden="1">{#N/A,#N/A,FALSE,"1999 Fiscal Current Week";#N/A,#N/A,FALSE,"1999 Flash Report Variance "}</definedName>
    <definedName name="wrn1.flash._.Report." localSheetId="19" hidden="1">{#N/A,#N/A,FALSE,"1999 Fiscal Current Week";#N/A,#N/A,FALSE,"1999 Flash Report Variance "}</definedName>
    <definedName name="wrn1.flash._.Report." localSheetId="22" hidden="1">{#N/A,#N/A,FALSE,"1999 Fiscal Current Week";#N/A,#N/A,FALSE,"1999 Flash Report Variance "}</definedName>
    <definedName name="wrn1.flash._.Report." localSheetId="28" hidden="1">{#N/A,#N/A,FALSE,"1999 Fiscal Current Week";#N/A,#N/A,FALSE,"1999 Flash Report Variance "}</definedName>
    <definedName name="wrn1.flash._.Report." localSheetId="35" hidden="1">{#N/A,#N/A,FALSE,"1999 Fiscal Current Week";#N/A,#N/A,FALSE,"1999 Flash Report Variance "}</definedName>
    <definedName name="wrn1.flash._.Report." hidden="1">{#N/A,#N/A,FALSE,"1999 Fiscal Current Week";#N/A,#N/A,FALSE,"1999 Flash Report Variance "}</definedName>
    <definedName name="wrn2.Bplan." localSheetId="25" hidden="1">{#N/A,#N/A,FALSE,"F_Plan";#N/A,#N/A,FALSE,"Parameter"}</definedName>
    <definedName name="wrn2.Bplan." localSheetId="19" hidden="1">{#N/A,#N/A,FALSE,"F_Plan";#N/A,#N/A,FALSE,"Parameter"}</definedName>
    <definedName name="wrn2.Bplan." localSheetId="22" hidden="1">{#N/A,#N/A,FALSE,"F_Plan";#N/A,#N/A,FALSE,"Parameter"}</definedName>
    <definedName name="wrn2.Bplan." localSheetId="28" hidden="1">{#N/A,#N/A,FALSE,"F_Plan";#N/A,#N/A,FALSE,"Parameter"}</definedName>
    <definedName name="wrn2.Bplan." localSheetId="35" hidden="1">{#N/A,#N/A,FALSE,"F_Plan";#N/A,#N/A,FALSE,"Parameter"}</definedName>
    <definedName name="wrn2.Bplan." hidden="1">{#N/A,#N/A,FALSE,"F_Plan";#N/A,#N/A,FALSE,"Parameter"}</definedName>
    <definedName name="WRN2.Document" localSheetId="28" hidden="1">{"consolidated",#N/A,FALSE,"Sheet1";"cms",#N/A,FALSE,"Sheet1";"fse",#N/A,FALSE,"Sheet1"}</definedName>
    <definedName name="WRN2.Document" localSheetId="35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x" localSheetId="29">[89]loc!#REF!</definedName>
    <definedName name="wx" localSheetId="31">[89]loc!#REF!</definedName>
    <definedName name="wx" localSheetId="28">[89]loc!#REF!</definedName>
    <definedName name="wx" localSheetId="35">[89]loc!#REF!</definedName>
    <definedName name="wx">[89]loc!#REF!</definedName>
    <definedName name="X" localSheetId="18">#REF!</definedName>
    <definedName name="X" localSheetId="25">#REF!</definedName>
    <definedName name="X" localSheetId="29">#REF!</definedName>
    <definedName name="X" localSheetId="31">#REF!</definedName>
    <definedName name="X" localSheetId="15">#REF!</definedName>
    <definedName name="X" localSheetId="13">#REF!</definedName>
    <definedName name="X" localSheetId="17">#REF!</definedName>
    <definedName name="X" localSheetId="12">#REF!</definedName>
    <definedName name="X" localSheetId="22">#REF!</definedName>
    <definedName name="X" localSheetId="28">#REF!</definedName>
    <definedName name="X" localSheetId="35">#REF!</definedName>
    <definedName name="X">#REF!</definedName>
    <definedName name="x___0">#N/A</definedName>
    <definedName name="X___12">#N/A</definedName>
    <definedName name="x___14">#N/A</definedName>
    <definedName name="x___16">#N/A</definedName>
    <definedName name="X___2">#N/A</definedName>
    <definedName name="X___25">#N/A</definedName>
    <definedName name="X___26">#N/A</definedName>
    <definedName name="x___27">#N/A</definedName>
    <definedName name="X___4">#N/A</definedName>
    <definedName name="x___5">#N/A</definedName>
    <definedName name="X___6">#N/A</definedName>
    <definedName name="X___7">#N/A</definedName>
    <definedName name="xcdq" localSheetId="28" hidden="1">{#N/A,#N/A,FALSE,"Outlook for Month ";#N/A,#N/A,FALSE,"Risk for Month ";#N/A,#N/A,FALSE,"Upside for Month"}</definedName>
    <definedName name="xcdq" localSheetId="35" hidden="1">{#N/A,#N/A,FALSE,"Outlook for Month ";#N/A,#N/A,FALSE,"Risk for Month ";#N/A,#N/A,FALSE,"Upside for Month"}</definedName>
    <definedName name="xcdq" hidden="1">{#N/A,#N/A,FALSE,"Outlook for Month ";#N/A,#N/A,FALSE,"Risk for Month ";#N/A,#N/A,FALSE,"Upside for Month"}</definedName>
    <definedName name="xcvxcvx" localSheetId="18" hidden="1">#REF!</definedName>
    <definedName name="xcvxcvx" localSheetId="25" hidden="1">#REF!</definedName>
    <definedName name="xcvxcvx" localSheetId="29" hidden="1">#REF!</definedName>
    <definedName name="xcvxcvx" localSheetId="31" hidden="1">#REF!</definedName>
    <definedName name="xcvxcvx" localSheetId="15" hidden="1">#REF!</definedName>
    <definedName name="xcvxcvx" localSheetId="13" hidden="1">#REF!</definedName>
    <definedName name="xcvxcvx" localSheetId="17" hidden="1">#REF!</definedName>
    <definedName name="xcvxcvx" localSheetId="12" hidden="1">#REF!</definedName>
    <definedName name="xcvxcvx" localSheetId="22" hidden="1">#REF!</definedName>
    <definedName name="xcvxcvx" localSheetId="28" hidden="1">#REF!</definedName>
    <definedName name="xcvxcvx" localSheetId="35" hidden="1">#REF!</definedName>
    <definedName name="xcvxcvx" hidden="1">#REF!</definedName>
    <definedName name="xf" localSheetId="18" hidden="1">#REF!</definedName>
    <definedName name="xf" localSheetId="25" hidden="1">#REF!</definedName>
    <definedName name="xf" localSheetId="29" hidden="1">#REF!</definedName>
    <definedName name="xf" localSheetId="31" hidden="1">#REF!</definedName>
    <definedName name="xf" localSheetId="15" hidden="1">#REF!</definedName>
    <definedName name="xf" localSheetId="13" hidden="1">#REF!</definedName>
    <definedName name="xf" localSheetId="17" hidden="1">#REF!</definedName>
    <definedName name="xf" localSheetId="12" hidden="1">#REF!</definedName>
    <definedName name="xf" localSheetId="22" hidden="1">#REF!</definedName>
    <definedName name="xf" localSheetId="28" hidden="1">#REF!</definedName>
    <definedName name="xf" localSheetId="35" hidden="1">#REF!</definedName>
    <definedName name="xf" hidden="1">#REF!</definedName>
    <definedName name="xfhs" localSheetId="28">#N/A</definedName>
    <definedName name="xfhs" localSheetId="35">'Taxe 5%'!xfhs</definedName>
    <definedName name="xfhs">'Taxe 5%'!xfhs</definedName>
    <definedName name="XREF_COLUMN_1" localSheetId="18" hidden="1">'[147]Movimento provisões'!#REF!</definedName>
    <definedName name="XREF_COLUMN_1" localSheetId="29" hidden="1">'[147]Movimento provisões'!#REF!</definedName>
    <definedName name="XREF_COLUMN_1" localSheetId="31" hidden="1">'[147]Movimento provisões'!#REF!</definedName>
    <definedName name="XREF_COLUMN_1" localSheetId="15" hidden="1">'[147]Movimento provisões'!#REF!</definedName>
    <definedName name="XREF_COLUMN_1" localSheetId="13" hidden="1">'[147]Movimento provisões'!#REF!</definedName>
    <definedName name="XREF_COLUMN_1" localSheetId="17" hidden="1">'[147]Movimento provisões'!#REF!</definedName>
    <definedName name="XREF_COLUMN_1" localSheetId="12" hidden="1">'[147]Movimento provisões'!#REF!</definedName>
    <definedName name="XREF_COLUMN_1" localSheetId="22" hidden="1">'[147]Movimento provisões'!#REF!</definedName>
    <definedName name="XREF_COLUMN_1" localSheetId="28" hidden="1">'[147]Movimento provisões'!#REF!</definedName>
    <definedName name="XREF_COLUMN_1" localSheetId="35" hidden="1">'[147]Movimento provisões'!#REF!</definedName>
    <definedName name="XREF_COLUMN_1" hidden="1">'[147]Movimento provisões'!#REF!</definedName>
    <definedName name="XREF_COLUMN_2" localSheetId="18" hidden="1">'[147]Movimento provisões'!#REF!</definedName>
    <definedName name="XREF_COLUMN_2" localSheetId="29" hidden="1">'[147]Movimento provisões'!#REF!</definedName>
    <definedName name="XREF_COLUMN_2" localSheetId="31" hidden="1">'[147]Movimento provisões'!#REF!</definedName>
    <definedName name="XREF_COLUMN_2" localSheetId="15" hidden="1">'[147]Movimento provisões'!#REF!</definedName>
    <definedName name="XREF_COLUMN_2" localSheetId="13" hidden="1">'[147]Movimento provisões'!#REF!</definedName>
    <definedName name="XREF_COLUMN_2" localSheetId="17" hidden="1">'[147]Movimento provisões'!#REF!</definedName>
    <definedName name="XREF_COLUMN_2" localSheetId="12" hidden="1">'[147]Movimento provisões'!#REF!</definedName>
    <definedName name="XREF_COLUMN_2" localSheetId="22" hidden="1">'[147]Movimento provisões'!#REF!</definedName>
    <definedName name="XREF_COLUMN_2" localSheetId="28" hidden="1">'[147]Movimento provisões'!#REF!</definedName>
    <definedName name="XREF_COLUMN_2" localSheetId="35" hidden="1">'[147]Movimento provisões'!#REF!</definedName>
    <definedName name="XREF_COLUMN_2" hidden="1">'[147]Movimento provisões'!#REF!</definedName>
    <definedName name="XREF_COLUMN_3" hidden="1">'[148]Vendas por produto e cliente'!$I$1:$I$65536</definedName>
    <definedName name="XRefActiveRow" localSheetId="18" hidden="1">#REF!</definedName>
    <definedName name="XRefActiveRow" localSheetId="25" hidden="1">#REF!</definedName>
    <definedName name="XRefActiveRow" localSheetId="29" hidden="1">#REF!</definedName>
    <definedName name="XRefActiveRow" localSheetId="31" hidden="1">#REF!</definedName>
    <definedName name="XRefActiveRow" localSheetId="15" hidden="1">#REF!</definedName>
    <definedName name="XRefActiveRow" localSheetId="13" hidden="1">#REF!</definedName>
    <definedName name="XRefActiveRow" localSheetId="17" hidden="1">#REF!</definedName>
    <definedName name="XRefActiveRow" localSheetId="12" hidden="1">#REF!</definedName>
    <definedName name="XRefActiveRow" localSheetId="22" hidden="1">#REF!</definedName>
    <definedName name="XRefActiveRow" localSheetId="28" hidden="1">#REF!</definedName>
    <definedName name="XRefActiveRow" localSheetId="35" hidden="1">#REF!</definedName>
    <definedName name="XRefActiveRow" hidden="1">#REF!</definedName>
    <definedName name="XRefColumnsCount" hidden="1">2</definedName>
    <definedName name="XRefCopy1" localSheetId="18" hidden="1">'[149]Stocks lead'!#REF!</definedName>
    <definedName name="XRefCopy1" localSheetId="29" hidden="1">'[149]Stocks lead'!#REF!</definedName>
    <definedName name="XRefCopy1" localSheetId="31" hidden="1">'[149]Stocks lead'!#REF!</definedName>
    <definedName name="XRefCopy1" localSheetId="15" hidden="1">'[149]Stocks lead'!#REF!</definedName>
    <definedName name="XRefCopy1" localSheetId="13" hidden="1">'[149]Stocks lead'!#REF!</definedName>
    <definedName name="XRefCopy1" localSheetId="17" hidden="1">'[149]Stocks lead'!#REF!</definedName>
    <definedName name="XRefCopy1" localSheetId="12" hidden="1">'[149]Stocks lead'!#REF!</definedName>
    <definedName name="XRefCopy1" localSheetId="22" hidden="1">'[149]Stocks lead'!#REF!</definedName>
    <definedName name="XRefCopy1" localSheetId="28" hidden="1">'[149]Stocks lead'!#REF!</definedName>
    <definedName name="XRefCopy1" localSheetId="35" hidden="1">'[149]Stocks lead'!#REF!</definedName>
    <definedName name="XRefCopy1" hidden="1">'[149]Stocks lead'!#REF!</definedName>
    <definedName name="XRefCopy1Row" localSheetId="18" hidden="1">[68]XREF!#REF!</definedName>
    <definedName name="XRefCopy1Row" localSheetId="29" hidden="1">[68]XREF!#REF!</definedName>
    <definedName name="XRefCopy1Row" localSheetId="31" hidden="1">[68]XREF!#REF!</definedName>
    <definedName name="XRefCopy1Row" localSheetId="15" hidden="1">[68]XREF!#REF!</definedName>
    <definedName name="XRefCopy1Row" localSheetId="13" hidden="1">[68]XREF!#REF!</definedName>
    <definedName name="XRefCopy1Row" localSheetId="17" hidden="1">[68]XREF!#REF!</definedName>
    <definedName name="XRefCopy1Row" localSheetId="12" hidden="1">[68]XREF!#REF!</definedName>
    <definedName name="XRefCopy1Row" localSheetId="22" hidden="1">[68]XREF!#REF!</definedName>
    <definedName name="XRefCopy1Row" localSheetId="28" hidden="1">[68]XREF!#REF!</definedName>
    <definedName name="XRefCopy1Row" localSheetId="35" hidden="1">[68]XREF!#REF!</definedName>
    <definedName name="XRefCopy1Row" hidden="1">[68]XREF!#REF!</definedName>
    <definedName name="XRefCopy2" localSheetId="18" hidden="1">'[147]Movimento provisões'!#REF!</definedName>
    <definedName name="XRefCopy2" localSheetId="29" hidden="1">'[147]Movimento provisões'!#REF!</definedName>
    <definedName name="XRefCopy2" localSheetId="31" hidden="1">'[147]Movimento provisões'!#REF!</definedName>
    <definedName name="XRefCopy2" localSheetId="15" hidden="1">'[147]Movimento provisões'!#REF!</definedName>
    <definedName name="XRefCopy2" localSheetId="13" hidden="1">'[147]Movimento provisões'!#REF!</definedName>
    <definedName name="XRefCopy2" localSheetId="17" hidden="1">'[147]Movimento provisões'!#REF!</definedName>
    <definedName name="XRefCopy2" localSheetId="12" hidden="1">'[147]Movimento provisões'!#REF!</definedName>
    <definedName name="XRefCopy2" localSheetId="22" hidden="1">'[147]Movimento provisões'!#REF!</definedName>
    <definedName name="XRefCopy2" localSheetId="28" hidden="1">'[147]Movimento provisões'!#REF!</definedName>
    <definedName name="XRefCopy2" localSheetId="35" hidden="1">'[147]Movimento provisões'!#REF!</definedName>
    <definedName name="XRefCopy2" hidden="1">'[147]Movimento provisões'!#REF!</definedName>
    <definedName name="XRefCopy2Row" localSheetId="18" hidden="1">#REF!</definedName>
    <definedName name="XRefCopy2Row" localSheetId="25" hidden="1">#REF!</definedName>
    <definedName name="XRefCopy2Row" localSheetId="29" hidden="1">#REF!</definedName>
    <definedName name="XRefCopy2Row" localSheetId="31" hidden="1">#REF!</definedName>
    <definedName name="XRefCopy2Row" localSheetId="15" hidden="1">#REF!</definedName>
    <definedName name="XRefCopy2Row" localSheetId="13" hidden="1">#REF!</definedName>
    <definedName name="XRefCopy2Row" localSheetId="17" hidden="1">#REF!</definedName>
    <definedName name="XRefCopy2Row" localSheetId="12" hidden="1">#REF!</definedName>
    <definedName name="XRefCopy2Row" localSheetId="22" hidden="1">#REF!</definedName>
    <definedName name="XRefCopy2Row" localSheetId="28" hidden="1">#REF!</definedName>
    <definedName name="XRefCopy2Row" localSheetId="35" hidden="1">#REF!</definedName>
    <definedName name="XRefCopy2Row" hidden="1">#REF!</definedName>
    <definedName name="XRefCopy3" hidden="1">[150]Lead!$N$17</definedName>
    <definedName name="XRefCopy3Row" hidden="1">[150]XREF!$A$6:$IV$6</definedName>
    <definedName name="XRefCopy4" hidden="1">[150]Lead!$N$18</definedName>
    <definedName name="XRefCopy4Row" hidden="1">[150]XREF!$A$7:$IV$7</definedName>
    <definedName name="XRefCopyRangeCount" hidden="1">2</definedName>
    <definedName name="XRefPaste1" hidden="1">[151]Hospital!$Z$1313</definedName>
    <definedName name="XRefPaste1Row" hidden="1">[148]XREF!$A$3:$IV$3</definedName>
    <definedName name="XRefPaste2" localSheetId="18" hidden="1">'[147]Movimento provisões'!#REF!</definedName>
    <definedName name="XRefPaste2" localSheetId="29" hidden="1">'[147]Movimento provisões'!#REF!</definedName>
    <definedName name="XRefPaste2" localSheetId="31" hidden="1">'[147]Movimento provisões'!#REF!</definedName>
    <definedName name="XRefPaste2" localSheetId="15" hidden="1">'[147]Movimento provisões'!#REF!</definedName>
    <definedName name="XRefPaste2" localSheetId="13" hidden="1">'[147]Movimento provisões'!#REF!</definedName>
    <definedName name="XRefPaste2" localSheetId="17" hidden="1">'[147]Movimento provisões'!#REF!</definedName>
    <definedName name="XRefPaste2" localSheetId="12" hidden="1">'[147]Movimento provisões'!#REF!</definedName>
    <definedName name="XRefPaste2" localSheetId="22" hidden="1">'[147]Movimento provisões'!#REF!</definedName>
    <definedName name="XRefPaste2" localSheetId="28" hidden="1">'[147]Movimento provisões'!#REF!</definedName>
    <definedName name="XRefPaste2" localSheetId="35" hidden="1">'[147]Movimento provisões'!#REF!</definedName>
    <definedName name="XRefPaste2" hidden="1">'[147]Movimento provisões'!#REF!</definedName>
    <definedName name="XRefPaste2Row" localSheetId="18" hidden="1">#REF!</definedName>
    <definedName name="XRefPaste2Row" localSheetId="25" hidden="1">#REF!</definedName>
    <definedName name="XRefPaste2Row" localSheetId="29" hidden="1">#REF!</definedName>
    <definedName name="XRefPaste2Row" localSheetId="31" hidden="1">#REF!</definedName>
    <definedName name="XRefPaste2Row" localSheetId="15" hidden="1">#REF!</definedName>
    <definedName name="XRefPaste2Row" localSheetId="13" hidden="1">#REF!</definedName>
    <definedName name="XRefPaste2Row" localSheetId="17" hidden="1">#REF!</definedName>
    <definedName name="XRefPaste2Row" localSheetId="12" hidden="1">#REF!</definedName>
    <definedName name="XRefPaste2Row" localSheetId="22" hidden="1">#REF!</definedName>
    <definedName name="XRefPaste2Row" localSheetId="28" hidden="1">#REF!</definedName>
    <definedName name="XRefPaste2Row" localSheetId="35" hidden="1">#REF!</definedName>
    <definedName name="XRefPaste2Row" hidden="1">#REF!</definedName>
    <definedName name="XRefPaste3" localSheetId="18" hidden="1">'[147]Movimento provisões'!#REF!</definedName>
    <definedName name="XRefPaste3" localSheetId="29" hidden="1">'[147]Movimento provisões'!#REF!</definedName>
    <definedName name="XRefPaste3" localSheetId="31" hidden="1">'[147]Movimento provisões'!#REF!</definedName>
    <definedName name="XRefPaste3" localSheetId="15" hidden="1">'[147]Movimento provisões'!#REF!</definedName>
    <definedName name="XRefPaste3" localSheetId="13" hidden="1">'[147]Movimento provisões'!#REF!</definedName>
    <definedName name="XRefPaste3" localSheetId="17" hidden="1">'[147]Movimento provisões'!#REF!</definedName>
    <definedName name="XRefPaste3" localSheetId="12" hidden="1">'[147]Movimento provisões'!#REF!</definedName>
    <definedName name="XRefPaste3" localSheetId="22" hidden="1">'[147]Movimento provisões'!#REF!</definedName>
    <definedName name="XRefPaste3" localSheetId="28" hidden="1">'[147]Movimento provisões'!#REF!</definedName>
    <definedName name="XRefPaste3" localSheetId="35" hidden="1">'[147]Movimento provisões'!#REF!</definedName>
    <definedName name="XRefPaste3" hidden="1">'[147]Movimento provisões'!#REF!</definedName>
    <definedName name="XRefPaste3Row" localSheetId="18" hidden="1">#REF!</definedName>
    <definedName name="XRefPaste3Row" localSheetId="25" hidden="1">#REF!</definedName>
    <definedName name="XRefPaste3Row" localSheetId="29" hidden="1">#REF!</definedName>
    <definedName name="XRefPaste3Row" localSheetId="31" hidden="1">#REF!</definedName>
    <definedName name="XRefPaste3Row" localSheetId="15" hidden="1">#REF!</definedName>
    <definedName name="XRefPaste3Row" localSheetId="13" hidden="1">#REF!</definedName>
    <definedName name="XRefPaste3Row" localSheetId="17" hidden="1">#REF!</definedName>
    <definedName name="XRefPaste3Row" localSheetId="12" hidden="1">#REF!</definedName>
    <definedName name="XRefPaste3Row" localSheetId="22" hidden="1">#REF!</definedName>
    <definedName name="XRefPaste3Row" localSheetId="28" hidden="1">#REF!</definedName>
    <definedName name="XRefPaste3Row" localSheetId="35" hidden="1">#REF!</definedName>
    <definedName name="XRefPaste3Row" hidden="1">#REF!</definedName>
    <definedName name="XRefPaste4" localSheetId="18" hidden="1">'[147]Movimento provisões'!#REF!</definedName>
    <definedName name="XRefPaste4" localSheetId="29" hidden="1">'[147]Movimento provisões'!#REF!</definedName>
    <definedName name="XRefPaste4" localSheetId="31" hidden="1">'[147]Movimento provisões'!#REF!</definedName>
    <definedName name="XRefPaste4" localSheetId="15" hidden="1">'[147]Movimento provisões'!#REF!</definedName>
    <definedName name="XRefPaste4" localSheetId="13" hidden="1">'[147]Movimento provisões'!#REF!</definedName>
    <definedName name="XRefPaste4" localSheetId="17" hidden="1">'[147]Movimento provisões'!#REF!</definedName>
    <definedName name="XRefPaste4" localSheetId="12" hidden="1">'[147]Movimento provisões'!#REF!</definedName>
    <definedName name="XRefPaste4" localSheetId="22" hidden="1">'[147]Movimento provisões'!#REF!</definedName>
    <definedName name="XRefPaste4" localSheetId="28" hidden="1">'[147]Movimento provisões'!#REF!</definedName>
    <definedName name="XRefPaste4" localSheetId="35" hidden="1">'[147]Movimento provisões'!#REF!</definedName>
    <definedName name="XRefPaste4" hidden="1">'[147]Movimento provisões'!#REF!</definedName>
    <definedName name="XRefPaste4Row" localSheetId="18" hidden="1">#REF!</definedName>
    <definedName name="XRefPaste4Row" localSheetId="25" hidden="1">#REF!</definedName>
    <definedName name="XRefPaste4Row" localSheetId="29" hidden="1">#REF!</definedName>
    <definedName name="XRefPaste4Row" localSheetId="31" hidden="1">#REF!</definedName>
    <definedName name="XRefPaste4Row" localSheetId="15" hidden="1">#REF!</definedName>
    <definedName name="XRefPaste4Row" localSheetId="13" hidden="1">#REF!</definedName>
    <definedName name="XRefPaste4Row" localSheetId="17" hidden="1">#REF!</definedName>
    <definedName name="XRefPaste4Row" localSheetId="12" hidden="1">#REF!</definedName>
    <definedName name="XRefPaste4Row" localSheetId="22" hidden="1">#REF!</definedName>
    <definedName name="XRefPaste4Row" localSheetId="28" hidden="1">#REF!</definedName>
    <definedName name="XRefPaste4Row" localSheetId="35" hidden="1">#REF!</definedName>
    <definedName name="XRefPaste4Row" hidden="1">#REF!</definedName>
    <definedName name="XRefPaste5" localSheetId="18" hidden="1">'[147]Movimento provisões'!#REF!</definedName>
    <definedName name="XRefPaste5" localSheetId="29" hidden="1">'[147]Movimento provisões'!#REF!</definedName>
    <definedName name="XRefPaste5" localSheetId="31" hidden="1">'[147]Movimento provisões'!#REF!</definedName>
    <definedName name="XRefPaste5" localSheetId="15" hidden="1">'[147]Movimento provisões'!#REF!</definedName>
    <definedName name="XRefPaste5" localSheetId="13" hidden="1">'[147]Movimento provisões'!#REF!</definedName>
    <definedName name="XRefPaste5" localSheetId="17" hidden="1">'[147]Movimento provisões'!#REF!</definedName>
    <definedName name="XRefPaste5" localSheetId="12" hidden="1">'[147]Movimento provisões'!#REF!</definedName>
    <definedName name="XRefPaste5" localSheetId="22" hidden="1">'[147]Movimento provisões'!#REF!</definedName>
    <definedName name="XRefPaste5" localSheetId="28" hidden="1">'[147]Movimento provisões'!#REF!</definedName>
    <definedName name="XRefPaste5" localSheetId="35" hidden="1">'[147]Movimento provisões'!#REF!</definedName>
    <definedName name="XRefPaste5" hidden="1">'[147]Movimento provisões'!#REF!</definedName>
    <definedName name="XRefPaste5Row" localSheetId="18" hidden="1">#REF!</definedName>
    <definedName name="XRefPaste5Row" localSheetId="25" hidden="1">#REF!</definedName>
    <definedName name="XRefPaste5Row" localSheetId="29" hidden="1">#REF!</definedName>
    <definedName name="XRefPaste5Row" localSheetId="31" hidden="1">#REF!</definedName>
    <definedName name="XRefPaste5Row" localSheetId="15" hidden="1">#REF!</definedName>
    <definedName name="XRefPaste5Row" localSheetId="13" hidden="1">#REF!</definedName>
    <definedName name="XRefPaste5Row" localSheetId="17" hidden="1">#REF!</definedName>
    <definedName name="XRefPaste5Row" localSheetId="12" hidden="1">#REF!</definedName>
    <definedName name="XRefPaste5Row" localSheetId="22" hidden="1">#REF!</definedName>
    <definedName name="XRefPaste5Row" localSheetId="28" hidden="1">#REF!</definedName>
    <definedName name="XRefPaste5Row" localSheetId="35" hidden="1">#REF!</definedName>
    <definedName name="XRefPaste5Row" hidden="1">#REF!</definedName>
    <definedName name="XRefPasteRangeCount" hidden="1">5</definedName>
    <definedName name="xv" localSheetId="29">#REF!</definedName>
    <definedName name="xv" localSheetId="31">#REF!</definedName>
    <definedName name="xv" localSheetId="28">#REF!</definedName>
    <definedName name="xv" localSheetId="35">#REF!</definedName>
    <definedName name="xv">#REF!</definedName>
    <definedName name="XVCWXV" hidden="1">[86]AW!$D$12</definedName>
    <definedName name="xwxxwx" localSheetId="2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localSheetId="35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28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localSheetId="35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" localSheetId="28">#N/A</definedName>
    <definedName name="xxxx" localSheetId="35">'Taxe 5%'!xxxx</definedName>
    <definedName name="xxxx">'Taxe 5%'!xxxx</definedName>
    <definedName name="xxxxx" localSheetId="28" hidden="1">{#N/A,#N/A,FALSE,"CBE";#N/A,#N/A,FALSE,"SWK"}</definedName>
    <definedName name="xxxxx" localSheetId="35" hidden="1">{#N/A,#N/A,FALSE,"CBE";#N/A,#N/A,FALSE,"SWK"}</definedName>
    <definedName name="xxxxx" hidden="1">{#N/A,#N/A,FALSE,"CBE";#N/A,#N/A,FALSE,"SWK"}</definedName>
    <definedName name="XYZ" localSheetId="28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localSheetId="35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 localSheetId="29">#REF!</definedName>
    <definedName name="yak" localSheetId="31">#REF!</definedName>
    <definedName name="yak" localSheetId="28">#REF!</definedName>
    <definedName name="yak" localSheetId="35">#REF!</definedName>
    <definedName name="yak">#REF!</definedName>
    <definedName name="year" localSheetId="18">#REF!</definedName>
    <definedName name="year" localSheetId="25">#REF!</definedName>
    <definedName name="year" localSheetId="29">#REF!</definedName>
    <definedName name="year" localSheetId="31">#REF!</definedName>
    <definedName name="year" localSheetId="15">#REF!</definedName>
    <definedName name="year" localSheetId="13">#REF!</definedName>
    <definedName name="year" localSheetId="17">#REF!</definedName>
    <definedName name="year" localSheetId="12">#REF!</definedName>
    <definedName name="year" localSheetId="22">#REF!</definedName>
    <definedName name="year" localSheetId="28">#REF!</definedName>
    <definedName name="year" localSheetId="35">#REF!</definedName>
    <definedName name="year">#REF!</definedName>
    <definedName name="YER">#N/A</definedName>
    <definedName name="yfj" localSheetId="28" hidden="1">{#N/A,#N/A,TRUE,"Cover sheet";#N/A,#N/A,TRUE,"INPUTS";#N/A,#N/A,TRUE,"OUTPUTS";#N/A,#N/A,TRUE,"VALUATION"}</definedName>
    <definedName name="yfj" localSheetId="35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jdkutk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25" hidden="1">{#N/A,#N/A,FALSE,"ORIX CSC"}</definedName>
    <definedName name="yre" localSheetId="19" hidden="1">{#N/A,#N/A,FALSE,"ORIX CSC"}</definedName>
    <definedName name="yre" localSheetId="22" hidden="1">{#N/A,#N/A,FALSE,"ORIX CSC"}</definedName>
    <definedName name="yre" localSheetId="28" hidden="1">{#N/A,#N/A,FALSE,"ORIX CSC"}</definedName>
    <definedName name="yre" localSheetId="35" hidden="1">{#N/A,#N/A,FALSE,"ORIX CSC"}</definedName>
    <definedName name="yre" hidden="1">{#N/A,#N/A,FALSE,"ORIX CSC"}</definedName>
    <definedName name="yutut" localSheetId="18">#REF!</definedName>
    <definedName name="yutut" localSheetId="25">#REF!</definedName>
    <definedName name="yutut" localSheetId="29">#REF!</definedName>
    <definedName name="yutut" localSheetId="31">#REF!</definedName>
    <definedName name="yutut" localSheetId="15">#REF!</definedName>
    <definedName name="yutut" localSheetId="13">#REF!</definedName>
    <definedName name="yutut" localSheetId="17">#REF!</definedName>
    <definedName name="yutut" localSheetId="12">#REF!</definedName>
    <definedName name="yutut" localSheetId="22">#REF!</definedName>
    <definedName name="yutut" localSheetId="28">#REF!</definedName>
    <definedName name="yutut" localSheetId="35">#REF!</definedName>
    <definedName name="yutut">#REF!</definedName>
    <definedName name="yuy" localSheetId="18">#REF!</definedName>
    <definedName name="yuy" localSheetId="25">#REF!</definedName>
    <definedName name="yuy" localSheetId="29">#REF!</definedName>
    <definedName name="yuy" localSheetId="31">#REF!</definedName>
    <definedName name="yuy" localSheetId="15">#REF!</definedName>
    <definedName name="yuy" localSheetId="13">#REF!</definedName>
    <definedName name="yuy" localSheetId="17">#REF!</definedName>
    <definedName name="yuy" localSheetId="12">#REF!</definedName>
    <definedName name="yuy" localSheetId="22">#REF!</definedName>
    <definedName name="yuy" localSheetId="28">#REF!</definedName>
    <definedName name="yuy" localSheetId="35">#REF!</definedName>
    <definedName name="yuy">#REF!</definedName>
    <definedName name="yuyuuyuyuyuyu" localSheetId="28" hidden="1">{#N/A,#N/A,TRUE,"Cover sheet";#N/A,#N/A,TRUE,"DCF analysis";#N/A,#N/A,TRUE,"WACC calculation"}</definedName>
    <definedName name="yuyuuyuyuyuyu" localSheetId="35" hidden="1">{#N/A,#N/A,TRUE,"Cover sheet";#N/A,#N/A,TRUE,"DCF analysis";#N/A,#N/A,TRUE,"WACC calculation"}</definedName>
    <definedName name="yuyuuyuyuyuyu" hidden="1">{#N/A,#N/A,TRUE,"Cover sheet";#N/A,#N/A,TRUE,"DCF analysis";#N/A,#N/A,TRUE,"WACC calculation"}</definedName>
    <definedName name="yyy" localSheetId="28">#N/A</definedName>
    <definedName name="yyy" localSheetId="35">'Taxe 5%'!yyy</definedName>
    <definedName name="yyy">'Taxe 5%'!yyy</definedName>
    <definedName name="yyyy" localSheetId="18">[6]!yyyy</definedName>
    <definedName name="yyyy" localSheetId="25">[6]!yyyy</definedName>
    <definedName name="yyyy" localSheetId="29">[6]!yyyy</definedName>
    <definedName name="yyyy" localSheetId="31">[6]!yyyy</definedName>
    <definedName name="yyyy" localSheetId="15">[6]!yyyy</definedName>
    <definedName name="yyyy" localSheetId="13">[6]!yyyy</definedName>
    <definedName name="yyyy" localSheetId="19">[7]!yyyy</definedName>
    <definedName name="yyyy" localSheetId="17">[6]!yyyy</definedName>
    <definedName name="yyyy" localSheetId="12">[6]!yyyy</definedName>
    <definedName name="yyyy" localSheetId="22">[8]!yyyy</definedName>
    <definedName name="yyyy">[6]!yyyy</definedName>
    <definedName name="Z" localSheetId="18">#REF!</definedName>
    <definedName name="Z" localSheetId="25">#REF!</definedName>
    <definedName name="Z" localSheetId="29">#REF!</definedName>
    <definedName name="Z" localSheetId="31">#REF!</definedName>
    <definedName name="Z" localSheetId="15">#REF!</definedName>
    <definedName name="Z" localSheetId="13">#REF!</definedName>
    <definedName name="Z" localSheetId="17">#REF!</definedName>
    <definedName name="Z" localSheetId="12">#REF!</definedName>
    <definedName name="Z" localSheetId="22">#REF!</definedName>
    <definedName name="Z" localSheetId="28">#REF!</definedName>
    <definedName name="Z" localSheetId="35">#REF!</definedName>
    <definedName name="Z">#REF!</definedName>
    <definedName name="Z___0">NA()</definedName>
    <definedName name="Z___12">#N/A</definedName>
    <definedName name="Z___2">#N/A</definedName>
    <definedName name="Z___25">#N/A</definedName>
    <definedName name="Z___26">#N/A</definedName>
    <definedName name="Z___27">NA()</definedName>
    <definedName name="Z___4">#N/A</definedName>
    <definedName name="Z___5">NA()</definedName>
    <definedName name="Z___6">#N/A</definedName>
    <definedName name="Z___7">#N/A</definedName>
    <definedName name="za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a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a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a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a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a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AA" localSheetId="18">#REF!</definedName>
    <definedName name="ZAA" localSheetId="25">#REF!</definedName>
    <definedName name="ZAA" localSheetId="29">#REF!</definedName>
    <definedName name="ZAA" localSheetId="31">#REF!</definedName>
    <definedName name="ZAA" localSheetId="15">#REF!</definedName>
    <definedName name="ZAA" localSheetId="13">#REF!</definedName>
    <definedName name="ZAA" localSheetId="17">#REF!</definedName>
    <definedName name="ZAA" localSheetId="12">#REF!</definedName>
    <definedName name="ZAA" localSheetId="22">#REF!</definedName>
    <definedName name="ZAA" localSheetId="28">#REF!</definedName>
    <definedName name="ZAA" localSheetId="35">#REF!</definedName>
    <definedName name="ZAA">#REF!</definedName>
    <definedName name="ZAAZAZ" localSheetId="29">#REF!</definedName>
    <definedName name="ZAAZAZ" localSheetId="31">#REF!</definedName>
    <definedName name="ZAAZAZ" localSheetId="28">#REF!</definedName>
    <definedName name="ZAAZAZ" localSheetId="35">#REF!</definedName>
    <definedName name="ZAAZAZ">#REF!</definedName>
    <definedName name="ZAERT" localSheetId="18">#REF!</definedName>
    <definedName name="ZAERT" localSheetId="25">#REF!</definedName>
    <definedName name="ZAERT" localSheetId="29">#REF!</definedName>
    <definedName name="ZAERT" localSheetId="31">#REF!</definedName>
    <definedName name="ZAERT" localSheetId="15">#REF!</definedName>
    <definedName name="ZAERT" localSheetId="13">#REF!</definedName>
    <definedName name="ZAERT" localSheetId="17">#REF!</definedName>
    <definedName name="ZAERT" localSheetId="12">#REF!</definedName>
    <definedName name="ZAERT" localSheetId="22">#REF!</definedName>
    <definedName name="ZAERT" localSheetId="28">#REF!</definedName>
    <definedName name="ZAERT" localSheetId="35">#REF!</definedName>
    <definedName name="ZAERT">#REF!</definedName>
    <definedName name="ZAGOR" localSheetId="18">#REF!</definedName>
    <definedName name="ZAGOR" localSheetId="25">#REF!</definedName>
    <definedName name="ZAGOR" localSheetId="29">#REF!</definedName>
    <definedName name="ZAGOR" localSheetId="31">#REF!</definedName>
    <definedName name="ZAGOR" localSheetId="15">#REF!</definedName>
    <definedName name="ZAGOR" localSheetId="13">#REF!</definedName>
    <definedName name="ZAGOR" localSheetId="17">#REF!</definedName>
    <definedName name="ZAGOR" localSheetId="12">#REF!</definedName>
    <definedName name="ZAGOR" localSheetId="22">#REF!</definedName>
    <definedName name="ZAGOR" localSheetId="28">#REF!</definedName>
    <definedName name="ZAGOR" localSheetId="35">#REF!</definedName>
    <definedName name="ZAGOR">#REF!</definedName>
    <definedName name="ZAGOR___0">#N/A</definedName>
    <definedName name="ZAGOR___12">#N/A</definedName>
    <definedName name="ZAGOR___14">#N/A</definedName>
    <definedName name="ZAGOR___16">#N/A</definedName>
    <definedName name="ZAGOR___2">#N/A</definedName>
    <definedName name="ZAGOR___25">#N/A</definedName>
    <definedName name="ZAGOR___26">#N/A</definedName>
    <definedName name="ZAGOR___27">#N/A</definedName>
    <definedName name="ZAGOR___4">#N/A</definedName>
    <definedName name="ZAGOR___5">#N/A</definedName>
    <definedName name="ZAGOR___7">#N/A</definedName>
    <definedName name="ZAZA" localSheetId="29">#REF!</definedName>
    <definedName name="ZAZA" localSheetId="31">#REF!</definedName>
    <definedName name="ZAZA" localSheetId="28">#REF!</definedName>
    <definedName name="ZAZA" localSheetId="35">#REF!</definedName>
    <definedName name="ZAZA">#REF!</definedName>
    <definedName name="zb" localSheetId="2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2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2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3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localSheetId="25" hidden="1">{#N/A,#N/A,FALSE,"ORIX CSC"}</definedName>
    <definedName name="zc" localSheetId="19" hidden="1">{#N/A,#N/A,FALSE,"ORIX CSC"}</definedName>
    <definedName name="zc" localSheetId="22" hidden="1">{#N/A,#N/A,FALSE,"ORIX CSC"}</definedName>
    <definedName name="zc" localSheetId="28" hidden="1">{#N/A,#N/A,FALSE,"ORIX CSC"}</definedName>
    <definedName name="zc" localSheetId="35" hidden="1">{#N/A,#N/A,FALSE,"ORIX CSC"}</definedName>
    <definedName name="zc" hidden="1">{#N/A,#N/A,FALSE,"ORIX CSC"}</definedName>
    <definedName name="zd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 localSheetId="2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 localSheetId="3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daqzd" localSheetId="28" hidden="1">{#N/A,#N/A,FALSE,"Operations";#N/A,#N/A,FALSE,"Financials"}</definedName>
    <definedName name="zedaqzd" localSheetId="35" hidden="1">{#N/A,#N/A,FALSE,"Operations";#N/A,#N/A,FALSE,"Financials"}</definedName>
    <definedName name="zedaqzd" hidden="1">{#N/A,#N/A,FALSE,"Operations";#N/A,#N/A,FALSE,"Financials"}</definedName>
    <definedName name="zefz" localSheetId="28" hidden="1">{"First Page",#N/A,FALSE,"Surfactants LBO";"Second Page",#N/A,FALSE,"Surfactants LBO"}</definedName>
    <definedName name="zefz" localSheetId="35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GTQZE" localSheetId="18">#REF!</definedName>
    <definedName name="ZEGTQZE" localSheetId="25">#REF!</definedName>
    <definedName name="ZEGTQZE" localSheetId="29">#REF!</definedName>
    <definedName name="ZEGTQZE" localSheetId="31">#REF!</definedName>
    <definedName name="ZEGTQZE" localSheetId="15">#REF!</definedName>
    <definedName name="ZEGTQZE" localSheetId="13">#REF!</definedName>
    <definedName name="ZEGTQZE" localSheetId="17">#REF!</definedName>
    <definedName name="ZEGTQZE" localSheetId="12">#REF!</definedName>
    <definedName name="ZEGTQZE" localSheetId="22">#REF!</definedName>
    <definedName name="ZEGTQZE" localSheetId="28">#REF!</definedName>
    <definedName name="ZEGTQZE" localSheetId="35">#REF!</definedName>
    <definedName name="ZEGTQZE">#REF!</definedName>
    <definedName name="ZERTRET" localSheetId="18" hidden="1">[86]RSG!#REF!</definedName>
    <definedName name="ZERTRET" localSheetId="29" hidden="1">[86]RSG!#REF!</definedName>
    <definedName name="ZERTRET" localSheetId="31" hidden="1">[86]RSG!#REF!</definedName>
    <definedName name="ZERTRET" localSheetId="15" hidden="1">[86]RSG!#REF!</definedName>
    <definedName name="ZERTRET" localSheetId="13" hidden="1">[86]RSG!#REF!</definedName>
    <definedName name="ZERTRET" localSheetId="17" hidden="1">[86]RSG!#REF!</definedName>
    <definedName name="ZERTRET" localSheetId="12" hidden="1">[86]RSG!#REF!</definedName>
    <definedName name="ZERTRET" localSheetId="22" hidden="1">[86]RSG!#REF!</definedName>
    <definedName name="ZERTRET" localSheetId="28" hidden="1">[86]RSG!#REF!</definedName>
    <definedName name="ZERTRET" localSheetId="35" hidden="1">[86]RSG!#REF!</definedName>
    <definedName name="ZERTRET" hidden="1">[86]RSG!#REF!</definedName>
    <definedName name="zerz">#N/A</definedName>
    <definedName name="zetet">#N/A</definedName>
    <definedName name="zez" localSheetId="18">#REF!</definedName>
    <definedName name="zez" localSheetId="25">#REF!</definedName>
    <definedName name="zez" localSheetId="29">#REF!</definedName>
    <definedName name="zez" localSheetId="31">#REF!</definedName>
    <definedName name="zez" localSheetId="15">#REF!</definedName>
    <definedName name="zez" localSheetId="13">#REF!</definedName>
    <definedName name="zez" localSheetId="17">#REF!</definedName>
    <definedName name="zez" localSheetId="12">#REF!</definedName>
    <definedName name="zez" localSheetId="22">#REF!</definedName>
    <definedName name="zez" localSheetId="28">#REF!</definedName>
    <definedName name="zez" localSheetId="35">#REF!</definedName>
    <definedName name="zez">#REF!</definedName>
    <definedName name="zezdc">#N/A</definedName>
    <definedName name="zezerer" localSheetId="18">#REF!</definedName>
    <definedName name="zezerer" localSheetId="25">#REF!</definedName>
    <definedName name="zezerer" localSheetId="29">#REF!</definedName>
    <definedName name="zezerer" localSheetId="31">#REF!</definedName>
    <definedName name="zezerer" localSheetId="15">#REF!</definedName>
    <definedName name="zezerer" localSheetId="13">#REF!</definedName>
    <definedName name="zezerer" localSheetId="17">#REF!</definedName>
    <definedName name="zezerer" localSheetId="12">#REF!</definedName>
    <definedName name="zezerer" localSheetId="22">#REF!</definedName>
    <definedName name="zezerer" localSheetId="28">#REF!</definedName>
    <definedName name="zezerer" localSheetId="35">#REF!</definedName>
    <definedName name="zezerer">#REF!</definedName>
    <definedName name="zf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25" hidden="1">{#N/A,#N/A,FALSE,"Contribution Analysis"}</definedName>
    <definedName name="zg" localSheetId="19" hidden="1">{#N/A,#N/A,FALSE,"Contribution Analysis"}</definedName>
    <definedName name="zg" localSheetId="22" hidden="1">{#N/A,#N/A,FALSE,"Contribution Analysis"}</definedName>
    <definedName name="zg" localSheetId="28" hidden="1">{#N/A,#N/A,FALSE,"Contribution Analysis"}</definedName>
    <definedName name="zg" localSheetId="35" hidden="1">{#N/A,#N/A,FALSE,"Contribution Analysis"}</definedName>
    <definedName name="zg" hidden="1">{#N/A,#N/A,FALSE,"Contribution Analysis"}</definedName>
    <definedName name="zh" localSheetId="25" hidden="1">{"IS",#N/A,FALSE,"IS";"RPTIS",#N/A,FALSE,"RPTIS";"STATS",#N/A,FALSE,"STATS";"CELL",#N/A,FALSE,"CELL";"BS",#N/A,FALSE,"BS"}</definedName>
    <definedName name="zh" localSheetId="19" hidden="1">{"IS",#N/A,FALSE,"IS";"RPTIS",#N/A,FALSE,"RPTIS";"STATS",#N/A,FALSE,"STATS";"CELL",#N/A,FALSE,"CELL";"BS",#N/A,FALSE,"BS"}</definedName>
    <definedName name="zh" localSheetId="22" hidden="1">{"IS",#N/A,FALSE,"IS";"RPTIS",#N/A,FALSE,"RPTIS";"STATS",#N/A,FALSE,"STATS";"CELL",#N/A,FALSE,"CELL";"BS",#N/A,FALSE,"BS"}</definedName>
    <definedName name="zh" localSheetId="28" hidden="1">{"IS",#N/A,FALSE,"IS";"RPTIS",#N/A,FALSE,"RPTIS";"STATS",#N/A,FALSE,"STATS";"CELL",#N/A,FALSE,"CELL";"BS",#N/A,FALSE,"BS"}</definedName>
    <definedName name="zh" localSheetId="35" hidden="1">{"IS",#N/A,FALSE,"IS";"RPTIS",#N/A,FALSE,"RPTIS";"STATS",#N/A,FALSE,"STATS";"CELL",#N/A,FALSE,"CELL";"BS",#N/A,FALSE,"BS"}</definedName>
    <definedName name="zh" hidden="1">{"IS",#N/A,FALSE,"IS";"RPTIS",#N/A,FALSE,"RPTIS";"STATS",#N/A,FALSE,"STATS";"CELL",#N/A,FALSE,"CELL";"BS",#N/A,FALSE,"BS"}</definedName>
    <definedName name="zi" localSheetId="25" hidden="1">{#N/A,#N/A,FALSE,"ORIX CSC"}</definedName>
    <definedName name="zi" localSheetId="19" hidden="1">{#N/A,#N/A,FALSE,"ORIX CSC"}</definedName>
    <definedName name="zi" localSheetId="22" hidden="1">{#N/A,#N/A,FALSE,"ORIX CSC"}</definedName>
    <definedName name="zi" localSheetId="28" hidden="1">{#N/A,#N/A,FALSE,"ORIX CSC"}</definedName>
    <definedName name="zi" localSheetId="35" hidden="1">{#N/A,#N/A,FALSE,"ORIX CSC"}</definedName>
    <definedName name="zi" hidden="1">{#N/A,#N/A,FALSE,"ORIX CSC"}</definedName>
    <definedName name="zj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2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3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25" hidden="1">{"IS",#N/A,FALSE,"IS";"RPTIS",#N/A,FALSE,"RPTIS";"STATS",#N/A,FALSE,"STATS";"CELL",#N/A,FALSE,"CELL";"BS",#N/A,FALSE,"BS"}</definedName>
    <definedName name="zl" localSheetId="19" hidden="1">{"IS",#N/A,FALSE,"IS";"RPTIS",#N/A,FALSE,"RPTIS";"STATS",#N/A,FALSE,"STATS";"CELL",#N/A,FALSE,"CELL";"BS",#N/A,FALSE,"BS"}</definedName>
    <definedName name="zl" localSheetId="22" hidden="1">{"IS",#N/A,FALSE,"IS";"RPTIS",#N/A,FALSE,"RPTIS";"STATS",#N/A,FALSE,"STATS";"CELL",#N/A,FALSE,"CELL";"BS",#N/A,FALSE,"BS"}</definedName>
    <definedName name="zl" localSheetId="28" hidden="1">{"IS",#N/A,FALSE,"IS";"RPTIS",#N/A,FALSE,"RPTIS";"STATS",#N/A,FALSE,"STATS";"CELL",#N/A,FALSE,"CELL";"BS",#N/A,FALSE,"BS"}</definedName>
    <definedName name="zl" localSheetId="35" hidden="1">{"IS",#N/A,FALSE,"IS";"RPTIS",#N/A,FALSE,"RPTIS";"STATS",#N/A,FALSE,"STATS";"CELL",#N/A,FALSE,"CELL";"BS",#N/A,FALSE,"BS"}</definedName>
    <definedName name="zl" hidden="1">{"IS",#N/A,FALSE,"IS";"RPTIS",#N/A,FALSE,"RPTIS";"STATS",#N/A,FALSE,"STATS";"CELL",#N/A,FALSE,"CELL";"BS",#N/A,FALSE,"BS"}</definedName>
    <definedName name="zm" localSheetId="25" hidden="1">{#N/A,#N/A,FALSE,"Contribution Analysis"}</definedName>
    <definedName name="zm" localSheetId="19" hidden="1">{#N/A,#N/A,FALSE,"Contribution Analysis"}</definedName>
    <definedName name="zm" localSheetId="22" hidden="1">{#N/A,#N/A,FALSE,"Contribution Analysis"}</definedName>
    <definedName name="zm" localSheetId="28" hidden="1">{#N/A,#N/A,FALSE,"Contribution Analysis"}</definedName>
    <definedName name="zm" localSheetId="35" hidden="1">{#N/A,#N/A,FALSE,"Contribution Analysis"}</definedName>
    <definedName name="zm" hidden="1">{#N/A,#N/A,FALSE,"Contribution Analysis"}</definedName>
    <definedName name="zn" localSheetId="2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1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22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28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35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25" hidden="1">{"orixcsc",#N/A,FALSE,"ORIX CSC";"orixcsc2",#N/A,FALSE,"ORIX CSC"}</definedName>
    <definedName name="zo" localSheetId="19" hidden="1">{"orixcsc",#N/A,FALSE,"ORIX CSC";"orixcsc2",#N/A,FALSE,"ORIX CSC"}</definedName>
    <definedName name="zo" localSheetId="22" hidden="1">{"orixcsc",#N/A,FALSE,"ORIX CSC";"orixcsc2",#N/A,FALSE,"ORIX CSC"}</definedName>
    <definedName name="zo" localSheetId="28" hidden="1">{"orixcsc",#N/A,FALSE,"ORIX CSC";"orixcsc2",#N/A,FALSE,"ORIX CSC"}</definedName>
    <definedName name="zo" localSheetId="35" hidden="1">{"orixcsc",#N/A,FALSE,"ORIX CSC";"orixcsc2",#N/A,FALSE,"ORIX CSC"}</definedName>
    <definedName name="zo" hidden="1">{"orixcsc",#N/A,FALSE,"ORIX CSC";"orixcsc2",#N/A,FALSE,"ORIX CSC"}</definedName>
    <definedName name="_xlnm.Print_Area" localSheetId="18">'&lt;&lt;Annexes&gt;&gt; '!$A$1:$T$36</definedName>
    <definedName name="_xlnm.Print_Area" localSheetId="14">'&lt;&lt;IFRS&gt;&gt;'!$A$1:$U$39</definedName>
    <definedName name="_xlnm.Print_Area" localSheetId="7">'&lt;&lt;Matrice OHADA-IFRS&gt;&gt;'!$A$1:$S$35</definedName>
    <definedName name="_xlnm.Print_Area" localSheetId="2">'&lt;&lt;Social&gt;&gt;'!$A$1:$T$38</definedName>
    <definedName name="_xlnm.Print_Area" localSheetId="15">'Bilan (restit)'!$A$1:$G$45</definedName>
    <definedName name="_xlnm.Print_Area" localSheetId="4">'Bilan Actif'!$A$1:$L$48</definedName>
    <definedName name="_xlnm.Print_Area" localSheetId="5">'Bilan Passif '!$A$1:$F$49</definedName>
    <definedName name="_xlnm.Print_Area" localSheetId="19">'Cartes SIM'!$A$1:$DX$155</definedName>
    <definedName name="_xlnm.Print_Area" localSheetId="6">'Compte de résultat'!$A$1:$J$64</definedName>
    <definedName name="_xlnm.Print_Area" localSheetId="0">Cover!$A$1:$Z$39</definedName>
    <definedName name="_xlnm.Print_Area" localSheetId="21">'FND-Dettes fi à CT'!$A$1:$AL$45</definedName>
    <definedName name="_xlnm.Print_Area" localSheetId="20">'FND-Dettes Fi à LT '!$A$1:$AR$37</definedName>
    <definedName name="_xlnm.Print_Area" localSheetId="17">'P&amp;L-par fonction (restit)'!$A$1:$G$48</definedName>
    <definedName name="_xlnm.Print_Area" localSheetId="8">'Passage Actif BC '!$A$2:$BL$180</definedName>
    <definedName name="_xlnm.Print_Area" localSheetId="12">'Passage P&amp;L-par fonction'!$B$1:$AE$70</definedName>
    <definedName name="_xlnm.Print_Area" localSheetId="10">'Passage P&amp;L-par nature'!$B$2:$AM$200</definedName>
    <definedName name="_xlnm.Print_Area" localSheetId="9">'Passage Passif BC '!$A$1:$BG$145</definedName>
    <definedName name="_xlnm.Print_Area" localSheetId="22">'PIDR (2)'!$A$1:$H$16</definedName>
    <definedName name="_xlnm.Print_Area" localSheetId="1">Sommaire!$A$1:$F$57</definedName>
    <definedName name="Zone_impres_MI" localSheetId="18">#REF!</definedName>
    <definedName name="Zone_impres_MI" localSheetId="25">#REF!</definedName>
    <definedName name="Zone_impres_MI" localSheetId="29">#REF!</definedName>
    <definedName name="Zone_impres_MI" localSheetId="31">#REF!</definedName>
    <definedName name="Zone_impres_MI" localSheetId="15">#REF!</definedName>
    <definedName name="Zone_impres_MI" localSheetId="13">#REF!</definedName>
    <definedName name="Zone_impres_MI" localSheetId="17">#REF!</definedName>
    <definedName name="Zone_impres_MI" localSheetId="12">#REF!</definedName>
    <definedName name="Zone_impres_MI" localSheetId="22">#REF!</definedName>
    <definedName name="Zone_impres_MI" localSheetId="28">#REF!</definedName>
    <definedName name="Zone_impres_MI" localSheetId="35">#REF!</definedName>
    <definedName name="Zone_impres_MI">#REF!</definedName>
    <definedName name="ZONE_IMPRES_MI___0">#N/A</definedName>
    <definedName name="Zone_impres_MI___12">#N/A</definedName>
    <definedName name="Zone_impres_MI___2">#N/A</definedName>
    <definedName name="Zone_impres_MI___25">#N/A</definedName>
    <definedName name="Zone_impres_MI___26">#N/A</definedName>
    <definedName name="ZONE_IMPRES_MI___27">#N/A</definedName>
    <definedName name="Zone_impres_MI___4">#N/A</definedName>
    <definedName name="ZONE_IMPRES_MI___5">#N/A</definedName>
    <definedName name="Zone_impres_MI___6">#N/A</definedName>
    <definedName name="Zone_impres_MI___7">#N/A</definedName>
    <definedName name="zoneT" localSheetId="18">#REF!</definedName>
    <definedName name="zoneT" localSheetId="25">#REF!</definedName>
    <definedName name="zoneT" localSheetId="29">#REF!</definedName>
    <definedName name="zoneT" localSheetId="31">#REF!</definedName>
    <definedName name="zoneT" localSheetId="15">#REF!</definedName>
    <definedName name="zoneT" localSheetId="13">#REF!</definedName>
    <definedName name="zoneT" localSheetId="17">#REF!</definedName>
    <definedName name="zoneT" localSheetId="12">#REF!</definedName>
    <definedName name="zoneT" localSheetId="22">#REF!</definedName>
    <definedName name="zoneT" localSheetId="28">#REF!</definedName>
    <definedName name="zoneT" localSheetId="35">#REF!</definedName>
    <definedName name="zoneT">#REF!</definedName>
    <definedName name="zonetri" localSheetId="18">#REF!</definedName>
    <definedName name="zonetri" localSheetId="25">#REF!</definedName>
    <definedName name="zonetri" localSheetId="29">#REF!</definedName>
    <definedName name="zonetri" localSheetId="31">#REF!</definedName>
    <definedName name="zonetri" localSheetId="15">#REF!</definedName>
    <definedName name="zonetri" localSheetId="13">#REF!</definedName>
    <definedName name="zonetri" localSheetId="17">#REF!</definedName>
    <definedName name="zonetri" localSheetId="12">#REF!</definedName>
    <definedName name="zonetri" localSheetId="22">#REF!</definedName>
    <definedName name="zonetri" localSheetId="28">#REF!</definedName>
    <definedName name="zonetri" localSheetId="35">#REF!</definedName>
    <definedName name="zonetri">#REF!</definedName>
    <definedName name="zonetri2" localSheetId="18">#REF!</definedName>
    <definedName name="zonetri2" localSheetId="25">#REF!</definedName>
    <definedName name="zonetri2" localSheetId="29">#REF!</definedName>
    <definedName name="zonetri2" localSheetId="31">#REF!</definedName>
    <definedName name="zonetri2" localSheetId="15">#REF!</definedName>
    <definedName name="zonetri2" localSheetId="13">#REF!</definedName>
    <definedName name="zonetri2" localSheetId="17">#REF!</definedName>
    <definedName name="zonetri2" localSheetId="12">#REF!</definedName>
    <definedName name="zonetri2" localSheetId="22">#REF!</definedName>
    <definedName name="zonetri2" localSheetId="28">#REF!</definedName>
    <definedName name="zonetri2" localSheetId="35">#REF!</definedName>
    <definedName name="zonetri2">#REF!</definedName>
    <definedName name="zp" localSheetId="25" hidden="1">{"IS",#N/A,FALSE,"IS";"RPTIS",#N/A,FALSE,"RPTIS";"STATS",#N/A,FALSE,"STATS";"CELL",#N/A,FALSE,"CELL";"BS",#N/A,FALSE,"BS"}</definedName>
    <definedName name="zp" localSheetId="19" hidden="1">{"IS",#N/A,FALSE,"IS";"RPTIS",#N/A,FALSE,"RPTIS";"STATS",#N/A,FALSE,"STATS";"CELL",#N/A,FALSE,"CELL";"BS",#N/A,FALSE,"BS"}</definedName>
    <definedName name="zp" localSheetId="22" hidden="1">{"IS",#N/A,FALSE,"IS";"RPTIS",#N/A,FALSE,"RPTIS";"STATS",#N/A,FALSE,"STATS";"CELL",#N/A,FALSE,"CELL";"BS",#N/A,FALSE,"BS"}</definedName>
    <definedName name="zp" localSheetId="28" hidden="1">{"IS",#N/A,FALSE,"IS";"RPTIS",#N/A,FALSE,"RPTIS";"STATS",#N/A,FALSE,"STATS";"CELL",#N/A,FALSE,"CELL";"BS",#N/A,FALSE,"BS"}</definedName>
    <definedName name="zp" localSheetId="35" hidden="1">{"IS",#N/A,FALSE,"IS";"RPTIS",#N/A,FALSE,"RPTIS";"STATS",#N/A,FALSE,"STATS";"CELL",#N/A,FALSE,"CELL";"BS",#N/A,FALSE,"BS"}</definedName>
    <definedName name="zp" hidden="1">{"IS",#N/A,FALSE,"IS";"RPTIS",#N/A,FALSE,"RPTIS";"STATS",#N/A,FALSE,"STATS";"CELL",#N/A,FALSE,"CELL";"BS",#N/A,FALSE,"BS"}</definedName>
    <definedName name="zq" localSheetId="25" hidden="1">{"IS",#N/A,FALSE,"IS";"RPTIS",#N/A,FALSE,"RPTIS";"STATS",#N/A,FALSE,"STATS";"CELL",#N/A,FALSE,"CELL";"BS",#N/A,FALSE,"BS"}</definedName>
    <definedName name="zq" localSheetId="19" hidden="1">{"IS",#N/A,FALSE,"IS";"RPTIS",#N/A,FALSE,"RPTIS";"STATS",#N/A,FALSE,"STATS";"CELL",#N/A,FALSE,"CELL";"BS",#N/A,FALSE,"BS"}</definedName>
    <definedName name="zq" localSheetId="22" hidden="1">{"IS",#N/A,FALSE,"IS";"RPTIS",#N/A,FALSE,"RPTIS";"STATS",#N/A,FALSE,"STATS";"CELL",#N/A,FALSE,"CELL";"BS",#N/A,FALSE,"BS"}</definedName>
    <definedName name="zq" localSheetId="28" hidden="1">{"IS",#N/A,FALSE,"IS";"RPTIS",#N/A,FALSE,"RPTIS";"STATS",#N/A,FALSE,"STATS";"CELL",#N/A,FALSE,"CELL";"BS",#N/A,FALSE,"BS"}</definedName>
    <definedName name="zq" localSheetId="35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localSheetId="25" hidden="1">{"IS",#N/A,FALSE,"IS";"RPTIS",#N/A,FALSE,"RPTIS";"STATS",#N/A,FALSE,"STATS";"BS",#N/A,FALSE,"BS"}</definedName>
    <definedName name="zr" localSheetId="19" hidden="1">{"IS",#N/A,FALSE,"IS";"RPTIS",#N/A,FALSE,"RPTIS";"STATS",#N/A,FALSE,"STATS";"BS",#N/A,FALSE,"BS"}</definedName>
    <definedName name="zr" localSheetId="22" hidden="1">{"IS",#N/A,FALSE,"IS";"RPTIS",#N/A,FALSE,"RPTIS";"STATS",#N/A,FALSE,"STATS";"BS",#N/A,FALSE,"BS"}</definedName>
    <definedName name="zr" localSheetId="28" hidden="1">{"IS",#N/A,FALSE,"IS";"RPTIS",#N/A,FALSE,"RPTIS";"STATS",#N/A,FALSE,"STATS";"BS",#N/A,FALSE,"BS"}</definedName>
    <definedName name="zr" localSheetId="35" hidden="1">{"IS",#N/A,FALSE,"IS";"RPTIS",#N/A,FALSE,"RPTIS";"STATS",#N/A,FALSE,"STATS";"BS",#N/A,FALSE,"BS"}</definedName>
    <definedName name="zr" hidden="1">{"IS",#N/A,FALSE,"IS";"RPTIS",#N/A,FALSE,"RPTIS";"STATS",#N/A,FALSE,"STATS";"BS",#N/A,FALSE,"BS"}</definedName>
    <definedName name="zrdzf">#N/A</definedName>
    <definedName name="zreffze">#N/A</definedName>
    <definedName name="zs" localSheetId="25" hidden="1">{"subs",#N/A,FALSE,"database ";"proportional",#N/A,FALSE,"database "}</definedName>
    <definedName name="zs" localSheetId="19" hidden="1">{"subs",#N/A,FALSE,"database ";"proportional",#N/A,FALSE,"database "}</definedName>
    <definedName name="zs" localSheetId="22" hidden="1">{"subs",#N/A,FALSE,"database ";"proportional",#N/A,FALSE,"database "}</definedName>
    <definedName name="zs" localSheetId="28" hidden="1">{"subs",#N/A,FALSE,"database ";"proportional",#N/A,FALSE,"database "}</definedName>
    <definedName name="zs" localSheetId="35" hidden="1">{"subs",#N/A,FALSE,"database ";"proportional",#N/A,FALSE,"database "}</definedName>
    <definedName name="zs" hidden="1">{"subs",#N/A,FALSE,"database ";"proportional",#N/A,FALSE,"database "}</definedName>
    <definedName name="zt" localSheetId="25" hidden="1">{"test2",#N/A,TRUE,"Prices"}</definedName>
    <definedName name="zt" localSheetId="19" hidden="1">{"test2",#N/A,TRUE,"Prices"}</definedName>
    <definedName name="zt" localSheetId="22" hidden="1">{"test2",#N/A,TRUE,"Prices"}</definedName>
    <definedName name="zt" localSheetId="28" hidden="1">{"test2",#N/A,TRUE,"Prices"}</definedName>
    <definedName name="zt" localSheetId="35" hidden="1">{"test2",#N/A,TRUE,"Prices"}</definedName>
    <definedName name="zt" hidden="1">{"test2",#N/A,TRUE,"Prices"}</definedName>
    <definedName name="zu" localSheetId="25" hidden="1">{"IS",#N/A,FALSE,"IS";"RPTIS",#N/A,FALSE,"RPTIS";"STATS",#N/A,FALSE,"STATS";"CELL",#N/A,FALSE,"CELL";"BS",#N/A,FALSE,"BS"}</definedName>
    <definedName name="zu" localSheetId="19" hidden="1">{"IS",#N/A,FALSE,"IS";"RPTIS",#N/A,FALSE,"RPTIS";"STATS",#N/A,FALSE,"STATS";"CELL",#N/A,FALSE,"CELL";"BS",#N/A,FALSE,"BS"}</definedName>
    <definedName name="zu" localSheetId="22" hidden="1">{"IS",#N/A,FALSE,"IS";"RPTIS",#N/A,FALSE,"RPTIS";"STATS",#N/A,FALSE,"STATS";"CELL",#N/A,FALSE,"CELL";"BS",#N/A,FALSE,"BS"}</definedName>
    <definedName name="zu" localSheetId="28" hidden="1">{"IS",#N/A,FALSE,"IS";"RPTIS",#N/A,FALSE,"RPTIS";"STATS",#N/A,FALSE,"STATS";"CELL",#N/A,FALSE,"CELL";"BS",#N/A,FALSE,"BS"}</definedName>
    <definedName name="zu" localSheetId="35" hidden="1">{"IS",#N/A,FALSE,"IS";"RPTIS",#N/A,FALSE,"RPTIS";"STATS",#N/A,FALSE,"STATS";"CELL",#N/A,FALSE,"CELL";"BS",#N/A,FALSE,"BS"}</definedName>
    <definedName name="zu" hidden="1">{"IS",#N/A,FALSE,"IS";"RPTIS",#N/A,FALSE,"RPTIS";"STATS",#N/A,FALSE,"STATS";"CELL",#N/A,FALSE,"CELL";"BS",#N/A,FALSE,"BS"}</definedName>
    <definedName name="zv" localSheetId="25" hidden="1">{"subs",#N/A,FALSE,"database ";"proportional",#N/A,FALSE,"database "}</definedName>
    <definedName name="zv" localSheetId="19" hidden="1">{"subs",#N/A,FALSE,"database ";"proportional",#N/A,FALSE,"database "}</definedName>
    <definedName name="zv" localSheetId="22" hidden="1">{"subs",#N/A,FALSE,"database ";"proportional",#N/A,FALSE,"database "}</definedName>
    <definedName name="zv" localSheetId="28" hidden="1">{"subs",#N/A,FALSE,"database ";"proportional",#N/A,FALSE,"database "}</definedName>
    <definedName name="zv" localSheetId="35" hidden="1">{"subs",#N/A,FALSE,"database ";"proportional",#N/A,FALSE,"database "}</definedName>
    <definedName name="zv" hidden="1">{"subs",#N/A,FALSE,"database ";"proportional",#N/A,FALSE,"database "}</definedName>
    <definedName name="zw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25" hidden="1">{"orixcsc",#N/A,FALSE,"ORIX CSC";"orixcsc2",#N/A,FALSE,"ORIX CSC"}</definedName>
    <definedName name="zx" localSheetId="19" hidden="1">{"orixcsc",#N/A,FALSE,"ORIX CSC";"orixcsc2",#N/A,FALSE,"ORIX CSC"}</definedName>
    <definedName name="zx" localSheetId="22" hidden="1">{"orixcsc",#N/A,FALSE,"ORIX CSC";"orixcsc2",#N/A,FALSE,"ORIX CSC"}</definedName>
    <definedName name="zx" localSheetId="28" hidden="1">{"orixcsc",#N/A,FALSE,"ORIX CSC";"orixcsc2",#N/A,FALSE,"ORIX CSC"}</definedName>
    <definedName name="zx" localSheetId="35" hidden="1">{"orixcsc",#N/A,FALSE,"ORIX CSC";"orixcsc2",#N/A,FALSE,"ORIX CSC"}</definedName>
    <definedName name="zx" hidden="1">{"orixcsc",#N/A,FALSE,"ORIX CSC";"orixcsc2",#N/A,FALSE,"ORIX CSC"}</definedName>
    <definedName name="zy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 localSheetId="18">[6]!Nb_de_paiements_par_an*#REF!</definedName>
    <definedName name="zzz" localSheetId="25">[6]!Nb_de_paiements_par_an*#REF!</definedName>
    <definedName name="zzz" localSheetId="29">[6]!Nb_de_paiements_par_an*#REF!</definedName>
    <definedName name="zzz" localSheetId="31">[6]!Nb_de_paiements_par_an*#REF!</definedName>
    <definedName name="zzz" localSheetId="15">[6]!Nb_de_paiements_par_an*#REF!</definedName>
    <definedName name="zzz" localSheetId="13">[6]!Nb_de_paiements_par_an*#REF!</definedName>
    <definedName name="zzz" localSheetId="19">[7]!Nb_de_paiements_par_an*#REF!</definedName>
    <definedName name="zzz" localSheetId="17">[6]!Nb_de_paiements_par_an*#REF!</definedName>
    <definedName name="zzz" localSheetId="12">[6]!Nb_de_paiements_par_an*#REF!</definedName>
    <definedName name="zzz" localSheetId="22">[8]!Nb_de_paiements_par_an*#REF!</definedName>
    <definedName name="zzz" localSheetId="35">[6]!Nb_de_paiements_par_an*#REF!</definedName>
    <definedName name="zzz">[6]!Nb_de_paiements_par_an*#REF!</definedName>
    <definedName name="zzz___0">#N/A</definedName>
    <definedName name="zzz___12">#N/A</definedName>
    <definedName name="zzz___14">#N/A</definedName>
    <definedName name="zzz___16">#N/A</definedName>
    <definedName name="zzz___23">#N/A</definedName>
    <definedName name="zzz___25">#N/A</definedName>
    <definedName name="zzz___26">#N/A</definedName>
    <definedName name="zzz___27">NA()</definedName>
    <definedName name="zzz___5">NA()</definedName>
    <definedName name="zzz___6">#N/A</definedName>
    <definedName name="zzz___7">#N/A</definedName>
    <definedName name="zzz___9">#N/A</definedName>
    <definedName name="zzzrd" localSheetId="28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localSheetId="35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18">[6]!Tx_intérêt_par_an/#REF!</definedName>
    <definedName name="zzzz" localSheetId="25">[6]!Tx_intérêt_par_an/#REF!</definedName>
    <definedName name="zzzz" localSheetId="29">[6]!Tx_intérêt_par_an/#REF!</definedName>
    <definedName name="zzzz" localSheetId="31">[6]!Tx_intérêt_par_an/#REF!</definedName>
    <definedName name="zzzz" localSheetId="15">[6]!Tx_intérêt_par_an/#REF!</definedName>
    <definedName name="zzzz" localSheetId="13">[6]!Tx_intérêt_par_an/#REF!</definedName>
    <definedName name="zzzz" localSheetId="19">[7]!Tx_intérêt_par_an/#REF!</definedName>
    <definedName name="zzzz" localSheetId="17">[6]!Tx_intérêt_par_an/#REF!</definedName>
    <definedName name="zzzz" localSheetId="12">[6]!Tx_intérêt_par_an/#REF!</definedName>
    <definedName name="zzzz" localSheetId="22">[8]!Tx_intérêt_par_an/#REF!</definedName>
    <definedName name="zzzz" localSheetId="35">[6]!Tx_intérêt_par_an/#REF!</definedName>
    <definedName name="zzzz">[6]!Tx_intérêt_par_an/#REF!</definedName>
    <definedName name="zzzz___0">#N/A</definedName>
    <definedName name="zzzz___12">#N/A</definedName>
    <definedName name="zzzz___14">#N/A</definedName>
    <definedName name="zzzz___16">#N/A</definedName>
    <definedName name="zzzz___2">#N/A</definedName>
    <definedName name="zzzz___23">#N/A</definedName>
    <definedName name="zzzz___25">#N/A</definedName>
    <definedName name="zzzz___26">#N/A</definedName>
    <definedName name="zzzz___27">#N/A</definedName>
    <definedName name="zzzz___3">#N/A</definedName>
    <definedName name="zzzz___4">#N/A</definedName>
    <definedName name="zzzz___5">#N/A</definedName>
    <definedName name="zzzz___6">#N/A</definedName>
    <definedName name="zzzz___7">#N/A</definedName>
    <definedName name="zzzz___9">#N/A</definedName>
    <definedName name="zzzzsssss" localSheetId="28">'[2]Cur Q v Plan'!#REF!</definedName>
    <definedName name="zzzzsssss" localSheetId="35">'[2]Cur Q v Plan'!#REF!</definedName>
    <definedName name="zzzzsssss">'[2]Cur Q v Plan'!#REF!</definedName>
    <definedName name="zzzzz" localSheetId="2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 localSheetId="2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 localSheetId="2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 localSheetId="3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z" localSheetId="25" hidden="1">{"orixcsc",#N/A,FALSE,"ORIX CSC";"orixcsc2",#N/A,FALSE,"ORIX CSC"}</definedName>
    <definedName name="zzzzzz" localSheetId="19" hidden="1">{"orixcsc",#N/A,FALSE,"ORIX CSC";"orixcsc2",#N/A,FALSE,"ORIX CSC"}</definedName>
    <definedName name="zzzzzz" localSheetId="22" hidden="1">{"orixcsc",#N/A,FALSE,"ORIX CSC";"orixcsc2",#N/A,FALSE,"ORIX CSC"}</definedName>
    <definedName name="zzzzzz" localSheetId="28" hidden="1">{"orixcsc",#N/A,FALSE,"ORIX CSC";"orixcsc2",#N/A,FALSE,"ORIX CSC"}</definedName>
    <definedName name="zzzzzz" localSheetId="35" hidden="1">{"orixcsc",#N/A,FALSE,"ORIX CSC";"orixcsc2",#N/A,FALSE,"ORIX CSC"}</definedName>
    <definedName name="zzzzzz" hidden="1">{"orixcsc",#N/A,FALSE,"ORIX CSC";"orixcsc2",#N/A,FALSE,"ORIX CSC"}</definedName>
    <definedName name="zzzzzzz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2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3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#N/A</definedName>
    <definedName name="كضن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232" i="24" l="1"/>
  <c r="DE230" i="24"/>
  <c r="DE228" i="24"/>
  <c r="DE226" i="24"/>
  <c r="DE224" i="24"/>
  <c r="DE222" i="24"/>
  <c r="DE220" i="24"/>
  <c r="DE218" i="24"/>
  <c r="DE216" i="24"/>
  <c r="DE214" i="24"/>
  <c r="DE212" i="24"/>
  <c r="DE210" i="24"/>
  <c r="DE208" i="24"/>
  <c r="DE206" i="24"/>
  <c r="DE202" i="24"/>
  <c r="DE200" i="24"/>
  <c r="DE198" i="24"/>
  <c r="DE196" i="24"/>
  <c r="DE194" i="24"/>
  <c r="DE192" i="24"/>
  <c r="DE190" i="24"/>
  <c r="DE188" i="24"/>
  <c r="DE186" i="24"/>
  <c r="DE184" i="24"/>
  <c r="DE182" i="24"/>
  <c r="DE180" i="24"/>
  <c r="DE178" i="24"/>
  <c r="DE176" i="24"/>
  <c r="DE174" i="24"/>
  <c r="DE172" i="24"/>
  <c r="DE170" i="24"/>
  <c r="DE168" i="24"/>
  <c r="DE166" i="24"/>
  <c r="DE164" i="24"/>
  <c r="DE162" i="24"/>
  <c r="DE160" i="24"/>
  <c r="DE158" i="24"/>
  <c r="DE156" i="24"/>
  <c r="DE154" i="24"/>
  <c r="DE152" i="24"/>
  <c r="DE150" i="24"/>
  <c r="DE148" i="24"/>
  <c r="DE146" i="24"/>
  <c r="DE144" i="24"/>
  <c r="DE142" i="24"/>
  <c r="DE140" i="24"/>
  <c r="DE138" i="24"/>
  <c r="DE136" i="24"/>
  <c r="DE134" i="24"/>
  <c r="DE132" i="24"/>
  <c r="DE130" i="24"/>
  <c r="DE128" i="24"/>
  <c r="DE126" i="24"/>
  <c r="DE124" i="24"/>
  <c r="DE122" i="24"/>
  <c r="DE120" i="24"/>
  <c r="DE118" i="24"/>
  <c r="DE116" i="24"/>
  <c r="DE114" i="24"/>
  <c r="DE112" i="24"/>
  <c r="DE110" i="24"/>
  <c r="DE108" i="24"/>
  <c r="DE106" i="24"/>
  <c r="DE104" i="24"/>
  <c r="CO231" i="24"/>
  <c r="DD230" i="24"/>
  <c r="D149" i="19"/>
  <c r="DW149" i="19" s="1"/>
  <c r="DX149" i="19" l="1"/>
  <c r="C164" i="19"/>
  <c r="DD228" i="24" l="1"/>
  <c r="DD226" i="24"/>
  <c r="DD224" i="24"/>
  <c r="DD222" i="24"/>
  <c r="DD220" i="24"/>
  <c r="DD218" i="24"/>
  <c r="DD216" i="24"/>
  <c r="DD214" i="24"/>
  <c r="DD212" i="24"/>
  <c r="DD210" i="24"/>
  <c r="DD208" i="24"/>
  <c r="DD206" i="24"/>
  <c r="DD202" i="24"/>
  <c r="DD200" i="24"/>
  <c r="DD198" i="24"/>
  <c r="DD196" i="24"/>
  <c r="DD194" i="24"/>
  <c r="DD192" i="24"/>
  <c r="DD190" i="24"/>
  <c r="DD188" i="24"/>
  <c r="DD186" i="24"/>
  <c r="DD184" i="24"/>
  <c r="DD182" i="24"/>
  <c r="DD180" i="24"/>
  <c r="DD178" i="24"/>
  <c r="DD176" i="24"/>
  <c r="DD174" i="24"/>
  <c r="DD172" i="24"/>
  <c r="DD170" i="24"/>
  <c r="DD168" i="24"/>
  <c r="DD166" i="24"/>
  <c r="DD164" i="24"/>
  <c r="DD162" i="24"/>
  <c r="DD160" i="24"/>
  <c r="DD158" i="24"/>
  <c r="DD156" i="24"/>
  <c r="DD154" i="24"/>
  <c r="DD152" i="24"/>
  <c r="DD150" i="24"/>
  <c r="DD148" i="24"/>
  <c r="DD146" i="24"/>
  <c r="DD144" i="24"/>
  <c r="DD142" i="24"/>
  <c r="DD140" i="24"/>
  <c r="DD138" i="24"/>
  <c r="DD136" i="24"/>
  <c r="DD134" i="24"/>
  <c r="DD132" i="24"/>
  <c r="DD130" i="24"/>
  <c r="DD128" i="24"/>
  <c r="DD126" i="24"/>
  <c r="DD124" i="24"/>
  <c r="DD122" i="24"/>
  <c r="DD120" i="24"/>
  <c r="DD118" i="24"/>
  <c r="DD116" i="24"/>
  <c r="DD114" i="24"/>
  <c r="DD112" i="24"/>
  <c r="DD110" i="24"/>
  <c r="DD108" i="24"/>
  <c r="DD106" i="24"/>
  <c r="DD104" i="24"/>
  <c r="CO229" i="24"/>
  <c r="CO233" i="24"/>
  <c r="D148" i="19"/>
  <c r="DV148" i="19" l="1"/>
  <c r="DX148" i="19"/>
  <c r="DW148" i="19"/>
  <c r="DC228" i="24"/>
  <c r="DC226" i="24"/>
  <c r="DC224" i="24"/>
  <c r="DC222" i="24"/>
  <c r="DC220" i="24"/>
  <c r="DC218" i="24"/>
  <c r="DC216" i="24"/>
  <c r="DC214" i="24"/>
  <c r="DC212" i="24"/>
  <c r="DC210" i="24"/>
  <c r="DC208" i="24"/>
  <c r="DC206" i="24"/>
  <c r="DC202" i="24"/>
  <c r="DC200" i="24"/>
  <c r="DC198" i="24"/>
  <c r="DC196" i="24"/>
  <c r="DC194" i="24"/>
  <c r="DC192" i="24"/>
  <c r="DC190" i="24"/>
  <c r="DC188" i="24"/>
  <c r="DC186" i="24"/>
  <c r="DC184" i="24"/>
  <c r="DC182" i="24"/>
  <c r="DC180" i="24"/>
  <c r="DC178" i="24"/>
  <c r="DC176" i="24"/>
  <c r="DC174" i="24"/>
  <c r="DC172" i="24"/>
  <c r="DC170" i="24"/>
  <c r="DC168" i="24"/>
  <c r="DC166" i="24"/>
  <c r="DC164" i="24"/>
  <c r="DC162" i="24"/>
  <c r="DC160" i="24"/>
  <c r="DC158" i="24"/>
  <c r="DC156" i="24"/>
  <c r="DC154" i="24"/>
  <c r="DC152" i="24"/>
  <c r="DC150" i="24"/>
  <c r="DC148" i="24"/>
  <c r="DC146" i="24"/>
  <c r="DC144" i="24"/>
  <c r="DC142" i="24"/>
  <c r="DC140" i="24"/>
  <c r="DC138" i="24"/>
  <c r="DC136" i="24"/>
  <c r="DC134" i="24"/>
  <c r="DC132" i="24"/>
  <c r="DC130" i="24"/>
  <c r="DC128" i="24"/>
  <c r="DC126" i="24"/>
  <c r="DC124" i="24"/>
  <c r="DC122" i="24"/>
  <c r="DC120" i="24"/>
  <c r="DC118" i="24"/>
  <c r="DC116" i="24"/>
  <c r="DC114" i="24"/>
  <c r="DC112" i="24"/>
  <c r="DC110" i="24"/>
  <c r="DC108" i="24"/>
  <c r="DC106" i="24"/>
  <c r="DC104" i="24"/>
  <c r="CO227" i="24"/>
  <c r="D147" i="19"/>
  <c r="DX147" i="19" s="1"/>
  <c r="DU147" i="19" l="1"/>
  <c r="DW147" i="19"/>
  <c r="DV147" i="19"/>
  <c r="D150" i="19"/>
  <c r="DX150" i="19" s="1"/>
  <c r="DB226" i="24"/>
  <c r="CO225" i="24"/>
  <c r="DB224" i="24"/>
  <c r="DB222" i="24"/>
  <c r="DB220" i="24"/>
  <c r="DB218" i="24"/>
  <c r="DB216" i="24"/>
  <c r="DB214" i="24"/>
  <c r="DB212" i="24"/>
  <c r="DB210" i="24"/>
  <c r="DB208" i="24"/>
  <c r="DB206" i="24"/>
  <c r="DB202" i="24"/>
  <c r="DB200" i="24"/>
  <c r="DB198" i="24"/>
  <c r="DB196" i="24"/>
  <c r="DB194" i="24"/>
  <c r="DB192" i="24"/>
  <c r="DB190" i="24"/>
  <c r="DB188" i="24"/>
  <c r="DB186" i="24"/>
  <c r="DB184" i="24"/>
  <c r="DB182" i="24"/>
  <c r="DB180" i="24"/>
  <c r="DB178" i="24"/>
  <c r="DB176" i="24"/>
  <c r="DB174" i="24"/>
  <c r="DB172" i="24"/>
  <c r="DB170" i="24"/>
  <c r="DB168" i="24"/>
  <c r="DB166" i="24"/>
  <c r="DB164" i="24"/>
  <c r="DB162" i="24"/>
  <c r="DB160" i="24"/>
  <c r="DB158" i="24"/>
  <c r="DB156" i="24"/>
  <c r="DB154" i="24"/>
  <c r="DB152" i="24"/>
  <c r="DB150" i="24"/>
  <c r="DB148" i="24"/>
  <c r="DB146" i="24"/>
  <c r="DB144" i="24"/>
  <c r="DB142" i="24"/>
  <c r="DB140" i="24"/>
  <c r="DB138" i="24"/>
  <c r="DB136" i="24"/>
  <c r="DB134" i="24"/>
  <c r="DB132" i="24"/>
  <c r="DB130" i="24"/>
  <c r="DB128" i="24"/>
  <c r="DB126" i="24"/>
  <c r="DB124" i="24"/>
  <c r="DB122" i="24"/>
  <c r="DB120" i="24"/>
  <c r="DB118" i="24"/>
  <c r="DB116" i="24"/>
  <c r="DB114" i="24"/>
  <c r="DB112" i="24"/>
  <c r="DB110" i="24"/>
  <c r="DB108" i="24"/>
  <c r="DB106" i="24"/>
  <c r="DB104" i="24"/>
  <c r="D145" i="19" l="1"/>
  <c r="DX145" i="19" s="1"/>
  <c r="DA224" i="24"/>
  <c r="DA222" i="24"/>
  <c r="DA220" i="24"/>
  <c r="DA218" i="24"/>
  <c r="DA216" i="24"/>
  <c r="DA214" i="24"/>
  <c r="DA212" i="24"/>
  <c r="DA210" i="24"/>
  <c r="DA208" i="24"/>
  <c r="DA206" i="24"/>
  <c r="DA202" i="24"/>
  <c r="DA200" i="24"/>
  <c r="DA198" i="24"/>
  <c r="DA196" i="24"/>
  <c r="DA194" i="24"/>
  <c r="DA192" i="24"/>
  <c r="DA190" i="24"/>
  <c r="DA188" i="24"/>
  <c r="DA186" i="24"/>
  <c r="DA184" i="24"/>
  <c r="DA182" i="24"/>
  <c r="DA180" i="24"/>
  <c r="DA178" i="24"/>
  <c r="DA176" i="24"/>
  <c r="DA174" i="24"/>
  <c r="DA172" i="24"/>
  <c r="DA170" i="24"/>
  <c r="DA168" i="24"/>
  <c r="DA166" i="24"/>
  <c r="DA164" i="24"/>
  <c r="DA162" i="24"/>
  <c r="DA160" i="24"/>
  <c r="DA158" i="24"/>
  <c r="DA156" i="24"/>
  <c r="DA154" i="24"/>
  <c r="DA152" i="24"/>
  <c r="DA150" i="24"/>
  <c r="DA148" i="24"/>
  <c r="DA146" i="24"/>
  <c r="DA144" i="24"/>
  <c r="DA142" i="24"/>
  <c r="DA140" i="24"/>
  <c r="DA138" i="24"/>
  <c r="DA136" i="24"/>
  <c r="DA134" i="24"/>
  <c r="DA132" i="24"/>
  <c r="DA130" i="24"/>
  <c r="DA128" i="24"/>
  <c r="DA126" i="24"/>
  <c r="DA124" i="24"/>
  <c r="DA122" i="24"/>
  <c r="DA120" i="24"/>
  <c r="DA118" i="24"/>
  <c r="DA116" i="24"/>
  <c r="DA114" i="24"/>
  <c r="DA112" i="24"/>
  <c r="DA110" i="24"/>
  <c r="DA108" i="24"/>
  <c r="DA106" i="24"/>
  <c r="DA104" i="24"/>
  <c r="DV145" i="19" l="1"/>
  <c r="DW145" i="19"/>
  <c r="DT145" i="19"/>
  <c r="DU145" i="19"/>
  <c r="DS145" i="19"/>
  <c r="CZ222" i="24" l="1"/>
  <c r="CO221" i="24"/>
  <c r="CZ220" i="24"/>
  <c r="CZ218" i="24"/>
  <c r="CZ216" i="24"/>
  <c r="CZ214" i="24"/>
  <c r="CZ212" i="24"/>
  <c r="CZ210" i="24"/>
  <c r="CZ208" i="24"/>
  <c r="CZ206" i="24"/>
  <c r="CZ202" i="24"/>
  <c r="CZ200" i="24"/>
  <c r="CZ198" i="24"/>
  <c r="CZ196" i="24"/>
  <c r="CZ194" i="24"/>
  <c r="CZ192" i="24"/>
  <c r="CZ190" i="24"/>
  <c r="CZ188" i="24"/>
  <c r="CZ186" i="24"/>
  <c r="CZ184" i="24"/>
  <c r="CZ182" i="24"/>
  <c r="CZ180" i="24"/>
  <c r="CZ178" i="24"/>
  <c r="CZ176" i="24"/>
  <c r="CZ174" i="24"/>
  <c r="CZ172" i="24"/>
  <c r="CZ170" i="24"/>
  <c r="CZ168" i="24"/>
  <c r="CZ166" i="24"/>
  <c r="CZ164" i="24"/>
  <c r="CZ162" i="24"/>
  <c r="CZ160" i="24"/>
  <c r="CZ158" i="24"/>
  <c r="CZ156" i="24"/>
  <c r="CZ154" i="24"/>
  <c r="CZ152" i="24"/>
  <c r="CZ150" i="24"/>
  <c r="CZ148" i="24"/>
  <c r="CZ146" i="24"/>
  <c r="CZ144" i="24"/>
  <c r="CZ142" i="24"/>
  <c r="CZ140" i="24"/>
  <c r="CZ138" i="24"/>
  <c r="CZ136" i="24"/>
  <c r="CZ134" i="24"/>
  <c r="CZ132" i="24"/>
  <c r="CZ130" i="24"/>
  <c r="CZ128" i="24"/>
  <c r="CZ126" i="24"/>
  <c r="CZ124" i="24"/>
  <c r="CZ122" i="24"/>
  <c r="CZ120" i="24"/>
  <c r="CZ118" i="24"/>
  <c r="CZ116" i="24"/>
  <c r="CZ114" i="24"/>
  <c r="CZ112" i="24"/>
  <c r="CZ110" i="24"/>
  <c r="CZ108" i="24"/>
  <c r="CZ106" i="24"/>
  <c r="CZ104" i="24"/>
  <c r="D144" i="19"/>
  <c r="DX144" i="19" s="1"/>
  <c r="DV144" i="19" l="1"/>
  <c r="DW144" i="19"/>
  <c r="DS144" i="19"/>
  <c r="DU144" i="19"/>
  <c r="DR144" i="19"/>
  <c r="DT144" i="19"/>
  <c r="CY220" i="24"/>
  <c r="CY218" i="24"/>
  <c r="CY216" i="24"/>
  <c r="CY214" i="24"/>
  <c r="CY212" i="24"/>
  <c r="CY210" i="24"/>
  <c r="CY208" i="24"/>
  <c r="CY206" i="24"/>
  <c r="CY202" i="24"/>
  <c r="CY200" i="24"/>
  <c r="CY198" i="24"/>
  <c r="CY196" i="24"/>
  <c r="CY194" i="24"/>
  <c r="CY192" i="24"/>
  <c r="CY190" i="24"/>
  <c r="CY188" i="24"/>
  <c r="CY186" i="24"/>
  <c r="CY184" i="24"/>
  <c r="CY182" i="24"/>
  <c r="CY180" i="24"/>
  <c r="CY178" i="24"/>
  <c r="CY176" i="24"/>
  <c r="CY174" i="24"/>
  <c r="CY172" i="24"/>
  <c r="CY170" i="24"/>
  <c r="CY168" i="24"/>
  <c r="CY166" i="24"/>
  <c r="CY164" i="24"/>
  <c r="CY162" i="24"/>
  <c r="CY160" i="24"/>
  <c r="CY158" i="24"/>
  <c r="CY156" i="24"/>
  <c r="CY154" i="24"/>
  <c r="CY152" i="24"/>
  <c r="CY150" i="24"/>
  <c r="CY148" i="24"/>
  <c r="CY146" i="24"/>
  <c r="CY144" i="24"/>
  <c r="CY142" i="24"/>
  <c r="CY140" i="24"/>
  <c r="CY138" i="24"/>
  <c r="CY136" i="24"/>
  <c r="CY134" i="24"/>
  <c r="CY132" i="24"/>
  <c r="CY130" i="24"/>
  <c r="CY128" i="24"/>
  <c r="CY126" i="24"/>
  <c r="CY124" i="24"/>
  <c r="CY122" i="24"/>
  <c r="CY120" i="24"/>
  <c r="CY118" i="24"/>
  <c r="CY116" i="24"/>
  <c r="CY114" i="24"/>
  <c r="CY112" i="24"/>
  <c r="CY110" i="24"/>
  <c r="CY108" i="24"/>
  <c r="CY106" i="24"/>
  <c r="CY104" i="24"/>
  <c r="CO219" i="24"/>
  <c r="D146" i="19"/>
  <c r="DX146" i="19" s="1"/>
  <c r="DV146" i="19" l="1"/>
  <c r="DW146" i="19"/>
  <c r="DT146" i="19"/>
  <c r="DU146" i="19"/>
  <c r="CX218" i="24"/>
  <c r="CX216" i="24"/>
  <c r="CX214" i="24"/>
  <c r="CX212" i="24"/>
  <c r="CX210" i="24"/>
  <c r="CX208" i="24"/>
  <c r="CX206" i="24"/>
  <c r="CX202" i="24"/>
  <c r="CX200" i="24"/>
  <c r="CX198" i="24"/>
  <c r="CX196" i="24"/>
  <c r="CX194" i="24"/>
  <c r="CX192" i="24"/>
  <c r="CX190" i="24"/>
  <c r="CX188" i="24"/>
  <c r="CX186" i="24"/>
  <c r="CX184" i="24"/>
  <c r="CX182" i="24"/>
  <c r="CX180" i="24"/>
  <c r="CX178" i="24"/>
  <c r="CX176" i="24"/>
  <c r="CX174" i="24"/>
  <c r="CX172" i="24"/>
  <c r="CX170" i="24"/>
  <c r="CX168" i="24"/>
  <c r="CX166" i="24"/>
  <c r="CX164" i="24"/>
  <c r="CX162" i="24"/>
  <c r="CX160" i="24"/>
  <c r="CX158" i="24"/>
  <c r="CX156" i="24"/>
  <c r="CX154" i="24"/>
  <c r="CX152" i="24"/>
  <c r="CX150" i="24"/>
  <c r="CX148" i="24"/>
  <c r="CX146" i="24"/>
  <c r="CX144" i="24"/>
  <c r="CX142" i="24"/>
  <c r="CX140" i="24"/>
  <c r="CX138" i="24"/>
  <c r="CX136" i="24"/>
  <c r="CX134" i="24"/>
  <c r="CX132" i="24"/>
  <c r="CX130" i="24"/>
  <c r="CX128" i="24"/>
  <c r="CX126" i="24"/>
  <c r="CX124" i="24"/>
  <c r="CX122" i="24"/>
  <c r="CX120" i="24"/>
  <c r="CX118" i="24"/>
  <c r="CX116" i="24"/>
  <c r="CX114" i="24"/>
  <c r="CX112" i="24"/>
  <c r="CX110" i="24"/>
  <c r="CX108" i="24"/>
  <c r="CX106" i="24"/>
  <c r="CX104" i="24"/>
  <c r="CW216" i="24"/>
  <c r="CO215" i="24"/>
  <c r="D142" i="19" l="1"/>
  <c r="DW142" i="19" l="1"/>
  <c r="DX142" i="19"/>
  <c r="DU142" i="19"/>
  <c r="DV142" i="19"/>
  <c r="DT142" i="19"/>
  <c r="DS142" i="19"/>
  <c r="DP142" i="19"/>
  <c r="DR142" i="19"/>
  <c r="DQ142" i="19"/>
  <c r="CW214" i="24"/>
  <c r="CW212" i="24"/>
  <c r="CW210" i="24"/>
  <c r="CW208" i="24"/>
  <c r="CW206" i="24"/>
  <c r="CW202" i="24"/>
  <c r="CW200" i="24"/>
  <c r="CW198" i="24"/>
  <c r="CW196" i="24"/>
  <c r="CW194" i="24"/>
  <c r="CW192" i="24"/>
  <c r="CW190" i="24"/>
  <c r="CW188" i="24"/>
  <c r="CW186" i="24"/>
  <c r="CW184" i="24"/>
  <c r="CW182" i="24"/>
  <c r="CW180" i="24"/>
  <c r="CW178" i="24"/>
  <c r="CW176" i="24"/>
  <c r="CW174" i="24"/>
  <c r="CW172" i="24"/>
  <c r="CW170" i="24"/>
  <c r="CW168" i="24"/>
  <c r="CW166" i="24"/>
  <c r="CW164" i="24"/>
  <c r="CW162" i="24"/>
  <c r="CW160" i="24"/>
  <c r="CW158" i="24"/>
  <c r="CW156" i="24"/>
  <c r="CW154" i="24"/>
  <c r="CW152" i="24"/>
  <c r="CW150" i="24"/>
  <c r="CW148" i="24"/>
  <c r="CW146" i="24"/>
  <c r="CW144" i="24"/>
  <c r="CW142" i="24"/>
  <c r="CW140" i="24"/>
  <c r="CW138" i="24"/>
  <c r="CW136" i="24"/>
  <c r="CW134" i="24"/>
  <c r="CW132" i="24"/>
  <c r="CW130" i="24"/>
  <c r="CW128" i="24"/>
  <c r="CW126" i="24"/>
  <c r="CW124" i="24"/>
  <c r="CW122" i="24"/>
  <c r="CW120" i="24"/>
  <c r="CW118" i="24"/>
  <c r="CW116" i="24"/>
  <c r="CW114" i="24"/>
  <c r="CW112" i="24"/>
  <c r="CW110" i="24"/>
  <c r="CW108" i="24"/>
  <c r="CW106" i="24"/>
  <c r="CW104" i="24"/>
  <c r="CO217" i="24"/>
  <c r="D141" i="19"/>
  <c r="DW141" i="19" l="1"/>
  <c r="DX141" i="19"/>
  <c r="DU141" i="19"/>
  <c r="DV141" i="19"/>
  <c r="DR141" i="19"/>
  <c r="DT141" i="19"/>
  <c r="DS141" i="19"/>
  <c r="DO141" i="19"/>
  <c r="DQ141" i="19"/>
  <c r="DP141" i="19"/>
  <c r="CV214" i="24"/>
  <c r="D140" i="19" l="1"/>
  <c r="CV212" i="24"/>
  <c r="CV210" i="24"/>
  <c r="CV208" i="24"/>
  <c r="CV206" i="24"/>
  <c r="CV202" i="24"/>
  <c r="CV200" i="24"/>
  <c r="CV198" i="24"/>
  <c r="CV196" i="24"/>
  <c r="CV194" i="24"/>
  <c r="CV192" i="24"/>
  <c r="CV190" i="24"/>
  <c r="CV188" i="24"/>
  <c r="CV186" i="24"/>
  <c r="CV184" i="24"/>
  <c r="CV182" i="24"/>
  <c r="CV180" i="24"/>
  <c r="CV178" i="24"/>
  <c r="CV176" i="24"/>
  <c r="CV174" i="24"/>
  <c r="CV172" i="24"/>
  <c r="CV170" i="24"/>
  <c r="CV168" i="24"/>
  <c r="CV166" i="24"/>
  <c r="CV164" i="24"/>
  <c r="CV162" i="24"/>
  <c r="CV160" i="24"/>
  <c r="CV158" i="24"/>
  <c r="CV156" i="24"/>
  <c r="CV154" i="24"/>
  <c r="CV152" i="24"/>
  <c r="CV150" i="24"/>
  <c r="CV148" i="24"/>
  <c r="CV146" i="24"/>
  <c r="CV144" i="24"/>
  <c r="CV142" i="24"/>
  <c r="CV140" i="24"/>
  <c r="CV138" i="24"/>
  <c r="CV136" i="24"/>
  <c r="CV134" i="24"/>
  <c r="CV132" i="24"/>
  <c r="CV130" i="24"/>
  <c r="CV128" i="24"/>
  <c r="CV126" i="24"/>
  <c r="CV124" i="24"/>
  <c r="CV122" i="24"/>
  <c r="CV120" i="24"/>
  <c r="CV118" i="24"/>
  <c r="CV116" i="24"/>
  <c r="CV114" i="24"/>
  <c r="CV112" i="24"/>
  <c r="CV110" i="24"/>
  <c r="CV108" i="24"/>
  <c r="CV106" i="24"/>
  <c r="CV104" i="24"/>
  <c r="CO223" i="24"/>
  <c r="DW140" i="19" l="1"/>
  <c r="DX140" i="19"/>
  <c r="DU140" i="19"/>
  <c r="DV140" i="19"/>
  <c r="DT140" i="19"/>
  <c r="DS140" i="19"/>
  <c r="DQ140" i="19"/>
  <c r="DR140" i="19"/>
  <c r="DN140" i="19"/>
  <c r="DP140" i="19"/>
  <c r="DO140" i="19"/>
  <c r="CU210" i="24"/>
  <c r="CT210" i="24"/>
  <c r="CU212" i="24"/>
  <c r="CU208" i="24"/>
  <c r="CU206" i="24"/>
  <c r="CU202" i="24"/>
  <c r="CU200" i="24"/>
  <c r="CU198" i="24"/>
  <c r="CU196" i="24"/>
  <c r="CU194" i="24"/>
  <c r="CU192" i="24"/>
  <c r="CU190" i="24"/>
  <c r="CU188" i="24"/>
  <c r="CU186" i="24"/>
  <c r="CU184" i="24"/>
  <c r="CU182" i="24"/>
  <c r="CU180" i="24"/>
  <c r="CU178" i="24"/>
  <c r="CU176" i="24"/>
  <c r="CU174" i="24"/>
  <c r="CU172" i="24"/>
  <c r="CU170" i="24"/>
  <c r="CU168" i="24"/>
  <c r="CU166" i="24"/>
  <c r="CU164" i="24"/>
  <c r="CU162" i="24"/>
  <c r="CU160" i="24"/>
  <c r="CU158" i="24"/>
  <c r="CU156" i="24"/>
  <c r="CU154" i="24"/>
  <c r="CU152" i="24"/>
  <c r="CU150" i="24"/>
  <c r="CU148" i="24"/>
  <c r="CU146" i="24"/>
  <c r="CU144" i="24"/>
  <c r="CU142" i="24"/>
  <c r="CU140" i="24"/>
  <c r="CU138" i="24"/>
  <c r="CU136" i="24"/>
  <c r="CU134" i="24"/>
  <c r="CU132" i="24"/>
  <c r="CU130" i="24"/>
  <c r="CU128" i="24"/>
  <c r="CU126" i="24"/>
  <c r="CU124" i="24"/>
  <c r="CU122" i="24"/>
  <c r="CU120" i="24"/>
  <c r="CU118" i="24"/>
  <c r="CU116" i="24"/>
  <c r="CU114" i="24"/>
  <c r="CU112" i="24"/>
  <c r="CU110" i="24"/>
  <c r="CU108" i="24"/>
  <c r="CU106" i="24"/>
  <c r="CU104" i="24"/>
  <c r="D139" i="19" l="1"/>
  <c r="DW139" i="19" l="1"/>
  <c r="DX139" i="19"/>
  <c r="DU139" i="19"/>
  <c r="DV139" i="19"/>
  <c r="DR139" i="19"/>
  <c r="DT139" i="19"/>
  <c r="DS139" i="19"/>
  <c r="DP139" i="19"/>
  <c r="DQ139" i="19"/>
  <c r="DM139" i="19"/>
  <c r="DO139" i="19"/>
  <c r="DN139" i="19"/>
  <c r="D143" i="19"/>
  <c r="CT208" i="24"/>
  <c r="CT206" i="24"/>
  <c r="CT202" i="24"/>
  <c r="CT200" i="24"/>
  <c r="CT198" i="24"/>
  <c r="CT196" i="24"/>
  <c r="CT194" i="24"/>
  <c r="CT192" i="24"/>
  <c r="CT190" i="24"/>
  <c r="CT188" i="24"/>
  <c r="CT186" i="24"/>
  <c r="CT184" i="24"/>
  <c r="CT182" i="24"/>
  <c r="CT180" i="24"/>
  <c r="CT178" i="24"/>
  <c r="CT176" i="24"/>
  <c r="CT174" i="24"/>
  <c r="CT172" i="24"/>
  <c r="CT170" i="24"/>
  <c r="CT168" i="24"/>
  <c r="CT166" i="24"/>
  <c r="CT164" i="24"/>
  <c r="CT162" i="24"/>
  <c r="CT160" i="24"/>
  <c r="CT158" i="24"/>
  <c r="CT156" i="24"/>
  <c r="CT154" i="24"/>
  <c r="CT152" i="24"/>
  <c r="CT150" i="24"/>
  <c r="CT148" i="24"/>
  <c r="CT146" i="24"/>
  <c r="CT144" i="24"/>
  <c r="CT142" i="24"/>
  <c r="CT140" i="24"/>
  <c r="CT138" i="24"/>
  <c r="CT136" i="24"/>
  <c r="CT134" i="24"/>
  <c r="CT132" i="24"/>
  <c r="CT130" i="24"/>
  <c r="CT128" i="24"/>
  <c r="CT126" i="24"/>
  <c r="CT124" i="24"/>
  <c r="CT122" i="24"/>
  <c r="CT120" i="24"/>
  <c r="CT118" i="24"/>
  <c r="CT116" i="24"/>
  <c r="CT114" i="24"/>
  <c r="CT112" i="24"/>
  <c r="CT110" i="24"/>
  <c r="CT108" i="24"/>
  <c r="CT106" i="24"/>
  <c r="CT104" i="24"/>
  <c r="DW143" i="19" l="1"/>
  <c r="DX143" i="19"/>
  <c r="DU143" i="19"/>
  <c r="DV143" i="19"/>
  <c r="DQ143" i="19"/>
  <c r="DT143" i="19"/>
  <c r="DS143" i="19"/>
  <c r="DR143" i="19"/>
  <c r="D138" i="19"/>
  <c r="CS208" i="24"/>
  <c r="CS206" i="24"/>
  <c r="CS202" i="24"/>
  <c r="CS200" i="24"/>
  <c r="CS198" i="24"/>
  <c r="CS196" i="24"/>
  <c r="CS194" i="24"/>
  <c r="CS192" i="24"/>
  <c r="CS190" i="24"/>
  <c r="CS188" i="24"/>
  <c r="CS186" i="24"/>
  <c r="CS184" i="24"/>
  <c r="CS182" i="24"/>
  <c r="CS180" i="24"/>
  <c r="CS178" i="24"/>
  <c r="CS176" i="24"/>
  <c r="CS174" i="24"/>
  <c r="CS172" i="24"/>
  <c r="CS170" i="24"/>
  <c r="CS168" i="24"/>
  <c r="CS166" i="24"/>
  <c r="CS164" i="24"/>
  <c r="CS162" i="24"/>
  <c r="CS160" i="24"/>
  <c r="CS158" i="24"/>
  <c r="CS156" i="24"/>
  <c r="CS154" i="24"/>
  <c r="CS152" i="24"/>
  <c r="CS150" i="24"/>
  <c r="CS148" i="24"/>
  <c r="CS146" i="24"/>
  <c r="CS144" i="24"/>
  <c r="CS142" i="24"/>
  <c r="CS140" i="24"/>
  <c r="CS138" i="24"/>
  <c r="CS136" i="24"/>
  <c r="CS134" i="24"/>
  <c r="CS132" i="24"/>
  <c r="CS130" i="24"/>
  <c r="CS128" i="24"/>
  <c r="CS126" i="24"/>
  <c r="CS124" i="24"/>
  <c r="CS122" i="24"/>
  <c r="CS120" i="24"/>
  <c r="CS118" i="24"/>
  <c r="CS116" i="24"/>
  <c r="CS114" i="24"/>
  <c r="CS112" i="24"/>
  <c r="CS110" i="24"/>
  <c r="CS108" i="24"/>
  <c r="CS106" i="24"/>
  <c r="CS104" i="24"/>
  <c r="DW138" i="19" l="1"/>
  <c r="DX138" i="19"/>
  <c r="DU138" i="19"/>
  <c r="DV138" i="19"/>
  <c r="DT138" i="19"/>
  <c r="DS138" i="19"/>
  <c r="DQ138" i="19"/>
  <c r="DR138" i="19"/>
  <c r="DO138" i="19"/>
  <c r="DP138" i="19"/>
  <c r="DN138" i="19"/>
  <c r="DM138" i="19"/>
  <c r="DL138" i="19"/>
  <c r="CR206" i="24"/>
  <c r="CR104" i="24"/>
  <c r="CR106" i="24"/>
  <c r="CR108" i="24"/>
  <c r="CR110" i="24"/>
  <c r="CR112" i="24"/>
  <c r="CR114" i="24"/>
  <c r="CR116" i="24"/>
  <c r="CR118" i="24"/>
  <c r="CR120" i="24"/>
  <c r="CR122" i="24"/>
  <c r="CR124" i="24"/>
  <c r="CR126" i="24"/>
  <c r="CR128" i="24"/>
  <c r="CR130" i="24"/>
  <c r="CR132" i="24"/>
  <c r="CR134" i="24"/>
  <c r="CR136" i="24"/>
  <c r="CR138" i="24"/>
  <c r="CR140" i="24"/>
  <c r="CR142" i="24"/>
  <c r="CR144" i="24"/>
  <c r="CR146" i="24"/>
  <c r="CR148" i="24"/>
  <c r="CR150" i="24"/>
  <c r="CR152" i="24"/>
  <c r="CR154" i="24"/>
  <c r="CR156" i="24"/>
  <c r="CR158" i="24"/>
  <c r="CR160" i="24"/>
  <c r="CR162" i="24"/>
  <c r="CR164" i="24"/>
  <c r="CR166" i="24"/>
  <c r="CR168" i="24"/>
  <c r="CR170" i="24"/>
  <c r="CR172" i="24"/>
  <c r="CR174" i="24"/>
  <c r="CR176" i="24"/>
  <c r="CR178" i="24"/>
  <c r="CR180" i="24"/>
  <c r="CR182" i="24"/>
  <c r="CR184" i="24"/>
  <c r="CR186" i="24"/>
  <c r="CR188" i="24"/>
  <c r="CR190" i="24"/>
  <c r="CR192" i="24"/>
  <c r="CR194" i="24"/>
  <c r="CR196" i="24"/>
  <c r="CR198" i="24"/>
  <c r="CR200" i="24"/>
  <c r="CR202" i="24"/>
  <c r="D137" i="19"/>
  <c r="DW137" i="19" l="1"/>
  <c r="DX137" i="19"/>
  <c r="DU137" i="19"/>
  <c r="DV137" i="19"/>
  <c r="DT137" i="19"/>
  <c r="DS137" i="19"/>
  <c r="DQ137" i="19"/>
  <c r="DR137" i="19"/>
  <c r="DO137" i="19"/>
  <c r="DP137" i="19"/>
  <c r="DM137" i="19"/>
  <c r="DN137" i="19"/>
  <c r="DK137" i="19"/>
  <c r="DL137" i="19"/>
  <c r="H204" i="24"/>
  <c r="DE204" i="24" l="1"/>
  <c r="DD204" i="24"/>
  <c r="DC204" i="24"/>
  <c r="DB204" i="24"/>
  <c r="DA204" i="24"/>
  <c r="CZ204" i="24"/>
  <c r="CY204" i="24"/>
  <c r="CX204" i="24"/>
  <c r="CW204" i="24"/>
  <c r="CV204" i="24"/>
  <c r="CU204" i="24"/>
  <c r="CT204" i="24"/>
  <c r="CS204" i="24"/>
  <c r="CR204" i="24"/>
  <c r="D136" i="19"/>
  <c r="DW136" i="19" l="1"/>
  <c r="DX136" i="19"/>
  <c r="DU136" i="19"/>
  <c r="DV136" i="19"/>
  <c r="DR136" i="19"/>
  <c r="DT136" i="19"/>
  <c r="DS136" i="19"/>
  <c r="DP136" i="19"/>
  <c r="DQ136" i="19"/>
  <c r="DN136" i="19"/>
  <c r="DO136" i="19"/>
  <c r="DL136" i="19"/>
  <c r="DM136" i="19"/>
  <c r="DK136" i="19"/>
  <c r="DJ136" i="19"/>
  <c r="FW204" i="24"/>
  <c r="FV204" i="24"/>
  <c r="FU204" i="24"/>
  <c r="FT204" i="24"/>
  <c r="FS204" i="24"/>
  <c r="FR204" i="24"/>
  <c r="FQ204" i="24"/>
  <c r="FP204" i="24"/>
  <c r="FO204" i="24"/>
  <c r="FN204" i="24"/>
  <c r="FM204" i="24"/>
  <c r="FL204" i="24"/>
  <c r="FK204" i="24"/>
  <c r="FJ204" i="24"/>
  <c r="FI204" i="24"/>
  <c r="FH204" i="24"/>
  <c r="FG204" i="24"/>
  <c r="FF204" i="24"/>
  <c r="FE204" i="24"/>
  <c r="FD204" i="24"/>
  <c r="FC204" i="24"/>
  <c r="FB204" i="24"/>
  <c r="FA204" i="24"/>
  <c r="EZ204" i="24"/>
  <c r="CQ204" i="24"/>
  <c r="D135" i="19" l="1"/>
  <c r="FV202" i="24"/>
  <c r="FU202" i="24"/>
  <c r="FT202" i="24"/>
  <c r="FS202" i="24"/>
  <c r="FR202" i="24"/>
  <c r="FQ202" i="24"/>
  <c r="FP202" i="24"/>
  <c r="FO202" i="24"/>
  <c r="FN202" i="24"/>
  <c r="FM202" i="24"/>
  <c r="FL202" i="24"/>
  <c r="FK202" i="24"/>
  <c r="FJ202" i="24"/>
  <c r="FI202" i="24"/>
  <c r="FH202" i="24"/>
  <c r="FG202" i="24"/>
  <c r="FF202" i="24"/>
  <c r="FE202" i="24"/>
  <c r="FD202" i="24"/>
  <c r="FC202" i="24"/>
  <c r="FB202" i="24"/>
  <c r="FA202" i="24"/>
  <c r="EZ202" i="24"/>
  <c r="CQ202" i="24"/>
  <c r="CP202" i="24"/>
  <c r="DW135" i="19" l="1"/>
  <c r="DX135" i="19"/>
  <c r="DU135" i="19"/>
  <c r="DV135" i="19"/>
  <c r="DR135" i="19"/>
  <c r="DT135" i="19"/>
  <c r="DS135" i="19"/>
  <c r="DP135" i="19"/>
  <c r="DQ135" i="19"/>
  <c r="DN135" i="19"/>
  <c r="DO135" i="19"/>
  <c r="DL135" i="19"/>
  <c r="DM135" i="19"/>
  <c r="DK135" i="19"/>
  <c r="DJ135" i="19"/>
  <c r="DI135" i="19"/>
  <c r="D134" i="19"/>
  <c r="CO213" i="24"/>
  <c r="CO199" i="24"/>
  <c r="CO200" i="24"/>
  <c r="FU200" i="24"/>
  <c r="FT200" i="24"/>
  <c r="FS200" i="24"/>
  <c r="FR200" i="24"/>
  <c r="FQ200" i="24"/>
  <c r="FP200" i="24"/>
  <c r="FO200" i="24"/>
  <c r="FN200" i="24"/>
  <c r="FM200" i="24"/>
  <c r="FL200" i="24"/>
  <c r="FK200" i="24"/>
  <c r="FJ200" i="24"/>
  <c r="FI200" i="24"/>
  <c r="FH200" i="24"/>
  <c r="FG200" i="24"/>
  <c r="FF200" i="24"/>
  <c r="FE200" i="24"/>
  <c r="FD200" i="24"/>
  <c r="FC200" i="24"/>
  <c r="FB200" i="24"/>
  <c r="FA200" i="24"/>
  <c r="EZ200" i="24"/>
  <c r="CQ200" i="24"/>
  <c r="CP200" i="24"/>
  <c r="DW134" i="19" l="1"/>
  <c r="DX134" i="19"/>
  <c r="DU134" i="19"/>
  <c r="DV134" i="19"/>
  <c r="DT134" i="19"/>
  <c r="DS134" i="19"/>
  <c r="DQ134" i="19"/>
  <c r="DR134" i="19"/>
  <c r="DO134" i="19"/>
  <c r="DP134" i="19"/>
  <c r="DM134" i="19"/>
  <c r="DN134" i="19"/>
  <c r="DK134" i="19"/>
  <c r="DL134" i="19"/>
  <c r="DH134" i="19"/>
  <c r="DJ134" i="19"/>
  <c r="DI134" i="19"/>
  <c r="I692" i="4"/>
  <c r="H692" i="4"/>
  <c r="K688" i="4"/>
  <c r="J688" i="4"/>
  <c r="I688" i="4"/>
  <c r="H688" i="4"/>
  <c r="G688" i="4"/>
  <c r="F688" i="4"/>
  <c r="K687" i="4"/>
  <c r="J687" i="4"/>
  <c r="I687" i="4"/>
  <c r="H687" i="4"/>
  <c r="G687" i="4"/>
  <c r="F687" i="4"/>
  <c r="K686" i="4"/>
  <c r="J686" i="4"/>
  <c r="I686" i="4"/>
  <c r="H686" i="4"/>
  <c r="G686" i="4"/>
  <c r="F686" i="4"/>
  <c r="K685" i="4"/>
  <c r="J685" i="4"/>
  <c r="I685" i="4"/>
  <c r="H685" i="4"/>
  <c r="G685" i="4"/>
  <c r="F685" i="4"/>
  <c r="K684" i="4"/>
  <c r="J684" i="4"/>
  <c r="I684" i="4"/>
  <c r="H684" i="4"/>
  <c r="G684" i="4"/>
  <c r="F684" i="4"/>
  <c r="K683" i="4"/>
  <c r="J683" i="4"/>
  <c r="I683" i="4"/>
  <c r="H683" i="4"/>
  <c r="G683" i="4"/>
  <c r="F683" i="4"/>
  <c r="K682" i="4"/>
  <c r="J682" i="4"/>
  <c r="I682" i="4"/>
  <c r="H682" i="4"/>
  <c r="G682" i="4"/>
  <c r="F682" i="4"/>
  <c r="K681" i="4"/>
  <c r="J681" i="4"/>
  <c r="I681" i="4"/>
  <c r="H681" i="4"/>
  <c r="G681" i="4"/>
  <c r="F681" i="4"/>
  <c r="K680" i="4"/>
  <c r="J680" i="4"/>
  <c r="I680" i="4"/>
  <c r="H680" i="4"/>
  <c r="G680" i="4"/>
  <c r="F680" i="4"/>
  <c r="K679" i="4"/>
  <c r="J679" i="4"/>
  <c r="I679" i="4"/>
  <c r="H679" i="4"/>
  <c r="G679" i="4"/>
  <c r="F679" i="4"/>
  <c r="K678" i="4"/>
  <c r="J678" i="4"/>
  <c r="I678" i="4"/>
  <c r="H678" i="4"/>
  <c r="G678" i="4"/>
  <c r="F678" i="4"/>
  <c r="K677" i="4"/>
  <c r="J677" i="4"/>
  <c r="I677" i="4"/>
  <c r="H677" i="4"/>
  <c r="G677" i="4"/>
  <c r="F677" i="4"/>
  <c r="K676" i="4"/>
  <c r="J676" i="4"/>
  <c r="I676" i="4"/>
  <c r="H676" i="4"/>
  <c r="G676" i="4"/>
  <c r="F676" i="4"/>
  <c r="K675" i="4"/>
  <c r="J675" i="4"/>
  <c r="I675" i="4"/>
  <c r="H675" i="4"/>
  <c r="G675" i="4"/>
  <c r="F675" i="4"/>
  <c r="K674" i="4"/>
  <c r="J674" i="4"/>
  <c r="I674" i="4"/>
  <c r="H674" i="4"/>
  <c r="G674" i="4"/>
  <c r="F674" i="4"/>
  <c r="K673" i="4"/>
  <c r="J673" i="4"/>
  <c r="I673" i="4"/>
  <c r="H673" i="4"/>
  <c r="G673" i="4"/>
  <c r="F673" i="4"/>
  <c r="K672" i="4"/>
  <c r="J672" i="4"/>
  <c r="I672" i="4"/>
  <c r="H672" i="4"/>
  <c r="G672" i="4"/>
  <c r="F672" i="4"/>
  <c r="K671" i="4"/>
  <c r="J671" i="4"/>
  <c r="I671" i="4"/>
  <c r="H671" i="4"/>
  <c r="G671" i="4"/>
  <c r="F671" i="4"/>
  <c r="K670" i="4"/>
  <c r="J670" i="4"/>
  <c r="I670" i="4"/>
  <c r="H670" i="4"/>
  <c r="G670" i="4"/>
  <c r="F670" i="4"/>
  <c r="K669" i="4"/>
  <c r="J669" i="4"/>
  <c r="I669" i="4"/>
  <c r="H669" i="4"/>
  <c r="G669" i="4"/>
  <c r="F669" i="4"/>
  <c r="K668" i="4"/>
  <c r="J668" i="4"/>
  <c r="I668" i="4"/>
  <c r="H668" i="4"/>
  <c r="G668" i="4"/>
  <c r="F668" i="4"/>
  <c r="K667" i="4"/>
  <c r="J667" i="4"/>
  <c r="I667" i="4"/>
  <c r="H667" i="4"/>
  <c r="G667" i="4"/>
  <c r="F667" i="4"/>
  <c r="K666" i="4"/>
  <c r="J666" i="4"/>
  <c r="I666" i="4"/>
  <c r="H666" i="4"/>
  <c r="G666" i="4"/>
  <c r="F666" i="4"/>
  <c r="K665" i="4"/>
  <c r="J665" i="4"/>
  <c r="I665" i="4"/>
  <c r="H665" i="4"/>
  <c r="G665" i="4"/>
  <c r="F665" i="4"/>
  <c r="K664" i="4"/>
  <c r="J664" i="4"/>
  <c r="I664" i="4"/>
  <c r="H664" i="4"/>
  <c r="G664" i="4"/>
  <c r="F664" i="4"/>
  <c r="K663" i="4"/>
  <c r="J663" i="4"/>
  <c r="I663" i="4"/>
  <c r="H663" i="4"/>
  <c r="G663" i="4"/>
  <c r="F663" i="4"/>
  <c r="K662" i="4"/>
  <c r="J662" i="4"/>
  <c r="I662" i="4"/>
  <c r="H662" i="4"/>
  <c r="G662" i="4"/>
  <c r="F662" i="4"/>
  <c r="K661" i="4"/>
  <c r="J661" i="4"/>
  <c r="I661" i="4"/>
  <c r="H661" i="4"/>
  <c r="G661" i="4"/>
  <c r="F661" i="4"/>
  <c r="K660" i="4"/>
  <c r="J660" i="4"/>
  <c r="I660" i="4"/>
  <c r="H660" i="4"/>
  <c r="G660" i="4"/>
  <c r="F660" i="4"/>
  <c r="K659" i="4"/>
  <c r="J659" i="4"/>
  <c r="I659" i="4"/>
  <c r="H659" i="4"/>
  <c r="G659" i="4"/>
  <c r="F659" i="4"/>
  <c r="K658" i="4"/>
  <c r="J658" i="4"/>
  <c r="I658" i="4"/>
  <c r="H658" i="4"/>
  <c r="G658" i="4"/>
  <c r="F658" i="4"/>
  <c r="K657" i="4"/>
  <c r="J657" i="4"/>
  <c r="I657" i="4"/>
  <c r="H657" i="4"/>
  <c r="G657" i="4"/>
  <c r="F657" i="4"/>
  <c r="K656" i="4"/>
  <c r="J656" i="4"/>
  <c r="I656" i="4"/>
  <c r="H656" i="4"/>
  <c r="G656" i="4"/>
  <c r="F656" i="4"/>
  <c r="K655" i="4"/>
  <c r="J655" i="4"/>
  <c r="I655" i="4"/>
  <c r="H655" i="4"/>
  <c r="G655" i="4"/>
  <c r="F655" i="4"/>
  <c r="K654" i="4"/>
  <c r="J654" i="4"/>
  <c r="I654" i="4"/>
  <c r="H654" i="4"/>
  <c r="G654" i="4"/>
  <c r="F654" i="4"/>
  <c r="K653" i="4"/>
  <c r="J653" i="4"/>
  <c r="I653" i="4"/>
  <c r="H653" i="4"/>
  <c r="G653" i="4"/>
  <c r="F653" i="4"/>
  <c r="K652" i="4"/>
  <c r="J652" i="4"/>
  <c r="I652" i="4"/>
  <c r="H652" i="4"/>
  <c r="G652" i="4"/>
  <c r="F652" i="4"/>
  <c r="K651" i="4"/>
  <c r="J651" i="4"/>
  <c r="I651" i="4"/>
  <c r="H651" i="4"/>
  <c r="G651" i="4"/>
  <c r="F651" i="4"/>
  <c r="K650" i="4"/>
  <c r="J650" i="4"/>
  <c r="I650" i="4"/>
  <c r="H650" i="4"/>
  <c r="G650" i="4"/>
  <c r="F650" i="4"/>
  <c r="K649" i="4"/>
  <c r="J649" i="4"/>
  <c r="I649" i="4"/>
  <c r="H649" i="4"/>
  <c r="G649" i="4"/>
  <c r="F649" i="4"/>
  <c r="K648" i="4"/>
  <c r="J648" i="4"/>
  <c r="I648" i="4"/>
  <c r="H648" i="4"/>
  <c r="G648" i="4"/>
  <c r="F648" i="4"/>
  <c r="K647" i="4"/>
  <c r="J647" i="4"/>
  <c r="I647" i="4"/>
  <c r="H647" i="4"/>
  <c r="G647" i="4"/>
  <c r="F647" i="4"/>
  <c r="K646" i="4"/>
  <c r="J646" i="4"/>
  <c r="I646" i="4"/>
  <c r="H646" i="4"/>
  <c r="G646" i="4"/>
  <c r="F646" i="4"/>
  <c r="K645" i="4"/>
  <c r="J645" i="4"/>
  <c r="I645" i="4"/>
  <c r="H645" i="4"/>
  <c r="G645" i="4"/>
  <c r="F645" i="4"/>
  <c r="K644" i="4"/>
  <c r="J644" i="4"/>
  <c r="I644" i="4"/>
  <c r="H644" i="4"/>
  <c r="G644" i="4"/>
  <c r="F644" i="4"/>
  <c r="K643" i="4"/>
  <c r="J643" i="4"/>
  <c r="I643" i="4"/>
  <c r="H643" i="4"/>
  <c r="G643" i="4"/>
  <c r="F643" i="4"/>
  <c r="K642" i="4"/>
  <c r="J642" i="4"/>
  <c r="I642" i="4"/>
  <c r="H642" i="4"/>
  <c r="G642" i="4"/>
  <c r="F642" i="4"/>
  <c r="K641" i="4"/>
  <c r="J641" i="4"/>
  <c r="I641" i="4"/>
  <c r="H641" i="4"/>
  <c r="G641" i="4"/>
  <c r="F641" i="4"/>
  <c r="K640" i="4"/>
  <c r="J640" i="4"/>
  <c r="I640" i="4"/>
  <c r="H640" i="4"/>
  <c r="G640" i="4"/>
  <c r="F640" i="4"/>
  <c r="K639" i="4"/>
  <c r="J639" i="4"/>
  <c r="I639" i="4"/>
  <c r="H639" i="4"/>
  <c r="G639" i="4"/>
  <c r="F639" i="4"/>
  <c r="K638" i="4"/>
  <c r="J638" i="4"/>
  <c r="I638" i="4"/>
  <c r="H638" i="4"/>
  <c r="G638" i="4"/>
  <c r="F638" i="4"/>
  <c r="K637" i="4"/>
  <c r="J637" i="4"/>
  <c r="I637" i="4"/>
  <c r="H637" i="4"/>
  <c r="G637" i="4"/>
  <c r="F637" i="4"/>
  <c r="K636" i="4"/>
  <c r="J636" i="4"/>
  <c r="I636" i="4"/>
  <c r="H636" i="4"/>
  <c r="G636" i="4"/>
  <c r="F636" i="4"/>
  <c r="K635" i="4"/>
  <c r="J635" i="4"/>
  <c r="I635" i="4"/>
  <c r="H635" i="4"/>
  <c r="G635" i="4"/>
  <c r="F635" i="4"/>
  <c r="K634" i="4"/>
  <c r="J634" i="4"/>
  <c r="I634" i="4"/>
  <c r="H634" i="4"/>
  <c r="G634" i="4"/>
  <c r="F634" i="4"/>
  <c r="K633" i="4"/>
  <c r="J633" i="4"/>
  <c r="I633" i="4"/>
  <c r="H633" i="4"/>
  <c r="G633" i="4"/>
  <c r="F633" i="4"/>
  <c r="K632" i="4"/>
  <c r="J632" i="4"/>
  <c r="I632" i="4"/>
  <c r="H632" i="4"/>
  <c r="G632" i="4"/>
  <c r="F632" i="4"/>
  <c r="K631" i="4"/>
  <c r="J631" i="4"/>
  <c r="I631" i="4"/>
  <c r="H631" i="4"/>
  <c r="G631" i="4"/>
  <c r="F631" i="4"/>
  <c r="K630" i="4"/>
  <c r="J630" i="4"/>
  <c r="I630" i="4"/>
  <c r="H630" i="4"/>
  <c r="G630" i="4"/>
  <c r="F630" i="4"/>
  <c r="K629" i="4"/>
  <c r="J629" i="4"/>
  <c r="I629" i="4"/>
  <c r="H629" i="4"/>
  <c r="G629" i="4"/>
  <c r="F629" i="4"/>
  <c r="K628" i="4"/>
  <c r="J628" i="4"/>
  <c r="I628" i="4"/>
  <c r="H628" i="4"/>
  <c r="G628" i="4"/>
  <c r="F628" i="4"/>
  <c r="K627" i="4"/>
  <c r="J627" i="4"/>
  <c r="I627" i="4"/>
  <c r="H627" i="4"/>
  <c r="G627" i="4"/>
  <c r="F627" i="4"/>
  <c r="K626" i="4"/>
  <c r="J626" i="4"/>
  <c r="I626" i="4"/>
  <c r="H626" i="4"/>
  <c r="G626" i="4"/>
  <c r="F626" i="4"/>
  <c r="K625" i="4"/>
  <c r="J625" i="4"/>
  <c r="I625" i="4"/>
  <c r="H625" i="4"/>
  <c r="G625" i="4"/>
  <c r="F625" i="4"/>
  <c r="K624" i="4"/>
  <c r="J624" i="4"/>
  <c r="I624" i="4"/>
  <c r="H624" i="4"/>
  <c r="G624" i="4"/>
  <c r="F624" i="4"/>
  <c r="K623" i="4"/>
  <c r="J623" i="4"/>
  <c r="I623" i="4"/>
  <c r="H623" i="4"/>
  <c r="G623" i="4"/>
  <c r="F623" i="4"/>
  <c r="K622" i="4"/>
  <c r="J622" i="4"/>
  <c r="I622" i="4"/>
  <c r="H622" i="4"/>
  <c r="G622" i="4"/>
  <c r="F622" i="4"/>
  <c r="K621" i="4"/>
  <c r="J621" i="4"/>
  <c r="I621" i="4"/>
  <c r="H621" i="4"/>
  <c r="G621" i="4"/>
  <c r="F621" i="4"/>
  <c r="K620" i="4"/>
  <c r="J620" i="4"/>
  <c r="I620" i="4"/>
  <c r="H620" i="4"/>
  <c r="G620" i="4"/>
  <c r="F620" i="4"/>
  <c r="K619" i="4"/>
  <c r="J619" i="4"/>
  <c r="I619" i="4"/>
  <c r="H619" i="4"/>
  <c r="G619" i="4"/>
  <c r="F619" i="4"/>
  <c r="K618" i="4"/>
  <c r="J618" i="4"/>
  <c r="I618" i="4"/>
  <c r="H618" i="4"/>
  <c r="G618" i="4"/>
  <c r="F618" i="4"/>
  <c r="K617" i="4"/>
  <c r="J617" i="4"/>
  <c r="I617" i="4"/>
  <c r="H617" i="4"/>
  <c r="G617" i="4"/>
  <c r="F617" i="4"/>
  <c r="K616" i="4"/>
  <c r="J616" i="4"/>
  <c r="I616" i="4"/>
  <c r="H616" i="4"/>
  <c r="G616" i="4"/>
  <c r="F616" i="4"/>
  <c r="K615" i="4"/>
  <c r="J615" i="4"/>
  <c r="I615" i="4"/>
  <c r="H615" i="4"/>
  <c r="G615" i="4"/>
  <c r="F615" i="4"/>
  <c r="K614" i="4"/>
  <c r="J614" i="4"/>
  <c r="I614" i="4"/>
  <c r="H614" i="4"/>
  <c r="G614" i="4"/>
  <c r="F614" i="4"/>
  <c r="K613" i="4"/>
  <c r="J613" i="4"/>
  <c r="I613" i="4"/>
  <c r="H613" i="4"/>
  <c r="G613" i="4"/>
  <c r="F613" i="4"/>
  <c r="K612" i="4"/>
  <c r="J612" i="4"/>
  <c r="I612" i="4"/>
  <c r="H612" i="4"/>
  <c r="G612" i="4"/>
  <c r="F612" i="4"/>
  <c r="K611" i="4"/>
  <c r="J611" i="4"/>
  <c r="I611" i="4"/>
  <c r="H611" i="4"/>
  <c r="G611" i="4"/>
  <c r="F611" i="4"/>
  <c r="K610" i="4"/>
  <c r="J610" i="4"/>
  <c r="I610" i="4"/>
  <c r="H610" i="4"/>
  <c r="G610" i="4"/>
  <c r="F610" i="4"/>
  <c r="K609" i="4"/>
  <c r="J609" i="4"/>
  <c r="I609" i="4"/>
  <c r="H609" i="4"/>
  <c r="G609" i="4"/>
  <c r="F609" i="4"/>
  <c r="K608" i="4"/>
  <c r="J608" i="4"/>
  <c r="I608" i="4"/>
  <c r="H608" i="4"/>
  <c r="G608" i="4"/>
  <c r="F608" i="4"/>
  <c r="K607" i="4"/>
  <c r="J607" i="4"/>
  <c r="I607" i="4"/>
  <c r="H607" i="4"/>
  <c r="G607" i="4"/>
  <c r="F607" i="4"/>
  <c r="K606" i="4"/>
  <c r="J606" i="4"/>
  <c r="I606" i="4"/>
  <c r="H606" i="4"/>
  <c r="G606" i="4"/>
  <c r="F606" i="4"/>
  <c r="K605" i="4"/>
  <c r="J605" i="4"/>
  <c r="I605" i="4"/>
  <c r="H605" i="4"/>
  <c r="G605" i="4"/>
  <c r="F605" i="4"/>
  <c r="K604" i="4"/>
  <c r="J604" i="4"/>
  <c r="I604" i="4"/>
  <c r="H604" i="4"/>
  <c r="G604" i="4"/>
  <c r="F604" i="4"/>
  <c r="K603" i="4"/>
  <c r="J603" i="4"/>
  <c r="I603" i="4"/>
  <c r="H603" i="4"/>
  <c r="G603" i="4"/>
  <c r="F603" i="4"/>
  <c r="K602" i="4"/>
  <c r="J602" i="4"/>
  <c r="I602" i="4"/>
  <c r="H602" i="4"/>
  <c r="G602" i="4"/>
  <c r="F602" i="4"/>
  <c r="K601" i="4"/>
  <c r="J601" i="4"/>
  <c r="I601" i="4"/>
  <c r="H601" i="4"/>
  <c r="G601" i="4"/>
  <c r="F601" i="4"/>
  <c r="K600" i="4"/>
  <c r="J600" i="4"/>
  <c r="I600" i="4"/>
  <c r="H600" i="4"/>
  <c r="G600" i="4"/>
  <c r="F600" i="4"/>
  <c r="K599" i="4"/>
  <c r="J599" i="4"/>
  <c r="I599" i="4"/>
  <c r="H599" i="4"/>
  <c r="G599" i="4"/>
  <c r="F599" i="4"/>
  <c r="K598" i="4"/>
  <c r="J598" i="4"/>
  <c r="I598" i="4"/>
  <c r="H598" i="4"/>
  <c r="G598" i="4"/>
  <c r="F598" i="4"/>
  <c r="K597" i="4"/>
  <c r="J597" i="4"/>
  <c r="I597" i="4"/>
  <c r="H597" i="4"/>
  <c r="G597" i="4"/>
  <c r="F597" i="4"/>
  <c r="K596" i="4"/>
  <c r="J596" i="4"/>
  <c r="I596" i="4"/>
  <c r="H596" i="4"/>
  <c r="G596" i="4"/>
  <c r="F596" i="4"/>
  <c r="K595" i="4"/>
  <c r="J595" i="4"/>
  <c r="I595" i="4"/>
  <c r="H595" i="4"/>
  <c r="G595" i="4"/>
  <c r="F595" i="4"/>
  <c r="K594" i="4"/>
  <c r="J594" i="4"/>
  <c r="I594" i="4"/>
  <c r="H594" i="4"/>
  <c r="G594" i="4"/>
  <c r="F594" i="4"/>
  <c r="K593" i="4"/>
  <c r="J593" i="4"/>
  <c r="I593" i="4"/>
  <c r="H593" i="4"/>
  <c r="G593" i="4"/>
  <c r="F593" i="4"/>
  <c r="K592" i="4"/>
  <c r="J592" i="4"/>
  <c r="I592" i="4"/>
  <c r="H592" i="4"/>
  <c r="G592" i="4"/>
  <c r="F592" i="4"/>
  <c r="K591" i="4"/>
  <c r="J591" i="4"/>
  <c r="I591" i="4"/>
  <c r="H591" i="4"/>
  <c r="G591" i="4"/>
  <c r="F591" i="4"/>
  <c r="K590" i="4"/>
  <c r="J590" i="4"/>
  <c r="I590" i="4"/>
  <c r="H590" i="4"/>
  <c r="G590" i="4"/>
  <c r="F590" i="4"/>
  <c r="K589" i="4"/>
  <c r="J589" i="4"/>
  <c r="I589" i="4"/>
  <c r="H589" i="4"/>
  <c r="G589" i="4"/>
  <c r="F589" i="4"/>
  <c r="K588" i="4"/>
  <c r="J588" i="4"/>
  <c r="I588" i="4"/>
  <c r="H588" i="4"/>
  <c r="G588" i="4"/>
  <c r="F588" i="4"/>
  <c r="K587" i="4"/>
  <c r="J587" i="4"/>
  <c r="I587" i="4"/>
  <c r="H587" i="4"/>
  <c r="G587" i="4"/>
  <c r="F587" i="4"/>
  <c r="K586" i="4"/>
  <c r="J586" i="4"/>
  <c r="I586" i="4"/>
  <c r="H586" i="4"/>
  <c r="G586" i="4"/>
  <c r="F586" i="4"/>
  <c r="K585" i="4"/>
  <c r="J585" i="4"/>
  <c r="I585" i="4"/>
  <c r="H585" i="4"/>
  <c r="G585" i="4"/>
  <c r="F585" i="4"/>
  <c r="K584" i="4"/>
  <c r="J584" i="4"/>
  <c r="I584" i="4"/>
  <c r="H584" i="4"/>
  <c r="G584" i="4"/>
  <c r="F584" i="4"/>
  <c r="K583" i="4"/>
  <c r="J583" i="4"/>
  <c r="I583" i="4"/>
  <c r="H583" i="4"/>
  <c r="G583" i="4"/>
  <c r="F583" i="4"/>
  <c r="K582" i="4"/>
  <c r="J582" i="4"/>
  <c r="I582" i="4"/>
  <c r="H582" i="4"/>
  <c r="G582" i="4"/>
  <c r="F582" i="4"/>
  <c r="K581" i="4"/>
  <c r="J581" i="4"/>
  <c r="I581" i="4"/>
  <c r="H581" i="4"/>
  <c r="G581" i="4"/>
  <c r="F581" i="4"/>
  <c r="K580" i="4"/>
  <c r="J580" i="4"/>
  <c r="I580" i="4"/>
  <c r="H580" i="4"/>
  <c r="G580" i="4"/>
  <c r="F580" i="4"/>
  <c r="K579" i="4"/>
  <c r="J579" i="4"/>
  <c r="I579" i="4"/>
  <c r="H579" i="4"/>
  <c r="G579" i="4"/>
  <c r="F579" i="4"/>
  <c r="K578" i="4"/>
  <c r="J578" i="4"/>
  <c r="I578" i="4"/>
  <c r="H578" i="4"/>
  <c r="G578" i="4"/>
  <c r="F578" i="4"/>
  <c r="K577" i="4"/>
  <c r="J577" i="4"/>
  <c r="I577" i="4"/>
  <c r="H577" i="4"/>
  <c r="G577" i="4"/>
  <c r="F577" i="4"/>
  <c r="K576" i="4"/>
  <c r="J576" i="4"/>
  <c r="I576" i="4"/>
  <c r="H576" i="4"/>
  <c r="G576" i="4"/>
  <c r="F576" i="4"/>
  <c r="K575" i="4"/>
  <c r="J575" i="4"/>
  <c r="I575" i="4"/>
  <c r="H575" i="4"/>
  <c r="G575" i="4"/>
  <c r="F575" i="4"/>
  <c r="K574" i="4"/>
  <c r="J574" i="4"/>
  <c r="I574" i="4"/>
  <c r="H574" i="4"/>
  <c r="G574" i="4"/>
  <c r="F574" i="4"/>
  <c r="K573" i="4"/>
  <c r="J573" i="4"/>
  <c r="I573" i="4"/>
  <c r="H573" i="4"/>
  <c r="G573" i="4"/>
  <c r="F573" i="4"/>
  <c r="K572" i="4"/>
  <c r="J572" i="4"/>
  <c r="I572" i="4"/>
  <c r="H572" i="4"/>
  <c r="G572" i="4"/>
  <c r="F572" i="4"/>
  <c r="K571" i="4"/>
  <c r="J571" i="4"/>
  <c r="I571" i="4"/>
  <c r="H571" i="4"/>
  <c r="G571" i="4"/>
  <c r="F571" i="4"/>
  <c r="K570" i="4"/>
  <c r="J570" i="4"/>
  <c r="I570" i="4"/>
  <c r="H570" i="4"/>
  <c r="G570" i="4"/>
  <c r="F570" i="4"/>
  <c r="K569" i="4"/>
  <c r="J569" i="4"/>
  <c r="I569" i="4"/>
  <c r="H569" i="4"/>
  <c r="G569" i="4"/>
  <c r="F569" i="4"/>
  <c r="K568" i="4"/>
  <c r="J568" i="4"/>
  <c r="I568" i="4"/>
  <c r="H568" i="4"/>
  <c r="G568" i="4"/>
  <c r="F568" i="4"/>
  <c r="K567" i="4"/>
  <c r="J567" i="4"/>
  <c r="I567" i="4"/>
  <c r="H567" i="4"/>
  <c r="G567" i="4"/>
  <c r="F567" i="4"/>
  <c r="K566" i="4"/>
  <c r="J566" i="4"/>
  <c r="I566" i="4"/>
  <c r="H566" i="4"/>
  <c r="G566" i="4"/>
  <c r="F566" i="4"/>
  <c r="K565" i="4"/>
  <c r="J565" i="4"/>
  <c r="I565" i="4"/>
  <c r="H565" i="4"/>
  <c r="G565" i="4"/>
  <c r="F565" i="4"/>
  <c r="K564" i="4"/>
  <c r="J564" i="4"/>
  <c r="I564" i="4"/>
  <c r="H564" i="4"/>
  <c r="G564" i="4"/>
  <c r="F564" i="4"/>
  <c r="K563" i="4"/>
  <c r="J563" i="4"/>
  <c r="I563" i="4"/>
  <c r="H563" i="4"/>
  <c r="G563" i="4"/>
  <c r="F563" i="4"/>
  <c r="K562" i="4"/>
  <c r="J562" i="4"/>
  <c r="I562" i="4"/>
  <c r="H562" i="4"/>
  <c r="G562" i="4"/>
  <c r="F562" i="4"/>
  <c r="K561" i="4"/>
  <c r="J561" i="4"/>
  <c r="I561" i="4"/>
  <c r="H561" i="4"/>
  <c r="G561" i="4"/>
  <c r="F561" i="4"/>
  <c r="K560" i="4"/>
  <c r="J560" i="4"/>
  <c r="I560" i="4"/>
  <c r="H560" i="4"/>
  <c r="G560" i="4"/>
  <c r="F560" i="4"/>
  <c r="K559" i="4"/>
  <c r="J559" i="4"/>
  <c r="I559" i="4"/>
  <c r="H559" i="4"/>
  <c r="G559" i="4"/>
  <c r="F559" i="4"/>
  <c r="K558" i="4"/>
  <c r="J558" i="4"/>
  <c r="I558" i="4"/>
  <c r="H558" i="4"/>
  <c r="G558" i="4"/>
  <c r="F558" i="4"/>
  <c r="K557" i="4"/>
  <c r="J557" i="4"/>
  <c r="I557" i="4"/>
  <c r="H557" i="4"/>
  <c r="G557" i="4"/>
  <c r="F557" i="4"/>
  <c r="K556" i="4"/>
  <c r="J556" i="4"/>
  <c r="I556" i="4"/>
  <c r="H556" i="4"/>
  <c r="G556" i="4"/>
  <c r="F556" i="4"/>
  <c r="K555" i="4"/>
  <c r="J555" i="4"/>
  <c r="I555" i="4"/>
  <c r="H555" i="4"/>
  <c r="G555" i="4"/>
  <c r="F555" i="4"/>
  <c r="K554" i="4"/>
  <c r="J554" i="4"/>
  <c r="I554" i="4"/>
  <c r="H554" i="4"/>
  <c r="G554" i="4"/>
  <c r="F554" i="4"/>
  <c r="K553" i="4"/>
  <c r="J553" i="4"/>
  <c r="I553" i="4"/>
  <c r="H553" i="4"/>
  <c r="G553" i="4"/>
  <c r="F553" i="4"/>
  <c r="K552" i="4"/>
  <c r="J552" i="4"/>
  <c r="I552" i="4"/>
  <c r="H552" i="4"/>
  <c r="G552" i="4"/>
  <c r="F552" i="4"/>
  <c r="K551" i="4"/>
  <c r="J551" i="4"/>
  <c r="I551" i="4"/>
  <c r="H551" i="4"/>
  <c r="G551" i="4"/>
  <c r="F551" i="4"/>
  <c r="K550" i="4"/>
  <c r="J550" i="4"/>
  <c r="I550" i="4"/>
  <c r="H550" i="4"/>
  <c r="G550" i="4"/>
  <c r="F550" i="4"/>
  <c r="K549" i="4"/>
  <c r="J549" i="4"/>
  <c r="I549" i="4"/>
  <c r="H549" i="4"/>
  <c r="G549" i="4"/>
  <c r="F549" i="4"/>
  <c r="K548" i="4"/>
  <c r="J548" i="4"/>
  <c r="I548" i="4"/>
  <c r="H548" i="4"/>
  <c r="G548" i="4"/>
  <c r="F548" i="4"/>
  <c r="K547" i="4"/>
  <c r="J547" i="4"/>
  <c r="I547" i="4"/>
  <c r="H547" i="4"/>
  <c r="G547" i="4"/>
  <c r="F547" i="4"/>
  <c r="K546" i="4"/>
  <c r="J546" i="4"/>
  <c r="I546" i="4"/>
  <c r="H546" i="4"/>
  <c r="G546" i="4"/>
  <c r="F546" i="4"/>
  <c r="K545" i="4"/>
  <c r="J545" i="4"/>
  <c r="I545" i="4"/>
  <c r="H545" i="4"/>
  <c r="G545" i="4"/>
  <c r="F545" i="4"/>
  <c r="K544" i="4"/>
  <c r="J544" i="4"/>
  <c r="I544" i="4"/>
  <c r="H544" i="4"/>
  <c r="G544" i="4"/>
  <c r="F544" i="4"/>
  <c r="K543" i="4"/>
  <c r="J543" i="4"/>
  <c r="I543" i="4"/>
  <c r="H543" i="4"/>
  <c r="G543" i="4"/>
  <c r="F543" i="4"/>
  <c r="K542" i="4"/>
  <c r="J542" i="4"/>
  <c r="I542" i="4"/>
  <c r="H542" i="4"/>
  <c r="G542" i="4"/>
  <c r="F542" i="4"/>
  <c r="K541" i="4"/>
  <c r="J541" i="4"/>
  <c r="I541" i="4"/>
  <c r="H541" i="4"/>
  <c r="G541" i="4"/>
  <c r="F541" i="4"/>
  <c r="K540" i="4"/>
  <c r="J540" i="4"/>
  <c r="I540" i="4"/>
  <c r="H540" i="4"/>
  <c r="G540" i="4"/>
  <c r="F540" i="4"/>
  <c r="K539" i="4"/>
  <c r="J539" i="4"/>
  <c r="I539" i="4"/>
  <c r="H539" i="4"/>
  <c r="G539" i="4"/>
  <c r="F539" i="4"/>
  <c r="K538" i="4"/>
  <c r="J538" i="4"/>
  <c r="I538" i="4"/>
  <c r="H538" i="4"/>
  <c r="G538" i="4"/>
  <c r="F538" i="4"/>
  <c r="K537" i="4"/>
  <c r="J537" i="4"/>
  <c r="I537" i="4"/>
  <c r="H537" i="4"/>
  <c r="G537" i="4"/>
  <c r="F537" i="4"/>
  <c r="K536" i="4"/>
  <c r="J536" i="4"/>
  <c r="I536" i="4"/>
  <c r="H536" i="4"/>
  <c r="G536" i="4"/>
  <c r="F536" i="4"/>
  <c r="K535" i="4"/>
  <c r="J535" i="4"/>
  <c r="I535" i="4"/>
  <c r="H535" i="4"/>
  <c r="G535" i="4"/>
  <c r="F535" i="4"/>
  <c r="K534" i="4"/>
  <c r="J534" i="4"/>
  <c r="I534" i="4"/>
  <c r="H534" i="4"/>
  <c r="G534" i="4"/>
  <c r="F534" i="4"/>
  <c r="K533" i="4"/>
  <c r="J533" i="4"/>
  <c r="I533" i="4"/>
  <c r="H533" i="4"/>
  <c r="G533" i="4"/>
  <c r="F533" i="4"/>
  <c r="K532" i="4"/>
  <c r="J532" i="4"/>
  <c r="I532" i="4"/>
  <c r="H532" i="4"/>
  <c r="G532" i="4"/>
  <c r="F532" i="4"/>
  <c r="K531" i="4"/>
  <c r="J531" i="4"/>
  <c r="I531" i="4"/>
  <c r="H531" i="4"/>
  <c r="G531" i="4"/>
  <c r="F531" i="4"/>
  <c r="K530" i="4"/>
  <c r="J530" i="4"/>
  <c r="I530" i="4"/>
  <c r="H530" i="4"/>
  <c r="G530" i="4"/>
  <c r="F530" i="4"/>
  <c r="K529" i="4"/>
  <c r="J529" i="4"/>
  <c r="I529" i="4"/>
  <c r="H529" i="4"/>
  <c r="G529" i="4"/>
  <c r="F529" i="4"/>
  <c r="K528" i="4"/>
  <c r="J528" i="4"/>
  <c r="I528" i="4"/>
  <c r="H528" i="4"/>
  <c r="G528" i="4"/>
  <c r="F528" i="4"/>
  <c r="K527" i="4"/>
  <c r="J527" i="4"/>
  <c r="I527" i="4"/>
  <c r="H527" i="4"/>
  <c r="G527" i="4"/>
  <c r="F527" i="4"/>
  <c r="K526" i="4"/>
  <c r="J526" i="4"/>
  <c r="I526" i="4"/>
  <c r="H526" i="4"/>
  <c r="G526" i="4"/>
  <c r="F526" i="4"/>
  <c r="K525" i="4"/>
  <c r="J525" i="4"/>
  <c r="I525" i="4"/>
  <c r="H525" i="4"/>
  <c r="G525" i="4"/>
  <c r="F525" i="4"/>
  <c r="K524" i="4"/>
  <c r="J524" i="4"/>
  <c r="I524" i="4"/>
  <c r="H524" i="4"/>
  <c r="G524" i="4"/>
  <c r="F524" i="4"/>
  <c r="K523" i="4"/>
  <c r="J523" i="4"/>
  <c r="I523" i="4"/>
  <c r="H523" i="4"/>
  <c r="G523" i="4"/>
  <c r="F523" i="4"/>
  <c r="K522" i="4"/>
  <c r="J522" i="4"/>
  <c r="I522" i="4"/>
  <c r="H522" i="4"/>
  <c r="G522" i="4"/>
  <c r="F522" i="4"/>
  <c r="K521" i="4"/>
  <c r="J521" i="4"/>
  <c r="I521" i="4"/>
  <c r="H521" i="4"/>
  <c r="G521" i="4"/>
  <c r="F521" i="4"/>
  <c r="K520" i="4"/>
  <c r="J520" i="4"/>
  <c r="I520" i="4"/>
  <c r="H520" i="4"/>
  <c r="G520" i="4"/>
  <c r="F520" i="4"/>
  <c r="K519" i="4"/>
  <c r="J519" i="4"/>
  <c r="I519" i="4"/>
  <c r="H519" i="4"/>
  <c r="G519" i="4"/>
  <c r="F519" i="4"/>
  <c r="K518" i="4"/>
  <c r="J518" i="4"/>
  <c r="I518" i="4"/>
  <c r="H518" i="4"/>
  <c r="G518" i="4"/>
  <c r="F518" i="4"/>
  <c r="K517" i="4"/>
  <c r="J517" i="4"/>
  <c r="I517" i="4"/>
  <c r="H517" i="4"/>
  <c r="G517" i="4"/>
  <c r="F517" i="4"/>
  <c r="K516" i="4"/>
  <c r="J516" i="4"/>
  <c r="I516" i="4"/>
  <c r="H516" i="4"/>
  <c r="G516" i="4"/>
  <c r="F516" i="4"/>
  <c r="K515" i="4"/>
  <c r="J515" i="4"/>
  <c r="I515" i="4"/>
  <c r="H515" i="4"/>
  <c r="G515" i="4"/>
  <c r="F515" i="4"/>
  <c r="K514" i="4"/>
  <c r="J514" i="4"/>
  <c r="I514" i="4"/>
  <c r="H514" i="4"/>
  <c r="G514" i="4"/>
  <c r="F514" i="4"/>
  <c r="K513" i="4"/>
  <c r="J513" i="4"/>
  <c r="I513" i="4"/>
  <c r="H513" i="4"/>
  <c r="G513" i="4"/>
  <c r="F513" i="4"/>
  <c r="K512" i="4"/>
  <c r="J512" i="4"/>
  <c r="I512" i="4"/>
  <c r="H512" i="4"/>
  <c r="G512" i="4"/>
  <c r="F512" i="4"/>
  <c r="K511" i="4"/>
  <c r="J511" i="4"/>
  <c r="I511" i="4"/>
  <c r="H511" i="4"/>
  <c r="G511" i="4"/>
  <c r="F511" i="4"/>
  <c r="K510" i="4"/>
  <c r="J510" i="4"/>
  <c r="I510" i="4"/>
  <c r="H510" i="4"/>
  <c r="G510" i="4"/>
  <c r="F510" i="4"/>
  <c r="K509" i="4"/>
  <c r="J509" i="4"/>
  <c r="I509" i="4"/>
  <c r="H509" i="4"/>
  <c r="G509" i="4"/>
  <c r="F509" i="4"/>
  <c r="K508" i="4"/>
  <c r="J508" i="4"/>
  <c r="I508" i="4"/>
  <c r="H508" i="4"/>
  <c r="G508" i="4"/>
  <c r="F508" i="4"/>
  <c r="K507" i="4"/>
  <c r="J507" i="4"/>
  <c r="I507" i="4"/>
  <c r="H507" i="4"/>
  <c r="G507" i="4"/>
  <c r="F507" i="4"/>
  <c r="K506" i="4"/>
  <c r="J506" i="4"/>
  <c r="I506" i="4"/>
  <c r="H506" i="4"/>
  <c r="G506" i="4"/>
  <c r="F506" i="4"/>
  <c r="K505" i="4"/>
  <c r="J505" i="4"/>
  <c r="I505" i="4"/>
  <c r="H505" i="4"/>
  <c r="G505" i="4"/>
  <c r="F505" i="4"/>
  <c r="K504" i="4"/>
  <c r="J504" i="4"/>
  <c r="I504" i="4"/>
  <c r="H504" i="4"/>
  <c r="G504" i="4"/>
  <c r="F504" i="4"/>
  <c r="K503" i="4"/>
  <c r="J503" i="4"/>
  <c r="I503" i="4"/>
  <c r="H503" i="4"/>
  <c r="G503" i="4"/>
  <c r="F503" i="4"/>
  <c r="K502" i="4"/>
  <c r="J502" i="4"/>
  <c r="I502" i="4"/>
  <c r="H502" i="4"/>
  <c r="G502" i="4"/>
  <c r="F502" i="4"/>
  <c r="K501" i="4"/>
  <c r="J501" i="4"/>
  <c r="I501" i="4"/>
  <c r="H501" i="4"/>
  <c r="G501" i="4"/>
  <c r="F501" i="4"/>
  <c r="K500" i="4"/>
  <c r="J500" i="4"/>
  <c r="I500" i="4"/>
  <c r="H500" i="4"/>
  <c r="G500" i="4"/>
  <c r="F500" i="4"/>
  <c r="K499" i="4"/>
  <c r="J499" i="4"/>
  <c r="I499" i="4"/>
  <c r="H499" i="4"/>
  <c r="G499" i="4"/>
  <c r="F499" i="4"/>
  <c r="K498" i="4"/>
  <c r="J498" i="4"/>
  <c r="I498" i="4"/>
  <c r="H498" i="4"/>
  <c r="G498" i="4"/>
  <c r="F498" i="4"/>
  <c r="K497" i="4"/>
  <c r="J497" i="4"/>
  <c r="I497" i="4"/>
  <c r="H497" i="4"/>
  <c r="G497" i="4"/>
  <c r="F497" i="4"/>
  <c r="K496" i="4"/>
  <c r="J496" i="4"/>
  <c r="I496" i="4"/>
  <c r="H496" i="4"/>
  <c r="G496" i="4"/>
  <c r="F496" i="4"/>
  <c r="K495" i="4"/>
  <c r="J495" i="4"/>
  <c r="I495" i="4"/>
  <c r="H495" i="4"/>
  <c r="G495" i="4"/>
  <c r="F495" i="4"/>
  <c r="K494" i="4"/>
  <c r="J494" i="4"/>
  <c r="I494" i="4"/>
  <c r="H494" i="4"/>
  <c r="G494" i="4"/>
  <c r="F494" i="4"/>
  <c r="K493" i="4"/>
  <c r="J493" i="4"/>
  <c r="I493" i="4"/>
  <c r="H493" i="4"/>
  <c r="G493" i="4"/>
  <c r="F493" i="4"/>
  <c r="K492" i="4"/>
  <c r="J492" i="4"/>
  <c r="I492" i="4"/>
  <c r="H492" i="4"/>
  <c r="G492" i="4"/>
  <c r="F492" i="4"/>
  <c r="K491" i="4"/>
  <c r="J491" i="4"/>
  <c r="I491" i="4"/>
  <c r="H491" i="4"/>
  <c r="G491" i="4"/>
  <c r="F491" i="4"/>
  <c r="K490" i="4"/>
  <c r="J490" i="4"/>
  <c r="I490" i="4"/>
  <c r="H490" i="4"/>
  <c r="G490" i="4"/>
  <c r="F490" i="4"/>
  <c r="K489" i="4"/>
  <c r="J489" i="4"/>
  <c r="I489" i="4"/>
  <c r="H489" i="4"/>
  <c r="G489" i="4"/>
  <c r="F489" i="4"/>
  <c r="K488" i="4"/>
  <c r="J488" i="4"/>
  <c r="I488" i="4"/>
  <c r="H488" i="4"/>
  <c r="G488" i="4"/>
  <c r="F488" i="4"/>
  <c r="K487" i="4"/>
  <c r="J487" i="4"/>
  <c r="I487" i="4"/>
  <c r="H487" i="4"/>
  <c r="G487" i="4"/>
  <c r="F487" i="4"/>
  <c r="K486" i="4"/>
  <c r="J486" i="4"/>
  <c r="I486" i="4"/>
  <c r="H486" i="4"/>
  <c r="G486" i="4"/>
  <c r="F486" i="4"/>
  <c r="K485" i="4"/>
  <c r="J485" i="4"/>
  <c r="I485" i="4"/>
  <c r="H485" i="4"/>
  <c r="G485" i="4"/>
  <c r="F485" i="4"/>
  <c r="K484" i="4"/>
  <c r="J484" i="4"/>
  <c r="I484" i="4"/>
  <c r="H484" i="4"/>
  <c r="G484" i="4"/>
  <c r="F484" i="4"/>
  <c r="K483" i="4"/>
  <c r="J483" i="4"/>
  <c r="I483" i="4"/>
  <c r="H483" i="4"/>
  <c r="G483" i="4"/>
  <c r="F483" i="4"/>
  <c r="K482" i="4"/>
  <c r="J482" i="4"/>
  <c r="I482" i="4"/>
  <c r="H482" i="4"/>
  <c r="G482" i="4"/>
  <c r="F482" i="4"/>
  <c r="K481" i="4"/>
  <c r="J481" i="4"/>
  <c r="I481" i="4"/>
  <c r="H481" i="4"/>
  <c r="G481" i="4"/>
  <c r="F481" i="4"/>
  <c r="K480" i="4"/>
  <c r="J480" i="4"/>
  <c r="I480" i="4"/>
  <c r="H480" i="4"/>
  <c r="G480" i="4"/>
  <c r="F480" i="4"/>
  <c r="K479" i="4"/>
  <c r="J479" i="4"/>
  <c r="I479" i="4"/>
  <c r="H479" i="4"/>
  <c r="G479" i="4"/>
  <c r="F479" i="4"/>
  <c r="K478" i="4"/>
  <c r="J478" i="4"/>
  <c r="I478" i="4"/>
  <c r="H478" i="4"/>
  <c r="G478" i="4"/>
  <c r="F478" i="4"/>
  <c r="K477" i="4"/>
  <c r="J477" i="4"/>
  <c r="I477" i="4"/>
  <c r="H477" i="4"/>
  <c r="G477" i="4"/>
  <c r="F477" i="4"/>
  <c r="K476" i="4"/>
  <c r="J476" i="4"/>
  <c r="I476" i="4"/>
  <c r="H476" i="4"/>
  <c r="G476" i="4"/>
  <c r="F476" i="4"/>
  <c r="K475" i="4"/>
  <c r="J475" i="4"/>
  <c r="I475" i="4"/>
  <c r="H475" i="4"/>
  <c r="G475" i="4"/>
  <c r="F475" i="4"/>
  <c r="K474" i="4"/>
  <c r="J474" i="4"/>
  <c r="I474" i="4"/>
  <c r="H474" i="4"/>
  <c r="G474" i="4"/>
  <c r="F474" i="4"/>
  <c r="K473" i="4"/>
  <c r="J473" i="4"/>
  <c r="I473" i="4"/>
  <c r="H473" i="4"/>
  <c r="G473" i="4"/>
  <c r="F473" i="4"/>
  <c r="K472" i="4"/>
  <c r="J472" i="4"/>
  <c r="I472" i="4"/>
  <c r="H472" i="4"/>
  <c r="G472" i="4"/>
  <c r="F472" i="4"/>
  <c r="K471" i="4"/>
  <c r="J471" i="4"/>
  <c r="I471" i="4"/>
  <c r="H471" i="4"/>
  <c r="G471" i="4"/>
  <c r="F471" i="4"/>
  <c r="K470" i="4"/>
  <c r="J470" i="4"/>
  <c r="I470" i="4"/>
  <c r="H470" i="4"/>
  <c r="G470" i="4"/>
  <c r="F470" i="4"/>
  <c r="K469" i="4"/>
  <c r="J469" i="4"/>
  <c r="I469" i="4"/>
  <c r="H469" i="4"/>
  <c r="G469" i="4"/>
  <c r="F469" i="4"/>
  <c r="K468" i="4"/>
  <c r="J468" i="4"/>
  <c r="I468" i="4"/>
  <c r="H468" i="4"/>
  <c r="G468" i="4"/>
  <c r="F468" i="4"/>
  <c r="K467" i="4"/>
  <c r="J467" i="4"/>
  <c r="I467" i="4"/>
  <c r="H467" i="4"/>
  <c r="G467" i="4"/>
  <c r="F467" i="4"/>
  <c r="K466" i="4"/>
  <c r="J466" i="4"/>
  <c r="I466" i="4"/>
  <c r="H466" i="4"/>
  <c r="G466" i="4"/>
  <c r="F466" i="4"/>
  <c r="K465" i="4"/>
  <c r="J465" i="4"/>
  <c r="I465" i="4"/>
  <c r="H465" i="4"/>
  <c r="G465" i="4"/>
  <c r="F465" i="4"/>
  <c r="K464" i="4"/>
  <c r="J464" i="4"/>
  <c r="I464" i="4"/>
  <c r="H464" i="4"/>
  <c r="G464" i="4"/>
  <c r="F464" i="4"/>
  <c r="K463" i="4"/>
  <c r="J463" i="4"/>
  <c r="I463" i="4"/>
  <c r="H463" i="4"/>
  <c r="G463" i="4"/>
  <c r="F463" i="4"/>
  <c r="K462" i="4"/>
  <c r="J462" i="4"/>
  <c r="I462" i="4"/>
  <c r="H462" i="4"/>
  <c r="G462" i="4"/>
  <c r="F462" i="4"/>
  <c r="K461" i="4"/>
  <c r="J461" i="4"/>
  <c r="I461" i="4"/>
  <c r="H461" i="4"/>
  <c r="G461" i="4"/>
  <c r="F461" i="4"/>
  <c r="K460" i="4"/>
  <c r="J460" i="4"/>
  <c r="I460" i="4"/>
  <c r="H460" i="4"/>
  <c r="G460" i="4"/>
  <c r="F460" i="4"/>
  <c r="K459" i="4"/>
  <c r="J459" i="4"/>
  <c r="I459" i="4"/>
  <c r="H459" i="4"/>
  <c r="G459" i="4"/>
  <c r="F459" i="4"/>
  <c r="K458" i="4"/>
  <c r="J458" i="4"/>
  <c r="I458" i="4"/>
  <c r="H458" i="4"/>
  <c r="G458" i="4"/>
  <c r="F458" i="4"/>
  <c r="K457" i="4"/>
  <c r="J457" i="4"/>
  <c r="I457" i="4"/>
  <c r="H457" i="4"/>
  <c r="G457" i="4"/>
  <c r="F457" i="4"/>
  <c r="K456" i="4"/>
  <c r="J456" i="4"/>
  <c r="I456" i="4"/>
  <c r="H456" i="4"/>
  <c r="G456" i="4"/>
  <c r="F456" i="4"/>
  <c r="K455" i="4"/>
  <c r="J455" i="4"/>
  <c r="I455" i="4"/>
  <c r="H455" i="4"/>
  <c r="G455" i="4"/>
  <c r="F455" i="4"/>
  <c r="K454" i="4"/>
  <c r="J454" i="4"/>
  <c r="I454" i="4"/>
  <c r="H454" i="4"/>
  <c r="G454" i="4"/>
  <c r="F454" i="4"/>
  <c r="K453" i="4"/>
  <c r="J453" i="4"/>
  <c r="I453" i="4"/>
  <c r="H453" i="4"/>
  <c r="G453" i="4"/>
  <c r="F453" i="4"/>
  <c r="K452" i="4"/>
  <c r="J452" i="4"/>
  <c r="I452" i="4"/>
  <c r="H452" i="4"/>
  <c r="G452" i="4"/>
  <c r="F452" i="4"/>
  <c r="K451" i="4"/>
  <c r="J451" i="4"/>
  <c r="I451" i="4"/>
  <c r="H451" i="4"/>
  <c r="G451" i="4"/>
  <c r="F451" i="4"/>
  <c r="K450" i="4"/>
  <c r="J450" i="4"/>
  <c r="I450" i="4"/>
  <c r="H450" i="4"/>
  <c r="G450" i="4"/>
  <c r="F450" i="4"/>
  <c r="K449" i="4"/>
  <c r="J449" i="4"/>
  <c r="I449" i="4"/>
  <c r="H449" i="4"/>
  <c r="G449" i="4"/>
  <c r="F449" i="4"/>
  <c r="K448" i="4"/>
  <c r="J448" i="4"/>
  <c r="I448" i="4"/>
  <c r="H448" i="4"/>
  <c r="G448" i="4"/>
  <c r="F448" i="4"/>
  <c r="K447" i="4"/>
  <c r="J447" i="4"/>
  <c r="I447" i="4"/>
  <c r="H447" i="4"/>
  <c r="G447" i="4"/>
  <c r="F447" i="4"/>
  <c r="K446" i="4"/>
  <c r="J446" i="4"/>
  <c r="I446" i="4"/>
  <c r="H446" i="4"/>
  <c r="G446" i="4"/>
  <c r="F446" i="4"/>
  <c r="K445" i="4"/>
  <c r="J445" i="4"/>
  <c r="I445" i="4"/>
  <c r="H445" i="4"/>
  <c r="G445" i="4"/>
  <c r="F445" i="4"/>
  <c r="K444" i="4"/>
  <c r="J444" i="4"/>
  <c r="I444" i="4"/>
  <c r="H444" i="4"/>
  <c r="G444" i="4"/>
  <c r="F444" i="4"/>
  <c r="K443" i="4"/>
  <c r="J443" i="4"/>
  <c r="I443" i="4"/>
  <c r="H443" i="4"/>
  <c r="G443" i="4"/>
  <c r="F443" i="4"/>
  <c r="K442" i="4"/>
  <c r="J442" i="4"/>
  <c r="I442" i="4"/>
  <c r="H442" i="4"/>
  <c r="G442" i="4"/>
  <c r="F442" i="4"/>
  <c r="K441" i="4"/>
  <c r="J441" i="4"/>
  <c r="I441" i="4"/>
  <c r="H441" i="4"/>
  <c r="G441" i="4"/>
  <c r="F441" i="4"/>
  <c r="K440" i="4"/>
  <c r="J440" i="4"/>
  <c r="I440" i="4"/>
  <c r="H440" i="4"/>
  <c r="G440" i="4"/>
  <c r="F440" i="4"/>
  <c r="K439" i="4"/>
  <c r="J439" i="4"/>
  <c r="I439" i="4"/>
  <c r="H439" i="4"/>
  <c r="G439" i="4"/>
  <c r="F439" i="4"/>
  <c r="K438" i="4"/>
  <c r="J438" i="4"/>
  <c r="I438" i="4"/>
  <c r="H438" i="4"/>
  <c r="G438" i="4"/>
  <c r="F438" i="4"/>
  <c r="K437" i="4"/>
  <c r="J437" i="4"/>
  <c r="I437" i="4"/>
  <c r="H437" i="4"/>
  <c r="G437" i="4"/>
  <c r="F437" i="4"/>
  <c r="K436" i="4"/>
  <c r="J436" i="4"/>
  <c r="I436" i="4"/>
  <c r="H436" i="4"/>
  <c r="G436" i="4"/>
  <c r="F436" i="4"/>
  <c r="K435" i="4"/>
  <c r="J435" i="4"/>
  <c r="I435" i="4"/>
  <c r="H435" i="4"/>
  <c r="G435" i="4"/>
  <c r="F435" i="4"/>
  <c r="K434" i="4"/>
  <c r="J434" i="4"/>
  <c r="I434" i="4"/>
  <c r="H434" i="4"/>
  <c r="G434" i="4"/>
  <c r="F434" i="4"/>
  <c r="K433" i="4"/>
  <c r="J433" i="4"/>
  <c r="I433" i="4"/>
  <c r="H433" i="4"/>
  <c r="G433" i="4"/>
  <c r="F433" i="4"/>
  <c r="K432" i="4"/>
  <c r="J432" i="4"/>
  <c r="I432" i="4"/>
  <c r="H432" i="4"/>
  <c r="G432" i="4"/>
  <c r="F432" i="4"/>
  <c r="K431" i="4"/>
  <c r="J431" i="4"/>
  <c r="I431" i="4"/>
  <c r="H431" i="4"/>
  <c r="G431" i="4"/>
  <c r="F431" i="4"/>
  <c r="K430" i="4"/>
  <c r="J430" i="4"/>
  <c r="I430" i="4"/>
  <c r="H430" i="4"/>
  <c r="G430" i="4"/>
  <c r="F430" i="4"/>
  <c r="K429" i="4"/>
  <c r="J429" i="4"/>
  <c r="I429" i="4"/>
  <c r="H429" i="4"/>
  <c r="G429" i="4"/>
  <c r="F429" i="4"/>
  <c r="K428" i="4"/>
  <c r="J428" i="4"/>
  <c r="I428" i="4"/>
  <c r="H428" i="4"/>
  <c r="G428" i="4"/>
  <c r="F428" i="4"/>
  <c r="K427" i="4"/>
  <c r="J427" i="4"/>
  <c r="I427" i="4"/>
  <c r="H427" i="4"/>
  <c r="G427" i="4"/>
  <c r="F427" i="4"/>
  <c r="K426" i="4"/>
  <c r="J426" i="4"/>
  <c r="I426" i="4"/>
  <c r="H426" i="4"/>
  <c r="G426" i="4"/>
  <c r="F426" i="4"/>
  <c r="K425" i="4"/>
  <c r="J425" i="4"/>
  <c r="I425" i="4"/>
  <c r="H425" i="4"/>
  <c r="G425" i="4"/>
  <c r="F425" i="4"/>
  <c r="K424" i="4"/>
  <c r="J424" i="4"/>
  <c r="I424" i="4"/>
  <c r="H424" i="4"/>
  <c r="G424" i="4"/>
  <c r="F424" i="4"/>
  <c r="K423" i="4"/>
  <c r="J423" i="4"/>
  <c r="I423" i="4"/>
  <c r="H423" i="4"/>
  <c r="G423" i="4"/>
  <c r="F423" i="4"/>
  <c r="K422" i="4"/>
  <c r="J422" i="4"/>
  <c r="I422" i="4"/>
  <c r="H422" i="4"/>
  <c r="G422" i="4"/>
  <c r="F422" i="4"/>
  <c r="K421" i="4"/>
  <c r="J421" i="4"/>
  <c r="I421" i="4"/>
  <c r="H421" i="4"/>
  <c r="G421" i="4"/>
  <c r="F421" i="4"/>
  <c r="K420" i="4"/>
  <c r="J420" i="4"/>
  <c r="I420" i="4"/>
  <c r="H420" i="4"/>
  <c r="G420" i="4"/>
  <c r="F420" i="4"/>
  <c r="K419" i="4"/>
  <c r="J419" i="4"/>
  <c r="I419" i="4"/>
  <c r="H419" i="4"/>
  <c r="G419" i="4"/>
  <c r="F419" i="4"/>
  <c r="K418" i="4"/>
  <c r="J418" i="4"/>
  <c r="I418" i="4"/>
  <c r="H418" i="4"/>
  <c r="G418" i="4"/>
  <c r="F418" i="4"/>
  <c r="K417" i="4"/>
  <c r="J417" i="4"/>
  <c r="I417" i="4"/>
  <c r="H417" i="4"/>
  <c r="G417" i="4"/>
  <c r="F417" i="4"/>
  <c r="K416" i="4"/>
  <c r="J416" i="4"/>
  <c r="I416" i="4"/>
  <c r="H416" i="4"/>
  <c r="G416" i="4"/>
  <c r="F416" i="4"/>
  <c r="K415" i="4"/>
  <c r="J415" i="4"/>
  <c r="I415" i="4"/>
  <c r="H415" i="4"/>
  <c r="G415" i="4"/>
  <c r="F415" i="4"/>
  <c r="K414" i="4"/>
  <c r="J414" i="4"/>
  <c r="I414" i="4"/>
  <c r="H414" i="4"/>
  <c r="G414" i="4"/>
  <c r="F414" i="4"/>
  <c r="K413" i="4"/>
  <c r="J413" i="4"/>
  <c r="I413" i="4"/>
  <c r="H413" i="4"/>
  <c r="G413" i="4"/>
  <c r="F413" i="4"/>
  <c r="K412" i="4"/>
  <c r="J412" i="4"/>
  <c r="I412" i="4"/>
  <c r="H412" i="4"/>
  <c r="G412" i="4"/>
  <c r="F412" i="4"/>
  <c r="K411" i="4"/>
  <c r="J411" i="4"/>
  <c r="I411" i="4"/>
  <c r="H411" i="4"/>
  <c r="G411" i="4"/>
  <c r="F411" i="4"/>
  <c r="K410" i="4"/>
  <c r="J410" i="4"/>
  <c r="I410" i="4"/>
  <c r="H410" i="4"/>
  <c r="G410" i="4"/>
  <c r="F410" i="4"/>
  <c r="K409" i="4"/>
  <c r="J409" i="4"/>
  <c r="I409" i="4"/>
  <c r="H409" i="4"/>
  <c r="G409" i="4"/>
  <c r="F409" i="4"/>
  <c r="K408" i="4"/>
  <c r="J408" i="4"/>
  <c r="I408" i="4"/>
  <c r="H408" i="4"/>
  <c r="G408" i="4"/>
  <c r="F408" i="4"/>
  <c r="K407" i="4"/>
  <c r="J407" i="4"/>
  <c r="I407" i="4"/>
  <c r="H407" i="4"/>
  <c r="G407" i="4"/>
  <c r="F407" i="4"/>
  <c r="K406" i="4"/>
  <c r="J406" i="4"/>
  <c r="I406" i="4"/>
  <c r="H406" i="4"/>
  <c r="G406" i="4"/>
  <c r="F406" i="4"/>
  <c r="K405" i="4"/>
  <c r="J405" i="4"/>
  <c r="I405" i="4"/>
  <c r="H405" i="4"/>
  <c r="G405" i="4"/>
  <c r="F405" i="4"/>
  <c r="K404" i="4"/>
  <c r="J404" i="4"/>
  <c r="I404" i="4"/>
  <c r="H404" i="4"/>
  <c r="G404" i="4"/>
  <c r="F404" i="4"/>
  <c r="K403" i="4"/>
  <c r="J403" i="4"/>
  <c r="I403" i="4"/>
  <c r="H403" i="4"/>
  <c r="G403" i="4"/>
  <c r="F403" i="4"/>
  <c r="K402" i="4"/>
  <c r="J402" i="4"/>
  <c r="I402" i="4"/>
  <c r="H402" i="4"/>
  <c r="G402" i="4"/>
  <c r="F402" i="4"/>
  <c r="K401" i="4"/>
  <c r="J401" i="4"/>
  <c r="I401" i="4"/>
  <c r="H401" i="4"/>
  <c r="G401" i="4"/>
  <c r="F401" i="4"/>
  <c r="K400" i="4"/>
  <c r="J400" i="4"/>
  <c r="I400" i="4"/>
  <c r="H400" i="4"/>
  <c r="G400" i="4"/>
  <c r="F400" i="4"/>
  <c r="K399" i="4"/>
  <c r="J399" i="4"/>
  <c r="I399" i="4"/>
  <c r="H399" i="4"/>
  <c r="G399" i="4"/>
  <c r="F399" i="4"/>
  <c r="K398" i="4"/>
  <c r="J398" i="4"/>
  <c r="I398" i="4"/>
  <c r="H398" i="4"/>
  <c r="G398" i="4"/>
  <c r="F398" i="4"/>
  <c r="K397" i="4"/>
  <c r="J397" i="4"/>
  <c r="I397" i="4"/>
  <c r="H397" i="4"/>
  <c r="G397" i="4"/>
  <c r="F397" i="4"/>
  <c r="K396" i="4"/>
  <c r="J396" i="4"/>
  <c r="I396" i="4"/>
  <c r="H396" i="4"/>
  <c r="G396" i="4"/>
  <c r="F396" i="4"/>
  <c r="K395" i="4"/>
  <c r="J395" i="4"/>
  <c r="I395" i="4"/>
  <c r="H395" i="4"/>
  <c r="G395" i="4"/>
  <c r="F395" i="4"/>
  <c r="K394" i="4"/>
  <c r="J394" i="4"/>
  <c r="I394" i="4"/>
  <c r="H394" i="4"/>
  <c r="G394" i="4"/>
  <c r="F394" i="4"/>
  <c r="K393" i="4"/>
  <c r="J393" i="4"/>
  <c r="I393" i="4"/>
  <c r="H393" i="4"/>
  <c r="G393" i="4"/>
  <c r="F393" i="4"/>
  <c r="K392" i="4"/>
  <c r="J392" i="4"/>
  <c r="I392" i="4"/>
  <c r="H392" i="4"/>
  <c r="G392" i="4"/>
  <c r="F392" i="4"/>
  <c r="K391" i="4"/>
  <c r="J391" i="4"/>
  <c r="I391" i="4"/>
  <c r="H391" i="4"/>
  <c r="G391" i="4"/>
  <c r="F391" i="4"/>
  <c r="K390" i="4"/>
  <c r="J390" i="4"/>
  <c r="I390" i="4"/>
  <c r="H390" i="4"/>
  <c r="G390" i="4"/>
  <c r="F390" i="4"/>
  <c r="K389" i="4"/>
  <c r="J389" i="4"/>
  <c r="I389" i="4"/>
  <c r="H389" i="4"/>
  <c r="G389" i="4"/>
  <c r="F389" i="4"/>
  <c r="K388" i="4"/>
  <c r="J388" i="4"/>
  <c r="I388" i="4"/>
  <c r="H388" i="4"/>
  <c r="G388" i="4"/>
  <c r="F388" i="4"/>
  <c r="K387" i="4"/>
  <c r="J387" i="4"/>
  <c r="I387" i="4"/>
  <c r="H387" i="4"/>
  <c r="G387" i="4"/>
  <c r="F387" i="4"/>
  <c r="K386" i="4"/>
  <c r="J386" i="4"/>
  <c r="I386" i="4"/>
  <c r="H386" i="4"/>
  <c r="G386" i="4"/>
  <c r="F386" i="4"/>
  <c r="K385" i="4"/>
  <c r="J385" i="4"/>
  <c r="I385" i="4"/>
  <c r="H385" i="4"/>
  <c r="G385" i="4"/>
  <c r="F385" i="4"/>
  <c r="K384" i="4"/>
  <c r="J384" i="4"/>
  <c r="I384" i="4"/>
  <c r="H384" i="4"/>
  <c r="G384" i="4"/>
  <c r="F384" i="4"/>
  <c r="K383" i="4"/>
  <c r="J383" i="4"/>
  <c r="I383" i="4"/>
  <c r="H383" i="4"/>
  <c r="G383" i="4"/>
  <c r="F383" i="4"/>
  <c r="K382" i="4"/>
  <c r="J382" i="4"/>
  <c r="I382" i="4"/>
  <c r="H382" i="4"/>
  <c r="G382" i="4"/>
  <c r="F382" i="4"/>
  <c r="K381" i="4"/>
  <c r="J381" i="4"/>
  <c r="I381" i="4"/>
  <c r="H381" i="4"/>
  <c r="G381" i="4"/>
  <c r="F381" i="4"/>
  <c r="K380" i="4"/>
  <c r="J380" i="4"/>
  <c r="I380" i="4"/>
  <c r="H380" i="4"/>
  <c r="G380" i="4"/>
  <c r="F380" i="4"/>
  <c r="K379" i="4"/>
  <c r="J379" i="4"/>
  <c r="I379" i="4"/>
  <c r="H379" i="4"/>
  <c r="G379" i="4"/>
  <c r="F379" i="4"/>
  <c r="K378" i="4"/>
  <c r="J378" i="4"/>
  <c r="I378" i="4"/>
  <c r="H378" i="4"/>
  <c r="G378" i="4"/>
  <c r="F378" i="4"/>
  <c r="K377" i="4"/>
  <c r="J377" i="4"/>
  <c r="I377" i="4"/>
  <c r="H377" i="4"/>
  <c r="G377" i="4"/>
  <c r="F377" i="4"/>
  <c r="K376" i="4"/>
  <c r="J376" i="4"/>
  <c r="I376" i="4"/>
  <c r="H376" i="4"/>
  <c r="G376" i="4"/>
  <c r="F376" i="4"/>
  <c r="K375" i="4"/>
  <c r="J375" i="4"/>
  <c r="I375" i="4"/>
  <c r="H375" i="4"/>
  <c r="G375" i="4"/>
  <c r="F375" i="4"/>
  <c r="K374" i="4"/>
  <c r="J374" i="4"/>
  <c r="I374" i="4"/>
  <c r="H374" i="4"/>
  <c r="G374" i="4"/>
  <c r="F374" i="4"/>
  <c r="K373" i="4"/>
  <c r="J373" i="4"/>
  <c r="I373" i="4"/>
  <c r="H373" i="4"/>
  <c r="G373" i="4"/>
  <c r="F373" i="4"/>
  <c r="K372" i="4"/>
  <c r="J372" i="4"/>
  <c r="I372" i="4"/>
  <c r="H372" i="4"/>
  <c r="G372" i="4"/>
  <c r="F372" i="4"/>
  <c r="K371" i="4"/>
  <c r="J371" i="4"/>
  <c r="I371" i="4"/>
  <c r="H371" i="4"/>
  <c r="G371" i="4"/>
  <c r="F371" i="4"/>
  <c r="K370" i="4"/>
  <c r="J370" i="4"/>
  <c r="I370" i="4"/>
  <c r="H370" i="4"/>
  <c r="G370" i="4"/>
  <c r="F370" i="4"/>
  <c r="K369" i="4"/>
  <c r="J369" i="4"/>
  <c r="I369" i="4"/>
  <c r="H369" i="4"/>
  <c r="G369" i="4"/>
  <c r="F369" i="4"/>
  <c r="K368" i="4"/>
  <c r="J368" i="4"/>
  <c r="I368" i="4"/>
  <c r="H368" i="4"/>
  <c r="G368" i="4"/>
  <c r="F368" i="4"/>
  <c r="K367" i="4"/>
  <c r="J367" i="4"/>
  <c r="I367" i="4"/>
  <c r="H367" i="4"/>
  <c r="G367" i="4"/>
  <c r="F367" i="4"/>
  <c r="K366" i="4"/>
  <c r="J366" i="4"/>
  <c r="I366" i="4"/>
  <c r="H366" i="4"/>
  <c r="G366" i="4"/>
  <c r="F366" i="4"/>
  <c r="K365" i="4"/>
  <c r="J365" i="4"/>
  <c r="I365" i="4"/>
  <c r="H365" i="4"/>
  <c r="G365" i="4"/>
  <c r="F365" i="4"/>
  <c r="K364" i="4"/>
  <c r="J364" i="4"/>
  <c r="I364" i="4"/>
  <c r="H364" i="4"/>
  <c r="G364" i="4"/>
  <c r="F364" i="4"/>
  <c r="K363" i="4"/>
  <c r="J363" i="4"/>
  <c r="I363" i="4"/>
  <c r="H363" i="4"/>
  <c r="G363" i="4"/>
  <c r="F363" i="4"/>
  <c r="K362" i="4"/>
  <c r="J362" i="4"/>
  <c r="I362" i="4"/>
  <c r="H362" i="4"/>
  <c r="G362" i="4"/>
  <c r="F362" i="4"/>
  <c r="K361" i="4"/>
  <c r="J361" i="4"/>
  <c r="I361" i="4"/>
  <c r="H361" i="4"/>
  <c r="G361" i="4"/>
  <c r="F361" i="4"/>
  <c r="K360" i="4"/>
  <c r="J360" i="4"/>
  <c r="I360" i="4"/>
  <c r="H360" i="4"/>
  <c r="G360" i="4"/>
  <c r="F360" i="4"/>
  <c r="K359" i="4"/>
  <c r="J359" i="4"/>
  <c r="I359" i="4"/>
  <c r="H359" i="4"/>
  <c r="G359" i="4"/>
  <c r="F359" i="4"/>
  <c r="K358" i="4"/>
  <c r="J358" i="4"/>
  <c r="I358" i="4"/>
  <c r="H358" i="4"/>
  <c r="G358" i="4"/>
  <c r="F358" i="4"/>
  <c r="K357" i="4"/>
  <c r="J357" i="4"/>
  <c r="I357" i="4"/>
  <c r="H357" i="4"/>
  <c r="G357" i="4"/>
  <c r="F357" i="4"/>
  <c r="K356" i="4"/>
  <c r="J356" i="4"/>
  <c r="I356" i="4"/>
  <c r="H356" i="4"/>
  <c r="G356" i="4"/>
  <c r="F356" i="4"/>
  <c r="K355" i="4"/>
  <c r="J355" i="4"/>
  <c r="I355" i="4"/>
  <c r="H355" i="4"/>
  <c r="G355" i="4"/>
  <c r="F355" i="4"/>
  <c r="K354" i="4"/>
  <c r="J354" i="4"/>
  <c r="I354" i="4"/>
  <c r="H354" i="4"/>
  <c r="G354" i="4"/>
  <c r="F354" i="4"/>
  <c r="K353" i="4"/>
  <c r="J353" i="4"/>
  <c r="I353" i="4"/>
  <c r="H353" i="4"/>
  <c r="G353" i="4"/>
  <c r="F353" i="4"/>
  <c r="K352" i="4"/>
  <c r="J352" i="4"/>
  <c r="I352" i="4"/>
  <c r="H352" i="4"/>
  <c r="G352" i="4"/>
  <c r="F352" i="4"/>
  <c r="K351" i="4"/>
  <c r="J351" i="4"/>
  <c r="I351" i="4"/>
  <c r="H351" i="4"/>
  <c r="G351" i="4"/>
  <c r="F351" i="4"/>
  <c r="K350" i="4"/>
  <c r="J350" i="4"/>
  <c r="I350" i="4"/>
  <c r="H350" i="4"/>
  <c r="G350" i="4"/>
  <c r="F350" i="4"/>
  <c r="K349" i="4"/>
  <c r="J349" i="4"/>
  <c r="I349" i="4"/>
  <c r="H349" i="4"/>
  <c r="G349" i="4"/>
  <c r="F349" i="4"/>
  <c r="K348" i="4"/>
  <c r="J348" i="4"/>
  <c r="I348" i="4"/>
  <c r="H348" i="4"/>
  <c r="G348" i="4"/>
  <c r="F348" i="4"/>
  <c r="K347" i="4"/>
  <c r="J347" i="4"/>
  <c r="I347" i="4"/>
  <c r="H347" i="4"/>
  <c r="G347" i="4"/>
  <c r="F347" i="4"/>
  <c r="K346" i="4"/>
  <c r="J346" i="4"/>
  <c r="I346" i="4"/>
  <c r="H346" i="4"/>
  <c r="G346" i="4"/>
  <c r="F346" i="4"/>
  <c r="K345" i="4"/>
  <c r="J345" i="4"/>
  <c r="I345" i="4"/>
  <c r="H345" i="4"/>
  <c r="G345" i="4"/>
  <c r="F345" i="4"/>
  <c r="K344" i="4"/>
  <c r="J344" i="4"/>
  <c r="I344" i="4"/>
  <c r="H344" i="4"/>
  <c r="G344" i="4"/>
  <c r="F344" i="4"/>
  <c r="K343" i="4"/>
  <c r="J343" i="4"/>
  <c r="I343" i="4"/>
  <c r="H343" i="4"/>
  <c r="G343" i="4"/>
  <c r="F343" i="4"/>
  <c r="K342" i="4"/>
  <c r="J342" i="4"/>
  <c r="I342" i="4"/>
  <c r="H342" i="4"/>
  <c r="G342" i="4"/>
  <c r="F342" i="4"/>
  <c r="K341" i="4"/>
  <c r="J341" i="4"/>
  <c r="I341" i="4"/>
  <c r="H341" i="4"/>
  <c r="G341" i="4"/>
  <c r="F341" i="4"/>
  <c r="K340" i="4"/>
  <c r="J340" i="4"/>
  <c r="I340" i="4"/>
  <c r="H340" i="4"/>
  <c r="G340" i="4"/>
  <c r="F340" i="4"/>
  <c r="K339" i="4"/>
  <c r="J339" i="4"/>
  <c r="I339" i="4"/>
  <c r="H339" i="4"/>
  <c r="G339" i="4"/>
  <c r="F339" i="4"/>
  <c r="K338" i="4"/>
  <c r="J338" i="4"/>
  <c r="I338" i="4"/>
  <c r="H338" i="4"/>
  <c r="G338" i="4"/>
  <c r="F338" i="4"/>
  <c r="K337" i="4"/>
  <c r="J337" i="4"/>
  <c r="I337" i="4"/>
  <c r="H337" i="4"/>
  <c r="G337" i="4"/>
  <c r="F337" i="4"/>
  <c r="K336" i="4"/>
  <c r="J336" i="4"/>
  <c r="I336" i="4"/>
  <c r="H336" i="4"/>
  <c r="G336" i="4"/>
  <c r="F336" i="4"/>
  <c r="K335" i="4"/>
  <c r="J335" i="4"/>
  <c r="I335" i="4"/>
  <c r="H335" i="4"/>
  <c r="G335" i="4"/>
  <c r="F335" i="4"/>
  <c r="K334" i="4"/>
  <c r="J334" i="4"/>
  <c r="I334" i="4"/>
  <c r="H334" i="4"/>
  <c r="G334" i="4"/>
  <c r="F334" i="4"/>
  <c r="K333" i="4"/>
  <c r="J333" i="4"/>
  <c r="I333" i="4"/>
  <c r="H333" i="4"/>
  <c r="G333" i="4"/>
  <c r="F333" i="4"/>
  <c r="K332" i="4"/>
  <c r="J332" i="4"/>
  <c r="I332" i="4"/>
  <c r="H332" i="4"/>
  <c r="G332" i="4"/>
  <c r="F332" i="4"/>
  <c r="K331" i="4"/>
  <c r="J331" i="4"/>
  <c r="I331" i="4"/>
  <c r="H331" i="4"/>
  <c r="G331" i="4"/>
  <c r="F331" i="4"/>
  <c r="K330" i="4"/>
  <c r="J330" i="4"/>
  <c r="I330" i="4"/>
  <c r="H330" i="4"/>
  <c r="G330" i="4"/>
  <c r="F330" i="4"/>
  <c r="K329" i="4"/>
  <c r="J329" i="4"/>
  <c r="I329" i="4"/>
  <c r="H329" i="4"/>
  <c r="G329" i="4"/>
  <c r="F329" i="4"/>
  <c r="K328" i="4"/>
  <c r="J328" i="4"/>
  <c r="I328" i="4"/>
  <c r="H328" i="4"/>
  <c r="G328" i="4"/>
  <c r="F328" i="4"/>
  <c r="K327" i="4"/>
  <c r="J327" i="4"/>
  <c r="I327" i="4"/>
  <c r="H327" i="4"/>
  <c r="G327" i="4"/>
  <c r="F327" i="4"/>
  <c r="K326" i="4"/>
  <c r="J326" i="4"/>
  <c r="I326" i="4"/>
  <c r="H326" i="4"/>
  <c r="G326" i="4"/>
  <c r="F326" i="4"/>
  <c r="K325" i="4"/>
  <c r="J325" i="4"/>
  <c r="I325" i="4"/>
  <c r="H325" i="4"/>
  <c r="G325" i="4"/>
  <c r="F325" i="4"/>
  <c r="K324" i="4"/>
  <c r="J324" i="4"/>
  <c r="I324" i="4"/>
  <c r="H324" i="4"/>
  <c r="G324" i="4"/>
  <c r="F324" i="4"/>
  <c r="K323" i="4"/>
  <c r="J323" i="4"/>
  <c r="I323" i="4"/>
  <c r="H323" i="4"/>
  <c r="G323" i="4"/>
  <c r="F323" i="4"/>
  <c r="K322" i="4"/>
  <c r="J322" i="4"/>
  <c r="I322" i="4"/>
  <c r="H322" i="4"/>
  <c r="G322" i="4"/>
  <c r="F322" i="4"/>
  <c r="K321" i="4"/>
  <c r="J321" i="4"/>
  <c r="I321" i="4"/>
  <c r="H321" i="4"/>
  <c r="G321" i="4"/>
  <c r="F321" i="4"/>
  <c r="K320" i="4"/>
  <c r="J320" i="4"/>
  <c r="I320" i="4"/>
  <c r="H320" i="4"/>
  <c r="G320" i="4"/>
  <c r="F320" i="4"/>
  <c r="K319" i="4"/>
  <c r="J319" i="4"/>
  <c r="I319" i="4"/>
  <c r="H319" i="4"/>
  <c r="G319" i="4"/>
  <c r="F319" i="4"/>
  <c r="K318" i="4"/>
  <c r="J318" i="4"/>
  <c r="I318" i="4"/>
  <c r="H318" i="4"/>
  <c r="G318" i="4"/>
  <c r="F318" i="4"/>
  <c r="K317" i="4"/>
  <c r="J317" i="4"/>
  <c r="I317" i="4"/>
  <c r="H317" i="4"/>
  <c r="G317" i="4"/>
  <c r="F317" i="4"/>
  <c r="K316" i="4"/>
  <c r="J316" i="4"/>
  <c r="I316" i="4"/>
  <c r="H316" i="4"/>
  <c r="G316" i="4"/>
  <c r="F316" i="4"/>
  <c r="K315" i="4"/>
  <c r="J315" i="4"/>
  <c r="I315" i="4"/>
  <c r="H315" i="4"/>
  <c r="G315" i="4"/>
  <c r="F315" i="4"/>
  <c r="K314" i="4"/>
  <c r="J314" i="4"/>
  <c r="I314" i="4"/>
  <c r="H314" i="4"/>
  <c r="G314" i="4"/>
  <c r="F314" i="4"/>
  <c r="K313" i="4"/>
  <c r="J313" i="4"/>
  <c r="I313" i="4"/>
  <c r="H313" i="4"/>
  <c r="G313" i="4"/>
  <c r="F313" i="4"/>
  <c r="K312" i="4"/>
  <c r="J312" i="4"/>
  <c r="I312" i="4"/>
  <c r="H312" i="4"/>
  <c r="G312" i="4"/>
  <c r="F312" i="4"/>
  <c r="K311" i="4"/>
  <c r="J311" i="4"/>
  <c r="I311" i="4"/>
  <c r="H311" i="4"/>
  <c r="G311" i="4"/>
  <c r="F311" i="4"/>
  <c r="K310" i="4"/>
  <c r="J310" i="4"/>
  <c r="I310" i="4"/>
  <c r="H310" i="4"/>
  <c r="G310" i="4"/>
  <c r="F310" i="4"/>
  <c r="K309" i="4"/>
  <c r="J309" i="4"/>
  <c r="I309" i="4"/>
  <c r="H309" i="4"/>
  <c r="G309" i="4"/>
  <c r="F309" i="4"/>
  <c r="K308" i="4"/>
  <c r="J308" i="4"/>
  <c r="I308" i="4"/>
  <c r="H308" i="4"/>
  <c r="G308" i="4"/>
  <c r="F308" i="4"/>
  <c r="K307" i="4"/>
  <c r="J307" i="4"/>
  <c r="I307" i="4"/>
  <c r="H307" i="4"/>
  <c r="G307" i="4"/>
  <c r="F307" i="4"/>
  <c r="K306" i="4"/>
  <c r="J306" i="4"/>
  <c r="I306" i="4"/>
  <c r="H306" i="4"/>
  <c r="G306" i="4"/>
  <c r="F306" i="4"/>
  <c r="K305" i="4"/>
  <c r="J305" i="4"/>
  <c r="I305" i="4"/>
  <c r="H305" i="4"/>
  <c r="G305" i="4"/>
  <c r="F305" i="4"/>
  <c r="K304" i="4"/>
  <c r="J304" i="4"/>
  <c r="I304" i="4"/>
  <c r="H304" i="4"/>
  <c r="G304" i="4"/>
  <c r="F304" i="4"/>
  <c r="K303" i="4"/>
  <c r="J303" i="4"/>
  <c r="I303" i="4"/>
  <c r="H303" i="4"/>
  <c r="G303" i="4"/>
  <c r="F303" i="4"/>
  <c r="K302" i="4"/>
  <c r="J302" i="4"/>
  <c r="I302" i="4"/>
  <c r="H302" i="4"/>
  <c r="G302" i="4"/>
  <c r="F302" i="4"/>
  <c r="K301" i="4"/>
  <c r="J301" i="4"/>
  <c r="I301" i="4"/>
  <c r="H301" i="4"/>
  <c r="G301" i="4"/>
  <c r="F301" i="4"/>
  <c r="K300" i="4"/>
  <c r="J300" i="4"/>
  <c r="I300" i="4"/>
  <c r="H300" i="4"/>
  <c r="G300" i="4"/>
  <c r="F300" i="4"/>
  <c r="K299" i="4"/>
  <c r="J299" i="4"/>
  <c r="I299" i="4"/>
  <c r="H299" i="4"/>
  <c r="G299" i="4"/>
  <c r="F299" i="4"/>
  <c r="K298" i="4"/>
  <c r="J298" i="4"/>
  <c r="I298" i="4"/>
  <c r="H298" i="4"/>
  <c r="G298" i="4"/>
  <c r="F298" i="4"/>
  <c r="K297" i="4"/>
  <c r="J297" i="4"/>
  <c r="I297" i="4"/>
  <c r="H297" i="4"/>
  <c r="G297" i="4"/>
  <c r="F297" i="4"/>
  <c r="K296" i="4"/>
  <c r="J296" i="4"/>
  <c r="I296" i="4"/>
  <c r="H296" i="4"/>
  <c r="G296" i="4"/>
  <c r="F296" i="4"/>
  <c r="K295" i="4"/>
  <c r="J295" i="4"/>
  <c r="I295" i="4"/>
  <c r="H295" i="4"/>
  <c r="G295" i="4"/>
  <c r="F295" i="4"/>
  <c r="K294" i="4"/>
  <c r="J294" i="4"/>
  <c r="I294" i="4"/>
  <c r="H294" i="4"/>
  <c r="G294" i="4"/>
  <c r="F294" i="4"/>
  <c r="K293" i="4"/>
  <c r="J293" i="4"/>
  <c r="I293" i="4"/>
  <c r="H293" i="4"/>
  <c r="G293" i="4"/>
  <c r="F293" i="4"/>
  <c r="K292" i="4"/>
  <c r="J292" i="4"/>
  <c r="I292" i="4"/>
  <c r="H292" i="4"/>
  <c r="G292" i="4"/>
  <c r="F292" i="4"/>
  <c r="K291" i="4"/>
  <c r="J291" i="4"/>
  <c r="I291" i="4"/>
  <c r="H291" i="4"/>
  <c r="G291" i="4"/>
  <c r="F291" i="4"/>
  <c r="K290" i="4"/>
  <c r="J290" i="4"/>
  <c r="I290" i="4"/>
  <c r="H290" i="4"/>
  <c r="G290" i="4"/>
  <c r="F290" i="4"/>
  <c r="K289" i="4"/>
  <c r="J289" i="4"/>
  <c r="I289" i="4"/>
  <c r="H289" i="4"/>
  <c r="G289" i="4"/>
  <c r="F289" i="4"/>
  <c r="K288" i="4"/>
  <c r="J288" i="4"/>
  <c r="I288" i="4"/>
  <c r="H288" i="4"/>
  <c r="G288" i="4"/>
  <c r="F288" i="4"/>
  <c r="K287" i="4"/>
  <c r="J287" i="4"/>
  <c r="I287" i="4"/>
  <c r="H287" i="4"/>
  <c r="G287" i="4"/>
  <c r="F287" i="4"/>
  <c r="K286" i="4"/>
  <c r="J286" i="4"/>
  <c r="I286" i="4"/>
  <c r="H286" i="4"/>
  <c r="G286" i="4"/>
  <c r="F286" i="4"/>
  <c r="K285" i="4"/>
  <c r="J285" i="4"/>
  <c r="I285" i="4"/>
  <c r="H285" i="4"/>
  <c r="G285" i="4"/>
  <c r="F285" i="4"/>
  <c r="K284" i="4"/>
  <c r="J284" i="4"/>
  <c r="I284" i="4"/>
  <c r="H284" i="4"/>
  <c r="G284" i="4"/>
  <c r="F284" i="4"/>
  <c r="K283" i="4"/>
  <c r="J283" i="4"/>
  <c r="I283" i="4"/>
  <c r="H283" i="4"/>
  <c r="G283" i="4"/>
  <c r="F283" i="4"/>
  <c r="K282" i="4"/>
  <c r="J282" i="4"/>
  <c r="I282" i="4"/>
  <c r="H282" i="4"/>
  <c r="G282" i="4"/>
  <c r="F282" i="4"/>
  <c r="K281" i="4"/>
  <c r="J281" i="4"/>
  <c r="I281" i="4"/>
  <c r="H281" i="4"/>
  <c r="G281" i="4"/>
  <c r="F281" i="4"/>
  <c r="K280" i="4"/>
  <c r="J280" i="4"/>
  <c r="I280" i="4"/>
  <c r="H280" i="4"/>
  <c r="G280" i="4"/>
  <c r="F280" i="4"/>
  <c r="K279" i="4"/>
  <c r="J279" i="4"/>
  <c r="I279" i="4"/>
  <c r="H279" i="4"/>
  <c r="G279" i="4"/>
  <c r="F279" i="4"/>
  <c r="K278" i="4"/>
  <c r="J278" i="4"/>
  <c r="I278" i="4"/>
  <c r="H278" i="4"/>
  <c r="G278" i="4"/>
  <c r="F278" i="4"/>
  <c r="K277" i="4"/>
  <c r="J277" i="4"/>
  <c r="I277" i="4"/>
  <c r="H277" i="4"/>
  <c r="G277" i="4"/>
  <c r="F277" i="4"/>
  <c r="K276" i="4"/>
  <c r="J276" i="4"/>
  <c r="I276" i="4"/>
  <c r="H276" i="4"/>
  <c r="G276" i="4"/>
  <c r="F276" i="4"/>
  <c r="K275" i="4"/>
  <c r="J275" i="4"/>
  <c r="I275" i="4"/>
  <c r="H275" i="4"/>
  <c r="G275" i="4"/>
  <c r="F275" i="4"/>
  <c r="K274" i="4"/>
  <c r="J274" i="4"/>
  <c r="I274" i="4"/>
  <c r="H274" i="4"/>
  <c r="G274" i="4"/>
  <c r="F274" i="4"/>
  <c r="K273" i="4"/>
  <c r="J273" i="4"/>
  <c r="I273" i="4"/>
  <c r="H273" i="4"/>
  <c r="G273" i="4"/>
  <c r="F273" i="4"/>
  <c r="K272" i="4"/>
  <c r="J272" i="4"/>
  <c r="I272" i="4"/>
  <c r="H272" i="4"/>
  <c r="G272" i="4"/>
  <c r="F272" i="4"/>
  <c r="K271" i="4"/>
  <c r="J271" i="4"/>
  <c r="I271" i="4"/>
  <c r="H271" i="4"/>
  <c r="G271" i="4"/>
  <c r="F271" i="4"/>
  <c r="K270" i="4"/>
  <c r="J270" i="4"/>
  <c r="I270" i="4"/>
  <c r="H270" i="4"/>
  <c r="G270" i="4"/>
  <c r="F270" i="4"/>
  <c r="K269" i="4"/>
  <c r="J269" i="4"/>
  <c r="I269" i="4"/>
  <c r="H269" i="4"/>
  <c r="G269" i="4"/>
  <c r="F269" i="4"/>
  <c r="K268" i="4"/>
  <c r="J268" i="4"/>
  <c r="I268" i="4"/>
  <c r="H268" i="4"/>
  <c r="G268" i="4"/>
  <c r="F268" i="4"/>
  <c r="K267" i="4"/>
  <c r="J267" i="4"/>
  <c r="I267" i="4"/>
  <c r="H267" i="4"/>
  <c r="G267" i="4"/>
  <c r="F267" i="4"/>
  <c r="K266" i="4"/>
  <c r="J266" i="4"/>
  <c r="I266" i="4"/>
  <c r="H266" i="4"/>
  <c r="G266" i="4"/>
  <c r="F266" i="4"/>
  <c r="K265" i="4"/>
  <c r="J265" i="4"/>
  <c r="I265" i="4"/>
  <c r="H265" i="4"/>
  <c r="G265" i="4"/>
  <c r="F265" i="4"/>
  <c r="K264" i="4"/>
  <c r="J264" i="4"/>
  <c r="I264" i="4"/>
  <c r="H264" i="4"/>
  <c r="G264" i="4"/>
  <c r="F264" i="4"/>
  <c r="K263" i="4"/>
  <c r="J263" i="4"/>
  <c r="I263" i="4"/>
  <c r="H263" i="4"/>
  <c r="G263" i="4"/>
  <c r="F263" i="4"/>
  <c r="K262" i="4"/>
  <c r="J262" i="4"/>
  <c r="I262" i="4"/>
  <c r="H262" i="4"/>
  <c r="G262" i="4"/>
  <c r="F262" i="4"/>
  <c r="K261" i="4"/>
  <c r="J261" i="4"/>
  <c r="I261" i="4"/>
  <c r="H261" i="4"/>
  <c r="G261" i="4"/>
  <c r="F261" i="4"/>
  <c r="K260" i="4"/>
  <c r="J260" i="4"/>
  <c r="I260" i="4"/>
  <c r="H260" i="4"/>
  <c r="G260" i="4"/>
  <c r="F260" i="4"/>
  <c r="K259" i="4"/>
  <c r="J259" i="4"/>
  <c r="I259" i="4"/>
  <c r="H259" i="4"/>
  <c r="G259" i="4"/>
  <c r="F259" i="4"/>
  <c r="K258" i="4"/>
  <c r="J258" i="4"/>
  <c r="I258" i="4"/>
  <c r="H258" i="4"/>
  <c r="G258" i="4"/>
  <c r="F258" i="4"/>
  <c r="K257" i="4"/>
  <c r="J257" i="4"/>
  <c r="I257" i="4"/>
  <c r="H257" i="4"/>
  <c r="G257" i="4"/>
  <c r="F257" i="4"/>
  <c r="K256" i="4"/>
  <c r="J256" i="4"/>
  <c r="I256" i="4"/>
  <c r="H256" i="4"/>
  <c r="G256" i="4"/>
  <c r="F256" i="4"/>
  <c r="K255" i="4"/>
  <c r="J255" i="4"/>
  <c r="I255" i="4"/>
  <c r="H255" i="4"/>
  <c r="G255" i="4"/>
  <c r="F255" i="4"/>
  <c r="K254" i="4"/>
  <c r="J254" i="4"/>
  <c r="I254" i="4"/>
  <c r="H254" i="4"/>
  <c r="G254" i="4"/>
  <c r="F254" i="4"/>
  <c r="K253" i="4"/>
  <c r="J253" i="4"/>
  <c r="I253" i="4"/>
  <c r="H253" i="4"/>
  <c r="G253" i="4"/>
  <c r="F253" i="4"/>
  <c r="K252" i="4"/>
  <c r="J252" i="4"/>
  <c r="I252" i="4"/>
  <c r="H252" i="4"/>
  <c r="G252" i="4"/>
  <c r="F252" i="4"/>
  <c r="K251" i="4"/>
  <c r="J251" i="4"/>
  <c r="I251" i="4"/>
  <c r="H251" i="4"/>
  <c r="G251" i="4"/>
  <c r="F251" i="4"/>
  <c r="K250" i="4"/>
  <c r="J250" i="4"/>
  <c r="I250" i="4"/>
  <c r="H250" i="4"/>
  <c r="G250" i="4"/>
  <c r="F250" i="4"/>
  <c r="K249" i="4"/>
  <c r="J249" i="4"/>
  <c r="I249" i="4"/>
  <c r="H249" i="4"/>
  <c r="G249" i="4"/>
  <c r="F249" i="4"/>
  <c r="K248" i="4"/>
  <c r="J248" i="4"/>
  <c r="I248" i="4"/>
  <c r="H248" i="4"/>
  <c r="G248" i="4"/>
  <c r="F248" i="4"/>
  <c r="K247" i="4"/>
  <c r="J247" i="4"/>
  <c r="I247" i="4"/>
  <c r="H247" i="4"/>
  <c r="G247" i="4"/>
  <c r="F247" i="4"/>
  <c r="K246" i="4"/>
  <c r="J246" i="4"/>
  <c r="I246" i="4"/>
  <c r="H246" i="4"/>
  <c r="G246" i="4"/>
  <c r="F246" i="4"/>
  <c r="K245" i="4"/>
  <c r="J245" i="4"/>
  <c r="I245" i="4"/>
  <c r="H245" i="4"/>
  <c r="G245" i="4"/>
  <c r="F245" i="4"/>
  <c r="K244" i="4"/>
  <c r="J244" i="4"/>
  <c r="I244" i="4"/>
  <c r="H244" i="4"/>
  <c r="G244" i="4"/>
  <c r="F244" i="4"/>
  <c r="K243" i="4"/>
  <c r="J243" i="4"/>
  <c r="I243" i="4"/>
  <c r="H243" i="4"/>
  <c r="G243" i="4"/>
  <c r="F243" i="4"/>
  <c r="K242" i="4"/>
  <c r="J242" i="4"/>
  <c r="I242" i="4"/>
  <c r="H242" i="4"/>
  <c r="G242" i="4"/>
  <c r="F242" i="4"/>
  <c r="K241" i="4"/>
  <c r="J241" i="4"/>
  <c r="I241" i="4"/>
  <c r="H241" i="4"/>
  <c r="G241" i="4"/>
  <c r="F241" i="4"/>
  <c r="K240" i="4"/>
  <c r="J240" i="4"/>
  <c r="I240" i="4"/>
  <c r="H240" i="4"/>
  <c r="G240" i="4"/>
  <c r="F240" i="4"/>
  <c r="K239" i="4"/>
  <c r="J239" i="4"/>
  <c r="I239" i="4"/>
  <c r="H239" i="4"/>
  <c r="G239" i="4"/>
  <c r="F239" i="4"/>
  <c r="K238" i="4"/>
  <c r="J238" i="4"/>
  <c r="I238" i="4"/>
  <c r="H238" i="4"/>
  <c r="G238" i="4"/>
  <c r="F238" i="4"/>
  <c r="K237" i="4"/>
  <c r="J237" i="4"/>
  <c r="I237" i="4"/>
  <c r="H237" i="4"/>
  <c r="G237" i="4"/>
  <c r="F237" i="4"/>
  <c r="K236" i="4"/>
  <c r="J236" i="4"/>
  <c r="I236" i="4"/>
  <c r="H236" i="4"/>
  <c r="G236" i="4"/>
  <c r="F236" i="4"/>
  <c r="K235" i="4"/>
  <c r="J235" i="4"/>
  <c r="I235" i="4"/>
  <c r="H235" i="4"/>
  <c r="G235" i="4"/>
  <c r="F235" i="4"/>
  <c r="K234" i="4"/>
  <c r="J234" i="4"/>
  <c r="I234" i="4"/>
  <c r="H234" i="4"/>
  <c r="G234" i="4"/>
  <c r="F234" i="4"/>
  <c r="K233" i="4"/>
  <c r="J233" i="4"/>
  <c r="I233" i="4"/>
  <c r="H233" i="4"/>
  <c r="G233" i="4"/>
  <c r="F233" i="4"/>
  <c r="K232" i="4"/>
  <c r="J232" i="4"/>
  <c r="I232" i="4"/>
  <c r="H232" i="4"/>
  <c r="G232" i="4"/>
  <c r="F232" i="4"/>
  <c r="K231" i="4"/>
  <c r="J231" i="4"/>
  <c r="I231" i="4"/>
  <c r="H231" i="4"/>
  <c r="G231" i="4"/>
  <c r="F231" i="4"/>
  <c r="K230" i="4"/>
  <c r="J230" i="4"/>
  <c r="I230" i="4"/>
  <c r="H230" i="4"/>
  <c r="G230" i="4"/>
  <c r="F230" i="4"/>
  <c r="K229" i="4"/>
  <c r="J229" i="4"/>
  <c r="I229" i="4"/>
  <c r="H229" i="4"/>
  <c r="G229" i="4"/>
  <c r="F229" i="4"/>
  <c r="K228" i="4"/>
  <c r="J228" i="4"/>
  <c r="I228" i="4"/>
  <c r="H228" i="4"/>
  <c r="G228" i="4"/>
  <c r="F228" i="4"/>
  <c r="K227" i="4"/>
  <c r="J227" i="4"/>
  <c r="I227" i="4"/>
  <c r="H227" i="4"/>
  <c r="G227" i="4"/>
  <c r="F227" i="4"/>
  <c r="K226" i="4"/>
  <c r="J226" i="4"/>
  <c r="I226" i="4"/>
  <c r="H226" i="4"/>
  <c r="G226" i="4"/>
  <c r="F226" i="4"/>
  <c r="K225" i="4"/>
  <c r="J225" i="4"/>
  <c r="I225" i="4"/>
  <c r="H225" i="4"/>
  <c r="G225" i="4"/>
  <c r="F225" i="4"/>
  <c r="K224" i="4"/>
  <c r="J224" i="4"/>
  <c r="I224" i="4"/>
  <c r="H224" i="4"/>
  <c r="G224" i="4"/>
  <c r="F224" i="4"/>
  <c r="K223" i="4"/>
  <c r="J223" i="4"/>
  <c r="I223" i="4"/>
  <c r="H223" i="4"/>
  <c r="G223" i="4"/>
  <c r="F223" i="4"/>
  <c r="K222" i="4"/>
  <c r="J222" i="4"/>
  <c r="I222" i="4"/>
  <c r="H222" i="4"/>
  <c r="G222" i="4"/>
  <c r="F222" i="4"/>
  <c r="K221" i="4"/>
  <c r="J221" i="4"/>
  <c r="I221" i="4"/>
  <c r="H221" i="4"/>
  <c r="G221" i="4"/>
  <c r="F221" i="4"/>
  <c r="K220" i="4"/>
  <c r="J220" i="4"/>
  <c r="I220" i="4"/>
  <c r="H220" i="4"/>
  <c r="G220" i="4"/>
  <c r="F220" i="4"/>
  <c r="K219" i="4"/>
  <c r="J219" i="4"/>
  <c r="I219" i="4"/>
  <c r="H219" i="4"/>
  <c r="G219" i="4"/>
  <c r="F219" i="4"/>
  <c r="K218" i="4"/>
  <c r="J218" i="4"/>
  <c r="I218" i="4"/>
  <c r="H218" i="4"/>
  <c r="G218" i="4"/>
  <c r="F218" i="4"/>
  <c r="K217" i="4"/>
  <c r="J217" i="4"/>
  <c r="I217" i="4"/>
  <c r="H217" i="4"/>
  <c r="G217" i="4"/>
  <c r="F217" i="4"/>
  <c r="K216" i="4"/>
  <c r="J216" i="4"/>
  <c r="I216" i="4"/>
  <c r="H216" i="4"/>
  <c r="G216" i="4"/>
  <c r="F216" i="4"/>
  <c r="K215" i="4"/>
  <c r="J215" i="4"/>
  <c r="I215" i="4"/>
  <c r="H215" i="4"/>
  <c r="G215" i="4"/>
  <c r="F215" i="4"/>
  <c r="K214" i="4"/>
  <c r="J214" i="4"/>
  <c r="I214" i="4"/>
  <c r="H214" i="4"/>
  <c r="G214" i="4"/>
  <c r="F214" i="4"/>
  <c r="K213" i="4"/>
  <c r="J213" i="4"/>
  <c r="I213" i="4"/>
  <c r="H213" i="4"/>
  <c r="G213" i="4"/>
  <c r="F213" i="4"/>
  <c r="K212" i="4"/>
  <c r="J212" i="4"/>
  <c r="I212" i="4"/>
  <c r="H212" i="4"/>
  <c r="G212" i="4"/>
  <c r="F212" i="4"/>
  <c r="K211" i="4"/>
  <c r="J211" i="4"/>
  <c r="I211" i="4"/>
  <c r="H211" i="4"/>
  <c r="G211" i="4"/>
  <c r="F211" i="4"/>
  <c r="K210" i="4"/>
  <c r="J210" i="4"/>
  <c r="I210" i="4"/>
  <c r="H210" i="4"/>
  <c r="G210" i="4"/>
  <c r="F210" i="4"/>
  <c r="K209" i="4"/>
  <c r="J209" i="4"/>
  <c r="I209" i="4"/>
  <c r="H209" i="4"/>
  <c r="G209" i="4"/>
  <c r="F209" i="4"/>
  <c r="K208" i="4"/>
  <c r="J208" i="4"/>
  <c r="I208" i="4"/>
  <c r="H208" i="4"/>
  <c r="G208" i="4"/>
  <c r="F208" i="4"/>
  <c r="K207" i="4"/>
  <c r="J207" i="4"/>
  <c r="I207" i="4"/>
  <c r="H207" i="4"/>
  <c r="G207" i="4"/>
  <c r="F207" i="4"/>
  <c r="K206" i="4"/>
  <c r="J206" i="4"/>
  <c r="I206" i="4"/>
  <c r="H206" i="4"/>
  <c r="G206" i="4"/>
  <c r="F206" i="4"/>
  <c r="K205" i="4"/>
  <c r="J205" i="4"/>
  <c r="I205" i="4"/>
  <c r="H205" i="4"/>
  <c r="G205" i="4"/>
  <c r="F205" i="4"/>
  <c r="K204" i="4"/>
  <c r="J204" i="4"/>
  <c r="I204" i="4"/>
  <c r="H204" i="4"/>
  <c r="G204" i="4"/>
  <c r="F204" i="4"/>
  <c r="K203" i="4"/>
  <c r="J203" i="4"/>
  <c r="I203" i="4"/>
  <c r="H203" i="4"/>
  <c r="G203" i="4"/>
  <c r="F203" i="4"/>
  <c r="K202" i="4"/>
  <c r="J202" i="4"/>
  <c r="I202" i="4"/>
  <c r="H202" i="4"/>
  <c r="G202" i="4"/>
  <c r="F202" i="4"/>
  <c r="K201" i="4"/>
  <c r="J201" i="4"/>
  <c r="I201" i="4"/>
  <c r="H201" i="4"/>
  <c r="G201" i="4"/>
  <c r="F201" i="4"/>
  <c r="K200" i="4"/>
  <c r="J200" i="4"/>
  <c r="I200" i="4"/>
  <c r="H200" i="4"/>
  <c r="G200" i="4"/>
  <c r="F200" i="4"/>
  <c r="K199" i="4"/>
  <c r="J199" i="4"/>
  <c r="I199" i="4"/>
  <c r="H199" i="4"/>
  <c r="G199" i="4"/>
  <c r="F199" i="4"/>
  <c r="K198" i="4"/>
  <c r="J198" i="4"/>
  <c r="I198" i="4"/>
  <c r="H198" i="4"/>
  <c r="G198" i="4"/>
  <c r="F198" i="4"/>
  <c r="K197" i="4"/>
  <c r="J197" i="4"/>
  <c r="I197" i="4"/>
  <c r="H197" i="4"/>
  <c r="G197" i="4"/>
  <c r="F197" i="4"/>
  <c r="K196" i="4"/>
  <c r="J196" i="4"/>
  <c r="I196" i="4"/>
  <c r="H196" i="4"/>
  <c r="G196" i="4"/>
  <c r="F196" i="4"/>
  <c r="K195" i="4"/>
  <c r="J195" i="4"/>
  <c r="I195" i="4"/>
  <c r="H195" i="4"/>
  <c r="G195" i="4"/>
  <c r="F195" i="4"/>
  <c r="K194" i="4"/>
  <c r="J194" i="4"/>
  <c r="I194" i="4"/>
  <c r="H194" i="4"/>
  <c r="G194" i="4"/>
  <c r="F194" i="4"/>
  <c r="K193" i="4"/>
  <c r="J193" i="4"/>
  <c r="I193" i="4"/>
  <c r="H193" i="4"/>
  <c r="G193" i="4"/>
  <c r="F193" i="4"/>
  <c r="K192" i="4"/>
  <c r="J192" i="4"/>
  <c r="I192" i="4"/>
  <c r="H192" i="4"/>
  <c r="G192" i="4"/>
  <c r="F192" i="4"/>
  <c r="K191" i="4"/>
  <c r="J191" i="4"/>
  <c r="I191" i="4"/>
  <c r="H191" i="4"/>
  <c r="G191" i="4"/>
  <c r="F191" i="4"/>
  <c r="K190" i="4"/>
  <c r="J190" i="4"/>
  <c r="I190" i="4"/>
  <c r="H190" i="4"/>
  <c r="G190" i="4"/>
  <c r="F190" i="4"/>
  <c r="K189" i="4"/>
  <c r="J189" i="4"/>
  <c r="I189" i="4"/>
  <c r="H189" i="4"/>
  <c r="G189" i="4"/>
  <c r="F189" i="4"/>
  <c r="K188" i="4"/>
  <c r="J188" i="4"/>
  <c r="I188" i="4"/>
  <c r="H188" i="4"/>
  <c r="G188" i="4"/>
  <c r="F188" i="4"/>
  <c r="K187" i="4"/>
  <c r="J187" i="4"/>
  <c r="I187" i="4"/>
  <c r="H187" i="4"/>
  <c r="G187" i="4"/>
  <c r="F187" i="4"/>
  <c r="K186" i="4"/>
  <c r="J186" i="4"/>
  <c r="I186" i="4"/>
  <c r="H186" i="4"/>
  <c r="G186" i="4"/>
  <c r="F186" i="4"/>
  <c r="K185" i="4"/>
  <c r="J185" i="4"/>
  <c r="I185" i="4"/>
  <c r="H185" i="4"/>
  <c r="G185" i="4"/>
  <c r="F185" i="4"/>
  <c r="K184" i="4"/>
  <c r="J184" i="4"/>
  <c r="I184" i="4"/>
  <c r="H184" i="4"/>
  <c r="G184" i="4"/>
  <c r="F184" i="4"/>
  <c r="K183" i="4"/>
  <c r="J183" i="4"/>
  <c r="I183" i="4"/>
  <c r="H183" i="4"/>
  <c r="G183" i="4"/>
  <c r="F183" i="4"/>
  <c r="K182" i="4"/>
  <c r="J182" i="4"/>
  <c r="I182" i="4"/>
  <c r="H182" i="4"/>
  <c r="G182" i="4"/>
  <c r="F182" i="4"/>
  <c r="K181" i="4"/>
  <c r="J181" i="4"/>
  <c r="I181" i="4"/>
  <c r="H181" i="4"/>
  <c r="G181" i="4"/>
  <c r="F181" i="4"/>
  <c r="K180" i="4"/>
  <c r="J180" i="4"/>
  <c r="I180" i="4"/>
  <c r="H180" i="4"/>
  <c r="G180" i="4"/>
  <c r="F180" i="4"/>
  <c r="K179" i="4"/>
  <c r="J179" i="4"/>
  <c r="I179" i="4"/>
  <c r="H179" i="4"/>
  <c r="G179" i="4"/>
  <c r="F179" i="4"/>
  <c r="K178" i="4"/>
  <c r="J178" i="4"/>
  <c r="I178" i="4"/>
  <c r="H178" i="4"/>
  <c r="G178" i="4"/>
  <c r="F178" i="4"/>
  <c r="K177" i="4"/>
  <c r="J177" i="4"/>
  <c r="I177" i="4"/>
  <c r="H177" i="4"/>
  <c r="G177" i="4"/>
  <c r="F177" i="4"/>
  <c r="K176" i="4"/>
  <c r="J176" i="4"/>
  <c r="I176" i="4"/>
  <c r="H176" i="4"/>
  <c r="G176" i="4"/>
  <c r="F176" i="4"/>
  <c r="K175" i="4"/>
  <c r="J175" i="4"/>
  <c r="I175" i="4"/>
  <c r="H175" i="4"/>
  <c r="G175" i="4"/>
  <c r="F175" i="4"/>
  <c r="K174" i="4"/>
  <c r="J174" i="4"/>
  <c r="I174" i="4"/>
  <c r="H174" i="4"/>
  <c r="G174" i="4"/>
  <c r="F174" i="4"/>
  <c r="K173" i="4"/>
  <c r="J173" i="4"/>
  <c r="I173" i="4"/>
  <c r="H173" i="4"/>
  <c r="G173" i="4"/>
  <c r="F173" i="4"/>
  <c r="K172" i="4"/>
  <c r="J172" i="4"/>
  <c r="I172" i="4"/>
  <c r="H172" i="4"/>
  <c r="G172" i="4"/>
  <c r="F172" i="4"/>
  <c r="K171" i="4"/>
  <c r="J171" i="4"/>
  <c r="I171" i="4"/>
  <c r="H171" i="4"/>
  <c r="G171" i="4"/>
  <c r="F171" i="4"/>
  <c r="K170" i="4"/>
  <c r="J170" i="4"/>
  <c r="I170" i="4"/>
  <c r="H170" i="4"/>
  <c r="G170" i="4"/>
  <c r="F170" i="4"/>
  <c r="K169" i="4"/>
  <c r="J169" i="4"/>
  <c r="I169" i="4"/>
  <c r="H169" i="4"/>
  <c r="G169" i="4"/>
  <c r="F169" i="4"/>
  <c r="K168" i="4"/>
  <c r="J168" i="4"/>
  <c r="I168" i="4"/>
  <c r="H168" i="4"/>
  <c r="G168" i="4"/>
  <c r="F168" i="4"/>
  <c r="K167" i="4"/>
  <c r="J167" i="4"/>
  <c r="I167" i="4"/>
  <c r="H167" i="4"/>
  <c r="G167" i="4"/>
  <c r="F167" i="4"/>
  <c r="K166" i="4"/>
  <c r="J166" i="4"/>
  <c r="I166" i="4"/>
  <c r="H166" i="4"/>
  <c r="G166" i="4"/>
  <c r="F166" i="4"/>
  <c r="K165" i="4"/>
  <c r="J165" i="4"/>
  <c r="I165" i="4"/>
  <c r="H165" i="4"/>
  <c r="G165" i="4"/>
  <c r="F165" i="4"/>
  <c r="K164" i="4"/>
  <c r="J164" i="4"/>
  <c r="I164" i="4"/>
  <c r="H164" i="4"/>
  <c r="G164" i="4"/>
  <c r="F164" i="4"/>
  <c r="K163" i="4"/>
  <c r="J163" i="4"/>
  <c r="I163" i="4"/>
  <c r="H163" i="4"/>
  <c r="G163" i="4"/>
  <c r="F163" i="4"/>
  <c r="K162" i="4"/>
  <c r="J162" i="4"/>
  <c r="I162" i="4"/>
  <c r="H162" i="4"/>
  <c r="G162" i="4"/>
  <c r="F162" i="4"/>
  <c r="K161" i="4"/>
  <c r="J161" i="4"/>
  <c r="I161" i="4"/>
  <c r="H161" i="4"/>
  <c r="G161" i="4"/>
  <c r="F161" i="4"/>
  <c r="K160" i="4"/>
  <c r="J160" i="4"/>
  <c r="I160" i="4"/>
  <c r="H160" i="4"/>
  <c r="G160" i="4"/>
  <c r="F160" i="4"/>
  <c r="K159" i="4"/>
  <c r="J159" i="4"/>
  <c r="I159" i="4"/>
  <c r="H159" i="4"/>
  <c r="G159" i="4"/>
  <c r="F159" i="4"/>
  <c r="K158" i="4"/>
  <c r="J158" i="4"/>
  <c r="I158" i="4"/>
  <c r="H158" i="4"/>
  <c r="G158" i="4"/>
  <c r="F158" i="4"/>
  <c r="K157" i="4"/>
  <c r="J157" i="4"/>
  <c r="I157" i="4"/>
  <c r="H157" i="4"/>
  <c r="G157" i="4"/>
  <c r="F157" i="4"/>
  <c r="K156" i="4"/>
  <c r="J156" i="4"/>
  <c r="I156" i="4"/>
  <c r="H156" i="4"/>
  <c r="G156" i="4"/>
  <c r="F156" i="4"/>
  <c r="K155" i="4"/>
  <c r="J155" i="4"/>
  <c r="I155" i="4"/>
  <c r="H155" i="4"/>
  <c r="G155" i="4"/>
  <c r="F155" i="4"/>
  <c r="K154" i="4"/>
  <c r="J154" i="4"/>
  <c r="I154" i="4"/>
  <c r="H154" i="4"/>
  <c r="G154" i="4"/>
  <c r="F154" i="4"/>
  <c r="K153" i="4"/>
  <c r="J153" i="4"/>
  <c r="I153" i="4"/>
  <c r="H153" i="4"/>
  <c r="G153" i="4"/>
  <c r="F153" i="4"/>
  <c r="K152" i="4"/>
  <c r="J152" i="4"/>
  <c r="I152" i="4"/>
  <c r="H152" i="4"/>
  <c r="G152" i="4"/>
  <c r="F152" i="4"/>
  <c r="K151" i="4"/>
  <c r="J151" i="4"/>
  <c r="I151" i="4"/>
  <c r="H151" i="4"/>
  <c r="G151" i="4"/>
  <c r="F151" i="4"/>
  <c r="K150" i="4"/>
  <c r="J150" i="4"/>
  <c r="I150" i="4"/>
  <c r="H150" i="4"/>
  <c r="G150" i="4"/>
  <c r="F150" i="4"/>
  <c r="K149" i="4"/>
  <c r="J149" i="4"/>
  <c r="I149" i="4"/>
  <c r="H149" i="4"/>
  <c r="G149" i="4"/>
  <c r="F149" i="4"/>
  <c r="K148" i="4"/>
  <c r="J148" i="4"/>
  <c r="I148" i="4"/>
  <c r="H148" i="4"/>
  <c r="G148" i="4"/>
  <c r="F148" i="4"/>
  <c r="K147" i="4"/>
  <c r="J147" i="4"/>
  <c r="I147" i="4"/>
  <c r="H147" i="4"/>
  <c r="G147" i="4"/>
  <c r="F147" i="4"/>
  <c r="K146" i="4"/>
  <c r="J146" i="4"/>
  <c r="I146" i="4"/>
  <c r="H146" i="4"/>
  <c r="G146" i="4"/>
  <c r="F146" i="4"/>
  <c r="K145" i="4"/>
  <c r="J145" i="4"/>
  <c r="I145" i="4"/>
  <c r="H145" i="4"/>
  <c r="G145" i="4"/>
  <c r="F145" i="4"/>
  <c r="K144" i="4"/>
  <c r="J144" i="4"/>
  <c r="I144" i="4"/>
  <c r="H144" i="4"/>
  <c r="G144" i="4"/>
  <c r="F144" i="4"/>
  <c r="K143" i="4"/>
  <c r="J143" i="4"/>
  <c r="I143" i="4"/>
  <c r="H143" i="4"/>
  <c r="G143" i="4"/>
  <c r="F143" i="4"/>
  <c r="K142" i="4"/>
  <c r="J142" i="4"/>
  <c r="I142" i="4"/>
  <c r="H142" i="4"/>
  <c r="G142" i="4"/>
  <c r="F142" i="4"/>
  <c r="K141" i="4"/>
  <c r="J141" i="4"/>
  <c r="I141" i="4"/>
  <c r="H141" i="4"/>
  <c r="G141" i="4"/>
  <c r="F141" i="4"/>
  <c r="K140" i="4"/>
  <c r="J140" i="4"/>
  <c r="I140" i="4"/>
  <c r="H140" i="4"/>
  <c r="G140" i="4"/>
  <c r="F140" i="4"/>
  <c r="K139" i="4"/>
  <c r="J139" i="4"/>
  <c r="I139" i="4"/>
  <c r="H139" i="4"/>
  <c r="G139" i="4"/>
  <c r="F139" i="4"/>
  <c r="K138" i="4"/>
  <c r="J138" i="4"/>
  <c r="I138" i="4"/>
  <c r="H138" i="4"/>
  <c r="G138" i="4"/>
  <c r="F138" i="4"/>
  <c r="K137" i="4"/>
  <c r="J137" i="4"/>
  <c r="I137" i="4"/>
  <c r="H137" i="4"/>
  <c r="G137" i="4"/>
  <c r="F137" i="4"/>
  <c r="K136" i="4"/>
  <c r="J136" i="4"/>
  <c r="I136" i="4"/>
  <c r="H136" i="4"/>
  <c r="G136" i="4"/>
  <c r="F136" i="4"/>
  <c r="K135" i="4"/>
  <c r="J135" i="4"/>
  <c r="I135" i="4"/>
  <c r="H135" i="4"/>
  <c r="G135" i="4"/>
  <c r="F135" i="4"/>
  <c r="K134" i="4"/>
  <c r="J134" i="4"/>
  <c r="I134" i="4"/>
  <c r="H134" i="4"/>
  <c r="G134" i="4"/>
  <c r="F134" i="4"/>
  <c r="K133" i="4"/>
  <c r="J133" i="4"/>
  <c r="I133" i="4"/>
  <c r="H133" i="4"/>
  <c r="G133" i="4"/>
  <c r="F133" i="4"/>
  <c r="K132" i="4"/>
  <c r="J132" i="4"/>
  <c r="I132" i="4"/>
  <c r="H132" i="4"/>
  <c r="G132" i="4"/>
  <c r="F132" i="4"/>
  <c r="K131" i="4"/>
  <c r="J131" i="4"/>
  <c r="I131" i="4"/>
  <c r="H131" i="4"/>
  <c r="G131" i="4"/>
  <c r="F131" i="4"/>
  <c r="K130" i="4"/>
  <c r="J130" i="4"/>
  <c r="I130" i="4"/>
  <c r="H130" i="4"/>
  <c r="G130" i="4"/>
  <c r="F130" i="4"/>
  <c r="K129" i="4"/>
  <c r="J129" i="4"/>
  <c r="I129" i="4"/>
  <c r="H129" i="4"/>
  <c r="G129" i="4"/>
  <c r="F129" i="4"/>
  <c r="K128" i="4"/>
  <c r="J128" i="4"/>
  <c r="I128" i="4"/>
  <c r="H128" i="4"/>
  <c r="G128" i="4"/>
  <c r="F128" i="4"/>
  <c r="K127" i="4"/>
  <c r="J127" i="4"/>
  <c r="I127" i="4"/>
  <c r="H127" i="4"/>
  <c r="G127" i="4"/>
  <c r="F127" i="4"/>
  <c r="K126" i="4"/>
  <c r="J126" i="4"/>
  <c r="I126" i="4"/>
  <c r="H126" i="4"/>
  <c r="G126" i="4"/>
  <c r="F126" i="4"/>
  <c r="K125" i="4"/>
  <c r="J125" i="4"/>
  <c r="I125" i="4"/>
  <c r="H125" i="4"/>
  <c r="G125" i="4"/>
  <c r="F125" i="4"/>
  <c r="K124" i="4"/>
  <c r="J124" i="4"/>
  <c r="I124" i="4"/>
  <c r="H124" i="4"/>
  <c r="G124" i="4"/>
  <c r="F124" i="4"/>
  <c r="K123" i="4"/>
  <c r="J123" i="4"/>
  <c r="I123" i="4"/>
  <c r="H123" i="4"/>
  <c r="G123" i="4"/>
  <c r="F123" i="4"/>
  <c r="K122" i="4"/>
  <c r="J122" i="4"/>
  <c r="I122" i="4"/>
  <c r="H122" i="4"/>
  <c r="G122" i="4"/>
  <c r="F122" i="4"/>
  <c r="K121" i="4"/>
  <c r="J121" i="4"/>
  <c r="I121" i="4"/>
  <c r="H121" i="4"/>
  <c r="G121" i="4"/>
  <c r="F121" i="4"/>
  <c r="K120" i="4"/>
  <c r="J120" i="4"/>
  <c r="I120" i="4"/>
  <c r="H120" i="4"/>
  <c r="G120" i="4"/>
  <c r="F120" i="4"/>
  <c r="K119" i="4"/>
  <c r="J119" i="4"/>
  <c r="I119" i="4"/>
  <c r="H119" i="4"/>
  <c r="G119" i="4"/>
  <c r="F119" i="4"/>
  <c r="K118" i="4"/>
  <c r="J118" i="4"/>
  <c r="I118" i="4"/>
  <c r="H118" i="4"/>
  <c r="G118" i="4"/>
  <c r="F118" i="4"/>
  <c r="K117" i="4"/>
  <c r="J117" i="4"/>
  <c r="I117" i="4"/>
  <c r="H117" i="4"/>
  <c r="G117" i="4"/>
  <c r="F117" i="4"/>
  <c r="K116" i="4"/>
  <c r="J116" i="4"/>
  <c r="I116" i="4"/>
  <c r="H116" i="4"/>
  <c r="G116" i="4"/>
  <c r="F116" i="4"/>
  <c r="K115" i="4"/>
  <c r="J115" i="4"/>
  <c r="I115" i="4"/>
  <c r="H115" i="4"/>
  <c r="G115" i="4"/>
  <c r="F115" i="4"/>
  <c r="K114" i="4"/>
  <c r="J114" i="4"/>
  <c r="I114" i="4"/>
  <c r="H114" i="4"/>
  <c r="G114" i="4"/>
  <c r="F114" i="4"/>
  <c r="K113" i="4"/>
  <c r="J113" i="4"/>
  <c r="I113" i="4"/>
  <c r="H113" i="4"/>
  <c r="G113" i="4"/>
  <c r="F113" i="4"/>
  <c r="K112" i="4"/>
  <c r="J112" i="4"/>
  <c r="I112" i="4"/>
  <c r="H112" i="4"/>
  <c r="G112" i="4"/>
  <c r="F112" i="4"/>
  <c r="K111" i="4"/>
  <c r="J111" i="4"/>
  <c r="I111" i="4"/>
  <c r="H111" i="4"/>
  <c r="G111" i="4"/>
  <c r="F111" i="4"/>
  <c r="K110" i="4"/>
  <c r="J110" i="4"/>
  <c r="I110" i="4"/>
  <c r="H110" i="4"/>
  <c r="G110" i="4"/>
  <c r="F110" i="4"/>
  <c r="K109" i="4"/>
  <c r="J109" i="4"/>
  <c r="I109" i="4"/>
  <c r="H109" i="4"/>
  <c r="G109" i="4"/>
  <c r="F109" i="4"/>
  <c r="K108" i="4"/>
  <c r="J108" i="4"/>
  <c r="I108" i="4"/>
  <c r="H108" i="4"/>
  <c r="G108" i="4"/>
  <c r="F108" i="4"/>
  <c r="K107" i="4"/>
  <c r="J107" i="4"/>
  <c r="I107" i="4"/>
  <c r="H107" i="4"/>
  <c r="G107" i="4"/>
  <c r="F107" i="4"/>
  <c r="K106" i="4"/>
  <c r="J106" i="4"/>
  <c r="I106" i="4"/>
  <c r="H106" i="4"/>
  <c r="G106" i="4"/>
  <c r="F106" i="4"/>
  <c r="K105" i="4"/>
  <c r="J105" i="4"/>
  <c r="I105" i="4"/>
  <c r="H105" i="4"/>
  <c r="G105" i="4"/>
  <c r="F105" i="4"/>
  <c r="K104" i="4"/>
  <c r="J104" i="4"/>
  <c r="I104" i="4"/>
  <c r="H104" i="4"/>
  <c r="G104" i="4"/>
  <c r="F104" i="4"/>
  <c r="K103" i="4"/>
  <c r="J103" i="4"/>
  <c r="I103" i="4"/>
  <c r="H103" i="4"/>
  <c r="G103" i="4"/>
  <c r="F103" i="4"/>
  <c r="K102" i="4"/>
  <c r="J102" i="4"/>
  <c r="I102" i="4"/>
  <c r="H102" i="4"/>
  <c r="G102" i="4"/>
  <c r="F102" i="4"/>
  <c r="K101" i="4"/>
  <c r="J101" i="4"/>
  <c r="I101" i="4"/>
  <c r="H101" i="4"/>
  <c r="G101" i="4"/>
  <c r="F101" i="4"/>
  <c r="K100" i="4"/>
  <c r="J100" i="4"/>
  <c r="I100" i="4"/>
  <c r="H100" i="4"/>
  <c r="G100" i="4"/>
  <c r="F100" i="4"/>
  <c r="K99" i="4"/>
  <c r="J99" i="4"/>
  <c r="I99" i="4"/>
  <c r="H99" i="4"/>
  <c r="G99" i="4"/>
  <c r="F99" i="4"/>
  <c r="K98" i="4"/>
  <c r="J98" i="4"/>
  <c r="I98" i="4"/>
  <c r="H98" i="4"/>
  <c r="G98" i="4"/>
  <c r="F98" i="4"/>
  <c r="K97" i="4"/>
  <c r="J97" i="4"/>
  <c r="I97" i="4"/>
  <c r="H97" i="4"/>
  <c r="G97" i="4"/>
  <c r="F97" i="4"/>
  <c r="K96" i="4"/>
  <c r="J96" i="4"/>
  <c r="I96" i="4"/>
  <c r="H96" i="4"/>
  <c r="G96" i="4"/>
  <c r="F96" i="4"/>
  <c r="K95" i="4"/>
  <c r="J95" i="4"/>
  <c r="I95" i="4"/>
  <c r="H95" i="4"/>
  <c r="G95" i="4"/>
  <c r="F95" i="4"/>
  <c r="K94" i="4"/>
  <c r="J94" i="4"/>
  <c r="I94" i="4"/>
  <c r="H94" i="4"/>
  <c r="G94" i="4"/>
  <c r="F94" i="4"/>
  <c r="K93" i="4"/>
  <c r="J93" i="4"/>
  <c r="I93" i="4"/>
  <c r="H93" i="4"/>
  <c r="G93" i="4"/>
  <c r="F93" i="4"/>
  <c r="K92" i="4"/>
  <c r="J92" i="4"/>
  <c r="I92" i="4"/>
  <c r="H92" i="4"/>
  <c r="G92" i="4"/>
  <c r="F92" i="4"/>
  <c r="K91" i="4"/>
  <c r="J91" i="4"/>
  <c r="I91" i="4"/>
  <c r="H91" i="4"/>
  <c r="G91" i="4"/>
  <c r="F91" i="4"/>
  <c r="K90" i="4"/>
  <c r="J90" i="4"/>
  <c r="I90" i="4"/>
  <c r="H90" i="4"/>
  <c r="G90" i="4"/>
  <c r="F90" i="4"/>
  <c r="K89" i="4"/>
  <c r="J89" i="4"/>
  <c r="I89" i="4"/>
  <c r="H89" i="4"/>
  <c r="G89" i="4"/>
  <c r="F89" i="4"/>
  <c r="K88" i="4"/>
  <c r="J88" i="4"/>
  <c r="I88" i="4"/>
  <c r="H88" i="4"/>
  <c r="G88" i="4"/>
  <c r="F88" i="4"/>
  <c r="K87" i="4"/>
  <c r="J87" i="4"/>
  <c r="I87" i="4"/>
  <c r="H87" i="4"/>
  <c r="G87" i="4"/>
  <c r="F87" i="4"/>
  <c r="K86" i="4"/>
  <c r="J86" i="4"/>
  <c r="I86" i="4"/>
  <c r="H86" i="4"/>
  <c r="G86" i="4"/>
  <c r="F86" i="4"/>
  <c r="K85" i="4"/>
  <c r="J85" i="4"/>
  <c r="I85" i="4"/>
  <c r="H85" i="4"/>
  <c r="G85" i="4"/>
  <c r="F85" i="4"/>
  <c r="K84" i="4"/>
  <c r="J84" i="4"/>
  <c r="I84" i="4"/>
  <c r="H84" i="4"/>
  <c r="G84" i="4"/>
  <c r="F84" i="4"/>
  <c r="K83" i="4"/>
  <c r="J83" i="4"/>
  <c r="I83" i="4"/>
  <c r="H83" i="4"/>
  <c r="G83" i="4"/>
  <c r="F83" i="4"/>
  <c r="K82" i="4"/>
  <c r="J82" i="4"/>
  <c r="I82" i="4"/>
  <c r="H82" i="4"/>
  <c r="G82" i="4"/>
  <c r="F82" i="4"/>
  <c r="K81" i="4"/>
  <c r="J81" i="4"/>
  <c r="I81" i="4"/>
  <c r="H81" i="4"/>
  <c r="G81" i="4"/>
  <c r="F81" i="4"/>
  <c r="K80" i="4"/>
  <c r="J80" i="4"/>
  <c r="I80" i="4"/>
  <c r="H80" i="4"/>
  <c r="G80" i="4"/>
  <c r="F80" i="4"/>
  <c r="K79" i="4"/>
  <c r="J79" i="4"/>
  <c r="I79" i="4"/>
  <c r="H79" i="4"/>
  <c r="G79" i="4"/>
  <c r="F79" i="4"/>
  <c r="K78" i="4"/>
  <c r="J78" i="4"/>
  <c r="I78" i="4"/>
  <c r="H78" i="4"/>
  <c r="G78" i="4"/>
  <c r="F78" i="4"/>
  <c r="K77" i="4"/>
  <c r="J77" i="4"/>
  <c r="I77" i="4"/>
  <c r="H77" i="4"/>
  <c r="G77" i="4"/>
  <c r="F77" i="4"/>
  <c r="K76" i="4"/>
  <c r="J76" i="4"/>
  <c r="I76" i="4"/>
  <c r="H76" i="4"/>
  <c r="G76" i="4"/>
  <c r="F76" i="4"/>
  <c r="K75" i="4"/>
  <c r="J75" i="4"/>
  <c r="I75" i="4"/>
  <c r="H75" i="4"/>
  <c r="G75" i="4"/>
  <c r="F75" i="4"/>
  <c r="K74" i="4"/>
  <c r="J74" i="4"/>
  <c r="I74" i="4"/>
  <c r="H74" i="4"/>
  <c r="G74" i="4"/>
  <c r="F74" i="4"/>
  <c r="K73" i="4"/>
  <c r="J73" i="4"/>
  <c r="I73" i="4"/>
  <c r="H73" i="4"/>
  <c r="G73" i="4"/>
  <c r="F73" i="4"/>
  <c r="K72" i="4"/>
  <c r="J72" i="4"/>
  <c r="I72" i="4"/>
  <c r="H72" i="4"/>
  <c r="G72" i="4"/>
  <c r="F72" i="4"/>
  <c r="K71" i="4"/>
  <c r="J71" i="4"/>
  <c r="I71" i="4"/>
  <c r="H71" i="4"/>
  <c r="G71" i="4"/>
  <c r="F71" i="4"/>
  <c r="K70" i="4"/>
  <c r="J70" i="4"/>
  <c r="I70" i="4"/>
  <c r="H70" i="4"/>
  <c r="G70" i="4"/>
  <c r="F70" i="4"/>
  <c r="K69" i="4"/>
  <c r="J69" i="4"/>
  <c r="I69" i="4"/>
  <c r="H69" i="4"/>
  <c r="G69" i="4"/>
  <c r="F69" i="4"/>
  <c r="K68" i="4"/>
  <c r="J68" i="4"/>
  <c r="I68" i="4"/>
  <c r="H68" i="4"/>
  <c r="G68" i="4"/>
  <c r="F68" i="4"/>
  <c r="K67" i="4"/>
  <c r="J67" i="4"/>
  <c r="I67" i="4"/>
  <c r="H67" i="4"/>
  <c r="G67" i="4"/>
  <c r="F67" i="4"/>
  <c r="K66" i="4"/>
  <c r="J66" i="4"/>
  <c r="I66" i="4"/>
  <c r="H66" i="4"/>
  <c r="G66" i="4"/>
  <c r="F66" i="4"/>
  <c r="K65" i="4"/>
  <c r="J65" i="4"/>
  <c r="I65" i="4"/>
  <c r="H65" i="4"/>
  <c r="G65" i="4"/>
  <c r="F65" i="4"/>
  <c r="K64" i="4"/>
  <c r="J64" i="4"/>
  <c r="I64" i="4"/>
  <c r="H64" i="4"/>
  <c r="G64" i="4"/>
  <c r="F64" i="4"/>
  <c r="K63" i="4"/>
  <c r="J63" i="4"/>
  <c r="I63" i="4"/>
  <c r="H63" i="4"/>
  <c r="G63" i="4"/>
  <c r="F63" i="4"/>
  <c r="K62" i="4"/>
  <c r="J62" i="4"/>
  <c r="I62" i="4"/>
  <c r="H62" i="4"/>
  <c r="G62" i="4"/>
  <c r="F62" i="4"/>
  <c r="K61" i="4"/>
  <c r="J61" i="4"/>
  <c r="I61" i="4"/>
  <c r="H61" i="4"/>
  <c r="G61" i="4"/>
  <c r="F61" i="4"/>
  <c r="K60" i="4"/>
  <c r="J60" i="4"/>
  <c r="I60" i="4"/>
  <c r="H60" i="4"/>
  <c r="G60" i="4"/>
  <c r="F60" i="4"/>
  <c r="K59" i="4"/>
  <c r="J59" i="4"/>
  <c r="I59" i="4"/>
  <c r="H59" i="4"/>
  <c r="G59" i="4"/>
  <c r="F59" i="4"/>
  <c r="K58" i="4"/>
  <c r="J58" i="4"/>
  <c r="I58" i="4"/>
  <c r="H58" i="4"/>
  <c r="G58" i="4"/>
  <c r="F58" i="4"/>
  <c r="K57" i="4"/>
  <c r="J57" i="4"/>
  <c r="I57" i="4"/>
  <c r="H57" i="4"/>
  <c r="G57" i="4"/>
  <c r="F57" i="4"/>
  <c r="K56" i="4"/>
  <c r="J56" i="4"/>
  <c r="I56" i="4"/>
  <c r="H56" i="4"/>
  <c r="G56" i="4"/>
  <c r="F56" i="4"/>
  <c r="K55" i="4"/>
  <c r="J55" i="4"/>
  <c r="I55" i="4"/>
  <c r="H55" i="4"/>
  <c r="G55" i="4"/>
  <c r="F55" i="4"/>
  <c r="K54" i="4"/>
  <c r="J54" i="4"/>
  <c r="I54" i="4"/>
  <c r="H54" i="4"/>
  <c r="G54" i="4"/>
  <c r="F54" i="4"/>
  <c r="K53" i="4"/>
  <c r="J53" i="4"/>
  <c r="I53" i="4"/>
  <c r="H53" i="4"/>
  <c r="G53" i="4"/>
  <c r="F53" i="4"/>
  <c r="K52" i="4"/>
  <c r="J52" i="4"/>
  <c r="I52" i="4"/>
  <c r="H52" i="4"/>
  <c r="G52" i="4"/>
  <c r="F52" i="4"/>
  <c r="K51" i="4"/>
  <c r="J51" i="4"/>
  <c r="I51" i="4"/>
  <c r="H51" i="4"/>
  <c r="G51" i="4"/>
  <c r="F51" i="4"/>
  <c r="K50" i="4"/>
  <c r="J50" i="4"/>
  <c r="I50" i="4"/>
  <c r="H50" i="4"/>
  <c r="G50" i="4"/>
  <c r="F50" i="4"/>
  <c r="K49" i="4"/>
  <c r="J49" i="4"/>
  <c r="I49" i="4"/>
  <c r="H49" i="4"/>
  <c r="G49" i="4"/>
  <c r="F49" i="4"/>
  <c r="K48" i="4"/>
  <c r="J48" i="4"/>
  <c r="I48" i="4"/>
  <c r="H48" i="4"/>
  <c r="G48" i="4"/>
  <c r="F48" i="4"/>
  <c r="K47" i="4"/>
  <c r="J47" i="4"/>
  <c r="I47" i="4"/>
  <c r="H47" i="4"/>
  <c r="G47" i="4"/>
  <c r="F47" i="4"/>
  <c r="K46" i="4"/>
  <c r="J46" i="4"/>
  <c r="I46" i="4"/>
  <c r="H46" i="4"/>
  <c r="G46" i="4"/>
  <c r="F46" i="4"/>
  <c r="K45" i="4"/>
  <c r="J45" i="4"/>
  <c r="I45" i="4"/>
  <c r="H45" i="4"/>
  <c r="G45" i="4"/>
  <c r="F45" i="4"/>
  <c r="K44" i="4"/>
  <c r="J44" i="4"/>
  <c r="I44" i="4"/>
  <c r="H44" i="4"/>
  <c r="G44" i="4"/>
  <c r="F44" i="4"/>
  <c r="K43" i="4"/>
  <c r="J43" i="4"/>
  <c r="I43" i="4"/>
  <c r="H43" i="4"/>
  <c r="G43" i="4"/>
  <c r="F43" i="4"/>
  <c r="K42" i="4"/>
  <c r="J42" i="4"/>
  <c r="I42" i="4"/>
  <c r="H42" i="4"/>
  <c r="G42" i="4"/>
  <c r="F42" i="4"/>
  <c r="K41" i="4"/>
  <c r="J41" i="4"/>
  <c r="I41" i="4"/>
  <c r="H41" i="4"/>
  <c r="G41" i="4"/>
  <c r="F41" i="4"/>
  <c r="K40" i="4"/>
  <c r="J40" i="4"/>
  <c r="I40" i="4"/>
  <c r="H40" i="4"/>
  <c r="G40" i="4"/>
  <c r="F40" i="4"/>
  <c r="K39" i="4"/>
  <c r="J39" i="4"/>
  <c r="I39" i="4"/>
  <c r="H39" i="4"/>
  <c r="G39" i="4"/>
  <c r="F39" i="4"/>
  <c r="K38" i="4"/>
  <c r="J38" i="4"/>
  <c r="I38" i="4"/>
  <c r="H38" i="4"/>
  <c r="G38" i="4"/>
  <c r="F38" i="4"/>
  <c r="K37" i="4"/>
  <c r="J37" i="4"/>
  <c r="I37" i="4"/>
  <c r="H37" i="4"/>
  <c r="G37" i="4"/>
  <c r="F37" i="4"/>
  <c r="K36" i="4"/>
  <c r="J36" i="4"/>
  <c r="I36" i="4"/>
  <c r="H36" i="4"/>
  <c r="G36" i="4"/>
  <c r="F36" i="4"/>
  <c r="K35" i="4"/>
  <c r="J35" i="4"/>
  <c r="I35" i="4"/>
  <c r="H35" i="4"/>
  <c r="G35" i="4"/>
  <c r="F35" i="4"/>
  <c r="K34" i="4"/>
  <c r="J34" i="4"/>
  <c r="I34" i="4"/>
  <c r="H34" i="4"/>
  <c r="G34" i="4"/>
  <c r="F34" i="4"/>
  <c r="K33" i="4"/>
  <c r="J33" i="4"/>
  <c r="I33" i="4"/>
  <c r="H33" i="4"/>
  <c r="G33" i="4"/>
  <c r="F33" i="4"/>
  <c r="K32" i="4"/>
  <c r="J32" i="4"/>
  <c r="I32" i="4"/>
  <c r="H32" i="4"/>
  <c r="G32" i="4"/>
  <c r="F32" i="4"/>
  <c r="K31" i="4"/>
  <c r="J31" i="4"/>
  <c r="I31" i="4"/>
  <c r="H31" i="4"/>
  <c r="G31" i="4"/>
  <c r="F31" i="4"/>
  <c r="K30" i="4"/>
  <c r="J30" i="4"/>
  <c r="I30" i="4"/>
  <c r="H30" i="4"/>
  <c r="G30" i="4"/>
  <c r="F30" i="4"/>
  <c r="K29" i="4"/>
  <c r="J29" i="4"/>
  <c r="I29" i="4"/>
  <c r="H29" i="4"/>
  <c r="G29" i="4"/>
  <c r="F29" i="4"/>
  <c r="K28" i="4"/>
  <c r="J28" i="4"/>
  <c r="I28" i="4"/>
  <c r="H28" i="4"/>
  <c r="G28" i="4"/>
  <c r="F28" i="4"/>
  <c r="K27" i="4"/>
  <c r="J27" i="4"/>
  <c r="I27" i="4"/>
  <c r="H27" i="4"/>
  <c r="G27" i="4"/>
  <c r="F27" i="4"/>
  <c r="K26" i="4"/>
  <c r="J26" i="4"/>
  <c r="I26" i="4"/>
  <c r="H26" i="4"/>
  <c r="G26" i="4"/>
  <c r="F26" i="4"/>
  <c r="K25" i="4"/>
  <c r="J25" i="4"/>
  <c r="I25" i="4"/>
  <c r="H25" i="4"/>
  <c r="G25" i="4"/>
  <c r="F25" i="4"/>
  <c r="K24" i="4"/>
  <c r="J24" i="4"/>
  <c r="I24" i="4"/>
  <c r="H24" i="4"/>
  <c r="G24" i="4"/>
  <c r="F24" i="4"/>
  <c r="K23" i="4"/>
  <c r="J23" i="4"/>
  <c r="I23" i="4"/>
  <c r="H23" i="4"/>
  <c r="G23" i="4"/>
  <c r="F23" i="4"/>
  <c r="K22" i="4"/>
  <c r="J22" i="4"/>
  <c r="I22" i="4"/>
  <c r="H22" i="4"/>
  <c r="G22" i="4"/>
  <c r="F22" i="4"/>
  <c r="K21" i="4"/>
  <c r="J21" i="4"/>
  <c r="I21" i="4"/>
  <c r="H21" i="4"/>
  <c r="G21" i="4"/>
  <c r="F21" i="4"/>
  <c r="K20" i="4"/>
  <c r="J20" i="4"/>
  <c r="I20" i="4"/>
  <c r="H20" i="4"/>
  <c r="G20" i="4"/>
  <c r="F20" i="4"/>
  <c r="K19" i="4"/>
  <c r="J19" i="4"/>
  <c r="I19" i="4"/>
  <c r="H19" i="4"/>
  <c r="G19" i="4"/>
  <c r="F19" i="4"/>
  <c r="K18" i="4"/>
  <c r="J18" i="4"/>
  <c r="I18" i="4"/>
  <c r="H18" i="4"/>
  <c r="G18" i="4"/>
  <c r="F18" i="4"/>
  <c r="K17" i="4"/>
  <c r="J17" i="4"/>
  <c r="I17" i="4"/>
  <c r="H17" i="4"/>
  <c r="G17" i="4"/>
  <c r="F17" i="4"/>
  <c r="K16" i="4"/>
  <c r="J16" i="4"/>
  <c r="I16" i="4"/>
  <c r="H16" i="4"/>
  <c r="G16" i="4"/>
  <c r="F16" i="4"/>
  <c r="K15" i="4"/>
  <c r="J15" i="4"/>
  <c r="I15" i="4"/>
  <c r="H15" i="4"/>
  <c r="G15" i="4"/>
  <c r="F15" i="4"/>
  <c r="K14" i="4"/>
  <c r="J14" i="4"/>
  <c r="I14" i="4"/>
  <c r="H14" i="4"/>
  <c r="G14" i="4"/>
  <c r="F14" i="4"/>
  <c r="K13" i="4"/>
  <c r="J13" i="4"/>
  <c r="I13" i="4"/>
  <c r="H13" i="4"/>
  <c r="G13" i="4"/>
  <c r="F13" i="4"/>
  <c r="K12" i="4"/>
  <c r="J12" i="4"/>
  <c r="I12" i="4"/>
  <c r="H12" i="4"/>
  <c r="G12" i="4"/>
  <c r="F12" i="4"/>
  <c r="K11" i="4"/>
  <c r="J11" i="4"/>
  <c r="I11" i="4"/>
  <c r="H11" i="4"/>
  <c r="G11" i="4"/>
  <c r="F11" i="4"/>
  <c r="K10" i="4"/>
  <c r="J10" i="4"/>
  <c r="I10" i="4"/>
  <c r="H10" i="4"/>
  <c r="G10" i="4"/>
  <c r="F10" i="4"/>
  <c r="K9" i="4"/>
  <c r="J9" i="4"/>
  <c r="I9" i="4"/>
  <c r="H9" i="4"/>
  <c r="G9" i="4"/>
  <c r="F9" i="4"/>
  <c r="K8" i="4"/>
  <c r="J8" i="4"/>
  <c r="I8" i="4"/>
  <c r="H8" i="4"/>
  <c r="G8" i="4"/>
  <c r="F8" i="4"/>
  <c r="K7" i="4"/>
  <c r="J7" i="4"/>
  <c r="I7" i="4"/>
  <c r="H7" i="4"/>
  <c r="G7" i="4"/>
  <c r="F7" i="4"/>
  <c r="K6" i="4"/>
  <c r="J6" i="4"/>
  <c r="I6" i="4"/>
  <c r="H6" i="4"/>
  <c r="G6" i="4"/>
  <c r="F6" i="4"/>
  <c r="K5" i="4"/>
  <c r="J5" i="4"/>
  <c r="I5" i="4"/>
  <c r="H5" i="4"/>
  <c r="G5" i="4"/>
  <c r="F5" i="4"/>
  <c r="K4" i="4"/>
  <c r="J4" i="4"/>
  <c r="I4" i="4"/>
  <c r="H4" i="4"/>
  <c r="G4" i="4"/>
  <c r="F4" i="4"/>
  <c r="K27" i="13" l="1"/>
  <c r="K35" i="13"/>
  <c r="AN16" i="12" l="1"/>
  <c r="AN29" i="12"/>
  <c r="AN34" i="12"/>
  <c r="AN38" i="12"/>
  <c r="AN40" i="12"/>
  <c r="AN42" i="12"/>
  <c r="AN44" i="12"/>
  <c r="AN48" i="12"/>
  <c r="AN52" i="12"/>
  <c r="AN60" i="12"/>
  <c r="AN67" i="12"/>
  <c r="AN69" i="12"/>
  <c r="L16" i="13"/>
  <c r="K13" i="13"/>
  <c r="AG16" i="11"/>
  <c r="AG21" i="11"/>
  <c r="AG29" i="11"/>
  <c r="AG43" i="11"/>
  <c r="AG56" i="11"/>
  <c r="AG61" i="11"/>
  <c r="AG66" i="11"/>
  <c r="AG70" i="11"/>
  <c r="AG82" i="11"/>
  <c r="AG97" i="11"/>
  <c r="AG99" i="11"/>
  <c r="AG108" i="11"/>
  <c r="AG116" i="11"/>
  <c r="AG118" i="11"/>
  <c r="AG123" i="11"/>
  <c r="AG127" i="11"/>
  <c r="AG131" i="11"/>
  <c r="AG146" i="11"/>
  <c r="AG158" i="11"/>
  <c r="AG160" i="11"/>
  <c r="AG165" i="11"/>
  <c r="AG169" i="11"/>
  <c r="AG171" i="11"/>
  <c r="AG173" i="11"/>
  <c r="AG181" i="11"/>
  <c r="AG187" i="11"/>
  <c r="AG189" i="11"/>
  <c r="BH92" i="9" l="1"/>
  <c r="D77" i="36" l="1"/>
  <c r="E77" i="36"/>
  <c r="F77" i="36"/>
  <c r="G77" i="36"/>
  <c r="H77" i="36"/>
  <c r="I77" i="36"/>
  <c r="J77" i="36"/>
  <c r="K77" i="36"/>
  <c r="L77" i="36"/>
  <c r="M77" i="36"/>
  <c r="N77" i="36"/>
  <c r="O77" i="36"/>
  <c r="P77" i="36"/>
  <c r="Q77" i="36"/>
  <c r="R77" i="36"/>
  <c r="S77" i="36"/>
  <c r="T77" i="36"/>
  <c r="U77" i="36"/>
  <c r="V77" i="36"/>
  <c r="W77" i="36"/>
  <c r="C77" i="36"/>
  <c r="D58" i="36"/>
  <c r="Q71" i="35"/>
  <c r="P71" i="35"/>
  <c r="O71" i="35"/>
  <c r="N71" i="35"/>
  <c r="M71" i="35"/>
  <c r="K72" i="35" s="1"/>
  <c r="L71" i="35"/>
  <c r="K71" i="35"/>
  <c r="J71" i="35"/>
  <c r="C71" i="35"/>
  <c r="D71" i="35"/>
  <c r="E71" i="35"/>
  <c r="F71" i="35"/>
  <c r="G71" i="35"/>
  <c r="H71" i="35"/>
  <c r="I71" i="35"/>
  <c r="B71" i="35"/>
  <c r="E53" i="35"/>
  <c r="D72" i="36"/>
  <c r="E72" i="36"/>
  <c r="F72" i="36"/>
  <c r="G72" i="36"/>
  <c r="C70" i="36"/>
  <c r="C72" i="36" s="1"/>
  <c r="D57" i="36"/>
  <c r="E66" i="35"/>
  <c r="F66" i="35"/>
  <c r="G66" i="35"/>
  <c r="H66" i="35"/>
  <c r="D66" i="35"/>
  <c r="E52" i="35"/>
  <c r="E76" i="27"/>
  <c r="F76" i="27"/>
  <c r="G76" i="27"/>
  <c r="H76" i="27"/>
  <c r="D76" i="27"/>
  <c r="H74" i="27"/>
  <c r="L78" i="36" l="1"/>
  <c r="H25" i="27"/>
  <c r="G57" i="27"/>
  <c r="H57" i="27"/>
  <c r="J46" i="27"/>
  <c r="I46" i="27"/>
  <c r="H46" i="27"/>
  <c r="G46" i="27"/>
  <c r="G50" i="27" s="1"/>
  <c r="G45" i="27"/>
  <c r="J33" i="35"/>
  <c r="I25" i="27"/>
  <c r="B18" i="27"/>
  <c r="C24" i="27" s="1"/>
  <c r="C30" i="27" l="1"/>
  <c r="H24" i="27"/>
  <c r="K46" i="27"/>
  <c r="K44" i="34" l="1"/>
  <c r="J44" i="34"/>
  <c r="K43" i="34"/>
  <c r="J43" i="34"/>
  <c r="K42" i="34"/>
  <c r="J42" i="34"/>
  <c r="K41" i="34"/>
  <c r="K40" i="34"/>
  <c r="J40" i="34"/>
  <c r="K39" i="34"/>
  <c r="K38" i="34"/>
  <c r="J38" i="34"/>
  <c r="K37" i="34"/>
  <c r="K36" i="34"/>
  <c r="J36" i="34"/>
  <c r="K35" i="34"/>
  <c r="J35" i="34"/>
  <c r="K34" i="34"/>
  <c r="K33" i="34"/>
  <c r="G36" i="32"/>
  <c r="K26" i="32"/>
  <c r="J26" i="32"/>
  <c r="K25" i="32"/>
  <c r="J25" i="32"/>
  <c r="K24" i="32"/>
  <c r="J24" i="32"/>
  <c r="K23" i="32"/>
  <c r="J23" i="32"/>
  <c r="K22" i="32"/>
  <c r="J22" i="32"/>
  <c r="K21" i="32"/>
  <c r="J21" i="32"/>
  <c r="K20" i="32"/>
  <c r="G34" i="32"/>
  <c r="AD198" i="11" l="1"/>
  <c r="G18" i="27" l="1"/>
  <c r="G14" i="27"/>
  <c r="K703" i="4" l="1"/>
  <c r="J703" i="4"/>
  <c r="H701" i="4"/>
  <c r="H700" i="4"/>
  <c r="H699" i="4"/>
  <c r="D334" i="4"/>
  <c r="J702" i="4" l="1"/>
  <c r="K702" i="4"/>
  <c r="J704" i="4"/>
  <c r="K229" i="13"/>
  <c r="I699" i="4"/>
  <c r="V163" i="9"/>
  <c r="V73" i="9" s="1"/>
  <c r="K171" i="13"/>
  <c r="S123" i="10"/>
  <c r="S114" i="10"/>
  <c r="X96" i="10"/>
  <c r="G71" i="11"/>
  <c r="F12" i="22" l="1"/>
  <c r="E12" i="22"/>
  <c r="E15" i="22" s="1"/>
  <c r="G8" i="22"/>
  <c r="G9" i="22"/>
  <c r="G10" i="22"/>
  <c r="G11" i="22"/>
  <c r="G13" i="22"/>
  <c r="G7" i="22"/>
  <c r="G12" i="22" l="1"/>
  <c r="G15" i="22" s="1"/>
  <c r="F15" i="22"/>
  <c r="B133" i="19" l="1"/>
  <c r="D133" i="19" s="1"/>
  <c r="DW133" i="19" l="1"/>
  <c r="DX133" i="19"/>
  <c r="DU133" i="19"/>
  <c r="DV133" i="19"/>
  <c r="DL133" i="19"/>
  <c r="DI133" i="19"/>
  <c r="DK133" i="19"/>
  <c r="DP133" i="19"/>
  <c r="DG133" i="19"/>
  <c r="DO133" i="19"/>
  <c r="DN133" i="19"/>
  <c r="DQ133" i="19"/>
  <c r="DJ133" i="19"/>
  <c r="DS133" i="19"/>
  <c r="DH133" i="19"/>
  <c r="DT133" i="19"/>
  <c r="DM133" i="19"/>
  <c r="DR133" i="19"/>
  <c r="D10" i="22"/>
  <c r="D12" i="22" s="1"/>
  <c r="D15" i="22" s="1"/>
  <c r="G74" i="11" l="1"/>
  <c r="G57" i="11"/>
  <c r="X126" i="10"/>
  <c r="H7" i="22"/>
  <c r="I7" i="22" s="1"/>
  <c r="T138" i="9"/>
  <c r="P687" i="4"/>
  <c r="P685" i="4"/>
  <c r="P683" i="4"/>
  <c r="P681" i="4"/>
  <c r="P679" i="4"/>
  <c r="P677" i="4"/>
  <c r="P675" i="4"/>
  <c r="P673" i="4"/>
  <c r="P671" i="4"/>
  <c r="P669" i="4"/>
  <c r="P667" i="4"/>
  <c r="P665" i="4"/>
  <c r="P661" i="4"/>
  <c r="P659" i="4"/>
  <c r="P657" i="4"/>
  <c r="P655" i="4"/>
  <c r="P653" i="4"/>
  <c r="P651" i="4"/>
  <c r="P649" i="4"/>
  <c r="P647" i="4"/>
  <c r="P645" i="4"/>
  <c r="P643" i="4"/>
  <c r="P641" i="4"/>
  <c r="P639" i="4"/>
  <c r="P637" i="4"/>
  <c r="P635" i="4"/>
  <c r="P633" i="4"/>
  <c r="P631" i="4"/>
  <c r="P629" i="4"/>
  <c r="P627" i="4"/>
  <c r="P625" i="4"/>
  <c r="P623" i="4"/>
  <c r="P621" i="4"/>
  <c r="P619" i="4"/>
  <c r="P617" i="4"/>
  <c r="P615" i="4"/>
  <c r="P613" i="4"/>
  <c r="P611" i="4"/>
  <c r="P609" i="4"/>
  <c r="P607" i="4"/>
  <c r="P605" i="4"/>
  <c r="P603" i="4"/>
  <c r="P601" i="4"/>
  <c r="P599" i="4"/>
  <c r="P597" i="4"/>
  <c r="P595" i="4"/>
  <c r="P593" i="4"/>
  <c r="P591" i="4"/>
  <c r="P589" i="4"/>
  <c r="P587" i="4"/>
  <c r="P585" i="4"/>
  <c r="P583" i="4"/>
  <c r="P581" i="4"/>
  <c r="P579" i="4"/>
  <c r="P577" i="4"/>
  <c r="P575" i="4"/>
  <c r="P573" i="4"/>
  <c r="P571" i="4"/>
  <c r="P569" i="4"/>
  <c r="P567" i="4"/>
  <c r="P565" i="4"/>
  <c r="P563" i="4"/>
  <c r="P561" i="4"/>
  <c r="P559" i="4"/>
  <c r="P557" i="4"/>
  <c r="P555" i="4"/>
  <c r="P553" i="4"/>
  <c r="P551" i="4"/>
  <c r="P549" i="4"/>
  <c r="P547" i="4"/>
  <c r="P545" i="4"/>
  <c r="P543" i="4"/>
  <c r="P541" i="4"/>
  <c r="P539" i="4"/>
  <c r="P537" i="4"/>
  <c r="P535" i="4"/>
  <c r="P533" i="4"/>
  <c r="P531" i="4"/>
  <c r="P529" i="4"/>
  <c r="P527" i="4"/>
  <c r="P525" i="4"/>
  <c r="P523" i="4"/>
  <c r="P521" i="4"/>
  <c r="P519" i="4"/>
  <c r="P517" i="4"/>
  <c r="P515" i="4"/>
  <c r="P513" i="4"/>
  <c r="P511" i="4"/>
  <c r="P509" i="4"/>
  <c r="P507" i="4"/>
  <c r="P505" i="4"/>
  <c r="P503" i="4"/>
  <c r="P501" i="4"/>
  <c r="P499" i="4"/>
  <c r="P497" i="4"/>
  <c r="P495" i="4"/>
  <c r="P493" i="4"/>
  <c r="P491" i="4"/>
  <c r="P489" i="4"/>
  <c r="P487" i="4"/>
  <c r="P485" i="4"/>
  <c r="P483" i="4"/>
  <c r="P481" i="4"/>
  <c r="P479" i="4"/>
  <c r="P477" i="4"/>
  <c r="P475" i="4"/>
  <c r="P473" i="4"/>
  <c r="P471" i="4"/>
  <c r="P469" i="4"/>
  <c r="P467" i="4"/>
  <c r="P465" i="4"/>
  <c r="P463" i="4"/>
  <c r="P461" i="4"/>
  <c r="P459" i="4"/>
  <c r="P457" i="4"/>
  <c r="P455" i="4"/>
  <c r="P453" i="4"/>
  <c r="P451" i="4"/>
  <c r="P449" i="4"/>
  <c r="P447" i="4"/>
  <c r="P445" i="4"/>
  <c r="P443" i="4"/>
  <c r="P441" i="4"/>
  <c r="P439" i="4"/>
  <c r="P437" i="4"/>
  <c r="P435" i="4"/>
  <c r="P433" i="4"/>
  <c r="P431" i="4"/>
  <c r="P429" i="4"/>
  <c r="P427" i="4"/>
  <c r="P425" i="4"/>
  <c r="P423" i="4"/>
  <c r="P421" i="4"/>
  <c r="P419" i="4"/>
  <c r="P417" i="4"/>
  <c r="P415" i="4"/>
  <c r="P413" i="4"/>
  <c r="P411" i="4"/>
  <c r="P409" i="4"/>
  <c r="P407" i="4"/>
  <c r="P405" i="4"/>
  <c r="P403" i="4"/>
  <c r="P401" i="4"/>
  <c r="P399" i="4"/>
  <c r="P397" i="4"/>
  <c r="P395" i="4"/>
  <c r="P393" i="4"/>
  <c r="P391" i="4"/>
  <c r="P389" i="4"/>
  <c r="P387" i="4"/>
  <c r="P385" i="4"/>
  <c r="P383" i="4"/>
  <c r="P381" i="4"/>
  <c r="P379" i="4"/>
  <c r="P377" i="4"/>
  <c r="P375" i="4"/>
  <c r="P373" i="4"/>
  <c r="P371" i="4"/>
  <c r="P369" i="4"/>
  <c r="P367" i="4"/>
  <c r="P365" i="4"/>
  <c r="P363" i="4"/>
  <c r="P361" i="4"/>
  <c r="P359" i="4"/>
  <c r="P357" i="4"/>
  <c r="P355" i="4"/>
  <c r="P353" i="4"/>
  <c r="P351" i="4"/>
  <c r="P349" i="4"/>
  <c r="P347" i="4"/>
  <c r="P345" i="4"/>
  <c r="P343" i="4"/>
  <c r="P341" i="4"/>
  <c r="P339" i="4"/>
  <c r="P337" i="4"/>
  <c r="P335" i="4"/>
  <c r="P332" i="4"/>
  <c r="P330" i="4"/>
  <c r="P328" i="4"/>
  <c r="P326" i="4"/>
  <c r="P324" i="4"/>
  <c r="P322" i="4"/>
  <c r="P320" i="4"/>
  <c r="P318" i="4"/>
  <c r="P316" i="4"/>
  <c r="P314" i="4"/>
  <c r="P312" i="4"/>
  <c r="P310" i="4"/>
  <c r="P308" i="4"/>
  <c r="P306" i="4"/>
  <c r="P304" i="4"/>
  <c r="P302" i="4"/>
  <c r="P300" i="4"/>
  <c r="P298" i="4"/>
  <c r="P296" i="4"/>
  <c r="P294" i="4"/>
  <c r="P292" i="4"/>
  <c r="P290" i="4"/>
  <c r="P288" i="4"/>
  <c r="P286" i="4"/>
  <c r="P284" i="4"/>
  <c r="P282" i="4"/>
  <c r="P280" i="4"/>
  <c r="P278" i="4"/>
  <c r="P276" i="4"/>
  <c r="P274" i="4"/>
  <c r="P272" i="4"/>
  <c r="P270" i="4"/>
  <c r="P268" i="4"/>
  <c r="P266" i="4"/>
  <c r="P264" i="4"/>
  <c r="P262" i="4"/>
  <c r="P260" i="4"/>
  <c r="P258" i="4"/>
  <c r="P256" i="4"/>
  <c r="P254" i="4"/>
  <c r="P252" i="4"/>
  <c r="P250" i="4"/>
  <c r="P248" i="4"/>
  <c r="P246" i="4"/>
  <c r="P244" i="4"/>
  <c r="P242" i="4"/>
  <c r="P240" i="4"/>
  <c r="P238" i="4"/>
  <c r="P236" i="4"/>
  <c r="P234" i="4"/>
  <c r="P232" i="4"/>
  <c r="P230" i="4"/>
  <c r="P228" i="4"/>
  <c r="P226" i="4"/>
  <c r="P224" i="4"/>
  <c r="P222" i="4"/>
  <c r="P220" i="4"/>
  <c r="P218" i="4"/>
  <c r="P216" i="4"/>
  <c r="P214" i="4"/>
  <c r="P212" i="4"/>
  <c r="P210" i="4"/>
  <c r="P208" i="4"/>
  <c r="P206" i="4"/>
  <c r="P204" i="4"/>
  <c r="P202" i="4"/>
  <c r="P200" i="4"/>
  <c r="P198" i="4"/>
  <c r="P196" i="4"/>
  <c r="P194" i="4"/>
  <c r="P192" i="4"/>
  <c r="P190" i="4"/>
  <c r="P188" i="4"/>
  <c r="P186" i="4"/>
  <c r="P184" i="4"/>
  <c r="P182" i="4"/>
  <c r="P180" i="4"/>
  <c r="P178" i="4"/>
  <c r="P176" i="4"/>
  <c r="P174" i="4"/>
  <c r="P172" i="4"/>
  <c r="P170" i="4"/>
  <c r="P168" i="4"/>
  <c r="P166" i="4"/>
  <c r="P164" i="4"/>
  <c r="P162" i="4"/>
  <c r="P160" i="4"/>
  <c r="P158" i="4"/>
  <c r="P156" i="4"/>
  <c r="P154" i="4"/>
  <c r="P152" i="4"/>
  <c r="P150" i="4"/>
  <c r="P148" i="4"/>
  <c r="P146" i="4"/>
  <c r="P144" i="4"/>
  <c r="P142" i="4"/>
  <c r="P140" i="4"/>
  <c r="P138" i="4"/>
  <c r="P136" i="4"/>
  <c r="P134" i="4"/>
  <c r="P132" i="4"/>
  <c r="P130" i="4"/>
  <c r="P128" i="4"/>
  <c r="P126" i="4"/>
  <c r="P124" i="4"/>
  <c r="P122" i="4"/>
  <c r="P120" i="4"/>
  <c r="P118" i="4"/>
  <c r="P116" i="4"/>
  <c r="P114" i="4"/>
  <c r="P112" i="4"/>
  <c r="P110" i="4"/>
  <c r="P108" i="4"/>
  <c r="P106" i="4"/>
  <c r="P104" i="4"/>
  <c r="P102" i="4"/>
  <c r="P100" i="4"/>
  <c r="P98" i="4"/>
  <c r="P96" i="4"/>
  <c r="P94" i="4"/>
  <c r="P92" i="4"/>
  <c r="P90" i="4"/>
  <c r="P88" i="4"/>
  <c r="P86" i="4"/>
  <c r="P84" i="4"/>
  <c r="P82" i="4"/>
  <c r="P80" i="4"/>
  <c r="P78" i="4"/>
  <c r="P76" i="4"/>
  <c r="P74" i="4"/>
  <c r="P72" i="4"/>
  <c r="P70" i="4"/>
  <c r="P68" i="4"/>
  <c r="P66" i="4"/>
  <c r="P64" i="4"/>
  <c r="P62" i="4"/>
  <c r="P60" i="4"/>
  <c r="P58" i="4"/>
  <c r="P56" i="4"/>
  <c r="P54" i="4"/>
  <c r="P52" i="4"/>
  <c r="P50" i="4"/>
  <c r="P48" i="4"/>
  <c r="P46" i="4"/>
  <c r="P44" i="4"/>
  <c r="P42" i="4"/>
  <c r="P40" i="4"/>
  <c r="P38" i="4"/>
  <c r="P36" i="4"/>
  <c r="P34" i="4"/>
  <c r="P32" i="4"/>
  <c r="P30" i="4"/>
  <c r="P28" i="4"/>
  <c r="P26" i="4"/>
  <c r="P24" i="4"/>
  <c r="P22" i="4"/>
  <c r="P20" i="4"/>
  <c r="P18" i="4"/>
  <c r="P16" i="4"/>
  <c r="P14" i="4"/>
  <c r="P12" i="4"/>
  <c r="P10" i="4"/>
  <c r="P8" i="4"/>
  <c r="P6" i="4"/>
  <c r="P4" i="4"/>
  <c r="H689" i="4"/>
  <c r="P663" i="4" l="1"/>
  <c r="P5" i="4"/>
  <c r="P7" i="4"/>
  <c r="P9" i="4"/>
  <c r="P11" i="4"/>
  <c r="P13" i="4"/>
  <c r="P15" i="4"/>
  <c r="P17" i="4"/>
  <c r="P19" i="4"/>
  <c r="P21" i="4"/>
  <c r="P23" i="4"/>
  <c r="P25" i="4"/>
  <c r="P27" i="4"/>
  <c r="P29" i="4"/>
  <c r="P31" i="4"/>
  <c r="P33" i="4"/>
  <c r="P35" i="4"/>
  <c r="P37" i="4"/>
  <c r="P39" i="4"/>
  <c r="P41" i="4"/>
  <c r="P43" i="4"/>
  <c r="P45" i="4"/>
  <c r="P47" i="4"/>
  <c r="P49" i="4"/>
  <c r="P51" i="4"/>
  <c r="P53" i="4"/>
  <c r="P55" i="4"/>
  <c r="P57" i="4"/>
  <c r="P59" i="4"/>
  <c r="P61" i="4"/>
  <c r="P63" i="4"/>
  <c r="P65" i="4"/>
  <c r="P67" i="4"/>
  <c r="P69" i="4"/>
  <c r="P71" i="4"/>
  <c r="P73" i="4"/>
  <c r="P75" i="4"/>
  <c r="P77" i="4"/>
  <c r="P79" i="4"/>
  <c r="P81" i="4"/>
  <c r="P83" i="4"/>
  <c r="P85" i="4"/>
  <c r="P87" i="4"/>
  <c r="P89" i="4"/>
  <c r="P91" i="4"/>
  <c r="P93" i="4"/>
  <c r="P95" i="4"/>
  <c r="P97" i="4"/>
  <c r="P99" i="4"/>
  <c r="P101" i="4"/>
  <c r="P103" i="4"/>
  <c r="P105" i="4"/>
  <c r="P107" i="4"/>
  <c r="P109" i="4"/>
  <c r="P111" i="4"/>
  <c r="P113" i="4"/>
  <c r="P115" i="4"/>
  <c r="P117" i="4"/>
  <c r="P119" i="4"/>
  <c r="P121" i="4"/>
  <c r="P123" i="4"/>
  <c r="P125" i="4"/>
  <c r="P127" i="4"/>
  <c r="P129" i="4"/>
  <c r="P131" i="4"/>
  <c r="P133" i="4"/>
  <c r="P135" i="4"/>
  <c r="P137" i="4"/>
  <c r="P139" i="4"/>
  <c r="P141" i="4"/>
  <c r="P143" i="4"/>
  <c r="P145" i="4"/>
  <c r="P147" i="4"/>
  <c r="P149" i="4"/>
  <c r="P151" i="4"/>
  <c r="P153" i="4"/>
  <c r="P155" i="4"/>
  <c r="P157" i="4"/>
  <c r="P159" i="4"/>
  <c r="P161" i="4"/>
  <c r="P163" i="4"/>
  <c r="P165" i="4"/>
  <c r="P167" i="4"/>
  <c r="P169" i="4"/>
  <c r="P171" i="4"/>
  <c r="P173" i="4"/>
  <c r="P175" i="4"/>
  <c r="P177" i="4"/>
  <c r="P179" i="4"/>
  <c r="P181" i="4"/>
  <c r="P183" i="4"/>
  <c r="P185" i="4"/>
  <c r="P187" i="4"/>
  <c r="P189" i="4"/>
  <c r="P191" i="4"/>
  <c r="P193" i="4"/>
  <c r="P195" i="4"/>
  <c r="P197" i="4"/>
  <c r="P199" i="4"/>
  <c r="P201" i="4"/>
  <c r="P203" i="4"/>
  <c r="P205" i="4"/>
  <c r="P207" i="4"/>
  <c r="P209" i="4"/>
  <c r="P211" i="4"/>
  <c r="P213" i="4"/>
  <c r="P215" i="4"/>
  <c r="P217" i="4"/>
  <c r="P219" i="4"/>
  <c r="P221" i="4"/>
  <c r="P223" i="4"/>
  <c r="P225" i="4"/>
  <c r="P227" i="4"/>
  <c r="P229" i="4"/>
  <c r="P231" i="4"/>
  <c r="P233" i="4"/>
  <c r="P235" i="4"/>
  <c r="P237" i="4"/>
  <c r="R237" i="4" s="1"/>
  <c r="P239" i="4"/>
  <c r="P241" i="4"/>
  <c r="P243" i="4"/>
  <c r="P245" i="4"/>
  <c r="P247" i="4"/>
  <c r="P249" i="4"/>
  <c r="P251" i="4"/>
  <c r="P253" i="4"/>
  <c r="P255" i="4"/>
  <c r="P257" i="4"/>
  <c r="P259" i="4"/>
  <c r="P261" i="4"/>
  <c r="P263" i="4"/>
  <c r="P265" i="4"/>
  <c r="P267" i="4"/>
  <c r="P269" i="4"/>
  <c r="P271" i="4"/>
  <c r="P273" i="4"/>
  <c r="P275" i="4"/>
  <c r="P277" i="4"/>
  <c r="P279" i="4"/>
  <c r="P281" i="4"/>
  <c r="P283" i="4"/>
  <c r="P285" i="4"/>
  <c r="P287" i="4"/>
  <c r="P289" i="4"/>
  <c r="P291" i="4"/>
  <c r="P293" i="4"/>
  <c r="P295" i="4"/>
  <c r="P297" i="4"/>
  <c r="P299" i="4"/>
  <c r="P301" i="4"/>
  <c r="P303" i="4"/>
  <c r="P305" i="4"/>
  <c r="P307" i="4"/>
  <c r="P309" i="4"/>
  <c r="P311" i="4"/>
  <c r="P313" i="4"/>
  <c r="P315" i="4"/>
  <c r="P317" i="4"/>
  <c r="P319" i="4"/>
  <c r="P321" i="4"/>
  <c r="P323" i="4"/>
  <c r="P325" i="4"/>
  <c r="P327" i="4"/>
  <c r="P329" i="4"/>
  <c r="P331" i="4"/>
  <c r="P333" i="4"/>
  <c r="P336" i="4"/>
  <c r="P338" i="4"/>
  <c r="P340" i="4"/>
  <c r="P342" i="4"/>
  <c r="P344" i="4"/>
  <c r="P346" i="4"/>
  <c r="P348" i="4"/>
  <c r="P350" i="4"/>
  <c r="P352" i="4"/>
  <c r="P354" i="4"/>
  <c r="P356" i="4"/>
  <c r="P358" i="4"/>
  <c r="P360" i="4"/>
  <c r="P362" i="4"/>
  <c r="P364" i="4"/>
  <c r="P366" i="4"/>
  <c r="P368" i="4"/>
  <c r="P370" i="4"/>
  <c r="P372" i="4"/>
  <c r="P374" i="4"/>
  <c r="P376" i="4"/>
  <c r="P378" i="4"/>
  <c r="P380" i="4"/>
  <c r="P382" i="4"/>
  <c r="P384" i="4"/>
  <c r="P386" i="4"/>
  <c r="P388" i="4"/>
  <c r="P390" i="4"/>
  <c r="P392" i="4"/>
  <c r="P394" i="4"/>
  <c r="P396" i="4"/>
  <c r="P398" i="4"/>
  <c r="P400" i="4"/>
  <c r="P402" i="4"/>
  <c r="P404" i="4"/>
  <c r="P406" i="4"/>
  <c r="P408" i="4"/>
  <c r="P410" i="4"/>
  <c r="P412" i="4"/>
  <c r="P414" i="4"/>
  <c r="P416" i="4"/>
  <c r="P418" i="4"/>
  <c r="P420" i="4"/>
  <c r="P422" i="4"/>
  <c r="P424" i="4"/>
  <c r="P426" i="4"/>
  <c r="P428" i="4"/>
  <c r="P430" i="4"/>
  <c r="P432" i="4"/>
  <c r="P434" i="4"/>
  <c r="P436" i="4"/>
  <c r="P438" i="4"/>
  <c r="P440" i="4"/>
  <c r="P442" i="4"/>
  <c r="P444" i="4"/>
  <c r="P446" i="4"/>
  <c r="P448" i="4"/>
  <c r="P450" i="4"/>
  <c r="P452" i="4"/>
  <c r="P454" i="4"/>
  <c r="P456" i="4"/>
  <c r="P458" i="4"/>
  <c r="P460" i="4"/>
  <c r="P462" i="4"/>
  <c r="P464" i="4"/>
  <c r="P466" i="4"/>
  <c r="P468" i="4"/>
  <c r="P470" i="4"/>
  <c r="P472" i="4"/>
  <c r="P474" i="4"/>
  <c r="P476" i="4"/>
  <c r="P478" i="4"/>
  <c r="P480" i="4"/>
  <c r="P482" i="4"/>
  <c r="P484" i="4"/>
  <c r="P486" i="4"/>
  <c r="P488" i="4"/>
  <c r="P490" i="4"/>
  <c r="P492" i="4"/>
  <c r="P494" i="4"/>
  <c r="P496" i="4"/>
  <c r="P498" i="4"/>
  <c r="P500" i="4"/>
  <c r="P502" i="4"/>
  <c r="P504" i="4"/>
  <c r="P506" i="4"/>
  <c r="P508" i="4"/>
  <c r="P510" i="4"/>
  <c r="P512" i="4"/>
  <c r="P514" i="4"/>
  <c r="P516" i="4"/>
  <c r="P518" i="4"/>
  <c r="P520" i="4"/>
  <c r="P522" i="4"/>
  <c r="P524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602" i="4"/>
  <c r="P604" i="4"/>
  <c r="P606" i="4"/>
  <c r="P608" i="4"/>
  <c r="P610" i="4"/>
  <c r="P612" i="4"/>
  <c r="P614" i="4"/>
  <c r="P616" i="4"/>
  <c r="P618" i="4"/>
  <c r="P620" i="4"/>
  <c r="P622" i="4"/>
  <c r="P624" i="4"/>
  <c r="P626" i="4"/>
  <c r="P628" i="4"/>
  <c r="P630" i="4"/>
  <c r="P632" i="4"/>
  <c r="P634" i="4"/>
  <c r="P636" i="4"/>
  <c r="P638" i="4"/>
  <c r="P640" i="4"/>
  <c r="P642" i="4"/>
  <c r="P644" i="4"/>
  <c r="P646" i="4"/>
  <c r="P648" i="4"/>
  <c r="P650" i="4"/>
  <c r="P652" i="4"/>
  <c r="P654" i="4"/>
  <c r="P656" i="4"/>
  <c r="P658" i="4"/>
  <c r="P660" i="4"/>
  <c r="P662" i="4"/>
  <c r="P664" i="4"/>
  <c r="P666" i="4"/>
  <c r="P668" i="4"/>
  <c r="P670" i="4"/>
  <c r="P672" i="4"/>
  <c r="P674" i="4"/>
  <c r="P676" i="4"/>
  <c r="P678" i="4"/>
  <c r="P680" i="4"/>
  <c r="P682" i="4"/>
  <c r="P684" i="4"/>
  <c r="P686" i="4"/>
  <c r="P688" i="4"/>
  <c r="J689" i="4"/>
  <c r="I689" i="4"/>
  <c r="I690" i="4" s="1"/>
  <c r="K689" i="4"/>
  <c r="K690" i="4" l="1"/>
  <c r="AB91" i="9"/>
  <c r="AH17" i="10"/>
  <c r="L182" i="13" l="1"/>
  <c r="K25" i="13"/>
  <c r="W62" i="11" l="1"/>
  <c r="FT198" i="24"/>
  <c r="FT236" i="24" s="1"/>
  <c r="FS198" i="24"/>
  <c r="FR198" i="24"/>
  <c r="FQ198" i="24"/>
  <c r="FP198" i="24"/>
  <c r="FO198" i="24"/>
  <c r="FN198" i="24"/>
  <c r="FM198" i="24"/>
  <c r="FL198" i="24"/>
  <c r="FK198" i="24"/>
  <c r="FJ198" i="24"/>
  <c r="FI198" i="24"/>
  <c r="FH198" i="24"/>
  <c r="FG198" i="24"/>
  <c r="FF198" i="24"/>
  <c r="FE198" i="24"/>
  <c r="FD198" i="24"/>
  <c r="FC198" i="24"/>
  <c r="FB198" i="24"/>
  <c r="FA198" i="24"/>
  <c r="EZ198" i="24"/>
  <c r="CQ198" i="24"/>
  <c r="CP198" i="24"/>
  <c r="CO198" i="24"/>
  <c r="CK197" i="24"/>
  <c r="FS196" i="24"/>
  <c r="FS236" i="24" s="1"/>
  <c r="FR196" i="24"/>
  <c r="FQ196" i="24"/>
  <c r="FP196" i="24"/>
  <c r="FO196" i="24"/>
  <c r="FN196" i="24"/>
  <c r="FM196" i="24"/>
  <c r="FL196" i="24"/>
  <c r="FK196" i="24"/>
  <c r="FJ196" i="24"/>
  <c r="FI196" i="24"/>
  <c r="FH196" i="24"/>
  <c r="FG196" i="24"/>
  <c r="FF196" i="24"/>
  <c r="FE196" i="24"/>
  <c r="FD196" i="24"/>
  <c r="FC196" i="24"/>
  <c r="FB196" i="24"/>
  <c r="FA196" i="24"/>
  <c r="EZ196" i="24"/>
  <c r="CQ196" i="24"/>
  <c r="CP196" i="24"/>
  <c r="CO196" i="24"/>
  <c r="CN196" i="24"/>
  <c r="CK195" i="24"/>
  <c r="FR194" i="24"/>
  <c r="FQ194" i="24"/>
  <c r="FP194" i="24"/>
  <c r="FO194" i="24"/>
  <c r="FN194" i="24"/>
  <c r="FM194" i="24"/>
  <c r="FL194" i="24"/>
  <c r="FK194" i="24"/>
  <c r="FJ194" i="24"/>
  <c r="FI194" i="24"/>
  <c r="FH194" i="24"/>
  <c r="FG194" i="24"/>
  <c r="FF194" i="24"/>
  <c r="FE194" i="24"/>
  <c r="FD194" i="24"/>
  <c r="FC194" i="24"/>
  <c r="FB194" i="24"/>
  <c r="FA194" i="24"/>
  <c r="EZ194" i="24"/>
  <c r="CQ194" i="24"/>
  <c r="CP194" i="24"/>
  <c r="CO194" i="24"/>
  <c r="CN194" i="24"/>
  <c r="CM194" i="24"/>
  <c r="CK193" i="24"/>
  <c r="M71" i="30"/>
  <c r="FR236" i="24" l="1"/>
  <c r="D131" i="19"/>
  <c r="D132" i="19"/>
  <c r="I24" i="27"/>
  <c r="DW132" i="19" l="1"/>
  <c r="DX132" i="19"/>
  <c r="DW131" i="19"/>
  <c r="DX131" i="19"/>
  <c r="DU132" i="19"/>
  <c r="DV132" i="19"/>
  <c r="DU131" i="19"/>
  <c r="DV131" i="19"/>
  <c r="DR131" i="19"/>
  <c r="DT131" i="19"/>
  <c r="DS131" i="19"/>
  <c r="DT132" i="19"/>
  <c r="DS132" i="19"/>
  <c r="DQ132" i="19"/>
  <c r="DR132" i="19"/>
  <c r="DP131" i="19"/>
  <c r="DQ131" i="19"/>
  <c r="DO132" i="19"/>
  <c r="DP132" i="19"/>
  <c r="DN131" i="19"/>
  <c r="DO131" i="19"/>
  <c r="DM132" i="19"/>
  <c r="DN132" i="19"/>
  <c r="DL131" i="19"/>
  <c r="DM131" i="19"/>
  <c r="DK132" i="19"/>
  <c r="DL132" i="19"/>
  <c r="DH131" i="19"/>
  <c r="DK131" i="19"/>
  <c r="DJ131" i="19"/>
  <c r="DI131" i="19"/>
  <c r="DH132" i="19"/>
  <c r="DJ132" i="19"/>
  <c r="DI132" i="19"/>
  <c r="DF132" i="19"/>
  <c r="DG132" i="19"/>
  <c r="DE131" i="19"/>
  <c r="DG131" i="19"/>
  <c r="DF131" i="19"/>
  <c r="E53" i="36"/>
  <c r="F53" i="36" l="1"/>
  <c r="D53" i="36"/>
  <c r="C53" i="36" l="1"/>
  <c r="D484" i="4" l="1"/>
  <c r="W484" i="4"/>
  <c r="D355" i="4"/>
  <c r="W321" i="4"/>
  <c r="D321" i="4"/>
  <c r="D265" i="4"/>
  <c r="W265" i="4"/>
  <c r="W158" i="4"/>
  <c r="D158" i="4"/>
  <c r="R484" i="4" l="1"/>
  <c r="T484" i="4"/>
  <c r="T158" i="4"/>
  <c r="T265" i="4"/>
  <c r="AC17" i="4" l="1"/>
  <c r="H59" i="27"/>
  <c r="H58" i="27"/>
  <c r="H61" i="27" s="1"/>
  <c r="G59" i="27"/>
  <c r="G58" i="27"/>
  <c r="AE10" i="13" l="1"/>
  <c r="AE30" i="13"/>
  <c r="AE48" i="13"/>
  <c r="AE72" i="13"/>
  <c r="AE76" i="13"/>
  <c r="AE78" i="13"/>
  <c r="AE79" i="13"/>
  <c r="AE83" i="13"/>
  <c r="AE86" i="13"/>
  <c r="AE114" i="13"/>
  <c r="AE131" i="13"/>
  <c r="AE137" i="13"/>
  <c r="AE140" i="13"/>
  <c r="AE142" i="13"/>
  <c r="AE143" i="13"/>
  <c r="AE147" i="13"/>
  <c r="AE158" i="13"/>
  <c r="AE168" i="13"/>
  <c r="AE170" i="13"/>
  <c r="AE178" i="13"/>
  <c r="AE179" i="13"/>
  <c r="AE185" i="13"/>
  <c r="AE188" i="13"/>
  <c r="AE191" i="13"/>
  <c r="AE194" i="13"/>
  <c r="AE196" i="13"/>
  <c r="AE197" i="13"/>
  <c r="AE218" i="13"/>
  <c r="AE221" i="13"/>
  <c r="AE228" i="13"/>
  <c r="AE245" i="13"/>
  <c r="AE248" i="13"/>
  <c r="AE251" i="13"/>
  <c r="AE253" i="13"/>
  <c r="C33" i="27"/>
  <c r="M229" i="13"/>
  <c r="M230" i="13" l="1"/>
  <c r="G88" i="11"/>
  <c r="G59" i="11"/>
  <c r="G58" i="11"/>
  <c r="H20" i="22"/>
  <c r="H18" i="22"/>
  <c r="H17" i="22"/>
  <c r="D20" i="22"/>
  <c r="D19" i="22"/>
  <c r="D18" i="22"/>
  <c r="D17" i="22"/>
  <c r="V117" i="9" l="1"/>
  <c r="Z82" i="10"/>
  <c r="J45" i="27" l="1"/>
  <c r="I45" i="27"/>
  <c r="H45" i="27"/>
  <c r="K45" i="27" l="1"/>
  <c r="L45" i="27" s="1"/>
  <c r="J50" i="27"/>
  <c r="H50" i="27"/>
  <c r="I50" i="27"/>
  <c r="G85" i="11"/>
  <c r="D331" i="4"/>
  <c r="D332" i="4"/>
  <c r="D333" i="4"/>
  <c r="D335" i="4"/>
  <c r="T163" i="9" l="1"/>
  <c r="V91" i="9"/>
  <c r="Z63" i="10"/>
  <c r="X148" i="11" l="1"/>
  <c r="X73" i="11"/>
  <c r="AH11" i="23"/>
  <c r="G50" i="34" l="1"/>
  <c r="K18" i="32"/>
  <c r="K17" i="32"/>
  <c r="J17" i="32"/>
  <c r="K16" i="32"/>
  <c r="J16" i="32"/>
  <c r="K15" i="32"/>
  <c r="J15" i="32"/>
  <c r="K14" i="32"/>
  <c r="J14" i="32"/>
  <c r="K13" i="32"/>
  <c r="CM192" i="24" l="1"/>
  <c r="CN192" i="24"/>
  <c r="CO192" i="24"/>
  <c r="CP192" i="24"/>
  <c r="CQ192" i="24"/>
  <c r="EZ192" i="24"/>
  <c r="FA192" i="24"/>
  <c r="FB192" i="24"/>
  <c r="FC192" i="24"/>
  <c r="FD192" i="24"/>
  <c r="FE192" i="24"/>
  <c r="FF192" i="24"/>
  <c r="FG192" i="24"/>
  <c r="FH192" i="24"/>
  <c r="FI192" i="24"/>
  <c r="FJ192" i="24"/>
  <c r="FK192" i="24"/>
  <c r="FL192" i="24"/>
  <c r="FM192" i="24"/>
  <c r="FN192" i="24"/>
  <c r="FO192" i="24"/>
  <c r="FP192" i="24"/>
  <c r="FP236" i="24" s="1"/>
  <c r="FQ192" i="24"/>
  <c r="FQ236" i="24" s="1"/>
  <c r="CK191" i="24"/>
  <c r="CL192" i="24"/>
  <c r="CK190" i="24"/>
  <c r="CL190" i="24"/>
  <c r="CM190" i="24"/>
  <c r="CN190" i="24"/>
  <c r="CO190" i="24"/>
  <c r="CP190" i="24"/>
  <c r="CQ190" i="24"/>
  <c r="EZ190" i="24"/>
  <c r="FA190" i="24"/>
  <c r="FB190" i="24"/>
  <c r="FC190" i="24"/>
  <c r="FD190" i="24"/>
  <c r="FE190" i="24"/>
  <c r="FF190" i="24"/>
  <c r="FG190" i="24"/>
  <c r="FH190" i="24"/>
  <c r="FI190" i="24"/>
  <c r="FJ190" i="24"/>
  <c r="FK190" i="24"/>
  <c r="FL190" i="24"/>
  <c r="FM190" i="24"/>
  <c r="FN190" i="24"/>
  <c r="FO190" i="24"/>
  <c r="CJ189" i="24"/>
  <c r="CJ190" i="24"/>
  <c r="CJ188" i="24"/>
  <c r="CK188" i="24"/>
  <c r="CL188" i="24"/>
  <c r="CM188" i="24"/>
  <c r="CN188" i="24"/>
  <c r="CO188" i="24"/>
  <c r="CP188" i="24"/>
  <c r="CQ188" i="24"/>
  <c r="EZ188" i="24"/>
  <c r="FA188" i="24"/>
  <c r="FB188" i="24"/>
  <c r="FC188" i="24"/>
  <c r="FD188" i="24"/>
  <c r="FE188" i="24"/>
  <c r="FF188" i="24"/>
  <c r="FG188" i="24"/>
  <c r="FH188" i="24"/>
  <c r="FI188" i="24"/>
  <c r="FJ188" i="24"/>
  <c r="FK188" i="24"/>
  <c r="FL188" i="24"/>
  <c r="FM188" i="24"/>
  <c r="FN188" i="24"/>
  <c r="CI187" i="24"/>
  <c r="CI188" i="24"/>
  <c r="D128" i="19"/>
  <c r="D129" i="19"/>
  <c r="D130" i="19"/>
  <c r="DW130" i="19" l="1"/>
  <c r="DX130" i="19"/>
  <c r="DW129" i="19"/>
  <c r="DX129" i="19"/>
  <c r="DW128" i="19"/>
  <c r="DX128" i="19"/>
  <c r="FO236" i="24"/>
  <c r="DU130" i="19"/>
  <c r="DV130" i="19"/>
  <c r="DU129" i="19"/>
  <c r="DV129" i="19"/>
  <c r="DU128" i="19"/>
  <c r="DV128" i="19"/>
  <c r="DR128" i="19"/>
  <c r="DT128" i="19"/>
  <c r="DS128" i="19"/>
  <c r="DT129" i="19"/>
  <c r="DS129" i="19"/>
  <c r="DR130" i="19"/>
  <c r="DT130" i="19"/>
  <c r="DS130" i="19"/>
  <c r="DQ129" i="19"/>
  <c r="DR129" i="19"/>
  <c r="DP128" i="19"/>
  <c r="DQ128" i="19"/>
  <c r="DP130" i="19"/>
  <c r="DQ130" i="19"/>
  <c r="DO129" i="19"/>
  <c r="DP129" i="19"/>
  <c r="DN130" i="19"/>
  <c r="DO130" i="19"/>
  <c r="DN128" i="19"/>
  <c r="DO128" i="19"/>
  <c r="DM129" i="19"/>
  <c r="DN129" i="19"/>
  <c r="DL128" i="19"/>
  <c r="DM128" i="19"/>
  <c r="DL130" i="19"/>
  <c r="DM130" i="19"/>
  <c r="DK129" i="19"/>
  <c r="DL129" i="19"/>
  <c r="DK130" i="19"/>
  <c r="DJ130" i="19"/>
  <c r="DI130" i="19"/>
  <c r="DK128" i="19"/>
  <c r="DJ128" i="19"/>
  <c r="DI128" i="19"/>
  <c r="DJ129" i="19"/>
  <c r="DI129" i="19"/>
  <c r="DG128" i="19"/>
  <c r="DH128" i="19"/>
  <c r="DG130" i="19"/>
  <c r="DH130" i="19"/>
  <c r="DG129" i="19"/>
  <c r="DH129" i="19"/>
  <c r="FN236" i="24"/>
  <c r="DD130" i="19"/>
  <c r="DE130" i="19"/>
  <c r="DF130" i="19"/>
  <c r="DC128" i="19"/>
  <c r="DF128" i="19"/>
  <c r="DE128" i="19"/>
  <c r="DD129" i="19"/>
  <c r="DE129" i="19"/>
  <c r="DF129" i="19"/>
  <c r="DB128" i="19"/>
  <c r="DD128" i="19"/>
  <c r="DC129" i="19"/>
  <c r="L53" i="36"/>
  <c r="N16" i="36"/>
  <c r="K16" i="36"/>
  <c r="M15" i="36"/>
  <c r="K17" i="36" l="1"/>
  <c r="N17" i="36"/>
  <c r="M16" i="36"/>
  <c r="J15" i="36"/>
  <c r="N18" i="36" l="1"/>
  <c r="K18" i="36"/>
  <c r="J16" i="36"/>
  <c r="M17" i="36"/>
  <c r="J17" i="36" l="1"/>
  <c r="M18" i="36"/>
  <c r="J18" i="36" s="1"/>
  <c r="K19" i="36"/>
  <c r="N19" i="36"/>
  <c r="M19" i="36" l="1"/>
  <c r="J19" i="36" s="1"/>
  <c r="N20" i="36"/>
  <c r="K20" i="36"/>
  <c r="K21" i="36" l="1"/>
  <c r="N21" i="36"/>
  <c r="M20" i="36"/>
  <c r="J20" i="36"/>
  <c r="N22" i="36" l="1"/>
  <c r="K22" i="36"/>
  <c r="M21" i="36"/>
  <c r="J21" i="36" s="1"/>
  <c r="M22" i="36" l="1"/>
  <c r="J22" i="36" s="1"/>
  <c r="N23" i="36"/>
  <c r="K23" i="36"/>
  <c r="M23" i="36" l="1"/>
  <c r="J23" i="36" s="1"/>
  <c r="K24" i="36"/>
  <c r="N24" i="36"/>
  <c r="K25" i="36" l="1"/>
  <c r="N25" i="36"/>
  <c r="M24" i="36"/>
  <c r="J24" i="36" s="1"/>
  <c r="M25" i="36" l="1"/>
  <c r="J25" i="36" s="1"/>
  <c r="N26" i="36"/>
  <c r="K26" i="36"/>
  <c r="M26" i="36" l="1"/>
  <c r="J26" i="36" s="1"/>
  <c r="K27" i="36"/>
  <c r="N27" i="36"/>
  <c r="N28" i="36" l="1"/>
  <c r="K28" i="36"/>
  <c r="M27" i="36"/>
  <c r="J27" i="36"/>
  <c r="K29" i="36" l="1"/>
  <c r="N29" i="36"/>
  <c r="M28" i="36"/>
  <c r="J28" i="36"/>
  <c r="M29" i="36" l="1"/>
  <c r="J29" i="36" s="1"/>
  <c r="N30" i="36"/>
  <c r="K30" i="36"/>
  <c r="M30" i="36" l="1"/>
  <c r="J30" i="36" s="1"/>
  <c r="N31" i="36"/>
  <c r="K31" i="36"/>
  <c r="M31" i="36" l="1"/>
  <c r="J31" i="36" s="1"/>
  <c r="K32" i="36"/>
  <c r="N32" i="36"/>
  <c r="M32" i="36" l="1"/>
  <c r="J32" i="36" s="1"/>
  <c r="N33" i="36"/>
  <c r="K33" i="36"/>
  <c r="M33" i="36" l="1"/>
  <c r="J33" i="36" s="1"/>
  <c r="N34" i="36"/>
  <c r="K34" i="36"/>
  <c r="M34" i="36" l="1"/>
  <c r="J34" i="36" s="1"/>
  <c r="K35" i="36"/>
  <c r="N35" i="36"/>
  <c r="M35" i="36" l="1"/>
  <c r="J35" i="36" s="1"/>
  <c r="N36" i="36"/>
  <c r="K36" i="36"/>
  <c r="M36" i="36" l="1"/>
  <c r="J36" i="36" s="1"/>
  <c r="K37" i="36"/>
  <c r="N37" i="36"/>
  <c r="N38" i="36" l="1"/>
  <c r="K38" i="36"/>
  <c r="M37" i="36"/>
  <c r="J37" i="36" s="1"/>
  <c r="M38" i="36" l="1"/>
  <c r="J38" i="36" s="1"/>
  <c r="N39" i="36"/>
  <c r="K39" i="36"/>
  <c r="M39" i="36" l="1"/>
  <c r="J39" i="36" s="1"/>
  <c r="K40" i="36"/>
  <c r="N40" i="36"/>
  <c r="N41" i="36" l="1"/>
  <c r="K41" i="36"/>
  <c r="M40" i="36"/>
  <c r="J40" i="36" s="1"/>
  <c r="M41" i="36" l="1"/>
  <c r="J41" i="36" s="1"/>
  <c r="N42" i="36"/>
  <c r="K42" i="36"/>
  <c r="M42" i="36" l="1"/>
  <c r="M53" i="36" s="1"/>
  <c r="K53" i="36"/>
  <c r="J42" i="36" l="1"/>
  <c r="J53" i="36" s="1"/>
  <c r="D688" i="4" l="1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0" i="4"/>
  <c r="D329" i="4"/>
  <c r="D328" i="4"/>
  <c r="D327" i="4"/>
  <c r="D326" i="4"/>
  <c r="D325" i="4"/>
  <c r="D324" i="4"/>
  <c r="D323" i="4"/>
  <c r="D322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W662" i="4"/>
  <c r="W464" i="4"/>
  <c r="W463" i="4"/>
  <c r="W462" i="4"/>
  <c r="W461" i="4"/>
  <c r="W160" i="4"/>
  <c r="J33" i="27" l="1"/>
  <c r="G61" i="27"/>
  <c r="T123" i="9"/>
  <c r="K230" i="13"/>
  <c r="K239" i="13"/>
  <c r="G80" i="11"/>
  <c r="F19" i="11"/>
  <c r="T463" i="4"/>
  <c r="R464" i="4"/>
  <c r="T461" i="4"/>
  <c r="T464" i="4"/>
  <c r="R463" i="4"/>
  <c r="T462" i="4"/>
  <c r="T662" i="4"/>
  <c r="R662" i="4"/>
  <c r="T160" i="4"/>
  <c r="R461" i="4"/>
  <c r="R462" i="4"/>
  <c r="C35" i="27" l="1"/>
  <c r="V118" i="9"/>
  <c r="K235" i="13" l="1"/>
  <c r="Y174" i="11" l="1"/>
  <c r="Y134" i="11"/>
  <c r="Y87" i="11"/>
  <c r="Y80" i="11"/>
  <c r="Y76" i="11"/>
  <c r="Y72" i="11"/>
  <c r="Y68" i="11"/>
  <c r="Y67" i="11"/>
  <c r="Y58" i="11"/>
  <c r="Y18" i="11"/>
  <c r="U89" i="11" l="1"/>
  <c r="U35" i="11"/>
  <c r="K33" i="13" l="1"/>
  <c r="K21" i="13"/>
  <c r="Z45" i="10" l="1"/>
  <c r="Z40" i="10"/>
  <c r="U71" i="11" l="1"/>
  <c r="G75" i="11" l="1"/>
  <c r="U72" i="11" l="1"/>
  <c r="U58" i="11" l="1"/>
  <c r="N85" i="30" l="1"/>
  <c r="CI186" i="24"/>
  <c r="CJ186" i="24"/>
  <c r="CK186" i="24"/>
  <c r="CL186" i="24"/>
  <c r="CM186" i="24"/>
  <c r="CN186" i="24"/>
  <c r="CO186" i="24"/>
  <c r="CP186" i="24"/>
  <c r="CQ186" i="24"/>
  <c r="EZ186" i="24"/>
  <c r="FA186" i="24"/>
  <c r="FB186" i="24"/>
  <c r="FC186" i="24"/>
  <c r="FD186" i="24"/>
  <c r="FE186" i="24"/>
  <c r="FF186" i="24"/>
  <c r="FG186" i="24"/>
  <c r="FH186" i="24"/>
  <c r="FI186" i="24"/>
  <c r="FJ186" i="24"/>
  <c r="FK186" i="24"/>
  <c r="FL186" i="24"/>
  <c r="FM186" i="24"/>
  <c r="FM236" i="24" s="1"/>
  <c r="CH185" i="24"/>
  <c r="CH186" i="24"/>
  <c r="CH184" i="24"/>
  <c r="CI184" i="24"/>
  <c r="CJ184" i="24"/>
  <c r="CK184" i="24"/>
  <c r="CL184" i="24"/>
  <c r="CM184" i="24"/>
  <c r="CN184" i="24"/>
  <c r="CO184" i="24"/>
  <c r="CP184" i="24"/>
  <c r="CQ184" i="24"/>
  <c r="EZ184" i="24"/>
  <c r="FA184" i="24"/>
  <c r="FB184" i="24"/>
  <c r="FC184" i="24"/>
  <c r="FD184" i="24"/>
  <c r="FE184" i="24"/>
  <c r="FF184" i="24"/>
  <c r="FG184" i="24"/>
  <c r="FH184" i="24"/>
  <c r="FI184" i="24"/>
  <c r="FJ184" i="24"/>
  <c r="FK184" i="24"/>
  <c r="FL184" i="24"/>
  <c r="CG183" i="24"/>
  <c r="CG184" i="24"/>
  <c r="CG182" i="24"/>
  <c r="CH182" i="24"/>
  <c r="CI182" i="24"/>
  <c r="CJ182" i="24"/>
  <c r="CK182" i="24"/>
  <c r="CL182" i="24"/>
  <c r="CM182" i="24"/>
  <c r="CN182" i="24"/>
  <c r="CO182" i="24"/>
  <c r="CP182" i="24"/>
  <c r="CQ182" i="24"/>
  <c r="EZ182" i="24"/>
  <c r="FA182" i="24"/>
  <c r="FB182" i="24"/>
  <c r="FC182" i="24"/>
  <c r="FD182" i="24"/>
  <c r="FE182" i="24"/>
  <c r="FF182" i="24"/>
  <c r="FG182" i="24"/>
  <c r="FH182" i="24"/>
  <c r="FI182" i="24"/>
  <c r="FJ182" i="24"/>
  <c r="FK182" i="24"/>
  <c r="CF182" i="24"/>
  <c r="CF181" i="24"/>
  <c r="FL236" i="24" l="1"/>
  <c r="FK236" i="24"/>
  <c r="AD103" i="9"/>
  <c r="C7" i="19"/>
  <c r="C15" i="19" s="1"/>
  <c r="C16" i="19" s="1"/>
  <c r="D125" i="19"/>
  <c r="D126" i="19"/>
  <c r="DW126" i="19" s="1"/>
  <c r="D127" i="19"/>
  <c r="DW127" i="19" l="1"/>
  <c r="DX127" i="19"/>
  <c r="DX152" i="19" s="1"/>
  <c r="DW152" i="19"/>
  <c r="DU127" i="19"/>
  <c r="DV127" i="19"/>
  <c r="DU126" i="19"/>
  <c r="DV126" i="19"/>
  <c r="DU125" i="19"/>
  <c r="DV125" i="19"/>
  <c r="DV152" i="19" s="1"/>
  <c r="DR127" i="19"/>
  <c r="DT127" i="19"/>
  <c r="DS127" i="19"/>
  <c r="DR126" i="19"/>
  <c r="DT126" i="19"/>
  <c r="DS126" i="19"/>
  <c r="DR125" i="19"/>
  <c r="DT125" i="19"/>
  <c r="DS125" i="19"/>
  <c r="DP126" i="19"/>
  <c r="DQ126" i="19"/>
  <c r="DP127" i="19"/>
  <c r="DQ127" i="19"/>
  <c r="DP125" i="19"/>
  <c r="DQ125" i="19"/>
  <c r="DN127" i="19"/>
  <c r="DO127" i="19"/>
  <c r="DN126" i="19"/>
  <c r="DO126" i="19"/>
  <c r="DN125" i="19"/>
  <c r="DO125" i="19"/>
  <c r="DL126" i="19"/>
  <c r="DM126" i="19"/>
  <c r="DL127" i="19"/>
  <c r="DM127" i="19"/>
  <c r="DL125" i="19"/>
  <c r="DM125" i="19"/>
  <c r="DK126" i="19"/>
  <c r="DJ126" i="19"/>
  <c r="DI126" i="19"/>
  <c r="DK127" i="19"/>
  <c r="DJ127" i="19"/>
  <c r="DI127" i="19"/>
  <c r="DK125" i="19"/>
  <c r="DJ125" i="19"/>
  <c r="DI125" i="19"/>
  <c r="DG127" i="19"/>
  <c r="DH127" i="19"/>
  <c r="DG125" i="19"/>
  <c r="DH125" i="19"/>
  <c r="DG126" i="19"/>
  <c r="DH126" i="19"/>
  <c r="DE126" i="19"/>
  <c r="DF126" i="19"/>
  <c r="DA127" i="19"/>
  <c r="DF127" i="19"/>
  <c r="DE127" i="19"/>
  <c r="CZ125" i="19"/>
  <c r="DE125" i="19"/>
  <c r="DF125" i="19"/>
  <c r="DC125" i="19"/>
  <c r="DD125" i="19"/>
  <c r="DB125" i="19"/>
  <c r="DD126" i="19"/>
  <c r="DB126" i="19"/>
  <c r="DC126" i="19"/>
  <c r="DA126" i="19"/>
  <c r="CY125" i="19"/>
  <c r="DA125" i="19"/>
  <c r="DB127" i="19"/>
  <c r="DC127" i="19"/>
  <c r="DD127" i="19"/>
  <c r="CZ126" i="19"/>
  <c r="X87" i="10"/>
  <c r="R113" i="10"/>
  <c r="R45" i="10"/>
  <c r="C4" i="27"/>
  <c r="E55" i="35"/>
  <c r="E57" i="35" s="1"/>
  <c r="I26" i="27"/>
  <c r="L46" i="27" s="1"/>
  <c r="H26" i="27"/>
  <c r="D64" i="36"/>
  <c r="T124" i="9"/>
  <c r="AI16" i="12" l="1"/>
  <c r="AI29" i="12"/>
  <c r="AI34" i="12"/>
  <c r="AI38" i="12"/>
  <c r="AI40" i="12"/>
  <c r="AI42" i="12"/>
  <c r="AI44" i="12"/>
  <c r="AI48" i="12"/>
  <c r="AI52" i="12"/>
  <c r="AI60" i="12"/>
  <c r="AI67" i="12"/>
  <c r="AI69" i="12"/>
  <c r="AS63" i="10" l="1"/>
  <c r="AS17" i="10"/>
  <c r="BE17" i="10"/>
  <c r="T177" i="13" l="1"/>
  <c r="Z56" i="10"/>
  <c r="AF63" i="10"/>
  <c r="AF56" i="10"/>
  <c r="AF23" i="10"/>
  <c r="AF22" i="10"/>
  <c r="D61" i="36" l="1"/>
  <c r="D66" i="36" s="1"/>
  <c r="F11" i="36"/>
  <c r="E8" i="36"/>
  <c r="X10" i="13" l="1"/>
  <c r="X30" i="13"/>
  <c r="X48" i="13"/>
  <c r="X72" i="13"/>
  <c r="X76" i="13"/>
  <c r="X78" i="13"/>
  <c r="X79" i="13"/>
  <c r="X83" i="13"/>
  <c r="X86" i="13"/>
  <c r="X114" i="13"/>
  <c r="X131" i="13"/>
  <c r="X137" i="13"/>
  <c r="X140" i="13"/>
  <c r="X142" i="13"/>
  <c r="X143" i="13"/>
  <c r="X147" i="13"/>
  <c r="X158" i="13"/>
  <c r="X168" i="13"/>
  <c r="X170" i="13"/>
  <c r="X178" i="13"/>
  <c r="X185" i="13"/>
  <c r="X188" i="13"/>
  <c r="X191" i="13"/>
  <c r="X194" i="13"/>
  <c r="X196" i="13"/>
  <c r="X197" i="13"/>
  <c r="X218" i="13"/>
  <c r="X221" i="13"/>
  <c r="X228" i="13"/>
  <c r="X245" i="13"/>
  <c r="X248" i="13"/>
  <c r="X251" i="13"/>
  <c r="X253" i="13"/>
  <c r="BA63" i="10" l="1"/>
  <c r="BA17" i="10"/>
  <c r="S87" i="11" l="1"/>
  <c r="E244" i="13"/>
  <c r="E29" i="13" l="1"/>
  <c r="E75" i="13"/>
  <c r="E227" i="13" l="1"/>
  <c r="E217" i="13"/>
  <c r="E184" i="13"/>
  <c r="E177" i="13"/>
  <c r="E157" i="13"/>
  <c r="E169" i="13" s="1"/>
  <c r="E139" i="13"/>
  <c r="E136" i="13"/>
  <c r="E130" i="13"/>
  <c r="E113" i="13"/>
  <c r="E82" i="13"/>
  <c r="E71" i="13"/>
  <c r="E47" i="13"/>
  <c r="E195" i="13" l="1"/>
  <c r="E252" i="13"/>
  <c r="E254" i="13" s="1"/>
  <c r="E141" i="13"/>
  <c r="E77" i="13"/>
  <c r="U75" i="11"/>
  <c r="U62" i="11" l="1"/>
  <c r="E144" i="13"/>
  <c r="E256" i="13" s="1"/>
  <c r="AQ97" i="10"/>
  <c r="AR97" i="10" s="1"/>
  <c r="U235" i="13" l="1"/>
  <c r="X235" i="13" l="1"/>
  <c r="AE235" i="13"/>
  <c r="AG91" i="9"/>
  <c r="AW106" i="10" l="1"/>
  <c r="AQ48" i="10"/>
  <c r="M69" i="30"/>
  <c r="AO32" i="9"/>
  <c r="AM31" i="9"/>
  <c r="CF180" i="24"/>
  <c r="CG180" i="24"/>
  <c r="CH180" i="24"/>
  <c r="CI180" i="24"/>
  <c r="CJ180" i="24"/>
  <c r="CK180" i="24"/>
  <c r="CL180" i="24"/>
  <c r="CM180" i="24"/>
  <c r="CN180" i="24"/>
  <c r="CO180" i="24"/>
  <c r="CP180" i="24"/>
  <c r="CQ180" i="24"/>
  <c r="EZ180" i="24"/>
  <c r="FA180" i="24"/>
  <c r="FB180" i="24"/>
  <c r="FC180" i="24"/>
  <c r="FD180" i="24"/>
  <c r="FE180" i="24"/>
  <c r="FF180" i="24"/>
  <c r="FG180" i="24"/>
  <c r="FH180" i="24"/>
  <c r="FI180" i="24"/>
  <c r="FJ180" i="24"/>
  <c r="FJ236" i="24" s="1"/>
  <c r="CE179" i="24"/>
  <c r="CE180" i="24"/>
  <c r="CE178" i="24"/>
  <c r="CF178" i="24"/>
  <c r="CG178" i="24"/>
  <c r="CH178" i="24"/>
  <c r="CI178" i="24"/>
  <c r="CJ178" i="24"/>
  <c r="CK178" i="24"/>
  <c r="CL178" i="24"/>
  <c r="CM178" i="24"/>
  <c r="CN178" i="24"/>
  <c r="CO178" i="24"/>
  <c r="CP178" i="24"/>
  <c r="CQ178" i="24"/>
  <c r="EZ178" i="24"/>
  <c r="FA178" i="24"/>
  <c r="FB178" i="24"/>
  <c r="FC178" i="24"/>
  <c r="FD178" i="24"/>
  <c r="FE178" i="24"/>
  <c r="FF178" i="24"/>
  <c r="FG178" i="24"/>
  <c r="FH178" i="24"/>
  <c r="FI178" i="24"/>
  <c r="CD177" i="24"/>
  <c r="CD178" i="24"/>
  <c r="CD176" i="24"/>
  <c r="CE176" i="24"/>
  <c r="CF176" i="24"/>
  <c r="CG176" i="24"/>
  <c r="CH176" i="24"/>
  <c r="CI176" i="24"/>
  <c r="CJ176" i="24"/>
  <c r="CK176" i="24"/>
  <c r="CL176" i="24"/>
  <c r="CM176" i="24"/>
  <c r="CN176" i="24"/>
  <c r="CO176" i="24"/>
  <c r="CP176" i="24"/>
  <c r="CQ176" i="24"/>
  <c r="EZ176" i="24"/>
  <c r="FA176" i="24"/>
  <c r="FB176" i="24"/>
  <c r="FC176" i="24"/>
  <c r="FD176" i="24"/>
  <c r="FE176" i="24"/>
  <c r="FF176" i="24"/>
  <c r="FG176" i="24"/>
  <c r="FH176" i="24"/>
  <c r="CC176" i="24"/>
  <c r="AK17" i="10"/>
  <c r="AH63" i="10"/>
  <c r="AG30" i="9"/>
  <c r="AD29" i="9"/>
  <c r="FH236" i="24" l="1"/>
  <c r="FI236" i="24"/>
  <c r="D122" i="19"/>
  <c r="D123" i="19"/>
  <c r="D124" i="19"/>
  <c r="DU124" i="19" s="1"/>
  <c r="DU152" i="19" s="1"/>
  <c r="DR123" i="19" l="1"/>
  <c r="DT123" i="19"/>
  <c r="DS123" i="19"/>
  <c r="DR124" i="19"/>
  <c r="DT124" i="19"/>
  <c r="DS124" i="19"/>
  <c r="DR122" i="19"/>
  <c r="DS122" i="19"/>
  <c r="DP123" i="19"/>
  <c r="DQ123" i="19"/>
  <c r="DP124" i="19"/>
  <c r="DQ124" i="19"/>
  <c r="DP122" i="19"/>
  <c r="DQ122" i="19"/>
  <c r="DN124" i="19"/>
  <c r="DO124" i="19"/>
  <c r="DN123" i="19"/>
  <c r="DO123" i="19"/>
  <c r="DN122" i="19"/>
  <c r="DO122" i="19"/>
  <c r="DL124" i="19"/>
  <c r="DM124" i="19"/>
  <c r="DL122" i="19"/>
  <c r="DM122" i="19"/>
  <c r="DL123" i="19"/>
  <c r="DM123" i="19"/>
  <c r="DK124" i="19"/>
  <c r="DJ124" i="19"/>
  <c r="DI124" i="19"/>
  <c r="DK123" i="19"/>
  <c r="DJ123" i="19"/>
  <c r="DI123" i="19"/>
  <c r="DK122" i="19"/>
  <c r="DJ122" i="19"/>
  <c r="DI122" i="19"/>
  <c r="DG123" i="19"/>
  <c r="DH123" i="19"/>
  <c r="DG122" i="19"/>
  <c r="DH122" i="19"/>
  <c r="DG124" i="19"/>
  <c r="DH124" i="19"/>
  <c r="DE123" i="19"/>
  <c r="DF123" i="19"/>
  <c r="DE124" i="19"/>
  <c r="DF124" i="19"/>
  <c r="DE122" i="19"/>
  <c r="DF122" i="19"/>
  <c r="DB123" i="19"/>
  <c r="DC123" i="19"/>
  <c r="DD123" i="19"/>
  <c r="CY123" i="19"/>
  <c r="CZ123" i="19"/>
  <c r="DA123" i="19"/>
  <c r="CX123" i="19"/>
  <c r="CW123" i="19"/>
  <c r="DB124" i="19"/>
  <c r="DC124" i="19"/>
  <c r="DD124" i="19"/>
  <c r="CY124" i="19"/>
  <c r="CZ124" i="19"/>
  <c r="DA124" i="19"/>
  <c r="CX124" i="19"/>
  <c r="DB122" i="19"/>
  <c r="DD122" i="19"/>
  <c r="DC122" i="19"/>
  <c r="D153" i="19"/>
  <c r="CZ122" i="19"/>
  <c r="DA122" i="19"/>
  <c r="CY122" i="19"/>
  <c r="CV122" i="19"/>
  <c r="CW122" i="19"/>
  <c r="CX122" i="19"/>
  <c r="BA133" i="10"/>
  <c r="BA168" i="9"/>
  <c r="DS152" i="19" l="1"/>
  <c r="DT152" i="19"/>
  <c r="G9" i="28"/>
  <c r="G3" i="28"/>
  <c r="F52" i="35" l="1"/>
  <c r="G52" i="35"/>
  <c r="U79" i="11" l="1"/>
  <c r="U88" i="11"/>
  <c r="Q18" i="10" l="1"/>
  <c r="M172" i="13"/>
  <c r="U134" i="11"/>
  <c r="J59" i="11"/>
  <c r="U85" i="11"/>
  <c r="L36" i="13"/>
  <c r="G67" i="11"/>
  <c r="U128" i="11"/>
  <c r="U147" i="11"/>
  <c r="G78" i="11"/>
  <c r="U76" i="11"/>
  <c r="U144" i="11"/>
  <c r="U78" i="11"/>
  <c r="BB63" i="10"/>
  <c r="U34" i="11" l="1"/>
  <c r="U31" i="11"/>
  <c r="U27" i="11"/>
  <c r="U67" i="11" s="1"/>
  <c r="U26" i="11"/>
  <c r="U25" i="11"/>
  <c r="U24" i="11"/>
  <c r="U186" i="11"/>
  <c r="U157" i="11"/>
  <c r="U130" i="11"/>
  <c r="U115" i="11"/>
  <c r="U107" i="11"/>
  <c r="U65" i="11"/>
  <c r="U145" i="11" l="1"/>
  <c r="U57" i="11"/>
  <c r="U28" i="11"/>
  <c r="N80" i="30"/>
  <c r="N58" i="35" l="1"/>
  <c r="O58" i="35"/>
  <c r="P58" i="35"/>
  <c r="Q58" i="35"/>
  <c r="K41" i="35"/>
  <c r="K33" i="35"/>
  <c r="J44" i="35"/>
  <c r="K44" i="35" s="1"/>
  <c r="J41" i="35"/>
  <c r="J37" i="35"/>
  <c r="K37" i="35" s="1"/>
  <c r="J29" i="35"/>
  <c r="K29" i="35" s="1"/>
  <c r="J25" i="35"/>
  <c r="J24" i="27" l="1"/>
  <c r="I31" i="27" l="1"/>
  <c r="H5" i="28"/>
  <c r="J26" i="27" s="1"/>
  <c r="H14" i="27"/>
  <c r="H149" i="13" l="1"/>
  <c r="H148" i="13" s="1"/>
  <c r="U80" i="11" l="1"/>
  <c r="U59" i="11" l="1"/>
  <c r="U60" i="11" s="1"/>
  <c r="U81" i="11"/>
  <c r="U18" i="11"/>
  <c r="U20" i="11" s="1"/>
  <c r="U69" i="11"/>
  <c r="CC174" i="24"/>
  <c r="CD174" i="24"/>
  <c r="CE174" i="24"/>
  <c r="CF174" i="24"/>
  <c r="CG174" i="24"/>
  <c r="CH174" i="24"/>
  <c r="CI174" i="24"/>
  <c r="CJ174" i="24"/>
  <c r="CK174" i="24"/>
  <c r="CL174" i="24"/>
  <c r="CM174" i="24"/>
  <c r="CN174" i="24"/>
  <c r="CO174" i="24"/>
  <c r="CP174" i="24"/>
  <c r="CQ174" i="24"/>
  <c r="EZ174" i="24"/>
  <c r="FA174" i="24"/>
  <c r="FB174" i="24"/>
  <c r="FC174" i="24"/>
  <c r="FD174" i="24"/>
  <c r="FE174" i="24"/>
  <c r="FF174" i="24"/>
  <c r="FG174" i="24"/>
  <c r="FG236" i="24" s="1"/>
  <c r="CB174" i="24"/>
  <c r="CB173" i="24"/>
  <c r="CB172" i="24"/>
  <c r="CC172" i="24"/>
  <c r="CD172" i="24"/>
  <c r="CE172" i="24"/>
  <c r="CF172" i="24"/>
  <c r="CG172" i="24"/>
  <c r="CH172" i="24"/>
  <c r="CI172" i="24"/>
  <c r="CJ172" i="24"/>
  <c r="CK172" i="24"/>
  <c r="CL172" i="24"/>
  <c r="CM172" i="24"/>
  <c r="CN172" i="24"/>
  <c r="CO172" i="24"/>
  <c r="CP172" i="24"/>
  <c r="CQ172" i="24"/>
  <c r="EZ172" i="24"/>
  <c r="FA172" i="24"/>
  <c r="FB172" i="24"/>
  <c r="FC172" i="24"/>
  <c r="FD172" i="24"/>
  <c r="FE172" i="24"/>
  <c r="FF172" i="24"/>
  <c r="CA171" i="24"/>
  <c r="CA172" i="24"/>
  <c r="CA170" i="24"/>
  <c r="CB170" i="24"/>
  <c r="CC170" i="24"/>
  <c r="CD170" i="24"/>
  <c r="CE170" i="24"/>
  <c r="CF170" i="24"/>
  <c r="CG170" i="24"/>
  <c r="CH170" i="24"/>
  <c r="CI170" i="24"/>
  <c r="CJ170" i="24"/>
  <c r="CK170" i="24"/>
  <c r="CL170" i="24"/>
  <c r="CM170" i="24"/>
  <c r="CN170" i="24"/>
  <c r="CO170" i="24"/>
  <c r="CP170" i="24"/>
  <c r="CQ170" i="24"/>
  <c r="EZ170" i="24"/>
  <c r="FA170" i="24"/>
  <c r="FB170" i="24"/>
  <c r="FC170" i="24"/>
  <c r="FD170" i="24"/>
  <c r="FE170" i="24"/>
  <c r="BZ171" i="24"/>
  <c r="BZ169" i="24"/>
  <c r="BZ170" i="24"/>
  <c r="D119" i="19"/>
  <c r="DP119" i="19" s="1"/>
  <c r="D120" i="19"/>
  <c r="D121" i="19"/>
  <c r="DR121" i="19" s="1"/>
  <c r="DR152" i="19" s="1"/>
  <c r="FF236" i="24" l="1"/>
  <c r="FE236" i="24"/>
  <c r="DP121" i="19"/>
  <c r="DQ121" i="19"/>
  <c r="DP120" i="19"/>
  <c r="DQ120" i="19"/>
  <c r="DP152" i="19"/>
  <c r="DN121" i="19"/>
  <c r="DO121" i="19"/>
  <c r="DN120" i="19"/>
  <c r="DO120" i="19"/>
  <c r="DN119" i="19"/>
  <c r="DO119" i="19"/>
  <c r="DL121" i="19"/>
  <c r="DM121" i="19"/>
  <c r="DL120" i="19"/>
  <c r="DM120" i="19"/>
  <c r="DL119" i="19"/>
  <c r="DM119" i="19"/>
  <c r="DK120" i="19"/>
  <c r="DJ120" i="19"/>
  <c r="DI120" i="19"/>
  <c r="DK121" i="19"/>
  <c r="DJ121" i="19"/>
  <c r="DI121" i="19"/>
  <c r="DK119" i="19"/>
  <c r="DJ119" i="19"/>
  <c r="DI119" i="19"/>
  <c r="DG121" i="19"/>
  <c r="DH121" i="19"/>
  <c r="DG119" i="19"/>
  <c r="DH119" i="19"/>
  <c r="DG120" i="19"/>
  <c r="DH120" i="19"/>
  <c r="CU121" i="19"/>
  <c r="DE121" i="19"/>
  <c r="DF121" i="19"/>
  <c r="DF120" i="19"/>
  <c r="DE120" i="19"/>
  <c r="CU119" i="19"/>
  <c r="DF119" i="19"/>
  <c r="DE119" i="19"/>
  <c r="DB120" i="19"/>
  <c r="DC120" i="19"/>
  <c r="DD120" i="19"/>
  <c r="CY120" i="19"/>
  <c r="CZ120" i="19"/>
  <c r="DA120" i="19"/>
  <c r="CW120" i="19"/>
  <c r="CX120" i="19"/>
  <c r="CV120" i="19"/>
  <c r="CS119" i="19"/>
  <c r="CU120" i="19"/>
  <c r="DB119" i="19"/>
  <c r="DC119" i="19"/>
  <c r="DD119" i="19"/>
  <c r="DA119" i="19"/>
  <c r="CZ119" i="19"/>
  <c r="CY119" i="19"/>
  <c r="CV119" i="19"/>
  <c r="CX119" i="19"/>
  <c r="CW119" i="19"/>
  <c r="CT119" i="19"/>
  <c r="DC121" i="19"/>
  <c r="DD121" i="19"/>
  <c r="DB121" i="19"/>
  <c r="CY121" i="19"/>
  <c r="CZ121" i="19"/>
  <c r="DA121" i="19"/>
  <c r="CV121" i="19"/>
  <c r="CW121" i="19"/>
  <c r="CX121" i="19"/>
  <c r="CT120" i="19"/>
  <c r="L34" i="13"/>
  <c r="L14" i="13"/>
  <c r="DQ152" i="19" l="1"/>
  <c r="K31" i="13"/>
  <c r="X86" i="10"/>
  <c r="K15" i="13"/>
  <c r="AE103" i="9"/>
  <c r="AE29" i="9" s="1"/>
  <c r="K39" i="13"/>
  <c r="AX106" i="10"/>
  <c r="F18" i="11"/>
  <c r="G62" i="11"/>
  <c r="L18" i="13"/>
  <c r="L577" i="4"/>
  <c r="L654" i="4"/>
  <c r="L652" i="4" l="1"/>
  <c r="L653" i="4"/>
  <c r="X100" i="10"/>
  <c r="J11" i="27"/>
  <c r="J45" i="35"/>
  <c r="J51" i="35" s="1"/>
  <c r="F48" i="35"/>
  <c r="I45" i="35"/>
  <c r="I44" i="35"/>
  <c r="I43" i="35"/>
  <c r="I42" i="35"/>
  <c r="I41" i="35"/>
  <c r="I40" i="35"/>
  <c r="I39" i="35"/>
  <c r="I38" i="35"/>
  <c r="I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B23" i="35"/>
  <c r="I23" i="35" s="1"/>
  <c r="I22" i="35"/>
  <c r="H21" i="35"/>
  <c r="H22" i="35" s="1"/>
  <c r="I20" i="35"/>
  <c r="I19" i="35"/>
  <c r="D19" i="35" s="1"/>
  <c r="H19" i="35"/>
  <c r="H20" i="35" s="1"/>
  <c r="D20" i="35" l="1"/>
  <c r="E20" i="35" s="1"/>
  <c r="M55" i="35"/>
  <c r="M58" i="35" s="1"/>
  <c r="H18" i="27"/>
  <c r="X82" i="10"/>
  <c r="E19" i="35"/>
  <c r="H23" i="35"/>
  <c r="D23" i="35"/>
  <c r="I24" i="35"/>
  <c r="D22" i="35"/>
  <c r="J25" i="27" l="1"/>
  <c r="H31" i="27"/>
  <c r="D24" i="35"/>
  <c r="H24" i="35"/>
  <c r="E23" i="35"/>
  <c r="C23" i="35" s="1"/>
  <c r="E22" i="35"/>
  <c r="C22" i="35" s="1"/>
  <c r="J31" i="27" l="1"/>
  <c r="J35" i="27" s="1"/>
  <c r="D25" i="35"/>
  <c r="H25" i="35"/>
  <c r="E24" i="35"/>
  <c r="H26" i="35" l="1"/>
  <c r="D26" i="35"/>
  <c r="C24" i="35"/>
  <c r="E25" i="35"/>
  <c r="C25" i="35" s="1"/>
  <c r="E26" i="35" l="1"/>
  <c r="C26" i="35"/>
  <c r="H27" i="35"/>
  <c r="D27" i="35"/>
  <c r="E27" i="35" l="1"/>
  <c r="C27" i="35" s="1"/>
  <c r="H28" i="35"/>
  <c r="D28" i="35"/>
  <c r="E28" i="35" l="1"/>
  <c r="C28" i="35" s="1"/>
  <c r="D29" i="35"/>
  <c r="H29" i="35"/>
  <c r="H30" i="35" l="1"/>
  <c r="D30" i="35"/>
  <c r="E29" i="35"/>
  <c r="C29" i="35" s="1"/>
  <c r="E30" i="35" l="1"/>
  <c r="C30" i="35"/>
  <c r="D31" i="35"/>
  <c r="H31" i="35"/>
  <c r="D32" i="35" l="1"/>
  <c r="H32" i="35"/>
  <c r="E31" i="35"/>
  <c r="C31" i="35" s="1"/>
  <c r="H33" i="35" l="1"/>
  <c r="D33" i="35"/>
  <c r="E32" i="35"/>
  <c r="C32" i="35" s="1"/>
  <c r="E33" i="35" l="1"/>
  <c r="C33" i="35" s="1"/>
  <c r="H34" i="35"/>
  <c r="D34" i="35"/>
  <c r="H35" i="35" l="1"/>
  <c r="D35" i="35"/>
  <c r="E34" i="35"/>
  <c r="C34" i="35" s="1"/>
  <c r="E35" i="35" l="1"/>
  <c r="C35" i="35" s="1"/>
  <c r="D36" i="35"/>
  <c r="H36" i="35"/>
  <c r="D37" i="35" l="1"/>
  <c r="H37" i="35"/>
  <c r="E36" i="35"/>
  <c r="C36" i="35" s="1"/>
  <c r="D38" i="35" l="1"/>
  <c r="H38" i="35"/>
  <c r="E37" i="35"/>
  <c r="C37" i="35" s="1"/>
  <c r="H39" i="35" l="1"/>
  <c r="D39" i="35"/>
  <c r="E38" i="35"/>
  <c r="C38" i="35" s="1"/>
  <c r="E39" i="35" l="1"/>
  <c r="C39" i="35"/>
  <c r="H40" i="35"/>
  <c r="D40" i="35"/>
  <c r="D41" i="35" l="1"/>
  <c r="H41" i="35"/>
  <c r="E40" i="35"/>
  <c r="C40" i="35" s="1"/>
  <c r="H42" i="35" l="1"/>
  <c r="D42" i="35"/>
  <c r="E41" i="35"/>
  <c r="C41" i="35" s="1"/>
  <c r="E42" i="35" l="1"/>
  <c r="C42" i="35"/>
  <c r="D43" i="35"/>
  <c r="H43" i="35"/>
  <c r="E43" i="35" l="1"/>
  <c r="C43" i="35" s="1"/>
  <c r="H44" i="35"/>
  <c r="D44" i="35"/>
  <c r="D45" i="35" l="1"/>
  <c r="H45" i="35"/>
  <c r="E44" i="35"/>
  <c r="C44" i="35"/>
  <c r="E45" i="35" l="1"/>
  <c r="E48" i="35" s="1"/>
  <c r="D48" i="35"/>
  <c r="C45" i="35" l="1"/>
  <c r="C48" i="35" s="1"/>
  <c r="D4" i="4" l="1"/>
  <c r="G6" i="27" l="1"/>
  <c r="AR48" i="10" l="1"/>
  <c r="AT63" i="10"/>
  <c r="AT18" i="10" l="1"/>
  <c r="AP32" i="9"/>
  <c r="D8" i="31"/>
  <c r="F8" i="31" s="1"/>
  <c r="FD168" i="24" l="1"/>
  <c r="FD236" i="24" s="1"/>
  <c r="FC168" i="24"/>
  <c r="FB168" i="24"/>
  <c r="FA168" i="24"/>
  <c r="EZ168" i="24"/>
  <c r="CQ168" i="24"/>
  <c r="CP168" i="24"/>
  <c r="CO168" i="24"/>
  <c r="CN168" i="24"/>
  <c r="CM168" i="24"/>
  <c r="CL168" i="24"/>
  <c r="CK168" i="24"/>
  <c r="CJ168" i="24"/>
  <c r="CI168" i="24"/>
  <c r="CH168" i="24"/>
  <c r="CG168" i="24"/>
  <c r="CF168" i="24"/>
  <c r="CE168" i="24"/>
  <c r="CD168" i="24"/>
  <c r="CC168" i="24"/>
  <c r="CB168" i="24"/>
  <c r="CA168" i="24"/>
  <c r="BZ168" i="24"/>
  <c r="BY168" i="24"/>
  <c r="FC166" i="24"/>
  <c r="FC236" i="24" s="1"/>
  <c r="FB166" i="24"/>
  <c r="FA166" i="24"/>
  <c r="EZ166" i="24"/>
  <c r="CQ166" i="24"/>
  <c r="CP166" i="24"/>
  <c r="CO166" i="24"/>
  <c r="CN166" i="24"/>
  <c r="CM166" i="24"/>
  <c r="CL166" i="24"/>
  <c r="CK166" i="24"/>
  <c r="CJ166" i="24"/>
  <c r="CI166" i="24"/>
  <c r="CH166" i="24"/>
  <c r="CG166" i="24"/>
  <c r="CF166" i="24"/>
  <c r="CE166" i="24"/>
  <c r="CD166" i="24"/>
  <c r="CC166" i="24"/>
  <c r="CB166" i="24"/>
  <c r="CA166" i="24"/>
  <c r="BZ166" i="24"/>
  <c r="BY166" i="24"/>
  <c r="BX166" i="24"/>
  <c r="FB164" i="24"/>
  <c r="FA164" i="24"/>
  <c r="EZ164" i="24"/>
  <c r="CQ164" i="24"/>
  <c r="CP164" i="24"/>
  <c r="CO164" i="24"/>
  <c r="CN164" i="24"/>
  <c r="CM164" i="24"/>
  <c r="CL164" i="24"/>
  <c r="CK164" i="24"/>
  <c r="CJ164" i="24"/>
  <c r="CI164" i="24"/>
  <c r="CH164" i="24"/>
  <c r="CG164" i="24"/>
  <c r="CF164" i="24"/>
  <c r="CE164" i="24"/>
  <c r="CD164" i="24"/>
  <c r="CC164" i="24"/>
  <c r="CB164" i="24"/>
  <c r="CA164" i="24"/>
  <c r="BZ164" i="24"/>
  <c r="BY164" i="24"/>
  <c r="BX164" i="24"/>
  <c r="BW164" i="24"/>
  <c r="FB236" i="24" l="1"/>
  <c r="D116" i="19"/>
  <c r="D117" i="19"/>
  <c r="DN117" i="19" s="1"/>
  <c r="D118" i="19"/>
  <c r="DN118" i="19" l="1"/>
  <c r="DN152" i="19" s="1"/>
  <c r="DO118" i="19"/>
  <c r="DO152" i="19" s="1"/>
  <c r="DL118" i="19"/>
  <c r="DM118" i="19"/>
  <c r="DL117" i="19"/>
  <c r="DM117" i="19"/>
  <c r="DL116" i="19"/>
  <c r="DM116" i="19"/>
  <c r="DK118" i="19"/>
  <c r="DJ118" i="19"/>
  <c r="DI118" i="19"/>
  <c r="DK117" i="19"/>
  <c r="DJ117" i="19"/>
  <c r="DI117" i="19"/>
  <c r="DK116" i="19"/>
  <c r="DJ116" i="19"/>
  <c r="DI116" i="19"/>
  <c r="DG117" i="19"/>
  <c r="DH117" i="19"/>
  <c r="DG118" i="19"/>
  <c r="DH118" i="19"/>
  <c r="DG116" i="19"/>
  <c r="DH116" i="19"/>
  <c r="DE118" i="19"/>
  <c r="DF118" i="19"/>
  <c r="DE117" i="19"/>
  <c r="DF117" i="19"/>
  <c r="DE116" i="19"/>
  <c r="DF116" i="19"/>
  <c r="DC117" i="19"/>
  <c r="DD117" i="19"/>
  <c r="DB117" i="19"/>
  <c r="CY117" i="19"/>
  <c r="CZ117" i="19"/>
  <c r="DA117" i="19"/>
  <c r="CX117" i="19"/>
  <c r="CV117" i="19"/>
  <c r="CW117" i="19"/>
  <c r="CS117" i="19"/>
  <c r="CT117" i="19"/>
  <c r="CU117" i="19"/>
  <c r="CR118" i="19"/>
  <c r="DD118" i="19"/>
  <c r="DB118" i="19"/>
  <c r="DC118" i="19"/>
  <c r="CY118" i="19"/>
  <c r="CZ118" i="19"/>
  <c r="DA118" i="19"/>
  <c r="CV118" i="19"/>
  <c r="CW118" i="19"/>
  <c r="CX118" i="19"/>
  <c r="CS118" i="19"/>
  <c r="CT118" i="19"/>
  <c r="CU118" i="19"/>
  <c r="DB116" i="19"/>
  <c r="DC116" i="19"/>
  <c r="DD116" i="19"/>
  <c r="DA116" i="19"/>
  <c r="CY116" i="19"/>
  <c r="CZ116" i="19"/>
  <c r="CV116" i="19"/>
  <c r="CW116" i="19"/>
  <c r="CX116" i="19"/>
  <c r="CT116" i="19"/>
  <c r="CS116" i="19"/>
  <c r="CU116" i="19"/>
  <c r="CR117" i="19"/>
  <c r="CQ117" i="19"/>
  <c r="CQ116" i="19"/>
  <c r="CP116" i="19"/>
  <c r="CR116" i="19"/>
  <c r="DM152" i="19" l="1"/>
  <c r="T117" i="9"/>
  <c r="BB168" i="9"/>
  <c r="T119" i="9"/>
  <c r="Q78" i="11"/>
  <c r="BB133" i="10"/>
  <c r="BB18" i="10"/>
  <c r="T118" i="9"/>
  <c r="X106" i="10"/>
  <c r="X85" i="10"/>
  <c r="X84" i="10"/>
  <c r="X94" i="10"/>
  <c r="F689" i="4"/>
  <c r="G689" i="4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G690" i="4" l="1"/>
  <c r="K7" i="27"/>
  <c r="L6" i="27"/>
  <c r="K13" i="27" l="1"/>
  <c r="K12" i="27"/>
  <c r="K11" i="27"/>
  <c r="L11" i="27" s="1"/>
  <c r="K14" i="27" l="1"/>
  <c r="Q50" i="9" l="1"/>
  <c r="Q56" i="9" l="1"/>
  <c r="V35" i="9" s="1"/>
  <c r="Q54" i="9" l="1"/>
  <c r="BH54" i="9" s="1"/>
  <c r="Q53" i="9"/>
  <c r="D14" i="31" l="1"/>
  <c r="F13" i="31"/>
  <c r="F14" i="31" s="1"/>
  <c r="D11" i="31"/>
  <c r="F11" i="31" s="1"/>
  <c r="F9" i="31"/>
  <c r="F10" i="31" s="1"/>
  <c r="F7" i="31"/>
  <c r="F12" i="31" l="1"/>
  <c r="F15" i="31"/>
  <c r="D10" i="31"/>
  <c r="D12" i="31" s="1"/>
  <c r="D15" i="31" s="1"/>
  <c r="FA162" i="24" l="1"/>
  <c r="FA236" i="24" s="1"/>
  <c r="EZ160" i="24"/>
  <c r="EZ162" i="24"/>
  <c r="CQ162" i="24"/>
  <c r="CP162" i="24"/>
  <c r="CO162" i="24"/>
  <c r="CN162" i="24"/>
  <c r="CM162" i="24"/>
  <c r="CL162" i="24"/>
  <c r="CK162" i="24"/>
  <c r="CJ162" i="24"/>
  <c r="CI162" i="24"/>
  <c r="CH162" i="24"/>
  <c r="CG162" i="24"/>
  <c r="CF162" i="24"/>
  <c r="CE162" i="24"/>
  <c r="CD162" i="24"/>
  <c r="CC162" i="24"/>
  <c r="CB162" i="24"/>
  <c r="CA162" i="24"/>
  <c r="BZ162" i="24"/>
  <c r="BY162" i="24"/>
  <c r="BX162" i="24"/>
  <c r="BW162" i="24"/>
  <c r="BV162" i="24"/>
  <c r="CQ160" i="24"/>
  <c r="CP160" i="24"/>
  <c r="CO160" i="24"/>
  <c r="CN160" i="24"/>
  <c r="CM160" i="24"/>
  <c r="CL160" i="24"/>
  <c r="CK160" i="24"/>
  <c r="CJ160" i="24"/>
  <c r="CI160" i="24"/>
  <c r="CH160" i="24"/>
  <c r="CG160" i="24"/>
  <c r="CF160" i="24"/>
  <c r="CE160" i="24"/>
  <c r="CD160" i="24"/>
  <c r="CC160" i="24"/>
  <c r="CB160" i="24"/>
  <c r="CA160" i="24"/>
  <c r="BZ160" i="24"/>
  <c r="BY160" i="24"/>
  <c r="BX160" i="24"/>
  <c r="BW160" i="24"/>
  <c r="BV160" i="24"/>
  <c r="BU160" i="24"/>
  <c r="CQ158" i="24"/>
  <c r="CP158" i="24"/>
  <c r="CO158" i="24"/>
  <c r="CN158" i="24"/>
  <c r="CM158" i="24"/>
  <c r="CL158" i="24"/>
  <c r="CK158" i="24"/>
  <c r="CJ158" i="24"/>
  <c r="CI158" i="24"/>
  <c r="CH158" i="24"/>
  <c r="CG158" i="24"/>
  <c r="CF158" i="24"/>
  <c r="CE158" i="24"/>
  <c r="CD158" i="24"/>
  <c r="CC158" i="24"/>
  <c r="CB158" i="24"/>
  <c r="CA158" i="24"/>
  <c r="BZ158" i="24"/>
  <c r="BY158" i="24"/>
  <c r="BX158" i="24"/>
  <c r="BW158" i="24"/>
  <c r="BV158" i="24"/>
  <c r="BU158" i="24"/>
  <c r="BT158" i="24"/>
  <c r="EZ236" i="24" l="1"/>
  <c r="X84" i="11"/>
  <c r="M235" i="13"/>
  <c r="M74" i="30"/>
  <c r="M73" i="30"/>
  <c r="M72" i="30"/>
  <c r="L24" i="13"/>
  <c r="O69" i="30"/>
  <c r="L56" i="30"/>
  <c r="L47" i="30"/>
  <c r="L46" i="30"/>
  <c r="L45" i="30"/>
  <c r="J43" i="30"/>
  <c r="L42" i="30"/>
  <c r="D42" i="30"/>
  <c r="L40" i="30"/>
  <c r="L39" i="30" s="1"/>
  <c r="H40" i="30"/>
  <c r="F40" i="30"/>
  <c r="L38" i="30"/>
  <c r="D38" i="30"/>
  <c r="L37" i="30"/>
  <c r="E37" i="30" s="1"/>
  <c r="M36" i="30"/>
  <c r="L35" i="30"/>
  <c r="M35" i="30" s="1"/>
  <c r="L34" i="30"/>
  <c r="L33" i="30"/>
  <c r="K33" i="30" s="1"/>
  <c r="L17" i="30"/>
  <c r="L16" i="30"/>
  <c r="L15" i="30"/>
  <c r="J13" i="30"/>
  <c r="L12" i="30"/>
  <c r="D12" i="30"/>
  <c r="H11" i="30"/>
  <c r="F11" i="30"/>
  <c r="L10" i="30"/>
  <c r="K10" i="30" s="1"/>
  <c r="M10" i="30" s="1"/>
  <c r="L9" i="30"/>
  <c r="D9" i="30"/>
  <c r="L8" i="30"/>
  <c r="E8" i="30" s="1"/>
  <c r="M7" i="30"/>
  <c r="L6" i="30"/>
  <c r="M6" i="30" s="1"/>
  <c r="L5" i="30"/>
  <c r="G5" i="30" s="1"/>
  <c r="L4" i="30"/>
  <c r="K4" i="30" s="1"/>
  <c r="K11" i="30" l="1"/>
  <c r="M9" i="30"/>
  <c r="I12" i="30"/>
  <c r="M12" i="30" s="1"/>
  <c r="L49" i="30"/>
  <c r="L50" i="30" s="1"/>
  <c r="M38" i="30"/>
  <c r="K40" i="30"/>
  <c r="M40" i="30" s="1"/>
  <c r="M70" i="30"/>
  <c r="L19" i="30"/>
  <c r="L20" i="30" s="1"/>
  <c r="M37" i="30"/>
  <c r="M8" i="30"/>
  <c r="M5" i="30"/>
  <c r="K39" i="30"/>
  <c r="M39" i="30" s="1"/>
  <c r="M33" i="30"/>
  <c r="I42" i="30"/>
  <c r="M42" i="30" s="1"/>
  <c r="K13" i="30"/>
  <c r="M4" i="30"/>
  <c r="L13" i="30"/>
  <c r="M76" i="30"/>
  <c r="M11" i="30"/>
  <c r="G34" i="30"/>
  <c r="M34" i="30" s="1"/>
  <c r="M78" i="30"/>
  <c r="L43" i="30"/>
  <c r="AN31" i="9" l="1"/>
  <c r="BH31" i="9" s="1"/>
  <c r="K43" i="30"/>
  <c r="M75" i="30"/>
  <c r="D113" i="19" l="1"/>
  <c r="D114" i="19"/>
  <c r="D115" i="19"/>
  <c r="DL115" i="19" s="1"/>
  <c r="DL152" i="19" s="1"/>
  <c r="DK115" i="19" l="1"/>
  <c r="DJ115" i="19"/>
  <c r="DI115" i="19"/>
  <c r="DK114" i="19"/>
  <c r="DK152" i="19" s="1"/>
  <c r="DJ114" i="19"/>
  <c r="DI114" i="19"/>
  <c r="DJ113" i="19"/>
  <c r="DJ152" i="19" s="1"/>
  <c r="DI113" i="19"/>
  <c r="DG115" i="19"/>
  <c r="DH115" i="19"/>
  <c r="DG114" i="19"/>
  <c r="DH114" i="19"/>
  <c r="DG113" i="19"/>
  <c r="DH113" i="19"/>
  <c r="DE115" i="19"/>
  <c r="DF115" i="19"/>
  <c r="DE114" i="19"/>
  <c r="DF114" i="19"/>
  <c r="DE113" i="19"/>
  <c r="DF113" i="19"/>
  <c r="DB115" i="19"/>
  <c r="DC115" i="19"/>
  <c r="DD115" i="19"/>
  <c r="CY115" i="19"/>
  <c r="CZ115" i="19"/>
  <c r="DA115" i="19"/>
  <c r="CV115" i="19"/>
  <c r="CW115" i="19"/>
  <c r="CX115" i="19"/>
  <c r="CS115" i="19"/>
  <c r="CU115" i="19"/>
  <c r="CT115" i="19"/>
  <c r="DC114" i="19"/>
  <c r="DB114" i="19"/>
  <c r="DD114" i="19"/>
  <c r="CZ114" i="19"/>
  <c r="DA114" i="19"/>
  <c r="CY114" i="19"/>
  <c r="CW114" i="19"/>
  <c r="CX114" i="19"/>
  <c r="CV114" i="19"/>
  <c r="CS114" i="19"/>
  <c r="CT114" i="19"/>
  <c r="CU114" i="19"/>
  <c r="DC113" i="19"/>
  <c r="DD113" i="19"/>
  <c r="DB113" i="19"/>
  <c r="CY113" i="19"/>
  <c r="CZ113" i="19"/>
  <c r="DA113" i="19"/>
  <c r="CV113" i="19"/>
  <c r="CW113" i="19"/>
  <c r="CX113" i="19"/>
  <c r="CU113" i="19"/>
  <c r="CS113" i="19"/>
  <c r="CT113" i="19"/>
  <c r="CQ114" i="19"/>
  <c r="CP114" i="19"/>
  <c r="CR114" i="19"/>
  <c r="CO114" i="19"/>
  <c r="CN114" i="19"/>
  <c r="CR115" i="19"/>
  <c r="CP115" i="19"/>
  <c r="CQ115" i="19"/>
  <c r="CO115" i="19"/>
  <c r="CP113" i="19"/>
  <c r="CQ113" i="19"/>
  <c r="CR113" i="19"/>
  <c r="CN113" i="19"/>
  <c r="CM113" i="19"/>
  <c r="CO113" i="19"/>
  <c r="K172" i="13"/>
  <c r="S46" i="10" l="1"/>
  <c r="S40" i="10"/>
  <c r="Z96" i="10" l="1"/>
  <c r="Z88" i="10"/>
  <c r="AD62" i="11" l="1"/>
  <c r="AG62" i="11" s="1"/>
  <c r="BT156" i="24" l="1"/>
  <c r="BU156" i="24"/>
  <c r="BV156" i="24"/>
  <c r="BW156" i="24"/>
  <c r="BX156" i="24"/>
  <c r="BY156" i="24"/>
  <c r="BZ156" i="24"/>
  <c r="CA156" i="24"/>
  <c r="CB156" i="24"/>
  <c r="CC156" i="24"/>
  <c r="CD156" i="24"/>
  <c r="CE156" i="24"/>
  <c r="CF156" i="24"/>
  <c r="CG156" i="24"/>
  <c r="CH156" i="24"/>
  <c r="CI156" i="24"/>
  <c r="CJ156" i="24"/>
  <c r="CK156" i="24"/>
  <c r="CL156" i="24"/>
  <c r="CM156" i="24"/>
  <c r="CN156" i="24"/>
  <c r="CO156" i="24"/>
  <c r="CP156" i="24"/>
  <c r="CQ156" i="24"/>
  <c r="BS155" i="24"/>
  <c r="BS156" i="24"/>
  <c r="BS154" i="24"/>
  <c r="BT154" i="24"/>
  <c r="BU154" i="24"/>
  <c r="BV154" i="24"/>
  <c r="BW154" i="24"/>
  <c r="BX154" i="24"/>
  <c r="BY154" i="24"/>
  <c r="BZ154" i="24"/>
  <c r="CA154" i="24"/>
  <c r="CB154" i="24"/>
  <c r="CC154" i="24"/>
  <c r="CD154" i="24"/>
  <c r="CE154" i="24"/>
  <c r="CF154" i="24"/>
  <c r="CG154" i="24"/>
  <c r="CH154" i="24"/>
  <c r="CI154" i="24"/>
  <c r="CJ154" i="24"/>
  <c r="CK154" i="24"/>
  <c r="CL154" i="24"/>
  <c r="CM154" i="24"/>
  <c r="CN154" i="24"/>
  <c r="CO154" i="24"/>
  <c r="CP154" i="24"/>
  <c r="CQ154" i="24"/>
  <c r="BR153" i="24"/>
  <c r="BR154" i="24"/>
  <c r="BR152" i="24"/>
  <c r="BS152" i="24"/>
  <c r="BT152" i="24"/>
  <c r="BU152" i="24"/>
  <c r="BV152" i="24"/>
  <c r="BW152" i="24"/>
  <c r="BX152" i="24"/>
  <c r="BY152" i="24"/>
  <c r="BZ152" i="24"/>
  <c r="CA152" i="24"/>
  <c r="CB152" i="24"/>
  <c r="CC152" i="24"/>
  <c r="CD152" i="24"/>
  <c r="CE152" i="24"/>
  <c r="CF152" i="24"/>
  <c r="CG152" i="24"/>
  <c r="CH152" i="24"/>
  <c r="CI152" i="24"/>
  <c r="CJ152" i="24"/>
  <c r="CK152" i="24"/>
  <c r="CL152" i="24"/>
  <c r="CM152" i="24"/>
  <c r="CN152" i="24"/>
  <c r="CO152" i="24"/>
  <c r="CP152" i="24"/>
  <c r="CQ152" i="24"/>
  <c r="BQ151" i="24"/>
  <c r="BQ152" i="24"/>
  <c r="CQ150" i="24"/>
  <c r="CP150" i="24"/>
  <c r="CO150" i="24"/>
  <c r="CN150" i="24"/>
  <c r="CM150" i="24"/>
  <c r="CL150" i="24"/>
  <c r="CK150" i="24"/>
  <c r="CJ150" i="24"/>
  <c r="CI150" i="24"/>
  <c r="CH150" i="24"/>
  <c r="CG150" i="24"/>
  <c r="CF150" i="24"/>
  <c r="CE150" i="24"/>
  <c r="CD150" i="24"/>
  <c r="CC150" i="24"/>
  <c r="CB150" i="24"/>
  <c r="CA150" i="24"/>
  <c r="BZ150" i="24"/>
  <c r="BY150" i="24"/>
  <c r="BX150" i="24"/>
  <c r="BW150" i="24"/>
  <c r="BV150" i="24"/>
  <c r="BU150" i="24"/>
  <c r="BT150" i="24"/>
  <c r="BS150" i="24"/>
  <c r="BR150" i="24"/>
  <c r="BQ150" i="24"/>
  <c r="BP150" i="24"/>
  <c r="BP149" i="24"/>
  <c r="CQ148" i="24"/>
  <c r="CP148" i="24"/>
  <c r="CO148" i="24"/>
  <c r="CN148" i="24"/>
  <c r="CM148" i="24"/>
  <c r="CL148" i="24"/>
  <c r="CK148" i="24"/>
  <c r="CJ148" i="24"/>
  <c r="CI148" i="24"/>
  <c r="CH148" i="24"/>
  <c r="CG148" i="24"/>
  <c r="CF148" i="24"/>
  <c r="CE148" i="24"/>
  <c r="CD148" i="24"/>
  <c r="CC148" i="24"/>
  <c r="CB148" i="24"/>
  <c r="CA148" i="24"/>
  <c r="BZ148" i="24"/>
  <c r="BY148" i="24"/>
  <c r="BX148" i="24"/>
  <c r="BW148" i="24"/>
  <c r="BV148" i="24"/>
  <c r="BU148" i="24"/>
  <c r="BT148" i="24"/>
  <c r="BS148" i="24"/>
  <c r="BR148" i="24"/>
  <c r="BQ148" i="24"/>
  <c r="BP148" i="24"/>
  <c r="BO148" i="24"/>
  <c r="BO147" i="24"/>
  <c r="CQ146" i="24"/>
  <c r="CP146" i="24"/>
  <c r="CO146" i="24"/>
  <c r="CN146" i="24"/>
  <c r="CM146" i="24"/>
  <c r="CL146" i="24"/>
  <c r="CK146" i="24"/>
  <c r="CJ146" i="24"/>
  <c r="CI146" i="24"/>
  <c r="CH146" i="24"/>
  <c r="CG146" i="24"/>
  <c r="CF146" i="24"/>
  <c r="CE146" i="24"/>
  <c r="CD146" i="24"/>
  <c r="CC146" i="24"/>
  <c r="CB146" i="24"/>
  <c r="CA146" i="24"/>
  <c r="BZ146" i="24"/>
  <c r="BY146" i="24"/>
  <c r="BX146" i="24"/>
  <c r="BW146" i="24"/>
  <c r="BV146" i="24"/>
  <c r="BU146" i="24"/>
  <c r="BT146" i="24"/>
  <c r="BS146" i="24"/>
  <c r="BR146" i="24"/>
  <c r="BQ146" i="24"/>
  <c r="BP146" i="24"/>
  <c r="BO146" i="24"/>
  <c r="BN146" i="24"/>
  <c r="CQ144" i="24"/>
  <c r="CP144" i="24"/>
  <c r="CO144" i="24"/>
  <c r="CN144" i="24"/>
  <c r="CM144" i="24"/>
  <c r="CL144" i="24"/>
  <c r="CK144" i="24"/>
  <c r="CJ144" i="24"/>
  <c r="CI144" i="24"/>
  <c r="CH144" i="24"/>
  <c r="CG144" i="24"/>
  <c r="CF144" i="24"/>
  <c r="CE144" i="24"/>
  <c r="CD144" i="24"/>
  <c r="CC144" i="24"/>
  <c r="CB144" i="24"/>
  <c r="CA144" i="24"/>
  <c r="BZ144" i="24"/>
  <c r="BY144" i="24"/>
  <c r="BX144" i="24"/>
  <c r="BW144" i="24"/>
  <c r="BV144" i="24"/>
  <c r="BU144" i="24"/>
  <c r="BT144" i="24"/>
  <c r="BS144" i="24"/>
  <c r="BR144" i="24"/>
  <c r="BQ144" i="24"/>
  <c r="BP144" i="24"/>
  <c r="BO144" i="24"/>
  <c r="BN144" i="24"/>
  <c r="BM144" i="24"/>
  <c r="BM143" i="24"/>
  <c r="CQ142" i="24"/>
  <c r="CP142" i="24"/>
  <c r="CO142" i="24"/>
  <c r="CN142" i="24"/>
  <c r="CM142" i="24"/>
  <c r="CL142" i="24"/>
  <c r="CK142" i="24"/>
  <c r="CJ142" i="24"/>
  <c r="CI142" i="24"/>
  <c r="CH142" i="24"/>
  <c r="CG142" i="24"/>
  <c r="CF142" i="24"/>
  <c r="CE142" i="24"/>
  <c r="CD142" i="24"/>
  <c r="CC142" i="24"/>
  <c r="CB142" i="24"/>
  <c r="CA142" i="24"/>
  <c r="BZ142" i="24"/>
  <c r="BY142" i="24"/>
  <c r="BX142" i="24"/>
  <c r="BW142" i="24"/>
  <c r="BV142" i="24"/>
  <c r="BU142" i="24"/>
  <c r="BT142" i="24"/>
  <c r="BS142" i="24"/>
  <c r="BR142" i="24"/>
  <c r="BQ142" i="24"/>
  <c r="BP142" i="24"/>
  <c r="BO142" i="24"/>
  <c r="BN142" i="24"/>
  <c r="BM142" i="24"/>
  <c r="BL142" i="24"/>
  <c r="BL141" i="24"/>
  <c r="CQ140" i="24"/>
  <c r="CP140" i="24"/>
  <c r="CO140" i="24"/>
  <c r="CN140" i="24"/>
  <c r="CM140" i="24"/>
  <c r="CL140" i="24"/>
  <c r="CK140" i="24"/>
  <c r="CJ140" i="24"/>
  <c r="CI140" i="24"/>
  <c r="CH140" i="24"/>
  <c r="CG140" i="24"/>
  <c r="CF140" i="24"/>
  <c r="CE140" i="24"/>
  <c r="CD140" i="24"/>
  <c r="CC140" i="24"/>
  <c r="CB140" i="24"/>
  <c r="CA140" i="24"/>
  <c r="BZ140" i="24"/>
  <c r="BY140" i="24"/>
  <c r="BX140" i="24"/>
  <c r="BW140" i="24"/>
  <c r="BV140" i="24"/>
  <c r="BU140" i="24"/>
  <c r="BT140" i="24"/>
  <c r="BS140" i="24"/>
  <c r="BR140" i="24"/>
  <c r="BQ140" i="24"/>
  <c r="BP140" i="24"/>
  <c r="BO140" i="24"/>
  <c r="BN140" i="24"/>
  <c r="BM140" i="24"/>
  <c r="BL140" i="24"/>
  <c r="BK140" i="24"/>
  <c r="BK139" i="24"/>
  <c r="CQ138" i="24"/>
  <c r="CP138" i="24"/>
  <c r="CO138" i="24"/>
  <c r="CN138" i="24"/>
  <c r="CM138" i="24"/>
  <c r="CL138" i="24"/>
  <c r="CK138" i="24"/>
  <c r="CJ138" i="24"/>
  <c r="CI138" i="24"/>
  <c r="CH138" i="24"/>
  <c r="CG138" i="24"/>
  <c r="CF138" i="24"/>
  <c r="CE138" i="24"/>
  <c r="CD138" i="24"/>
  <c r="CC138" i="24"/>
  <c r="CB138" i="24"/>
  <c r="CA138" i="24"/>
  <c r="BZ138" i="24"/>
  <c r="BY138" i="24"/>
  <c r="BX138" i="24"/>
  <c r="BW138" i="24"/>
  <c r="BV138" i="24"/>
  <c r="BU138" i="24"/>
  <c r="BT138" i="24"/>
  <c r="BS138" i="24"/>
  <c r="BR138" i="24"/>
  <c r="BQ138" i="24"/>
  <c r="BP138" i="24"/>
  <c r="BO138" i="24"/>
  <c r="BN138" i="24"/>
  <c r="BM138" i="24"/>
  <c r="BL138" i="24"/>
  <c r="BK138" i="24"/>
  <c r="BJ138" i="24"/>
  <c r="CQ136" i="24"/>
  <c r="CP136" i="24"/>
  <c r="CO136" i="24"/>
  <c r="CN136" i="24"/>
  <c r="CM136" i="24"/>
  <c r="CL136" i="24"/>
  <c r="CK136" i="24"/>
  <c r="CJ136" i="24"/>
  <c r="CI136" i="24"/>
  <c r="CH136" i="24"/>
  <c r="CG136" i="24"/>
  <c r="CF136" i="24"/>
  <c r="CE136" i="24"/>
  <c r="CD136" i="24"/>
  <c r="CC136" i="24"/>
  <c r="CB136" i="24"/>
  <c r="CA136" i="24"/>
  <c r="BZ136" i="24"/>
  <c r="BY136" i="24"/>
  <c r="BX136" i="24"/>
  <c r="BW136" i="24"/>
  <c r="BV136" i="24"/>
  <c r="BU136" i="24"/>
  <c r="BT136" i="24"/>
  <c r="BS136" i="24"/>
  <c r="BR136" i="24"/>
  <c r="BQ136" i="24"/>
  <c r="BP136" i="24"/>
  <c r="BO136" i="24"/>
  <c r="BN136" i="24"/>
  <c r="BM136" i="24"/>
  <c r="BL136" i="24"/>
  <c r="BK136" i="24"/>
  <c r="BJ136" i="24"/>
  <c r="BI136" i="24"/>
  <c r="CQ134" i="24"/>
  <c r="CP134" i="24"/>
  <c r="CO134" i="24"/>
  <c r="CN134" i="24"/>
  <c r="CM134" i="24"/>
  <c r="CL134" i="24"/>
  <c r="CK134" i="24"/>
  <c r="CJ134" i="24"/>
  <c r="CI134" i="24"/>
  <c r="CH134" i="24"/>
  <c r="CG134" i="24"/>
  <c r="CF134" i="24"/>
  <c r="CE134" i="24"/>
  <c r="CD134" i="24"/>
  <c r="CC134" i="24"/>
  <c r="CB134" i="24"/>
  <c r="CA134" i="24"/>
  <c r="BZ134" i="24"/>
  <c r="BY134" i="24"/>
  <c r="BX134" i="24"/>
  <c r="BW134" i="24"/>
  <c r="BV134" i="24"/>
  <c r="BU134" i="24"/>
  <c r="BT134" i="24"/>
  <c r="BS134" i="24"/>
  <c r="BR134" i="24"/>
  <c r="BQ134" i="24"/>
  <c r="BP134" i="24"/>
  <c r="BO134" i="24"/>
  <c r="BN134" i="24"/>
  <c r="BM134" i="24"/>
  <c r="BL134" i="24"/>
  <c r="BK134" i="24"/>
  <c r="BJ134" i="24"/>
  <c r="BI134" i="24"/>
  <c r="BH134" i="24"/>
  <c r="CQ132" i="24"/>
  <c r="CP132" i="24"/>
  <c r="CO132" i="24"/>
  <c r="CN132" i="24"/>
  <c r="CM132" i="24"/>
  <c r="CL132" i="24"/>
  <c r="CK132" i="24"/>
  <c r="CJ132" i="24"/>
  <c r="CI132" i="24"/>
  <c r="CH132" i="24"/>
  <c r="CG132" i="24"/>
  <c r="CF132" i="24"/>
  <c r="CE132" i="24"/>
  <c r="CD132" i="24"/>
  <c r="CC132" i="24"/>
  <c r="CB132" i="24"/>
  <c r="CA132" i="24"/>
  <c r="BZ132" i="24"/>
  <c r="BY132" i="24"/>
  <c r="BX132" i="24"/>
  <c r="BW132" i="24"/>
  <c r="BV132" i="24"/>
  <c r="BU132" i="24"/>
  <c r="BT132" i="24"/>
  <c r="BS132" i="24"/>
  <c r="BR132" i="24"/>
  <c r="BQ132" i="24"/>
  <c r="BP132" i="24"/>
  <c r="BO132" i="24"/>
  <c r="BN132" i="24"/>
  <c r="BM132" i="24"/>
  <c r="BL132" i="24"/>
  <c r="BK132" i="24"/>
  <c r="BJ132" i="24"/>
  <c r="BI132" i="24"/>
  <c r="BH132" i="24"/>
  <c r="BG132" i="24"/>
  <c r="CQ130" i="24"/>
  <c r="CP130" i="24"/>
  <c r="CO130" i="24"/>
  <c r="CN130" i="24"/>
  <c r="CM130" i="24"/>
  <c r="CL130" i="24"/>
  <c r="CK130" i="24"/>
  <c r="CJ130" i="24"/>
  <c r="CI130" i="24"/>
  <c r="CH130" i="24"/>
  <c r="CG130" i="24"/>
  <c r="CF130" i="24"/>
  <c r="CE130" i="24"/>
  <c r="CD130" i="24"/>
  <c r="CC130" i="24"/>
  <c r="CB130" i="24"/>
  <c r="CA130" i="24"/>
  <c r="BZ130" i="24"/>
  <c r="BY130" i="24"/>
  <c r="BX130" i="24"/>
  <c r="BW130" i="24"/>
  <c r="BV130" i="24"/>
  <c r="BU130" i="24"/>
  <c r="BT130" i="24"/>
  <c r="BS130" i="24"/>
  <c r="BR130" i="24"/>
  <c r="BQ130" i="24"/>
  <c r="BP130" i="24"/>
  <c r="BO130" i="24"/>
  <c r="BN130" i="24"/>
  <c r="BM130" i="24"/>
  <c r="BL130" i="24"/>
  <c r="BK130" i="24"/>
  <c r="BJ130" i="24"/>
  <c r="BI130" i="24"/>
  <c r="BH130" i="24"/>
  <c r="BG130" i="24"/>
  <c r="BF130" i="24"/>
  <c r="CQ128" i="24"/>
  <c r="CP128" i="24"/>
  <c r="CO128" i="24"/>
  <c r="CN128" i="24"/>
  <c r="CM128" i="24"/>
  <c r="CL128" i="24"/>
  <c r="CK128" i="24"/>
  <c r="CJ128" i="24"/>
  <c r="CI128" i="24"/>
  <c r="CH128" i="24"/>
  <c r="CG128" i="24"/>
  <c r="CF128" i="24"/>
  <c r="CE128" i="24"/>
  <c r="CD128" i="24"/>
  <c r="CC128" i="24"/>
  <c r="CB128" i="24"/>
  <c r="CA128" i="24"/>
  <c r="BZ128" i="24"/>
  <c r="BY128" i="24"/>
  <c r="BX128" i="24"/>
  <c r="BW128" i="24"/>
  <c r="BV128" i="24"/>
  <c r="BU128" i="24"/>
  <c r="BT128" i="24"/>
  <c r="BS128" i="24"/>
  <c r="BR128" i="24"/>
  <c r="BQ128" i="24"/>
  <c r="BP128" i="24"/>
  <c r="BO128" i="24"/>
  <c r="BN128" i="24"/>
  <c r="BM128" i="24"/>
  <c r="BL128" i="24"/>
  <c r="BK128" i="24"/>
  <c r="BJ128" i="24"/>
  <c r="BI128" i="24"/>
  <c r="BH128" i="24"/>
  <c r="BG128" i="24"/>
  <c r="BF128" i="24"/>
  <c r="BE128" i="24"/>
  <c r="CQ126" i="24"/>
  <c r="CP126" i="24"/>
  <c r="CO126" i="24"/>
  <c r="CN126" i="24"/>
  <c r="CM126" i="24"/>
  <c r="CL126" i="24"/>
  <c r="CK126" i="24"/>
  <c r="CJ126" i="24"/>
  <c r="CI126" i="24"/>
  <c r="CH126" i="24"/>
  <c r="CG126" i="24"/>
  <c r="CF126" i="24"/>
  <c r="CE126" i="24"/>
  <c r="CD126" i="24"/>
  <c r="CC126" i="24"/>
  <c r="CB126" i="24"/>
  <c r="CA126" i="24"/>
  <c r="BZ126" i="24"/>
  <c r="BY126" i="24"/>
  <c r="BX126" i="24"/>
  <c r="BW126" i="24"/>
  <c r="BV126" i="24"/>
  <c r="BU126" i="24"/>
  <c r="BT126" i="24"/>
  <c r="BS126" i="24"/>
  <c r="BR126" i="24"/>
  <c r="BQ126" i="24"/>
  <c r="BP126" i="24"/>
  <c r="BO126" i="24"/>
  <c r="BN126" i="24"/>
  <c r="BM126" i="24"/>
  <c r="BL126" i="24"/>
  <c r="BK126" i="24"/>
  <c r="BJ126" i="24"/>
  <c r="BI126" i="24"/>
  <c r="BH126" i="24"/>
  <c r="BG126" i="24"/>
  <c r="BF126" i="24"/>
  <c r="BE126" i="24"/>
  <c r="BD126" i="24"/>
  <c r="CQ124" i="24"/>
  <c r="CP124" i="24"/>
  <c r="CO124" i="24"/>
  <c r="CN124" i="24"/>
  <c r="CM124" i="24"/>
  <c r="CL124" i="24"/>
  <c r="CK124" i="24"/>
  <c r="CJ124" i="24"/>
  <c r="CI124" i="24"/>
  <c r="CH124" i="24"/>
  <c r="CG124" i="24"/>
  <c r="CF124" i="24"/>
  <c r="CE124" i="24"/>
  <c r="CD124" i="24"/>
  <c r="CC124" i="24"/>
  <c r="CB124" i="24"/>
  <c r="CA124" i="24"/>
  <c r="BZ124" i="24"/>
  <c r="BY124" i="24"/>
  <c r="BX124" i="24"/>
  <c r="BW124" i="24"/>
  <c r="BV124" i="24"/>
  <c r="BU124" i="24"/>
  <c r="BT124" i="24"/>
  <c r="BS124" i="24"/>
  <c r="BR124" i="24"/>
  <c r="BQ124" i="24"/>
  <c r="BP124" i="24"/>
  <c r="BO124" i="24"/>
  <c r="BN124" i="24"/>
  <c r="BM124" i="24"/>
  <c r="BL124" i="24"/>
  <c r="BK124" i="24"/>
  <c r="BJ124" i="24"/>
  <c r="BI124" i="24"/>
  <c r="BH124" i="24"/>
  <c r="BG124" i="24"/>
  <c r="BF124" i="24"/>
  <c r="BE124" i="24"/>
  <c r="BD124" i="24"/>
  <c r="BC124" i="24"/>
  <c r="CQ122" i="24"/>
  <c r="CP122" i="24"/>
  <c r="CO122" i="24"/>
  <c r="CN122" i="24"/>
  <c r="CM122" i="24"/>
  <c r="CL122" i="24"/>
  <c r="CK122" i="24"/>
  <c r="CJ122" i="24"/>
  <c r="CI122" i="24"/>
  <c r="CH122" i="24"/>
  <c r="CG122" i="24"/>
  <c r="CF122" i="24"/>
  <c r="CE122" i="24"/>
  <c r="CD122" i="24"/>
  <c r="CC122" i="24"/>
  <c r="CB122" i="24"/>
  <c r="CA122" i="24"/>
  <c r="BZ122" i="24"/>
  <c r="BY122" i="24"/>
  <c r="BX122" i="24"/>
  <c r="BW122" i="24"/>
  <c r="BV122" i="24"/>
  <c r="BU122" i="24"/>
  <c r="BT122" i="24"/>
  <c r="BS122" i="24"/>
  <c r="BR122" i="24"/>
  <c r="BQ122" i="24"/>
  <c r="BP122" i="24"/>
  <c r="BO122" i="24"/>
  <c r="BN122" i="24"/>
  <c r="BM122" i="24"/>
  <c r="BL122" i="24"/>
  <c r="BK122" i="24"/>
  <c r="BJ122" i="24"/>
  <c r="BI122" i="24"/>
  <c r="BH122" i="24"/>
  <c r="BG122" i="24"/>
  <c r="BF122" i="24"/>
  <c r="BE122" i="24"/>
  <c r="BD122" i="24"/>
  <c r="BC122" i="24"/>
  <c r="BB122" i="24"/>
  <c r="CQ120" i="24"/>
  <c r="CP120" i="24"/>
  <c r="CO120" i="24"/>
  <c r="CN120" i="24"/>
  <c r="CM120" i="24"/>
  <c r="CL120" i="24"/>
  <c r="CK120" i="24"/>
  <c r="CJ120" i="24"/>
  <c r="CI120" i="24"/>
  <c r="CH120" i="24"/>
  <c r="CG120" i="24"/>
  <c r="CF120" i="24"/>
  <c r="CE120" i="24"/>
  <c r="CD120" i="24"/>
  <c r="CC120" i="24"/>
  <c r="CB120" i="24"/>
  <c r="CA120" i="24"/>
  <c r="BZ120" i="24"/>
  <c r="BY120" i="24"/>
  <c r="BX120" i="24"/>
  <c r="BW120" i="24"/>
  <c r="BV120" i="24"/>
  <c r="BU120" i="24"/>
  <c r="BT120" i="24"/>
  <c r="BS120" i="24"/>
  <c r="BR120" i="24"/>
  <c r="BQ120" i="24"/>
  <c r="BP120" i="24"/>
  <c r="BO120" i="24"/>
  <c r="BN120" i="24"/>
  <c r="BM120" i="24"/>
  <c r="BL120" i="24"/>
  <c r="BK120" i="24"/>
  <c r="BJ120" i="24"/>
  <c r="BI120" i="24"/>
  <c r="BH120" i="24"/>
  <c r="BG120" i="24"/>
  <c r="BF120" i="24"/>
  <c r="BE120" i="24"/>
  <c r="BD120" i="24"/>
  <c r="BC120" i="24"/>
  <c r="BB120" i="24"/>
  <c r="BA120" i="24"/>
  <c r="CQ118" i="24"/>
  <c r="CP118" i="24"/>
  <c r="CO118" i="24"/>
  <c r="CN118" i="24"/>
  <c r="CM118" i="24"/>
  <c r="CL118" i="24"/>
  <c r="CK118" i="24"/>
  <c r="CJ118" i="24"/>
  <c r="CI118" i="24"/>
  <c r="CH118" i="24"/>
  <c r="CG118" i="24"/>
  <c r="CF118" i="24"/>
  <c r="CE118" i="24"/>
  <c r="CD118" i="24"/>
  <c r="CC118" i="24"/>
  <c r="CB118" i="24"/>
  <c r="CA118" i="24"/>
  <c r="BZ118" i="24"/>
  <c r="BY118" i="24"/>
  <c r="BX118" i="24"/>
  <c r="BW118" i="24"/>
  <c r="BV118" i="24"/>
  <c r="BU118" i="24"/>
  <c r="BT118" i="24"/>
  <c r="BS118" i="24"/>
  <c r="BR118" i="24"/>
  <c r="BQ118" i="24"/>
  <c r="BP118" i="24"/>
  <c r="BO118" i="24"/>
  <c r="BN118" i="24"/>
  <c r="BM118" i="24"/>
  <c r="BL118" i="24"/>
  <c r="BK118" i="24"/>
  <c r="BJ118" i="24"/>
  <c r="BI118" i="24"/>
  <c r="BH118" i="24"/>
  <c r="BG118" i="24"/>
  <c r="BF118" i="24"/>
  <c r="BE118" i="24"/>
  <c r="BD118" i="24"/>
  <c r="BC118" i="24"/>
  <c r="BB118" i="24"/>
  <c r="BA118" i="24"/>
  <c r="AZ118" i="24"/>
  <c r="CQ116" i="24"/>
  <c r="CP116" i="24"/>
  <c r="CO116" i="24"/>
  <c r="CN116" i="24"/>
  <c r="CM116" i="24"/>
  <c r="CL116" i="24"/>
  <c r="CK116" i="24"/>
  <c r="CJ116" i="24"/>
  <c r="CI116" i="24"/>
  <c r="CH116" i="24"/>
  <c r="CG116" i="24"/>
  <c r="CF116" i="24"/>
  <c r="CE116" i="24"/>
  <c r="CD116" i="24"/>
  <c r="CC116" i="24"/>
  <c r="CB116" i="24"/>
  <c r="CA116" i="24"/>
  <c r="BZ116" i="24"/>
  <c r="BY116" i="24"/>
  <c r="BX116" i="24"/>
  <c r="BW116" i="24"/>
  <c r="BV116" i="24"/>
  <c r="BU116" i="24"/>
  <c r="BT116" i="24"/>
  <c r="BS116" i="24"/>
  <c r="BR116" i="24"/>
  <c r="BQ116" i="24"/>
  <c r="BP116" i="24"/>
  <c r="BO116" i="24"/>
  <c r="BN116" i="24"/>
  <c r="BM116" i="24"/>
  <c r="BL116" i="24"/>
  <c r="BK116" i="24"/>
  <c r="BJ116" i="24"/>
  <c r="BI116" i="24"/>
  <c r="BH116" i="24"/>
  <c r="BG116" i="24"/>
  <c r="BF116" i="24"/>
  <c r="BE116" i="24"/>
  <c r="BD116" i="24"/>
  <c r="BC116" i="24"/>
  <c r="BB116" i="24"/>
  <c r="BA116" i="24"/>
  <c r="AZ116" i="24"/>
  <c r="AY116" i="24"/>
  <c r="CQ114" i="24"/>
  <c r="CP114" i="24"/>
  <c r="CO114" i="24"/>
  <c r="CN114" i="24"/>
  <c r="CM114" i="24"/>
  <c r="CL114" i="24"/>
  <c r="CK114" i="24"/>
  <c r="CJ114" i="24"/>
  <c r="CI114" i="24"/>
  <c r="CH114" i="24"/>
  <c r="CG114" i="24"/>
  <c r="CF114" i="24"/>
  <c r="CE114" i="24"/>
  <c r="CD114" i="24"/>
  <c r="CC114" i="24"/>
  <c r="CB114" i="24"/>
  <c r="CA114" i="24"/>
  <c r="BZ114" i="24"/>
  <c r="BY114" i="24"/>
  <c r="BX114" i="24"/>
  <c r="BW114" i="24"/>
  <c r="BV114" i="24"/>
  <c r="BU114" i="24"/>
  <c r="BT114" i="24"/>
  <c r="BS114" i="24"/>
  <c r="BR114" i="24"/>
  <c r="BQ114" i="24"/>
  <c r="BP114" i="24"/>
  <c r="BO114" i="24"/>
  <c r="BN114" i="24"/>
  <c r="BM114" i="24"/>
  <c r="BL114" i="24"/>
  <c r="BK114" i="24"/>
  <c r="BJ114" i="24"/>
  <c r="BI114" i="24"/>
  <c r="BH114" i="24"/>
  <c r="BG114" i="24"/>
  <c r="BF114" i="24"/>
  <c r="BE114" i="24"/>
  <c r="BD114" i="24"/>
  <c r="BC114" i="24"/>
  <c r="BB114" i="24"/>
  <c r="BA114" i="24"/>
  <c r="AZ114" i="24"/>
  <c r="AY114" i="24"/>
  <c r="AX114" i="24"/>
  <c r="CQ112" i="24"/>
  <c r="CP112" i="24"/>
  <c r="CO112" i="24"/>
  <c r="CN112" i="24"/>
  <c r="CM112" i="24"/>
  <c r="CL112" i="24"/>
  <c r="CK112" i="24"/>
  <c r="CJ112" i="24"/>
  <c r="CI112" i="24"/>
  <c r="CH112" i="24"/>
  <c r="CG112" i="24"/>
  <c r="CF112" i="24"/>
  <c r="CE112" i="24"/>
  <c r="CD112" i="24"/>
  <c r="CC112" i="24"/>
  <c r="CB112" i="24"/>
  <c r="CA112" i="24"/>
  <c r="BZ112" i="24"/>
  <c r="BY112" i="24"/>
  <c r="BX112" i="24"/>
  <c r="BW112" i="24"/>
  <c r="BV112" i="24"/>
  <c r="BU112" i="24"/>
  <c r="BT112" i="24"/>
  <c r="BS112" i="24"/>
  <c r="BR112" i="24"/>
  <c r="BQ112" i="24"/>
  <c r="BP112" i="24"/>
  <c r="BO112" i="24"/>
  <c r="BN112" i="24"/>
  <c r="BM112" i="24"/>
  <c r="BL112" i="24"/>
  <c r="BK112" i="24"/>
  <c r="BJ112" i="24"/>
  <c r="BI112" i="24"/>
  <c r="BH112" i="24"/>
  <c r="BG112" i="24"/>
  <c r="BF112" i="24"/>
  <c r="BE112" i="24"/>
  <c r="BD112" i="24"/>
  <c r="BC112" i="24"/>
  <c r="BB112" i="24"/>
  <c r="BA112" i="24"/>
  <c r="AZ112" i="24"/>
  <c r="AY112" i="24"/>
  <c r="AX112" i="24"/>
  <c r="AW112" i="24"/>
  <c r="CQ110" i="24"/>
  <c r="CP110" i="24"/>
  <c r="CO110" i="24"/>
  <c r="CN110" i="24"/>
  <c r="CM110" i="24"/>
  <c r="CL110" i="24"/>
  <c r="CK110" i="24"/>
  <c r="CJ110" i="24"/>
  <c r="CI110" i="24"/>
  <c r="CH110" i="24"/>
  <c r="CG110" i="24"/>
  <c r="CF110" i="24"/>
  <c r="CE110" i="24"/>
  <c r="CD110" i="24"/>
  <c r="CC110" i="24"/>
  <c r="CB110" i="24"/>
  <c r="CA110" i="24"/>
  <c r="BZ110" i="24"/>
  <c r="BY110" i="24"/>
  <c r="BX110" i="24"/>
  <c r="BW110" i="24"/>
  <c r="BV110" i="24"/>
  <c r="BU110" i="24"/>
  <c r="BT110" i="24"/>
  <c r="BS110" i="24"/>
  <c r="BR110" i="24"/>
  <c r="BQ110" i="24"/>
  <c r="BP110" i="24"/>
  <c r="BO110" i="24"/>
  <c r="BN110" i="24"/>
  <c r="BM110" i="24"/>
  <c r="BL110" i="24"/>
  <c r="BK110" i="24"/>
  <c r="BJ110" i="24"/>
  <c r="BI110" i="24"/>
  <c r="BH110" i="24"/>
  <c r="BG110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CQ108" i="24"/>
  <c r="CP108" i="24"/>
  <c r="CO108" i="24"/>
  <c r="CN108" i="24"/>
  <c r="CM108" i="24"/>
  <c r="CL108" i="24"/>
  <c r="CK108" i="24"/>
  <c r="CJ108" i="24"/>
  <c r="CI108" i="24"/>
  <c r="CH108" i="24"/>
  <c r="CG108" i="24"/>
  <c r="CF108" i="24"/>
  <c r="CE108" i="24"/>
  <c r="CD108" i="24"/>
  <c r="CC108" i="24"/>
  <c r="CB108" i="24"/>
  <c r="CA108" i="24"/>
  <c r="BZ108" i="24"/>
  <c r="BY108" i="24"/>
  <c r="BX108" i="24"/>
  <c r="BW108" i="24"/>
  <c r="BV108" i="24"/>
  <c r="BU108" i="24"/>
  <c r="BT108" i="24"/>
  <c r="BS108" i="24"/>
  <c r="BR108" i="24"/>
  <c r="BQ108" i="24"/>
  <c r="BP108" i="24"/>
  <c r="BO108" i="24"/>
  <c r="BN108" i="24"/>
  <c r="BM108" i="24"/>
  <c r="BL108" i="24"/>
  <c r="BK108" i="24"/>
  <c r="BJ108" i="24"/>
  <c r="BI108" i="24"/>
  <c r="BH108" i="24"/>
  <c r="BG108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CQ106" i="24"/>
  <c r="CP106" i="24"/>
  <c r="CO106" i="24"/>
  <c r="CN106" i="24"/>
  <c r="CM106" i="24"/>
  <c r="CL106" i="24"/>
  <c r="CK106" i="24"/>
  <c r="CJ106" i="24"/>
  <c r="CI106" i="24"/>
  <c r="CH106" i="24"/>
  <c r="CG106" i="24"/>
  <c r="CF106" i="24"/>
  <c r="CE106" i="24"/>
  <c r="CD106" i="24"/>
  <c r="CC106" i="24"/>
  <c r="CB106" i="24"/>
  <c r="CA106" i="24"/>
  <c r="BZ106" i="24"/>
  <c r="BY106" i="24"/>
  <c r="BX106" i="24"/>
  <c r="BW106" i="24"/>
  <c r="BV106" i="24"/>
  <c r="BU106" i="24"/>
  <c r="BT106" i="24"/>
  <c r="BS106" i="24"/>
  <c r="BR106" i="24"/>
  <c r="BQ106" i="24"/>
  <c r="BP106" i="24"/>
  <c r="BO106" i="24"/>
  <c r="BN106" i="24"/>
  <c r="BM106" i="24"/>
  <c r="BL106" i="24"/>
  <c r="BK106" i="24"/>
  <c r="BJ106" i="24"/>
  <c r="BI106" i="24"/>
  <c r="BH106" i="24"/>
  <c r="BG106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CQ104" i="24"/>
  <c r="CP104" i="24"/>
  <c r="CO104" i="24"/>
  <c r="CN104" i="24"/>
  <c r="CM104" i="24"/>
  <c r="CL104" i="24"/>
  <c r="CK104" i="24"/>
  <c r="CJ104" i="24"/>
  <c r="CI104" i="24"/>
  <c r="CH104" i="24"/>
  <c r="CG104" i="24"/>
  <c r="CF104" i="24"/>
  <c r="CE104" i="24"/>
  <c r="CD104" i="24"/>
  <c r="CC104" i="24"/>
  <c r="CB104" i="24"/>
  <c r="CA104" i="24"/>
  <c r="BZ104" i="24"/>
  <c r="BY104" i="24"/>
  <c r="BX104" i="24"/>
  <c r="BW104" i="24"/>
  <c r="BV104" i="24"/>
  <c r="BU104" i="24"/>
  <c r="BT104" i="24"/>
  <c r="BS104" i="24"/>
  <c r="BR104" i="24"/>
  <c r="BQ104" i="24"/>
  <c r="BP104" i="24"/>
  <c r="BO104" i="24"/>
  <c r="BN104" i="24"/>
  <c r="BM104" i="24"/>
  <c r="BL104" i="24"/>
  <c r="BK104" i="24"/>
  <c r="BJ104" i="24"/>
  <c r="BI104" i="24"/>
  <c r="BH104" i="24"/>
  <c r="BG104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1" i="24"/>
  <c r="AQ99" i="24"/>
  <c r="AP97" i="24"/>
  <c r="AO95" i="24"/>
  <c r="AN93" i="24"/>
  <c r="AM91" i="24"/>
  <c r="AL89" i="24"/>
  <c r="AK87" i="24"/>
  <c r="AJ85" i="24"/>
  <c r="AI83" i="24"/>
  <c r="AH81" i="24"/>
  <c r="T53" i="24"/>
  <c r="CP37" i="24"/>
  <c r="CO37" i="24"/>
  <c r="CN37" i="24"/>
  <c r="CM37" i="24"/>
  <c r="CL37" i="24"/>
  <c r="CK37" i="24"/>
  <c r="CJ37" i="24"/>
  <c r="CI37" i="24"/>
  <c r="CH37" i="24"/>
  <c r="CG37" i="24"/>
  <c r="CF37" i="24"/>
  <c r="CE37" i="24"/>
  <c r="CD37" i="24"/>
  <c r="CC37" i="24"/>
  <c r="CB37" i="24"/>
  <c r="CA37" i="24"/>
  <c r="BZ37" i="24"/>
  <c r="BY37" i="24"/>
  <c r="BX37" i="24"/>
  <c r="BW37" i="24"/>
  <c r="BV37" i="24"/>
  <c r="BU37" i="24"/>
  <c r="BT37" i="24"/>
  <c r="BS37" i="24"/>
  <c r="BR37" i="24"/>
  <c r="BQ37" i="24"/>
  <c r="BP37" i="24"/>
  <c r="BO37" i="24"/>
  <c r="BN37" i="24"/>
  <c r="BM37" i="24"/>
  <c r="BL37" i="24"/>
  <c r="BK37" i="24"/>
  <c r="BJ37" i="24"/>
  <c r="BI37" i="24"/>
  <c r="BH37" i="24"/>
  <c r="BG37" i="24"/>
  <c r="BF37" i="24"/>
  <c r="BE37" i="24"/>
  <c r="BD37" i="24"/>
  <c r="BC37" i="24"/>
  <c r="BB37" i="24"/>
  <c r="BA37" i="24"/>
  <c r="AZ37" i="24"/>
  <c r="AY37" i="24"/>
  <c r="AX37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H102" i="24"/>
  <c r="H100" i="24"/>
  <c r="H98" i="24"/>
  <c r="H96" i="24"/>
  <c r="H94" i="24"/>
  <c r="H92" i="24"/>
  <c r="H90" i="24"/>
  <c r="H88" i="24"/>
  <c r="H86" i="24"/>
  <c r="H84" i="24"/>
  <c r="H82" i="24"/>
  <c r="H80" i="24"/>
  <c r="H78" i="24"/>
  <c r="H76" i="24"/>
  <c r="H74" i="24"/>
  <c r="H72" i="24"/>
  <c r="H70" i="24"/>
  <c r="H68" i="24"/>
  <c r="H66" i="24"/>
  <c r="H64" i="24"/>
  <c r="H62" i="24"/>
  <c r="DC62" i="24" s="1"/>
  <c r="H60" i="24"/>
  <c r="H58" i="24"/>
  <c r="H56" i="24"/>
  <c r="H54" i="24"/>
  <c r="H52" i="24"/>
  <c r="H50" i="24"/>
  <c r="H48" i="24"/>
  <c r="CV48" i="24" s="1"/>
  <c r="H46" i="24"/>
  <c r="H44" i="24"/>
  <c r="H42" i="24"/>
  <c r="H40" i="24"/>
  <c r="H38" i="24"/>
  <c r="CJ39" i="24" s="1"/>
  <c r="H34" i="24"/>
  <c r="K35" i="24" s="1"/>
  <c r="L35" i="24" s="1"/>
  <c r="M35" i="24" s="1"/>
  <c r="N35" i="24" s="1"/>
  <c r="O35" i="24" s="1"/>
  <c r="P35" i="24" s="1"/>
  <c r="Q35" i="24" s="1"/>
  <c r="R35" i="24" s="1"/>
  <c r="S35" i="24" s="1"/>
  <c r="T35" i="24" s="1"/>
  <c r="U35" i="24" s="1"/>
  <c r="V35" i="24" s="1"/>
  <c r="W35" i="24" s="1"/>
  <c r="X35" i="24" s="1"/>
  <c r="Y35" i="24" s="1"/>
  <c r="Z35" i="24" s="1"/>
  <c r="AA35" i="24" s="1"/>
  <c r="AB35" i="24" s="1"/>
  <c r="AC35" i="24" s="1"/>
  <c r="AD35" i="24" s="1"/>
  <c r="AE35" i="24" s="1"/>
  <c r="AF35" i="24" s="1"/>
  <c r="AG35" i="24" s="1"/>
  <c r="AH35" i="24" s="1"/>
  <c r="AI35" i="24" s="1"/>
  <c r="AJ35" i="24" s="1"/>
  <c r="AK35" i="24" s="1"/>
  <c r="AL35" i="24" s="1"/>
  <c r="AM35" i="24" s="1"/>
  <c r="AN35" i="24" s="1"/>
  <c r="AO35" i="24" s="1"/>
  <c r="AP35" i="24" s="1"/>
  <c r="AQ35" i="24" s="1"/>
  <c r="AR35" i="24" s="1"/>
  <c r="AS35" i="24" s="1"/>
  <c r="AT35" i="24" s="1"/>
  <c r="AU35" i="24" s="1"/>
  <c r="AV35" i="24" s="1"/>
  <c r="AW35" i="24" s="1"/>
  <c r="AX35" i="24" s="1"/>
  <c r="AY35" i="24" s="1"/>
  <c r="AZ35" i="24" s="1"/>
  <c r="BA35" i="24" s="1"/>
  <c r="BB35" i="24" s="1"/>
  <c r="BC35" i="24" s="1"/>
  <c r="BD35" i="24" s="1"/>
  <c r="BE35" i="24" s="1"/>
  <c r="BF35" i="24" s="1"/>
  <c r="BG35" i="24" s="1"/>
  <c r="BH35" i="24" s="1"/>
  <c r="BI35" i="24" s="1"/>
  <c r="BJ35" i="24" s="1"/>
  <c r="BK35" i="24" s="1"/>
  <c r="BL35" i="24" s="1"/>
  <c r="BM35" i="24" s="1"/>
  <c r="BN35" i="24" s="1"/>
  <c r="BO35" i="24" s="1"/>
  <c r="BP35" i="24" s="1"/>
  <c r="BQ35" i="24" s="1"/>
  <c r="BR35" i="24" s="1"/>
  <c r="BS35" i="24" s="1"/>
  <c r="BT35" i="24" s="1"/>
  <c r="BU35" i="24" s="1"/>
  <c r="BV35" i="24" s="1"/>
  <c r="BW35" i="24" s="1"/>
  <c r="BX35" i="24" s="1"/>
  <c r="BY35" i="24" s="1"/>
  <c r="BZ35" i="24" s="1"/>
  <c r="CA35" i="24" s="1"/>
  <c r="CB35" i="24" s="1"/>
  <c r="CC35" i="24" s="1"/>
  <c r="CD35" i="24" s="1"/>
  <c r="CE35" i="24" s="1"/>
  <c r="CF35" i="24" s="1"/>
  <c r="CG35" i="24" s="1"/>
  <c r="CH35" i="24" s="1"/>
  <c r="CI35" i="24" s="1"/>
  <c r="CJ35" i="24" s="1"/>
  <c r="CK35" i="24" s="1"/>
  <c r="CL35" i="24" s="1"/>
  <c r="CM35" i="24" s="1"/>
  <c r="CN35" i="24" s="1"/>
  <c r="K59" i="11"/>
  <c r="DE96" i="24" l="1"/>
  <c r="DD96" i="24"/>
  <c r="DC96" i="24"/>
  <c r="DE82" i="24"/>
  <c r="DD82" i="24"/>
  <c r="DC82" i="24"/>
  <c r="DE84" i="24"/>
  <c r="DD84" i="24"/>
  <c r="DC84" i="24"/>
  <c r="DE68" i="24"/>
  <c r="DD68" i="24"/>
  <c r="DC68" i="24"/>
  <c r="DE70" i="24"/>
  <c r="DD70" i="24"/>
  <c r="DC70" i="24"/>
  <c r="DE98" i="24"/>
  <c r="DD98" i="24"/>
  <c r="DC98" i="24"/>
  <c r="DE72" i="24"/>
  <c r="DD72" i="24"/>
  <c r="DC72" i="24"/>
  <c r="DE100" i="24"/>
  <c r="DD100" i="24"/>
  <c r="DC100" i="24"/>
  <c r="DE74" i="24"/>
  <c r="DD74" i="24"/>
  <c r="DC74" i="24"/>
  <c r="DC236" i="24" s="1"/>
  <c r="DE102" i="24"/>
  <c r="DD102" i="24"/>
  <c r="DC102" i="24"/>
  <c r="DE76" i="24"/>
  <c r="DD76" i="24"/>
  <c r="DC76" i="24"/>
  <c r="DE78" i="24"/>
  <c r="DD78" i="24"/>
  <c r="DC78" i="24"/>
  <c r="DE86" i="24"/>
  <c r="DD86" i="24"/>
  <c r="DC86" i="24"/>
  <c r="DE90" i="24"/>
  <c r="DD90" i="24"/>
  <c r="DC90" i="24"/>
  <c r="DE80" i="24"/>
  <c r="DD80" i="24"/>
  <c r="DC80" i="24"/>
  <c r="DD64" i="24"/>
  <c r="DC64" i="24"/>
  <c r="DE92" i="24"/>
  <c r="DD92" i="24"/>
  <c r="DC92" i="24"/>
  <c r="DE88" i="24"/>
  <c r="DD88" i="24"/>
  <c r="DC88" i="24"/>
  <c r="DE66" i="24"/>
  <c r="DD66" i="24"/>
  <c r="DC66" i="24"/>
  <c r="DE94" i="24"/>
  <c r="DD94" i="24"/>
  <c r="DC94" i="24"/>
  <c r="DB60" i="24"/>
  <c r="DA60" i="24"/>
  <c r="CZ60" i="24"/>
  <c r="CY60" i="24"/>
  <c r="CX60" i="24"/>
  <c r="CW60" i="24"/>
  <c r="CV60" i="24"/>
  <c r="DB76" i="24"/>
  <c r="DA76" i="24"/>
  <c r="CZ76" i="24"/>
  <c r="CY76" i="24"/>
  <c r="CX76" i="24"/>
  <c r="CW76" i="24"/>
  <c r="CV76" i="24"/>
  <c r="DB92" i="24"/>
  <c r="DA92" i="24"/>
  <c r="CZ92" i="24"/>
  <c r="CY92" i="24"/>
  <c r="CX92" i="24"/>
  <c r="CW92" i="24"/>
  <c r="CV92" i="24"/>
  <c r="DB62" i="24"/>
  <c r="DA62" i="24"/>
  <c r="CZ62" i="24"/>
  <c r="CY62" i="24"/>
  <c r="CX62" i="24"/>
  <c r="CW62" i="24"/>
  <c r="CV62" i="24"/>
  <c r="DB64" i="24"/>
  <c r="DA64" i="24"/>
  <c r="CZ64" i="24"/>
  <c r="CY64" i="24"/>
  <c r="CX64" i="24"/>
  <c r="CW64" i="24"/>
  <c r="CV64" i="24"/>
  <c r="DB80" i="24"/>
  <c r="DA80" i="24"/>
  <c r="CZ80" i="24"/>
  <c r="CY80" i="24"/>
  <c r="CX80" i="24"/>
  <c r="CW80" i="24"/>
  <c r="CV80" i="24"/>
  <c r="DB96" i="24"/>
  <c r="DA96" i="24"/>
  <c r="CZ96" i="24"/>
  <c r="CY96" i="24"/>
  <c r="CX96" i="24"/>
  <c r="CW96" i="24"/>
  <c r="CV96" i="24"/>
  <c r="DB94" i="24"/>
  <c r="DA94" i="24"/>
  <c r="CZ94" i="24"/>
  <c r="CY94" i="24"/>
  <c r="CX94" i="24"/>
  <c r="CW94" i="24"/>
  <c r="CV94" i="24"/>
  <c r="CW50" i="24"/>
  <c r="CV50" i="24"/>
  <c r="DB66" i="24"/>
  <c r="DA66" i="24"/>
  <c r="CZ66" i="24"/>
  <c r="CY66" i="24"/>
  <c r="CX66" i="24"/>
  <c r="CW66" i="24"/>
  <c r="CV66" i="24"/>
  <c r="DB82" i="24"/>
  <c r="DA82" i="24"/>
  <c r="CZ82" i="24"/>
  <c r="CY82" i="24"/>
  <c r="CX82" i="24"/>
  <c r="CW82" i="24"/>
  <c r="CV82" i="24"/>
  <c r="DB98" i="24"/>
  <c r="DA98" i="24"/>
  <c r="CZ98" i="24"/>
  <c r="CY98" i="24"/>
  <c r="CX98" i="24"/>
  <c r="CW98" i="24"/>
  <c r="CV98" i="24"/>
  <c r="CX52" i="24"/>
  <c r="CW52" i="24"/>
  <c r="CV52" i="24"/>
  <c r="DB68" i="24"/>
  <c r="DA68" i="24"/>
  <c r="CZ68" i="24"/>
  <c r="CY68" i="24"/>
  <c r="CX68" i="24"/>
  <c r="CW68" i="24"/>
  <c r="CV68" i="24"/>
  <c r="DB84" i="24"/>
  <c r="DA84" i="24"/>
  <c r="CZ84" i="24"/>
  <c r="CY84" i="24"/>
  <c r="CX84" i="24"/>
  <c r="CW84" i="24"/>
  <c r="CV84" i="24"/>
  <c r="DB100" i="24"/>
  <c r="DA100" i="24"/>
  <c r="CZ100" i="24"/>
  <c r="CY100" i="24"/>
  <c r="CX100" i="24"/>
  <c r="CW100" i="24"/>
  <c r="CV100" i="24"/>
  <c r="CY54" i="24"/>
  <c r="CX54" i="24"/>
  <c r="CW54" i="24"/>
  <c r="CV54" i="24"/>
  <c r="DB70" i="24"/>
  <c r="DA70" i="24"/>
  <c r="CZ70" i="24"/>
  <c r="CY70" i="24"/>
  <c r="CX70" i="24"/>
  <c r="CW70" i="24"/>
  <c r="CV70" i="24"/>
  <c r="DB86" i="24"/>
  <c r="DA86" i="24"/>
  <c r="CZ86" i="24"/>
  <c r="CY86" i="24"/>
  <c r="CX86" i="24"/>
  <c r="CW86" i="24"/>
  <c r="CV86" i="24"/>
  <c r="DB102" i="24"/>
  <c r="DA102" i="24"/>
  <c r="CZ102" i="24"/>
  <c r="CY102" i="24"/>
  <c r="CX102" i="24"/>
  <c r="CW102" i="24"/>
  <c r="CV102" i="24"/>
  <c r="DB78" i="24"/>
  <c r="DA78" i="24"/>
  <c r="CZ78" i="24"/>
  <c r="CY78" i="24"/>
  <c r="CX78" i="24"/>
  <c r="CW78" i="24"/>
  <c r="CV78" i="24"/>
  <c r="CZ56" i="24"/>
  <c r="CY56" i="24"/>
  <c r="CX56" i="24"/>
  <c r="CW56" i="24"/>
  <c r="CV56" i="24"/>
  <c r="DB72" i="24"/>
  <c r="DA72" i="24"/>
  <c r="CZ72" i="24"/>
  <c r="CY72" i="24"/>
  <c r="CX72" i="24"/>
  <c r="CW72" i="24"/>
  <c r="CV72" i="24"/>
  <c r="DB88" i="24"/>
  <c r="DA88" i="24"/>
  <c r="CZ88" i="24"/>
  <c r="CY88" i="24"/>
  <c r="CX88" i="24"/>
  <c r="CW88" i="24"/>
  <c r="CV88" i="24"/>
  <c r="DA58" i="24"/>
  <c r="CZ58" i="24"/>
  <c r="CY58" i="24"/>
  <c r="CX58" i="24"/>
  <c r="CW58" i="24"/>
  <c r="CV58" i="24"/>
  <c r="DB74" i="24"/>
  <c r="DA74" i="24"/>
  <c r="CZ74" i="24"/>
  <c r="CY74" i="24"/>
  <c r="CX74" i="24"/>
  <c r="CW74" i="24"/>
  <c r="CV74" i="24"/>
  <c r="DB90" i="24"/>
  <c r="DA90" i="24"/>
  <c r="CZ90" i="24"/>
  <c r="CY90" i="24"/>
  <c r="CX90" i="24"/>
  <c r="CW90" i="24"/>
  <c r="CV90" i="24"/>
  <c r="BR60" i="24"/>
  <c r="CU60" i="24"/>
  <c r="CT60" i="24"/>
  <c r="CS60" i="24"/>
  <c r="CR60" i="24"/>
  <c r="BY46" i="24"/>
  <c r="CU46" i="24"/>
  <c r="CT46" i="24"/>
  <c r="CS46" i="24"/>
  <c r="CR46" i="24"/>
  <c r="CU62" i="24"/>
  <c r="CT62" i="24"/>
  <c r="CS62" i="24"/>
  <c r="CR62" i="24"/>
  <c r="CU78" i="24"/>
  <c r="CT78" i="24"/>
  <c r="CS78" i="24"/>
  <c r="CR78" i="24"/>
  <c r="CU94" i="24"/>
  <c r="CT94" i="24"/>
  <c r="CS94" i="24"/>
  <c r="CR94" i="24"/>
  <c r="CU80" i="24"/>
  <c r="CT80" i="24"/>
  <c r="CS80" i="24"/>
  <c r="CR80" i="24"/>
  <c r="CA50" i="24"/>
  <c r="CU50" i="24"/>
  <c r="CT50" i="24"/>
  <c r="CS50" i="24"/>
  <c r="CR50" i="24"/>
  <c r="CU66" i="24"/>
  <c r="CT66" i="24"/>
  <c r="CS66" i="24"/>
  <c r="CR66" i="24"/>
  <c r="CU82" i="24"/>
  <c r="CT82" i="24"/>
  <c r="CS82" i="24"/>
  <c r="CR82" i="24"/>
  <c r="CU98" i="24"/>
  <c r="CT98" i="24"/>
  <c r="CS98" i="24"/>
  <c r="CR98" i="24"/>
  <c r="CF52" i="24"/>
  <c r="CU52" i="24"/>
  <c r="CT52" i="24"/>
  <c r="CS52" i="24"/>
  <c r="CR52" i="24"/>
  <c r="CA68" i="24"/>
  <c r="CU68" i="24"/>
  <c r="CT68" i="24"/>
  <c r="CS68" i="24"/>
  <c r="CR68" i="24"/>
  <c r="CU84" i="24"/>
  <c r="CT84" i="24"/>
  <c r="CS84" i="24"/>
  <c r="CR84" i="24"/>
  <c r="CU100" i="24"/>
  <c r="CT100" i="24"/>
  <c r="CS100" i="24"/>
  <c r="CR100" i="24"/>
  <c r="CU92" i="24"/>
  <c r="CT92" i="24"/>
  <c r="CS92" i="24"/>
  <c r="CR92" i="24"/>
  <c r="CU96" i="24"/>
  <c r="CT96" i="24"/>
  <c r="CS96" i="24"/>
  <c r="CR96" i="24"/>
  <c r="CJ54" i="24"/>
  <c r="CU54" i="24"/>
  <c r="CT54" i="24"/>
  <c r="CS54" i="24"/>
  <c r="CR54" i="24"/>
  <c r="CU70" i="24"/>
  <c r="CT70" i="24"/>
  <c r="CS70" i="24"/>
  <c r="CR70" i="24"/>
  <c r="CU86" i="24"/>
  <c r="CT86" i="24"/>
  <c r="CS86" i="24"/>
  <c r="CR86" i="24"/>
  <c r="CU102" i="24"/>
  <c r="CT102" i="24"/>
  <c r="CS102" i="24"/>
  <c r="CR102" i="24"/>
  <c r="CQ44" i="24"/>
  <c r="CT44" i="24"/>
  <c r="CS44" i="24"/>
  <c r="CR44" i="24"/>
  <c r="BA64" i="24"/>
  <c r="CU64" i="24"/>
  <c r="CT64" i="24"/>
  <c r="CS64" i="24"/>
  <c r="CR64" i="24"/>
  <c r="CO40" i="24"/>
  <c r="CR40" i="24"/>
  <c r="CG56" i="24"/>
  <c r="CU56" i="24"/>
  <c r="CT56" i="24"/>
  <c r="CS56" i="24"/>
  <c r="CR56" i="24"/>
  <c r="CU72" i="24"/>
  <c r="CT72" i="24"/>
  <c r="CS72" i="24"/>
  <c r="CR72" i="24"/>
  <c r="CU88" i="24"/>
  <c r="CT88" i="24"/>
  <c r="CS88" i="24"/>
  <c r="CR88" i="24"/>
  <c r="BO76" i="24"/>
  <c r="CU76" i="24"/>
  <c r="CT76" i="24"/>
  <c r="CS76" i="24"/>
  <c r="CR76" i="24"/>
  <c r="BF48" i="24"/>
  <c r="CU48" i="24"/>
  <c r="CT48" i="24"/>
  <c r="CS48" i="24"/>
  <c r="CR48" i="24"/>
  <c r="CL42" i="24"/>
  <c r="CS42" i="24"/>
  <c r="CR42" i="24"/>
  <c r="BV58" i="24"/>
  <c r="CU58" i="24"/>
  <c r="CT58" i="24"/>
  <c r="CS58" i="24"/>
  <c r="CR58" i="24"/>
  <c r="CU74" i="24"/>
  <c r="CT74" i="24"/>
  <c r="CS74" i="24"/>
  <c r="CR74" i="24"/>
  <c r="CU90" i="24"/>
  <c r="CT90" i="24"/>
  <c r="CS90" i="24"/>
  <c r="CR90" i="24"/>
  <c r="BW39" i="24"/>
  <c r="BV44" i="24"/>
  <c r="P40" i="24"/>
  <c r="W46" i="24"/>
  <c r="V40" i="24"/>
  <c r="AC46" i="24"/>
  <c r="AI39" i="24"/>
  <c r="AV40" i="24"/>
  <c r="BI46" i="24"/>
  <c r="AO39" i="24"/>
  <c r="BB40" i="24"/>
  <c r="CG46" i="24"/>
  <c r="AQ39" i="24"/>
  <c r="CB40" i="24"/>
  <c r="BO39" i="24"/>
  <c r="CH40" i="24"/>
  <c r="CB54" i="24"/>
  <c r="BU39" i="24"/>
  <c r="AP44" i="24"/>
  <c r="X40" i="24"/>
  <c r="BD40" i="24"/>
  <c r="CJ40" i="24"/>
  <c r="AK42" i="24"/>
  <c r="BQ42" i="24"/>
  <c r="R44" i="24"/>
  <c r="AX44" i="24"/>
  <c r="CD44" i="24"/>
  <c r="AE46" i="24"/>
  <c r="CO46" i="24"/>
  <c r="BI56" i="24"/>
  <c r="AC42" i="24"/>
  <c r="CB44" i="24"/>
  <c r="Q39" i="24"/>
  <c r="AW39" i="24"/>
  <c r="CC39" i="24"/>
  <c r="AD40" i="24"/>
  <c r="BJ40" i="24"/>
  <c r="CP40" i="24"/>
  <c r="AQ42" i="24"/>
  <c r="BW42" i="24"/>
  <c r="X44" i="24"/>
  <c r="BD44" i="24"/>
  <c r="CJ44" i="24"/>
  <c r="AK46" i="24"/>
  <c r="BK50" i="24"/>
  <c r="BY56" i="24"/>
  <c r="AV44" i="24"/>
  <c r="S39" i="24"/>
  <c r="AY39" i="24"/>
  <c r="CE39" i="24"/>
  <c r="AF40" i="24"/>
  <c r="BL40" i="24"/>
  <c r="AS42" i="24"/>
  <c r="BY42" i="24"/>
  <c r="Z44" i="24"/>
  <c r="BF44" i="24"/>
  <c r="CL44" i="24"/>
  <c r="AM46" i="24"/>
  <c r="AP58" i="24"/>
  <c r="BI42" i="24"/>
  <c r="P44" i="24"/>
  <c r="Y39" i="24"/>
  <c r="BE39" i="24"/>
  <c r="CK39" i="24"/>
  <c r="AL40" i="24"/>
  <c r="BR40" i="24"/>
  <c r="S42" i="24"/>
  <c r="AY42" i="24"/>
  <c r="CE42" i="24"/>
  <c r="AF44" i="24"/>
  <c r="BL44" i="24"/>
  <c r="AS46" i="24"/>
  <c r="AR52" i="24"/>
  <c r="BF58" i="24"/>
  <c r="CO42" i="24"/>
  <c r="BO42" i="24"/>
  <c r="AA39" i="24"/>
  <c r="BG39" i="24"/>
  <c r="CM39" i="24"/>
  <c r="AN40" i="24"/>
  <c r="BT40" i="24"/>
  <c r="U42" i="24"/>
  <c r="BA42" i="24"/>
  <c r="CG42" i="24"/>
  <c r="AH44" i="24"/>
  <c r="BN44" i="24"/>
  <c r="AU46" i="24"/>
  <c r="W60" i="24"/>
  <c r="AI42" i="24"/>
  <c r="AG39" i="24"/>
  <c r="BM39" i="24"/>
  <c r="N40" i="24"/>
  <c r="AT40" i="24"/>
  <c r="BZ40" i="24"/>
  <c r="AA42" i="24"/>
  <c r="BG42" i="24"/>
  <c r="CM42" i="24"/>
  <c r="AN44" i="24"/>
  <c r="BT44" i="24"/>
  <c r="U46" i="24"/>
  <c r="BC46" i="24"/>
  <c r="AF54" i="24"/>
  <c r="AM60" i="24"/>
  <c r="AH48" i="24"/>
  <c r="CD48" i="24"/>
  <c r="CP50" i="24"/>
  <c r="CH50" i="24"/>
  <c r="BZ50" i="24"/>
  <c r="BR50" i="24"/>
  <c r="BJ50" i="24"/>
  <c r="BB50" i="24"/>
  <c r="AT50" i="24"/>
  <c r="AL50" i="24"/>
  <c r="AD50" i="24"/>
  <c r="V50" i="24"/>
  <c r="CO50" i="24"/>
  <c r="CG50" i="24"/>
  <c r="BY50" i="24"/>
  <c r="BQ50" i="24"/>
  <c r="BI50" i="24"/>
  <c r="BA50" i="24"/>
  <c r="AS50" i="24"/>
  <c r="AK50" i="24"/>
  <c r="AC50" i="24"/>
  <c r="U50" i="24"/>
  <c r="CN50" i="24"/>
  <c r="CF50" i="24"/>
  <c r="BX50" i="24"/>
  <c r="BP50" i="24"/>
  <c r="BH50" i="24"/>
  <c r="AZ50" i="24"/>
  <c r="AR50" i="24"/>
  <c r="AJ50" i="24"/>
  <c r="AB50" i="24"/>
  <c r="T50" i="24"/>
  <c r="CM50" i="24"/>
  <c r="CE50" i="24"/>
  <c r="BW50" i="24"/>
  <c r="BO50" i="24"/>
  <c r="BG50" i="24"/>
  <c r="AY50" i="24"/>
  <c r="AQ50" i="24"/>
  <c r="AI50" i="24"/>
  <c r="AA50" i="24"/>
  <c r="S50" i="24"/>
  <c r="CL50" i="24"/>
  <c r="CD50" i="24"/>
  <c r="BV50" i="24"/>
  <c r="BN50" i="24"/>
  <c r="BF50" i="24"/>
  <c r="AX50" i="24"/>
  <c r="AP50" i="24"/>
  <c r="AH50" i="24"/>
  <c r="Z50" i="24"/>
  <c r="R50" i="24"/>
  <c r="CK50" i="24"/>
  <c r="CC50" i="24"/>
  <c r="BU50" i="24"/>
  <c r="BM50" i="24"/>
  <c r="BE50" i="24"/>
  <c r="AW50" i="24"/>
  <c r="AO50" i="24"/>
  <c r="AG50" i="24"/>
  <c r="Y50" i="24"/>
  <c r="CJ50" i="24"/>
  <c r="CB50" i="24"/>
  <c r="BT50" i="24"/>
  <c r="BL50" i="24"/>
  <c r="BD50" i="24"/>
  <c r="AV50" i="24"/>
  <c r="AN50" i="24"/>
  <c r="AF50" i="24"/>
  <c r="X50" i="24"/>
  <c r="CQ66" i="24"/>
  <c r="CI66" i="24"/>
  <c r="CA66" i="24"/>
  <c r="BS66" i="24"/>
  <c r="BK66" i="24"/>
  <c r="BC66" i="24"/>
  <c r="AU66" i="24"/>
  <c r="AM66" i="24"/>
  <c r="AE66" i="24"/>
  <c r="CP66" i="24"/>
  <c r="CH66" i="24"/>
  <c r="BZ66" i="24"/>
  <c r="BR66" i="24"/>
  <c r="BJ66" i="24"/>
  <c r="BB66" i="24"/>
  <c r="AT66" i="24"/>
  <c r="AL66" i="24"/>
  <c r="AD66" i="24"/>
  <c r="CO66" i="24"/>
  <c r="CG66" i="24"/>
  <c r="BY66" i="24"/>
  <c r="BQ66" i="24"/>
  <c r="BI66" i="24"/>
  <c r="BA66" i="24"/>
  <c r="AS66" i="24"/>
  <c r="AK66" i="24"/>
  <c r="AC66" i="24"/>
  <c r="CN66" i="24"/>
  <c r="CF66" i="24"/>
  <c r="BX66" i="24"/>
  <c r="BP66" i="24"/>
  <c r="BH66" i="24"/>
  <c r="AZ66" i="24"/>
  <c r="AR66" i="24"/>
  <c r="AJ66" i="24"/>
  <c r="AB66" i="24"/>
  <c r="CM66" i="24"/>
  <c r="CE66" i="24"/>
  <c r="BW66" i="24"/>
  <c r="BO66" i="24"/>
  <c r="BG66" i="24"/>
  <c r="AY66" i="24"/>
  <c r="AQ66" i="24"/>
  <c r="AI66" i="24"/>
  <c r="AA66" i="24"/>
  <c r="CK66" i="24"/>
  <c r="CC66" i="24"/>
  <c r="BU66" i="24"/>
  <c r="BM66" i="24"/>
  <c r="BE66" i="24"/>
  <c r="AW66" i="24"/>
  <c r="AO66" i="24"/>
  <c r="AG66" i="24"/>
  <c r="CJ66" i="24"/>
  <c r="CB66" i="24"/>
  <c r="BT66" i="24"/>
  <c r="BL66" i="24"/>
  <c r="BD66" i="24"/>
  <c r="AV66" i="24"/>
  <c r="AN66" i="24"/>
  <c r="AF66" i="24"/>
  <c r="CL66" i="24"/>
  <c r="Z66" i="24"/>
  <c r="CD66" i="24"/>
  <c r="BV66" i="24"/>
  <c r="BN66" i="24"/>
  <c r="BF66" i="24"/>
  <c r="AX66" i="24"/>
  <c r="AP66" i="24"/>
  <c r="CN82" i="24"/>
  <c r="CF82" i="24"/>
  <c r="BX82" i="24"/>
  <c r="BP82" i="24"/>
  <c r="BH82" i="24"/>
  <c r="AZ82" i="24"/>
  <c r="AR82" i="24"/>
  <c r="AJ82" i="24"/>
  <c r="CM82" i="24"/>
  <c r="CE82" i="24"/>
  <c r="BW82" i="24"/>
  <c r="BO82" i="24"/>
  <c r="BG82" i="24"/>
  <c r="AY82" i="24"/>
  <c r="AQ82" i="24"/>
  <c r="AI82" i="24"/>
  <c r="CL82" i="24"/>
  <c r="CD82" i="24"/>
  <c r="BV82" i="24"/>
  <c r="BN82" i="24"/>
  <c r="BF82" i="24"/>
  <c r="AX82" i="24"/>
  <c r="AP82" i="24"/>
  <c r="AH82" i="24"/>
  <c r="CK82" i="24"/>
  <c r="CC82" i="24"/>
  <c r="BU82" i="24"/>
  <c r="BM82" i="24"/>
  <c r="BE82" i="24"/>
  <c r="AW82" i="24"/>
  <c r="AO82" i="24"/>
  <c r="CJ82" i="24"/>
  <c r="CB82" i="24"/>
  <c r="BT82" i="24"/>
  <c r="BL82" i="24"/>
  <c r="BD82" i="24"/>
  <c r="AV82" i="24"/>
  <c r="AN82" i="24"/>
  <c r="CQ82" i="24"/>
  <c r="CI82" i="24"/>
  <c r="CA82" i="24"/>
  <c r="BS82" i="24"/>
  <c r="BK82" i="24"/>
  <c r="BC82" i="24"/>
  <c r="AU82" i="24"/>
  <c r="AM82" i="24"/>
  <c r="CP82" i="24"/>
  <c r="CH82" i="24"/>
  <c r="BZ82" i="24"/>
  <c r="BR82" i="24"/>
  <c r="BJ82" i="24"/>
  <c r="BB82" i="24"/>
  <c r="AT82" i="24"/>
  <c r="AL82" i="24"/>
  <c r="CO82" i="24"/>
  <c r="CG82" i="24"/>
  <c r="BY82" i="24"/>
  <c r="BQ82" i="24"/>
  <c r="BI82" i="24"/>
  <c r="BA82" i="24"/>
  <c r="AS82" i="24"/>
  <c r="AK82" i="24"/>
  <c r="CL98" i="24"/>
  <c r="CD98" i="24"/>
  <c r="BV98" i="24"/>
  <c r="BN98" i="24"/>
  <c r="BF98" i="24"/>
  <c r="AX98" i="24"/>
  <c r="AP98" i="24"/>
  <c r="CK98" i="24"/>
  <c r="CC98" i="24"/>
  <c r="BU98" i="24"/>
  <c r="BM98" i="24"/>
  <c r="BE98" i="24"/>
  <c r="AW98" i="24"/>
  <c r="CJ98" i="24"/>
  <c r="CB98" i="24"/>
  <c r="BT98" i="24"/>
  <c r="BL98" i="24"/>
  <c r="BD98" i="24"/>
  <c r="AV98" i="24"/>
  <c r="CP98" i="24"/>
  <c r="CH98" i="24"/>
  <c r="BZ98" i="24"/>
  <c r="BR98" i="24"/>
  <c r="BJ98" i="24"/>
  <c r="BB98" i="24"/>
  <c r="AT98" i="24"/>
  <c r="CO98" i="24"/>
  <c r="CG98" i="24"/>
  <c r="BY98" i="24"/>
  <c r="BQ98" i="24"/>
  <c r="BI98" i="24"/>
  <c r="BA98" i="24"/>
  <c r="AS98" i="24"/>
  <c r="CA98" i="24"/>
  <c r="BG98" i="24"/>
  <c r="BX98" i="24"/>
  <c r="BC98" i="24"/>
  <c r="CQ98" i="24"/>
  <c r="BW98" i="24"/>
  <c r="AZ98" i="24"/>
  <c r="CN98" i="24"/>
  <c r="BS98" i="24"/>
  <c r="AY98" i="24"/>
  <c r="CM98" i="24"/>
  <c r="BP98" i="24"/>
  <c r="AU98" i="24"/>
  <c r="CI98" i="24"/>
  <c r="BO98" i="24"/>
  <c r="AR98" i="24"/>
  <c r="CF98" i="24"/>
  <c r="BK98" i="24"/>
  <c r="AQ98" i="24"/>
  <c r="CE98" i="24"/>
  <c r="BH98" i="24"/>
  <c r="R39" i="24"/>
  <c r="Z39" i="24"/>
  <c r="AH39" i="24"/>
  <c r="AP39" i="24"/>
  <c r="AX39" i="24"/>
  <c r="BF39" i="24"/>
  <c r="BN39" i="24"/>
  <c r="BV39" i="24"/>
  <c r="CD39" i="24"/>
  <c r="CL39" i="24"/>
  <c r="O40" i="24"/>
  <c r="W40" i="24"/>
  <c r="AE40" i="24"/>
  <c r="AM40" i="24"/>
  <c r="AU40" i="24"/>
  <c r="BC40" i="24"/>
  <c r="BK40" i="24"/>
  <c r="BS40" i="24"/>
  <c r="CA40" i="24"/>
  <c r="CI40" i="24"/>
  <c r="CQ40" i="24"/>
  <c r="T42" i="24"/>
  <c r="AB42" i="24"/>
  <c r="AJ42" i="24"/>
  <c r="AR42" i="24"/>
  <c r="AZ42" i="24"/>
  <c r="BH42" i="24"/>
  <c r="BP42" i="24"/>
  <c r="BX42" i="24"/>
  <c r="CF42" i="24"/>
  <c r="CN42" i="24"/>
  <c r="Q44" i="24"/>
  <c r="Y44" i="24"/>
  <c r="AG44" i="24"/>
  <c r="AO44" i="24"/>
  <c r="AW44" i="24"/>
  <c r="BE44" i="24"/>
  <c r="BM44" i="24"/>
  <c r="BU44" i="24"/>
  <c r="CC44" i="24"/>
  <c r="CK44" i="24"/>
  <c r="V46" i="24"/>
  <c r="AD46" i="24"/>
  <c r="AL46" i="24"/>
  <c r="AT46" i="24"/>
  <c r="BD46" i="24"/>
  <c r="CI46" i="24"/>
  <c r="AJ48" i="24"/>
  <c r="CL48" i="24"/>
  <c r="BS50" i="24"/>
  <c r="AZ52" i="24"/>
  <c r="X54" i="24"/>
  <c r="BQ56" i="24"/>
  <c r="AX58" i="24"/>
  <c r="AE60" i="24"/>
  <c r="AH66" i="24"/>
  <c r="CJ80" i="24"/>
  <c r="CB80" i="24"/>
  <c r="BT80" i="24"/>
  <c r="BL80" i="24"/>
  <c r="BD80" i="24"/>
  <c r="AV80" i="24"/>
  <c r="AN80" i="24"/>
  <c r="CQ80" i="24"/>
  <c r="CI80" i="24"/>
  <c r="CA80" i="24"/>
  <c r="BS80" i="24"/>
  <c r="BK80" i="24"/>
  <c r="BC80" i="24"/>
  <c r="AU80" i="24"/>
  <c r="AM80" i="24"/>
  <c r="CP80" i="24"/>
  <c r="CH80" i="24"/>
  <c r="BZ80" i="24"/>
  <c r="BR80" i="24"/>
  <c r="BJ80" i="24"/>
  <c r="BB80" i="24"/>
  <c r="AT80" i="24"/>
  <c r="AL80" i="24"/>
  <c r="CO80" i="24"/>
  <c r="CG80" i="24"/>
  <c r="BY80" i="24"/>
  <c r="BQ80" i="24"/>
  <c r="BI80" i="24"/>
  <c r="BA80" i="24"/>
  <c r="AS80" i="24"/>
  <c r="AK80" i="24"/>
  <c r="CN80" i="24"/>
  <c r="CF80" i="24"/>
  <c r="BX80" i="24"/>
  <c r="BP80" i="24"/>
  <c r="BH80" i="24"/>
  <c r="AZ80" i="24"/>
  <c r="AR80" i="24"/>
  <c r="AJ80" i="24"/>
  <c r="CM80" i="24"/>
  <c r="CE80" i="24"/>
  <c r="BW80" i="24"/>
  <c r="BO80" i="24"/>
  <c r="BG80" i="24"/>
  <c r="AY80" i="24"/>
  <c r="AQ80" i="24"/>
  <c r="AI80" i="24"/>
  <c r="CL80" i="24"/>
  <c r="CD80" i="24"/>
  <c r="BV80" i="24"/>
  <c r="BN80" i="24"/>
  <c r="BF80" i="24"/>
  <c r="AX80" i="24"/>
  <c r="AP80" i="24"/>
  <c r="AH80" i="24"/>
  <c r="CK80" i="24"/>
  <c r="CC80" i="24"/>
  <c r="BU80" i="24"/>
  <c r="BM80" i="24"/>
  <c r="BE80" i="24"/>
  <c r="AW80" i="24"/>
  <c r="AO80" i="24"/>
  <c r="AG80" i="24"/>
  <c r="AP48" i="24"/>
  <c r="BH52" i="24"/>
  <c r="CP96" i="24"/>
  <c r="CH96" i="24"/>
  <c r="BZ96" i="24"/>
  <c r="BR96" i="24"/>
  <c r="BJ96" i="24"/>
  <c r="BB96" i="24"/>
  <c r="AT96" i="24"/>
  <c r="CO96" i="24"/>
  <c r="CG96" i="24"/>
  <c r="BY96" i="24"/>
  <c r="BQ96" i="24"/>
  <c r="BI96" i="24"/>
  <c r="BA96" i="24"/>
  <c r="AS96" i="24"/>
  <c r="CN96" i="24"/>
  <c r="CF96" i="24"/>
  <c r="BX96" i="24"/>
  <c r="BP96" i="24"/>
  <c r="BH96" i="24"/>
  <c r="AZ96" i="24"/>
  <c r="AR96" i="24"/>
  <c r="CL96" i="24"/>
  <c r="CD96" i="24"/>
  <c r="BV96" i="24"/>
  <c r="BN96" i="24"/>
  <c r="BF96" i="24"/>
  <c r="AX96" i="24"/>
  <c r="AP96" i="24"/>
  <c r="CK96" i="24"/>
  <c r="CC96" i="24"/>
  <c r="BU96" i="24"/>
  <c r="BM96" i="24"/>
  <c r="BE96" i="24"/>
  <c r="AW96" i="24"/>
  <c r="AO96" i="24"/>
  <c r="CB96" i="24"/>
  <c r="BG96" i="24"/>
  <c r="CA96" i="24"/>
  <c r="BD96" i="24"/>
  <c r="BW96" i="24"/>
  <c r="BC96" i="24"/>
  <c r="CQ96" i="24"/>
  <c r="BT96" i="24"/>
  <c r="AY96" i="24"/>
  <c r="CM96" i="24"/>
  <c r="BS96" i="24"/>
  <c r="AV96" i="24"/>
  <c r="CJ96" i="24"/>
  <c r="BO96" i="24"/>
  <c r="AU96" i="24"/>
  <c r="CI96" i="24"/>
  <c r="BL96" i="24"/>
  <c r="AQ96" i="24"/>
  <c r="CE96" i="24"/>
  <c r="BK96" i="24"/>
  <c r="CQ54" i="24"/>
  <c r="CI54" i="24"/>
  <c r="CA54" i="24"/>
  <c r="BS54" i="24"/>
  <c r="BK54" i="24"/>
  <c r="BC54" i="24"/>
  <c r="AU54" i="24"/>
  <c r="AM54" i="24"/>
  <c r="AE54" i="24"/>
  <c r="W54" i="24"/>
  <c r="CP54" i="24"/>
  <c r="CH54" i="24"/>
  <c r="BZ54" i="24"/>
  <c r="BR54" i="24"/>
  <c r="BJ54" i="24"/>
  <c r="BB54" i="24"/>
  <c r="AT54" i="24"/>
  <c r="AL54" i="24"/>
  <c r="AD54" i="24"/>
  <c r="V54" i="24"/>
  <c r="CO54" i="24"/>
  <c r="CG54" i="24"/>
  <c r="BY54" i="24"/>
  <c r="BQ54" i="24"/>
  <c r="BI54" i="24"/>
  <c r="BA54" i="24"/>
  <c r="AS54" i="24"/>
  <c r="AK54" i="24"/>
  <c r="AC54" i="24"/>
  <c r="U54" i="24"/>
  <c r="CN54" i="24"/>
  <c r="CF54" i="24"/>
  <c r="BX54" i="24"/>
  <c r="BP54" i="24"/>
  <c r="BH54" i="24"/>
  <c r="AZ54" i="24"/>
  <c r="AR54" i="24"/>
  <c r="AJ54" i="24"/>
  <c r="AB54" i="24"/>
  <c r="T54" i="24"/>
  <c r="CM54" i="24"/>
  <c r="CE54" i="24"/>
  <c r="BW54" i="24"/>
  <c r="BO54" i="24"/>
  <c r="BG54" i="24"/>
  <c r="AY54" i="24"/>
  <c r="AQ54" i="24"/>
  <c r="AI54" i="24"/>
  <c r="AA54" i="24"/>
  <c r="CL54" i="24"/>
  <c r="CD54" i="24"/>
  <c r="BV54" i="24"/>
  <c r="BN54" i="24"/>
  <c r="BF54" i="24"/>
  <c r="AX54" i="24"/>
  <c r="AP54" i="24"/>
  <c r="AH54" i="24"/>
  <c r="Z54" i="24"/>
  <c r="CK54" i="24"/>
  <c r="CC54" i="24"/>
  <c r="BU54" i="24"/>
  <c r="BM54" i="24"/>
  <c r="BE54" i="24"/>
  <c r="AW54" i="24"/>
  <c r="AO54" i="24"/>
  <c r="AG54" i="24"/>
  <c r="Y54" i="24"/>
  <c r="CK70" i="24"/>
  <c r="CC70" i="24"/>
  <c r="BU70" i="24"/>
  <c r="BM70" i="24"/>
  <c r="BE70" i="24"/>
  <c r="AW70" i="24"/>
  <c r="AO70" i="24"/>
  <c r="AG70" i="24"/>
  <c r="CJ70" i="24"/>
  <c r="CB70" i="24"/>
  <c r="BT70" i="24"/>
  <c r="BL70" i="24"/>
  <c r="BD70" i="24"/>
  <c r="AV70" i="24"/>
  <c r="AN70" i="24"/>
  <c r="AF70" i="24"/>
  <c r="CQ70" i="24"/>
  <c r="CI70" i="24"/>
  <c r="CA70" i="24"/>
  <c r="BS70" i="24"/>
  <c r="BK70" i="24"/>
  <c r="BC70" i="24"/>
  <c r="AU70" i="24"/>
  <c r="AM70" i="24"/>
  <c r="AE70" i="24"/>
  <c r="CP70" i="24"/>
  <c r="CH70" i="24"/>
  <c r="BZ70" i="24"/>
  <c r="BR70" i="24"/>
  <c r="BJ70" i="24"/>
  <c r="BB70" i="24"/>
  <c r="AT70" i="24"/>
  <c r="AL70" i="24"/>
  <c r="AD70" i="24"/>
  <c r="CO70" i="24"/>
  <c r="CG70" i="24"/>
  <c r="BY70" i="24"/>
  <c r="BQ70" i="24"/>
  <c r="BI70" i="24"/>
  <c r="BA70" i="24"/>
  <c r="AS70" i="24"/>
  <c r="AK70" i="24"/>
  <c r="AC70" i="24"/>
  <c r="CM70" i="24"/>
  <c r="CE70" i="24"/>
  <c r="BW70" i="24"/>
  <c r="BO70" i="24"/>
  <c r="BG70" i="24"/>
  <c r="AY70" i="24"/>
  <c r="AQ70" i="24"/>
  <c r="AI70" i="24"/>
  <c r="CL70" i="24"/>
  <c r="CD70" i="24"/>
  <c r="BV70" i="24"/>
  <c r="BN70" i="24"/>
  <c r="BF70" i="24"/>
  <c r="AX70" i="24"/>
  <c r="AP70" i="24"/>
  <c r="AH70" i="24"/>
  <c r="AZ70" i="24"/>
  <c r="AR70" i="24"/>
  <c r="AJ70" i="24"/>
  <c r="CN70" i="24"/>
  <c r="AB70" i="24"/>
  <c r="CF70" i="24"/>
  <c r="BX70" i="24"/>
  <c r="BP70" i="24"/>
  <c r="CN86" i="24"/>
  <c r="CF86" i="24"/>
  <c r="BX86" i="24"/>
  <c r="BP86" i="24"/>
  <c r="BH86" i="24"/>
  <c r="AZ86" i="24"/>
  <c r="AR86" i="24"/>
  <c r="AJ86" i="24"/>
  <c r="CM86" i="24"/>
  <c r="CE86" i="24"/>
  <c r="BW86" i="24"/>
  <c r="BO86" i="24"/>
  <c r="BG86" i="24"/>
  <c r="AY86" i="24"/>
  <c r="AQ86" i="24"/>
  <c r="CL86" i="24"/>
  <c r="CD86" i="24"/>
  <c r="BV86" i="24"/>
  <c r="BN86" i="24"/>
  <c r="BF86" i="24"/>
  <c r="AX86" i="24"/>
  <c r="AP86" i="24"/>
  <c r="CK86" i="24"/>
  <c r="CC86" i="24"/>
  <c r="BU86" i="24"/>
  <c r="BM86" i="24"/>
  <c r="BE86" i="24"/>
  <c r="AW86" i="24"/>
  <c r="AO86" i="24"/>
  <c r="CJ86" i="24"/>
  <c r="CB86" i="24"/>
  <c r="BT86" i="24"/>
  <c r="BL86" i="24"/>
  <c r="BD86" i="24"/>
  <c r="AV86" i="24"/>
  <c r="AN86" i="24"/>
  <c r="CQ86" i="24"/>
  <c r="CI86" i="24"/>
  <c r="CA86" i="24"/>
  <c r="BS86" i="24"/>
  <c r="BK86" i="24"/>
  <c r="BC86" i="24"/>
  <c r="AU86" i="24"/>
  <c r="AM86" i="24"/>
  <c r="CP86" i="24"/>
  <c r="CH86" i="24"/>
  <c r="BZ86" i="24"/>
  <c r="BR86" i="24"/>
  <c r="BJ86" i="24"/>
  <c r="BB86" i="24"/>
  <c r="AT86" i="24"/>
  <c r="AL86" i="24"/>
  <c r="CO86" i="24"/>
  <c r="CG86" i="24"/>
  <c r="BY86" i="24"/>
  <c r="BQ86" i="24"/>
  <c r="BI86" i="24"/>
  <c r="BA86" i="24"/>
  <c r="AS86" i="24"/>
  <c r="AK86" i="24"/>
  <c r="CM102" i="24"/>
  <c r="CE102" i="24"/>
  <c r="BW102" i="24"/>
  <c r="BO102" i="24"/>
  <c r="BG102" i="24"/>
  <c r="AY102" i="24"/>
  <c r="CL102" i="24"/>
  <c r="CD102" i="24"/>
  <c r="BV102" i="24"/>
  <c r="BN102" i="24"/>
  <c r="BF102" i="24"/>
  <c r="AX102" i="24"/>
  <c r="CK102" i="24"/>
  <c r="CC102" i="24"/>
  <c r="BU102" i="24"/>
  <c r="BM102" i="24"/>
  <c r="BE102" i="24"/>
  <c r="AW102" i="24"/>
  <c r="CJ102" i="24"/>
  <c r="CB102" i="24"/>
  <c r="BT102" i="24"/>
  <c r="BL102" i="24"/>
  <c r="BD102" i="24"/>
  <c r="AV102" i="24"/>
  <c r="CQ102" i="24"/>
  <c r="CI102" i="24"/>
  <c r="CA102" i="24"/>
  <c r="BS102" i="24"/>
  <c r="BK102" i="24"/>
  <c r="BC102" i="24"/>
  <c r="AU102" i="24"/>
  <c r="CP102" i="24"/>
  <c r="CH102" i="24"/>
  <c r="BZ102" i="24"/>
  <c r="BR102" i="24"/>
  <c r="BJ102" i="24"/>
  <c r="BB102" i="24"/>
  <c r="AT102" i="24"/>
  <c r="CO102" i="24"/>
  <c r="CG102" i="24"/>
  <c r="BY102" i="24"/>
  <c r="BQ102" i="24"/>
  <c r="BI102" i="24"/>
  <c r="BA102" i="24"/>
  <c r="AS102" i="24"/>
  <c r="CN102" i="24"/>
  <c r="CF102" i="24"/>
  <c r="BX102" i="24"/>
  <c r="BP102" i="24"/>
  <c r="BH102" i="24"/>
  <c r="AZ102" i="24"/>
  <c r="AR102" i="24"/>
  <c r="L39" i="24"/>
  <c r="T39" i="24"/>
  <c r="AB39" i="24"/>
  <c r="AJ39" i="24"/>
  <c r="AR39" i="24"/>
  <c r="AZ39" i="24"/>
  <c r="BH39" i="24"/>
  <c r="BP39" i="24"/>
  <c r="BX39" i="24"/>
  <c r="CF39" i="24"/>
  <c r="CN39" i="24"/>
  <c r="Q40" i="24"/>
  <c r="Y40" i="24"/>
  <c r="AG40" i="24"/>
  <c r="AO40" i="24"/>
  <c r="AW40" i="24"/>
  <c r="BE40" i="24"/>
  <c r="BM40" i="24"/>
  <c r="BU40" i="24"/>
  <c r="CC40" i="24"/>
  <c r="CK40" i="24"/>
  <c r="N42" i="24"/>
  <c r="V42" i="24"/>
  <c r="AD42" i="24"/>
  <c r="AL42" i="24"/>
  <c r="AT42" i="24"/>
  <c r="BB42" i="24"/>
  <c r="BJ42" i="24"/>
  <c r="BR42" i="24"/>
  <c r="BZ42" i="24"/>
  <c r="CH42" i="24"/>
  <c r="CP42" i="24"/>
  <c r="S44" i="24"/>
  <c r="AA44" i="24"/>
  <c r="AI44" i="24"/>
  <c r="AQ44" i="24"/>
  <c r="AY44" i="24"/>
  <c r="BG44" i="24"/>
  <c r="BO44" i="24"/>
  <c r="BW44" i="24"/>
  <c r="CE44" i="24"/>
  <c r="CM44" i="24"/>
  <c r="P46" i="24"/>
  <c r="X46" i="24"/>
  <c r="AF46" i="24"/>
  <c r="AN46" i="24"/>
  <c r="AV46" i="24"/>
  <c r="BK46" i="24"/>
  <c r="CQ46" i="24"/>
  <c r="AR48" i="24"/>
  <c r="W50" i="24"/>
  <c r="CI50" i="24"/>
  <c r="BP52" i="24"/>
  <c r="AN54" i="24"/>
  <c r="U56" i="24"/>
  <c r="BN58" i="24"/>
  <c r="AU60" i="24"/>
  <c r="CJ84" i="24"/>
  <c r="CB84" i="24"/>
  <c r="BT84" i="24"/>
  <c r="BL84" i="24"/>
  <c r="BD84" i="24"/>
  <c r="AV84" i="24"/>
  <c r="AN84" i="24"/>
  <c r="CQ84" i="24"/>
  <c r="CI84" i="24"/>
  <c r="CA84" i="24"/>
  <c r="BS84" i="24"/>
  <c r="BK84" i="24"/>
  <c r="BC84" i="24"/>
  <c r="AU84" i="24"/>
  <c r="AM84" i="24"/>
  <c r="CP84" i="24"/>
  <c r="CH84" i="24"/>
  <c r="BZ84" i="24"/>
  <c r="BR84" i="24"/>
  <c r="BJ84" i="24"/>
  <c r="BB84" i="24"/>
  <c r="AT84" i="24"/>
  <c r="AL84" i="24"/>
  <c r="CO84" i="24"/>
  <c r="CG84" i="24"/>
  <c r="BY84" i="24"/>
  <c r="BQ84" i="24"/>
  <c r="BI84" i="24"/>
  <c r="BA84" i="24"/>
  <c r="AS84" i="24"/>
  <c r="AK84" i="24"/>
  <c r="CN84" i="24"/>
  <c r="CF84" i="24"/>
  <c r="BX84" i="24"/>
  <c r="BP84" i="24"/>
  <c r="BH84" i="24"/>
  <c r="AZ84" i="24"/>
  <c r="AR84" i="24"/>
  <c r="AJ84" i="24"/>
  <c r="CM84" i="24"/>
  <c r="CE84" i="24"/>
  <c r="BW84" i="24"/>
  <c r="BO84" i="24"/>
  <c r="BG84" i="24"/>
  <c r="AY84" i="24"/>
  <c r="AQ84" i="24"/>
  <c r="AI84" i="24"/>
  <c r="CL84" i="24"/>
  <c r="CD84" i="24"/>
  <c r="BV84" i="24"/>
  <c r="BN84" i="24"/>
  <c r="BF84" i="24"/>
  <c r="AX84" i="24"/>
  <c r="AP84" i="24"/>
  <c r="CK84" i="24"/>
  <c r="CC84" i="24"/>
  <c r="BU84" i="24"/>
  <c r="BM84" i="24"/>
  <c r="BE84" i="24"/>
  <c r="AW84" i="24"/>
  <c r="AO84" i="24"/>
  <c r="CN56" i="24"/>
  <c r="CF56" i="24"/>
  <c r="BX56" i="24"/>
  <c r="BP56" i="24"/>
  <c r="BH56" i="24"/>
  <c r="AZ56" i="24"/>
  <c r="AR56" i="24"/>
  <c r="AJ56" i="24"/>
  <c r="AB56" i="24"/>
  <c r="CM56" i="24"/>
  <c r="CE56" i="24"/>
  <c r="BW56" i="24"/>
  <c r="BO56" i="24"/>
  <c r="BG56" i="24"/>
  <c r="AY56" i="24"/>
  <c r="AQ56" i="24"/>
  <c r="AI56" i="24"/>
  <c r="AA56" i="24"/>
  <c r="CL56" i="24"/>
  <c r="CD56" i="24"/>
  <c r="BV56" i="24"/>
  <c r="BN56" i="24"/>
  <c r="BF56" i="24"/>
  <c r="AX56" i="24"/>
  <c r="AP56" i="24"/>
  <c r="AH56" i="24"/>
  <c r="Z56" i="24"/>
  <c r="CK56" i="24"/>
  <c r="CC56" i="24"/>
  <c r="BU56" i="24"/>
  <c r="BM56" i="24"/>
  <c r="BE56" i="24"/>
  <c r="AW56" i="24"/>
  <c r="AO56" i="24"/>
  <c r="AG56" i="24"/>
  <c r="Y56" i="24"/>
  <c r="CJ56" i="24"/>
  <c r="CB56" i="24"/>
  <c r="BT56" i="24"/>
  <c r="BL56" i="24"/>
  <c r="BD56" i="24"/>
  <c r="AV56" i="24"/>
  <c r="AN56" i="24"/>
  <c r="AF56" i="24"/>
  <c r="X56" i="24"/>
  <c r="CQ56" i="24"/>
  <c r="CI56" i="24"/>
  <c r="CA56" i="24"/>
  <c r="BS56" i="24"/>
  <c r="BK56" i="24"/>
  <c r="BC56" i="24"/>
  <c r="AU56" i="24"/>
  <c r="AM56" i="24"/>
  <c r="AE56" i="24"/>
  <c r="W56" i="24"/>
  <c r="CP56" i="24"/>
  <c r="CH56" i="24"/>
  <c r="BZ56" i="24"/>
  <c r="BR56" i="24"/>
  <c r="BJ56" i="24"/>
  <c r="BB56" i="24"/>
  <c r="AT56" i="24"/>
  <c r="AL56" i="24"/>
  <c r="AD56" i="24"/>
  <c r="V56" i="24"/>
  <c r="CP72" i="24"/>
  <c r="CH72" i="24"/>
  <c r="BZ72" i="24"/>
  <c r="BR72" i="24"/>
  <c r="BJ72" i="24"/>
  <c r="BB72" i="24"/>
  <c r="AT72" i="24"/>
  <c r="AL72" i="24"/>
  <c r="AD72" i="24"/>
  <c r="CO72" i="24"/>
  <c r="CG72" i="24"/>
  <c r="BY72" i="24"/>
  <c r="BQ72" i="24"/>
  <c r="BI72" i="24"/>
  <c r="BA72" i="24"/>
  <c r="AS72" i="24"/>
  <c r="AK72" i="24"/>
  <c r="AC72" i="24"/>
  <c r="CN72" i="24"/>
  <c r="CF72" i="24"/>
  <c r="BX72" i="24"/>
  <c r="BP72" i="24"/>
  <c r="BH72" i="24"/>
  <c r="AZ72" i="24"/>
  <c r="AR72" i="24"/>
  <c r="AJ72" i="24"/>
  <c r="CM72" i="24"/>
  <c r="CE72" i="24"/>
  <c r="BW72" i="24"/>
  <c r="BO72" i="24"/>
  <c r="BG72" i="24"/>
  <c r="AY72" i="24"/>
  <c r="AQ72" i="24"/>
  <c r="AI72" i="24"/>
  <c r="CL72" i="24"/>
  <c r="CD72" i="24"/>
  <c r="BV72" i="24"/>
  <c r="BN72" i="24"/>
  <c r="BF72" i="24"/>
  <c r="AX72" i="24"/>
  <c r="AP72" i="24"/>
  <c r="AH72" i="24"/>
  <c r="CJ72" i="24"/>
  <c r="CB72" i="24"/>
  <c r="BT72" i="24"/>
  <c r="BL72" i="24"/>
  <c r="BD72" i="24"/>
  <c r="AV72" i="24"/>
  <c r="AN72" i="24"/>
  <c r="AF72" i="24"/>
  <c r="CQ72" i="24"/>
  <c r="CI72" i="24"/>
  <c r="CA72" i="24"/>
  <c r="BS72" i="24"/>
  <c r="BK72" i="24"/>
  <c r="BC72" i="24"/>
  <c r="AU72" i="24"/>
  <c r="AM72" i="24"/>
  <c r="AE72" i="24"/>
  <c r="AG72" i="24"/>
  <c r="CK72" i="24"/>
  <c r="CC72" i="24"/>
  <c r="BU72" i="24"/>
  <c r="BM72" i="24"/>
  <c r="BE72" i="24"/>
  <c r="AW72" i="24"/>
  <c r="CP88" i="24"/>
  <c r="CH88" i="24"/>
  <c r="BZ88" i="24"/>
  <c r="BR88" i="24"/>
  <c r="BJ88" i="24"/>
  <c r="BB88" i="24"/>
  <c r="AT88" i="24"/>
  <c r="AL88" i="24"/>
  <c r="CO88" i="24"/>
  <c r="CG88" i="24"/>
  <c r="BY88" i="24"/>
  <c r="BQ88" i="24"/>
  <c r="BI88" i="24"/>
  <c r="BA88" i="24"/>
  <c r="AS88" i="24"/>
  <c r="AK88" i="24"/>
  <c r="CN88" i="24"/>
  <c r="CF88" i="24"/>
  <c r="BX88" i="24"/>
  <c r="BP88" i="24"/>
  <c r="BH88" i="24"/>
  <c r="AZ88" i="24"/>
  <c r="AR88" i="24"/>
  <c r="CL88" i="24"/>
  <c r="CD88" i="24"/>
  <c r="BV88" i="24"/>
  <c r="BN88" i="24"/>
  <c r="BF88" i="24"/>
  <c r="AX88" i="24"/>
  <c r="AP88" i="24"/>
  <c r="CK88" i="24"/>
  <c r="CC88" i="24"/>
  <c r="BU88" i="24"/>
  <c r="BM88" i="24"/>
  <c r="BE88" i="24"/>
  <c r="AW88" i="24"/>
  <c r="AO88" i="24"/>
  <c r="CB88" i="24"/>
  <c r="BG88" i="24"/>
  <c r="AM88" i="24"/>
  <c r="CA88" i="24"/>
  <c r="BD88" i="24"/>
  <c r="BW88" i="24"/>
  <c r="BC88" i="24"/>
  <c r="CQ88" i="24"/>
  <c r="BT88" i="24"/>
  <c r="AY88" i="24"/>
  <c r="CM88" i="24"/>
  <c r="BS88" i="24"/>
  <c r="AV88" i="24"/>
  <c r="CJ88" i="24"/>
  <c r="BO88" i="24"/>
  <c r="AU88" i="24"/>
  <c r="CI88" i="24"/>
  <c r="BL88" i="24"/>
  <c r="AQ88" i="24"/>
  <c r="CE88" i="24"/>
  <c r="BK88" i="24"/>
  <c r="AN88" i="24"/>
  <c r="J35" i="24"/>
  <c r="M39" i="24"/>
  <c r="U39" i="24"/>
  <c r="AC39" i="24"/>
  <c r="AK39" i="24"/>
  <c r="AS39" i="24"/>
  <c r="BA39" i="24"/>
  <c r="BI39" i="24"/>
  <c r="BQ39" i="24"/>
  <c r="BY39" i="24"/>
  <c r="CG39" i="24"/>
  <c r="CO39" i="24"/>
  <c r="R40" i="24"/>
  <c r="Z40" i="24"/>
  <c r="AH40" i="24"/>
  <c r="AP40" i="24"/>
  <c r="AX40" i="24"/>
  <c r="BF40" i="24"/>
  <c r="BN40" i="24"/>
  <c r="BV40" i="24"/>
  <c r="CD40" i="24"/>
  <c r="CL40" i="24"/>
  <c r="O42" i="24"/>
  <c r="W42" i="24"/>
  <c r="AE42" i="24"/>
  <c r="AM42" i="24"/>
  <c r="AU42" i="24"/>
  <c r="BC42" i="24"/>
  <c r="BK42" i="24"/>
  <c r="BS42" i="24"/>
  <c r="CA42" i="24"/>
  <c r="CI42" i="24"/>
  <c r="CQ42" i="24"/>
  <c r="T44" i="24"/>
  <c r="AB44" i="24"/>
  <c r="AJ44" i="24"/>
  <c r="AR44" i="24"/>
  <c r="AZ44" i="24"/>
  <c r="BH44" i="24"/>
  <c r="BP44" i="24"/>
  <c r="BX44" i="24"/>
  <c r="CF44" i="24"/>
  <c r="CN44" i="24"/>
  <c r="Q46" i="24"/>
  <c r="Y46" i="24"/>
  <c r="AG46" i="24"/>
  <c r="AO46" i="24"/>
  <c r="AW46" i="24"/>
  <c r="BQ46" i="24"/>
  <c r="R48" i="24"/>
  <c r="AX48" i="24"/>
  <c r="AE50" i="24"/>
  <c r="CQ50" i="24"/>
  <c r="BX52" i="24"/>
  <c r="AV54" i="24"/>
  <c r="AC56" i="24"/>
  <c r="CO56" i="24"/>
  <c r="BC60" i="24"/>
  <c r="BH70" i="24"/>
  <c r="CN68" i="24"/>
  <c r="CF68" i="24"/>
  <c r="BX68" i="24"/>
  <c r="BP68" i="24"/>
  <c r="BH68" i="24"/>
  <c r="AZ68" i="24"/>
  <c r="AR68" i="24"/>
  <c r="AJ68" i="24"/>
  <c r="AB68" i="24"/>
  <c r="CM68" i="24"/>
  <c r="CE68" i="24"/>
  <c r="BW68" i="24"/>
  <c r="BO68" i="24"/>
  <c r="BG68" i="24"/>
  <c r="AY68" i="24"/>
  <c r="AQ68" i="24"/>
  <c r="AI68" i="24"/>
  <c r="AA68" i="24"/>
  <c r="CL68" i="24"/>
  <c r="CD68" i="24"/>
  <c r="BV68" i="24"/>
  <c r="BN68" i="24"/>
  <c r="BF68" i="24"/>
  <c r="AX68" i="24"/>
  <c r="AP68" i="24"/>
  <c r="AH68" i="24"/>
  <c r="CK68" i="24"/>
  <c r="CC68" i="24"/>
  <c r="BU68" i="24"/>
  <c r="BM68" i="24"/>
  <c r="BE68" i="24"/>
  <c r="AW68" i="24"/>
  <c r="AO68" i="24"/>
  <c r="AG68" i="24"/>
  <c r="CJ68" i="24"/>
  <c r="CB68" i="24"/>
  <c r="BT68" i="24"/>
  <c r="BL68" i="24"/>
  <c r="BD68" i="24"/>
  <c r="AV68" i="24"/>
  <c r="AN68" i="24"/>
  <c r="AF68" i="24"/>
  <c r="CP68" i="24"/>
  <c r="CH68" i="24"/>
  <c r="BZ68" i="24"/>
  <c r="BR68" i="24"/>
  <c r="BJ68" i="24"/>
  <c r="BB68" i="24"/>
  <c r="AT68" i="24"/>
  <c r="AL68" i="24"/>
  <c r="AD68" i="24"/>
  <c r="CO68" i="24"/>
  <c r="CG68" i="24"/>
  <c r="BY68" i="24"/>
  <c r="BQ68" i="24"/>
  <c r="BI68" i="24"/>
  <c r="BA68" i="24"/>
  <c r="AS68" i="24"/>
  <c r="AK68" i="24"/>
  <c r="AC68" i="24"/>
  <c r="BS68" i="24"/>
  <c r="BK68" i="24"/>
  <c r="BC68" i="24"/>
  <c r="AU68" i="24"/>
  <c r="AM68" i="24"/>
  <c r="CQ68" i="24"/>
  <c r="AE68" i="24"/>
  <c r="CI68" i="24"/>
  <c r="CK58" i="24"/>
  <c r="CC58" i="24"/>
  <c r="BU58" i="24"/>
  <c r="BM58" i="24"/>
  <c r="BE58" i="24"/>
  <c r="AW58" i="24"/>
  <c r="AO58" i="24"/>
  <c r="AG58" i="24"/>
  <c r="Y58" i="24"/>
  <c r="CJ58" i="24"/>
  <c r="CB58" i="24"/>
  <c r="BT58" i="24"/>
  <c r="BL58" i="24"/>
  <c r="BD58" i="24"/>
  <c r="AV58" i="24"/>
  <c r="AN58" i="24"/>
  <c r="AF58" i="24"/>
  <c r="X58" i="24"/>
  <c r="CQ58" i="24"/>
  <c r="CI58" i="24"/>
  <c r="CA58" i="24"/>
  <c r="BS58" i="24"/>
  <c r="BK58" i="24"/>
  <c r="BC58" i="24"/>
  <c r="AU58" i="24"/>
  <c r="AM58" i="24"/>
  <c r="AE58" i="24"/>
  <c r="W58" i="24"/>
  <c r="CP58" i="24"/>
  <c r="CH58" i="24"/>
  <c r="BZ58" i="24"/>
  <c r="BR58" i="24"/>
  <c r="BJ58" i="24"/>
  <c r="BB58" i="24"/>
  <c r="AT58" i="24"/>
  <c r="AL58" i="24"/>
  <c r="AD58" i="24"/>
  <c r="V58" i="24"/>
  <c r="CO58" i="24"/>
  <c r="CG58" i="24"/>
  <c r="BY58" i="24"/>
  <c r="BQ58" i="24"/>
  <c r="BI58" i="24"/>
  <c r="BA58" i="24"/>
  <c r="AS58" i="24"/>
  <c r="AK58" i="24"/>
  <c r="AC58" i="24"/>
  <c r="CN58" i="24"/>
  <c r="CF58" i="24"/>
  <c r="BX58" i="24"/>
  <c r="BP58" i="24"/>
  <c r="BH58" i="24"/>
  <c r="AZ58" i="24"/>
  <c r="AR58" i="24"/>
  <c r="AJ58" i="24"/>
  <c r="AB58" i="24"/>
  <c r="CM58" i="24"/>
  <c r="CE58" i="24"/>
  <c r="BW58" i="24"/>
  <c r="BO58" i="24"/>
  <c r="BG58" i="24"/>
  <c r="AY58" i="24"/>
  <c r="AQ58" i="24"/>
  <c r="AI58" i="24"/>
  <c r="AA58" i="24"/>
  <c r="CM74" i="24"/>
  <c r="CE74" i="24"/>
  <c r="BW74" i="24"/>
  <c r="BO74" i="24"/>
  <c r="BG74" i="24"/>
  <c r="AY74" i="24"/>
  <c r="AQ74" i="24"/>
  <c r="AI74" i="24"/>
  <c r="CL74" i="24"/>
  <c r="CD74" i="24"/>
  <c r="BV74" i="24"/>
  <c r="BN74" i="24"/>
  <c r="BF74" i="24"/>
  <c r="AX74" i="24"/>
  <c r="AP74" i="24"/>
  <c r="AH74" i="24"/>
  <c r="CK74" i="24"/>
  <c r="CC74" i="24"/>
  <c r="BU74" i="24"/>
  <c r="BM74" i="24"/>
  <c r="BE74" i="24"/>
  <c r="AW74" i="24"/>
  <c r="AO74" i="24"/>
  <c r="AG74" i="24"/>
  <c r="CJ74" i="24"/>
  <c r="CB74" i="24"/>
  <c r="BT74" i="24"/>
  <c r="BL74" i="24"/>
  <c r="BD74" i="24"/>
  <c r="AV74" i="24"/>
  <c r="AN74" i="24"/>
  <c r="AF74" i="24"/>
  <c r="CQ74" i="24"/>
  <c r="CI74" i="24"/>
  <c r="CA74" i="24"/>
  <c r="BS74" i="24"/>
  <c r="BK74" i="24"/>
  <c r="BC74" i="24"/>
  <c r="AU74" i="24"/>
  <c r="AM74" i="24"/>
  <c r="AE74" i="24"/>
  <c r="CO74" i="24"/>
  <c r="CG74" i="24"/>
  <c r="BY74" i="24"/>
  <c r="BQ74" i="24"/>
  <c r="BI74" i="24"/>
  <c r="BA74" i="24"/>
  <c r="AS74" i="24"/>
  <c r="AK74" i="24"/>
  <c r="CN74" i="24"/>
  <c r="CF74" i="24"/>
  <c r="BX74" i="24"/>
  <c r="BP74" i="24"/>
  <c r="BH74" i="24"/>
  <c r="AZ74" i="24"/>
  <c r="AR74" i="24"/>
  <c r="AJ74" i="24"/>
  <c r="BZ74" i="24"/>
  <c r="BR74" i="24"/>
  <c r="BJ74" i="24"/>
  <c r="BB74" i="24"/>
  <c r="AT74" i="24"/>
  <c r="AL74" i="24"/>
  <c r="CP74" i="24"/>
  <c r="AD74" i="24"/>
  <c r="CL90" i="24"/>
  <c r="CD90" i="24"/>
  <c r="BV90" i="24"/>
  <c r="BN90" i="24"/>
  <c r="BF90" i="24"/>
  <c r="AX90" i="24"/>
  <c r="AP90" i="24"/>
  <c r="CK90" i="24"/>
  <c r="CC90" i="24"/>
  <c r="BU90" i="24"/>
  <c r="BM90" i="24"/>
  <c r="BE90" i="24"/>
  <c r="AW90" i="24"/>
  <c r="AO90" i="24"/>
  <c r="CJ90" i="24"/>
  <c r="CB90" i="24"/>
  <c r="BT90" i="24"/>
  <c r="BL90" i="24"/>
  <c r="BD90" i="24"/>
  <c r="AV90" i="24"/>
  <c r="AN90" i="24"/>
  <c r="CP90" i="24"/>
  <c r="CH90" i="24"/>
  <c r="BZ90" i="24"/>
  <c r="BR90" i="24"/>
  <c r="BJ90" i="24"/>
  <c r="BB90" i="24"/>
  <c r="AT90" i="24"/>
  <c r="AL90" i="24"/>
  <c r="CO90" i="24"/>
  <c r="CG90" i="24"/>
  <c r="BY90" i="24"/>
  <c r="BQ90" i="24"/>
  <c r="BI90" i="24"/>
  <c r="BA90" i="24"/>
  <c r="AS90" i="24"/>
  <c r="CA90" i="24"/>
  <c r="BG90" i="24"/>
  <c r="BX90" i="24"/>
  <c r="BC90" i="24"/>
  <c r="CQ90" i="24"/>
  <c r="BW90" i="24"/>
  <c r="AZ90" i="24"/>
  <c r="CN90" i="24"/>
  <c r="BS90" i="24"/>
  <c r="AY90" i="24"/>
  <c r="CM90" i="24"/>
  <c r="BP90" i="24"/>
  <c r="AU90" i="24"/>
  <c r="CI90" i="24"/>
  <c r="BO90" i="24"/>
  <c r="AR90" i="24"/>
  <c r="CF90" i="24"/>
  <c r="BK90" i="24"/>
  <c r="AQ90" i="24"/>
  <c r="CE90" i="24"/>
  <c r="BH90" i="24"/>
  <c r="AM90" i="24"/>
  <c r="N39" i="24"/>
  <c r="V39" i="24"/>
  <c r="AD39" i="24"/>
  <c r="AL39" i="24"/>
  <c r="AT39" i="24"/>
  <c r="BB39" i="24"/>
  <c r="BJ39" i="24"/>
  <c r="BR39" i="24"/>
  <c r="BZ39" i="24"/>
  <c r="CH39" i="24"/>
  <c r="CP39" i="24"/>
  <c r="S40" i="24"/>
  <c r="AA40" i="24"/>
  <c r="AI40" i="24"/>
  <c r="AQ40" i="24"/>
  <c r="AY40" i="24"/>
  <c r="BG40" i="24"/>
  <c r="BO40" i="24"/>
  <c r="BW40" i="24"/>
  <c r="CE40" i="24"/>
  <c r="CM40" i="24"/>
  <c r="P42" i="24"/>
  <c r="X42" i="24"/>
  <c r="AF42" i="24"/>
  <c r="AN42" i="24"/>
  <c r="AV42" i="24"/>
  <c r="BD42" i="24"/>
  <c r="BL42" i="24"/>
  <c r="BT42" i="24"/>
  <c r="CB42" i="24"/>
  <c r="CJ42" i="24"/>
  <c r="U44" i="24"/>
  <c r="AC44" i="24"/>
  <c r="AK44" i="24"/>
  <c r="AS44" i="24"/>
  <c r="BA44" i="24"/>
  <c r="BI44" i="24"/>
  <c r="BQ44" i="24"/>
  <c r="BY44" i="24"/>
  <c r="CG44" i="24"/>
  <c r="CO44" i="24"/>
  <c r="R46" i="24"/>
  <c r="Z46" i="24"/>
  <c r="AH46" i="24"/>
  <c r="AP46" i="24"/>
  <c r="AX46" i="24"/>
  <c r="BS46" i="24"/>
  <c r="T48" i="24"/>
  <c r="AM50" i="24"/>
  <c r="T52" i="24"/>
  <c r="BD54" i="24"/>
  <c r="AK56" i="24"/>
  <c r="CD58" i="24"/>
  <c r="AO72" i="24"/>
  <c r="CK48" i="24"/>
  <c r="CC48" i="24"/>
  <c r="BU48" i="24"/>
  <c r="BM48" i="24"/>
  <c r="BE48" i="24"/>
  <c r="AW48" i="24"/>
  <c r="AO48" i="24"/>
  <c r="AG48" i="24"/>
  <c r="Y48" i="24"/>
  <c r="Q48" i="24"/>
  <c r="CJ48" i="24"/>
  <c r="CB48" i="24"/>
  <c r="BT48" i="24"/>
  <c r="BL48" i="24"/>
  <c r="BD48" i="24"/>
  <c r="AV48" i="24"/>
  <c r="AN48" i="24"/>
  <c r="AF48" i="24"/>
  <c r="X48" i="24"/>
  <c r="CQ48" i="24"/>
  <c r="CI48" i="24"/>
  <c r="CA48" i="24"/>
  <c r="BS48" i="24"/>
  <c r="BK48" i="24"/>
  <c r="BC48" i="24"/>
  <c r="AU48" i="24"/>
  <c r="AM48" i="24"/>
  <c r="AE48" i="24"/>
  <c r="W48" i="24"/>
  <c r="CP48" i="24"/>
  <c r="CH48" i="24"/>
  <c r="BZ48" i="24"/>
  <c r="BR48" i="24"/>
  <c r="BJ48" i="24"/>
  <c r="BB48" i="24"/>
  <c r="AT48" i="24"/>
  <c r="AL48" i="24"/>
  <c r="AD48" i="24"/>
  <c r="V48" i="24"/>
  <c r="CO48" i="24"/>
  <c r="CG48" i="24"/>
  <c r="BY48" i="24"/>
  <c r="BQ48" i="24"/>
  <c r="BI48" i="24"/>
  <c r="BA48" i="24"/>
  <c r="AS48" i="24"/>
  <c r="AK48" i="24"/>
  <c r="AC48" i="24"/>
  <c r="U48" i="24"/>
  <c r="CN48" i="24"/>
  <c r="CF48" i="24"/>
  <c r="BX48" i="24"/>
  <c r="BP48" i="24"/>
  <c r="BH48" i="24"/>
  <c r="AZ48" i="24"/>
  <c r="CM48" i="24"/>
  <c r="CE48" i="24"/>
  <c r="BW48" i="24"/>
  <c r="BO48" i="24"/>
  <c r="BG48" i="24"/>
  <c r="AY48" i="24"/>
  <c r="AQ48" i="24"/>
  <c r="AI48" i="24"/>
  <c r="AA48" i="24"/>
  <c r="S48" i="24"/>
  <c r="CM52" i="24"/>
  <c r="CE52" i="24"/>
  <c r="BW52" i="24"/>
  <c r="BO52" i="24"/>
  <c r="BG52" i="24"/>
  <c r="AY52" i="24"/>
  <c r="AQ52" i="24"/>
  <c r="AI52" i="24"/>
  <c r="AA52" i="24"/>
  <c r="S52" i="24"/>
  <c r="CL52" i="24"/>
  <c r="CD52" i="24"/>
  <c r="BV52" i="24"/>
  <c r="BN52" i="24"/>
  <c r="BF52" i="24"/>
  <c r="AX52" i="24"/>
  <c r="AP52" i="24"/>
  <c r="AH52" i="24"/>
  <c r="Z52" i="24"/>
  <c r="CK52" i="24"/>
  <c r="CC52" i="24"/>
  <c r="BU52" i="24"/>
  <c r="BM52" i="24"/>
  <c r="BE52" i="24"/>
  <c r="AW52" i="24"/>
  <c r="AO52" i="24"/>
  <c r="AG52" i="24"/>
  <c r="Y52" i="24"/>
  <c r="CJ52" i="24"/>
  <c r="CB52" i="24"/>
  <c r="BT52" i="24"/>
  <c r="BL52" i="24"/>
  <c r="BD52" i="24"/>
  <c r="AV52" i="24"/>
  <c r="AN52" i="24"/>
  <c r="AF52" i="24"/>
  <c r="X52" i="24"/>
  <c r="CQ52" i="24"/>
  <c r="CI52" i="24"/>
  <c r="CA52" i="24"/>
  <c r="BS52" i="24"/>
  <c r="BK52" i="24"/>
  <c r="BC52" i="24"/>
  <c r="AU52" i="24"/>
  <c r="AM52" i="24"/>
  <c r="AE52" i="24"/>
  <c r="W52" i="24"/>
  <c r="CP52" i="24"/>
  <c r="CH52" i="24"/>
  <c r="BZ52" i="24"/>
  <c r="BR52" i="24"/>
  <c r="BJ52" i="24"/>
  <c r="BB52" i="24"/>
  <c r="AT52" i="24"/>
  <c r="AL52" i="24"/>
  <c r="AD52" i="24"/>
  <c r="V52" i="24"/>
  <c r="CO52" i="24"/>
  <c r="CG52" i="24"/>
  <c r="BY52" i="24"/>
  <c r="BQ52" i="24"/>
  <c r="BI52" i="24"/>
  <c r="BA52" i="24"/>
  <c r="AS52" i="24"/>
  <c r="AK52" i="24"/>
  <c r="AC52" i="24"/>
  <c r="U52" i="24"/>
  <c r="CJ60" i="24"/>
  <c r="CB60" i="24"/>
  <c r="BT60" i="24"/>
  <c r="BL60" i="24"/>
  <c r="CQ60" i="24"/>
  <c r="CI60" i="24"/>
  <c r="CA60" i="24"/>
  <c r="BS60" i="24"/>
  <c r="BK60" i="24"/>
  <c r="CO60" i="24"/>
  <c r="CG60" i="24"/>
  <c r="BY60" i="24"/>
  <c r="BQ60" i="24"/>
  <c r="BI60" i="24"/>
  <c r="CN60" i="24"/>
  <c r="CF60" i="24"/>
  <c r="BX60" i="24"/>
  <c r="BP60" i="24"/>
  <c r="CL60" i="24"/>
  <c r="CD60" i="24"/>
  <c r="BV60" i="24"/>
  <c r="BN60" i="24"/>
  <c r="BF60" i="24"/>
  <c r="CK60" i="24"/>
  <c r="CC60" i="24"/>
  <c r="BU60" i="24"/>
  <c r="BO60" i="24"/>
  <c r="BB60" i="24"/>
  <c r="AT60" i="24"/>
  <c r="AL60" i="24"/>
  <c r="AD60" i="24"/>
  <c r="CP60" i="24"/>
  <c r="BM60" i="24"/>
  <c r="BA60" i="24"/>
  <c r="AS60" i="24"/>
  <c r="AK60" i="24"/>
  <c r="AC60" i="24"/>
  <c r="CM60" i="24"/>
  <c r="BJ60" i="24"/>
  <c r="AZ60" i="24"/>
  <c r="AR60" i="24"/>
  <c r="AJ60" i="24"/>
  <c r="AB60" i="24"/>
  <c r="CH60" i="24"/>
  <c r="BH60" i="24"/>
  <c r="AY60" i="24"/>
  <c r="AQ60" i="24"/>
  <c r="AI60" i="24"/>
  <c r="AA60" i="24"/>
  <c r="CE60" i="24"/>
  <c r="BG60" i="24"/>
  <c r="AX60" i="24"/>
  <c r="AP60" i="24"/>
  <c r="AH60" i="24"/>
  <c r="Z60" i="24"/>
  <c r="BZ60" i="24"/>
  <c r="BE60" i="24"/>
  <c r="AW60" i="24"/>
  <c r="AO60" i="24"/>
  <c r="AG60" i="24"/>
  <c r="Y60" i="24"/>
  <c r="BW60" i="24"/>
  <c r="BD60" i="24"/>
  <c r="AV60" i="24"/>
  <c r="AN60" i="24"/>
  <c r="AF60" i="24"/>
  <c r="X60" i="24"/>
  <c r="CP76" i="24"/>
  <c r="CH76" i="24"/>
  <c r="BZ76" i="24"/>
  <c r="CO76" i="24"/>
  <c r="CG76" i="24"/>
  <c r="BY76" i="24"/>
  <c r="CN76" i="24"/>
  <c r="CF76" i="24"/>
  <c r="BX76" i="24"/>
  <c r="CM76" i="24"/>
  <c r="CE76" i="24"/>
  <c r="BW76" i="24"/>
  <c r="CL76" i="24"/>
  <c r="CD76" i="24"/>
  <c r="BV76" i="24"/>
  <c r="CK76" i="24"/>
  <c r="CC76" i="24"/>
  <c r="CJ76" i="24"/>
  <c r="CB76" i="24"/>
  <c r="CQ76" i="24"/>
  <c r="CI76" i="24"/>
  <c r="CA76" i="24"/>
  <c r="BT76" i="24"/>
  <c r="BL76" i="24"/>
  <c r="BD76" i="24"/>
  <c r="AV76" i="24"/>
  <c r="AN76" i="24"/>
  <c r="AF76" i="24"/>
  <c r="BS76" i="24"/>
  <c r="BK76" i="24"/>
  <c r="BC76" i="24"/>
  <c r="AU76" i="24"/>
  <c r="AM76" i="24"/>
  <c r="AE76" i="24"/>
  <c r="BR76" i="24"/>
  <c r="BJ76" i="24"/>
  <c r="BB76" i="24"/>
  <c r="AT76" i="24"/>
  <c r="AL76" i="24"/>
  <c r="BQ76" i="24"/>
  <c r="BI76" i="24"/>
  <c r="BA76" i="24"/>
  <c r="AS76" i="24"/>
  <c r="AK76" i="24"/>
  <c r="BP76" i="24"/>
  <c r="BH76" i="24"/>
  <c r="AZ76" i="24"/>
  <c r="AR76" i="24"/>
  <c r="AJ76" i="24"/>
  <c r="BN76" i="24"/>
  <c r="BF76" i="24"/>
  <c r="AX76" i="24"/>
  <c r="AP76" i="24"/>
  <c r="AH76" i="24"/>
  <c r="BU76" i="24"/>
  <c r="BM76" i="24"/>
  <c r="BE76" i="24"/>
  <c r="AW76" i="24"/>
  <c r="AO76" i="24"/>
  <c r="AG76" i="24"/>
  <c r="BG76" i="24"/>
  <c r="AY76" i="24"/>
  <c r="AQ76" i="24"/>
  <c r="AI76" i="24"/>
  <c r="CP92" i="24"/>
  <c r="CH92" i="24"/>
  <c r="BZ92" i="24"/>
  <c r="BR92" i="24"/>
  <c r="BJ92" i="24"/>
  <c r="BB92" i="24"/>
  <c r="AT92" i="24"/>
  <c r="CO92" i="24"/>
  <c r="CG92" i="24"/>
  <c r="BY92" i="24"/>
  <c r="BQ92" i="24"/>
  <c r="BI92" i="24"/>
  <c r="BA92" i="24"/>
  <c r="AS92" i="24"/>
  <c r="CN92" i="24"/>
  <c r="CF92" i="24"/>
  <c r="BX92" i="24"/>
  <c r="BP92" i="24"/>
  <c r="BH92" i="24"/>
  <c r="AZ92" i="24"/>
  <c r="AR92" i="24"/>
  <c r="CL92" i="24"/>
  <c r="CD92" i="24"/>
  <c r="BV92" i="24"/>
  <c r="BN92" i="24"/>
  <c r="BF92" i="24"/>
  <c r="AX92" i="24"/>
  <c r="AP92" i="24"/>
  <c r="CK92" i="24"/>
  <c r="CC92" i="24"/>
  <c r="BU92" i="24"/>
  <c r="BM92" i="24"/>
  <c r="BE92" i="24"/>
  <c r="AW92" i="24"/>
  <c r="AO92" i="24"/>
  <c r="CA92" i="24"/>
  <c r="BD92" i="24"/>
  <c r="BW92" i="24"/>
  <c r="BC92" i="24"/>
  <c r="CQ92" i="24"/>
  <c r="BT92" i="24"/>
  <c r="AY92" i="24"/>
  <c r="CM92" i="24"/>
  <c r="BS92" i="24"/>
  <c r="AV92" i="24"/>
  <c r="CJ92" i="24"/>
  <c r="BO92" i="24"/>
  <c r="AU92" i="24"/>
  <c r="CI92" i="24"/>
  <c r="BL92" i="24"/>
  <c r="AQ92" i="24"/>
  <c r="CE92" i="24"/>
  <c r="BK92" i="24"/>
  <c r="AN92" i="24"/>
  <c r="CB92" i="24"/>
  <c r="BG92" i="24"/>
  <c r="AM92" i="24"/>
  <c r="O39" i="24"/>
  <c r="W39" i="24"/>
  <c r="AE39" i="24"/>
  <c r="AM39" i="24"/>
  <c r="AU39" i="24"/>
  <c r="BC39" i="24"/>
  <c r="BK39" i="24"/>
  <c r="BS39" i="24"/>
  <c r="CA39" i="24"/>
  <c r="CI39" i="24"/>
  <c r="CQ39" i="24"/>
  <c r="T40" i="24"/>
  <c r="AB40" i="24"/>
  <c r="AJ40" i="24"/>
  <c r="AR40" i="24"/>
  <c r="AZ40" i="24"/>
  <c r="BH40" i="24"/>
  <c r="BP40" i="24"/>
  <c r="BX40" i="24"/>
  <c r="CF40" i="24"/>
  <c r="CN40" i="24"/>
  <c r="Q42" i="24"/>
  <c r="Y42" i="24"/>
  <c r="AG42" i="24"/>
  <c r="AO42" i="24"/>
  <c r="AW42" i="24"/>
  <c r="BE42" i="24"/>
  <c r="BM42" i="24"/>
  <c r="BU42" i="24"/>
  <c r="CC42" i="24"/>
  <c r="CK42" i="24"/>
  <c r="V44" i="24"/>
  <c r="AD44" i="24"/>
  <c r="AL44" i="24"/>
  <c r="AT44" i="24"/>
  <c r="BB44" i="24"/>
  <c r="BJ44" i="24"/>
  <c r="BR44" i="24"/>
  <c r="BZ44" i="24"/>
  <c r="CH44" i="24"/>
  <c r="CP44" i="24"/>
  <c r="S46" i="24"/>
  <c r="AA46" i="24"/>
  <c r="AI46" i="24"/>
  <c r="AQ46" i="24"/>
  <c r="AY46" i="24"/>
  <c r="Z48" i="24"/>
  <c r="BN48" i="24"/>
  <c r="AU50" i="24"/>
  <c r="AB52" i="24"/>
  <c r="CN52" i="24"/>
  <c r="BL54" i="24"/>
  <c r="AS56" i="24"/>
  <c r="Z58" i="24"/>
  <c r="CL58" i="24"/>
  <c r="CL64" i="24"/>
  <c r="CD64" i="24"/>
  <c r="BV64" i="24"/>
  <c r="BN64" i="24"/>
  <c r="BF64" i="24"/>
  <c r="AX64" i="24"/>
  <c r="AP64" i="24"/>
  <c r="AH64" i="24"/>
  <c r="Z64" i="24"/>
  <c r="CK64" i="24"/>
  <c r="CC64" i="24"/>
  <c r="BU64" i="24"/>
  <c r="BM64" i="24"/>
  <c r="BE64" i="24"/>
  <c r="AW64" i="24"/>
  <c r="AO64" i="24"/>
  <c r="AG64" i="24"/>
  <c r="Y64" i="24"/>
  <c r="CJ64" i="24"/>
  <c r="CB64" i="24"/>
  <c r="BT64" i="24"/>
  <c r="BL64" i="24"/>
  <c r="BD64" i="24"/>
  <c r="AV64" i="24"/>
  <c r="AN64" i="24"/>
  <c r="AF64" i="24"/>
  <c r="CQ64" i="24"/>
  <c r="CI64" i="24"/>
  <c r="CA64" i="24"/>
  <c r="BS64" i="24"/>
  <c r="BK64" i="24"/>
  <c r="BC64" i="24"/>
  <c r="AU64" i="24"/>
  <c r="AM64" i="24"/>
  <c r="AE64" i="24"/>
  <c r="CP64" i="24"/>
  <c r="CH64" i="24"/>
  <c r="BZ64" i="24"/>
  <c r="BR64" i="24"/>
  <c r="BJ64" i="24"/>
  <c r="BB64" i="24"/>
  <c r="AT64" i="24"/>
  <c r="AL64" i="24"/>
  <c r="AD64" i="24"/>
  <c r="CN64" i="24"/>
  <c r="CF64" i="24"/>
  <c r="BX64" i="24"/>
  <c r="BP64" i="24"/>
  <c r="BH64" i="24"/>
  <c r="AZ64" i="24"/>
  <c r="AR64" i="24"/>
  <c r="AJ64" i="24"/>
  <c r="AB64" i="24"/>
  <c r="CM64" i="24"/>
  <c r="CE64" i="24"/>
  <c r="BW64" i="24"/>
  <c r="BO64" i="24"/>
  <c r="BG64" i="24"/>
  <c r="AY64" i="24"/>
  <c r="AQ64" i="24"/>
  <c r="AI64" i="24"/>
  <c r="AA64" i="24"/>
  <c r="AS64" i="24"/>
  <c r="AK64" i="24"/>
  <c r="CO64" i="24"/>
  <c r="AC64" i="24"/>
  <c r="CG64" i="24"/>
  <c r="BY64" i="24"/>
  <c r="BQ64" i="24"/>
  <c r="BI64" i="24"/>
  <c r="CP100" i="24"/>
  <c r="CH100" i="24"/>
  <c r="BZ100" i="24"/>
  <c r="BR100" i="24"/>
  <c r="BJ100" i="24"/>
  <c r="BB100" i="24"/>
  <c r="AT100" i="24"/>
  <c r="CO100" i="24"/>
  <c r="CG100" i="24"/>
  <c r="BY100" i="24"/>
  <c r="BQ100" i="24"/>
  <c r="BI100" i="24"/>
  <c r="BA100" i="24"/>
  <c r="AS100" i="24"/>
  <c r="CN100" i="24"/>
  <c r="CF100" i="24"/>
  <c r="BX100" i="24"/>
  <c r="BP100" i="24"/>
  <c r="BH100" i="24"/>
  <c r="AZ100" i="24"/>
  <c r="AR100" i="24"/>
  <c r="CL100" i="24"/>
  <c r="CD100" i="24"/>
  <c r="BV100" i="24"/>
  <c r="BN100" i="24"/>
  <c r="BF100" i="24"/>
  <c r="AX100" i="24"/>
  <c r="CK100" i="24"/>
  <c r="CC100" i="24"/>
  <c r="BU100" i="24"/>
  <c r="BM100" i="24"/>
  <c r="BE100" i="24"/>
  <c r="AW100" i="24"/>
  <c r="CA100" i="24"/>
  <c r="BD100" i="24"/>
  <c r="BW100" i="24"/>
  <c r="BC100" i="24"/>
  <c r="CQ100" i="24"/>
  <c r="BT100" i="24"/>
  <c r="AY100" i="24"/>
  <c r="CM100" i="24"/>
  <c r="BS100" i="24"/>
  <c r="AV100" i="24"/>
  <c r="CJ100" i="24"/>
  <c r="BO100" i="24"/>
  <c r="AU100" i="24"/>
  <c r="CI100" i="24"/>
  <c r="BL100" i="24"/>
  <c r="AQ100" i="24"/>
  <c r="CE100" i="24"/>
  <c r="BK100" i="24"/>
  <c r="CB100" i="24"/>
  <c r="BG100" i="24"/>
  <c r="CN46" i="24"/>
  <c r="CF46" i="24"/>
  <c r="BX46" i="24"/>
  <c r="BP46" i="24"/>
  <c r="BH46" i="24"/>
  <c r="AZ46" i="24"/>
  <c r="CM46" i="24"/>
  <c r="CE46" i="24"/>
  <c r="BW46" i="24"/>
  <c r="BO46" i="24"/>
  <c r="BG46" i="24"/>
  <c r="CL46" i="24"/>
  <c r="CD46" i="24"/>
  <c r="BV46" i="24"/>
  <c r="BN46" i="24"/>
  <c r="BF46" i="24"/>
  <c r="CK46" i="24"/>
  <c r="CC46" i="24"/>
  <c r="BU46" i="24"/>
  <c r="BM46" i="24"/>
  <c r="BE46" i="24"/>
  <c r="CJ46" i="24"/>
  <c r="CB46" i="24"/>
  <c r="BT46" i="24"/>
  <c r="BL46" i="24"/>
  <c r="CP46" i="24"/>
  <c r="CH46" i="24"/>
  <c r="BZ46" i="24"/>
  <c r="BR46" i="24"/>
  <c r="BJ46" i="24"/>
  <c r="BB46" i="24"/>
  <c r="CO62" i="24"/>
  <c r="CG62" i="24"/>
  <c r="BY62" i="24"/>
  <c r="BQ62" i="24"/>
  <c r="BI62" i="24"/>
  <c r="BA62" i="24"/>
  <c r="AS62" i="24"/>
  <c r="AK62" i="24"/>
  <c r="AC62" i="24"/>
  <c r="CN62" i="24"/>
  <c r="CF62" i="24"/>
  <c r="BX62" i="24"/>
  <c r="BP62" i="24"/>
  <c r="BH62" i="24"/>
  <c r="AZ62" i="24"/>
  <c r="AR62" i="24"/>
  <c r="AJ62" i="24"/>
  <c r="AB62" i="24"/>
  <c r="CM62" i="24"/>
  <c r="CE62" i="24"/>
  <c r="BW62" i="24"/>
  <c r="BO62" i="24"/>
  <c r="BG62" i="24"/>
  <c r="AY62" i="24"/>
  <c r="AQ62" i="24"/>
  <c r="AI62" i="24"/>
  <c r="CL62" i="24"/>
  <c r="CD62" i="24"/>
  <c r="BV62" i="24"/>
  <c r="BN62" i="24"/>
  <c r="BF62" i="24"/>
  <c r="AX62" i="24"/>
  <c r="AP62" i="24"/>
  <c r="AH62" i="24"/>
  <c r="Z62" i="24"/>
  <c r="CK62" i="24"/>
  <c r="CC62" i="24"/>
  <c r="BU62" i="24"/>
  <c r="BM62" i="24"/>
  <c r="BE62" i="24"/>
  <c r="AW62" i="24"/>
  <c r="AO62" i="24"/>
  <c r="AG62" i="24"/>
  <c r="Y62" i="24"/>
  <c r="CQ62" i="24"/>
  <c r="CI62" i="24"/>
  <c r="CA62" i="24"/>
  <c r="BS62" i="24"/>
  <c r="BK62" i="24"/>
  <c r="BC62" i="24"/>
  <c r="AU62" i="24"/>
  <c r="AM62" i="24"/>
  <c r="AE62" i="24"/>
  <c r="CP62" i="24"/>
  <c r="CH62" i="24"/>
  <c r="BZ62" i="24"/>
  <c r="BR62" i="24"/>
  <c r="BJ62" i="24"/>
  <c r="BB62" i="24"/>
  <c r="AT62" i="24"/>
  <c r="AL62" i="24"/>
  <c r="AD62" i="24"/>
  <c r="BL62" i="24"/>
  <c r="BD62" i="24"/>
  <c r="AV62" i="24"/>
  <c r="AN62" i="24"/>
  <c r="AF62" i="24"/>
  <c r="CJ62" i="24"/>
  <c r="AA62" i="24"/>
  <c r="CB62" i="24"/>
  <c r="X62" i="24"/>
  <c r="CM78" i="24"/>
  <c r="CE78" i="24"/>
  <c r="BW78" i="24"/>
  <c r="BO78" i="24"/>
  <c r="BG78" i="24"/>
  <c r="AY78" i="24"/>
  <c r="AQ78" i="24"/>
  <c r="AI78" i="24"/>
  <c r="CL78" i="24"/>
  <c r="CD78" i="24"/>
  <c r="BV78" i="24"/>
  <c r="BN78" i="24"/>
  <c r="BF78" i="24"/>
  <c r="AX78" i="24"/>
  <c r="AP78" i="24"/>
  <c r="AH78" i="24"/>
  <c r="CK78" i="24"/>
  <c r="CC78" i="24"/>
  <c r="BU78" i="24"/>
  <c r="BM78" i="24"/>
  <c r="BE78" i="24"/>
  <c r="AW78" i="24"/>
  <c r="AO78" i="24"/>
  <c r="AG78" i="24"/>
  <c r="CJ78" i="24"/>
  <c r="CB78" i="24"/>
  <c r="BT78" i="24"/>
  <c r="BL78" i="24"/>
  <c r="BD78" i="24"/>
  <c r="AV78" i="24"/>
  <c r="AN78" i="24"/>
  <c r="AF78" i="24"/>
  <c r="CQ78" i="24"/>
  <c r="CI78" i="24"/>
  <c r="CA78" i="24"/>
  <c r="BS78" i="24"/>
  <c r="BK78" i="24"/>
  <c r="BC78" i="24"/>
  <c r="AU78" i="24"/>
  <c r="AM78" i="24"/>
  <c r="CP78" i="24"/>
  <c r="CH78" i="24"/>
  <c r="BZ78" i="24"/>
  <c r="BR78" i="24"/>
  <c r="BJ78" i="24"/>
  <c r="BB78" i="24"/>
  <c r="AT78" i="24"/>
  <c r="AL78" i="24"/>
  <c r="CO78" i="24"/>
  <c r="CG78" i="24"/>
  <c r="BY78" i="24"/>
  <c r="BQ78" i="24"/>
  <c r="BI78" i="24"/>
  <c r="BA78" i="24"/>
  <c r="AS78" i="24"/>
  <c r="AK78" i="24"/>
  <c r="CN78" i="24"/>
  <c r="CF78" i="24"/>
  <c r="BX78" i="24"/>
  <c r="BP78" i="24"/>
  <c r="BH78" i="24"/>
  <c r="AZ78" i="24"/>
  <c r="AR78" i="24"/>
  <c r="AJ78" i="24"/>
  <c r="CL94" i="24"/>
  <c r="CD94" i="24"/>
  <c r="BV94" i="24"/>
  <c r="BN94" i="24"/>
  <c r="BF94" i="24"/>
  <c r="AX94" i="24"/>
  <c r="AP94" i="24"/>
  <c r="CK94" i="24"/>
  <c r="CC94" i="24"/>
  <c r="BU94" i="24"/>
  <c r="BM94" i="24"/>
  <c r="BE94" i="24"/>
  <c r="AW94" i="24"/>
  <c r="AO94" i="24"/>
  <c r="CJ94" i="24"/>
  <c r="CB94" i="24"/>
  <c r="BT94" i="24"/>
  <c r="BL94" i="24"/>
  <c r="BD94" i="24"/>
  <c r="AV94" i="24"/>
  <c r="AN94" i="24"/>
  <c r="CP94" i="24"/>
  <c r="CH94" i="24"/>
  <c r="BZ94" i="24"/>
  <c r="BR94" i="24"/>
  <c r="BJ94" i="24"/>
  <c r="BB94" i="24"/>
  <c r="AT94" i="24"/>
  <c r="CO94" i="24"/>
  <c r="CG94" i="24"/>
  <c r="BY94" i="24"/>
  <c r="BQ94" i="24"/>
  <c r="BI94" i="24"/>
  <c r="BA94" i="24"/>
  <c r="AS94" i="24"/>
  <c r="CA94" i="24"/>
  <c r="BG94" i="24"/>
  <c r="BX94" i="24"/>
  <c r="BC94" i="24"/>
  <c r="CQ94" i="24"/>
  <c r="BW94" i="24"/>
  <c r="AZ94" i="24"/>
  <c r="CN94" i="24"/>
  <c r="BS94" i="24"/>
  <c r="AY94" i="24"/>
  <c r="CM94" i="24"/>
  <c r="BP94" i="24"/>
  <c r="AU94" i="24"/>
  <c r="CI94" i="24"/>
  <c r="BO94" i="24"/>
  <c r="AR94" i="24"/>
  <c r="CF94" i="24"/>
  <c r="BK94" i="24"/>
  <c r="AQ94" i="24"/>
  <c r="CE94" i="24"/>
  <c r="BH94" i="24"/>
  <c r="P39" i="24"/>
  <c r="X39" i="24"/>
  <c r="AF39" i="24"/>
  <c r="AN39" i="24"/>
  <c r="AV39" i="24"/>
  <c r="BD39" i="24"/>
  <c r="BL39" i="24"/>
  <c r="BT39" i="24"/>
  <c r="CB39" i="24"/>
  <c r="M40" i="24"/>
  <c r="U40" i="24"/>
  <c r="AC40" i="24"/>
  <c r="AK40" i="24"/>
  <c r="AS40" i="24"/>
  <c r="BA40" i="24"/>
  <c r="BI40" i="24"/>
  <c r="BQ40" i="24"/>
  <c r="BY40" i="24"/>
  <c r="CG40" i="24"/>
  <c r="R42" i="24"/>
  <c r="Z42" i="24"/>
  <c r="AH42" i="24"/>
  <c r="AP42" i="24"/>
  <c r="AX42" i="24"/>
  <c r="BF42" i="24"/>
  <c r="BN42" i="24"/>
  <c r="BV42" i="24"/>
  <c r="CD42" i="24"/>
  <c r="O44" i="24"/>
  <c r="W44" i="24"/>
  <c r="AE44" i="24"/>
  <c r="AM44" i="24"/>
  <c r="AU44" i="24"/>
  <c r="BC44" i="24"/>
  <c r="BK44" i="24"/>
  <c r="BS44" i="24"/>
  <c r="CA44" i="24"/>
  <c r="CI44" i="24"/>
  <c r="T46" i="24"/>
  <c r="AB46" i="24"/>
  <c r="AJ46" i="24"/>
  <c r="AR46" i="24"/>
  <c r="BA46" i="24"/>
  <c r="CA46" i="24"/>
  <c r="AB48" i="24"/>
  <c r="BV48" i="24"/>
  <c r="BC50" i="24"/>
  <c r="AJ52" i="24"/>
  <c r="BT54" i="24"/>
  <c r="BA56" i="24"/>
  <c r="AH58" i="24"/>
  <c r="BT62" i="24"/>
  <c r="CH74" i="24"/>
  <c r="C20" i="19"/>
  <c r="D110" i="19"/>
  <c r="DG110" i="19" s="1"/>
  <c r="D111" i="19"/>
  <c r="D112" i="19"/>
  <c r="DI112" i="19" s="1"/>
  <c r="DI152" i="19" s="1"/>
  <c r="DE236" i="24" l="1"/>
  <c r="DD236" i="24"/>
  <c r="CV236" i="24"/>
  <c r="DA236" i="24"/>
  <c r="CW236" i="24"/>
  <c r="CZ236" i="24"/>
  <c r="CY236" i="24"/>
  <c r="CX236" i="24"/>
  <c r="DB236" i="24"/>
  <c r="CU236" i="24"/>
  <c r="CT236" i="24"/>
  <c r="CS236" i="24"/>
  <c r="CR236" i="24"/>
  <c r="CP236" i="24"/>
  <c r="CQ236" i="24"/>
  <c r="DG112" i="19"/>
  <c r="DH112" i="19"/>
  <c r="DG111" i="19"/>
  <c r="DH111" i="19"/>
  <c r="CO236" i="24"/>
  <c r="DF111" i="19"/>
  <c r="DE111" i="19"/>
  <c r="DE110" i="19"/>
  <c r="DF110" i="19"/>
  <c r="DF112" i="19"/>
  <c r="DE112" i="19"/>
  <c r="DD110" i="19"/>
  <c r="DB110" i="19"/>
  <c r="DC110" i="19"/>
  <c r="CY110" i="19"/>
  <c r="CZ110" i="19"/>
  <c r="DA110" i="19"/>
  <c r="CV110" i="19"/>
  <c r="CW110" i="19"/>
  <c r="CX110" i="19"/>
  <c r="CT110" i="19"/>
  <c r="CU110" i="19"/>
  <c r="CS110" i="19"/>
  <c r="DB112" i="19"/>
  <c r="DC112" i="19"/>
  <c r="DD112" i="19"/>
  <c r="CY112" i="19"/>
  <c r="CZ112" i="19"/>
  <c r="DA112" i="19"/>
  <c r="CW112" i="19"/>
  <c r="CX112" i="19"/>
  <c r="CV112" i="19"/>
  <c r="CS112" i="19"/>
  <c r="CT112" i="19"/>
  <c r="CU112" i="19"/>
  <c r="DB111" i="19"/>
  <c r="DC111" i="19"/>
  <c r="DD111" i="19"/>
  <c r="DA111" i="19"/>
  <c r="CZ111" i="19"/>
  <c r="CY111" i="19"/>
  <c r="CX111" i="19"/>
  <c r="CV111" i="19"/>
  <c r="CW111" i="19"/>
  <c r="CS111" i="19"/>
  <c r="CT111" i="19"/>
  <c r="CU111" i="19"/>
  <c r="CL111" i="19"/>
  <c r="CP111" i="19"/>
  <c r="CQ111" i="19"/>
  <c r="CR111" i="19"/>
  <c r="CN111" i="19"/>
  <c r="CO111" i="19"/>
  <c r="CM111" i="19"/>
  <c r="CL112" i="19"/>
  <c r="CP112" i="19"/>
  <c r="CQ112" i="19"/>
  <c r="CR112" i="19"/>
  <c r="CO112" i="19"/>
  <c r="CM112" i="19"/>
  <c r="CN112" i="19"/>
  <c r="CK110" i="19"/>
  <c r="CP110" i="19"/>
  <c r="CR110" i="19"/>
  <c r="CQ110" i="19"/>
  <c r="CM110" i="19"/>
  <c r="CN110" i="19"/>
  <c r="CO110" i="19"/>
  <c r="CK111" i="19"/>
  <c r="CL110" i="19"/>
  <c r="CJ110" i="19"/>
  <c r="DG152" i="19" l="1"/>
  <c r="DH152" i="19"/>
  <c r="DH160" i="19" s="1"/>
  <c r="K65" i="13"/>
  <c r="K63" i="13"/>
  <c r="K61" i="13"/>
  <c r="K53" i="13"/>
  <c r="K51" i="13"/>
  <c r="K49" i="13"/>
  <c r="K45" i="13"/>
  <c r="K43" i="13"/>
  <c r="K37" i="13"/>
  <c r="K19" i="13"/>
  <c r="K17" i="13"/>
  <c r="K29" i="13" l="1"/>
  <c r="R40" i="10"/>
  <c r="B4" i="29"/>
  <c r="S182" i="13" l="1"/>
  <c r="Q182" i="13"/>
  <c r="B4" i="28" l="1"/>
  <c r="Q49" i="9" l="1"/>
  <c r="B20" i="27" l="1"/>
  <c r="D107" i="19" l="1"/>
  <c r="D108" i="19"/>
  <c r="DE108" i="19" s="1"/>
  <c r="D109" i="19"/>
  <c r="DE109" i="19" l="1"/>
  <c r="DF109" i="19"/>
  <c r="DF152" i="19" s="1"/>
  <c r="DE152" i="19"/>
  <c r="DB108" i="19"/>
  <c r="DC108" i="19"/>
  <c r="DD108" i="19"/>
  <c r="CY108" i="19"/>
  <c r="DA108" i="19"/>
  <c r="CZ108" i="19"/>
  <c r="CV108" i="19"/>
  <c r="CW108" i="19"/>
  <c r="CX108" i="19"/>
  <c r="CT108" i="19"/>
  <c r="CU108" i="19"/>
  <c r="CS108" i="19"/>
  <c r="DB109" i="19"/>
  <c r="DC109" i="19"/>
  <c r="DD109" i="19"/>
  <c r="CY109" i="19"/>
  <c r="CZ109" i="19"/>
  <c r="DA109" i="19"/>
  <c r="CX109" i="19"/>
  <c r="CW109" i="19"/>
  <c r="CV109" i="19"/>
  <c r="CS109" i="19"/>
  <c r="CT109" i="19"/>
  <c r="CU109" i="19"/>
  <c r="DB107" i="19"/>
  <c r="DC107" i="19"/>
  <c r="DD107" i="19"/>
  <c r="CY107" i="19"/>
  <c r="CZ107" i="19"/>
  <c r="DA107" i="19"/>
  <c r="CV107" i="19"/>
  <c r="CW107" i="19"/>
  <c r="CX107" i="19"/>
  <c r="CS107" i="19"/>
  <c r="CT107" i="19"/>
  <c r="CU107" i="19"/>
  <c r="CI109" i="19"/>
  <c r="CQ109" i="19"/>
  <c r="CR109" i="19"/>
  <c r="CP109" i="19"/>
  <c r="CM109" i="19"/>
  <c r="CO109" i="19"/>
  <c r="CN109" i="19"/>
  <c r="CH108" i="19"/>
  <c r="CP108" i="19"/>
  <c r="CQ108" i="19"/>
  <c r="CR108" i="19"/>
  <c r="CM108" i="19"/>
  <c r="CN108" i="19"/>
  <c r="CO108" i="19"/>
  <c r="CP107" i="19"/>
  <c r="CQ107" i="19"/>
  <c r="CR107" i="19"/>
  <c r="CN107" i="19"/>
  <c r="CM107" i="19"/>
  <c r="CO107" i="19"/>
  <c r="CL107" i="19"/>
  <c r="CJ107" i="19"/>
  <c r="CK107" i="19"/>
  <c r="CG107" i="19"/>
  <c r="CI107" i="19"/>
  <c r="CH107" i="19"/>
  <c r="CJ109" i="19"/>
  <c r="CK109" i="19"/>
  <c r="CL109" i="19"/>
  <c r="CJ108" i="19"/>
  <c r="CK108" i="19"/>
  <c r="CL108" i="19"/>
  <c r="CI108" i="19"/>
  <c r="C21" i="19"/>
  <c r="DD152" i="19" l="1"/>
  <c r="Z46" i="10"/>
  <c r="H18" i="11" l="1"/>
  <c r="D104" i="19" l="1"/>
  <c r="D105" i="19"/>
  <c r="D106" i="19"/>
  <c r="DB105" i="19" l="1"/>
  <c r="CY105" i="19"/>
  <c r="CZ105" i="19"/>
  <c r="DA105" i="19"/>
  <c r="CV105" i="19"/>
  <c r="CW105" i="19"/>
  <c r="CX105" i="19"/>
  <c r="CU105" i="19"/>
  <c r="CT105" i="19"/>
  <c r="CS105" i="19"/>
  <c r="DC106" i="19"/>
  <c r="DC152" i="19" s="1"/>
  <c r="DB106" i="19"/>
  <c r="CZ106" i="19"/>
  <c r="DA106" i="19"/>
  <c r="CY106" i="19"/>
  <c r="CX106" i="19"/>
  <c r="CV106" i="19"/>
  <c r="CW106" i="19"/>
  <c r="CS106" i="19"/>
  <c r="CT106" i="19"/>
  <c r="CU106" i="19"/>
  <c r="CY104" i="19"/>
  <c r="CZ104" i="19"/>
  <c r="DA104" i="19"/>
  <c r="CW104" i="19"/>
  <c r="CV104" i="19"/>
  <c r="CX104" i="19"/>
  <c r="CS104" i="19"/>
  <c r="CT104" i="19"/>
  <c r="CU104" i="19"/>
  <c r="CR106" i="19"/>
  <c r="CQ106" i="19"/>
  <c r="CP106" i="19"/>
  <c r="CN106" i="19"/>
  <c r="CO106" i="19"/>
  <c r="CM106" i="19"/>
  <c r="CE105" i="19"/>
  <c r="CR105" i="19"/>
  <c r="CQ105" i="19"/>
  <c r="CP105" i="19"/>
  <c r="CM105" i="19"/>
  <c r="CN105" i="19"/>
  <c r="CO105" i="19"/>
  <c r="CE104" i="19"/>
  <c r="CP104" i="19"/>
  <c r="CQ104" i="19"/>
  <c r="CR104" i="19"/>
  <c r="CO104" i="19"/>
  <c r="CN104" i="19"/>
  <c r="CM104" i="19"/>
  <c r="CD104" i="19"/>
  <c r="CF104" i="19"/>
  <c r="CJ106" i="19"/>
  <c r="CK106" i="19"/>
  <c r="CL106" i="19"/>
  <c r="CI106" i="19"/>
  <c r="CG106" i="19"/>
  <c r="CH106" i="19"/>
  <c r="CK105" i="19"/>
  <c r="CL105" i="19"/>
  <c r="CJ105" i="19"/>
  <c r="CG105" i="19"/>
  <c r="CH105" i="19"/>
  <c r="CI105" i="19"/>
  <c r="CF105" i="19"/>
  <c r="CJ104" i="19"/>
  <c r="CK104" i="19"/>
  <c r="CL104" i="19"/>
  <c r="CG104" i="19"/>
  <c r="CH104" i="19"/>
  <c r="CI104" i="19"/>
  <c r="CF106" i="19"/>
  <c r="DA152" i="19" l="1"/>
  <c r="DB152" i="19"/>
  <c r="T46" i="10"/>
  <c r="T40" i="10"/>
  <c r="Q48" i="9" l="1"/>
  <c r="D101" i="19" l="1"/>
  <c r="D102" i="19"/>
  <c r="D103" i="19"/>
  <c r="CY102" i="19" l="1"/>
  <c r="CV102" i="19"/>
  <c r="CW102" i="19"/>
  <c r="CX102" i="19"/>
  <c r="CT102" i="19"/>
  <c r="CS102" i="19"/>
  <c r="CU102" i="19"/>
  <c r="CY103" i="19"/>
  <c r="CZ103" i="19"/>
  <c r="CZ152" i="19" s="1"/>
  <c r="CW103" i="19"/>
  <c r="CX103" i="19"/>
  <c r="CV103" i="19"/>
  <c r="CS103" i="19"/>
  <c r="CT103" i="19"/>
  <c r="CU103" i="19"/>
  <c r="CV101" i="19"/>
  <c r="CW101" i="19"/>
  <c r="CX101" i="19"/>
  <c r="CS101" i="19"/>
  <c r="CT101" i="19"/>
  <c r="CU101" i="19"/>
  <c r="CQ103" i="19"/>
  <c r="CP103" i="19"/>
  <c r="CR103" i="19"/>
  <c r="CN103" i="19"/>
  <c r="CM103" i="19"/>
  <c r="CO103" i="19"/>
  <c r="CR102" i="19"/>
  <c r="CP102" i="19"/>
  <c r="CQ102" i="19"/>
  <c r="CM102" i="19"/>
  <c r="CN102" i="19"/>
  <c r="CO102" i="19"/>
  <c r="CQ101" i="19"/>
  <c r="CP101" i="19"/>
  <c r="CR101" i="19"/>
  <c r="CM101" i="19"/>
  <c r="CO101" i="19"/>
  <c r="CN101" i="19"/>
  <c r="CJ103" i="19"/>
  <c r="CK103" i="19"/>
  <c r="CL103" i="19"/>
  <c r="CG103" i="19"/>
  <c r="CH103" i="19"/>
  <c r="CI103" i="19"/>
  <c r="CF103" i="19"/>
  <c r="CE103" i="19"/>
  <c r="CD103" i="19"/>
  <c r="CC103" i="19"/>
  <c r="CL102" i="19"/>
  <c r="CK102" i="19"/>
  <c r="CJ102" i="19"/>
  <c r="CG102" i="19"/>
  <c r="CH102" i="19"/>
  <c r="CI102" i="19"/>
  <c r="CD102" i="19"/>
  <c r="CE102" i="19"/>
  <c r="CF102" i="19"/>
  <c r="CB102" i="19"/>
  <c r="CC102" i="19"/>
  <c r="CJ101" i="19"/>
  <c r="CK101" i="19"/>
  <c r="CL101" i="19"/>
  <c r="CH101" i="19"/>
  <c r="CI101" i="19"/>
  <c r="CG101" i="19"/>
  <c r="CE101" i="19"/>
  <c r="CF101" i="19"/>
  <c r="CD101" i="19"/>
  <c r="CC101" i="19"/>
  <c r="CA101" i="19"/>
  <c r="CB101" i="19"/>
  <c r="CX152" i="19" l="1"/>
  <c r="CY152" i="19"/>
  <c r="E16" i="19"/>
  <c r="B21" i="27" l="1"/>
  <c r="T126" i="9"/>
  <c r="M39" i="13" l="1"/>
  <c r="H72" i="11" l="1"/>
  <c r="H36" i="12" s="1"/>
  <c r="F7" i="19" l="1"/>
  <c r="D98" i="19"/>
  <c r="D99" i="19"/>
  <c r="D100" i="19"/>
  <c r="CV99" i="19" l="1"/>
  <c r="CU99" i="19"/>
  <c r="CS99" i="19"/>
  <c r="CT99" i="19"/>
  <c r="CW100" i="19"/>
  <c r="CW152" i="19" s="1"/>
  <c r="CV100" i="19"/>
  <c r="CT100" i="19"/>
  <c r="CU100" i="19"/>
  <c r="CS100" i="19"/>
  <c r="CS98" i="19"/>
  <c r="CT98" i="19"/>
  <c r="CU98" i="19"/>
  <c r="BY99" i="19"/>
  <c r="CP99" i="19"/>
  <c r="CQ99" i="19"/>
  <c r="CR99" i="19"/>
  <c r="CN99" i="19"/>
  <c r="CO99" i="19"/>
  <c r="CM99" i="19"/>
  <c r="CR100" i="19"/>
  <c r="CP100" i="19"/>
  <c r="CQ100" i="19"/>
  <c r="CM100" i="19"/>
  <c r="CO100" i="19"/>
  <c r="CN100" i="19"/>
  <c r="BY98" i="19"/>
  <c r="CR98" i="19"/>
  <c r="CQ98" i="19"/>
  <c r="CP98" i="19"/>
  <c r="CN98" i="19"/>
  <c r="CO98" i="19"/>
  <c r="CM98" i="19"/>
  <c r="BX98" i="19"/>
  <c r="BZ98" i="19"/>
  <c r="CJ100" i="19"/>
  <c r="CK100" i="19"/>
  <c r="CL100" i="19"/>
  <c r="CG100" i="19"/>
  <c r="CH100" i="19"/>
  <c r="CI100" i="19"/>
  <c r="CF100" i="19"/>
  <c r="CD100" i="19"/>
  <c r="CE100" i="19"/>
  <c r="CA100" i="19"/>
  <c r="CB100" i="19"/>
  <c r="CC100" i="19"/>
  <c r="CL99" i="19"/>
  <c r="CJ99" i="19"/>
  <c r="CK99" i="19"/>
  <c r="CG99" i="19"/>
  <c r="CH99" i="19"/>
  <c r="CI99" i="19"/>
  <c r="CD99" i="19"/>
  <c r="CE99" i="19"/>
  <c r="CF99" i="19"/>
  <c r="CA99" i="19"/>
  <c r="CB99" i="19"/>
  <c r="CC99" i="19"/>
  <c r="BZ99" i="19"/>
  <c r="CJ98" i="19"/>
  <c r="CK98" i="19"/>
  <c r="CL98" i="19"/>
  <c r="CI98" i="19"/>
  <c r="CG98" i="19"/>
  <c r="CH98" i="19"/>
  <c r="CF98" i="19"/>
  <c r="CD98" i="19"/>
  <c r="CE98" i="19"/>
  <c r="CB98" i="19"/>
  <c r="CA98" i="19"/>
  <c r="CC98" i="19"/>
  <c r="BZ100" i="19"/>
  <c r="G63" i="11"/>
  <c r="CU152" i="19" l="1"/>
  <c r="CV152" i="19"/>
  <c r="M41" i="13"/>
  <c r="S153" i="13" l="1"/>
  <c r="S154" i="13" s="1"/>
  <c r="S189" i="13" s="1"/>
  <c r="K189" i="13" s="1"/>
  <c r="D95" i="19" l="1"/>
  <c r="D96" i="19"/>
  <c r="CS96" i="19" s="1"/>
  <c r="D97" i="19"/>
  <c r="CS97" i="19" l="1"/>
  <c r="CS152" i="19" s="1"/>
  <c r="CT97" i="19"/>
  <c r="CT152" i="19" s="1"/>
  <c r="CR97" i="19"/>
  <c r="CQ97" i="19"/>
  <c r="CP97" i="19"/>
  <c r="CM97" i="19"/>
  <c r="CN97" i="19"/>
  <c r="CO97" i="19"/>
  <c r="BW96" i="19"/>
  <c r="CP96" i="19"/>
  <c r="CQ96" i="19"/>
  <c r="CR96" i="19"/>
  <c r="CO96" i="19"/>
  <c r="CN96" i="19"/>
  <c r="CM96" i="19"/>
  <c r="BV95" i="19"/>
  <c r="CR95" i="19"/>
  <c r="CP95" i="19"/>
  <c r="CQ95" i="19"/>
  <c r="CN95" i="19"/>
  <c r="CM95" i="19"/>
  <c r="CO95" i="19"/>
  <c r="CK97" i="19"/>
  <c r="CL97" i="19"/>
  <c r="CJ97" i="19"/>
  <c r="CG97" i="19"/>
  <c r="CH97" i="19"/>
  <c r="CI97" i="19"/>
  <c r="CD97" i="19"/>
  <c r="CE97" i="19"/>
  <c r="CF97" i="19"/>
  <c r="CB97" i="19"/>
  <c r="CC97" i="19"/>
  <c r="CA97" i="19"/>
  <c r="BY97" i="19"/>
  <c r="BZ97" i="19"/>
  <c r="BX97" i="19"/>
  <c r="CJ95" i="19"/>
  <c r="CK95" i="19"/>
  <c r="CL95" i="19"/>
  <c r="CG95" i="19"/>
  <c r="CH95" i="19"/>
  <c r="CI95" i="19"/>
  <c r="CE95" i="19"/>
  <c r="CD95" i="19"/>
  <c r="CF95" i="19"/>
  <c r="CA95" i="19"/>
  <c r="CB95" i="19"/>
  <c r="CC95" i="19"/>
  <c r="BX95" i="19"/>
  <c r="BY95" i="19"/>
  <c r="BZ95" i="19"/>
  <c r="BW97" i="19"/>
  <c r="CJ96" i="19"/>
  <c r="CK96" i="19"/>
  <c r="CL96" i="19"/>
  <c r="CG96" i="19"/>
  <c r="CH96" i="19"/>
  <c r="CI96" i="19"/>
  <c r="CD96" i="19"/>
  <c r="CE96" i="19"/>
  <c r="CF96" i="19"/>
  <c r="CA96" i="19"/>
  <c r="CC96" i="19"/>
  <c r="CB96" i="19"/>
  <c r="BX96" i="19"/>
  <c r="BY96" i="19"/>
  <c r="BZ96" i="19"/>
  <c r="BU95" i="19"/>
  <c r="BV96" i="19"/>
  <c r="BW95" i="19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R152" i="19" l="1"/>
  <c r="D4" i="27"/>
  <c r="E4" i="27" s="1"/>
  <c r="D3" i="27" l="1"/>
  <c r="E3" i="27" s="1"/>
  <c r="B22" i="27"/>
  <c r="D5" i="27"/>
  <c r="D6" i="27" s="1"/>
  <c r="E6" i="27" s="1"/>
  <c r="E5" i="27" l="1"/>
  <c r="BG107" i="10" l="1"/>
  <c r="Z11" i="23" l="1"/>
  <c r="R11" i="23"/>
  <c r="D92" i="19" l="1"/>
  <c r="D93" i="19"/>
  <c r="D94" i="19"/>
  <c r="CM92" i="19" l="1"/>
  <c r="CN92" i="19"/>
  <c r="CO92" i="19"/>
  <c r="CP94" i="19"/>
  <c r="CQ94" i="19"/>
  <c r="CQ152" i="19" s="1"/>
  <c r="CM94" i="19"/>
  <c r="CN94" i="19"/>
  <c r="CO94" i="19"/>
  <c r="CP93" i="19"/>
  <c r="CM93" i="19"/>
  <c r="CO93" i="19"/>
  <c r="CN93" i="19"/>
  <c r="CJ92" i="19"/>
  <c r="CK92" i="19"/>
  <c r="CL92" i="19"/>
  <c r="CG92" i="19"/>
  <c r="CH92" i="19"/>
  <c r="CI92" i="19"/>
  <c r="CF92" i="19"/>
  <c r="CD92" i="19"/>
  <c r="CE92" i="19"/>
  <c r="CA92" i="19"/>
  <c r="CB92" i="19"/>
  <c r="CC92" i="19"/>
  <c r="BX92" i="19"/>
  <c r="BY92" i="19"/>
  <c r="BZ92" i="19"/>
  <c r="BU92" i="19"/>
  <c r="BW92" i="19"/>
  <c r="BV92" i="19"/>
  <c r="CJ93" i="19"/>
  <c r="CK93" i="19"/>
  <c r="CL93" i="19"/>
  <c r="CH93" i="19"/>
  <c r="CI93" i="19"/>
  <c r="CG93" i="19"/>
  <c r="CE93" i="19"/>
  <c r="CD93" i="19"/>
  <c r="CF93" i="19"/>
  <c r="CC93" i="19"/>
  <c r="CA93" i="19"/>
  <c r="CB93" i="19"/>
  <c r="BX93" i="19"/>
  <c r="BY93" i="19"/>
  <c r="BZ93" i="19"/>
  <c r="BU93" i="19"/>
  <c r="BV93" i="19"/>
  <c r="BW93" i="19"/>
  <c r="BT94" i="19"/>
  <c r="CL94" i="19"/>
  <c r="CK94" i="19"/>
  <c r="CJ94" i="19"/>
  <c r="CG94" i="19"/>
  <c r="CH94" i="19"/>
  <c r="CI94" i="19"/>
  <c r="CD94" i="19"/>
  <c r="CE94" i="19"/>
  <c r="CF94" i="19"/>
  <c r="CC94" i="19"/>
  <c r="CB94" i="19"/>
  <c r="CA94" i="19"/>
  <c r="BY94" i="19"/>
  <c r="BZ94" i="19"/>
  <c r="BX94" i="19"/>
  <c r="BU94" i="19"/>
  <c r="BV94" i="19"/>
  <c r="BW94" i="19"/>
  <c r="BS92" i="19"/>
  <c r="BR92" i="19"/>
  <c r="BT92" i="19"/>
  <c r="BS93" i="19"/>
  <c r="BT93" i="19"/>
  <c r="H32" i="26"/>
  <c r="H31" i="26"/>
  <c r="CO152" i="19" l="1"/>
  <c r="CP152" i="19"/>
  <c r="W357" i="4"/>
  <c r="W319" i="4"/>
  <c r="W318" i="4"/>
  <c r="W317" i="4"/>
  <c r="W316" i="4"/>
  <c r="W315" i="4"/>
  <c r="W314" i="4"/>
  <c r="W313" i="4"/>
  <c r="W311" i="4"/>
  <c r="W310" i="4"/>
  <c r="W309" i="4"/>
  <c r="W308" i="4"/>
  <c r="W307" i="4"/>
  <c r="W306" i="4"/>
  <c r="W305" i="4"/>
  <c r="W304" i="4"/>
  <c r="W303" i="4"/>
  <c r="W302" i="4"/>
  <c r="W301" i="4"/>
  <c r="W300" i="4"/>
  <c r="W298" i="4"/>
  <c r="W297" i="4"/>
  <c r="W296" i="4"/>
  <c r="W295" i="4"/>
  <c r="W294" i="4"/>
  <c r="W293" i="4"/>
  <c r="W291" i="4"/>
  <c r="W280" i="4"/>
  <c r="W279" i="4"/>
  <c r="W275" i="4"/>
  <c r="W271" i="4"/>
  <c r="W269" i="4"/>
  <c r="W262" i="4"/>
  <c r="W257" i="4"/>
  <c r="W267" i="4"/>
  <c r="W241" i="4"/>
  <c r="W236" i="4"/>
  <c r="W232" i="4"/>
  <c r="W226" i="4"/>
  <c r="W218" i="4"/>
  <c r="W199" i="4"/>
  <c r="W190" i="4"/>
  <c r="W185" i="4"/>
  <c r="W171" i="4"/>
  <c r="W161" i="4"/>
  <c r="W153" i="4"/>
  <c r="W149" i="4"/>
  <c r="W148" i="4"/>
  <c r="W147" i="4"/>
  <c r="W146" i="4"/>
  <c r="W142" i="4"/>
  <c r="W123" i="4"/>
  <c r="W29" i="4"/>
  <c r="W14" i="4"/>
  <c r="W10" i="4"/>
  <c r="W8" i="4"/>
  <c r="W5" i="4"/>
  <c r="T4" i="4"/>
  <c r="W6" i="4"/>
  <c r="W7" i="4"/>
  <c r="W9" i="4"/>
  <c r="W11" i="4"/>
  <c r="W13" i="4"/>
  <c r="W15" i="4"/>
  <c r="W16" i="4"/>
  <c r="W19" i="4"/>
  <c r="W20" i="4"/>
  <c r="W21" i="4"/>
  <c r="W22" i="4"/>
  <c r="W23" i="4"/>
  <c r="W24" i="4"/>
  <c r="W25" i="4"/>
  <c r="W26" i="4"/>
  <c r="W27" i="4"/>
  <c r="W28" i="4"/>
  <c r="W30" i="4"/>
  <c r="W31" i="4"/>
  <c r="W32" i="4"/>
  <c r="W33" i="4"/>
  <c r="W34" i="4"/>
  <c r="W35" i="4"/>
  <c r="W36" i="4"/>
  <c r="W37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4" i="4"/>
  <c r="W125" i="4"/>
  <c r="W126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3" i="4"/>
  <c r="W144" i="4"/>
  <c r="W151" i="4"/>
  <c r="W152" i="4"/>
  <c r="W154" i="4"/>
  <c r="W155" i="4"/>
  <c r="W156" i="4"/>
  <c r="W157" i="4"/>
  <c r="W159" i="4"/>
  <c r="W162" i="4"/>
  <c r="W163" i="4"/>
  <c r="W164" i="4"/>
  <c r="W165" i="4"/>
  <c r="W166" i="4"/>
  <c r="W167" i="4"/>
  <c r="W168" i="4"/>
  <c r="W169" i="4"/>
  <c r="W170" i="4"/>
  <c r="W172" i="4"/>
  <c r="W173" i="4"/>
  <c r="W174" i="4"/>
  <c r="W175" i="4"/>
  <c r="W176" i="4"/>
  <c r="W177" i="4"/>
  <c r="W178" i="4"/>
  <c r="W179" i="4"/>
  <c r="W180" i="4"/>
  <c r="W181" i="4"/>
  <c r="W183" i="4"/>
  <c r="W184" i="4"/>
  <c r="W186" i="4"/>
  <c r="W187" i="4"/>
  <c r="W188" i="4"/>
  <c r="W189" i="4"/>
  <c r="W191" i="4"/>
  <c r="W192" i="4"/>
  <c r="W193" i="4"/>
  <c r="W194" i="4"/>
  <c r="W195" i="4"/>
  <c r="W196" i="4"/>
  <c r="W197" i="4"/>
  <c r="W198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9" i="4"/>
  <c r="W220" i="4"/>
  <c r="W221" i="4"/>
  <c r="W222" i="4"/>
  <c r="W223" i="4"/>
  <c r="W225" i="4"/>
  <c r="W227" i="4"/>
  <c r="W228" i="4"/>
  <c r="W229" i="4"/>
  <c r="W230" i="4"/>
  <c r="W231" i="4"/>
  <c r="W233" i="4"/>
  <c r="W234" i="4"/>
  <c r="W235" i="4"/>
  <c r="W237" i="4"/>
  <c r="W239" i="4"/>
  <c r="W240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6" i="4"/>
  <c r="W258" i="4"/>
  <c r="W259" i="4"/>
  <c r="W260" i="4"/>
  <c r="W261" i="4"/>
  <c r="W263" i="4"/>
  <c r="W264" i="4"/>
  <c r="W268" i="4"/>
  <c r="W270" i="4"/>
  <c r="W272" i="4"/>
  <c r="W273" i="4"/>
  <c r="W274" i="4"/>
  <c r="W276" i="4"/>
  <c r="W277" i="4"/>
  <c r="W278" i="4"/>
  <c r="W281" i="4"/>
  <c r="W282" i="4"/>
  <c r="W283" i="4"/>
  <c r="W284" i="4"/>
  <c r="W285" i="4"/>
  <c r="W286" i="4"/>
  <c r="W287" i="4"/>
  <c r="W288" i="4"/>
  <c r="W289" i="4"/>
  <c r="W290" i="4"/>
  <c r="W292" i="4"/>
  <c r="W299" i="4"/>
  <c r="W312" i="4"/>
  <c r="W320" i="4"/>
  <c r="W322" i="4"/>
  <c r="W323" i="4"/>
  <c r="W324" i="4"/>
  <c r="W325" i="4"/>
  <c r="W326" i="4"/>
  <c r="W327" i="4"/>
  <c r="W336" i="4"/>
  <c r="W337" i="4"/>
  <c r="W338" i="4"/>
  <c r="W339" i="4"/>
  <c r="W340" i="4"/>
  <c r="W341" i="4"/>
  <c r="W342" i="4"/>
  <c r="W346" i="4"/>
  <c r="W34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1" i="4"/>
  <c r="W442" i="4"/>
  <c r="W443" i="4"/>
  <c r="W444" i="4"/>
  <c r="W446" i="4"/>
  <c r="W447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5" i="4"/>
  <c r="W466" i="4"/>
  <c r="W467" i="4"/>
  <c r="W468" i="4"/>
  <c r="W469" i="4"/>
  <c r="W470" i="4"/>
  <c r="W471" i="4"/>
  <c r="W473" i="4"/>
  <c r="W474" i="4"/>
  <c r="W475" i="4"/>
  <c r="W476" i="4"/>
  <c r="W477" i="4"/>
  <c r="W478" i="4"/>
  <c r="W479" i="4"/>
  <c r="W480" i="4"/>
  <c r="W481" i="4"/>
  <c r="W482" i="4"/>
  <c r="W483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9" i="4"/>
  <c r="W580" i="4"/>
  <c r="W581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5" i="4"/>
  <c r="W656" i="4"/>
  <c r="W657" i="4"/>
  <c r="W658" i="4"/>
  <c r="W659" i="4"/>
  <c r="W660" i="4"/>
  <c r="W661" i="4"/>
  <c r="W663" i="4"/>
  <c r="W664" i="4"/>
  <c r="W665" i="4"/>
  <c r="W666" i="4"/>
  <c r="W667" i="4"/>
  <c r="W669" i="4"/>
  <c r="W670" i="4"/>
  <c r="W671" i="4"/>
  <c r="W672" i="4"/>
  <c r="W673" i="4"/>
  <c r="W674" i="4"/>
  <c r="W675" i="4"/>
  <c r="W676" i="4"/>
  <c r="W678" i="4"/>
  <c r="W679" i="4"/>
  <c r="W681" i="4"/>
  <c r="W682" i="4"/>
  <c r="W683" i="4"/>
  <c r="W684" i="4"/>
  <c r="W685" i="4"/>
  <c r="W687" i="4"/>
  <c r="W4" i="4"/>
  <c r="U20" i="4" l="1"/>
  <c r="V20" i="4"/>
  <c r="V24" i="4"/>
  <c r="V16" i="4"/>
  <c r="U24" i="4"/>
  <c r="U16" i="4"/>
  <c r="U26" i="4" l="1"/>
  <c r="U25" i="4"/>
  <c r="Z119" i="10" l="1"/>
  <c r="Z48" i="10" s="1"/>
  <c r="D89" i="19"/>
  <c r="BO89" i="19" s="1"/>
  <c r="D90" i="19"/>
  <c r="CM90" i="19" s="1"/>
  <c r="D91" i="19"/>
  <c r="CM91" i="19" l="1"/>
  <c r="CM152" i="19" s="1"/>
  <c r="CN91" i="19"/>
  <c r="CN152" i="19" s="1"/>
  <c r="CL91" i="19"/>
  <c r="CJ91" i="19"/>
  <c r="CK91" i="19"/>
  <c r="CG91" i="19"/>
  <c r="CH91" i="19"/>
  <c r="CI91" i="19"/>
  <c r="CD91" i="19"/>
  <c r="CE91" i="19"/>
  <c r="CF91" i="19"/>
  <c r="CB91" i="19"/>
  <c r="CA91" i="19"/>
  <c r="CC91" i="19"/>
  <c r="BZ91" i="19"/>
  <c r="BX91" i="19"/>
  <c r="BY91" i="19"/>
  <c r="BU91" i="19"/>
  <c r="BV91" i="19"/>
  <c r="BW91" i="19"/>
  <c r="CJ90" i="19"/>
  <c r="CK90" i="19"/>
  <c r="CL90" i="19"/>
  <c r="CI90" i="19"/>
  <c r="CG90" i="19"/>
  <c r="CH90" i="19"/>
  <c r="CF90" i="19"/>
  <c r="CE90" i="19"/>
  <c r="CD90" i="19"/>
  <c r="CB90" i="19"/>
  <c r="CA90" i="19"/>
  <c r="CC90" i="19"/>
  <c r="BX90" i="19"/>
  <c r="BY90" i="19"/>
  <c r="BZ90" i="19"/>
  <c r="BV90" i="19"/>
  <c r="BW90" i="19"/>
  <c r="BU90" i="19"/>
  <c r="BQ90" i="19"/>
  <c r="BP89" i="19"/>
  <c r="CL89" i="19"/>
  <c r="CJ89" i="19"/>
  <c r="CK89" i="19"/>
  <c r="CG89" i="19"/>
  <c r="CH89" i="19"/>
  <c r="CI89" i="19"/>
  <c r="CD89" i="19"/>
  <c r="CE89" i="19"/>
  <c r="CF89" i="19"/>
  <c r="CB89" i="19"/>
  <c r="CC89" i="19"/>
  <c r="CA89" i="19"/>
  <c r="BX89" i="19"/>
  <c r="BY89" i="19"/>
  <c r="BZ89" i="19"/>
  <c r="BW89" i="19"/>
  <c r="BU89" i="19"/>
  <c r="BV89" i="19"/>
  <c r="BT91" i="19"/>
  <c r="BR91" i="19"/>
  <c r="BS91" i="19"/>
  <c r="BQ89" i="19"/>
  <c r="BQ91" i="19"/>
  <c r="BS90" i="19"/>
  <c r="BT90" i="19"/>
  <c r="BR90" i="19"/>
  <c r="BR89" i="19"/>
  <c r="BS89" i="19"/>
  <c r="BT89" i="19"/>
  <c r="BP90" i="19"/>
  <c r="CL152" i="19" l="1"/>
  <c r="C57" i="26"/>
  <c r="D57" i="26" s="1"/>
  <c r="C56" i="26"/>
  <c r="D56" i="26" s="1"/>
  <c r="C55" i="26"/>
  <c r="D55" i="26" s="1"/>
  <c r="E49" i="26"/>
  <c r="C46" i="26"/>
  <c r="C47" i="26" s="1"/>
  <c r="H44" i="26"/>
  <c r="H43" i="26"/>
  <c r="I44" i="26" s="1"/>
  <c r="H42" i="26"/>
  <c r="H41" i="26"/>
  <c r="I35" i="26" s="1"/>
  <c r="K35" i="26" s="1"/>
  <c r="H40" i="26"/>
  <c r="H39" i="26"/>
  <c r="H38" i="26"/>
  <c r="H37" i="26"/>
  <c r="H36" i="26"/>
  <c r="H35" i="26"/>
  <c r="H34" i="26"/>
  <c r="H33" i="26"/>
  <c r="B32" i="26"/>
  <c r="D31" i="26"/>
  <c r="D30" i="26"/>
  <c r="G30" i="26" s="1"/>
  <c r="D29" i="26"/>
  <c r="E29" i="26" s="1"/>
  <c r="D28" i="26"/>
  <c r="E28" i="26" s="1"/>
  <c r="D27" i="26"/>
  <c r="D26" i="26"/>
  <c r="G26" i="26" s="1"/>
  <c r="B25" i="26"/>
  <c r="D25" i="26" s="1"/>
  <c r="F21" i="26"/>
  <c r="H14" i="26"/>
  <c r="H13" i="26"/>
  <c r="H11" i="26"/>
  <c r="I11" i="26" s="1"/>
  <c r="K7" i="26"/>
  <c r="C63" i="25"/>
  <c r="H60" i="25"/>
  <c r="F60" i="25"/>
  <c r="I59" i="25"/>
  <c r="H59" i="25"/>
  <c r="H58" i="25"/>
  <c r="H57" i="25"/>
  <c r="H56" i="25"/>
  <c r="E56" i="25"/>
  <c r="F54" i="25"/>
  <c r="C51" i="25"/>
  <c r="C50" i="25"/>
  <c r="C49" i="25"/>
  <c r="E46" i="25"/>
  <c r="E44" i="25"/>
  <c r="E43" i="25"/>
  <c r="C43" i="25"/>
  <c r="E42" i="25"/>
  <c r="C28" i="25"/>
  <c r="D18" i="25"/>
  <c r="D17" i="25" s="1"/>
  <c r="H17" i="25"/>
  <c r="H18" i="25" s="1"/>
  <c r="C17" i="25"/>
  <c r="D12" i="24"/>
  <c r="H10" i="24"/>
  <c r="H9" i="24"/>
  <c r="H8" i="24"/>
  <c r="H7" i="24"/>
  <c r="H6" i="24"/>
  <c r="H5" i="24"/>
  <c r="G37" i="23"/>
  <c r="F37" i="23"/>
  <c r="B37" i="23"/>
  <c r="R16" i="23"/>
  <c r="Q14" i="23"/>
  <c r="N11" i="23"/>
  <c r="I11" i="23"/>
  <c r="H11" i="23"/>
  <c r="C11" i="23"/>
  <c r="I9" i="23"/>
  <c r="I8" i="23"/>
  <c r="I7" i="23"/>
  <c r="I6" i="23"/>
  <c r="I5" i="23"/>
  <c r="I4" i="23"/>
  <c r="I3" i="23"/>
  <c r="B3" i="22"/>
  <c r="AK40" i="21"/>
  <c r="AJ40" i="21"/>
  <c r="AI40" i="21"/>
  <c r="AH40" i="21"/>
  <c r="AF40" i="21"/>
  <c r="AE40" i="21"/>
  <c r="AC40" i="21"/>
  <c r="AA40" i="21"/>
  <c r="Z40" i="21"/>
  <c r="Y40" i="21"/>
  <c r="V40" i="21"/>
  <c r="AD39" i="21"/>
  <c r="W39" i="21"/>
  <c r="AB39" i="21" s="1"/>
  <c r="AD38" i="21"/>
  <c r="AK35" i="21"/>
  <c r="AJ35" i="21"/>
  <c r="AI35" i="21"/>
  <c r="AH35" i="21"/>
  <c r="AF35" i="21"/>
  <c r="AE35" i="21"/>
  <c r="AC35" i="21"/>
  <c r="AA35" i="21"/>
  <c r="Z35" i="21"/>
  <c r="Y35" i="21"/>
  <c r="V35" i="21"/>
  <c r="U35" i="21"/>
  <c r="AD34" i="21"/>
  <c r="W34" i="21"/>
  <c r="AB34" i="21" s="1"/>
  <c r="AD33" i="21"/>
  <c r="W33" i="21"/>
  <c r="AB33" i="21" s="1"/>
  <c r="AK30" i="21"/>
  <c r="AJ30" i="21"/>
  <c r="AI30" i="21"/>
  <c r="AH30" i="21"/>
  <c r="AF30" i="21"/>
  <c r="AE30" i="21"/>
  <c r="AA30" i="21"/>
  <c r="Z30" i="21"/>
  <c r="Y30" i="21"/>
  <c r="V30" i="21"/>
  <c r="U30" i="21"/>
  <c r="W30" i="21" s="1"/>
  <c r="AD29" i="21"/>
  <c r="W29" i="21"/>
  <c r="AB29" i="21" s="1"/>
  <c r="AD28" i="21"/>
  <c r="W28" i="21"/>
  <c r="AB28" i="21" s="1"/>
  <c r="AK25" i="21"/>
  <c r="AJ25" i="21"/>
  <c r="AI25" i="21"/>
  <c r="AH25" i="21"/>
  <c r="AF25" i="21"/>
  <c r="AE25" i="21"/>
  <c r="AA25" i="21"/>
  <c r="Z25" i="21"/>
  <c r="Y25" i="21"/>
  <c r="V25" i="21"/>
  <c r="U25" i="21"/>
  <c r="AD24" i="21"/>
  <c r="W24" i="21"/>
  <c r="AB24" i="21" s="1"/>
  <c r="AB25" i="21" s="1"/>
  <c r="AK21" i="21"/>
  <c r="AJ21" i="21"/>
  <c r="AI21" i="21"/>
  <c r="AH21" i="21"/>
  <c r="AF21" i="21"/>
  <c r="AE21" i="21"/>
  <c r="AA21" i="21"/>
  <c r="Z21" i="21"/>
  <c r="Y21" i="21"/>
  <c r="V21" i="21"/>
  <c r="U21" i="21"/>
  <c r="AD20" i="21"/>
  <c r="W20" i="21"/>
  <c r="AB20" i="21" s="1"/>
  <c r="AD19" i="21"/>
  <c r="AB19" i="21"/>
  <c r="W19" i="21"/>
  <c r="AK16" i="21"/>
  <c r="AE16" i="21"/>
  <c r="AA16" i="21"/>
  <c r="AD15" i="21"/>
  <c r="AD16" i="21" s="1"/>
  <c r="Z15" i="21"/>
  <c r="AJ14" i="21"/>
  <c r="AJ16" i="21" s="1"/>
  <c r="AI14" i="21"/>
  <c r="AI16" i="21" s="1"/>
  <c r="AH14" i="21"/>
  <c r="AF14" i="21"/>
  <c r="AF16" i="21" s="1"/>
  <c r="AE11" i="21"/>
  <c r="AA11" i="21"/>
  <c r="AF10" i="21"/>
  <c r="AD10" i="21" s="1"/>
  <c r="AK9" i="21"/>
  <c r="AK11" i="21" s="1"/>
  <c r="AK42" i="21" s="1"/>
  <c r="AJ9" i="21"/>
  <c r="AJ11" i="21" s="1"/>
  <c r="AI9" i="21"/>
  <c r="AI11" i="21" s="1"/>
  <c r="AH9" i="21"/>
  <c r="AH11" i="21" s="1"/>
  <c r="AD9" i="21"/>
  <c r="B3" i="21"/>
  <c r="AM35" i="20"/>
  <c r="AB31" i="20"/>
  <c r="AA31" i="20"/>
  <c r="Z31" i="20"/>
  <c r="Y31" i="20"/>
  <c r="W31" i="20"/>
  <c r="V31" i="20"/>
  <c r="U31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A29" i="20"/>
  <c r="Z29" i="20"/>
  <c r="Y29" i="20"/>
  <c r="W28" i="20"/>
  <c r="AB28" i="20" s="1"/>
  <c r="AQ27" i="20"/>
  <c r="AQ29" i="20" s="1"/>
  <c r="AP27" i="20"/>
  <c r="AP29" i="20" s="1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A25" i="20"/>
  <c r="Z25" i="20"/>
  <c r="Y25" i="20"/>
  <c r="V25" i="20"/>
  <c r="U25" i="20"/>
  <c r="W25" i="20" s="1"/>
  <c r="W24" i="20"/>
  <c r="AB24" i="20" s="1"/>
  <c r="W23" i="20"/>
  <c r="AB23" i="20" s="1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A20" i="20"/>
  <c r="Z20" i="20"/>
  <c r="Y20" i="20"/>
  <c r="V20" i="20"/>
  <c r="U20" i="20"/>
  <c r="W19" i="20"/>
  <c r="AB19" i="20" s="1"/>
  <c r="W18" i="20"/>
  <c r="AB18" i="20" s="1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A16" i="20"/>
  <c r="Z16" i="20"/>
  <c r="Y16" i="20"/>
  <c r="W15" i="20"/>
  <c r="AB15" i="20" s="1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A11" i="20"/>
  <c r="Z11" i="20"/>
  <c r="Y11" i="20"/>
  <c r="W10" i="20"/>
  <c r="AB10" i="20" s="1"/>
  <c r="B3" i="20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BI74" i="19" s="1"/>
  <c r="D73" i="19"/>
  <c r="BL73" i="19" s="1"/>
  <c r="D72" i="19"/>
  <c r="BU72" i="19" s="1"/>
  <c r="D71" i="19"/>
  <c r="AY71" i="19" s="1"/>
  <c r="D70" i="19"/>
  <c r="BS70" i="19" s="1"/>
  <c r="D69" i="19"/>
  <c r="D68" i="19"/>
  <c r="BL68" i="19" s="1"/>
  <c r="D67" i="19"/>
  <c r="AX67" i="19" s="1"/>
  <c r="D66" i="19"/>
  <c r="BL66" i="19" s="1"/>
  <c r="D65" i="19"/>
  <c r="BK65" i="19" s="1"/>
  <c r="D64" i="19"/>
  <c r="BK64" i="19" s="1"/>
  <c r="D63" i="19"/>
  <c r="BK63" i="19" s="1"/>
  <c r="D62" i="19"/>
  <c r="BK62" i="19" s="1"/>
  <c r="D61" i="19"/>
  <c r="BJ61" i="19" s="1"/>
  <c r="D60" i="19"/>
  <c r="BG60" i="19" s="1"/>
  <c r="D59" i="19"/>
  <c r="BG59" i="19" s="1"/>
  <c r="B58" i="19"/>
  <c r="D58" i="19" s="1"/>
  <c r="BG58" i="19" s="1"/>
  <c r="B57" i="19"/>
  <c r="D56" i="19"/>
  <c r="BE56" i="19" s="1"/>
  <c r="D55" i="19"/>
  <c r="BA55" i="19" s="1"/>
  <c r="D54" i="19"/>
  <c r="BA54" i="19" s="1"/>
  <c r="D53" i="19"/>
  <c r="BA53" i="19" s="1"/>
  <c r="D52" i="19"/>
  <c r="BA52" i="19" s="1"/>
  <c r="D51" i="19"/>
  <c r="AW51" i="19" s="1"/>
  <c r="D50" i="19"/>
  <c r="AW50" i="19" s="1"/>
  <c r="D49" i="19"/>
  <c r="AW49" i="19" s="1"/>
  <c r="D48" i="19"/>
  <c r="AW48" i="19" s="1"/>
  <c r="D47" i="19"/>
  <c r="AS47" i="19" s="1"/>
  <c r="D46" i="19"/>
  <c r="AS46" i="19" s="1"/>
  <c r="D45" i="19"/>
  <c r="AS45" i="19" s="1"/>
  <c r="D44" i="19"/>
  <c r="AS44" i="19" s="1"/>
  <c r="D43" i="19"/>
  <c r="AO43" i="19" s="1"/>
  <c r="D42" i="19"/>
  <c r="AO42" i="19" s="1"/>
  <c r="D41" i="19"/>
  <c r="AO41" i="19" s="1"/>
  <c r="D40" i="19"/>
  <c r="AO40" i="19" s="1"/>
  <c r="D39" i="19"/>
  <c r="AK39" i="19" s="1"/>
  <c r="D38" i="19"/>
  <c r="AK38" i="19" s="1"/>
  <c r="D37" i="19"/>
  <c r="AK37" i="19" s="1"/>
  <c r="D36" i="19"/>
  <c r="AK36" i="19" s="1"/>
  <c r="D35" i="19"/>
  <c r="AG35" i="19" s="1"/>
  <c r="D34" i="19"/>
  <c r="AG34" i="19" s="1"/>
  <c r="D33" i="19"/>
  <c r="AG33" i="19" s="1"/>
  <c r="D32" i="19"/>
  <c r="AG32" i="19" s="1"/>
  <c r="D31" i="19"/>
  <c r="R31" i="19" s="1"/>
  <c r="D30" i="19"/>
  <c r="AC30" i="19" s="1"/>
  <c r="D29" i="19"/>
  <c r="AC29" i="19" s="1"/>
  <c r="D28" i="19"/>
  <c r="D27" i="19"/>
  <c r="R27" i="19" s="1"/>
  <c r="E21" i="19"/>
  <c r="D7" i="19"/>
  <c r="E7" i="19" s="1"/>
  <c r="AF103" i="9" s="1"/>
  <c r="AJ18" i="10" s="1"/>
  <c r="B3" i="19"/>
  <c r="I44" i="17"/>
  <c r="I43" i="17"/>
  <c r="I42" i="17"/>
  <c r="I41" i="17"/>
  <c r="I40" i="17"/>
  <c r="I39" i="17"/>
  <c r="I38" i="17"/>
  <c r="I36" i="17"/>
  <c r="I35" i="17"/>
  <c r="I34" i="17"/>
  <c r="I33" i="17"/>
  <c r="I32" i="17"/>
  <c r="I31" i="17"/>
  <c r="I30" i="17"/>
  <c r="I28" i="17"/>
  <c r="I27" i="17"/>
  <c r="I26" i="17"/>
  <c r="I24" i="17"/>
  <c r="I23" i="17"/>
  <c r="I22" i="17"/>
  <c r="I20" i="17"/>
  <c r="I18" i="17"/>
  <c r="I16" i="17"/>
  <c r="I14" i="17"/>
  <c r="I13" i="17"/>
  <c r="I12" i="17"/>
  <c r="I10" i="17"/>
  <c r="I9" i="17"/>
  <c r="I8" i="17"/>
  <c r="I7" i="17"/>
  <c r="C4" i="17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2" i="16"/>
  <c r="I91" i="16"/>
  <c r="I90" i="16"/>
  <c r="I89" i="16"/>
  <c r="I88" i="16"/>
  <c r="I87" i="16"/>
  <c r="I86" i="16"/>
  <c r="I84" i="16"/>
  <c r="I83" i="16"/>
  <c r="I82" i="16"/>
  <c r="I81" i="16"/>
  <c r="I80" i="16"/>
  <c r="I79" i="16"/>
  <c r="I78" i="16"/>
  <c r="I77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59" i="16"/>
  <c r="I58" i="16"/>
  <c r="I57" i="16"/>
  <c r="I56" i="16"/>
  <c r="I55" i="16"/>
  <c r="I54" i="16"/>
  <c r="I53" i="16"/>
  <c r="I52" i="16"/>
  <c r="I51" i="16"/>
  <c r="I50" i="16"/>
  <c r="I49" i="16"/>
  <c r="I47" i="16"/>
  <c r="I46" i="16"/>
  <c r="I45" i="16"/>
  <c r="I43" i="16"/>
  <c r="I42" i="16"/>
  <c r="I41" i="16"/>
  <c r="I40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8" i="16"/>
  <c r="I17" i="16"/>
  <c r="I16" i="16"/>
  <c r="I15" i="16"/>
  <c r="I14" i="16"/>
  <c r="I13" i="16"/>
  <c r="I12" i="16"/>
  <c r="I10" i="16"/>
  <c r="I9" i="16"/>
  <c r="I8" i="16"/>
  <c r="I7" i="16"/>
  <c r="F5" i="16"/>
  <c r="C4" i="16"/>
  <c r="E28" i="15"/>
  <c r="B4" i="15"/>
  <c r="S250" i="13"/>
  <c r="R250" i="13"/>
  <c r="Q250" i="13"/>
  <c r="O250" i="13"/>
  <c r="N250" i="13"/>
  <c r="M250" i="13"/>
  <c r="L250" i="13"/>
  <c r="K250" i="13"/>
  <c r="S247" i="13"/>
  <c r="R247" i="13"/>
  <c r="Q247" i="13"/>
  <c r="O247" i="13"/>
  <c r="N247" i="13"/>
  <c r="M247" i="13"/>
  <c r="L247" i="13"/>
  <c r="K247" i="13"/>
  <c r="D40" i="15"/>
  <c r="T244" i="13"/>
  <c r="S244" i="13"/>
  <c r="R244" i="13"/>
  <c r="Q244" i="13"/>
  <c r="O244" i="13"/>
  <c r="N244" i="13"/>
  <c r="L244" i="13"/>
  <c r="M238" i="13"/>
  <c r="Y15" i="21"/>
  <c r="Y16" i="21" s="1"/>
  <c r="Z14" i="21"/>
  <c r="V14" i="21"/>
  <c r="V16" i="21" s="1"/>
  <c r="Z10" i="21"/>
  <c r="Y10" i="21"/>
  <c r="Y11" i="21" s="1"/>
  <c r="V10" i="21"/>
  <c r="Z9" i="21"/>
  <c r="V9" i="21"/>
  <c r="T227" i="13"/>
  <c r="S227" i="13"/>
  <c r="R227" i="13"/>
  <c r="Q227" i="13"/>
  <c r="O227" i="13"/>
  <c r="N227" i="13"/>
  <c r="M227" i="13"/>
  <c r="L227" i="13"/>
  <c r="K227" i="13"/>
  <c r="S220" i="13"/>
  <c r="R220" i="13"/>
  <c r="Q220" i="13"/>
  <c r="P220" i="13"/>
  <c r="N220" i="13"/>
  <c r="M220" i="13"/>
  <c r="L220" i="13"/>
  <c r="K220" i="13"/>
  <c r="D37" i="15"/>
  <c r="S217" i="13"/>
  <c r="R217" i="13"/>
  <c r="Q217" i="13"/>
  <c r="P217" i="13"/>
  <c r="N217" i="13"/>
  <c r="M217" i="13"/>
  <c r="L217" i="13"/>
  <c r="K217" i="13"/>
  <c r="J217" i="13"/>
  <c r="S193" i="13"/>
  <c r="R193" i="13"/>
  <c r="Q193" i="13"/>
  <c r="O193" i="13"/>
  <c r="N193" i="13"/>
  <c r="M193" i="13"/>
  <c r="L193" i="13"/>
  <c r="K193" i="13"/>
  <c r="S190" i="13"/>
  <c r="R190" i="13"/>
  <c r="Q190" i="13"/>
  <c r="O190" i="13"/>
  <c r="N190" i="13"/>
  <c r="M190" i="13"/>
  <c r="L190" i="13"/>
  <c r="D33" i="15"/>
  <c r="S187" i="13"/>
  <c r="R187" i="13"/>
  <c r="Q187" i="13"/>
  <c r="O187" i="13"/>
  <c r="N187" i="13"/>
  <c r="M187" i="13"/>
  <c r="L187" i="13"/>
  <c r="K187" i="13"/>
  <c r="D32" i="15"/>
  <c r="T184" i="13"/>
  <c r="S184" i="13"/>
  <c r="R184" i="13"/>
  <c r="O184" i="13"/>
  <c r="N184" i="13"/>
  <c r="M184" i="13"/>
  <c r="K184" i="13"/>
  <c r="Q184" i="13"/>
  <c r="L184" i="13"/>
  <c r="S177" i="13"/>
  <c r="R177" i="13"/>
  <c r="Q177" i="13"/>
  <c r="O177" i="13"/>
  <c r="N177" i="13"/>
  <c r="M177" i="13"/>
  <c r="L177" i="13"/>
  <c r="V27" i="20"/>
  <c r="V29" i="20" s="1"/>
  <c r="K177" i="13"/>
  <c r="V9" i="20"/>
  <c r="V11" i="20" s="1"/>
  <c r="T167" i="13"/>
  <c r="S167" i="13"/>
  <c r="R167" i="13"/>
  <c r="Q167" i="13"/>
  <c r="O167" i="13"/>
  <c r="N167" i="13"/>
  <c r="M167" i="13"/>
  <c r="L167" i="13"/>
  <c r="K167" i="13"/>
  <c r="J167" i="13"/>
  <c r="I167" i="13"/>
  <c r="D27" i="15"/>
  <c r="S157" i="13"/>
  <c r="R157" i="13"/>
  <c r="Q157" i="13"/>
  <c r="O157" i="13"/>
  <c r="N157" i="13"/>
  <c r="M157" i="13"/>
  <c r="L157" i="13"/>
  <c r="K157" i="13"/>
  <c r="J157" i="13"/>
  <c r="I157" i="13"/>
  <c r="S139" i="13"/>
  <c r="R139" i="13"/>
  <c r="Q139" i="13"/>
  <c r="O139" i="13"/>
  <c r="N139" i="13"/>
  <c r="M139" i="13"/>
  <c r="L139" i="13"/>
  <c r="K139" i="13"/>
  <c r="D18" i="15"/>
  <c r="S136" i="13"/>
  <c r="R136" i="13"/>
  <c r="Q136" i="13"/>
  <c r="N136" i="13"/>
  <c r="M136" i="13"/>
  <c r="L136" i="13"/>
  <c r="K136" i="13"/>
  <c r="S130" i="13"/>
  <c r="R130" i="13"/>
  <c r="Q130" i="13"/>
  <c r="O130" i="13"/>
  <c r="N130" i="13"/>
  <c r="M130" i="13"/>
  <c r="L130" i="13"/>
  <c r="K130" i="13"/>
  <c r="S113" i="13"/>
  <c r="R113" i="13"/>
  <c r="Q113" i="13"/>
  <c r="P113" i="13"/>
  <c r="N113" i="13"/>
  <c r="M113" i="13"/>
  <c r="K113" i="13"/>
  <c r="J113" i="13"/>
  <c r="L113" i="13"/>
  <c r="S85" i="13"/>
  <c r="R85" i="13"/>
  <c r="Q85" i="13"/>
  <c r="P85" i="13"/>
  <c r="N85" i="13"/>
  <c r="M85" i="13"/>
  <c r="L85" i="13"/>
  <c r="K85" i="13"/>
  <c r="S82" i="13"/>
  <c r="R82" i="13"/>
  <c r="Q82" i="13"/>
  <c r="P82" i="13"/>
  <c r="M82" i="13"/>
  <c r="K82" i="13"/>
  <c r="N81" i="13"/>
  <c r="N82" i="13" s="1"/>
  <c r="L81" i="13"/>
  <c r="L82" i="13" s="1"/>
  <c r="S75" i="13"/>
  <c r="R75" i="13"/>
  <c r="Q75" i="13"/>
  <c r="O75" i="13"/>
  <c r="N75" i="13"/>
  <c r="M75" i="13"/>
  <c r="L75" i="13"/>
  <c r="S71" i="13"/>
  <c r="R71" i="13"/>
  <c r="Q71" i="13"/>
  <c r="O71" i="13"/>
  <c r="N71" i="13"/>
  <c r="L71" i="13"/>
  <c r="M61" i="13"/>
  <c r="M71" i="13" s="1"/>
  <c r="T47" i="13"/>
  <c r="S47" i="13"/>
  <c r="R47" i="13"/>
  <c r="Q47" i="13"/>
  <c r="O47" i="13"/>
  <c r="M44" i="13"/>
  <c r="M43" i="13"/>
  <c r="M40" i="13"/>
  <c r="M37" i="13"/>
  <c r="N47" i="13"/>
  <c r="S29" i="13"/>
  <c r="R29" i="13"/>
  <c r="Q29" i="13"/>
  <c r="O29" i="13"/>
  <c r="N29" i="13"/>
  <c r="M29" i="13"/>
  <c r="S9" i="13"/>
  <c r="R9" i="13"/>
  <c r="Q9" i="13"/>
  <c r="O9" i="13"/>
  <c r="N9" i="13"/>
  <c r="M9" i="13"/>
  <c r="L9" i="13"/>
  <c r="K9" i="13"/>
  <c r="F9" i="13"/>
  <c r="C4" i="13"/>
  <c r="F66" i="12"/>
  <c r="AD65" i="12"/>
  <c r="AN65" i="12" s="1"/>
  <c r="AD64" i="12"/>
  <c r="AN64" i="12" s="1"/>
  <c r="Y63" i="12"/>
  <c r="X63" i="12"/>
  <c r="W63" i="12"/>
  <c r="V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I66" i="12" s="1"/>
  <c r="H63" i="12"/>
  <c r="H66" i="12" s="1"/>
  <c r="Y62" i="12"/>
  <c r="AB61" i="12"/>
  <c r="AB66" i="12" s="1"/>
  <c r="AA61" i="12"/>
  <c r="AA66" i="12" s="1"/>
  <c r="Z61" i="12"/>
  <c r="Z66" i="12" s="1"/>
  <c r="Y61" i="12"/>
  <c r="X61" i="12"/>
  <c r="V61" i="12"/>
  <c r="U61" i="12"/>
  <c r="T61" i="12"/>
  <c r="S61" i="12"/>
  <c r="R61" i="12"/>
  <c r="Q61" i="12"/>
  <c r="P61" i="12"/>
  <c r="O61" i="12"/>
  <c r="M61" i="12"/>
  <c r="K61" i="12"/>
  <c r="J61" i="12"/>
  <c r="AD58" i="12"/>
  <c r="AN58" i="12" s="1"/>
  <c r="AD57" i="12"/>
  <c r="AN57" i="12" s="1"/>
  <c r="AD56" i="12"/>
  <c r="AN56" i="12" s="1"/>
  <c r="AD55" i="12"/>
  <c r="AN55" i="12" s="1"/>
  <c r="AB54" i="12"/>
  <c r="AB59" i="12" s="1"/>
  <c r="AA54" i="12"/>
  <c r="AA59" i="12" s="1"/>
  <c r="Z54" i="12"/>
  <c r="Z59" i="12" s="1"/>
  <c r="Y54" i="12"/>
  <c r="Y59" i="12" s="1"/>
  <c r="X54" i="12"/>
  <c r="W54" i="12"/>
  <c r="W59" i="12" s="1"/>
  <c r="V54" i="12"/>
  <c r="V59" i="12" s="1"/>
  <c r="T54" i="12"/>
  <c r="T59" i="12" s="1"/>
  <c r="S54" i="12"/>
  <c r="S59" i="12" s="1"/>
  <c r="R54" i="12"/>
  <c r="R59" i="12" s="1"/>
  <c r="Q54" i="12"/>
  <c r="Q59" i="12" s="1"/>
  <c r="P54" i="12"/>
  <c r="P59" i="12" s="1"/>
  <c r="O54" i="12"/>
  <c r="O59" i="12" s="1"/>
  <c r="N54" i="12"/>
  <c r="N59" i="12" s="1"/>
  <c r="M54" i="12"/>
  <c r="M59" i="12" s="1"/>
  <c r="L54" i="12"/>
  <c r="L59" i="12" s="1"/>
  <c r="K54" i="12"/>
  <c r="K59" i="12" s="1"/>
  <c r="J54" i="12"/>
  <c r="J59" i="12" s="1"/>
  <c r="I54" i="12"/>
  <c r="I59" i="12" s="1"/>
  <c r="H54" i="12"/>
  <c r="H59" i="12" s="1"/>
  <c r="G54" i="12"/>
  <c r="G59" i="12" s="1"/>
  <c r="AD53" i="12"/>
  <c r="AN53" i="12" s="1"/>
  <c r="F51" i="12"/>
  <c r="AD50" i="12"/>
  <c r="AN50" i="12" s="1"/>
  <c r="AB49" i="12"/>
  <c r="AB51" i="12" s="1"/>
  <c r="AA49" i="12"/>
  <c r="AA51" i="12" s="1"/>
  <c r="Z49" i="12"/>
  <c r="Z51" i="12" s="1"/>
  <c r="Y49" i="12"/>
  <c r="Y51" i="12" s="1"/>
  <c r="X49" i="12"/>
  <c r="X51" i="12" s="1"/>
  <c r="W49" i="12"/>
  <c r="W51" i="12" s="1"/>
  <c r="V49" i="12"/>
  <c r="V51" i="12" s="1"/>
  <c r="T49" i="12"/>
  <c r="T51" i="12" s="1"/>
  <c r="S49" i="12"/>
  <c r="S51" i="12" s="1"/>
  <c r="R49" i="12"/>
  <c r="R51" i="12" s="1"/>
  <c r="Q49" i="12"/>
  <c r="Q51" i="12" s="1"/>
  <c r="P49" i="12"/>
  <c r="P51" i="12" s="1"/>
  <c r="O49" i="12"/>
  <c r="O51" i="12" s="1"/>
  <c r="N49" i="12"/>
  <c r="N51" i="12" s="1"/>
  <c r="M49" i="12"/>
  <c r="M51" i="12" s="1"/>
  <c r="L49" i="12"/>
  <c r="L51" i="12" s="1"/>
  <c r="K49" i="12"/>
  <c r="K51" i="12" s="1"/>
  <c r="J49" i="12"/>
  <c r="J51" i="12" s="1"/>
  <c r="I49" i="12"/>
  <c r="I51" i="12" s="1"/>
  <c r="H49" i="12"/>
  <c r="H51" i="12" s="1"/>
  <c r="G49" i="12"/>
  <c r="G51" i="12" s="1"/>
  <c r="AD46" i="12"/>
  <c r="AN46" i="12" s="1"/>
  <c r="AB45" i="12"/>
  <c r="AB47" i="12" s="1"/>
  <c r="AA45" i="12"/>
  <c r="AA47" i="12" s="1"/>
  <c r="Z45" i="12"/>
  <c r="Z47" i="12" s="1"/>
  <c r="Y45" i="12"/>
  <c r="Y47" i="12" s="1"/>
  <c r="X45" i="12"/>
  <c r="X47" i="12" s="1"/>
  <c r="W45" i="12"/>
  <c r="W47" i="12" s="1"/>
  <c r="V45" i="12"/>
  <c r="V47" i="12" s="1"/>
  <c r="T45" i="12"/>
  <c r="T47" i="12" s="1"/>
  <c r="S45" i="12"/>
  <c r="S47" i="12" s="1"/>
  <c r="R45" i="12"/>
  <c r="R47" i="12" s="1"/>
  <c r="Q45" i="12"/>
  <c r="Q47" i="12" s="1"/>
  <c r="P45" i="12"/>
  <c r="P47" i="12" s="1"/>
  <c r="O45" i="12"/>
  <c r="O47" i="12" s="1"/>
  <c r="N45" i="12"/>
  <c r="N47" i="12" s="1"/>
  <c r="M45" i="12"/>
  <c r="M47" i="12" s="1"/>
  <c r="L45" i="12"/>
  <c r="L47" i="12" s="1"/>
  <c r="K45" i="12"/>
  <c r="K47" i="12" s="1"/>
  <c r="J45" i="12"/>
  <c r="J47" i="12" s="1"/>
  <c r="I45" i="12"/>
  <c r="I47" i="12" s="1"/>
  <c r="H45" i="12"/>
  <c r="H47" i="12" s="1"/>
  <c r="G45" i="12"/>
  <c r="G47" i="12" s="1"/>
  <c r="F45" i="12"/>
  <c r="F47" i="12" s="1"/>
  <c r="F37" i="12"/>
  <c r="AB35" i="12"/>
  <c r="AB37" i="12" s="1"/>
  <c r="AA35" i="12"/>
  <c r="Z35" i="12"/>
  <c r="Y35" i="12"/>
  <c r="X35" i="12"/>
  <c r="X37" i="12" s="1"/>
  <c r="W35" i="12"/>
  <c r="W37" i="12" s="1"/>
  <c r="T35" i="12"/>
  <c r="S35" i="12"/>
  <c r="R35" i="12"/>
  <c r="Q35" i="12"/>
  <c r="P35" i="12"/>
  <c r="O35" i="12"/>
  <c r="N35" i="12"/>
  <c r="M35" i="12"/>
  <c r="M37" i="12" s="1"/>
  <c r="L35" i="12"/>
  <c r="I35" i="12"/>
  <c r="I37" i="12" s="1"/>
  <c r="H35" i="12"/>
  <c r="G33" i="12"/>
  <c r="AB31" i="12"/>
  <c r="AB33" i="12" s="1"/>
  <c r="AA31" i="12"/>
  <c r="AA33" i="12" s="1"/>
  <c r="Z31" i="12"/>
  <c r="Z33" i="12" s="1"/>
  <c r="Y31" i="12"/>
  <c r="Y33" i="12" s="1"/>
  <c r="X31" i="12"/>
  <c r="X33" i="12" s="1"/>
  <c r="W31" i="12"/>
  <c r="W33" i="12" s="1"/>
  <c r="V31" i="12"/>
  <c r="V33" i="12" s="1"/>
  <c r="U31" i="12"/>
  <c r="U33" i="12" s="1"/>
  <c r="T31" i="12"/>
  <c r="T33" i="12" s="1"/>
  <c r="S31" i="12"/>
  <c r="S33" i="12" s="1"/>
  <c r="R31" i="12"/>
  <c r="R33" i="12" s="1"/>
  <c r="Q31" i="12"/>
  <c r="Q33" i="12" s="1"/>
  <c r="P31" i="12"/>
  <c r="P33" i="12" s="1"/>
  <c r="O31" i="12"/>
  <c r="O33" i="12" s="1"/>
  <c r="N31" i="12"/>
  <c r="N33" i="12" s="1"/>
  <c r="M31" i="12"/>
  <c r="M33" i="12" s="1"/>
  <c r="L31" i="12"/>
  <c r="L33" i="12" s="1"/>
  <c r="K31" i="12"/>
  <c r="K33" i="12" s="1"/>
  <c r="J31" i="12"/>
  <c r="J33" i="12" s="1"/>
  <c r="I31" i="12"/>
  <c r="I33" i="12" s="1"/>
  <c r="C4" i="12"/>
  <c r="AB186" i="11"/>
  <c r="AA186" i="11"/>
  <c r="Z186" i="11"/>
  <c r="Y186" i="11"/>
  <c r="V186" i="11"/>
  <c r="T186" i="11"/>
  <c r="S186" i="11"/>
  <c r="R186" i="11"/>
  <c r="P186" i="11"/>
  <c r="O186" i="11"/>
  <c r="M186" i="11"/>
  <c r="I186" i="11"/>
  <c r="H186" i="11"/>
  <c r="G186" i="11"/>
  <c r="F186" i="11"/>
  <c r="AD185" i="11"/>
  <c r="AG185" i="11" s="1"/>
  <c r="AD184" i="11"/>
  <c r="AG184" i="11" s="1"/>
  <c r="AB180" i="11"/>
  <c r="AA180" i="11"/>
  <c r="Z180" i="11"/>
  <c r="Y180" i="11"/>
  <c r="X180" i="11"/>
  <c r="W180" i="11"/>
  <c r="V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I188" i="11" s="1"/>
  <c r="H180" i="11"/>
  <c r="G180" i="11"/>
  <c r="F180" i="11"/>
  <c r="AD179" i="11"/>
  <c r="AG179" i="11" s="1"/>
  <c r="AD178" i="11"/>
  <c r="AG178" i="11" s="1"/>
  <c r="AD177" i="11"/>
  <c r="AG177" i="11" s="1"/>
  <c r="AD176" i="11"/>
  <c r="AG176" i="11" s="1"/>
  <c r="E167" i="11"/>
  <c r="E164" i="11"/>
  <c r="AD164" i="11" s="1"/>
  <c r="AG164" i="11" s="1"/>
  <c r="E163" i="11"/>
  <c r="AD163" i="11" s="1"/>
  <c r="AG163" i="11" s="1"/>
  <c r="E162" i="11"/>
  <c r="AC157" i="11"/>
  <c r="AC158" i="11" s="1"/>
  <c r="AB157" i="11"/>
  <c r="AA157" i="11"/>
  <c r="Z157" i="11"/>
  <c r="Y157" i="11"/>
  <c r="W157" i="11"/>
  <c r="V157" i="11"/>
  <c r="T157" i="11"/>
  <c r="R157" i="11"/>
  <c r="Q157" i="11"/>
  <c r="P157" i="11"/>
  <c r="O157" i="11"/>
  <c r="M157" i="11"/>
  <c r="L157" i="11"/>
  <c r="K157" i="11"/>
  <c r="J157" i="11"/>
  <c r="I157" i="11"/>
  <c r="H157" i="11"/>
  <c r="G157" i="11"/>
  <c r="F157" i="11"/>
  <c r="AD156" i="11"/>
  <c r="AG156" i="11" s="1"/>
  <c r="AD155" i="11"/>
  <c r="AG155" i="11" s="1"/>
  <c r="AD154" i="11"/>
  <c r="AG154" i="11" s="1"/>
  <c r="AD153" i="11"/>
  <c r="AG153" i="11" s="1"/>
  <c r="AD152" i="11"/>
  <c r="AG152" i="11" s="1"/>
  <c r="AD151" i="11"/>
  <c r="AG151" i="11" s="1"/>
  <c r="AD150" i="11"/>
  <c r="AG150" i="11" s="1"/>
  <c r="S149" i="11"/>
  <c r="X157" i="11"/>
  <c r="N147" i="11"/>
  <c r="N157" i="11" s="1"/>
  <c r="AB145" i="11"/>
  <c r="AA145" i="11"/>
  <c r="Z145" i="11"/>
  <c r="Y145" i="11"/>
  <c r="X145" i="11"/>
  <c r="W145" i="11"/>
  <c r="V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D144" i="11"/>
  <c r="AG144" i="11" s="1"/>
  <c r="AD143" i="11"/>
  <c r="AG143" i="11" s="1"/>
  <c r="AD142" i="11"/>
  <c r="AG142" i="11" s="1"/>
  <c r="AD141" i="11"/>
  <c r="AG141" i="11" s="1"/>
  <c r="AD140" i="11"/>
  <c r="AG140" i="11" s="1"/>
  <c r="AD139" i="11"/>
  <c r="AG139" i="11" s="1"/>
  <c r="AD138" i="11"/>
  <c r="AG138" i="11" s="1"/>
  <c r="AD137" i="11"/>
  <c r="AG137" i="11" s="1"/>
  <c r="AD136" i="11"/>
  <c r="AG136" i="11" s="1"/>
  <c r="AD134" i="11"/>
  <c r="AG134" i="11" s="1"/>
  <c r="AD133" i="11"/>
  <c r="AG133" i="11" s="1"/>
  <c r="AD132" i="11"/>
  <c r="AG132" i="11" s="1"/>
  <c r="AB130" i="11"/>
  <c r="AA130" i="11"/>
  <c r="Z130" i="11"/>
  <c r="Y130" i="11"/>
  <c r="X130" i="11"/>
  <c r="W130" i="11"/>
  <c r="V130" i="11"/>
  <c r="T130" i="11"/>
  <c r="S130" i="11"/>
  <c r="R130" i="11"/>
  <c r="R159" i="11" s="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25" i="11"/>
  <c r="U125" i="11" s="1"/>
  <c r="E122" i="11"/>
  <c r="U122" i="11" s="1"/>
  <c r="E120" i="11"/>
  <c r="U120" i="11" s="1"/>
  <c r="AB115" i="11"/>
  <c r="AA115" i="11"/>
  <c r="Z115" i="11"/>
  <c r="Y115" i="11"/>
  <c r="X115" i="11"/>
  <c r="W115" i="11"/>
  <c r="V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D114" i="11"/>
  <c r="AG114" i="11" s="1"/>
  <c r="AD113" i="11"/>
  <c r="AG113" i="11" s="1"/>
  <c r="AD112" i="11"/>
  <c r="AG112" i="11" s="1"/>
  <c r="AD111" i="11"/>
  <c r="AG111" i="11" s="1"/>
  <c r="AD110" i="11"/>
  <c r="AG110" i="11" s="1"/>
  <c r="AD109" i="11"/>
  <c r="AG109" i="11" s="1"/>
  <c r="AB107" i="11"/>
  <c r="AA107" i="11"/>
  <c r="Z107" i="11"/>
  <c r="Y107" i="11"/>
  <c r="X107" i="11"/>
  <c r="W107" i="11"/>
  <c r="V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D106" i="11"/>
  <c r="AG106" i="11" s="1"/>
  <c r="AD105" i="11"/>
  <c r="AG105" i="11" s="1"/>
  <c r="AD104" i="11"/>
  <c r="AG104" i="11" s="1"/>
  <c r="AD103" i="11"/>
  <c r="AG103" i="11" s="1"/>
  <c r="AD102" i="11"/>
  <c r="AG102" i="11" s="1"/>
  <c r="AD101" i="11"/>
  <c r="AG101" i="11" s="1"/>
  <c r="AD100" i="11"/>
  <c r="AG100" i="11" s="1"/>
  <c r="AB96" i="11"/>
  <c r="AA96" i="11"/>
  <c r="Z96" i="11"/>
  <c r="Y96" i="11"/>
  <c r="V96" i="11"/>
  <c r="T96" i="11"/>
  <c r="R96" i="11"/>
  <c r="Q96" i="11"/>
  <c r="P96" i="11"/>
  <c r="O96" i="11"/>
  <c r="M96" i="11"/>
  <c r="K96" i="11"/>
  <c r="J96" i="11"/>
  <c r="I96" i="11"/>
  <c r="H96" i="11"/>
  <c r="F96" i="11"/>
  <c r="AD95" i="11"/>
  <c r="AG95" i="11" s="1"/>
  <c r="AD94" i="11"/>
  <c r="AG94" i="11" s="1"/>
  <c r="AD93" i="11"/>
  <c r="AG93" i="11" s="1"/>
  <c r="AD92" i="11"/>
  <c r="AG92" i="11" s="1"/>
  <c r="AD91" i="11"/>
  <c r="AG91" i="11" s="1"/>
  <c r="G89" i="11"/>
  <c r="AD89" i="11" s="1"/>
  <c r="AG89" i="11" s="1"/>
  <c r="S96" i="11"/>
  <c r="G87" i="11"/>
  <c r="G86" i="11"/>
  <c r="U63" i="12"/>
  <c r="X62" i="12"/>
  <c r="N83" i="11"/>
  <c r="N96" i="11" s="1"/>
  <c r="G83" i="11"/>
  <c r="AB81" i="11"/>
  <c r="AA81" i="11"/>
  <c r="Z81" i="11"/>
  <c r="Y81" i="11"/>
  <c r="W81" i="11"/>
  <c r="V81" i="11"/>
  <c r="T81" i="11"/>
  <c r="S81" i="11"/>
  <c r="R81" i="11"/>
  <c r="P81" i="11"/>
  <c r="O81" i="11"/>
  <c r="N81" i="11"/>
  <c r="M81" i="11"/>
  <c r="L81" i="11"/>
  <c r="K81" i="11"/>
  <c r="J81" i="11"/>
  <c r="I81" i="11"/>
  <c r="F81" i="11"/>
  <c r="U49" i="12"/>
  <c r="U51" i="12" s="1"/>
  <c r="Q81" i="11"/>
  <c r="AD77" i="11"/>
  <c r="AG77" i="11" s="1"/>
  <c r="G76" i="11"/>
  <c r="X81" i="11"/>
  <c r="G73" i="11"/>
  <c r="G72" i="11"/>
  <c r="AB69" i="11"/>
  <c r="AA69" i="11"/>
  <c r="Z69" i="11"/>
  <c r="Y69" i="11"/>
  <c r="X69" i="11"/>
  <c r="W69" i="11"/>
  <c r="V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F69" i="11"/>
  <c r="G68" i="11"/>
  <c r="AB65" i="11"/>
  <c r="AA65" i="11"/>
  <c r="Z65" i="11"/>
  <c r="Y65" i="11"/>
  <c r="X65" i="11"/>
  <c r="V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F65" i="11"/>
  <c r="AD63" i="11"/>
  <c r="AG63" i="11" s="1"/>
  <c r="W65" i="11"/>
  <c r="AB60" i="11"/>
  <c r="AA60" i="11"/>
  <c r="Z60" i="11"/>
  <c r="Y60" i="11"/>
  <c r="X60" i="11"/>
  <c r="W60" i="11"/>
  <c r="V60" i="11"/>
  <c r="T60" i="11"/>
  <c r="S60" i="11"/>
  <c r="R60" i="11"/>
  <c r="Q60" i="11"/>
  <c r="P60" i="11"/>
  <c r="O60" i="11"/>
  <c r="N60" i="11"/>
  <c r="M60" i="11"/>
  <c r="L60" i="11"/>
  <c r="I60" i="11"/>
  <c r="H60" i="11"/>
  <c r="F60" i="11"/>
  <c r="K35" i="12"/>
  <c r="K37" i="12" s="1"/>
  <c r="J35" i="12"/>
  <c r="AD58" i="11"/>
  <c r="AG58" i="11" s="1"/>
  <c r="AB42" i="11"/>
  <c r="AA42" i="11"/>
  <c r="Z42" i="11"/>
  <c r="Y42" i="11"/>
  <c r="X42" i="11"/>
  <c r="W42" i="11"/>
  <c r="V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AD41" i="11"/>
  <c r="AG41" i="11" s="1"/>
  <c r="AD40" i="11"/>
  <c r="AG40" i="11" s="1"/>
  <c r="AD39" i="11"/>
  <c r="AG39" i="11" s="1"/>
  <c r="AD38" i="11"/>
  <c r="AG38" i="11" s="1"/>
  <c r="AD37" i="11"/>
  <c r="AG37" i="11" s="1"/>
  <c r="AD36" i="11"/>
  <c r="AG36" i="11" s="1"/>
  <c r="F35" i="11"/>
  <c r="AD35" i="11" s="1"/>
  <c r="AG35" i="11" s="1"/>
  <c r="V35" i="12"/>
  <c r="V37" i="12" s="1"/>
  <c r="F34" i="11"/>
  <c r="F33" i="11"/>
  <c r="U33" i="11" s="1"/>
  <c r="U87" i="11" s="1"/>
  <c r="AD32" i="11"/>
  <c r="AG32" i="11" s="1"/>
  <c r="U54" i="12"/>
  <c r="U59" i="12" s="1"/>
  <c r="F31" i="11"/>
  <c r="AD30" i="11"/>
  <c r="AG30" i="11" s="1"/>
  <c r="AB28" i="11"/>
  <c r="AA28" i="11"/>
  <c r="Z28" i="11"/>
  <c r="Y28" i="11"/>
  <c r="X28" i="11"/>
  <c r="W28" i="11"/>
  <c r="V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7" i="11"/>
  <c r="U45" i="12"/>
  <c r="U47" i="12" s="1"/>
  <c r="AD25" i="11"/>
  <c r="AG25" i="11" s="1"/>
  <c r="F24" i="11"/>
  <c r="AD23" i="11"/>
  <c r="AG23" i="11" s="1"/>
  <c r="AD22" i="11"/>
  <c r="AG22" i="11" s="1"/>
  <c r="AB20" i="11"/>
  <c r="AA20" i="11"/>
  <c r="Z20" i="11"/>
  <c r="Y20" i="11"/>
  <c r="X20" i="11"/>
  <c r="W20" i="11"/>
  <c r="V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G20" i="11"/>
  <c r="AD19" i="11"/>
  <c r="AG19" i="11" s="1"/>
  <c r="H20" i="11"/>
  <c r="F31" i="12"/>
  <c r="F17" i="11"/>
  <c r="E12" i="11"/>
  <c r="E12" i="12" s="1"/>
  <c r="E10" i="11"/>
  <c r="F10" i="11" s="1"/>
  <c r="E9" i="11"/>
  <c r="E9" i="12" s="1"/>
  <c r="E7" i="11"/>
  <c r="C4" i="11"/>
  <c r="BE136" i="10"/>
  <c r="BD136" i="10"/>
  <c r="BC136" i="10"/>
  <c r="BB136" i="10"/>
  <c r="BA136" i="10"/>
  <c r="AZ136" i="10"/>
  <c r="AY136" i="10"/>
  <c r="AX136" i="10"/>
  <c r="AW136" i="10"/>
  <c r="AV136" i="10"/>
  <c r="AU136" i="10"/>
  <c r="AT136" i="10"/>
  <c r="AS136" i="10"/>
  <c r="AR136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E136" i="10"/>
  <c r="BG135" i="10"/>
  <c r="BE131" i="10"/>
  <c r="BD131" i="10"/>
  <c r="BC131" i="10"/>
  <c r="BB131" i="10"/>
  <c r="BA131" i="10"/>
  <c r="AZ131" i="10"/>
  <c r="AY131" i="10"/>
  <c r="AX131" i="10"/>
  <c r="AW131" i="10"/>
  <c r="AV131" i="10"/>
  <c r="AU131" i="10"/>
  <c r="AT131" i="10"/>
  <c r="AS131" i="10"/>
  <c r="AR131" i="10"/>
  <c r="AQ131" i="10"/>
  <c r="AP131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E131" i="10"/>
  <c r="BG130" i="10"/>
  <c r="BE128" i="10"/>
  <c r="BD128" i="10"/>
  <c r="BC128" i="10"/>
  <c r="BB128" i="10"/>
  <c r="BA128" i="10"/>
  <c r="AZ128" i="10"/>
  <c r="AY128" i="10"/>
  <c r="AX128" i="10"/>
  <c r="AW128" i="10"/>
  <c r="AV128" i="10"/>
  <c r="AU128" i="10"/>
  <c r="AT128" i="10"/>
  <c r="AS128" i="10"/>
  <c r="AR128" i="10"/>
  <c r="AQ128" i="10"/>
  <c r="AP128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W128" i="10"/>
  <c r="V128" i="10"/>
  <c r="U128" i="10"/>
  <c r="Q128" i="10"/>
  <c r="P128" i="10"/>
  <c r="O128" i="10"/>
  <c r="N128" i="10"/>
  <c r="M128" i="10"/>
  <c r="L128" i="10"/>
  <c r="K128" i="10"/>
  <c r="J128" i="10"/>
  <c r="I128" i="10"/>
  <c r="H128" i="10"/>
  <c r="G128" i="10"/>
  <c r="E128" i="10"/>
  <c r="BG127" i="10"/>
  <c r="BG125" i="10"/>
  <c r="BG124" i="10"/>
  <c r="BG123" i="10"/>
  <c r="R122" i="10"/>
  <c r="BG122" i="10" s="1"/>
  <c r="BG121" i="10"/>
  <c r="BG120" i="10"/>
  <c r="BG119" i="10"/>
  <c r="BG118" i="10"/>
  <c r="S116" i="10"/>
  <c r="BG116" i="10" s="1"/>
  <c r="BG114" i="10"/>
  <c r="BE111" i="10"/>
  <c r="BD111" i="10"/>
  <c r="BC111" i="10"/>
  <c r="BB111" i="10"/>
  <c r="BA111" i="10"/>
  <c r="AZ111" i="10"/>
  <c r="AY111" i="10"/>
  <c r="AW111" i="10"/>
  <c r="AV111" i="10"/>
  <c r="AU111" i="10"/>
  <c r="AT111" i="10"/>
  <c r="AS111" i="10"/>
  <c r="AR111" i="10"/>
  <c r="AQ111" i="10"/>
  <c r="AP111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E111" i="10"/>
  <c r="BG110" i="10"/>
  <c r="BG109" i="10"/>
  <c r="BG108" i="10"/>
  <c r="U223" i="13"/>
  <c r="AX111" i="10"/>
  <c r="X111" i="10"/>
  <c r="BE104" i="10"/>
  <c r="BD104" i="10"/>
  <c r="BC104" i="10"/>
  <c r="BB104" i="10"/>
  <c r="BA104" i="10"/>
  <c r="AZ104" i="10"/>
  <c r="AY104" i="10"/>
  <c r="AX104" i="10"/>
  <c r="AW104" i="10"/>
  <c r="AV104" i="10"/>
  <c r="AU104" i="10"/>
  <c r="AT104" i="10"/>
  <c r="AS104" i="10"/>
  <c r="AR104" i="10"/>
  <c r="AQ104" i="10"/>
  <c r="AP104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E104" i="10"/>
  <c r="BG103" i="10"/>
  <c r="BG104" i="10" s="1"/>
  <c r="BE101" i="10"/>
  <c r="BD101" i="10"/>
  <c r="BC101" i="10"/>
  <c r="BA101" i="10"/>
  <c r="AZ101" i="10"/>
  <c r="AY101" i="10"/>
  <c r="AX101" i="10"/>
  <c r="AW101" i="10"/>
  <c r="AV101" i="10"/>
  <c r="AU101" i="10"/>
  <c r="AT101" i="10"/>
  <c r="AS101" i="10"/>
  <c r="AR101" i="10"/>
  <c r="AP101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Y101" i="10"/>
  <c r="W101" i="10"/>
  <c r="V101" i="10"/>
  <c r="U101" i="10"/>
  <c r="T101" i="10"/>
  <c r="S101" i="10"/>
  <c r="Q101" i="10"/>
  <c r="P101" i="10"/>
  <c r="O101" i="10"/>
  <c r="N101" i="10"/>
  <c r="M101" i="10"/>
  <c r="L101" i="10"/>
  <c r="K101" i="10"/>
  <c r="J101" i="10"/>
  <c r="I101" i="10"/>
  <c r="H101" i="10"/>
  <c r="G101" i="10"/>
  <c r="R100" i="10"/>
  <c r="R101" i="10" s="1"/>
  <c r="BG99" i="10"/>
  <c r="BG98" i="10"/>
  <c r="BG96" i="10"/>
  <c r="BG95" i="10"/>
  <c r="BG94" i="10"/>
  <c r="BG93" i="10"/>
  <c r="BG92" i="10"/>
  <c r="BG91" i="10"/>
  <c r="BG90" i="10"/>
  <c r="BG89" i="10"/>
  <c r="BG86" i="10"/>
  <c r="BG85" i="10"/>
  <c r="Z84" i="10"/>
  <c r="BG84" i="10" s="1"/>
  <c r="BB83" i="10"/>
  <c r="BB101" i="10" s="1"/>
  <c r="Z83" i="10"/>
  <c r="X83" i="10"/>
  <c r="BG82" i="10"/>
  <c r="E80" i="10"/>
  <c r="X80" i="10" s="1"/>
  <c r="E75" i="10"/>
  <c r="X75" i="10" s="1"/>
  <c r="BF67" i="10"/>
  <c r="BE67" i="10"/>
  <c r="BD67" i="10"/>
  <c r="BC67" i="10"/>
  <c r="BB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BG66" i="10"/>
  <c r="BD64" i="10"/>
  <c r="BC64" i="10"/>
  <c r="AZ64" i="10"/>
  <c r="AY64" i="10"/>
  <c r="AX64" i="10"/>
  <c r="AW64" i="10"/>
  <c r="AU64" i="10"/>
  <c r="AT64" i="10"/>
  <c r="AS64" i="10"/>
  <c r="AQ64" i="10"/>
  <c r="AP64" i="10"/>
  <c r="AO64" i="10"/>
  <c r="AN64" i="10"/>
  <c r="AM64" i="10"/>
  <c r="AL64" i="10"/>
  <c r="AK64" i="10"/>
  <c r="AI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BB64" i="10"/>
  <c r="BA64" i="10"/>
  <c r="AV63" i="10"/>
  <c r="AV64" i="10" s="1"/>
  <c r="AR64" i="10"/>
  <c r="AH64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BG60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F58" i="10"/>
  <c r="AE58" i="10"/>
  <c r="AD58" i="10"/>
  <c r="AC58" i="10"/>
  <c r="AB58" i="10"/>
  <c r="AA58" i="10"/>
  <c r="Z58" i="10"/>
  <c r="X58" i="10"/>
  <c r="W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BG57" i="10"/>
  <c r="AG56" i="10"/>
  <c r="AG58" i="10" s="1"/>
  <c r="V56" i="10"/>
  <c r="BG55" i="10"/>
  <c r="V54" i="10"/>
  <c r="BG53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Y51" i="10"/>
  <c r="X51" i="10"/>
  <c r="W51" i="10"/>
  <c r="V51" i="10"/>
  <c r="U51" i="10"/>
  <c r="Q51" i="10"/>
  <c r="P51" i="10"/>
  <c r="O51" i="10"/>
  <c r="N51" i="10"/>
  <c r="M51" i="10"/>
  <c r="L51" i="10"/>
  <c r="K51" i="10"/>
  <c r="J51" i="10"/>
  <c r="I51" i="10"/>
  <c r="H51" i="10"/>
  <c r="G51" i="10"/>
  <c r="BG49" i="10"/>
  <c r="BG47" i="10"/>
  <c r="S51" i="10"/>
  <c r="BG52" i="10" s="1"/>
  <c r="E42" i="10"/>
  <c r="Z42" i="10" s="1"/>
  <c r="Z100" i="10" s="1"/>
  <c r="E41" i="10"/>
  <c r="BG41" i="10" s="1"/>
  <c r="BG37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E36" i="10"/>
  <c r="BG35" i="10"/>
  <c r="BG34" i="10"/>
  <c r="BG33" i="10"/>
  <c r="BG32" i="10"/>
  <c r="BG31" i="10"/>
  <c r="BG30" i="10"/>
  <c r="BG29" i="10"/>
  <c r="BG28" i="10"/>
  <c r="AZ26" i="10"/>
  <c r="AY26" i="10"/>
  <c r="AX26" i="10"/>
  <c r="AW26" i="10"/>
  <c r="AT26" i="10"/>
  <c r="AS26" i="10"/>
  <c r="AQ26" i="10"/>
  <c r="AP26" i="10"/>
  <c r="AO26" i="10"/>
  <c r="AN26" i="10"/>
  <c r="AM26" i="10"/>
  <c r="AI26" i="10"/>
  <c r="AE26" i="10"/>
  <c r="AC26" i="10"/>
  <c r="AB26" i="10"/>
  <c r="AA26" i="10"/>
  <c r="Y26" i="10"/>
  <c r="Y38" i="10" s="1"/>
  <c r="X26" i="10"/>
  <c r="W26" i="10"/>
  <c r="V26" i="10"/>
  <c r="U26" i="10"/>
  <c r="U38" i="10" s="1"/>
  <c r="T26" i="10"/>
  <c r="S26" i="10"/>
  <c r="R26" i="10"/>
  <c r="P26" i="10"/>
  <c r="O26" i="10"/>
  <c r="N26" i="10"/>
  <c r="M26" i="10"/>
  <c r="L26" i="10"/>
  <c r="K26" i="10"/>
  <c r="J26" i="10"/>
  <c r="I26" i="10"/>
  <c r="H26" i="10"/>
  <c r="G26" i="10"/>
  <c r="BG25" i="10"/>
  <c r="BG24" i="10"/>
  <c r="AG22" i="10"/>
  <c r="AG23" i="10" s="1"/>
  <c r="AG63" i="10" s="1"/>
  <c r="BG21" i="10"/>
  <c r="BG20" i="10"/>
  <c r="BG19" i="10"/>
  <c r="BB26" i="10"/>
  <c r="AV18" i="10"/>
  <c r="AV26" i="10" s="1"/>
  <c r="AR26" i="10"/>
  <c r="BD17" i="10"/>
  <c r="BD26" i="10" s="1"/>
  <c r="BC17" i="10"/>
  <c r="BC26" i="10" s="1"/>
  <c r="BA26" i="10"/>
  <c r="AU17" i="10"/>
  <c r="AU26" i="10" s="1"/>
  <c r="AK26" i="10"/>
  <c r="AH26" i="10"/>
  <c r="AD17" i="10"/>
  <c r="AD26" i="10" s="1"/>
  <c r="Q17" i="10"/>
  <c r="E15" i="10"/>
  <c r="Q15" i="10" s="1"/>
  <c r="BG15" i="10" s="1"/>
  <c r="E14" i="10"/>
  <c r="Q14" i="10" s="1"/>
  <c r="BG14" i="10" s="1"/>
  <c r="E11" i="10"/>
  <c r="Q11" i="10" s="1"/>
  <c r="BG11" i="10" s="1"/>
  <c r="E10" i="10"/>
  <c r="Q10" i="10" s="1"/>
  <c r="E9" i="10"/>
  <c r="E8" i="10"/>
  <c r="Q8" i="10" s="1"/>
  <c r="C5" i="10"/>
  <c r="BF171" i="9"/>
  <c r="BE171" i="9"/>
  <c r="BD171" i="9"/>
  <c r="BC171" i="9"/>
  <c r="BB171" i="9"/>
  <c r="BA171" i="9"/>
  <c r="AZ171" i="9"/>
  <c r="AY171" i="9"/>
  <c r="AX171" i="9"/>
  <c r="AW171" i="9"/>
  <c r="AV171" i="9"/>
  <c r="AU171" i="9"/>
  <c r="AT171" i="9"/>
  <c r="AS171" i="9"/>
  <c r="AR171" i="9"/>
  <c r="AQ171" i="9"/>
  <c r="AP171" i="9"/>
  <c r="AO171" i="9"/>
  <c r="AN171" i="9"/>
  <c r="AM171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BH170" i="9"/>
  <c r="U138" i="13" s="1"/>
  <c r="BF166" i="9"/>
  <c r="BE166" i="9"/>
  <c r="BD166" i="9"/>
  <c r="BC166" i="9"/>
  <c r="BB166" i="9"/>
  <c r="BA166" i="9"/>
  <c r="AZ166" i="9"/>
  <c r="AY166" i="9"/>
  <c r="AX166" i="9"/>
  <c r="AW166" i="9"/>
  <c r="AV166" i="9"/>
  <c r="AU166" i="9"/>
  <c r="AT166" i="9"/>
  <c r="AS166" i="9"/>
  <c r="AR166" i="9"/>
  <c r="AQ166" i="9"/>
  <c r="AP166" i="9"/>
  <c r="AO166" i="9"/>
  <c r="AN166" i="9"/>
  <c r="AM166" i="9"/>
  <c r="AL166" i="9"/>
  <c r="AK166" i="9"/>
  <c r="AJ166" i="9"/>
  <c r="AI166" i="9"/>
  <c r="AH166" i="9"/>
  <c r="AG166" i="9"/>
  <c r="AF166" i="9"/>
  <c r="AE166" i="9"/>
  <c r="AD166" i="9"/>
  <c r="AC166" i="9"/>
  <c r="AB166" i="9"/>
  <c r="AA166" i="9"/>
  <c r="Z166" i="9"/>
  <c r="Y166" i="9"/>
  <c r="X166" i="9"/>
  <c r="W166" i="9"/>
  <c r="V166" i="9"/>
  <c r="U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BH165" i="9"/>
  <c r="U135" i="13" s="1"/>
  <c r="BH164" i="9"/>
  <c r="U134" i="13" s="1"/>
  <c r="BH163" i="9"/>
  <c r="U133" i="13" s="1"/>
  <c r="BH162" i="9"/>
  <c r="U132" i="13" s="1"/>
  <c r="BF156" i="9"/>
  <c r="BE156" i="9"/>
  <c r="BD156" i="9"/>
  <c r="BC156" i="9"/>
  <c r="BB156" i="9"/>
  <c r="BA156" i="9"/>
  <c r="AZ156" i="9"/>
  <c r="AY156" i="9"/>
  <c r="AX156" i="9"/>
  <c r="AW156" i="9"/>
  <c r="AV156" i="9"/>
  <c r="AU156" i="9"/>
  <c r="AT156" i="9"/>
  <c r="AS156" i="9"/>
  <c r="AR156" i="9"/>
  <c r="AQ156" i="9"/>
  <c r="AP156" i="9"/>
  <c r="AO156" i="9"/>
  <c r="AN156" i="9"/>
  <c r="AM156" i="9"/>
  <c r="AL156" i="9"/>
  <c r="AK156" i="9"/>
  <c r="AJ156" i="9"/>
  <c r="AI156" i="9"/>
  <c r="AH156" i="9"/>
  <c r="AG156" i="9"/>
  <c r="AF156" i="9"/>
  <c r="AE156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E156" i="9"/>
  <c r="BH155" i="9"/>
  <c r="U127" i="13" s="1"/>
  <c r="BH154" i="9"/>
  <c r="U126" i="13" s="1"/>
  <c r="BH153" i="9"/>
  <c r="U125" i="13" s="1"/>
  <c r="BH152" i="9"/>
  <c r="U124" i="13" s="1"/>
  <c r="BH151" i="9"/>
  <c r="BH150" i="9"/>
  <c r="U122" i="13" s="1"/>
  <c r="BH149" i="9"/>
  <c r="U121" i="13" s="1"/>
  <c r="BH148" i="9"/>
  <c r="U120" i="13" s="1"/>
  <c r="BH147" i="9"/>
  <c r="U119" i="13" s="1"/>
  <c r="BH146" i="9"/>
  <c r="U118" i="13" s="1"/>
  <c r="BH145" i="9"/>
  <c r="U117" i="13" s="1"/>
  <c r="BH144" i="9"/>
  <c r="U116" i="13" s="1"/>
  <c r="BH143" i="9"/>
  <c r="U115" i="13" s="1"/>
  <c r="BF141" i="9"/>
  <c r="BE141" i="9"/>
  <c r="BD141" i="9"/>
  <c r="BC141" i="9"/>
  <c r="BB141" i="9"/>
  <c r="BA141" i="9"/>
  <c r="AZ141" i="9"/>
  <c r="AY141" i="9"/>
  <c r="AX141" i="9"/>
  <c r="AW141" i="9"/>
  <c r="AV141" i="9"/>
  <c r="AU141" i="9"/>
  <c r="AT141" i="9"/>
  <c r="AS141" i="9"/>
  <c r="AR141" i="9"/>
  <c r="AQ141" i="9"/>
  <c r="AP141" i="9"/>
  <c r="AO141" i="9"/>
  <c r="AL141" i="9"/>
  <c r="AK141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U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AN141" i="9"/>
  <c r="AM141" i="9"/>
  <c r="BH139" i="9"/>
  <c r="U111" i="13" s="1"/>
  <c r="BH138" i="9"/>
  <c r="BH137" i="9"/>
  <c r="U109" i="13" s="1"/>
  <c r="BH136" i="9"/>
  <c r="U108" i="13" s="1"/>
  <c r="BH135" i="9"/>
  <c r="U107" i="13" s="1"/>
  <c r="BH134" i="9"/>
  <c r="U106" i="13" s="1"/>
  <c r="BH133" i="9"/>
  <c r="U105" i="13" s="1"/>
  <c r="BH132" i="9"/>
  <c r="U104" i="13" s="1"/>
  <c r="BH131" i="9"/>
  <c r="U103" i="13" s="1"/>
  <c r="BH130" i="9"/>
  <c r="U102" i="13" s="1"/>
  <c r="BH129" i="9"/>
  <c r="U101" i="13" s="1"/>
  <c r="BH128" i="9"/>
  <c r="U100" i="13" s="1"/>
  <c r="BH126" i="9"/>
  <c r="U98" i="13" s="1"/>
  <c r="BH125" i="9"/>
  <c r="U97" i="13" s="1"/>
  <c r="BH124" i="9"/>
  <c r="U96" i="13" s="1"/>
  <c r="BH123" i="9"/>
  <c r="U95" i="13" s="1"/>
  <c r="BH122" i="9"/>
  <c r="U94" i="13" s="1"/>
  <c r="S121" i="9"/>
  <c r="S141" i="9" s="1"/>
  <c r="BH120" i="9"/>
  <c r="U92" i="13" s="1"/>
  <c r="BH119" i="9"/>
  <c r="U91" i="13" s="1"/>
  <c r="BH118" i="9"/>
  <c r="U90" i="13" s="1"/>
  <c r="BH117" i="9"/>
  <c r="BH116" i="9"/>
  <c r="U88" i="13" s="1"/>
  <c r="T115" i="9"/>
  <c r="BF108" i="9"/>
  <c r="BE108" i="9"/>
  <c r="BD108" i="9"/>
  <c r="BC108" i="9"/>
  <c r="BB108" i="9"/>
  <c r="BA108" i="9"/>
  <c r="AZ108" i="9"/>
  <c r="AY108" i="9"/>
  <c r="AX108" i="9"/>
  <c r="AW108" i="9"/>
  <c r="AV108" i="9"/>
  <c r="AU108" i="9"/>
  <c r="AT108" i="9"/>
  <c r="AS108" i="9"/>
  <c r="AR108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BH107" i="9"/>
  <c r="BF105" i="9"/>
  <c r="BE105" i="9"/>
  <c r="BD105" i="9"/>
  <c r="BC105" i="9"/>
  <c r="BB105" i="9"/>
  <c r="BA105" i="9"/>
  <c r="AZ105" i="9"/>
  <c r="AY105" i="9"/>
  <c r="AX105" i="9"/>
  <c r="AW105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G105" i="9"/>
  <c r="AC105" i="9"/>
  <c r="AB105" i="9"/>
  <c r="AA105" i="9"/>
  <c r="Z105" i="9"/>
  <c r="Y105" i="9"/>
  <c r="X105" i="9"/>
  <c r="W105" i="9"/>
  <c r="V105" i="9"/>
  <c r="U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T104" i="9"/>
  <c r="BH104" i="9" s="1"/>
  <c r="U81" i="13" s="1"/>
  <c r="AD105" i="9"/>
  <c r="T103" i="9"/>
  <c r="BF93" i="9"/>
  <c r="BE93" i="9"/>
  <c r="BD93" i="9"/>
  <c r="BC93" i="9"/>
  <c r="BB93" i="9"/>
  <c r="BA93" i="9"/>
  <c r="AZ93" i="9"/>
  <c r="AY93" i="9"/>
  <c r="AX93" i="9"/>
  <c r="AW93" i="9"/>
  <c r="AV93" i="9"/>
  <c r="AU93" i="9"/>
  <c r="AT93" i="9"/>
  <c r="AS93" i="9"/>
  <c r="AR93" i="9"/>
  <c r="AP93" i="9"/>
  <c r="AO93" i="9"/>
  <c r="AN93" i="9"/>
  <c r="AM93" i="9"/>
  <c r="AL93" i="9"/>
  <c r="AK93" i="9"/>
  <c r="AJ93" i="9"/>
  <c r="AI93" i="9"/>
  <c r="AF93" i="9"/>
  <c r="AE93" i="9"/>
  <c r="AD93" i="9"/>
  <c r="AC93" i="9"/>
  <c r="AA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U74" i="13"/>
  <c r="AQ93" i="9"/>
  <c r="AG93" i="9"/>
  <c r="AB93" i="9"/>
  <c r="Z91" i="9"/>
  <c r="Z93" i="9" s="1"/>
  <c r="BF89" i="9"/>
  <c r="BE89" i="9"/>
  <c r="BD89" i="9"/>
  <c r="BC89" i="9"/>
  <c r="BB89" i="9"/>
  <c r="BA89" i="9"/>
  <c r="AZ89" i="9"/>
  <c r="AY89" i="9"/>
  <c r="AX89" i="9"/>
  <c r="AW89" i="9"/>
  <c r="AV89" i="9"/>
  <c r="AU89" i="9"/>
  <c r="AT89" i="9"/>
  <c r="AS89" i="9"/>
  <c r="AR89" i="9"/>
  <c r="AQ89" i="9"/>
  <c r="AP89" i="9"/>
  <c r="AO89" i="9"/>
  <c r="AN89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R89" i="9"/>
  <c r="Q89" i="9"/>
  <c r="P89" i="9"/>
  <c r="O89" i="9"/>
  <c r="N89" i="9"/>
  <c r="M89" i="9"/>
  <c r="L89" i="9"/>
  <c r="K89" i="9"/>
  <c r="J89" i="9"/>
  <c r="I89" i="9"/>
  <c r="H89" i="9"/>
  <c r="G89" i="9"/>
  <c r="BH88" i="9"/>
  <c r="U70" i="13" s="1"/>
  <c r="BH87" i="9"/>
  <c r="U69" i="13" s="1"/>
  <c r="BH86" i="9"/>
  <c r="U68" i="13" s="1"/>
  <c r="BH85" i="9"/>
  <c r="U67" i="13" s="1"/>
  <c r="BH84" i="9"/>
  <c r="U66" i="13" s="1"/>
  <c r="BH83" i="9"/>
  <c r="U65" i="13" s="1"/>
  <c r="BH82" i="9"/>
  <c r="U64" i="13" s="1"/>
  <c r="S81" i="9"/>
  <c r="BH81" i="9" s="1"/>
  <c r="U63" i="13" s="1"/>
  <c r="BH80" i="9"/>
  <c r="U62" i="13" s="1"/>
  <c r="S79" i="9"/>
  <c r="BH79" i="9" s="1"/>
  <c r="U61" i="13" s="1"/>
  <c r="BH78" i="9"/>
  <c r="U60" i="13" s="1"/>
  <c r="BH77" i="9"/>
  <c r="U59" i="13" s="1"/>
  <c r="BH76" i="9"/>
  <c r="U58" i="13" s="1"/>
  <c r="BH75" i="9"/>
  <c r="U57" i="13" s="1"/>
  <c r="BH74" i="9"/>
  <c r="U56" i="13" s="1"/>
  <c r="BH73" i="9"/>
  <c r="U55" i="13" s="1"/>
  <c r="BH72" i="9"/>
  <c r="U54" i="13" s="1"/>
  <c r="BH71" i="9"/>
  <c r="U53" i="13" s="1"/>
  <c r="BH70" i="9"/>
  <c r="U52" i="13" s="1"/>
  <c r="BH69" i="9"/>
  <c r="U51" i="13" s="1"/>
  <c r="BH68" i="9"/>
  <c r="U50" i="13" s="1"/>
  <c r="BH67" i="9"/>
  <c r="U49" i="13" s="1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U62" i="9"/>
  <c r="T62" i="9"/>
  <c r="S62" i="9"/>
  <c r="R62" i="9"/>
  <c r="P62" i="9"/>
  <c r="O62" i="9"/>
  <c r="N62" i="9"/>
  <c r="M62" i="9"/>
  <c r="L62" i="9"/>
  <c r="K62" i="9"/>
  <c r="J62" i="9"/>
  <c r="I62" i="9"/>
  <c r="H62" i="9"/>
  <c r="G62" i="9"/>
  <c r="BH61" i="9"/>
  <c r="U46" i="13" s="1"/>
  <c r="BH60" i="9"/>
  <c r="U45" i="13" s="1"/>
  <c r="Q59" i="9"/>
  <c r="Q58" i="9"/>
  <c r="BH58" i="9" s="1"/>
  <c r="U43" i="13" s="1"/>
  <c r="BH57" i="9"/>
  <c r="U42" i="13" s="1"/>
  <c r="V56" i="9"/>
  <c r="V141" i="9" s="1"/>
  <c r="Q55" i="9"/>
  <c r="U39" i="13"/>
  <c r="Q52" i="9"/>
  <c r="BH52" i="9" s="1"/>
  <c r="U37" i="13" s="1"/>
  <c r="Q51" i="9"/>
  <c r="BH48" i="9"/>
  <c r="U33" i="13" s="1"/>
  <c r="BH47" i="9"/>
  <c r="U32" i="13" s="1"/>
  <c r="Q46" i="9"/>
  <c r="BH46" i="9" s="1"/>
  <c r="U31" i="13" s="1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O37" i="9"/>
  <c r="AM37" i="9"/>
  <c r="AL37" i="9"/>
  <c r="AK37" i="9"/>
  <c r="AJ37" i="9"/>
  <c r="AI37" i="9"/>
  <c r="AF37" i="9"/>
  <c r="AC37" i="9"/>
  <c r="AB37" i="9"/>
  <c r="AA37" i="9"/>
  <c r="Z37" i="9"/>
  <c r="Y37" i="9"/>
  <c r="X37" i="9"/>
  <c r="W37" i="9"/>
  <c r="U37" i="9"/>
  <c r="T37" i="9"/>
  <c r="S37" i="9"/>
  <c r="Q37" i="9"/>
  <c r="P37" i="9"/>
  <c r="O37" i="9"/>
  <c r="N37" i="9"/>
  <c r="M37" i="9"/>
  <c r="L37" i="9"/>
  <c r="K37" i="9"/>
  <c r="J37" i="9"/>
  <c r="I37" i="9"/>
  <c r="H37" i="9"/>
  <c r="G37" i="9"/>
  <c r="BH36" i="9"/>
  <c r="U28" i="13" s="1"/>
  <c r="BH35" i="9"/>
  <c r="U27" i="13" s="1"/>
  <c r="BH32" i="9"/>
  <c r="U24" i="13" s="1"/>
  <c r="AP37" i="9"/>
  <c r="U23" i="13"/>
  <c r="AE23" i="13" s="1"/>
  <c r="AN37" i="9"/>
  <c r="AD37" i="9"/>
  <c r="BH28" i="9"/>
  <c r="U20" i="13" s="1"/>
  <c r="BH27" i="9"/>
  <c r="U19" i="13" s="1"/>
  <c r="R26" i="9"/>
  <c r="R25" i="9"/>
  <c r="BH25" i="9" s="1"/>
  <c r="U17" i="13" s="1"/>
  <c r="R24" i="9"/>
  <c r="R23" i="9"/>
  <c r="BH23" i="9" s="1"/>
  <c r="U15" i="13" s="1"/>
  <c r="R22" i="9"/>
  <c r="R21" i="9"/>
  <c r="BH21" i="9" s="1"/>
  <c r="U13" i="13" s="1"/>
  <c r="BH20" i="9"/>
  <c r="U12" i="13" s="1"/>
  <c r="BH19" i="9"/>
  <c r="U11" i="13" s="1"/>
  <c r="BF12" i="9"/>
  <c r="BE12" i="9"/>
  <c r="BD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BH11" i="9"/>
  <c r="U8" i="13" s="1"/>
  <c r="BC10" i="9"/>
  <c r="BH10" i="9" s="1"/>
  <c r="U7" i="13" s="1"/>
  <c r="AR7" i="9"/>
  <c r="AQ7" i="9"/>
  <c r="C4" i="9"/>
  <c r="H4" i="7"/>
  <c r="E43" i="6"/>
  <c r="E36" i="6"/>
  <c r="E26" i="6"/>
  <c r="E25" i="6"/>
  <c r="E20" i="6"/>
  <c r="E19" i="6"/>
  <c r="D18" i="6"/>
  <c r="C18" i="6"/>
  <c r="E15" i="6"/>
  <c r="E14" i="6"/>
  <c r="E13" i="6"/>
  <c r="E12" i="6"/>
  <c r="E10" i="6"/>
  <c r="D6" i="6"/>
  <c r="C6" i="6"/>
  <c r="K46" i="5"/>
  <c r="K45" i="5"/>
  <c r="H44" i="5"/>
  <c r="E44" i="5"/>
  <c r="K43" i="5"/>
  <c r="K42" i="5"/>
  <c r="K41" i="5"/>
  <c r="J41" i="5"/>
  <c r="M41" i="5" s="1"/>
  <c r="I41" i="5"/>
  <c r="F41" i="5"/>
  <c r="E158" i="9" s="1"/>
  <c r="K38" i="5"/>
  <c r="K36" i="5"/>
  <c r="K34" i="5"/>
  <c r="J34" i="5"/>
  <c r="M34" i="5" s="1"/>
  <c r="I34" i="5"/>
  <c r="F34" i="5"/>
  <c r="E101" i="9" s="1"/>
  <c r="K33" i="5"/>
  <c r="J33" i="5"/>
  <c r="M33" i="5" s="1"/>
  <c r="I33" i="5"/>
  <c r="F33" i="5"/>
  <c r="E100" i="9" s="1"/>
  <c r="T100" i="9" s="1"/>
  <c r="K32" i="5"/>
  <c r="J32" i="5"/>
  <c r="M32" i="5" s="1"/>
  <c r="I32" i="5"/>
  <c r="F32" i="5"/>
  <c r="K31" i="5"/>
  <c r="J31" i="5"/>
  <c r="M31" i="5" s="1"/>
  <c r="I31" i="5"/>
  <c r="F31" i="5"/>
  <c r="E99" i="9" s="1"/>
  <c r="K30" i="5"/>
  <c r="J30" i="5"/>
  <c r="M30" i="5" s="1"/>
  <c r="I30" i="5"/>
  <c r="F30" i="5"/>
  <c r="K28" i="5"/>
  <c r="L27" i="5"/>
  <c r="K27" i="5"/>
  <c r="J27" i="5"/>
  <c r="M27" i="5" s="1"/>
  <c r="K25" i="5"/>
  <c r="K24" i="5"/>
  <c r="K23" i="5" s="1"/>
  <c r="H23" i="5"/>
  <c r="E23" i="5"/>
  <c r="K22" i="5"/>
  <c r="K15" i="5"/>
  <c r="J15" i="5"/>
  <c r="M15" i="5" s="1"/>
  <c r="I15" i="5"/>
  <c r="F15" i="5"/>
  <c r="J14" i="5"/>
  <c r="M14" i="5" s="1"/>
  <c r="I14" i="5"/>
  <c r="F14" i="5"/>
  <c r="E16" i="9" s="1"/>
  <c r="K12" i="5"/>
  <c r="J12" i="5"/>
  <c r="M12" i="5" s="1"/>
  <c r="I12" i="5"/>
  <c r="F12" i="5"/>
  <c r="K10" i="5"/>
  <c r="J10" i="5"/>
  <c r="M10" i="5" s="1"/>
  <c r="I10" i="5"/>
  <c r="F10" i="5"/>
  <c r="L10" i="5" s="1"/>
  <c r="K9" i="5"/>
  <c r="J9" i="5"/>
  <c r="M9" i="5" s="1"/>
  <c r="I9" i="5"/>
  <c r="F9" i="5"/>
  <c r="H8" i="5"/>
  <c r="G8" i="5"/>
  <c r="E8" i="5"/>
  <c r="D8" i="5"/>
  <c r="J8" i="5" s="1"/>
  <c r="M8" i="5" s="1"/>
  <c r="L7" i="5"/>
  <c r="K7" i="5"/>
  <c r="J7" i="5"/>
  <c r="G5" i="5"/>
  <c r="D5" i="5"/>
  <c r="M2" i="5"/>
  <c r="T688" i="4"/>
  <c r="T687" i="4"/>
  <c r="T685" i="4"/>
  <c r="R685" i="4"/>
  <c r="T684" i="4"/>
  <c r="R684" i="4"/>
  <c r="T683" i="4"/>
  <c r="R683" i="4"/>
  <c r="T682" i="4"/>
  <c r="R682" i="4"/>
  <c r="T681" i="4"/>
  <c r="R681" i="4"/>
  <c r="T679" i="4"/>
  <c r="R679" i="4"/>
  <c r="T678" i="4"/>
  <c r="R678" i="4"/>
  <c r="T676" i="4"/>
  <c r="R676" i="4"/>
  <c r="T675" i="4"/>
  <c r="R675" i="4"/>
  <c r="T674" i="4"/>
  <c r="R674" i="4"/>
  <c r="T673" i="4"/>
  <c r="R673" i="4"/>
  <c r="T672" i="4"/>
  <c r="R672" i="4"/>
  <c r="T671" i="4"/>
  <c r="R671" i="4"/>
  <c r="T670" i="4"/>
  <c r="R670" i="4"/>
  <c r="T667" i="4"/>
  <c r="R667" i="4"/>
  <c r="T663" i="4"/>
  <c r="R663" i="4"/>
  <c r="T661" i="4"/>
  <c r="R661" i="4"/>
  <c r="T660" i="4"/>
  <c r="R660" i="4"/>
  <c r="T659" i="4"/>
  <c r="R659" i="4"/>
  <c r="T658" i="4"/>
  <c r="R658" i="4"/>
  <c r="T657" i="4"/>
  <c r="R657" i="4"/>
  <c r="T656" i="4"/>
  <c r="R656" i="4"/>
  <c r="T651" i="4"/>
  <c r="R651" i="4"/>
  <c r="T650" i="4"/>
  <c r="R650" i="4"/>
  <c r="T649" i="4"/>
  <c r="R649" i="4"/>
  <c r="T648" i="4"/>
  <c r="R648" i="4"/>
  <c r="T647" i="4"/>
  <c r="R647" i="4"/>
  <c r="T646" i="4"/>
  <c r="R646" i="4"/>
  <c r="T645" i="4"/>
  <c r="R645" i="4"/>
  <c r="T644" i="4"/>
  <c r="R644" i="4"/>
  <c r="T643" i="4"/>
  <c r="R643" i="4"/>
  <c r="T642" i="4"/>
  <c r="R642" i="4"/>
  <c r="T641" i="4"/>
  <c r="R641" i="4"/>
  <c r="T640" i="4"/>
  <c r="R640" i="4"/>
  <c r="T639" i="4"/>
  <c r="R639" i="4"/>
  <c r="T638" i="4"/>
  <c r="R638" i="4"/>
  <c r="T637" i="4"/>
  <c r="R637" i="4"/>
  <c r="T636" i="4"/>
  <c r="R636" i="4"/>
  <c r="T635" i="4"/>
  <c r="R635" i="4"/>
  <c r="T634" i="4"/>
  <c r="R634" i="4"/>
  <c r="T633" i="4"/>
  <c r="R633" i="4"/>
  <c r="T632" i="4"/>
  <c r="R632" i="4"/>
  <c r="T631" i="4"/>
  <c r="R631" i="4"/>
  <c r="T630" i="4"/>
  <c r="R630" i="4"/>
  <c r="T629" i="4"/>
  <c r="R629" i="4"/>
  <c r="T628" i="4"/>
  <c r="R628" i="4"/>
  <c r="T627" i="4"/>
  <c r="R627" i="4"/>
  <c r="T626" i="4"/>
  <c r="R626" i="4"/>
  <c r="T625" i="4"/>
  <c r="R625" i="4"/>
  <c r="T624" i="4"/>
  <c r="R624" i="4"/>
  <c r="T623" i="4"/>
  <c r="R623" i="4"/>
  <c r="T622" i="4"/>
  <c r="R622" i="4"/>
  <c r="T621" i="4"/>
  <c r="R621" i="4"/>
  <c r="T620" i="4"/>
  <c r="R620" i="4"/>
  <c r="T619" i="4"/>
  <c r="R619" i="4"/>
  <c r="T618" i="4"/>
  <c r="R618" i="4"/>
  <c r="T617" i="4"/>
  <c r="R617" i="4"/>
  <c r="T616" i="4"/>
  <c r="R616" i="4"/>
  <c r="T615" i="4"/>
  <c r="R615" i="4"/>
  <c r="T614" i="4"/>
  <c r="R614" i="4"/>
  <c r="T613" i="4"/>
  <c r="R613" i="4"/>
  <c r="T612" i="4"/>
  <c r="R612" i="4"/>
  <c r="T611" i="4"/>
  <c r="R611" i="4"/>
  <c r="T610" i="4"/>
  <c r="R610" i="4"/>
  <c r="T609" i="4"/>
  <c r="R609" i="4"/>
  <c r="T608" i="4"/>
  <c r="R608" i="4"/>
  <c r="T607" i="4"/>
  <c r="R607" i="4"/>
  <c r="T606" i="4"/>
  <c r="R606" i="4"/>
  <c r="T605" i="4"/>
  <c r="R605" i="4"/>
  <c r="T604" i="4"/>
  <c r="R604" i="4"/>
  <c r="T603" i="4"/>
  <c r="R603" i="4"/>
  <c r="T602" i="4"/>
  <c r="R602" i="4"/>
  <c r="T601" i="4"/>
  <c r="R601" i="4"/>
  <c r="T600" i="4"/>
  <c r="R600" i="4"/>
  <c r="T599" i="4"/>
  <c r="R599" i="4"/>
  <c r="T598" i="4"/>
  <c r="R598" i="4"/>
  <c r="T597" i="4"/>
  <c r="R597" i="4"/>
  <c r="T596" i="4"/>
  <c r="R596" i="4"/>
  <c r="T595" i="4"/>
  <c r="R595" i="4"/>
  <c r="T594" i="4"/>
  <c r="R594" i="4"/>
  <c r="T593" i="4"/>
  <c r="R593" i="4"/>
  <c r="T592" i="4"/>
  <c r="R592" i="4"/>
  <c r="T591" i="4"/>
  <c r="R591" i="4"/>
  <c r="T590" i="4"/>
  <c r="R590" i="4"/>
  <c r="T589" i="4"/>
  <c r="R589" i="4"/>
  <c r="T588" i="4"/>
  <c r="T587" i="4"/>
  <c r="R587" i="4"/>
  <c r="T586" i="4"/>
  <c r="R586" i="4"/>
  <c r="T585" i="4"/>
  <c r="R585" i="4"/>
  <c r="T584" i="4"/>
  <c r="R584" i="4"/>
  <c r="T583" i="4"/>
  <c r="R583" i="4"/>
  <c r="T581" i="4"/>
  <c r="T580" i="4"/>
  <c r="R580" i="4"/>
  <c r="T579" i="4"/>
  <c r="R579" i="4"/>
  <c r="T576" i="4"/>
  <c r="R576" i="4"/>
  <c r="T575" i="4"/>
  <c r="R575" i="4"/>
  <c r="T574" i="4"/>
  <c r="R574" i="4"/>
  <c r="T573" i="4"/>
  <c r="R573" i="4"/>
  <c r="T572" i="4"/>
  <c r="R572" i="4"/>
  <c r="T571" i="4"/>
  <c r="R571" i="4"/>
  <c r="T570" i="4"/>
  <c r="R570" i="4"/>
  <c r="T569" i="4"/>
  <c r="R569" i="4"/>
  <c r="T568" i="4"/>
  <c r="T567" i="4"/>
  <c r="T566" i="4"/>
  <c r="R566" i="4"/>
  <c r="T565" i="4"/>
  <c r="T564" i="4"/>
  <c r="R564" i="4"/>
  <c r="T563" i="4"/>
  <c r="R563" i="4"/>
  <c r="T562" i="4"/>
  <c r="R562" i="4"/>
  <c r="T561" i="4"/>
  <c r="R561" i="4"/>
  <c r="T560" i="4"/>
  <c r="R560" i="4"/>
  <c r="T559" i="4"/>
  <c r="R559" i="4"/>
  <c r="T558" i="4"/>
  <c r="R558" i="4"/>
  <c r="T557" i="4"/>
  <c r="R557" i="4"/>
  <c r="T555" i="4"/>
  <c r="R555" i="4"/>
  <c r="T554" i="4"/>
  <c r="R554" i="4"/>
  <c r="T553" i="4"/>
  <c r="R553" i="4"/>
  <c r="T552" i="4"/>
  <c r="R552" i="4"/>
  <c r="T551" i="4"/>
  <c r="T550" i="4"/>
  <c r="T549" i="4"/>
  <c r="R549" i="4"/>
  <c r="T548" i="4"/>
  <c r="R548" i="4"/>
  <c r="T547" i="4"/>
  <c r="R547" i="4"/>
  <c r="T546" i="4"/>
  <c r="R546" i="4"/>
  <c r="T545" i="4"/>
  <c r="R545" i="4"/>
  <c r="T544" i="4"/>
  <c r="R544" i="4"/>
  <c r="T543" i="4"/>
  <c r="R543" i="4"/>
  <c r="T542" i="4"/>
  <c r="R542" i="4"/>
  <c r="T541" i="4"/>
  <c r="R541" i="4"/>
  <c r="T540" i="4"/>
  <c r="R540" i="4"/>
  <c r="T539" i="4"/>
  <c r="R539" i="4"/>
  <c r="T538" i="4"/>
  <c r="R538" i="4"/>
  <c r="T537" i="4"/>
  <c r="R537" i="4"/>
  <c r="T536" i="4"/>
  <c r="R536" i="4"/>
  <c r="T535" i="4"/>
  <c r="R535" i="4"/>
  <c r="T534" i="4"/>
  <c r="R534" i="4"/>
  <c r="T533" i="4"/>
  <c r="R533" i="4"/>
  <c r="T532" i="4"/>
  <c r="R532" i="4"/>
  <c r="T531" i="4"/>
  <c r="R531" i="4"/>
  <c r="T530" i="4"/>
  <c r="R530" i="4"/>
  <c r="T529" i="4"/>
  <c r="R529" i="4"/>
  <c r="T528" i="4"/>
  <c r="R528" i="4"/>
  <c r="T527" i="4"/>
  <c r="R527" i="4"/>
  <c r="T526" i="4"/>
  <c r="R526" i="4"/>
  <c r="T525" i="4"/>
  <c r="R525" i="4"/>
  <c r="T524" i="4"/>
  <c r="R524" i="4"/>
  <c r="T523" i="4"/>
  <c r="R523" i="4"/>
  <c r="T522" i="4"/>
  <c r="R522" i="4"/>
  <c r="T521" i="4"/>
  <c r="R521" i="4"/>
  <c r="T519" i="4"/>
  <c r="R519" i="4"/>
  <c r="T518" i="4"/>
  <c r="R518" i="4"/>
  <c r="T517" i="4"/>
  <c r="R517" i="4"/>
  <c r="T516" i="4"/>
  <c r="R516" i="4"/>
  <c r="T515" i="4"/>
  <c r="R515" i="4"/>
  <c r="T514" i="4"/>
  <c r="R514" i="4"/>
  <c r="T513" i="4"/>
  <c r="R513" i="4"/>
  <c r="T512" i="4"/>
  <c r="R512" i="4"/>
  <c r="T511" i="4"/>
  <c r="R511" i="4"/>
  <c r="T510" i="4"/>
  <c r="R510" i="4"/>
  <c r="T509" i="4"/>
  <c r="R509" i="4"/>
  <c r="T508" i="4"/>
  <c r="R508" i="4"/>
  <c r="T507" i="4"/>
  <c r="R507" i="4"/>
  <c r="T506" i="4"/>
  <c r="R506" i="4"/>
  <c r="T505" i="4"/>
  <c r="R505" i="4"/>
  <c r="T504" i="4"/>
  <c r="R504" i="4"/>
  <c r="T503" i="4"/>
  <c r="R503" i="4"/>
  <c r="T502" i="4"/>
  <c r="R502" i="4"/>
  <c r="T501" i="4"/>
  <c r="R501" i="4"/>
  <c r="T500" i="4"/>
  <c r="R500" i="4"/>
  <c r="T499" i="4"/>
  <c r="R499" i="4"/>
  <c r="T498" i="4"/>
  <c r="R498" i="4"/>
  <c r="T497" i="4"/>
  <c r="R497" i="4"/>
  <c r="T496" i="4"/>
  <c r="R496" i="4"/>
  <c r="T495" i="4"/>
  <c r="R495" i="4"/>
  <c r="T494" i="4"/>
  <c r="R494" i="4"/>
  <c r="T493" i="4"/>
  <c r="R493" i="4"/>
  <c r="T492" i="4"/>
  <c r="R492" i="4"/>
  <c r="T491" i="4"/>
  <c r="R491" i="4"/>
  <c r="T490" i="4"/>
  <c r="R490" i="4"/>
  <c r="T489" i="4"/>
  <c r="R489" i="4"/>
  <c r="T488" i="4"/>
  <c r="R488" i="4"/>
  <c r="T487" i="4"/>
  <c r="R487" i="4"/>
  <c r="T486" i="4"/>
  <c r="R486" i="4"/>
  <c r="T485" i="4"/>
  <c r="R485" i="4"/>
  <c r="T483" i="4"/>
  <c r="R483" i="4"/>
  <c r="T482" i="4"/>
  <c r="R482" i="4"/>
  <c r="T481" i="4"/>
  <c r="R481" i="4"/>
  <c r="T480" i="4"/>
  <c r="R480" i="4"/>
  <c r="T479" i="4"/>
  <c r="T478" i="4"/>
  <c r="R478" i="4"/>
  <c r="T477" i="4"/>
  <c r="R477" i="4"/>
  <c r="T476" i="4"/>
  <c r="R476" i="4"/>
  <c r="T475" i="4"/>
  <c r="R475" i="4"/>
  <c r="T474" i="4"/>
  <c r="R474" i="4"/>
  <c r="T473" i="4"/>
  <c r="R473" i="4"/>
  <c r="T471" i="4"/>
  <c r="R471" i="4"/>
  <c r="T470" i="4"/>
  <c r="R470" i="4"/>
  <c r="T469" i="4"/>
  <c r="R469" i="4"/>
  <c r="T468" i="4"/>
  <c r="R468" i="4"/>
  <c r="T467" i="4"/>
  <c r="R467" i="4"/>
  <c r="T466" i="4"/>
  <c r="R466" i="4"/>
  <c r="T465" i="4"/>
  <c r="R465" i="4"/>
  <c r="T460" i="4"/>
  <c r="R460" i="4"/>
  <c r="T459" i="4"/>
  <c r="S459" i="4"/>
  <c r="R459" i="4"/>
  <c r="T458" i="4"/>
  <c r="R458" i="4"/>
  <c r="T457" i="4"/>
  <c r="R457" i="4"/>
  <c r="T456" i="4"/>
  <c r="R456" i="4"/>
  <c r="T455" i="4"/>
  <c r="R455" i="4"/>
  <c r="T454" i="4"/>
  <c r="R454" i="4"/>
  <c r="T453" i="4"/>
  <c r="R453" i="4"/>
  <c r="T452" i="4"/>
  <c r="R452" i="4"/>
  <c r="T451" i="4"/>
  <c r="R451" i="4"/>
  <c r="T450" i="4"/>
  <c r="R450" i="4"/>
  <c r="T449" i="4"/>
  <c r="R449" i="4"/>
  <c r="T447" i="4"/>
  <c r="T446" i="4"/>
  <c r="T444" i="4"/>
  <c r="T443" i="4"/>
  <c r="T442" i="4"/>
  <c r="T441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59" i="4"/>
  <c r="T357" i="4"/>
  <c r="T347" i="4"/>
  <c r="T346" i="4"/>
  <c r="T340" i="4"/>
  <c r="T339" i="4"/>
  <c r="T338" i="4"/>
  <c r="T337" i="4"/>
  <c r="T336" i="4"/>
  <c r="T327" i="4"/>
  <c r="T326" i="4"/>
  <c r="T325" i="4"/>
  <c r="T324" i="4"/>
  <c r="T323" i="4"/>
  <c r="T322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4" i="4"/>
  <c r="T263" i="4"/>
  <c r="T262" i="4"/>
  <c r="T259" i="4"/>
  <c r="T258" i="4"/>
  <c r="T257" i="4"/>
  <c r="T256" i="4"/>
  <c r="T253" i="4"/>
  <c r="T252" i="4"/>
  <c r="T251" i="4"/>
  <c r="T250" i="4"/>
  <c r="T267" i="4"/>
  <c r="T249" i="4"/>
  <c r="T248" i="4"/>
  <c r="T247" i="4"/>
  <c r="T246" i="4"/>
  <c r="T245" i="4"/>
  <c r="T244" i="4"/>
  <c r="T243" i="4"/>
  <c r="T242" i="4"/>
  <c r="T241" i="4"/>
  <c r="T240" i="4"/>
  <c r="T239" i="4"/>
  <c r="T237" i="4"/>
  <c r="T236" i="4"/>
  <c r="T235" i="4"/>
  <c r="T234" i="4"/>
  <c r="T233" i="4"/>
  <c r="T232" i="4"/>
  <c r="T231" i="4"/>
  <c r="T229" i="4"/>
  <c r="T228" i="4"/>
  <c r="T227" i="4"/>
  <c r="T226" i="4"/>
  <c r="T225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3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59" i="4"/>
  <c r="T157" i="4"/>
  <c r="T156" i="4"/>
  <c r="T155" i="4"/>
  <c r="T154" i="4"/>
  <c r="T153" i="4"/>
  <c r="T152" i="4"/>
  <c r="T151" i="4"/>
  <c r="T149" i="4"/>
  <c r="T148" i="4"/>
  <c r="T147" i="4"/>
  <c r="T146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5" i="4"/>
  <c r="T74" i="4"/>
  <c r="T73" i="4"/>
  <c r="T72" i="4"/>
  <c r="T71" i="4"/>
  <c r="T70" i="4"/>
  <c r="T69" i="4"/>
  <c r="T68" i="4"/>
  <c r="T67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5" i="4"/>
  <c r="T14" i="4"/>
  <c r="T13" i="4"/>
  <c r="T11" i="4"/>
  <c r="T10" i="4"/>
  <c r="T9" i="4"/>
  <c r="T8" i="4"/>
  <c r="T7" i="4"/>
  <c r="T6" i="4"/>
  <c r="T5" i="4"/>
  <c r="E18" i="1"/>
  <c r="F5" i="17" s="1"/>
  <c r="E18" i="6" l="1"/>
  <c r="AD21" i="21"/>
  <c r="J159" i="11"/>
  <c r="W21" i="21"/>
  <c r="W25" i="21"/>
  <c r="W35" i="21"/>
  <c r="AY38" i="10"/>
  <c r="F188" i="11"/>
  <c r="R188" i="11"/>
  <c r="L12" i="5"/>
  <c r="M38" i="10"/>
  <c r="H188" i="11"/>
  <c r="Q66" i="12"/>
  <c r="B152" i="19"/>
  <c r="V188" i="11"/>
  <c r="G28" i="26"/>
  <c r="K8" i="5"/>
  <c r="I8" i="5"/>
  <c r="L9" i="5"/>
  <c r="L15" i="5"/>
  <c r="H25" i="26"/>
  <c r="O38" i="10"/>
  <c r="AX56" i="19"/>
  <c r="V22" i="9"/>
  <c r="V24" i="9" s="1"/>
  <c r="H12" i="24"/>
  <c r="H19" i="24" s="1"/>
  <c r="X57" i="13"/>
  <c r="AE57" i="13"/>
  <c r="K44" i="26"/>
  <c r="R50" i="10"/>
  <c r="R51" i="10" s="1"/>
  <c r="R69" i="10" s="1"/>
  <c r="X32" i="13"/>
  <c r="AE32" i="13"/>
  <c r="X50" i="13"/>
  <c r="AE50" i="13"/>
  <c r="X58" i="13"/>
  <c r="AE58" i="13"/>
  <c r="X66" i="13"/>
  <c r="AE66" i="13"/>
  <c r="X100" i="13"/>
  <c r="AE100" i="13"/>
  <c r="X108" i="13"/>
  <c r="AE108" i="13"/>
  <c r="X118" i="13"/>
  <c r="AE118" i="13"/>
  <c r="X126" i="13"/>
  <c r="AE126" i="13"/>
  <c r="F23" i="17"/>
  <c r="AI46" i="12"/>
  <c r="AI53" i="12"/>
  <c r="F34" i="17"/>
  <c r="AI57" i="12"/>
  <c r="AB20" i="20"/>
  <c r="AE42" i="21"/>
  <c r="X42" i="13"/>
  <c r="AE42" i="13"/>
  <c r="X49" i="13"/>
  <c r="AE49" i="13"/>
  <c r="X107" i="13"/>
  <c r="AE107" i="13"/>
  <c r="X51" i="13"/>
  <c r="AE51" i="13"/>
  <c r="X59" i="13"/>
  <c r="AE59" i="13"/>
  <c r="X67" i="13"/>
  <c r="AE67" i="13"/>
  <c r="X92" i="13"/>
  <c r="AE92" i="13"/>
  <c r="X101" i="13"/>
  <c r="AE101" i="13"/>
  <c r="X109" i="13"/>
  <c r="AE109" i="13"/>
  <c r="X119" i="13"/>
  <c r="AE119" i="13"/>
  <c r="X127" i="13"/>
  <c r="AE127" i="13"/>
  <c r="X134" i="13"/>
  <c r="AE134" i="13"/>
  <c r="F35" i="17"/>
  <c r="AI58" i="12"/>
  <c r="G29" i="26"/>
  <c r="X117" i="13"/>
  <c r="AE117" i="13"/>
  <c r="X45" i="13"/>
  <c r="AE45" i="13"/>
  <c r="X52" i="13"/>
  <c r="AE52" i="13"/>
  <c r="X60" i="13"/>
  <c r="AE60" i="13"/>
  <c r="X68" i="13"/>
  <c r="AE68" i="13"/>
  <c r="X102" i="13"/>
  <c r="AE102" i="13"/>
  <c r="X120" i="13"/>
  <c r="AE120" i="13"/>
  <c r="X135" i="13"/>
  <c r="AE135" i="13"/>
  <c r="Z41" i="12"/>
  <c r="AK33" i="20"/>
  <c r="C62" i="25"/>
  <c r="D63" i="25" s="1"/>
  <c r="X56" i="13"/>
  <c r="AE56" i="13"/>
  <c r="X125" i="13"/>
  <c r="AE125" i="13"/>
  <c r="F33" i="17"/>
  <c r="AI56" i="12"/>
  <c r="X11" i="13"/>
  <c r="AE11" i="13"/>
  <c r="X19" i="13"/>
  <c r="AE19" i="13"/>
  <c r="X28" i="13"/>
  <c r="AE28" i="13"/>
  <c r="X46" i="13"/>
  <c r="AE46" i="13"/>
  <c r="X53" i="13"/>
  <c r="AE53" i="13"/>
  <c r="X69" i="13"/>
  <c r="AE69" i="13"/>
  <c r="X94" i="13"/>
  <c r="AE94" i="13"/>
  <c r="X103" i="13"/>
  <c r="AE103" i="13"/>
  <c r="X111" i="13"/>
  <c r="AE111" i="13"/>
  <c r="X121" i="13"/>
  <c r="AE121" i="13"/>
  <c r="L69" i="10"/>
  <c r="AB69" i="10"/>
  <c r="BC138" i="10"/>
  <c r="W20" i="20"/>
  <c r="AB21" i="21"/>
  <c r="AB30" i="21"/>
  <c r="X132" i="13"/>
  <c r="AE132" i="13"/>
  <c r="X12" i="13"/>
  <c r="AE12" i="13"/>
  <c r="X20" i="13"/>
  <c r="AE20" i="13"/>
  <c r="X54" i="13"/>
  <c r="AE54" i="13"/>
  <c r="X62" i="13"/>
  <c r="AE62" i="13"/>
  <c r="X70" i="13"/>
  <c r="AE70" i="13"/>
  <c r="X74" i="13"/>
  <c r="AE74" i="13"/>
  <c r="X104" i="13"/>
  <c r="AE104" i="13"/>
  <c r="X122" i="13"/>
  <c r="AE122" i="13"/>
  <c r="O188" i="11"/>
  <c r="M66" i="12"/>
  <c r="V66" i="12"/>
  <c r="F40" i="17"/>
  <c r="AI64" i="12"/>
  <c r="AD30" i="21"/>
  <c r="AB35" i="21"/>
  <c r="X64" i="13"/>
  <c r="AE64" i="13"/>
  <c r="X65" i="13"/>
  <c r="AE65" i="13"/>
  <c r="L30" i="5"/>
  <c r="L32" i="5"/>
  <c r="X7" i="13"/>
  <c r="AE7" i="13"/>
  <c r="X55" i="13"/>
  <c r="AE55" i="13"/>
  <c r="X88" i="13"/>
  <c r="AE88" i="13"/>
  <c r="O88" i="13"/>
  <c r="X105" i="13"/>
  <c r="AE105" i="13"/>
  <c r="X115" i="13"/>
  <c r="AE115" i="13"/>
  <c r="X223" i="13"/>
  <c r="AE223" i="13"/>
  <c r="F41" i="17"/>
  <c r="AI65" i="12"/>
  <c r="AD25" i="21"/>
  <c r="AD35" i="21"/>
  <c r="X8" i="13"/>
  <c r="AE8" i="13"/>
  <c r="X97" i="13"/>
  <c r="AE97" i="13"/>
  <c r="X106" i="13"/>
  <c r="AE106" i="13"/>
  <c r="X116" i="13"/>
  <c r="AE116" i="13"/>
  <c r="X124" i="13"/>
  <c r="AE124" i="13"/>
  <c r="X138" i="13"/>
  <c r="AE138" i="13"/>
  <c r="F27" i="17"/>
  <c r="AI50" i="12"/>
  <c r="F32" i="17"/>
  <c r="AI55" i="12"/>
  <c r="AB25" i="20"/>
  <c r="AG33" i="20"/>
  <c r="AO33" i="20"/>
  <c r="AA42" i="21"/>
  <c r="AD40" i="21"/>
  <c r="X24" i="13"/>
  <c r="AE24" i="13"/>
  <c r="AD51" i="19"/>
  <c r="AC28" i="19"/>
  <c r="V39" i="19"/>
  <c r="AS67" i="19"/>
  <c r="W43" i="19"/>
  <c r="C49" i="26"/>
  <c r="C50" i="26" s="1"/>
  <c r="X81" i="13"/>
  <c r="AE81" i="13"/>
  <c r="O90" i="13"/>
  <c r="AE90" i="13"/>
  <c r="X91" i="13"/>
  <c r="AE91" i="13"/>
  <c r="X17" i="13"/>
  <c r="AE17" i="13"/>
  <c r="X33" i="13"/>
  <c r="AE33" i="13"/>
  <c r="X31" i="13"/>
  <c r="AE31" i="13"/>
  <c r="X98" i="13"/>
  <c r="AE98" i="13"/>
  <c r="X43" i="13"/>
  <c r="AE43" i="13"/>
  <c r="X133" i="13"/>
  <c r="AE133" i="13"/>
  <c r="X27" i="13"/>
  <c r="AE27" i="13"/>
  <c r="X61" i="13"/>
  <c r="AE61" i="13"/>
  <c r="X39" i="13"/>
  <c r="AE39" i="13"/>
  <c r="X95" i="13"/>
  <c r="AE95" i="13"/>
  <c r="X15" i="13"/>
  <c r="AE15" i="13"/>
  <c r="X37" i="13"/>
  <c r="AE37" i="13"/>
  <c r="X13" i="13"/>
  <c r="AE13" i="13"/>
  <c r="X63" i="13"/>
  <c r="AE63" i="13"/>
  <c r="X96" i="13"/>
  <c r="AE96" i="13"/>
  <c r="P41" i="12"/>
  <c r="X90" i="13"/>
  <c r="P23" i="13"/>
  <c r="X23" i="13"/>
  <c r="AJ63" i="10"/>
  <c r="U96" i="11"/>
  <c r="U42" i="11"/>
  <c r="O169" i="13"/>
  <c r="Q141" i="13"/>
  <c r="N195" i="13"/>
  <c r="AN173" i="9"/>
  <c r="AL50" i="19"/>
  <c r="AH54" i="19"/>
  <c r="Z47" i="19"/>
  <c r="AT54" i="19"/>
  <c r="AY68" i="19"/>
  <c r="AA47" i="19"/>
  <c r="AT47" i="19"/>
  <c r="AL51" i="19"/>
  <c r="AV65" i="19"/>
  <c r="AJ56" i="19"/>
  <c r="R38" i="19"/>
  <c r="AP48" i="19"/>
  <c r="AI52" i="19"/>
  <c r="AM56" i="19"/>
  <c r="AR60" i="19"/>
  <c r="BA66" i="19"/>
  <c r="BG68" i="19"/>
  <c r="AU56" i="19"/>
  <c r="L14" i="5"/>
  <c r="U110" i="13"/>
  <c r="U89" i="13"/>
  <c r="Z37" i="12"/>
  <c r="Z39" i="12" s="1"/>
  <c r="Q37" i="12"/>
  <c r="L37" i="12"/>
  <c r="L39" i="12" s="1"/>
  <c r="T37" i="12"/>
  <c r="BA138" i="10"/>
  <c r="J38" i="10"/>
  <c r="W38" i="10"/>
  <c r="K38" i="10"/>
  <c r="AM138" i="10"/>
  <c r="G38" i="10"/>
  <c r="J69" i="10"/>
  <c r="I38" i="10"/>
  <c r="AZ69" i="10"/>
  <c r="U207" i="13"/>
  <c r="AE207" i="13" s="1"/>
  <c r="U150" i="13"/>
  <c r="AA38" i="10"/>
  <c r="U165" i="13"/>
  <c r="L38" i="10"/>
  <c r="U208" i="13"/>
  <c r="AE208" i="13" s="1"/>
  <c r="U225" i="13"/>
  <c r="AC138" i="10"/>
  <c r="AK138" i="10"/>
  <c r="AS138" i="10"/>
  <c r="U243" i="13"/>
  <c r="P243" i="13" s="1"/>
  <c r="M138" i="10"/>
  <c r="U151" i="13"/>
  <c r="P151" i="13" s="1"/>
  <c r="S38" i="10"/>
  <c r="AQ38" i="10"/>
  <c r="U166" i="13"/>
  <c r="AE166" i="13" s="1"/>
  <c r="U175" i="13"/>
  <c r="AE175" i="13" s="1"/>
  <c r="X179" i="13"/>
  <c r="BG75" i="10"/>
  <c r="U209" i="13"/>
  <c r="O209" i="13" s="1"/>
  <c r="U226" i="13"/>
  <c r="AE226" i="13" s="1"/>
  <c r="U236" i="13"/>
  <c r="P236" i="13" s="1"/>
  <c r="U246" i="13"/>
  <c r="U152" i="13"/>
  <c r="AE152" i="13" s="1"/>
  <c r="N38" i="10"/>
  <c r="N69" i="10"/>
  <c r="AD69" i="10"/>
  <c r="AL69" i="10"/>
  <c r="AU138" i="10"/>
  <c r="U237" i="13"/>
  <c r="G138" i="10"/>
  <c r="O138" i="10"/>
  <c r="H138" i="10"/>
  <c r="H140" i="10" s="1"/>
  <c r="P138" i="10"/>
  <c r="AF138" i="10"/>
  <c r="AN138" i="10"/>
  <c r="U234" i="13"/>
  <c r="U181" i="13"/>
  <c r="U211" i="13"/>
  <c r="AE211" i="13" s="1"/>
  <c r="F37" i="15"/>
  <c r="BE138" i="10"/>
  <c r="U224" i="13"/>
  <c r="AE224" i="13" s="1"/>
  <c r="W138" i="10"/>
  <c r="U249" i="13"/>
  <c r="AE249" i="13" s="1"/>
  <c r="U155" i="13"/>
  <c r="P155" i="13" s="1"/>
  <c r="AI38" i="10"/>
  <c r="U161" i="13"/>
  <c r="AE161" i="13" s="1"/>
  <c r="H38" i="10"/>
  <c r="P38" i="10"/>
  <c r="H69" i="10"/>
  <c r="P69" i="10"/>
  <c r="X69" i="10"/>
  <c r="AN69" i="10"/>
  <c r="Y138" i="10"/>
  <c r="AG138" i="10"/>
  <c r="AO138" i="10"/>
  <c r="AW138" i="10"/>
  <c r="BG131" i="10"/>
  <c r="BG136" i="10"/>
  <c r="F41" i="15" s="1"/>
  <c r="U164" i="13"/>
  <c r="AE164" i="13" s="1"/>
  <c r="U186" i="13"/>
  <c r="AE186" i="13" s="1"/>
  <c r="Q9" i="10"/>
  <c r="BG9" i="10" s="1"/>
  <c r="U156" i="13"/>
  <c r="AE156" i="13" s="1"/>
  <c r="U162" i="13"/>
  <c r="U205" i="13"/>
  <c r="AE205" i="13" s="1"/>
  <c r="U214" i="13"/>
  <c r="I138" i="10"/>
  <c r="Q138" i="10"/>
  <c r="AY138" i="10"/>
  <c r="U240" i="13"/>
  <c r="U138" i="10"/>
  <c r="U163" i="13"/>
  <c r="AE163" i="13" s="1"/>
  <c r="U173" i="13"/>
  <c r="AE173" i="13" s="1"/>
  <c r="AP69" i="10"/>
  <c r="AX69" i="10"/>
  <c r="Z101" i="10"/>
  <c r="U206" i="13"/>
  <c r="AE206" i="13" s="1"/>
  <c r="U215" i="13"/>
  <c r="U219" i="13"/>
  <c r="AA138" i="10"/>
  <c r="AI138" i="10"/>
  <c r="BG117" i="10"/>
  <c r="U241" i="13"/>
  <c r="K138" i="10"/>
  <c r="L138" i="10"/>
  <c r="AB138" i="10"/>
  <c r="AJ138" i="10"/>
  <c r="U183" i="13"/>
  <c r="P183" i="13" s="1"/>
  <c r="U200" i="13"/>
  <c r="U201" i="13"/>
  <c r="U232" i="13"/>
  <c r="U202" i="13"/>
  <c r="U210" i="13"/>
  <c r="U198" i="13"/>
  <c r="U238" i="13"/>
  <c r="U212" i="13"/>
  <c r="U230" i="13"/>
  <c r="U239" i="13"/>
  <c r="Y37" i="12"/>
  <c r="J66" i="12"/>
  <c r="P37" i="12"/>
  <c r="P39" i="12" s="1"/>
  <c r="P43" i="12" s="1"/>
  <c r="G188" i="11"/>
  <c r="AD17" i="11"/>
  <c r="AG17" i="11" s="1"/>
  <c r="AD68" i="11"/>
  <c r="AG68" i="11" s="1"/>
  <c r="AD73" i="11"/>
  <c r="AG73" i="11" s="1"/>
  <c r="AD129" i="11"/>
  <c r="AG129" i="11" s="1"/>
  <c r="AD74" i="11"/>
  <c r="AG74" i="11" s="1"/>
  <c r="G61" i="12"/>
  <c r="AD135" i="11"/>
  <c r="AD33" i="11"/>
  <c r="AG33" i="11" s="1"/>
  <c r="BD69" i="10"/>
  <c r="AH69" i="10"/>
  <c r="G27" i="19"/>
  <c r="W27" i="19"/>
  <c r="R28" i="19"/>
  <c r="R30" i="19"/>
  <c r="N35" i="19"/>
  <c r="S40" i="19"/>
  <c r="AP42" i="19"/>
  <c r="AL43" i="19"/>
  <c r="AF44" i="19"/>
  <c r="AT46" i="19"/>
  <c r="AP47" i="19"/>
  <c r="AJ48" i="19"/>
  <c r="AD50" i="19"/>
  <c r="AE51" i="19"/>
  <c r="AD52" i="19"/>
  <c r="AY52" i="19"/>
  <c r="AX54" i="19"/>
  <c r="AQ55" i="19"/>
  <c r="AH56" i="19"/>
  <c r="AR56" i="19"/>
  <c r="BC56" i="19"/>
  <c r="AV60" i="19"/>
  <c r="BL65" i="19"/>
  <c r="BF67" i="19"/>
  <c r="BF70" i="19"/>
  <c r="BE73" i="19"/>
  <c r="CB80" i="19"/>
  <c r="CA80" i="19"/>
  <c r="CC80" i="19"/>
  <c r="BX80" i="19"/>
  <c r="BY80" i="19"/>
  <c r="BZ80" i="19"/>
  <c r="BU80" i="19"/>
  <c r="BV80" i="19"/>
  <c r="BW80" i="19"/>
  <c r="CJ88" i="19"/>
  <c r="CK88" i="19"/>
  <c r="CK152" i="19" s="1"/>
  <c r="CG88" i="19"/>
  <c r="CH88" i="19"/>
  <c r="CI88" i="19"/>
  <c r="CD88" i="19"/>
  <c r="CE88" i="19"/>
  <c r="CF88" i="19"/>
  <c r="CB88" i="19"/>
  <c r="CA88" i="19"/>
  <c r="CC88" i="19"/>
  <c r="BX88" i="19"/>
  <c r="BY88" i="19"/>
  <c r="BZ88" i="19"/>
  <c r="BU88" i="19"/>
  <c r="BV88" i="19"/>
  <c r="BW88" i="19"/>
  <c r="J27" i="19"/>
  <c r="Z27" i="19"/>
  <c r="S28" i="19"/>
  <c r="AD30" i="19"/>
  <c r="V35" i="19"/>
  <c r="R39" i="19"/>
  <c r="W40" i="19"/>
  <c r="AM43" i="19"/>
  <c r="AH44" i="19"/>
  <c r="AQ47" i="19"/>
  <c r="AL48" i="19"/>
  <c r="AH50" i="19"/>
  <c r="AH51" i="19"/>
  <c r="AE52" i="19"/>
  <c r="AZ52" i="19"/>
  <c r="BB54" i="19"/>
  <c r="AT55" i="19"/>
  <c r="AI56" i="19"/>
  <c r="AT56" i="19"/>
  <c r="BD56" i="19"/>
  <c r="BH60" i="19"/>
  <c r="BN67" i="19"/>
  <c r="BH73" i="19"/>
  <c r="BX75" i="19"/>
  <c r="BU75" i="19"/>
  <c r="BV75" i="19"/>
  <c r="BW75" i="19"/>
  <c r="BI81" i="19"/>
  <c r="CD81" i="19"/>
  <c r="CB81" i="19"/>
  <c r="CC81" i="19"/>
  <c r="CA81" i="19"/>
  <c r="BX81" i="19"/>
  <c r="BY81" i="19"/>
  <c r="BZ81" i="19"/>
  <c r="BW81" i="19"/>
  <c r="BU81" i="19"/>
  <c r="BV81" i="19"/>
  <c r="K27" i="19"/>
  <c r="AA27" i="19"/>
  <c r="W28" i="19"/>
  <c r="AD35" i="19"/>
  <c r="S39" i="19"/>
  <c r="X40" i="19"/>
  <c r="V43" i="19"/>
  <c r="AP43" i="19"/>
  <c r="AL44" i="19"/>
  <c r="AU55" i="19"/>
  <c r="AV64" i="19"/>
  <c r="AS66" i="19"/>
  <c r="BI73" i="19"/>
  <c r="BA75" i="19"/>
  <c r="BL82" i="19"/>
  <c r="CE82" i="19"/>
  <c r="CD82" i="19"/>
  <c r="CA82" i="19"/>
  <c r="CB82" i="19"/>
  <c r="CC82" i="19"/>
  <c r="BX82" i="19"/>
  <c r="BY82" i="19"/>
  <c r="BZ82" i="19"/>
  <c r="BV82" i="19"/>
  <c r="BW82" i="19"/>
  <c r="BU82" i="19"/>
  <c r="N27" i="19"/>
  <c r="X28" i="19"/>
  <c r="AQ48" i="19"/>
  <c r="AP50" i="19"/>
  <c r="AM51" i="19"/>
  <c r="AJ52" i="19"/>
  <c r="AH55" i="19"/>
  <c r="AX55" i="19"/>
  <c r="AL56" i="19"/>
  <c r="AV56" i="19"/>
  <c r="AO61" i="19"/>
  <c r="AZ64" i="19"/>
  <c r="BI75" i="19"/>
  <c r="CD83" i="19"/>
  <c r="CE83" i="19"/>
  <c r="CF83" i="19"/>
  <c r="CA83" i="19"/>
  <c r="CB83" i="19"/>
  <c r="CC83" i="19"/>
  <c r="BZ83" i="19"/>
  <c r="BX83" i="19"/>
  <c r="BY83" i="19"/>
  <c r="BU83" i="19"/>
  <c r="BV83" i="19"/>
  <c r="BW83" i="19"/>
  <c r="O27" i="19"/>
  <c r="G28" i="19"/>
  <c r="AB28" i="19"/>
  <c r="AA39" i="19"/>
  <c r="Z43" i="19"/>
  <c r="V44" i="19"/>
  <c r="AD47" i="19"/>
  <c r="Z48" i="19"/>
  <c r="AU48" i="19"/>
  <c r="AT50" i="19"/>
  <c r="AP51" i="19"/>
  <c r="AN52" i="19"/>
  <c r="AI55" i="19"/>
  <c r="AY55" i="19"/>
  <c r="AU61" i="19"/>
  <c r="BL64" i="19"/>
  <c r="BI66" i="19"/>
  <c r="BK73" i="19"/>
  <c r="BU73" i="19"/>
  <c r="BV73" i="19"/>
  <c r="BR73" i="19"/>
  <c r="BS73" i="19"/>
  <c r="BT73" i="19"/>
  <c r="BP73" i="19"/>
  <c r="BQ73" i="19"/>
  <c r="BO73" i="19"/>
  <c r="BM73" i="19"/>
  <c r="BG76" i="19"/>
  <c r="BX76" i="19"/>
  <c r="BY76" i="19"/>
  <c r="BV76" i="19"/>
  <c r="BU76" i="19"/>
  <c r="BW76" i="19"/>
  <c r="CG84" i="19"/>
  <c r="CD84" i="19"/>
  <c r="CF84" i="19"/>
  <c r="CE84" i="19"/>
  <c r="CA84" i="19"/>
  <c r="CB84" i="19"/>
  <c r="CC84" i="19"/>
  <c r="BX84" i="19"/>
  <c r="BY84" i="19"/>
  <c r="BZ84" i="19"/>
  <c r="BV84" i="19"/>
  <c r="BU84" i="19"/>
  <c r="BW84" i="19"/>
  <c r="H28" i="19"/>
  <c r="AD39" i="19"/>
  <c r="V42" i="19"/>
  <c r="AD43" i="19"/>
  <c r="W44" i="19"/>
  <c r="Z46" i="19"/>
  <c r="AH47" i="19"/>
  <c r="AA48" i="19"/>
  <c r="AV48" i="19"/>
  <c r="AX50" i="19"/>
  <c r="AU51" i="19"/>
  <c r="AP52" i="19"/>
  <c r="AL54" i="19"/>
  <c r="AL55" i="19"/>
  <c r="BB55" i="19"/>
  <c r="AN56" i="19"/>
  <c r="AY56" i="19"/>
  <c r="AZ61" i="19"/>
  <c r="AZ73" i="19"/>
  <c r="BL74" i="19"/>
  <c r="BW74" i="19"/>
  <c r="BU74" i="19"/>
  <c r="BV74" i="19"/>
  <c r="BM77" i="19"/>
  <c r="BX77" i="19"/>
  <c r="BY77" i="19"/>
  <c r="BZ77" i="19"/>
  <c r="BU77" i="19"/>
  <c r="BV77" i="19"/>
  <c r="BW77" i="19"/>
  <c r="BR77" i="19"/>
  <c r="BT77" i="19"/>
  <c r="BS77" i="19"/>
  <c r="BO77" i="19"/>
  <c r="BP77" i="19"/>
  <c r="BQ77" i="19"/>
  <c r="CG85" i="19"/>
  <c r="CH85" i="19"/>
  <c r="CE85" i="19"/>
  <c r="CF85" i="19"/>
  <c r="CD85" i="19"/>
  <c r="CA85" i="19"/>
  <c r="CC85" i="19"/>
  <c r="CB85" i="19"/>
  <c r="BX85" i="19"/>
  <c r="BY85" i="19"/>
  <c r="BZ85" i="19"/>
  <c r="BU85" i="19"/>
  <c r="BV85" i="19"/>
  <c r="BW85" i="19"/>
  <c r="S27" i="19"/>
  <c r="L28" i="19"/>
  <c r="Z42" i="19"/>
  <c r="AE43" i="19"/>
  <c r="AA44" i="19"/>
  <c r="AD46" i="19"/>
  <c r="AI47" i="19"/>
  <c r="AE48" i="19"/>
  <c r="AX51" i="19"/>
  <c r="AT52" i="19"/>
  <c r="AP54" i="19"/>
  <c r="AM55" i="19"/>
  <c r="BC55" i="19"/>
  <c r="AP56" i="19"/>
  <c r="AZ56" i="19"/>
  <c r="BE61" i="19"/>
  <c r="BA73" i="19"/>
  <c r="AZ74" i="19"/>
  <c r="BN78" i="19"/>
  <c r="CA78" i="19"/>
  <c r="BY78" i="19"/>
  <c r="BZ78" i="19"/>
  <c r="BX78" i="19"/>
  <c r="BU78" i="19"/>
  <c r="BV78" i="19"/>
  <c r="BW78" i="19"/>
  <c r="CG86" i="19"/>
  <c r="CH86" i="19"/>
  <c r="CI86" i="19"/>
  <c r="CD86" i="19"/>
  <c r="CE86" i="19"/>
  <c r="CF86" i="19"/>
  <c r="CC86" i="19"/>
  <c r="CA86" i="19"/>
  <c r="CB86" i="19"/>
  <c r="BY86" i="19"/>
  <c r="BZ86" i="19"/>
  <c r="BX86" i="19"/>
  <c r="BU86" i="19"/>
  <c r="BV86" i="19"/>
  <c r="BW86" i="19"/>
  <c r="F27" i="19"/>
  <c r="V27" i="19"/>
  <c r="N28" i="19"/>
  <c r="N30" i="19"/>
  <c r="V38" i="19"/>
  <c r="R40" i="19"/>
  <c r="AL42" i="19"/>
  <c r="AH43" i="19"/>
  <c r="AB44" i="19"/>
  <c r="AP46" i="19"/>
  <c r="AL47" i="19"/>
  <c r="AF48" i="19"/>
  <c r="AU52" i="19"/>
  <c r="AP55" i="19"/>
  <c r="AQ56" i="19"/>
  <c r="BB56" i="19"/>
  <c r="BD65" i="19"/>
  <c r="BB70" i="19"/>
  <c r="BD73" i="19"/>
  <c r="BA74" i="19"/>
  <c r="CA79" i="19"/>
  <c r="CB79" i="19"/>
  <c r="BX79" i="19"/>
  <c r="BY79" i="19"/>
  <c r="BZ79" i="19"/>
  <c r="BW79" i="19"/>
  <c r="BU79" i="19"/>
  <c r="BV79" i="19"/>
  <c r="CJ87" i="19"/>
  <c r="CG87" i="19"/>
  <c r="CH87" i="19"/>
  <c r="CI87" i="19"/>
  <c r="CE87" i="19"/>
  <c r="CF87" i="19"/>
  <c r="CD87" i="19"/>
  <c r="CA87" i="19"/>
  <c r="CB87" i="19"/>
  <c r="CC87" i="19"/>
  <c r="BX87" i="19"/>
  <c r="BY87" i="19"/>
  <c r="BZ87" i="19"/>
  <c r="BW87" i="19"/>
  <c r="BU87" i="19"/>
  <c r="BV87" i="19"/>
  <c r="F69" i="16"/>
  <c r="F26" i="16"/>
  <c r="F79" i="16"/>
  <c r="F90" i="16"/>
  <c r="F104" i="16"/>
  <c r="F122" i="16"/>
  <c r="F134" i="16"/>
  <c r="F140" i="16"/>
  <c r="F106" i="16"/>
  <c r="F27" i="16"/>
  <c r="F55" i="16"/>
  <c r="F68" i="16"/>
  <c r="F80" i="16"/>
  <c r="F91" i="16"/>
  <c r="F105" i="16"/>
  <c r="F123" i="16"/>
  <c r="F135" i="16"/>
  <c r="F141" i="16"/>
  <c r="F29" i="16"/>
  <c r="L41" i="12"/>
  <c r="T41" i="12"/>
  <c r="T43" i="12" s="1"/>
  <c r="F70" i="16"/>
  <c r="F82" i="16"/>
  <c r="F107" i="16"/>
  <c r="F117" i="16"/>
  <c r="F22" i="16"/>
  <c r="F81" i="16"/>
  <c r="F12" i="16"/>
  <c r="F30" i="16"/>
  <c r="F71" i="16"/>
  <c r="F83" i="16"/>
  <c r="F86" i="16"/>
  <c r="F108" i="16"/>
  <c r="F118" i="16"/>
  <c r="F28" i="16"/>
  <c r="F13" i="16"/>
  <c r="F31" i="16"/>
  <c r="F72" i="16"/>
  <c r="F87" i="16"/>
  <c r="F97" i="16"/>
  <c r="F101" i="16"/>
  <c r="F109" i="16"/>
  <c r="F119" i="16"/>
  <c r="F88" i="16"/>
  <c r="F159" i="11"/>
  <c r="F110" i="16"/>
  <c r="F120" i="16"/>
  <c r="F132" i="16"/>
  <c r="F15" i="16"/>
  <c r="F20" i="16"/>
  <c r="F78" i="16"/>
  <c r="F89" i="16"/>
  <c r="F111" i="16"/>
  <c r="F121" i="16"/>
  <c r="F133" i="16"/>
  <c r="AA37" i="12"/>
  <c r="AA39" i="12" s="1"/>
  <c r="K66" i="12"/>
  <c r="Z16" i="21"/>
  <c r="D15" i="19"/>
  <c r="D16" i="19" s="1"/>
  <c r="F112" i="16"/>
  <c r="AD90" i="11"/>
  <c r="AG90" i="11" s="1"/>
  <c r="F41" i="16"/>
  <c r="F102" i="16"/>
  <c r="BC38" i="10"/>
  <c r="T38" i="10"/>
  <c r="AC38" i="10"/>
  <c r="V38" i="10"/>
  <c r="AE38" i="10"/>
  <c r="AM38" i="10"/>
  <c r="AU38" i="10"/>
  <c r="AN38" i="10"/>
  <c r="X38" i="10"/>
  <c r="AO38" i="10"/>
  <c r="AW38" i="10"/>
  <c r="AP38" i="10"/>
  <c r="AX38" i="10"/>
  <c r="R38" i="10"/>
  <c r="AB38" i="10"/>
  <c r="AZ38" i="10"/>
  <c r="Y66" i="12"/>
  <c r="K169" i="13"/>
  <c r="E7" i="9"/>
  <c r="BH7" i="9" s="1"/>
  <c r="E8" i="9"/>
  <c r="BH8" i="9" s="1"/>
  <c r="Z11" i="21"/>
  <c r="BH127" i="9"/>
  <c r="U99" i="13" s="1"/>
  <c r="AE99" i="13" s="1"/>
  <c r="H160" i="13"/>
  <c r="H159" i="13" s="1"/>
  <c r="H167" i="13" s="1"/>
  <c r="AT69" i="10"/>
  <c r="AT38" i="10"/>
  <c r="AS38" i="10"/>
  <c r="AI42" i="21"/>
  <c r="M141" i="13"/>
  <c r="P134" i="13"/>
  <c r="O103" i="13"/>
  <c r="O107" i="13"/>
  <c r="Q169" i="13"/>
  <c r="L195" i="13"/>
  <c r="L252" i="13"/>
  <c r="R252" i="13"/>
  <c r="S252" i="13"/>
  <c r="S77" i="13"/>
  <c r="S141" i="13"/>
  <c r="M169" i="13"/>
  <c r="R169" i="13"/>
  <c r="R195" i="13"/>
  <c r="M195" i="13"/>
  <c r="N252" i="13"/>
  <c r="O77" i="13"/>
  <c r="N169" i="13"/>
  <c r="Q252" i="13"/>
  <c r="V11" i="21"/>
  <c r="V42" i="21" s="1"/>
  <c r="D7" i="15"/>
  <c r="D31" i="15"/>
  <c r="AQ101" i="10"/>
  <c r="AQ138" i="10" s="1"/>
  <c r="BG97" i="10"/>
  <c r="S169" i="13"/>
  <c r="D26" i="15"/>
  <c r="D28" i="15" s="1"/>
  <c r="D8" i="15"/>
  <c r="D38" i="15"/>
  <c r="D13" i="15"/>
  <c r="BG56" i="10"/>
  <c r="AC31" i="19"/>
  <c r="AE31" i="19"/>
  <c r="AD31" i="19"/>
  <c r="V31" i="19"/>
  <c r="N31" i="19"/>
  <c r="AA31" i="19"/>
  <c r="S31" i="19"/>
  <c r="K31" i="19"/>
  <c r="W31" i="19"/>
  <c r="J28" i="19"/>
  <c r="O28" i="19"/>
  <c r="T28" i="19"/>
  <c r="Z28" i="19"/>
  <c r="V30" i="19"/>
  <c r="J31" i="19"/>
  <c r="Z31" i="19"/>
  <c r="F28" i="19"/>
  <c r="F152" i="19" s="1"/>
  <c r="K28" i="19"/>
  <c r="P28" i="19"/>
  <c r="V28" i="19"/>
  <c r="AA28" i="19"/>
  <c r="J30" i="19"/>
  <c r="Z30" i="19"/>
  <c r="O31" i="19"/>
  <c r="N32" i="19"/>
  <c r="S32" i="19"/>
  <c r="X32" i="19"/>
  <c r="AD32" i="19"/>
  <c r="Z34" i="19"/>
  <c r="R36" i="19"/>
  <c r="W36" i="19"/>
  <c r="AB36" i="19"/>
  <c r="AH36" i="19"/>
  <c r="AD38" i="19"/>
  <c r="Z39" i="19"/>
  <c r="AH39" i="19"/>
  <c r="V40" i="19"/>
  <c r="AA40" i="19"/>
  <c r="AF40" i="19"/>
  <c r="AL40" i="19"/>
  <c r="AH42" i="19"/>
  <c r="Z44" i="19"/>
  <c r="AE44" i="19"/>
  <c r="AJ44" i="19"/>
  <c r="AP44" i="19"/>
  <c r="AL46" i="19"/>
  <c r="AD48" i="19"/>
  <c r="AI48" i="19"/>
  <c r="AN48" i="19"/>
  <c r="AT48" i="19"/>
  <c r="AT51" i="19"/>
  <c r="AH52" i="19"/>
  <c r="AM52" i="19"/>
  <c r="AR52" i="19"/>
  <c r="AX52" i="19"/>
  <c r="AN58" i="19"/>
  <c r="AV58" i="19"/>
  <c r="BD58" i="19"/>
  <c r="AN60" i="19"/>
  <c r="BD60" i="19"/>
  <c r="AN61" i="19"/>
  <c r="AS61" i="19"/>
  <c r="AY61" i="19"/>
  <c r="BD61" i="19"/>
  <c r="BI61" i="19"/>
  <c r="AR62" i="19"/>
  <c r="AZ62" i="19"/>
  <c r="BH62" i="19"/>
  <c r="AR64" i="19"/>
  <c r="BH64" i="19"/>
  <c r="AS65" i="19"/>
  <c r="BA65" i="19"/>
  <c r="BI65" i="19"/>
  <c r="AR66" i="19"/>
  <c r="AZ66" i="19"/>
  <c r="BH66" i="19"/>
  <c r="BL67" i="19"/>
  <c r="BO67" i="19"/>
  <c r="BP67" i="19"/>
  <c r="AW67" i="19"/>
  <c r="BE67" i="19"/>
  <c r="BM67" i="19"/>
  <c r="AV68" i="19"/>
  <c r="BD68" i="19"/>
  <c r="BN71" i="19"/>
  <c r="BR71" i="19"/>
  <c r="BS71" i="19"/>
  <c r="BT71" i="19"/>
  <c r="BQ71" i="19"/>
  <c r="BO71" i="19"/>
  <c r="BP71" i="19"/>
  <c r="BK71" i="19"/>
  <c r="BH74" i="19"/>
  <c r="BL75" i="19"/>
  <c r="BT75" i="19"/>
  <c r="BR75" i="19"/>
  <c r="BS75" i="19"/>
  <c r="BQ75" i="19"/>
  <c r="BP75" i="19"/>
  <c r="BO75" i="19"/>
  <c r="BF75" i="19"/>
  <c r="BN75" i="19"/>
  <c r="BL80" i="19"/>
  <c r="BR80" i="19"/>
  <c r="BS80" i="19"/>
  <c r="BT80" i="19"/>
  <c r="BO80" i="19"/>
  <c r="BP80" i="19"/>
  <c r="BQ80" i="19"/>
  <c r="BH82" i="19"/>
  <c r="BL83" i="19"/>
  <c r="BT83" i="19"/>
  <c r="BR83" i="19"/>
  <c r="BS83" i="19"/>
  <c r="BQ83" i="19"/>
  <c r="BO83" i="19"/>
  <c r="BP83" i="19"/>
  <c r="BN83" i="19"/>
  <c r="BM85" i="19"/>
  <c r="BR85" i="19"/>
  <c r="BS85" i="19"/>
  <c r="BT85" i="19"/>
  <c r="BO85" i="19"/>
  <c r="BP85" i="19"/>
  <c r="BQ85" i="19"/>
  <c r="J32" i="19"/>
  <c r="O32" i="19"/>
  <c r="T32" i="19"/>
  <c r="Z32" i="19"/>
  <c r="AE32" i="19"/>
  <c r="N34" i="19"/>
  <c r="AD34" i="19"/>
  <c r="O35" i="19"/>
  <c r="W35" i="19"/>
  <c r="AE35" i="19"/>
  <c r="N36" i="19"/>
  <c r="S36" i="19"/>
  <c r="X36" i="19"/>
  <c r="AD36" i="19"/>
  <c r="AI36" i="19"/>
  <c r="AH38" i="19"/>
  <c r="AI39" i="19"/>
  <c r="AB40" i="19"/>
  <c r="AH40" i="19"/>
  <c r="AM40" i="19"/>
  <c r="AQ44" i="19"/>
  <c r="AO58" i="19"/>
  <c r="AW58" i="19"/>
  <c r="BE58" i="19"/>
  <c r="AS62" i="19"/>
  <c r="BA62" i="19"/>
  <c r="BI62" i="19"/>
  <c r="BM69" i="19"/>
  <c r="BR69" i="19"/>
  <c r="BO69" i="19"/>
  <c r="BP69" i="19"/>
  <c r="BQ69" i="19"/>
  <c r="BL72" i="19"/>
  <c r="BR72" i="19"/>
  <c r="BS72" i="19"/>
  <c r="BT72" i="19"/>
  <c r="BO72" i="19"/>
  <c r="BQ72" i="19"/>
  <c r="BP72" i="19"/>
  <c r="BN76" i="19"/>
  <c r="BR76" i="19"/>
  <c r="BS76" i="19"/>
  <c r="BT76" i="19"/>
  <c r="BO76" i="19"/>
  <c r="BP76" i="19"/>
  <c r="BQ76" i="19"/>
  <c r="BH76" i="19"/>
  <c r="BM78" i="19"/>
  <c r="BS78" i="19"/>
  <c r="BT78" i="19"/>
  <c r="BR78" i="19"/>
  <c r="BP78" i="19"/>
  <c r="BO78" i="19"/>
  <c r="BQ78" i="19"/>
  <c r="BN79" i="19"/>
  <c r="BT79" i="19"/>
  <c r="BR79" i="19"/>
  <c r="BS79" i="19"/>
  <c r="BQ79" i="19"/>
  <c r="BP79" i="19"/>
  <c r="BO79" i="19"/>
  <c r="BK81" i="19"/>
  <c r="BR81" i="19"/>
  <c r="BS81" i="19"/>
  <c r="BT81" i="19"/>
  <c r="BO81" i="19"/>
  <c r="BP81" i="19"/>
  <c r="BQ81" i="19"/>
  <c r="BL81" i="19"/>
  <c r="BI82" i="19"/>
  <c r="BI83" i="19"/>
  <c r="BN84" i="19"/>
  <c r="BR84" i="19"/>
  <c r="BS84" i="19"/>
  <c r="BT84" i="19"/>
  <c r="BO84" i="19"/>
  <c r="BQ84" i="19"/>
  <c r="BP84" i="19"/>
  <c r="BM86" i="19"/>
  <c r="BS86" i="19"/>
  <c r="BT86" i="19"/>
  <c r="BR86" i="19"/>
  <c r="BP86" i="19"/>
  <c r="BO86" i="19"/>
  <c r="BQ86" i="19"/>
  <c r="K32" i="19"/>
  <c r="P32" i="19"/>
  <c r="V32" i="19"/>
  <c r="AA32" i="19"/>
  <c r="AF32" i="19"/>
  <c r="R34" i="19"/>
  <c r="AH34" i="19"/>
  <c r="R35" i="19"/>
  <c r="Z35" i="19"/>
  <c r="AH35" i="19"/>
  <c r="O36" i="19"/>
  <c r="T36" i="19"/>
  <c r="Z36" i="19"/>
  <c r="AE36" i="19"/>
  <c r="AJ36" i="19"/>
  <c r="AL38" i="19"/>
  <c r="AL39" i="19"/>
  <c r="AD40" i="19"/>
  <c r="AI40" i="19"/>
  <c r="AN40" i="19"/>
  <c r="AM44" i="19"/>
  <c r="AR44" i="19"/>
  <c r="AJ58" i="19"/>
  <c r="AR58" i="19"/>
  <c r="AZ58" i="19"/>
  <c r="AQ61" i="19"/>
  <c r="AV61" i="19"/>
  <c r="BA61" i="19"/>
  <c r="BG61" i="19"/>
  <c r="AN62" i="19"/>
  <c r="AV62" i="19"/>
  <c r="BD62" i="19"/>
  <c r="AW65" i="19"/>
  <c r="BE65" i="19"/>
  <c r="BM65" i="19"/>
  <c r="AV66" i="19"/>
  <c r="BD66" i="19"/>
  <c r="AT67" i="19"/>
  <c r="BA67" i="19"/>
  <c r="BI67" i="19"/>
  <c r="BN68" i="19"/>
  <c r="BO68" i="19"/>
  <c r="BQ68" i="19"/>
  <c r="BP68" i="19"/>
  <c r="AZ68" i="19"/>
  <c r="BH68" i="19"/>
  <c r="BM70" i="19"/>
  <c r="BR70" i="19"/>
  <c r="BP70" i="19"/>
  <c r="BO70" i="19"/>
  <c r="BQ70" i="19"/>
  <c r="BJ70" i="19"/>
  <c r="BC71" i="19"/>
  <c r="BD74" i="19"/>
  <c r="BB75" i="19"/>
  <c r="BJ75" i="19"/>
  <c r="BC76" i="19"/>
  <c r="BK76" i="19"/>
  <c r="BF78" i="19"/>
  <c r="BG79" i="19"/>
  <c r="BG81" i="19"/>
  <c r="BM81" i="19"/>
  <c r="BJ83" i="19"/>
  <c r="BK84" i="19"/>
  <c r="BT87" i="19"/>
  <c r="BR87" i="19"/>
  <c r="BS87" i="19"/>
  <c r="L32" i="19"/>
  <c r="R32" i="19"/>
  <c r="W32" i="19"/>
  <c r="AB32" i="19"/>
  <c r="V34" i="19"/>
  <c r="S35" i="19"/>
  <c r="AA35" i="19"/>
  <c r="AI35" i="19"/>
  <c r="P36" i="19"/>
  <c r="V36" i="19"/>
  <c r="AA36" i="19"/>
  <c r="AF36" i="19"/>
  <c r="Z38" i="19"/>
  <c r="W39" i="19"/>
  <c r="AE39" i="19"/>
  <c r="AM39" i="19"/>
  <c r="T40" i="19"/>
  <c r="Z40" i="19"/>
  <c r="AE40" i="19"/>
  <c r="AJ40" i="19"/>
  <c r="AD42" i="19"/>
  <c r="AA43" i="19"/>
  <c r="AI43" i="19"/>
  <c r="AQ43" i="19"/>
  <c r="X44" i="19"/>
  <c r="AD44" i="19"/>
  <c r="AI44" i="19"/>
  <c r="AN44" i="19"/>
  <c r="AH46" i="19"/>
  <c r="AE47" i="19"/>
  <c r="AM47" i="19"/>
  <c r="AU47" i="19"/>
  <c r="AB48" i="19"/>
  <c r="AH48" i="19"/>
  <c r="AM48" i="19"/>
  <c r="AR48" i="19"/>
  <c r="AI51" i="19"/>
  <c r="AQ51" i="19"/>
  <c r="AY51" i="19"/>
  <c r="AF52" i="19"/>
  <c r="AL52" i="19"/>
  <c r="AQ52" i="19"/>
  <c r="AV52" i="19"/>
  <c r="AK58" i="19"/>
  <c r="AS58" i="19"/>
  <c r="BA58" i="19"/>
  <c r="AZ60" i="19"/>
  <c r="AM61" i="19"/>
  <c r="AR61" i="19"/>
  <c r="AW61" i="19"/>
  <c r="BC61" i="19"/>
  <c r="BH61" i="19"/>
  <c r="AO62" i="19"/>
  <c r="AW62" i="19"/>
  <c r="BE62" i="19"/>
  <c r="BD64" i="19"/>
  <c r="AR65" i="19"/>
  <c r="AZ65" i="19"/>
  <c r="BH65" i="19"/>
  <c r="BK66" i="19"/>
  <c r="BO66" i="19"/>
  <c r="AW66" i="19"/>
  <c r="BE66" i="19"/>
  <c r="BM66" i="19"/>
  <c r="AU67" i="19"/>
  <c r="BB67" i="19"/>
  <c r="BJ67" i="19"/>
  <c r="AU68" i="19"/>
  <c r="BC68" i="19"/>
  <c r="BK68" i="19"/>
  <c r="AX70" i="19"/>
  <c r="BN70" i="19"/>
  <c r="BG71" i="19"/>
  <c r="BK74" i="19"/>
  <c r="BS74" i="19"/>
  <c r="BT74" i="19"/>
  <c r="BR74" i="19"/>
  <c r="BP74" i="19"/>
  <c r="BO74" i="19"/>
  <c r="BQ74" i="19"/>
  <c r="BE74" i="19"/>
  <c r="BM74" i="19"/>
  <c r="BE75" i="19"/>
  <c r="BM75" i="19"/>
  <c r="BD76" i="19"/>
  <c r="BL76" i="19"/>
  <c r="BJ78" i="19"/>
  <c r="BK79" i="19"/>
  <c r="BH81" i="19"/>
  <c r="BK82" i="19"/>
  <c r="BS82" i="19"/>
  <c r="BT82" i="19"/>
  <c r="BR82" i="19"/>
  <c r="BP82" i="19"/>
  <c r="BO82" i="19"/>
  <c r="BQ82" i="19"/>
  <c r="BM82" i="19"/>
  <c r="BM83" i="19"/>
  <c r="BL84" i="19"/>
  <c r="BN88" i="19"/>
  <c r="BR88" i="19"/>
  <c r="BS88" i="19"/>
  <c r="BT88" i="19"/>
  <c r="BQ88" i="19"/>
  <c r="BO88" i="19"/>
  <c r="BP88" i="19"/>
  <c r="X173" i="9"/>
  <c r="AB173" i="9"/>
  <c r="I173" i="9"/>
  <c r="Q173" i="9"/>
  <c r="AG173" i="9"/>
  <c r="U95" i="9"/>
  <c r="Y95" i="9"/>
  <c r="AI95" i="9"/>
  <c r="AQ95" i="9"/>
  <c r="M95" i="9"/>
  <c r="AS95" i="9"/>
  <c r="AR173" i="9"/>
  <c r="AZ173" i="9"/>
  <c r="BD173" i="9"/>
  <c r="AO173" i="9"/>
  <c r="O95" i="9"/>
  <c r="Z95" i="9"/>
  <c r="AK95" i="9"/>
  <c r="AO95" i="9"/>
  <c r="AE105" i="9"/>
  <c r="AE173" i="9" s="1"/>
  <c r="AE37" i="9"/>
  <c r="AE95" i="9" s="1"/>
  <c r="AA95" i="9"/>
  <c r="AJ173" i="9"/>
  <c r="AW173" i="9"/>
  <c r="G95" i="9"/>
  <c r="AY95" i="9"/>
  <c r="K95" i="9"/>
  <c r="M173" i="9"/>
  <c r="U173" i="9"/>
  <c r="AC173" i="9"/>
  <c r="AK173" i="9"/>
  <c r="AS173" i="9"/>
  <c r="G173" i="9"/>
  <c r="G176" i="9" s="1"/>
  <c r="K173" i="9"/>
  <c r="O173" i="9"/>
  <c r="W173" i="9"/>
  <c r="AA173" i="9"/>
  <c r="AI173" i="9"/>
  <c r="AM173" i="9"/>
  <c r="AQ173" i="9"/>
  <c r="AU173" i="9"/>
  <c r="AY173" i="9"/>
  <c r="BC173" i="9"/>
  <c r="BH171" i="9"/>
  <c r="F18" i="15" s="1"/>
  <c r="BA95" i="9"/>
  <c r="AV173" i="9"/>
  <c r="Y173" i="9"/>
  <c r="BE173" i="9"/>
  <c r="I95" i="9"/>
  <c r="W95" i="9"/>
  <c r="AM95" i="9"/>
  <c r="AU95" i="9"/>
  <c r="AW95" i="9"/>
  <c r="BE95" i="9"/>
  <c r="H95" i="9"/>
  <c r="L95" i="9"/>
  <c r="AC95" i="9"/>
  <c r="BA173" i="9"/>
  <c r="AE138" i="10"/>
  <c r="T98" i="11"/>
  <c r="T117" i="11" s="1"/>
  <c r="J37" i="12"/>
  <c r="J39" i="12" s="1"/>
  <c r="W41" i="12"/>
  <c r="W43" i="12" s="1"/>
  <c r="K159" i="11"/>
  <c r="AB159" i="11"/>
  <c r="Y159" i="11"/>
  <c r="N37" i="12"/>
  <c r="N39" i="12" s="1"/>
  <c r="R37" i="12"/>
  <c r="R39" i="12" s="1"/>
  <c r="Q159" i="11"/>
  <c r="AA188" i="11"/>
  <c r="I98" i="11"/>
  <c r="I117" i="11" s="1"/>
  <c r="K39" i="12"/>
  <c r="I41" i="12"/>
  <c r="M41" i="12"/>
  <c r="V41" i="12"/>
  <c r="V43" i="12" s="1"/>
  <c r="V68" i="12" s="1"/>
  <c r="H159" i="11"/>
  <c r="L159" i="11"/>
  <c r="P159" i="11"/>
  <c r="T159" i="11"/>
  <c r="S188" i="11"/>
  <c r="P98" i="11"/>
  <c r="P117" i="11" s="1"/>
  <c r="V98" i="11"/>
  <c r="V117" i="11" s="1"/>
  <c r="Z98" i="11"/>
  <c r="Z117" i="11" s="1"/>
  <c r="AD64" i="11"/>
  <c r="J41" i="12"/>
  <c r="N41" i="12"/>
  <c r="R41" i="12"/>
  <c r="AB41" i="12"/>
  <c r="K41" i="12"/>
  <c r="O41" i="12"/>
  <c r="AD86" i="11"/>
  <c r="AG86" i="11" s="1"/>
  <c r="V159" i="11"/>
  <c r="Z159" i="11"/>
  <c r="W159" i="11"/>
  <c r="AA159" i="11"/>
  <c r="T188" i="11"/>
  <c r="Y188" i="11"/>
  <c r="I39" i="12"/>
  <c r="O37" i="12"/>
  <c r="O39" i="12" s="1"/>
  <c r="S37" i="12"/>
  <c r="R66" i="12"/>
  <c r="P66" i="12"/>
  <c r="T66" i="12"/>
  <c r="AD10" i="11"/>
  <c r="AG10" i="11" s="1"/>
  <c r="AB98" i="11"/>
  <c r="AB117" i="11" s="1"/>
  <c r="AB170" i="11" s="1"/>
  <c r="F12" i="11"/>
  <c r="AD12" i="11" s="1"/>
  <c r="AG12" i="11" s="1"/>
  <c r="Y41" i="12"/>
  <c r="Y43" i="12" s="1"/>
  <c r="AD71" i="11"/>
  <c r="AG71" i="11" s="1"/>
  <c r="N159" i="11"/>
  <c r="G159" i="11"/>
  <c r="O159" i="11"/>
  <c r="M188" i="11"/>
  <c r="O66" i="12"/>
  <c r="S66" i="12"/>
  <c r="Q195" i="13"/>
  <c r="BN87" i="19"/>
  <c r="BQ87" i="19"/>
  <c r="BP87" i="19"/>
  <c r="BO87" i="19"/>
  <c r="BN86" i="19"/>
  <c r="AD76" i="11"/>
  <c r="AG76" i="11" s="1"/>
  <c r="T115" i="10"/>
  <c r="BG115" i="10" s="1"/>
  <c r="AD78" i="11"/>
  <c r="AG78" i="11" s="1"/>
  <c r="AV69" i="10"/>
  <c r="F28" i="11"/>
  <c r="AD88" i="11"/>
  <c r="AG88" i="11" s="1"/>
  <c r="T689" i="4"/>
  <c r="G65" i="11"/>
  <c r="S173" i="9"/>
  <c r="BB69" i="10"/>
  <c r="AD59" i="11"/>
  <c r="AG59" i="11" s="1"/>
  <c r="AD128" i="11"/>
  <c r="AG128" i="11" s="1"/>
  <c r="F30" i="12"/>
  <c r="K71" i="13"/>
  <c r="Q98" i="11"/>
  <c r="Q117" i="11" s="1"/>
  <c r="AD24" i="11"/>
  <c r="AG24" i="11" s="1"/>
  <c r="AD67" i="11"/>
  <c r="AG67" i="11" s="1"/>
  <c r="AD75" i="11"/>
  <c r="AG75" i="11" s="1"/>
  <c r="T51" i="10"/>
  <c r="T69" i="10" s="1"/>
  <c r="BG46" i="10"/>
  <c r="J11" i="23"/>
  <c r="G69" i="11"/>
  <c r="BG45" i="10"/>
  <c r="AD34" i="11"/>
  <c r="AG34" i="11" s="1"/>
  <c r="BH56" i="9"/>
  <c r="U41" i="13" s="1"/>
  <c r="BH121" i="9"/>
  <c r="U93" i="13" s="1"/>
  <c r="BG106" i="10"/>
  <c r="AD80" i="11"/>
  <c r="AG80" i="11" s="1"/>
  <c r="AF11" i="21"/>
  <c r="AF42" i="21" s="1"/>
  <c r="Q41" i="12"/>
  <c r="M47" i="13"/>
  <c r="M77" i="13" s="1"/>
  <c r="AD27" i="11"/>
  <c r="AG27" i="11" s="1"/>
  <c r="K47" i="13"/>
  <c r="P33" i="13"/>
  <c r="P61" i="13"/>
  <c r="P7" i="13"/>
  <c r="AK38" i="10"/>
  <c r="BA38" i="10"/>
  <c r="R16" i="9"/>
  <c r="BH16" i="9" s="1"/>
  <c r="T99" i="9"/>
  <c r="BH99" i="9" s="1"/>
  <c r="T101" i="9"/>
  <c r="BH101" i="9" s="1"/>
  <c r="L34" i="5"/>
  <c r="L41" i="5"/>
  <c r="P39" i="13"/>
  <c r="P46" i="13"/>
  <c r="P55" i="13"/>
  <c r="P59" i="13"/>
  <c r="P65" i="13"/>
  <c r="P95" i="9"/>
  <c r="X95" i="9"/>
  <c r="X176" i="9" s="1"/>
  <c r="AF95" i="9"/>
  <c r="AN95" i="9"/>
  <c r="AV95" i="9"/>
  <c r="BD95" i="9"/>
  <c r="BD176" i="9" s="1"/>
  <c r="U84" i="13"/>
  <c r="BH108" i="9"/>
  <c r="F14" i="15" s="1"/>
  <c r="O91" i="13"/>
  <c r="P119" i="13"/>
  <c r="U128" i="13"/>
  <c r="U123" i="13"/>
  <c r="BG22" i="10"/>
  <c r="U153" i="13" s="1"/>
  <c r="U192" i="13"/>
  <c r="BG67" i="10"/>
  <c r="BG113" i="10"/>
  <c r="R128" i="10"/>
  <c r="R138" i="10" s="1"/>
  <c r="L140" i="10"/>
  <c r="P140" i="10"/>
  <c r="AR138" i="10"/>
  <c r="AV138" i="10"/>
  <c r="AZ138" i="10"/>
  <c r="BD138" i="10"/>
  <c r="E7" i="12"/>
  <c r="F7" i="11"/>
  <c r="AD7" i="11" s="1"/>
  <c r="AG7" i="11" s="1"/>
  <c r="F77" i="16"/>
  <c r="AD107" i="11"/>
  <c r="AG107" i="11" s="1"/>
  <c r="BC12" i="9"/>
  <c r="BC95" i="9" s="1"/>
  <c r="P13" i="13"/>
  <c r="P15" i="13"/>
  <c r="P17" i="13"/>
  <c r="P20" i="13"/>
  <c r="P31" i="13"/>
  <c r="P37" i="13"/>
  <c r="P43" i="13"/>
  <c r="P51" i="13"/>
  <c r="P62" i="13"/>
  <c r="P69" i="13"/>
  <c r="T95" i="9"/>
  <c r="AB95" i="9"/>
  <c r="AJ95" i="9"/>
  <c r="AR95" i="9"/>
  <c r="AZ95" i="9"/>
  <c r="BH115" i="9"/>
  <c r="O101" i="13"/>
  <c r="O105" i="13"/>
  <c r="O109" i="13"/>
  <c r="P115" i="13"/>
  <c r="P127" i="13"/>
  <c r="AG26" i="10"/>
  <c r="AG38" i="10" s="1"/>
  <c r="BG54" i="10"/>
  <c r="V58" i="10"/>
  <c r="AF64" i="10"/>
  <c r="AF69" i="10" s="1"/>
  <c r="F8" i="5"/>
  <c r="L8" i="5" s="1"/>
  <c r="K44" i="5"/>
  <c r="E14" i="9"/>
  <c r="P11" i="13"/>
  <c r="P27" i="13"/>
  <c r="P32" i="13"/>
  <c r="P52" i="13"/>
  <c r="P56" i="13"/>
  <c r="P60" i="13"/>
  <c r="P66" i="13"/>
  <c r="P70" i="13"/>
  <c r="O92" i="13"/>
  <c r="O95" i="13"/>
  <c r="O98" i="13"/>
  <c r="O102" i="13"/>
  <c r="O106" i="13"/>
  <c r="H173" i="9"/>
  <c r="L173" i="9"/>
  <c r="L176" i="9" s="1"/>
  <c r="P173" i="9"/>
  <c r="BG8" i="10"/>
  <c r="BG10" i="10"/>
  <c r="AD38" i="10"/>
  <c r="AH38" i="10"/>
  <c r="BB38" i="10"/>
  <c r="G69" i="10"/>
  <c r="K69" i="10"/>
  <c r="O69" i="10"/>
  <c r="S69" i="10"/>
  <c r="W69" i="10"/>
  <c r="W140" i="10" s="1"/>
  <c r="AA69" i="10"/>
  <c r="AE69" i="10"/>
  <c r="AI69" i="10"/>
  <c r="AM69" i="10"/>
  <c r="AQ69" i="10"/>
  <c r="AU69" i="10"/>
  <c r="AY69" i="10"/>
  <c r="BC69" i="10"/>
  <c r="BC140" i="10" s="1"/>
  <c r="BG83" i="10"/>
  <c r="BG88" i="10"/>
  <c r="X128" i="10"/>
  <c r="BG126" i="10"/>
  <c r="M98" i="11"/>
  <c r="M117" i="11" s="1"/>
  <c r="Y98" i="11"/>
  <c r="Y117" i="11" s="1"/>
  <c r="F54" i="12"/>
  <c r="F42" i="11"/>
  <c r="AD31" i="11"/>
  <c r="AG31" i="11" s="1"/>
  <c r="S41" i="12"/>
  <c r="S43" i="12" s="1"/>
  <c r="AD62" i="12"/>
  <c r="AN62" i="12" s="1"/>
  <c r="X66" i="12"/>
  <c r="X159" i="11"/>
  <c r="AD149" i="11"/>
  <c r="AG149" i="11" s="1"/>
  <c r="S157" i="11"/>
  <c r="S159" i="11" s="1"/>
  <c r="AC159" i="11"/>
  <c r="L31" i="5"/>
  <c r="BH100" i="9"/>
  <c r="L33" i="5"/>
  <c r="P8" i="13"/>
  <c r="E17" i="9"/>
  <c r="P12" i="13"/>
  <c r="P24" i="13"/>
  <c r="P28" i="13"/>
  <c r="AG37" i="9"/>
  <c r="AG95" i="9" s="1"/>
  <c r="P42" i="13"/>
  <c r="P49" i="13"/>
  <c r="U71" i="13"/>
  <c r="P53" i="13"/>
  <c r="P57" i="13"/>
  <c r="P63" i="13"/>
  <c r="P67" i="13"/>
  <c r="P74" i="13"/>
  <c r="J95" i="9"/>
  <c r="N95" i="9"/>
  <c r="AD95" i="9"/>
  <c r="AL95" i="9"/>
  <c r="AP95" i="9"/>
  <c r="AT95" i="9"/>
  <c r="AX95" i="9"/>
  <c r="BB95" i="9"/>
  <c r="O96" i="13"/>
  <c r="O111" i="13"/>
  <c r="P117" i="13"/>
  <c r="P121" i="13"/>
  <c r="P125" i="13"/>
  <c r="BH156" i="9"/>
  <c r="F16" i="15" s="1"/>
  <c r="BG36" i="10"/>
  <c r="U159" i="13"/>
  <c r="J138" i="10"/>
  <c r="N138" i="10"/>
  <c r="N140" i="10" s="1"/>
  <c r="V138" i="10"/>
  <c r="AD138" i="10"/>
  <c r="AH138" i="10"/>
  <c r="AL138" i="10"/>
  <c r="AP138" i="10"/>
  <c r="AT138" i="10"/>
  <c r="AX138" i="10"/>
  <c r="BB138" i="10"/>
  <c r="G35" i="12"/>
  <c r="G81" i="11"/>
  <c r="G63" i="12"/>
  <c r="G96" i="11"/>
  <c r="AD85" i="11"/>
  <c r="AG85" i="11" s="1"/>
  <c r="F100" i="16"/>
  <c r="P19" i="13"/>
  <c r="P45" i="13"/>
  <c r="P50" i="13"/>
  <c r="P54" i="13"/>
  <c r="P58" i="13"/>
  <c r="P64" i="13"/>
  <c r="P68" i="13"/>
  <c r="O81" i="13"/>
  <c r="O97" i="13"/>
  <c r="O100" i="13"/>
  <c r="O104" i="13"/>
  <c r="O108" i="13"/>
  <c r="T158" i="9"/>
  <c r="BH158" i="9" s="1"/>
  <c r="P135" i="13"/>
  <c r="J173" i="9"/>
  <c r="N173" i="9"/>
  <c r="R173" i="9"/>
  <c r="V173" i="9"/>
  <c r="Z173" i="9"/>
  <c r="AD173" i="9"/>
  <c r="AH173" i="9"/>
  <c r="AL173" i="9"/>
  <c r="AP173" i="9"/>
  <c r="AT173" i="9"/>
  <c r="AX173" i="9"/>
  <c r="BB173" i="9"/>
  <c r="BF173" i="9"/>
  <c r="AF26" i="10"/>
  <c r="AF38" i="10" s="1"/>
  <c r="AR38" i="10"/>
  <c r="AV38" i="10"/>
  <c r="BD38" i="10"/>
  <c r="BG42" i="10"/>
  <c r="Z51" i="10"/>
  <c r="Z69" i="10" s="1"/>
  <c r="I69" i="10"/>
  <c r="M69" i="10"/>
  <c r="Q69" i="10"/>
  <c r="U69" i="10"/>
  <c r="Y69" i="10"/>
  <c r="AC69" i="10"/>
  <c r="AK69" i="10"/>
  <c r="AO69" i="10"/>
  <c r="AS69" i="10"/>
  <c r="AW69" i="10"/>
  <c r="BA69" i="10"/>
  <c r="BG80" i="10"/>
  <c r="BG100" i="10"/>
  <c r="U216" i="13" s="1"/>
  <c r="S128" i="10"/>
  <c r="S138" i="10" s="1"/>
  <c r="Z128" i="10"/>
  <c r="F12" i="12"/>
  <c r="AD12" i="12" s="1"/>
  <c r="AN12" i="12" s="1"/>
  <c r="F32" i="12"/>
  <c r="AD32" i="12" s="1"/>
  <c r="AN32" i="12" s="1"/>
  <c r="F20" i="11"/>
  <c r="O98" i="11"/>
  <c r="O117" i="11" s="1"/>
  <c r="S98" i="11"/>
  <c r="S117" i="11" s="1"/>
  <c r="AA98" i="11"/>
  <c r="AA117" i="11" s="1"/>
  <c r="AA170" i="11" s="1"/>
  <c r="N98" i="11"/>
  <c r="N117" i="11" s="1"/>
  <c r="R98" i="11"/>
  <c r="R117" i="11" s="1"/>
  <c r="R170" i="11" s="1"/>
  <c r="R190" i="11" s="1"/>
  <c r="AA41" i="12"/>
  <c r="G36" i="12"/>
  <c r="AD72" i="11"/>
  <c r="AG72" i="11" s="1"/>
  <c r="AD115" i="11"/>
  <c r="AG115" i="11" s="1"/>
  <c r="I159" i="11"/>
  <c r="I170" i="11" s="1"/>
  <c r="I190" i="11" s="1"/>
  <c r="M159" i="11"/>
  <c r="G60" i="11"/>
  <c r="K60" i="11"/>
  <c r="K98" i="11" s="1"/>
  <c r="K117" i="11" s="1"/>
  <c r="X41" i="12"/>
  <c r="X43" i="12" s="1"/>
  <c r="E10" i="12"/>
  <c r="H31" i="12"/>
  <c r="H33" i="12" s="1"/>
  <c r="AB39" i="12"/>
  <c r="F30" i="17"/>
  <c r="U66" i="12"/>
  <c r="O94" i="13"/>
  <c r="H157" i="13"/>
  <c r="D24" i="15"/>
  <c r="V14" i="20"/>
  <c r="V16" i="20" s="1"/>
  <c r="V33" i="20" s="1"/>
  <c r="D30" i="15"/>
  <c r="S195" i="13"/>
  <c r="BH140" i="9"/>
  <c r="U112" i="13" s="1"/>
  <c r="U160" i="13"/>
  <c r="F27" i="15"/>
  <c r="BG61" i="10"/>
  <c r="P223" i="13"/>
  <c r="P241" i="13"/>
  <c r="U247" i="13"/>
  <c r="P246" i="13"/>
  <c r="P247" i="13" s="1"/>
  <c r="F9" i="11"/>
  <c r="AD9" i="11" s="1"/>
  <c r="AG9" i="11" s="1"/>
  <c r="AD18" i="11"/>
  <c r="AG18" i="11" s="1"/>
  <c r="AD26" i="11"/>
  <c r="AG26" i="11" s="1"/>
  <c r="AD79" i="11"/>
  <c r="AG79" i="11" s="1"/>
  <c r="AD84" i="11"/>
  <c r="AG84" i="11" s="1"/>
  <c r="X96" i="11"/>
  <c r="X98" i="11" s="1"/>
  <c r="X117" i="11" s="1"/>
  <c r="AD148" i="11"/>
  <c r="AG148" i="11" s="1"/>
  <c r="P188" i="11"/>
  <c r="AB188" i="11"/>
  <c r="M39" i="12"/>
  <c r="Q39" i="12"/>
  <c r="AD45" i="12"/>
  <c r="AN45" i="12" s="1"/>
  <c r="N61" i="12"/>
  <c r="N66" i="12" s="1"/>
  <c r="N77" i="13"/>
  <c r="R77" i="13"/>
  <c r="D11" i="15"/>
  <c r="Q77" i="13"/>
  <c r="P124" i="13"/>
  <c r="U129" i="13"/>
  <c r="L141" i="13"/>
  <c r="O195" i="13"/>
  <c r="AD49" i="12"/>
  <c r="AN49" i="12" s="1"/>
  <c r="D10" i="15"/>
  <c r="D14" i="15"/>
  <c r="P120" i="13"/>
  <c r="P162" i="13"/>
  <c r="D34" i="15"/>
  <c r="P118" i="13"/>
  <c r="P122" i="13"/>
  <c r="P126" i="13"/>
  <c r="P138" i="13"/>
  <c r="P139" i="13" s="1"/>
  <c r="U139" i="13" s="1"/>
  <c r="O219" i="13"/>
  <c r="O220" i="13" s="1"/>
  <c r="U220" i="13"/>
  <c r="P225" i="13"/>
  <c r="P234" i="13"/>
  <c r="J60" i="11"/>
  <c r="J98" i="11" s="1"/>
  <c r="J117" i="11" s="1"/>
  <c r="J170" i="11" s="1"/>
  <c r="J183" i="11" s="1"/>
  <c r="H37" i="12"/>
  <c r="H81" i="11"/>
  <c r="H41" i="12" s="1"/>
  <c r="AD147" i="11"/>
  <c r="AG147" i="11" s="1"/>
  <c r="Z188" i="11"/>
  <c r="F9" i="12"/>
  <c r="AD9" i="12" s="1"/>
  <c r="AN9" i="12" s="1"/>
  <c r="D9" i="15"/>
  <c r="P116" i="13"/>
  <c r="K141" i="13"/>
  <c r="N141" i="13"/>
  <c r="R141" i="13"/>
  <c r="L169" i="13"/>
  <c r="D36" i="15"/>
  <c r="D41" i="15"/>
  <c r="D39" i="15"/>
  <c r="K244" i="13"/>
  <c r="K252" i="13" s="1"/>
  <c r="M244" i="13"/>
  <c r="M252" i="13" s="1"/>
  <c r="J29" i="19"/>
  <c r="N29" i="19"/>
  <c r="R29" i="19"/>
  <c r="V29" i="19"/>
  <c r="Z29" i="19"/>
  <c r="AD29" i="19"/>
  <c r="N33" i="19"/>
  <c r="R33" i="19"/>
  <c r="V33" i="19"/>
  <c r="Z33" i="19"/>
  <c r="AD33" i="19"/>
  <c r="AH33" i="19"/>
  <c r="R37" i="19"/>
  <c r="V37" i="19"/>
  <c r="Z37" i="19"/>
  <c r="AD37" i="19"/>
  <c r="AH37" i="19"/>
  <c r="AL37" i="19"/>
  <c r="V41" i="19"/>
  <c r="Z41" i="19"/>
  <c r="AD41" i="19"/>
  <c r="AH41" i="19"/>
  <c r="AL41" i="19"/>
  <c r="AP41" i="19"/>
  <c r="Z45" i="19"/>
  <c r="AD45" i="19"/>
  <c r="AH45" i="19"/>
  <c r="AL45" i="19"/>
  <c r="AP45" i="19"/>
  <c r="AT45" i="19"/>
  <c r="AD49" i="19"/>
  <c r="AH49" i="19"/>
  <c r="AL49" i="19"/>
  <c r="AP49" i="19"/>
  <c r="AT49" i="19"/>
  <c r="AX49" i="19"/>
  <c r="AH53" i="19"/>
  <c r="AL53" i="19"/>
  <c r="AP53" i="19"/>
  <c r="AT53" i="19"/>
  <c r="AX53" i="19"/>
  <c r="BB53" i="19"/>
  <c r="AN59" i="19"/>
  <c r="AR59" i="19"/>
  <c r="AV59" i="19"/>
  <c r="AZ59" i="19"/>
  <c r="BD59" i="19"/>
  <c r="BH59" i="19"/>
  <c r="AR63" i="19"/>
  <c r="AV63" i="19"/>
  <c r="AZ63" i="19"/>
  <c r="BD63" i="19"/>
  <c r="BH63" i="19"/>
  <c r="BL63" i="19"/>
  <c r="AX69" i="19"/>
  <c r="BB69" i="19"/>
  <c r="BF69" i="19"/>
  <c r="BJ69" i="19"/>
  <c r="BN69" i="19"/>
  <c r="BA72" i="19"/>
  <c r="BE72" i="19"/>
  <c r="BI72" i="19"/>
  <c r="BM72" i="19"/>
  <c r="BF77" i="19"/>
  <c r="BJ77" i="19"/>
  <c r="BN77" i="19"/>
  <c r="BI80" i="19"/>
  <c r="BM80" i="19"/>
  <c r="BN85" i="19"/>
  <c r="AP33" i="20"/>
  <c r="Y42" i="21"/>
  <c r="G29" i="19"/>
  <c r="K29" i="19"/>
  <c r="O29" i="19"/>
  <c r="S29" i="19"/>
  <c r="W29" i="19"/>
  <c r="AA29" i="19"/>
  <c r="K30" i="19"/>
  <c r="O30" i="19"/>
  <c r="S30" i="19"/>
  <c r="W30" i="19"/>
  <c r="AA30" i="19"/>
  <c r="AE30" i="19"/>
  <c r="K33" i="19"/>
  <c r="O33" i="19"/>
  <c r="S33" i="19"/>
  <c r="W33" i="19"/>
  <c r="AA33" i="19"/>
  <c r="AE33" i="19"/>
  <c r="O34" i="19"/>
  <c r="S34" i="19"/>
  <c r="W34" i="19"/>
  <c r="AA34" i="19"/>
  <c r="AE34" i="19"/>
  <c r="AI34" i="19"/>
  <c r="O37" i="19"/>
  <c r="S37" i="19"/>
  <c r="W37" i="19"/>
  <c r="AA37" i="19"/>
  <c r="AE37" i="19"/>
  <c r="AI37" i="19"/>
  <c r="S38" i="19"/>
  <c r="W38" i="19"/>
  <c r="AA38" i="19"/>
  <c r="AE38" i="19"/>
  <c r="AI38" i="19"/>
  <c r="AM38" i="19"/>
  <c r="S41" i="19"/>
  <c r="W41" i="19"/>
  <c r="AA41" i="19"/>
  <c r="AE41" i="19"/>
  <c r="AI41" i="19"/>
  <c r="AM41" i="19"/>
  <c r="W42" i="19"/>
  <c r="AA42" i="19"/>
  <c r="AE42" i="19"/>
  <c r="AI42" i="19"/>
  <c r="AM42" i="19"/>
  <c r="AQ42" i="19"/>
  <c r="W45" i="19"/>
  <c r="AA45" i="19"/>
  <c r="AE45" i="19"/>
  <c r="AI45" i="19"/>
  <c r="AM45" i="19"/>
  <c r="AQ45" i="19"/>
  <c r="AA46" i="19"/>
  <c r="AE46" i="19"/>
  <c r="AI46" i="19"/>
  <c r="AM46" i="19"/>
  <c r="AQ46" i="19"/>
  <c r="AU46" i="19"/>
  <c r="AA49" i="19"/>
  <c r="AE49" i="19"/>
  <c r="AI49" i="19"/>
  <c r="AM49" i="19"/>
  <c r="AQ49" i="19"/>
  <c r="AU49" i="19"/>
  <c r="AE50" i="19"/>
  <c r="AI50" i="19"/>
  <c r="AM50" i="19"/>
  <c r="AQ50" i="19"/>
  <c r="AU50" i="19"/>
  <c r="AY50" i="19"/>
  <c r="AE53" i="19"/>
  <c r="AI53" i="19"/>
  <c r="AM53" i="19"/>
  <c r="AQ53" i="19"/>
  <c r="AU53" i="19"/>
  <c r="AY53" i="19"/>
  <c r="AI54" i="19"/>
  <c r="AM54" i="19"/>
  <c r="AQ54" i="19"/>
  <c r="AU54" i="19"/>
  <c r="AY54" i="19"/>
  <c r="BC54" i="19"/>
  <c r="D57" i="19"/>
  <c r="D152" i="19" s="1"/>
  <c r="AK59" i="19"/>
  <c r="AO59" i="19"/>
  <c r="AS59" i="19"/>
  <c r="AW59" i="19"/>
  <c r="BA59" i="19"/>
  <c r="BE59" i="19"/>
  <c r="AO60" i="19"/>
  <c r="AS60" i="19"/>
  <c r="AW60" i="19"/>
  <c r="BA60" i="19"/>
  <c r="BE60" i="19"/>
  <c r="BI60" i="19"/>
  <c r="AO63" i="19"/>
  <c r="AS63" i="19"/>
  <c r="AW63" i="19"/>
  <c r="BA63" i="19"/>
  <c r="BE63" i="19"/>
  <c r="BI63" i="19"/>
  <c r="AS64" i="19"/>
  <c r="AW64" i="19"/>
  <c r="BA64" i="19"/>
  <c r="BE64" i="19"/>
  <c r="BI64" i="19"/>
  <c r="BM64" i="19"/>
  <c r="AU69" i="19"/>
  <c r="AY69" i="19"/>
  <c r="BC69" i="19"/>
  <c r="BG69" i="19"/>
  <c r="BK69" i="19"/>
  <c r="AY70" i="19"/>
  <c r="BC70" i="19"/>
  <c r="BG70" i="19"/>
  <c r="BK70" i="19"/>
  <c r="AZ71" i="19"/>
  <c r="BD71" i="19"/>
  <c r="BH71" i="19"/>
  <c r="BL71" i="19"/>
  <c r="AX72" i="19"/>
  <c r="BB72" i="19"/>
  <c r="BF72" i="19"/>
  <c r="BJ72" i="19"/>
  <c r="BN72" i="19"/>
  <c r="BC77" i="19"/>
  <c r="BG77" i="19"/>
  <c r="BK77" i="19"/>
  <c r="BG78" i="19"/>
  <c r="BK78" i="19"/>
  <c r="BH79" i="19"/>
  <c r="BL79" i="19"/>
  <c r="BF80" i="19"/>
  <c r="BJ80" i="19"/>
  <c r="BN80" i="19"/>
  <c r="BK85" i="19"/>
  <c r="AQ33" i="20"/>
  <c r="Y33" i="20"/>
  <c r="AD33" i="20"/>
  <c r="AH33" i="20"/>
  <c r="AL33" i="20"/>
  <c r="H27" i="19"/>
  <c r="L27" i="19"/>
  <c r="P27" i="19"/>
  <c r="T27" i="19"/>
  <c r="X27" i="19"/>
  <c r="AB27" i="19"/>
  <c r="H29" i="19"/>
  <c r="L29" i="19"/>
  <c r="P29" i="19"/>
  <c r="T29" i="19"/>
  <c r="X29" i="19"/>
  <c r="AB29" i="19"/>
  <c r="H30" i="19"/>
  <c r="L30" i="19"/>
  <c r="P30" i="19"/>
  <c r="T30" i="19"/>
  <c r="X30" i="19"/>
  <c r="AB30" i="19"/>
  <c r="L31" i="19"/>
  <c r="P31" i="19"/>
  <c r="T31" i="19"/>
  <c r="X31" i="19"/>
  <c r="AB31" i="19"/>
  <c r="AF31" i="19"/>
  <c r="L33" i="19"/>
  <c r="P33" i="19"/>
  <c r="T33" i="19"/>
  <c r="X33" i="19"/>
  <c r="AB33" i="19"/>
  <c r="AF33" i="19"/>
  <c r="L34" i="19"/>
  <c r="P34" i="19"/>
  <c r="T34" i="19"/>
  <c r="X34" i="19"/>
  <c r="AB34" i="19"/>
  <c r="AF34" i="19"/>
  <c r="P35" i="19"/>
  <c r="T35" i="19"/>
  <c r="X35" i="19"/>
  <c r="AB35" i="19"/>
  <c r="AF35" i="19"/>
  <c r="AJ35" i="19"/>
  <c r="P37" i="19"/>
  <c r="T37" i="19"/>
  <c r="X37" i="19"/>
  <c r="AB37" i="19"/>
  <c r="AF37" i="19"/>
  <c r="AJ37" i="19"/>
  <c r="P38" i="19"/>
  <c r="T38" i="19"/>
  <c r="X38" i="19"/>
  <c r="AB38" i="19"/>
  <c r="AF38" i="19"/>
  <c r="AJ38" i="19"/>
  <c r="T39" i="19"/>
  <c r="X39" i="19"/>
  <c r="AB39" i="19"/>
  <c r="AF39" i="19"/>
  <c r="AJ39" i="19"/>
  <c r="AN39" i="19"/>
  <c r="T41" i="19"/>
  <c r="X41" i="19"/>
  <c r="AB41" i="19"/>
  <c r="AF41" i="19"/>
  <c r="AJ41" i="19"/>
  <c r="AN41" i="19"/>
  <c r="T42" i="19"/>
  <c r="X42" i="19"/>
  <c r="AB42" i="19"/>
  <c r="AF42" i="19"/>
  <c r="AJ42" i="19"/>
  <c r="AN42" i="19"/>
  <c r="X43" i="19"/>
  <c r="AB43" i="19"/>
  <c r="AF43" i="19"/>
  <c r="AJ43" i="19"/>
  <c r="AN43" i="19"/>
  <c r="AR43" i="19"/>
  <c r="X45" i="19"/>
  <c r="AB45" i="19"/>
  <c r="AF45" i="19"/>
  <c r="AJ45" i="19"/>
  <c r="AN45" i="19"/>
  <c r="AR45" i="19"/>
  <c r="X46" i="19"/>
  <c r="AB46" i="19"/>
  <c r="AF46" i="19"/>
  <c r="AJ46" i="19"/>
  <c r="AN46" i="19"/>
  <c r="AR46" i="19"/>
  <c r="AB47" i="19"/>
  <c r="AF47" i="19"/>
  <c r="AJ47" i="19"/>
  <c r="AN47" i="19"/>
  <c r="AR47" i="19"/>
  <c r="AV47" i="19"/>
  <c r="AB49" i="19"/>
  <c r="AF49" i="19"/>
  <c r="AJ49" i="19"/>
  <c r="AN49" i="19"/>
  <c r="AR49" i="19"/>
  <c r="AV49" i="19"/>
  <c r="AB50" i="19"/>
  <c r="AF50" i="19"/>
  <c r="AJ50" i="19"/>
  <c r="AN50" i="19"/>
  <c r="AR50" i="19"/>
  <c r="AV50" i="19"/>
  <c r="AF51" i="19"/>
  <c r="AJ51" i="19"/>
  <c r="AN51" i="19"/>
  <c r="AR51" i="19"/>
  <c r="AV51" i="19"/>
  <c r="AZ51" i="19"/>
  <c r="AF53" i="19"/>
  <c r="AJ53" i="19"/>
  <c r="AN53" i="19"/>
  <c r="AR53" i="19"/>
  <c r="AV53" i="19"/>
  <c r="AZ53" i="19"/>
  <c r="AF54" i="19"/>
  <c r="AJ54" i="19"/>
  <c r="AN54" i="19"/>
  <c r="AR54" i="19"/>
  <c r="AV54" i="19"/>
  <c r="AZ54" i="19"/>
  <c r="AJ55" i="19"/>
  <c r="AN55" i="19"/>
  <c r="AR55" i="19"/>
  <c r="AV55" i="19"/>
  <c r="AZ55" i="19"/>
  <c r="BD55" i="19"/>
  <c r="AL58" i="19"/>
  <c r="AP58" i="19"/>
  <c r="AT58" i="19"/>
  <c r="AX58" i="19"/>
  <c r="BB58" i="19"/>
  <c r="BF58" i="19"/>
  <c r="AL59" i="19"/>
  <c r="AP59" i="19"/>
  <c r="AT59" i="19"/>
  <c r="AX59" i="19"/>
  <c r="BB59" i="19"/>
  <c r="BF59" i="19"/>
  <c r="AL60" i="19"/>
  <c r="AP60" i="19"/>
  <c r="AT60" i="19"/>
  <c r="AX60" i="19"/>
  <c r="BB60" i="19"/>
  <c r="BF60" i="19"/>
  <c r="AP61" i="19"/>
  <c r="AT61" i="19"/>
  <c r="AX61" i="19"/>
  <c r="BB61" i="19"/>
  <c r="BF61" i="19"/>
  <c r="AP62" i="19"/>
  <c r="AT62" i="19"/>
  <c r="AX62" i="19"/>
  <c r="BB62" i="19"/>
  <c r="BF62" i="19"/>
  <c r="BJ62" i="19"/>
  <c r="AP63" i="19"/>
  <c r="AT63" i="19"/>
  <c r="AX63" i="19"/>
  <c r="BB63" i="19"/>
  <c r="BF63" i="19"/>
  <c r="BJ63" i="19"/>
  <c r="AP64" i="19"/>
  <c r="AT64" i="19"/>
  <c r="AX64" i="19"/>
  <c r="BB64" i="19"/>
  <c r="BF64" i="19"/>
  <c r="BJ64" i="19"/>
  <c r="AT65" i="19"/>
  <c r="AX65" i="19"/>
  <c r="BB65" i="19"/>
  <c r="BF65" i="19"/>
  <c r="BJ65" i="19"/>
  <c r="BN65" i="19"/>
  <c r="AT66" i="19"/>
  <c r="AX66" i="19"/>
  <c r="BB66" i="19"/>
  <c r="BF66" i="19"/>
  <c r="BJ66" i="19"/>
  <c r="BN66" i="19"/>
  <c r="AY67" i="19"/>
  <c r="BC67" i="19"/>
  <c r="BG67" i="19"/>
  <c r="BK67" i="19"/>
  <c r="AW68" i="19"/>
  <c r="BA68" i="19"/>
  <c r="BE68" i="19"/>
  <c r="BI68" i="19"/>
  <c r="BM68" i="19"/>
  <c r="AV69" i="19"/>
  <c r="AZ69" i="19"/>
  <c r="BD69" i="19"/>
  <c r="BH69" i="19"/>
  <c r="BL69" i="19"/>
  <c r="AV70" i="19"/>
  <c r="AZ70" i="19"/>
  <c r="BD70" i="19"/>
  <c r="BH70" i="19"/>
  <c r="BL70" i="19"/>
  <c r="AW71" i="19"/>
  <c r="BA71" i="19"/>
  <c r="BE71" i="19"/>
  <c r="BI71" i="19"/>
  <c r="BM71" i="19"/>
  <c r="AY72" i="19"/>
  <c r="BC72" i="19"/>
  <c r="BG72" i="19"/>
  <c r="BK72" i="19"/>
  <c r="BB73" i="19"/>
  <c r="BF73" i="19"/>
  <c r="BJ73" i="19"/>
  <c r="BN73" i="19"/>
  <c r="BB74" i="19"/>
  <c r="BF74" i="19"/>
  <c r="BJ74" i="19"/>
  <c r="BN74" i="19"/>
  <c r="BC75" i="19"/>
  <c r="BG75" i="19"/>
  <c r="BK75" i="19"/>
  <c r="BE76" i="19"/>
  <c r="BI76" i="19"/>
  <c r="BM76" i="19"/>
  <c r="BD77" i="19"/>
  <c r="BH77" i="19"/>
  <c r="BL77" i="19"/>
  <c r="BD78" i="19"/>
  <c r="BH78" i="19"/>
  <c r="BL78" i="19"/>
  <c r="BE79" i="19"/>
  <c r="BI79" i="19"/>
  <c r="BM79" i="19"/>
  <c r="BG80" i="19"/>
  <c r="BK80" i="19"/>
  <c r="BJ81" i="19"/>
  <c r="BN81" i="19"/>
  <c r="BJ82" i="19"/>
  <c r="BN82" i="19"/>
  <c r="BK83" i="19"/>
  <c r="BM84" i="19"/>
  <c r="BL85" i="19"/>
  <c r="BL86" i="19"/>
  <c r="BM87" i="19"/>
  <c r="Z33" i="20"/>
  <c r="AE33" i="20"/>
  <c r="AI33" i="20"/>
  <c r="AM33" i="20"/>
  <c r="AD11" i="21"/>
  <c r="AD42" i="21" s="1"/>
  <c r="AJ42" i="21"/>
  <c r="E27" i="19"/>
  <c r="E152" i="19" s="1"/>
  <c r="I27" i="19"/>
  <c r="M27" i="19"/>
  <c r="Q27" i="19"/>
  <c r="U27" i="19"/>
  <c r="Y27" i="19"/>
  <c r="I28" i="19"/>
  <c r="M28" i="19"/>
  <c r="Q28" i="19"/>
  <c r="U28" i="19"/>
  <c r="Y28" i="19"/>
  <c r="I29" i="19"/>
  <c r="M29" i="19"/>
  <c r="Q29" i="19"/>
  <c r="U29" i="19"/>
  <c r="Y29" i="19"/>
  <c r="I30" i="19"/>
  <c r="M30" i="19"/>
  <c r="Q30" i="19"/>
  <c r="U30" i="19"/>
  <c r="Y30" i="19"/>
  <c r="I31" i="19"/>
  <c r="M31" i="19"/>
  <c r="Q31" i="19"/>
  <c r="U31" i="19"/>
  <c r="Y31" i="19"/>
  <c r="M32" i="19"/>
  <c r="Q32" i="19"/>
  <c r="U32" i="19"/>
  <c r="Y32" i="19"/>
  <c r="AC32" i="19"/>
  <c r="M33" i="19"/>
  <c r="Q33" i="19"/>
  <c r="U33" i="19"/>
  <c r="Y33" i="19"/>
  <c r="AC33" i="19"/>
  <c r="M34" i="19"/>
  <c r="Q34" i="19"/>
  <c r="U34" i="19"/>
  <c r="Y34" i="19"/>
  <c r="AC34" i="19"/>
  <c r="M35" i="19"/>
  <c r="Q35" i="19"/>
  <c r="U35" i="19"/>
  <c r="Y35" i="19"/>
  <c r="AC35" i="19"/>
  <c r="Q36" i="19"/>
  <c r="U36" i="19"/>
  <c r="Y36" i="19"/>
  <c r="AC36" i="19"/>
  <c r="AG36" i="19"/>
  <c r="Q37" i="19"/>
  <c r="U37" i="19"/>
  <c r="Y37" i="19"/>
  <c r="AC37" i="19"/>
  <c r="AG37" i="19"/>
  <c r="Q38" i="19"/>
  <c r="U38" i="19"/>
  <c r="Y38" i="19"/>
  <c r="AC38" i="19"/>
  <c r="AG38" i="19"/>
  <c r="Q39" i="19"/>
  <c r="U39" i="19"/>
  <c r="Y39" i="19"/>
  <c r="AC39" i="19"/>
  <c r="AG39" i="19"/>
  <c r="U40" i="19"/>
  <c r="Y40" i="19"/>
  <c r="AC40" i="19"/>
  <c r="AG40" i="19"/>
  <c r="AK40" i="19"/>
  <c r="U41" i="19"/>
  <c r="Y41" i="19"/>
  <c r="AC41" i="19"/>
  <c r="AG41" i="19"/>
  <c r="AK41" i="19"/>
  <c r="U42" i="19"/>
  <c r="Y42" i="19"/>
  <c r="AC42" i="19"/>
  <c r="AG42" i="19"/>
  <c r="AK42" i="19"/>
  <c r="U43" i="19"/>
  <c r="Y43" i="19"/>
  <c r="AC43" i="19"/>
  <c r="AG43" i="19"/>
  <c r="AK43" i="19"/>
  <c r="Y44" i="19"/>
  <c r="AC44" i="19"/>
  <c r="AG44" i="19"/>
  <c r="AK44" i="19"/>
  <c r="AO44" i="19"/>
  <c r="Y45" i="19"/>
  <c r="AC45" i="19"/>
  <c r="AG45" i="19"/>
  <c r="AK45" i="19"/>
  <c r="AO45" i="19"/>
  <c r="Y46" i="19"/>
  <c r="AC46" i="19"/>
  <c r="AG46" i="19"/>
  <c r="AK46" i="19"/>
  <c r="AO46" i="19"/>
  <c r="Y47" i="19"/>
  <c r="AC47" i="19"/>
  <c r="AG47" i="19"/>
  <c r="AK47" i="19"/>
  <c r="AO47" i="19"/>
  <c r="AC48" i="19"/>
  <c r="AG48" i="19"/>
  <c r="AK48" i="19"/>
  <c r="AO48" i="19"/>
  <c r="AS48" i="19"/>
  <c r="AC49" i="19"/>
  <c r="AG49" i="19"/>
  <c r="AK49" i="19"/>
  <c r="AO49" i="19"/>
  <c r="AS49" i="19"/>
  <c r="AC50" i="19"/>
  <c r="AG50" i="19"/>
  <c r="AK50" i="19"/>
  <c r="AO50" i="19"/>
  <c r="AS50" i="19"/>
  <c r="AC51" i="19"/>
  <c r="AG51" i="19"/>
  <c r="AK51" i="19"/>
  <c r="AO51" i="19"/>
  <c r="AS51" i="19"/>
  <c r="AG52" i="19"/>
  <c r="AK52" i="19"/>
  <c r="AO52" i="19"/>
  <c r="AS52" i="19"/>
  <c r="AW52" i="19"/>
  <c r="AG53" i="19"/>
  <c r="AK53" i="19"/>
  <c r="AO53" i="19"/>
  <c r="AS53" i="19"/>
  <c r="AW53" i="19"/>
  <c r="AG54" i="19"/>
  <c r="AK54" i="19"/>
  <c r="AO54" i="19"/>
  <c r="AS54" i="19"/>
  <c r="AW54" i="19"/>
  <c r="AG55" i="19"/>
  <c r="AK55" i="19"/>
  <c r="AO55" i="19"/>
  <c r="AS55" i="19"/>
  <c r="AW55" i="19"/>
  <c r="AK56" i="19"/>
  <c r="AO56" i="19"/>
  <c r="AS56" i="19"/>
  <c r="AW56" i="19"/>
  <c r="BA56" i="19"/>
  <c r="AM58" i="19"/>
  <c r="AQ58" i="19"/>
  <c r="AU58" i="19"/>
  <c r="AY58" i="19"/>
  <c r="BC58" i="19"/>
  <c r="AM59" i="19"/>
  <c r="AQ59" i="19"/>
  <c r="AU59" i="19"/>
  <c r="AY59" i="19"/>
  <c r="BC59" i="19"/>
  <c r="AM60" i="19"/>
  <c r="AQ60" i="19"/>
  <c r="AU60" i="19"/>
  <c r="AY60" i="19"/>
  <c r="BC60" i="19"/>
  <c r="AQ62" i="19"/>
  <c r="AU62" i="19"/>
  <c r="AY62" i="19"/>
  <c r="BC62" i="19"/>
  <c r="BG62" i="19"/>
  <c r="AQ63" i="19"/>
  <c r="AU63" i="19"/>
  <c r="AY63" i="19"/>
  <c r="BC63" i="19"/>
  <c r="BG63" i="19"/>
  <c r="AQ64" i="19"/>
  <c r="AU64" i="19"/>
  <c r="AY64" i="19"/>
  <c r="BC64" i="19"/>
  <c r="BG64" i="19"/>
  <c r="AQ65" i="19"/>
  <c r="AU65" i="19"/>
  <c r="AY65" i="19"/>
  <c r="BC65" i="19"/>
  <c r="BG65" i="19"/>
  <c r="AU66" i="19"/>
  <c r="AY66" i="19"/>
  <c r="BC66" i="19"/>
  <c r="BG66" i="19"/>
  <c r="AV67" i="19"/>
  <c r="AZ67" i="19"/>
  <c r="BD67" i="19"/>
  <c r="BH67" i="19"/>
  <c r="AT68" i="19"/>
  <c r="AX68" i="19"/>
  <c r="BB68" i="19"/>
  <c r="BF68" i="19"/>
  <c r="BJ68" i="19"/>
  <c r="AW69" i="19"/>
  <c r="BA69" i="19"/>
  <c r="BE69" i="19"/>
  <c r="BI69" i="19"/>
  <c r="AW70" i="19"/>
  <c r="BA70" i="19"/>
  <c r="BE70" i="19"/>
  <c r="BI70" i="19"/>
  <c r="AX71" i="19"/>
  <c r="BB71" i="19"/>
  <c r="BF71" i="19"/>
  <c r="BJ71" i="19"/>
  <c r="AZ72" i="19"/>
  <c r="BD72" i="19"/>
  <c r="BH72" i="19"/>
  <c r="AY73" i="19"/>
  <c r="BC73" i="19"/>
  <c r="BG73" i="19"/>
  <c r="BC74" i="19"/>
  <c r="BG74" i="19"/>
  <c r="BD75" i="19"/>
  <c r="BH75" i="19"/>
  <c r="BB76" i="19"/>
  <c r="BF76" i="19"/>
  <c r="BJ76" i="19"/>
  <c r="BE77" i="19"/>
  <c r="BI77" i="19"/>
  <c r="BE78" i="19"/>
  <c r="BI78" i="19"/>
  <c r="BF79" i="19"/>
  <c r="BJ79" i="19"/>
  <c r="BH80" i="19"/>
  <c r="BJ84" i="19"/>
  <c r="AA33" i="20"/>
  <c r="AF33" i="20"/>
  <c r="AJ33" i="20"/>
  <c r="AN33" i="20"/>
  <c r="I58" i="25"/>
  <c r="G31" i="26"/>
  <c r="E31" i="26"/>
  <c r="G27" i="26"/>
  <c r="E27" i="26"/>
  <c r="G25" i="26"/>
  <c r="E25" i="26"/>
  <c r="B33" i="26"/>
  <c r="D32" i="26"/>
  <c r="E26" i="26"/>
  <c r="E30" i="26"/>
  <c r="C58" i="26"/>
  <c r="D58" i="26" s="1"/>
  <c r="AZ176" i="9" l="1"/>
  <c r="Z43" i="12"/>
  <c r="Z68" i="12" s="1"/>
  <c r="AB43" i="12"/>
  <c r="AB68" i="12" s="1"/>
  <c r="AA190" i="11"/>
  <c r="BA176" i="9"/>
  <c r="O170" i="11"/>
  <c r="O190" i="11" s="1"/>
  <c r="AY176" i="9"/>
  <c r="P186" i="13"/>
  <c r="P187" i="13" s="1"/>
  <c r="AG176" i="9"/>
  <c r="R144" i="13"/>
  <c r="G140" i="10"/>
  <c r="Z176" i="9"/>
  <c r="Z177" i="9" s="1"/>
  <c r="AU176" i="9"/>
  <c r="AU177" i="9" s="1"/>
  <c r="AP140" i="10"/>
  <c r="AY140" i="10"/>
  <c r="F103" i="16"/>
  <c r="AG135" i="11"/>
  <c r="O140" i="10"/>
  <c r="AD65" i="11"/>
  <c r="AG65" i="11" s="1"/>
  <c r="AG64" i="11"/>
  <c r="AO140" i="10"/>
  <c r="AK177" i="9" s="1"/>
  <c r="AX176" i="9"/>
  <c r="L43" i="12"/>
  <c r="AX140" i="10"/>
  <c r="J140" i="10"/>
  <c r="AE140" i="10"/>
  <c r="CJ152" i="19"/>
  <c r="BO56" i="10"/>
  <c r="U182" i="13"/>
  <c r="BG50" i="10"/>
  <c r="U176" i="13" s="1"/>
  <c r="X215" i="13"/>
  <c r="AE215" i="13"/>
  <c r="X240" i="13"/>
  <c r="AE240" i="13"/>
  <c r="X181" i="13"/>
  <c r="AE181" i="13"/>
  <c r="X237" i="13"/>
  <c r="AE237" i="13"/>
  <c r="X236" i="13"/>
  <c r="AE236" i="13"/>
  <c r="X139" i="13"/>
  <c r="AE139" i="13"/>
  <c r="X247" i="13"/>
  <c r="AE247" i="13"/>
  <c r="AC140" i="10"/>
  <c r="N176" i="9"/>
  <c r="AD145" i="11"/>
  <c r="AG145" i="11" s="1"/>
  <c r="AB176" i="9"/>
  <c r="O176" i="9"/>
  <c r="X155" i="13"/>
  <c r="AE155" i="13"/>
  <c r="X234" i="13"/>
  <c r="AE234" i="13"/>
  <c r="X151" i="13"/>
  <c r="AE151" i="13"/>
  <c r="K140" i="10"/>
  <c r="X84" i="13"/>
  <c r="AE84" i="13"/>
  <c r="AN140" i="10"/>
  <c r="X241" i="13"/>
  <c r="AE241" i="13"/>
  <c r="X243" i="13"/>
  <c r="AE243" i="13"/>
  <c r="P237" i="13"/>
  <c r="AI12" i="12"/>
  <c r="X159" i="13"/>
  <c r="AE159" i="13"/>
  <c r="AM140" i="10"/>
  <c r="X192" i="13"/>
  <c r="AE192" i="13"/>
  <c r="O215" i="13"/>
  <c r="AB140" i="10"/>
  <c r="X177" i="9" s="1"/>
  <c r="X214" i="13"/>
  <c r="AE214" i="13"/>
  <c r="X150" i="13"/>
  <c r="AE150" i="13"/>
  <c r="X165" i="13"/>
  <c r="AE165" i="13"/>
  <c r="X129" i="13"/>
  <c r="AE129" i="13"/>
  <c r="Z138" i="10"/>
  <c r="M140" i="10"/>
  <c r="AI140" i="10"/>
  <c r="P181" i="13"/>
  <c r="X153" i="13"/>
  <c r="AE153" i="13"/>
  <c r="AK176" i="9"/>
  <c r="X209" i="13"/>
  <c r="AE209" i="13"/>
  <c r="AI9" i="12"/>
  <c r="P165" i="13"/>
  <c r="X123" i="13"/>
  <c r="AE123" i="13"/>
  <c r="AI176" i="9"/>
  <c r="AA176" i="9"/>
  <c r="U176" i="9"/>
  <c r="X183" i="13"/>
  <c r="AE183" i="13"/>
  <c r="X162" i="13"/>
  <c r="AE162" i="13"/>
  <c r="H25" i="24"/>
  <c r="X220" i="13"/>
  <c r="AE220" i="13"/>
  <c r="Q144" i="13"/>
  <c r="X160" i="13"/>
  <c r="AE160" i="13"/>
  <c r="P240" i="13"/>
  <c r="AD140" i="10"/>
  <c r="F84" i="16"/>
  <c r="X128" i="13"/>
  <c r="AE128" i="13"/>
  <c r="X219" i="13"/>
  <c r="AE219" i="13"/>
  <c r="X246" i="13"/>
  <c r="AE246" i="13"/>
  <c r="X225" i="13"/>
  <c r="AE225" i="13"/>
  <c r="D23" i="22"/>
  <c r="D25" i="22" s="1"/>
  <c r="AQ176" i="9"/>
  <c r="X112" i="13"/>
  <c r="AE112" i="13"/>
  <c r="AI62" i="12"/>
  <c r="AG152" i="19"/>
  <c r="BK152" i="19"/>
  <c r="BJ152" i="19"/>
  <c r="CI152" i="19"/>
  <c r="BG152" i="19"/>
  <c r="BS152" i="19"/>
  <c r="BU152" i="19"/>
  <c r="Y152" i="19"/>
  <c r="AF152" i="19"/>
  <c r="BL152" i="19"/>
  <c r="AD152" i="19"/>
  <c r="BP152" i="19"/>
  <c r="N152" i="19"/>
  <c r="CA152" i="19"/>
  <c r="CH152" i="19"/>
  <c r="BV152" i="19"/>
  <c r="CD152" i="19"/>
  <c r="BT152" i="19"/>
  <c r="CE152" i="19"/>
  <c r="U152" i="19"/>
  <c r="BW152" i="19"/>
  <c r="AB152" i="19"/>
  <c r="Q152" i="19"/>
  <c r="BM152" i="19"/>
  <c r="AH152" i="19"/>
  <c r="BQ152" i="19"/>
  <c r="AA152" i="19"/>
  <c r="Z152" i="19"/>
  <c r="L152" i="19"/>
  <c r="CG152" i="19"/>
  <c r="G152" i="19"/>
  <c r="S152" i="19"/>
  <c r="M152" i="19"/>
  <c r="AE152" i="19"/>
  <c r="V152" i="19"/>
  <c r="T152" i="19"/>
  <c r="BZ152" i="19"/>
  <c r="X152" i="19"/>
  <c r="AC152" i="19"/>
  <c r="I152" i="19"/>
  <c r="P152" i="19"/>
  <c r="O152" i="19"/>
  <c r="W152" i="19"/>
  <c r="CC152" i="19"/>
  <c r="BN152" i="19"/>
  <c r="BO152" i="19"/>
  <c r="BR152" i="19"/>
  <c r="K152" i="19"/>
  <c r="J152" i="19"/>
  <c r="CB152" i="19"/>
  <c r="H152" i="19"/>
  <c r="CF152" i="19"/>
  <c r="BX152" i="19"/>
  <c r="BI152" i="19"/>
  <c r="BH152" i="19"/>
  <c r="BY152" i="19"/>
  <c r="R152" i="19"/>
  <c r="AD63" i="12"/>
  <c r="AN63" i="12" s="1"/>
  <c r="X93" i="13"/>
  <c r="AE93" i="13"/>
  <c r="AI45" i="12"/>
  <c r="X239" i="13"/>
  <c r="AE239" i="13"/>
  <c r="X232" i="13"/>
  <c r="AE232" i="13"/>
  <c r="X89" i="13"/>
  <c r="AE89" i="13"/>
  <c r="X230" i="13"/>
  <c r="AE230" i="13"/>
  <c r="X201" i="13"/>
  <c r="AE201" i="13"/>
  <c r="X110" i="13"/>
  <c r="AE110" i="13"/>
  <c r="X210" i="13"/>
  <c r="AE210" i="13"/>
  <c r="X202" i="13"/>
  <c r="AE202" i="13"/>
  <c r="X212" i="13"/>
  <c r="AE212" i="13"/>
  <c r="X200" i="13"/>
  <c r="AE200" i="13"/>
  <c r="AI49" i="12"/>
  <c r="X198" i="13"/>
  <c r="AE198" i="13"/>
  <c r="X41" i="13"/>
  <c r="AE41" i="13"/>
  <c r="X71" i="13"/>
  <c r="AE71" i="13"/>
  <c r="X238" i="13"/>
  <c r="AE238" i="13"/>
  <c r="F7" i="16"/>
  <c r="F9" i="17"/>
  <c r="AI32" i="12"/>
  <c r="F52" i="16"/>
  <c r="P179" i="13"/>
  <c r="M144" i="13"/>
  <c r="P150" i="13"/>
  <c r="O214" i="13"/>
  <c r="O99" i="13"/>
  <c r="X99" i="13"/>
  <c r="P224" i="13"/>
  <c r="X224" i="13"/>
  <c r="P173" i="13"/>
  <c r="X173" i="13"/>
  <c r="O205" i="13"/>
  <c r="X205" i="13"/>
  <c r="P175" i="13"/>
  <c r="X175" i="13"/>
  <c r="O207" i="13"/>
  <c r="X207" i="13"/>
  <c r="P163" i="13"/>
  <c r="X163" i="13"/>
  <c r="P152" i="13"/>
  <c r="X152" i="13"/>
  <c r="P166" i="13"/>
  <c r="X166" i="13"/>
  <c r="P156" i="13"/>
  <c r="X156" i="13"/>
  <c r="P161" i="13"/>
  <c r="X161" i="13"/>
  <c r="O211" i="13"/>
  <c r="X211" i="13"/>
  <c r="O208" i="13"/>
  <c r="X208" i="13"/>
  <c r="O206" i="13"/>
  <c r="X206" i="13"/>
  <c r="U187" i="13"/>
  <c r="X186" i="13"/>
  <c r="P226" i="13"/>
  <c r="X226" i="13"/>
  <c r="P164" i="13"/>
  <c r="X164" i="13"/>
  <c r="U250" i="13"/>
  <c r="X249" i="13"/>
  <c r="AD87" i="11"/>
  <c r="AG87" i="11" s="1"/>
  <c r="BG58" i="10"/>
  <c r="U98" i="11"/>
  <c r="U117" i="11" s="1"/>
  <c r="N254" i="13"/>
  <c r="F92" i="16"/>
  <c r="O89" i="13"/>
  <c r="O110" i="13"/>
  <c r="H176" i="9"/>
  <c r="AV176" i="9"/>
  <c r="AC176" i="9"/>
  <c r="M176" i="9"/>
  <c r="S140" i="10"/>
  <c r="R140" i="10"/>
  <c r="U87" i="13"/>
  <c r="P232" i="13"/>
  <c r="U15" i="21"/>
  <c r="W15" i="21" s="1"/>
  <c r="AB15" i="21" s="1"/>
  <c r="O201" i="13"/>
  <c r="O198" i="13"/>
  <c r="O210" i="13"/>
  <c r="P239" i="13"/>
  <c r="O202" i="13"/>
  <c r="U10" i="21"/>
  <c r="W10" i="21" s="1"/>
  <c r="AB10" i="21" s="1"/>
  <c r="O200" i="13"/>
  <c r="O212" i="13"/>
  <c r="O93" i="13"/>
  <c r="P238" i="13"/>
  <c r="H16" i="24"/>
  <c r="H20" i="24" s="1"/>
  <c r="H23" i="24" s="1"/>
  <c r="H32" i="24"/>
  <c r="H234" i="24" s="1"/>
  <c r="P230" i="13"/>
  <c r="P249" i="13"/>
  <c r="P250" i="13" s="1"/>
  <c r="S254" i="13"/>
  <c r="P68" i="12"/>
  <c r="Y140" i="10"/>
  <c r="U140" i="10"/>
  <c r="AS140" i="10"/>
  <c r="I140" i="10"/>
  <c r="F32" i="15"/>
  <c r="AA140" i="10"/>
  <c r="F40" i="15"/>
  <c r="AU140" i="10"/>
  <c r="U233" i="13"/>
  <c r="AE233" i="13" s="1"/>
  <c r="P153" i="13"/>
  <c r="U213" i="13"/>
  <c r="U242" i="13"/>
  <c r="U204" i="13"/>
  <c r="U171" i="13"/>
  <c r="U231" i="13"/>
  <c r="U172" i="13"/>
  <c r="BG111" i="10"/>
  <c r="F38" i="15" s="1"/>
  <c r="M43" i="12"/>
  <c r="M68" i="12" s="1"/>
  <c r="F46" i="16"/>
  <c r="T170" i="11"/>
  <c r="F113" i="16"/>
  <c r="F66" i="16"/>
  <c r="Y68" i="12"/>
  <c r="AA43" i="12"/>
  <c r="AA68" i="12" s="1"/>
  <c r="Q170" i="11"/>
  <c r="T68" i="12"/>
  <c r="F67" i="16"/>
  <c r="J43" i="12"/>
  <c r="J68" i="12" s="1"/>
  <c r="F42" i="16"/>
  <c r="F116" i="16"/>
  <c r="Z42" i="21"/>
  <c r="F40" i="16"/>
  <c r="F96" i="16"/>
  <c r="F98" i="16" s="1"/>
  <c r="F58" i="16"/>
  <c r="F25" i="16"/>
  <c r="F54" i="16"/>
  <c r="F57" i="16"/>
  <c r="F17" i="16"/>
  <c r="F53" i="16"/>
  <c r="F37" i="16"/>
  <c r="F63" i="16"/>
  <c r="F16" i="16"/>
  <c r="F45" i="16"/>
  <c r="F51" i="16"/>
  <c r="F8" i="16"/>
  <c r="F14" i="16"/>
  <c r="F56" i="16"/>
  <c r="F9" i="16"/>
  <c r="F21" i="16"/>
  <c r="F50" i="16"/>
  <c r="F65" i="16"/>
  <c r="F24" i="16"/>
  <c r="F23" i="16"/>
  <c r="AT140" i="10"/>
  <c r="I30" i="24"/>
  <c r="AZ140" i="10"/>
  <c r="AW140" i="10"/>
  <c r="Y170" i="11"/>
  <c r="Y190" i="11" s="1"/>
  <c r="Y191" i="11" s="1"/>
  <c r="I176" i="9"/>
  <c r="BE176" i="9"/>
  <c r="BE177" i="9" s="1"/>
  <c r="AS176" i="9"/>
  <c r="Y176" i="9"/>
  <c r="Y177" i="9" s="1"/>
  <c r="AW176" i="9"/>
  <c r="U41" i="12"/>
  <c r="U43" i="12" s="1"/>
  <c r="U68" i="12" s="1"/>
  <c r="L254" i="13"/>
  <c r="AF140" i="10"/>
  <c r="AM176" i="9"/>
  <c r="BA140" i="10"/>
  <c r="AK140" i="10"/>
  <c r="AG177" i="9" s="1"/>
  <c r="AQ140" i="10"/>
  <c r="D35" i="15"/>
  <c r="Q254" i="13"/>
  <c r="R254" i="13"/>
  <c r="S144" i="13"/>
  <c r="M254" i="13"/>
  <c r="D42" i="15"/>
  <c r="V44" i="21"/>
  <c r="V35" i="20"/>
  <c r="D23" i="15"/>
  <c r="D25" i="15" s="1"/>
  <c r="D29" i="15" s="1"/>
  <c r="K176" i="9"/>
  <c r="AJ176" i="9"/>
  <c r="BB176" i="9"/>
  <c r="AL176" i="9"/>
  <c r="AR176" i="9"/>
  <c r="BC176" i="9"/>
  <c r="BC177" i="9" s="1"/>
  <c r="W176" i="9"/>
  <c r="AD176" i="9"/>
  <c r="J176" i="9"/>
  <c r="AO176" i="9"/>
  <c r="P176" i="9"/>
  <c r="X170" i="11"/>
  <c r="X183" i="11" s="1"/>
  <c r="T128" i="10"/>
  <c r="T138" i="10" s="1"/>
  <c r="T140" i="10" s="1"/>
  <c r="F49" i="16"/>
  <c r="K170" i="11"/>
  <c r="K182" i="11" s="1"/>
  <c r="P170" i="11"/>
  <c r="P190" i="11" s="1"/>
  <c r="P191" i="11" s="1"/>
  <c r="P192" i="11" s="1"/>
  <c r="O43" i="12"/>
  <c r="O68" i="12" s="1"/>
  <c r="S68" i="12"/>
  <c r="S170" i="11"/>
  <c r="S190" i="11" s="1"/>
  <c r="S191" i="11" s="1"/>
  <c r="S192" i="11" s="1"/>
  <c r="R43" i="12"/>
  <c r="R68" i="12" s="1"/>
  <c r="T190" i="11"/>
  <c r="T191" i="11" s="1"/>
  <c r="T192" i="11" s="1"/>
  <c r="K43" i="12"/>
  <c r="K68" i="12" s="1"/>
  <c r="AB190" i="11"/>
  <c r="AB191" i="11" s="1"/>
  <c r="AB192" i="11" s="1"/>
  <c r="N43" i="12"/>
  <c r="N68" i="12" s="1"/>
  <c r="V170" i="11"/>
  <c r="V190" i="11" s="1"/>
  <c r="Z170" i="11"/>
  <c r="Z190" i="11" s="1"/>
  <c r="Z191" i="11" s="1"/>
  <c r="N170" i="11"/>
  <c r="N182" i="11" s="1"/>
  <c r="N186" i="11" s="1"/>
  <c r="N188" i="11" s="1"/>
  <c r="N190" i="11" s="1"/>
  <c r="I43" i="12"/>
  <c r="I68" i="12" s="1"/>
  <c r="F62" i="16"/>
  <c r="AN176" i="9"/>
  <c r="AE176" i="9"/>
  <c r="F33" i="12"/>
  <c r="F39" i="12" s="1"/>
  <c r="AD69" i="11"/>
  <c r="AG69" i="11" s="1"/>
  <c r="U222" i="13"/>
  <c r="AD30" i="12"/>
  <c r="AN30" i="12" s="1"/>
  <c r="AD42" i="11"/>
  <c r="AG42" i="11" s="1"/>
  <c r="AD44" i="21"/>
  <c r="H39" i="12"/>
  <c r="H43" i="12" s="1"/>
  <c r="H68" i="12" s="1"/>
  <c r="AD31" i="12"/>
  <c r="AN31" i="12" s="1"/>
  <c r="AD130" i="11"/>
  <c r="AG130" i="11" s="1"/>
  <c r="Q43" i="12"/>
  <c r="Q68" i="12" s="1"/>
  <c r="AD36" i="12"/>
  <c r="AN36" i="12" s="1"/>
  <c r="P41" i="13"/>
  <c r="U35" i="12"/>
  <c r="U37" i="12" s="1"/>
  <c r="AD57" i="11"/>
  <c r="AG57" i="11" s="1"/>
  <c r="G66" i="12"/>
  <c r="BH29" i="9"/>
  <c r="U21" i="13" s="1"/>
  <c r="BB140" i="10"/>
  <c r="P71" i="13"/>
  <c r="I191" i="11"/>
  <c r="I192" i="11" s="1"/>
  <c r="U199" i="13"/>
  <c r="R14" i="9"/>
  <c r="BH14" i="9" s="1"/>
  <c r="AD20" i="11"/>
  <c r="AG20" i="11" s="1"/>
  <c r="F7" i="12"/>
  <c r="AD7" i="12" s="1"/>
  <c r="AN7" i="12" s="1"/>
  <c r="P123" i="13"/>
  <c r="H98" i="11"/>
  <c r="H117" i="11" s="1"/>
  <c r="H170" i="11" s="1"/>
  <c r="H190" i="11" s="1"/>
  <c r="AD28" i="11"/>
  <c r="AG28" i="11" s="1"/>
  <c r="D16" i="15"/>
  <c r="D15" i="15"/>
  <c r="AA191" i="11"/>
  <c r="AA192" i="11" s="1"/>
  <c r="O204" i="13"/>
  <c r="AV140" i="10"/>
  <c r="F34" i="15"/>
  <c r="P128" i="13"/>
  <c r="AA177" i="9"/>
  <c r="BH12" i="9"/>
  <c r="F7" i="15" s="1"/>
  <c r="G32" i="26"/>
  <c r="E32" i="26"/>
  <c r="F15" i="19"/>
  <c r="G15" i="19" s="1"/>
  <c r="BD57" i="19"/>
  <c r="BD152" i="19" s="1"/>
  <c r="AZ57" i="19"/>
  <c r="AZ152" i="19" s="1"/>
  <c r="AV57" i="19"/>
  <c r="AV152" i="19" s="1"/>
  <c r="AR57" i="19"/>
  <c r="AR152" i="19" s="1"/>
  <c r="AN57" i="19"/>
  <c r="AN152" i="19" s="1"/>
  <c r="AJ57" i="19"/>
  <c r="AJ152" i="19" s="1"/>
  <c r="BC57" i="19"/>
  <c r="BC152" i="19" s="1"/>
  <c r="AY57" i="19"/>
  <c r="AY152" i="19" s="1"/>
  <c r="AU57" i="19"/>
  <c r="AU152" i="19" s="1"/>
  <c r="AQ57" i="19"/>
  <c r="AQ152" i="19" s="1"/>
  <c r="AM57" i="19"/>
  <c r="AM152" i="19" s="1"/>
  <c r="AI57" i="19"/>
  <c r="AI152" i="19" s="1"/>
  <c r="BF57" i="19"/>
  <c r="BF152" i="19" s="1"/>
  <c r="BB57" i="19"/>
  <c r="BB152" i="19" s="1"/>
  <c r="AX57" i="19"/>
  <c r="AX152" i="19" s="1"/>
  <c r="AT57" i="19"/>
  <c r="AT152" i="19" s="1"/>
  <c r="AP57" i="19"/>
  <c r="AP152" i="19" s="1"/>
  <c r="AL57" i="19"/>
  <c r="AL152" i="19" s="1"/>
  <c r="BE57" i="19"/>
  <c r="BE152" i="19" s="1"/>
  <c r="BA57" i="19"/>
  <c r="BA152" i="19" s="1"/>
  <c r="AW57" i="19"/>
  <c r="AW152" i="19" s="1"/>
  <c r="AS57" i="19"/>
  <c r="AS152" i="19" s="1"/>
  <c r="AO57" i="19"/>
  <c r="AO152" i="19" s="1"/>
  <c r="AK57" i="19"/>
  <c r="AK152" i="19" s="1"/>
  <c r="N144" i="13"/>
  <c r="D17" i="15"/>
  <c r="D12" i="15"/>
  <c r="O112" i="13"/>
  <c r="R191" i="11"/>
  <c r="R192" i="11" s="1"/>
  <c r="AT176" i="9"/>
  <c r="G37" i="12"/>
  <c r="G39" i="12" s="1"/>
  <c r="AH140" i="10"/>
  <c r="U167" i="13"/>
  <c r="P159" i="13"/>
  <c r="F36" i="16"/>
  <c r="AD54" i="12"/>
  <c r="AN54" i="12" s="1"/>
  <c r="F59" i="12"/>
  <c r="U180" i="13"/>
  <c r="AD81" i="11"/>
  <c r="AG81" i="11" s="1"/>
  <c r="U229" i="13"/>
  <c r="BG128" i="10"/>
  <c r="P192" i="13"/>
  <c r="P193" i="13" s="1"/>
  <c r="U193" i="13"/>
  <c r="F26" i="17"/>
  <c r="F28" i="17" s="1"/>
  <c r="AD51" i="12"/>
  <c r="AN51" i="12" s="1"/>
  <c r="P129" i="13"/>
  <c r="F10" i="12"/>
  <c r="AD10" i="12" s="1"/>
  <c r="AN10" i="12" s="1"/>
  <c r="O191" i="11"/>
  <c r="O192" i="11" s="1"/>
  <c r="B34" i="26"/>
  <c r="D33" i="26"/>
  <c r="F115" i="16"/>
  <c r="AD157" i="11"/>
  <c r="AG157" i="11" s="1"/>
  <c r="F22" i="17"/>
  <c r="F24" i="17" s="1"/>
  <c r="AD47" i="12"/>
  <c r="AN47" i="12" s="1"/>
  <c r="AP176" i="9"/>
  <c r="F26" i="15"/>
  <c r="F28" i="15" s="1"/>
  <c r="R17" i="9"/>
  <c r="BH17" i="9" s="1"/>
  <c r="X68" i="12"/>
  <c r="M170" i="11"/>
  <c r="M190" i="11" s="1"/>
  <c r="BD140" i="10"/>
  <c r="BD177" i="9" s="1"/>
  <c r="BG23" i="10"/>
  <c r="U154" i="13" s="1"/>
  <c r="AE154" i="13" s="1"/>
  <c r="O84" i="13"/>
  <c r="O85" i="13" s="1"/>
  <c r="U85" i="13" s="1"/>
  <c r="P9" i="13"/>
  <c r="U9" i="13" s="1"/>
  <c r="U177" i="9" l="1"/>
  <c r="AE177" i="9"/>
  <c r="AL177" i="9"/>
  <c r="BB177" i="9"/>
  <c r="AB177" i="9"/>
  <c r="AB180" i="9" s="1"/>
  <c r="AI177" i="9"/>
  <c r="AQ177" i="9"/>
  <c r="F20" i="19"/>
  <c r="D20" i="19" s="1"/>
  <c r="X176" i="13"/>
  <c r="F41" i="12"/>
  <c r="F43" i="12" s="1"/>
  <c r="AE229" i="13"/>
  <c r="AE176" i="13"/>
  <c r="U27" i="20"/>
  <c r="U29" i="20" s="1"/>
  <c r="W29" i="20" s="1"/>
  <c r="P176" i="13"/>
  <c r="X193" i="13"/>
  <c r="AE193" i="13"/>
  <c r="X187" i="13"/>
  <c r="AE187" i="13"/>
  <c r="AI10" i="12"/>
  <c r="AJ177" i="9"/>
  <c r="X204" i="13"/>
  <c r="AE204" i="13"/>
  <c r="X250" i="13"/>
  <c r="AE250" i="13"/>
  <c r="BF33" i="9"/>
  <c r="X85" i="13"/>
  <c r="AE85" i="13"/>
  <c r="X167" i="13"/>
  <c r="AE167" i="13"/>
  <c r="AI7" i="12"/>
  <c r="X9" i="13"/>
  <c r="AE9" i="13"/>
  <c r="AV177" i="9"/>
  <c r="F39" i="17"/>
  <c r="X213" i="13"/>
  <c r="AE213" i="13"/>
  <c r="AI63" i="12"/>
  <c r="AE182" i="13"/>
  <c r="P182" i="13"/>
  <c r="X242" i="13"/>
  <c r="AE242" i="13"/>
  <c r="X222" i="13"/>
  <c r="AE222" i="13"/>
  <c r="X172" i="13"/>
  <c r="AE172" i="13"/>
  <c r="X216" i="13"/>
  <c r="AE216" i="13"/>
  <c r="X87" i="13"/>
  <c r="AE87" i="13"/>
  <c r="X199" i="13"/>
  <c r="AE199" i="13"/>
  <c r="AI54" i="12"/>
  <c r="AI47" i="12"/>
  <c r="X231" i="13"/>
  <c r="AE231" i="13"/>
  <c r="G41" i="12"/>
  <c r="G43" i="12" s="1"/>
  <c r="AI51" i="12"/>
  <c r="X180" i="13"/>
  <c r="AE180" i="13"/>
  <c r="X21" i="13"/>
  <c r="AE21" i="13"/>
  <c r="I33" i="27"/>
  <c r="I35" i="27" s="1"/>
  <c r="AE171" i="13"/>
  <c r="X171" i="13"/>
  <c r="X182" i="13"/>
  <c r="X229" i="13"/>
  <c r="F64" i="16"/>
  <c r="F7" i="17"/>
  <c r="AI30" i="12"/>
  <c r="F8" i="17"/>
  <c r="AI31" i="12"/>
  <c r="F13" i="17"/>
  <c r="AI36" i="12"/>
  <c r="P233" i="13"/>
  <c r="X233" i="13"/>
  <c r="Z18" i="10"/>
  <c r="Z17" i="10" s="1"/>
  <c r="BG17" i="10" s="1"/>
  <c r="U148" i="13" s="1"/>
  <c r="AO177" i="9"/>
  <c r="O87" i="13"/>
  <c r="O113" i="13" s="1"/>
  <c r="U113" i="13" s="1"/>
  <c r="V33" i="9"/>
  <c r="V50" i="9" s="1"/>
  <c r="W177" i="9"/>
  <c r="AH15" i="21"/>
  <c r="AH16" i="21" s="1"/>
  <c r="AH42" i="21" s="1"/>
  <c r="O213" i="13"/>
  <c r="U40" i="20"/>
  <c r="O216" i="13"/>
  <c r="U14" i="21"/>
  <c r="W14" i="21" s="1"/>
  <c r="AB14" i="21" s="1"/>
  <c r="AB16" i="21" s="1"/>
  <c r="U9" i="20"/>
  <c r="W9" i="20" s="1"/>
  <c r="AB9" i="20" s="1"/>
  <c r="AB11" i="20" s="1"/>
  <c r="U38" i="21"/>
  <c r="U40" i="21" s="1"/>
  <c r="Q182" i="11"/>
  <c r="Q186" i="11" s="1"/>
  <c r="Q188" i="11" s="1"/>
  <c r="Q190" i="11" s="1"/>
  <c r="Q191" i="11" s="1"/>
  <c r="Q192" i="11" s="1"/>
  <c r="AM177" i="9"/>
  <c r="I33" i="24"/>
  <c r="J33" i="24" s="1"/>
  <c r="P242" i="13"/>
  <c r="P262" i="13" s="1"/>
  <c r="F124" i="16"/>
  <c r="F126" i="16" s="1"/>
  <c r="P172" i="13"/>
  <c r="BA177" i="9"/>
  <c r="P171" i="13"/>
  <c r="U14" i="20"/>
  <c r="W14" i="20" s="1"/>
  <c r="AB14" i="20" s="1"/>
  <c r="AB16" i="20" s="1"/>
  <c r="F47" i="16"/>
  <c r="F31" i="15"/>
  <c r="P231" i="13"/>
  <c r="P222" i="13"/>
  <c r="P227" i="13" s="1"/>
  <c r="F18" i="16"/>
  <c r="J30" i="24"/>
  <c r="F43" i="16"/>
  <c r="F10" i="16"/>
  <c r="F59" i="16"/>
  <c r="F32" i="16"/>
  <c r="F14" i="19"/>
  <c r="G14" i="19" s="1"/>
  <c r="AP177" i="9"/>
  <c r="AD177" i="9"/>
  <c r="X186" i="11"/>
  <c r="X188" i="11" s="1"/>
  <c r="X190" i="11" s="1"/>
  <c r="X191" i="11" s="1"/>
  <c r="X192" i="11" s="1"/>
  <c r="D43" i="15"/>
  <c r="AR177" i="9"/>
  <c r="D19" i="15"/>
  <c r="D21" i="15" s="1"/>
  <c r="P130" i="13"/>
  <c r="U130" i="13" s="1"/>
  <c r="P21" i="13"/>
  <c r="V191" i="11"/>
  <c r="V192" i="11" s="1"/>
  <c r="Z192" i="11"/>
  <c r="AD33" i="12"/>
  <c r="AN33" i="12" s="1"/>
  <c r="AD35" i="12"/>
  <c r="AN35" i="12" s="1"/>
  <c r="U227" i="13"/>
  <c r="AD60" i="11"/>
  <c r="AG60" i="11" s="1"/>
  <c r="F35" i="16"/>
  <c r="F38" i="16" s="1"/>
  <c r="AJ64" i="10"/>
  <c r="AJ69" i="10" s="1"/>
  <c r="AJ26" i="10"/>
  <c r="AJ38" i="10" s="1"/>
  <c r="AF105" i="9"/>
  <c r="AF173" i="9" s="1"/>
  <c r="AF176" i="9" s="1"/>
  <c r="BH103" i="9"/>
  <c r="U80" i="13" s="1"/>
  <c r="AG64" i="10"/>
  <c r="AG69" i="10" s="1"/>
  <c r="AG140" i="10" s="1"/>
  <c r="AC177" i="9" s="1"/>
  <c r="AC180" i="9" s="1"/>
  <c r="Y192" i="11"/>
  <c r="P180" i="13"/>
  <c r="U184" i="13"/>
  <c r="F31" i="17"/>
  <c r="F36" i="17" s="1"/>
  <c r="AD59" i="12"/>
  <c r="AN59" i="12" s="1"/>
  <c r="J186" i="11"/>
  <c r="J188" i="11" s="1"/>
  <c r="J190" i="11" s="1"/>
  <c r="H191" i="11"/>
  <c r="H192" i="11" s="1"/>
  <c r="F39" i="15"/>
  <c r="K186" i="11"/>
  <c r="K188" i="11" s="1"/>
  <c r="K190" i="11" s="1"/>
  <c r="N191" i="11"/>
  <c r="N192" i="11" s="1"/>
  <c r="E33" i="26"/>
  <c r="G33" i="26"/>
  <c r="M191" i="11"/>
  <c r="M192" i="11" s="1"/>
  <c r="B35" i="26"/>
  <c r="D34" i="26"/>
  <c r="U9" i="21"/>
  <c r="P229" i="13"/>
  <c r="O199" i="13"/>
  <c r="F21" i="19" l="1"/>
  <c r="J236" i="24"/>
  <c r="I236" i="24"/>
  <c r="I238" i="24" s="1"/>
  <c r="W27" i="20"/>
  <c r="AB27" i="20" s="1"/>
  <c r="AB29" i="20" s="1"/>
  <c r="AB33" i="20" s="1"/>
  <c r="DD154" i="19"/>
  <c r="DG154" i="19"/>
  <c r="X130" i="13"/>
  <c r="AE130" i="13"/>
  <c r="K30" i="24"/>
  <c r="L30" i="24" s="1"/>
  <c r="X80" i="13"/>
  <c r="AE80" i="13"/>
  <c r="X227" i="13"/>
  <c r="AE227" i="13"/>
  <c r="X113" i="13"/>
  <c r="AE113" i="13"/>
  <c r="AI59" i="12"/>
  <c r="AI33" i="12"/>
  <c r="X184" i="13"/>
  <c r="AE184" i="13"/>
  <c r="F10" i="17"/>
  <c r="AD37" i="12"/>
  <c r="AN37" i="12" s="1"/>
  <c r="AI35" i="12"/>
  <c r="P154" i="13"/>
  <c r="X154" i="13"/>
  <c r="O80" i="13"/>
  <c r="O82" i="13" s="1"/>
  <c r="U82" i="13" s="1"/>
  <c r="U16" i="21"/>
  <c r="W16" i="21" s="1"/>
  <c r="BH33" i="9"/>
  <c r="U25" i="13" s="1"/>
  <c r="AE25" i="13" s="1"/>
  <c r="BH50" i="9"/>
  <c r="U35" i="13" s="1"/>
  <c r="AE35" i="13" s="1"/>
  <c r="W38" i="21"/>
  <c r="AB38" i="21" s="1"/>
  <c r="AB40" i="21" s="1"/>
  <c r="U11" i="20"/>
  <c r="W11" i="20" s="1"/>
  <c r="U39" i="20"/>
  <c r="K33" i="24"/>
  <c r="L33" i="24" s="1"/>
  <c r="M33" i="24" s="1"/>
  <c r="N33" i="24" s="1"/>
  <c r="O33" i="24" s="1"/>
  <c r="P33" i="24" s="1"/>
  <c r="Q33" i="24" s="1"/>
  <c r="R33" i="24" s="1"/>
  <c r="S33" i="24" s="1"/>
  <c r="T33" i="24" s="1"/>
  <c r="U33" i="24" s="1"/>
  <c r="V33" i="24" s="1"/>
  <c r="W33" i="24" s="1"/>
  <c r="X33" i="24" s="1"/>
  <c r="Y33" i="24" s="1"/>
  <c r="Z33" i="24" s="1"/>
  <c r="AA33" i="24" s="1"/>
  <c r="AB33" i="24" s="1"/>
  <c r="AC33" i="24" s="1"/>
  <c r="AD33" i="24" s="1"/>
  <c r="AE33" i="24" s="1"/>
  <c r="AF33" i="24" s="1"/>
  <c r="AG33" i="24" s="1"/>
  <c r="AH33" i="24" s="1"/>
  <c r="AI33" i="24" s="1"/>
  <c r="AJ33" i="24" s="1"/>
  <c r="AK33" i="24" s="1"/>
  <c r="AL33" i="24" s="1"/>
  <c r="AM33" i="24" s="1"/>
  <c r="AN33" i="24" s="1"/>
  <c r="AO33" i="24" s="1"/>
  <c r="AP33" i="24" s="1"/>
  <c r="AQ33" i="24" s="1"/>
  <c r="AR33" i="24" s="1"/>
  <c r="AS33" i="24" s="1"/>
  <c r="AT33" i="24" s="1"/>
  <c r="AU33" i="24" s="1"/>
  <c r="AV33" i="24" s="1"/>
  <c r="AW33" i="24" s="1"/>
  <c r="AX33" i="24" s="1"/>
  <c r="AY33" i="24" s="1"/>
  <c r="AZ33" i="24" s="1"/>
  <c r="BA33" i="24" s="1"/>
  <c r="BB33" i="24" s="1"/>
  <c r="BC33" i="24" s="1"/>
  <c r="BD33" i="24" s="1"/>
  <c r="BE33" i="24" s="1"/>
  <c r="BF33" i="24" s="1"/>
  <c r="BG33" i="24" s="1"/>
  <c r="BH33" i="24" s="1"/>
  <c r="BI33" i="24" s="1"/>
  <c r="BJ33" i="24" s="1"/>
  <c r="BK33" i="24" s="1"/>
  <c r="BL33" i="24" s="1"/>
  <c r="BM33" i="24" s="1"/>
  <c r="BN33" i="24" s="1"/>
  <c r="BO33" i="24" s="1"/>
  <c r="BP33" i="24" s="1"/>
  <c r="BQ33" i="24" s="1"/>
  <c r="BR33" i="24" s="1"/>
  <c r="BS33" i="24" s="1"/>
  <c r="BT33" i="24" s="1"/>
  <c r="BU33" i="24" s="1"/>
  <c r="BV33" i="24" s="1"/>
  <c r="BW33" i="24" s="1"/>
  <c r="BX33" i="24" s="1"/>
  <c r="BY33" i="24" s="1"/>
  <c r="BZ33" i="24" s="1"/>
  <c r="CA33" i="24" s="1"/>
  <c r="CB33" i="24" s="1"/>
  <c r="CC33" i="24" s="1"/>
  <c r="CC236" i="24" s="1"/>
  <c r="U16" i="20"/>
  <c r="W16" i="20" s="1"/>
  <c r="D21" i="19"/>
  <c r="AH30" i="9" s="1"/>
  <c r="AL18" i="10" s="1"/>
  <c r="G16" i="19"/>
  <c r="D45" i="15"/>
  <c r="P184" i="13"/>
  <c r="F12" i="17"/>
  <c r="F14" i="17" s="1"/>
  <c r="AD41" i="12"/>
  <c r="AN41" i="12" s="1"/>
  <c r="K191" i="11"/>
  <c r="K192" i="11" s="1"/>
  <c r="U11" i="21"/>
  <c r="W11" i="21" s="1"/>
  <c r="W9" i="21"/>
  <c r="AB9" i="21" s="1"/>
  <c r="AB11" i="21" s="1"/>
  <c r="W40" i="21"/>
  <c r="J191" i="11"/>
  <c r="J192" i="11" s="1"/>
  <c r="G34" i="26"/>
  <c r="E34" i="26"/>
  <c r="F16" i="19"/>
  <c r="Z26" i="10"/>
  <c r="Z38" i="10" s="1"/>
  <c r="Z140" i="10" s="1"/>
  <c r="B36" i="26"/>
  <c r="D35" i="26"/>
  <c r="AJ140" i="10"/>
  <c r="AF177" i="9" s="1"/>
  <c r="L236" i="24" l="1"/>
  <c r="K236" i="24"/>
  <c r="AI41" i="12"/>
  <c r="AI37" i="12"/>
  <c r="X82" i="13"/>
  <c r="AE82" i="13"/>
  <c r="F16" i="17"/>
  <c r="AD39" i="12"/>
  <c r="AN39" i="12" s="1"/>
  <c r="X35" i="13"/>
  <c r="P25" i="13"/>
  <c r="X25" i="13"/>
  <c r="J238" i="24"/>
  <c r="L83" i="11"/>
  <c r="P35" i="13"/>
  <c r="AB42" i="21"/>
  <c r="AB45" i="21" s="1"/>
  <c r="CD33" i="24"/>
  <c r="CD236" i="24" s="1"/>
  <c r="W33" i="20"/>
  <c r="U33" i="20"/>
  <c r="L22" i="13"/>
  <c r="U42" i="21"/>
  <c r="F18" i="17"/>
  <c r="B37" i="26"/>
  <c r="D36" i="26"/>
  <c r="W42" i="21"/>
  <c r="G35" i="26"/>
  <c r="E35" i="26"/>
  <c r="M30" i="24"/>
  <c r="M236" i="24" s="1"/>
  <c r="X148" i="13" l="1"/>
  <c r="AE148" i="13"/>
  <c r="AI39" i="12"/>
  <c r="F20" i="17"/>
  <c r="K238" i="24"/>
  <c r="L238" i="24" s="1"/>
  <c r="M238" i="24" s="1"/>
  <c r="AD43" i="12"/>
  <c r="AN43" i="12" s="1"/>
  <c r="CE33" i="24"/>
  <c r="CE236" i="24" s="1"/>
  <c r="P148" i="13"/>
  <c r="E36" i="26"/>
  <c r="G36" i="26"/>
  <c r="B38" i="26"/>
  <c r="D37" i="26"/>
  <c r="AH91" i="9"/>
  <c r="BH91" i="9" s="1"/>
  <c r="AH37" i="9"/>
  <c r="BH30" i="9"/>
  <c r="L61" i="12"/>
  <c r="L96" i="11"/>
  <c r="L98" i="11" s="1"/>
  <c r="L117" i="11" s="1"/>
  <c r="L170" i="11" s="1"/>
  <c r="N30" i="24"/>
  <c r="N236" i="24" s="1"/>
  <c r="AI43" i="12" l="1"/>
  <c r="N238" i="24"/>
  <c r="CF33" i="24"/>
  <c r="CF236" i="24" s="1"/>
  <c r="AH93" i="9"/>
  <c r="AH95" i="9" s="1"/>
  <c r="AH176" i="9" s="1"/>
  <c r="G37" i="26"/>
  <c r="E37" i="26"/>
  <c r="L183" i="11"/>
  <c r="O30" i="24"/>
  <c r="O236" i="24" s="1"/>
  <c r="L66" i="12"/>
  <c r="L68" i="12" s="1"/>
  <c r="AL26" i="10"/>
  <c r="AL38" i="10" s="1"/>
  <c r="AL140" i="10" s="1"/>
  <c r="B39" i="26"/>
  <c r="D38" i="26"/>
  <c r="U22" i="13"/>
  <c r="AD183" i="11" l="1"/>
  <c r="AG183" i="11" s="1"/>
  <c r="J196" i="11"/>
  <c r="X22" i="13"/>
  <c r="AE22" i="13"/>
  <c r="O238" i="24"/>
  <c r="CG33" i="24"/>
  <c r="CG236" i="24" s="1"/>
  <c r="G38" i="26"/>
  <c r="E38" i="26"/>
  <c r="B40" i="26"/>
  <c r="D39" i="26"/>
  <c r="L186" i="11"/>
  <c r="L188" i="11" s="1"/>
  <c r="L190" i="11" s="1"/>
  <c r="U73" i="13"/>
  <c r="AE73" i="13" s="1"/>
  <c r="BH93" i="9"/>
  <c r="P22" i="13"/>
  <c r="P30" i="24"/>
  <c r="P236" i="24" s="1"/>
  <c r="AH177" i="9"/>
  <c r="P73" i="13" l="1"/>
  <c r="X73" i="13"/>
  <c r="CH33" i="24"/>
  <c r="CH236" i="24" s="1"/>
  <c r="F139" i="16"/>
  <c r="B41" i="26"/>
  <c r="D40" i="26"/>
  <c r="L191" i="11"/>
  <c r="Q30" i="24"/>
  <c r="Q236" i="24" s="1"/>
  <c r="F11" i="15"/>
  <c r="G39" i="26"/>
  <c r="E39" i="26"/>
  <c r="CI33" i="24" l="1"/>
  <c r="CI236" i="24" s="1"/>
  <c r="B42" i="26"/>
  <c r="D41" i="26"/>
  <c r="R30" i="24"/>
  <c r="R236" i="24" s="1"/>
  <c r="L192" i="11"/>
  <c r="E40" i="26"/>
  <c r="G40" i="26"/>
  <c r="CJ33" i="24" l="1"/>
  <c r="CJ236" i="24" s="1"/>
  <c r="P238" i="24"/>
  <c r="G41" i="26"/>
  <c r="E41" i="26"/>
  <c r="B43" i="26"/>
  <c r="D42" i="26"/>
  <c r="S30" i="24"/>
  <c r="S236" i="24" s="1"/>
  <c r="CK33" i="24" l="1"/>
  <c r="CK236" i="24" s="1"/>
  <c r="CK239" i="24" s="1"/>
  <c r="CK240" i="24" s="1"/>
  <c r="Q238" i="24"/>
  <c r="T30" i="24"/>
  <c r="T236" i="24" s="1"/>
  <c r="B44" i="26"/>
  <c r="D44" i="26" s="1"/>
  <c r="D43" i="26"/>
  <c r="G42" i="26"/>
  <c r="E42" i="26"/>
  <c r="CL33" i="24" l="1"/>
  <c r="CL236" i="24" s="1"/>
  <c r="R239" i="24"/>
  <c r="E44" i="26"/>
  <c r="G44" i="26"/>
  <c r="D46" i="26"/>
  <c r="D49" i="26" s="1"/>
  <c r="U30" i="24"/>
  <c r="U236" i="24" s="1"/>
  <c r="G43" i="26"/>
  <c r="E43" i="26"/>
  <c r="CM33" i="24" l="1"/>
  <c r="CM236" i="24" s="1"/>
  <c r="S239" i="24"/>
  <c r="R238" i="24"/>
  <c r="G46" i="26"/>
  <c r="V30" i="24"/>
  <c r="V236" i="24" s="1"/>
  <c r="E46" i="26"/>
  <c r="CN33" i="24" l="1"/>
  <c r="CN236" i="24" s="1"/>
  <c r="CN239" i="24" s="1"/>
  <c r="S238" i="24"/>
  <c r="T239" i="24"/>
  <c r="W30" i="24"/>
  <c r="W236" i="24" s="1"/>
  <c r="CN240" i="24" l="1"/>
  <c r="L26" i="13"/>
  <c r="W83" i="11"/>
  <c r="T238" i="24"/>
  <c r="X30" i="24"/>
  <c r="X236" i="24" s="1"/>
  <c r="BE18" i="10" l="1"/>
  <c r="BG18" i="10" s="1"/>
  <c r="BE63" i="10"/>
  <c r="U238" i="24"/>
  <c r="Y30" i="24"/>
  <c r="Y236" i="24" s="1"/>
  <c r="BG63" i="10" l="1"/>
  <c r="U189" i="13" s="1"/>
  <c r="V238" i="24"/>
  <c r="Z30" i="24"/>
  <c r="Z236" i="24" s="1"/>
  <c r="BG64" i="10" l="1"/>
  <c r="W238" i="24"/>
  <c r="AA30" i="24"/>
  <c r="AA236" i="24" s="1"/>
  <c r="X238" i="24" l="1"/>
  <c r="AB30" i="24"/>
  <c r="AB236" i="24" s="1"/>
  <c r="Y238" i="24" l="1"/>
  <c r="AC30" i="24"/>
  <c r="AC236" i="24" s="1"/>
  <c r="Z238" i="24" l="1"/>
  <c r="AD30" i="24"/>
  <c r="AD236" i="24" s="1"/>
  <c r="AA238" i="24" l="1"/>
  <c r="AE30" i="24"/>
  <c r="AE236" i="24" s="1"/>
  <c r="AB238" i="24" l="1"/>
  <c r="AF30" i="24"/>
  <c r="AF236" i="24" s="1"/>
  <c r="AC238" i="24" l="1"/>
  <c r="AG30" i="24"/>
  <c r="AG236" i="24" s="1"/>
  <c r="AD238" i="24" l="1"/>
  <c r="AH30" i="24"/>
  <c r="AH236" i="24" s="1"/>
  <c r="AE238" i="24" l="1"/>
  <c r="AI30" i="24"/>
  <c r="AI236" i="24" s="1"/>
  <c r="AF238" i="24" l="1"/>
  <c r="AJ30" i="24"/>
  <c r="AJ236" i="24" s="1"/>
  <c r="AG238" i="24" l="1"/>
  <c r="AK30" i="24"/>
  <c r="AK236" i="24" s="1"/>
  <c r="AH238" i="24" l="1"/>
  <c r="AL30" i="24"/>
  <c r="AL236" i="24" s="1"/>
  <c r="AI238" i="24" l="1"/>
  <c r="AJ238" i="24" s="1"/>
  <c r="AM30" i="24"/>
  <c r="AM236" i="24" s="1"/>
  <c r="AK238" i="24" l="1"/>
  <c r="AN30" i="24"/>
  <c r="AN236" i="24" s="1"/>
  <c r="AL238" i="24" l="1"/>
  <c r="AO30" i="24"/>
  <c r="AO236" i="24" s="1"/>
  <c r="AM238" i="24" l="1"/>
  <c r="AP30" i="24"/>
  <c r="AP236" i="24" s="1"/>
  <c r="AN238" i="24" l="1"/>
  <c r="AQ30" i="24"/>
  <c r="AQ236" i="24" s="1"/>
  <c r="AO238" i="24" l="1"/>
  <c r="AR30" i="24"/>
  <c r="AR236" i="24" s="1"/>
  <c r="AP238" i="24" l="1"/>
  <c r="AS30" i="24"/>
  <c r="AS236" i="24" s="1"/>
  <c r="AQ238" i="24" l="1"/>
  <c r="AT30" i="24"/>
  <c r="AT236" i="24" s="1"/>
  <c r="AR238" i="24" l="1"/>
  <c r="AU30" i="24"/>
  <c r="AU236" i="24" s="1"/>
  <c r="AS238" i="24" l="1"/>
  <c r="AV30" i="24"/>
  <c r="AV236" i="24" s="1"/>
  <c r="AT238" i="24" l="1"/>
  <c r="AW30" i="24"/>
  <c r="AW236" i="24" s="1"/>
  <c r="AU238" i="24" l="1"/>
  <c r="AX30" i="24"/>
  <c r="AX236" i="24" s="1"/>
  <c r="AV238" i="24" l="1"/>
  <c r="AY30" i="24"/>
  <c r="AY236" i="24" s="1"/>
  <c r="AW238" i="24" l="1"/>
  <c r="AZ30" i="24"/>
  <c r="AZ236" i="24" s="1"/>
  <c r="AX238" i="24" l="1"/>
  <c r="BA30" i="24"/>
  <c r="BA236" i="24" s="1"/>
  <c r="AY238" i="24" l="1"/>
  <c r="BB30" i="24"/>
  <c r="BB236" i="24" s="1"/>
  <c r="AZ238" i="24" l="1"/>
  <c r="BC30" i="24"/>
  <c r="BC236" i="24" s="1"/>
  <c r="BA238" i="24" l="1"/>
  <c r="BD30" i="24"/>
  <c r="BD236" i="24" s="1"/>
  <c r="BB238" i="24" l="1"/>
  <c r="BE30" i="24"/>
  <c r="BE236" i="24" s="1"/>
  <c r="BC238" i="24" l="1"/>
  <c r="BF30" i="24"/>
  <c r="BF236" i="24" s="1"/>
  <c r="BD238" i="24" l="1"/>
  <c r="BG30" i="24"/>
  <c r="BG236" i="24" s="1"/>
  <c r="BE238" i="24" l="1"/>
  <c r="BH30" i="24"/>
  <c r="BH236" i="24" s="1"/>
  <c r="BF238" i="24" l="1"/>
  <c r="BI30" i="24"/>
  <c r="BI236" i="24" s="1"/>
  <c r="BG238" i="24" l="1"/>
  <c r="BJ30" i="24"/>
  <c r="BJ236" i="24" s="1"/>
  <c r="BH238" i="24" l="1"/>
  <c r="BK30" i="24"/>
  <c r="BK236" i="24" s="1"/>
  <c r="BI238" i="24" l="1"/>
  <c r="BL30" i="24"/>
  <c r="BL236" i="24" s="1"/>
  <c r="BJ238" i="24" l="1"/>
  <c r="BM30" i="24"/>
  <c r="BM236" i="24" s="1"/>
  <c r="BK238" i="24" l="1"/>
  <c r="BN30" i="24"/>
  <c r="BN236" i="24" s="1"/>
  <c r="BL238" i="24" l="1"/>
  <c r="BO30" i="24"/>
  <c r="BO236" i="24" s="1"/>
  <c r="BM238" i="24" l="1"/>
  <c r="BP30" i="24"/>
  <c r="BP236" i="24" s="1"/>
  <c r="BN238" i="24" l="1"/>
  <c r="BQ30" i="24"/>
  <c r="BQ236" i="24" s="1"/>
  <c r="BO238" i="24" l="1"/>
  <c r="BR30" i="24"/>
  <c r="BR236" i="24" s="1"/>
  <c r="BP238" i="24" l="1"/>
  <c r="BS30" i="24"/>
  <c r="BS236" i="24" s="1"/>
  <c r="BT30" i="24" l="1"/>
  <c r="BT236" i="24" s="1"/>
  <c r="BQ238" i="24" l="1"/>
  <c r="BU30" i="24"/>
  <c r="BU236" i="24" s="1"/>
  <c r="BR238" i="24" l="1"/>
  <c r="BS238" i="24" s="1"/>
  <c r="BT238" i="24" s="1"/>
  <c r="BU238" i="24" s="1"/>
  <c r="BV30" i="24"/>
  <c r="BV236" i="24" s="1"/>
  <c r="BW30" i="24" l="1"/>
  <c r="BW236" i="24" s="1"/>
  <c r="BX30" i="24" l="1"/>
  <c r="BX236" i="24" s="1"/>
  <c r="BY30" i="24" l="1"/>
  <c r="BY236" i="24" s="1"/>
  <c r="BV238" i="24" l="1"/>
  <c r="BW238" i="24" s="1"/>
  <c r="BX238" i="24" s="1"/>
  <c r="BY238" i="24" s="1"/>
  <c r="BZ30" i="24"/>
  <c r="BZ236" i="24" s="1"/>
  <c r="BZ238" i="24" l="1"/>
  <c r="CA30" i="24"/>
  <c r="CA236" i="24" s="1"/>
  <c r="CA238" i="24" l="1"/>
  <c r="CB30" i="24"/>
  <c r="CB236" i="24" s="1"/>
  <c r="CB238" i="24" l="1"/>
  <c r="BF34" i="9" l="1"/>
  <c r="BF37" i="9" s="1"/>
  <c r="BF95" i="9" s="1"/>
  <c r="BF176" i="9" s="1"/>
  <c r="V34" i="9"/>
  <c r="V51" i="9" s="1"/>
  <c r="BH51" i="9" s="1"/>
  <c r="CC238" i="24"/>
  <c r="CD238" i="24" s="1"/>
  <c r="CE238" i="24" s="1"/>
  <c r="CF238" i="24" s="1"/>
  <c r="CG238" i="24" s="1"/>
  <c r="CH238" i="24" s="1"/>
  <c r="CI238" i="24" s="1"/>
  <c r="CJ238" i="24" s="1"/>
  <c r="CK238" i="24" s="1"/>
  <c r="CL238" i="24" s="1"/>
  <c r="CM238" i="24" s="1"/>
  <c r="CN238" i="24" s="1"/>
  <c r="W61" i="12"/>
  <c r="W96" i="11"/>
  <c r="W98" i="11" s="1"/>
  <c r="W117" i="11" s="1"/>
  <c r="W170" i="11" s="1"/>
  <c r="W182" i="11" s="1"/>
  <c r="AD182" i="11" s="1"/>
  <c r="AD83" i="11"/>
  <c r="AG83" i="11" s="1"/>
  <c r="AG182" i="11" l="1"/>
  <c r="BH34" i="9"/>
  <c r="U26" i="13" s="1"/>
  <c r="AD61" i="12"/>
  <c r="AN61" i="12" s="1"/>
  <c r="W66" i="12"/>
  <c r="W68" i="12" s="1"/>
  <c r="AD96" i="11"/>
  <c r="AG96" i="11" s="1"/>
  <c r="F61" i="16"/>
  <c r="F73" i="16" s="1"/>
  <c r="F75" i="16" s="1"/>
  <c r="F94" i="16" s="1"/>
  <c r="F128" i="16" s="1"/>
  <c r="BE26" i="10"/>
  <c r="BE38" i="10" s="1"/>
  <c r="W186" i="11"/>
  <c r="W188" i="11" s="1"/>
  <c r="W190" i="11" s="1"/>
  <c r="W191" i="11" s="1"/>
  <c r="W192" i="11" s="1"/>
  <c r="BE64" i="10"/>
  <c r="BE69" i="10" s="1"/>
  <c r="O132" i="13"/>
  <c r="P26" i="13" l="1"/>
  <c r="AE26" i="13"/>
  <c r="AI61" i="12"/>
  <c r="X189" i="13"/>
  <c r="AE189" i="13"/>
  <c r="X26" i="13"/>
  <c r="P189" i="13"/>
  <c r="F24" i="15"/>
  <c r="U149" i="13"/>
  <c r="BE140" i="10"/>
  <c r="BF177" i="9" s="1"/>
  <c r="F33" i="15"/>
  <c r="U190" i="13"/>
  <c r="AD186" i="11"/>
  <c r="AG186" i="11" s="1"/>
  <c r="F138" i="16"/>
  <c r="F142" i="16" s="1"/>
  <c r="F38" i="17"/>
  <c r="F42" i="17" s="1"/>
  <c r="F44" i="17" s="1"/>
  <c r="F47" i="17" s="1"/>
  <c r="AD66" i="12"/>
  <c r="AN66" i="12" s="1"/>
  <c r="AI66" i="12" l="1"/>
  <c r="X149" i="13"/>
  <c r="AE149" i="13"/>
  <c r="X190" i="13"/>
  <c r="AE190" i="13"/>
  <c r="U157" i="13"/>
  <c r="X157" i="13" l="1"/>
  <c r="AE157" i="13"/>
  <c r="U169" i="13"/>
  <c r="X169" i="13" l="1"/>
  <c r="AE169" i="13"/>
  <c r="P75" i="13"/>
  <c r="K75" i="13"/>
  <c r="U75" i="13" l="1"/>
  <c r="K77" i="13"/>
  <c r="K144" i="13" s="1"/>
  <c r="X75" i="13" l="1"/>
  <c r="AE75" i="13"/>
  <c r="K190" i="13"/>
  <c r="K195" i="13" s="1"/>
  <c r="K254" i="13" s="1"/>
  <c r="P190" i="13" l="1"/>
  <c r="X101" i="10"/>
  <c r="BG87" i="10" l="1"/>
  <c r="U203" i="13" s="1"/>
  <c r="X203" i="13" l="1"/>
  <c r="AE203" i="13"/>
  <c r="BG101" i="10"/>
  <c r="F36" i="15" s="1"/>
  <c r="F42" i="15" s="1"/>
  <c r="U217" i="13"/>
  <c r="O203" i="13"/>
  <c r="O217" i="13" s="1"/>
  <c r="O252" i="13" s="1"/>
  <c r="O254" i="13" s="1"/>
  <c r="X217" i="13" l="1"/>
  <c r="AE217" i="13"/>
  <c r="BK138" i="9"/>
  <c r="BL138" i="9" s="1"/>
  <c r="P235" i="13" l="1"/>
  <c r="P244" i="13" s="1"/>
  <c r="P252" i="13" s="1"/>
  <c r="U244" i="13"/>
  <c r="AE244" i="13" l="1"/>
  <c r="U252" i="13"/>
  <c r="X244" i="13"/>
  <c r="U44" i="21"/>
  <c r="X252" i="13" l="1"/>
  <c r="AE252" i="13"/>
  <c r="AR51" i="10"/>
  <c r="AR69" i="10" s="1"/>
  <c r="AR140" i="10" s="1"/>
  <c r="AN177" i="9" s="1"/>
  <c r="BG48" i="10"/>
  <c r="U174" i="13" l="1"/>
  <c r="BG51" i="10"/>
  <c r="X174" i="13" l="1"/>
  <c r="AE174" i="13"/>
  <c r="F30" i="15"/>
  <c r="F35" i="15" s="1"/>
  <c r="P174" i="13"/>
  <c r="P177" i="13" s="1"/>
  <c r="P195" i="13" s="1"/>
  <c r="U177" i="13"/>
  <c r="AE177" i="13" l="1"/>
  <c r="U195" i="13"/>
  <c r="X177" i="13"/>
  <c r="U35" i="20"/>
  <c r="X195" i="13" l="1"/>
  <c r="AE195" i="13"/>
  <c r="U254" i="13"/>
  <c r="AE255" i="13" s="1"/>
  <c r="BH24" i="9"/>
  <c r="U16" i="13" s="1"/>
  <c r="L44" i="13"/>
  <c r="V59" i="9"/>
  <c r="BH59" i="9" s="1"/>
  <c r="U44" i="13" s="1"/>
  <c r="X16" i="13" l="1"/>
  <c r="AE16" i="13"/>
  <c r="X44" i="13"/>
  <c r="AE44" i="13"/>
  <c r="X254" i="13"/>
  <c r="AE254" i="13"/>
  <c r="P44" i="13"/>
  <c r="P16" i="13"/>
  <c r="V26" i="9"/>
  <c r="V49" i="9"/>
  <c r="L40" i="13"/>
  <c r="V55" i="9"/>
  <c r="BH55" i="9" s="1"/>
  <c r="U40" i="13" s="1"/>
  <c r="V53" i="9"/>
  <c r="BH53" i="9" s="1"/>
  <c r="U38" i="13" s="1"/>
  <c r="L38" i="13"/>
  <c r="X38" i="13" l="1"/>
  <c r="AE38" i="13"/>
  <c r="X40" i="13"/>
  <c r="AE40" i="13"/>
  <c r="P40" i="13"/>
  <c r="L29" i="13"/>
  <c r="BH22" i="9"/>
  <c r="V37" i="9"/>
  <c r="BH49" i="9"/>
  <c r="P38" i="13"/>
  <c r="BH26" i="9"/>
  <c r="U18" i="13" s="1"/>
  <c r="X18" i="13" l="1"/>
  <c r="AE18" i="13"/>
  <c r="P18" i="13"/>
  <c r="V62" i="9"/>
  <c r="V95" i="9" s="1"/>
  <c r="V176" i="9" s="1"/>
  <c r="V177" i="9" s="1"/>
  <c r="U34" i="13"/>
  <c r="BH62" i="9"/>
  <c r="L47" i="13"/>
  <c r="L77" i="13" s="1"/>
  <c r="L144" i="13" s="1"/>
  <c r="U14" i="13"/>
  <c r="U36" i="13"/>
  <c r="BK51" i="9"/>
  <c r="AE36" i="13" l="1"/>
  <c r="P36" i="13"/>
  <c r="X14" i="13"/>
  <c r="AE14" i="13"/>
  <c r="X34" i="13"/>
  <c r="AE34" i="13"/>
  <c r="Z141" i="10"/>
  <c r="U47" i="13"/>
  <c r="X36" i="13"/>
  <c r="P34" i="13"/>
  <c r="F9" i="15"/>
  <c r="P14" i="13"/>
  <c r="P29" i="13" s="1"/>
  <c r="U29" i="13"/>
  <c r="AE29" i="13" s="1"/>
  <c r="X47" i="13" l="1"/>
  <c r="AE47" i="13"/>
  <c r="P47" i="13"/>
  <c r="P77" i="13" s="1"/>
  <c r="U77" i="13"/>
  <c r="X29" i="13"/>
  <c r="X77" i="13" l="1"/>
  <c r="AE77" i="13"/>
  <c r="P133" i="13"/>
  <c r="P136" i="13" s="1"/>
  <c r="P141" i="13" s="1"/>
  <c r="P144" i="13" s="1"/>
  <c r="O136" i="13"/>
  <c r="O141" i="13" s="1"/>
  <c r="U141" i="13" l="1"/>
  <c r="O144" i="13"/>
  <c r="U144" i="13" s="1"/>
  <c r="U145" i="13" s="1"/>
  <c r="U136" i="13"/>
  <c r="AE145" i="13" l="1"/>
  <c r="X145" i="13"/>
  <c r="X136" i="13"/>
  <c r="AE136" i="13"/>
  <c r="X144" i="13"/>
  <c r="AE144" i="13"/>
  <c r="X141" i="13"/>
  <c r="AE141" i="13"/>
  <c r="U256" i="13"/>
  <c r="AE256" i="13" l="1"/>
  <c r="AD122" i="11" l="1"/>
  <c r="AG122" i="11" s="1"/>
  <c r="AD162" i="11" l="1"/>
  <c r="AG162" i="11" s="1"/>
  <c r="AD167" i="11"/>
  <c r="AG167" i="11" s="1"/>
  <c r="AD125" i="11" l="1"/>
  <c r="AG125" i="11" s="1"/>
  <c r="AD120" i="11" l="1"/>
  <c r="AG120" i="11" s="1"/>
  <c r="E168" i="11"/>
  <c r="AD168" i="11" s="1"/>
  <c r="AG168" i="11" s="1"/>
  <c r="AD175" i="11" l="1"/>
  <c r="F131" i="16" l="1"/>
  <c r="AG175" i="11"/>
  <c r="G28" i="5"/>
  <c r="D28" i="5"/>
  <c r="J28" i="5" l="1"/>
  <c r="M28" i="5" s="1"/>
  <c r="F28" i="5"/>
  <c r="I28" i="5"/>
  <c r="L28" i="5" l="1"/>
  <c r="E110" i="9"/>
  <c r="T110" i="9" l="1"/>
  <c r="BH110" i="9" s="1"/>
  <c r="G38" i="5" l="1"/>
  <c r="I38" i="5" s="1"/>
  <c r="D38" i="5"/>
  <c r="F38" i="5" l="1"/>
  <c r="J38" i="5"/>
  <c r="M38" i="5" s="1"/>
  <c r="D16" i="6"/>
  <c r="D11" i="6" s="1"/>
  <c r="C16" i="6"/>
  <c r="C11" i="6" l="1"/>
  <c r="E11" i="6" s="1"/>
  <c r="E16" i="6"/>
  <c r="E12" i="10"/>
  <c r="Q12" i="10" s="1"/>
  <c r="BG12" i="10" s="1"/>
  <c r="E113" i="9"/>
  <c r="T113" i="9" s="1"/>
  <c r="BH113" i="9" s="1"/>
  <c r="L38" i="5"/>
  <c r="G42" i="5" l="1"/>
  <c r="D42" i="5"/>
  <c r="F42" i="5" l="1"/>
  <c r="J42" i="5"/>
  <c r="M42" i="5" s="1"/>
  <c r="C42" i="6"/>
  <c r="D42" i="6"/>
  <c r="I42" i="5"/>
  <c r="E42" i="6" l="1"/>
  <c r="E79" i="10"/>
  <c r="X79" i="10" s="1"/>
  <c r="BG79" i="10" s="1"/>
  <c r="E159" i="9"/>
  <c r="L42" i="5"/>
  <c r="T159" i="9" l="1"/>
  <c r="BH159" i="9" s="1"/>
  <c r="D35" i="6" l="1"/>
  <c r="C35" i="6"/>
  <c r="D33" i="6"/>
  <c r="C33" i="6"/>
  <c r="E37" i="5"/>
  <c r="H37" i="5"/>
  <c r="H35" i="5" s="1"/>
  <c r="D32" i="6"/>
  <c r="C32" i="6"/>
  <c r="E72" i="10" l="1"/>
  <c r="X72" i="10" s="1"/>
  <c r="BG72" i="10" s="1"/>
  <c r="E33" i="6"/>
  <c r="E35" i="6"/>
  <c r="E74" i="10"/>
  <c r="X74" i="10" s="1"/>
  <c r="BG74" i="10" s="1"/>
  <c r="E32" i="6"/>
  <c r="E71" i="10"/>
  <c r="X71" i="10" s="1"/>
  <c r="BG71" i="10" s="1"/>
  <c r="H18" i="5"/>
  <c r="E18" i="5"/>
  <c r="K18" i="5" s="1"/>
  <c r="K37" i="5"/>
  <c r="E35" i="5"/>
  <c r="K35" i="5" s="1"/>
  <c r="C24" i="6" l="1"/>
  <c r="D24" i="6"/>
  <c r="E24" i="6" l="1"/>
  <c r="E40" i="10"/>
  <c r="BG40" i="10" l="1"/>
  <c r="G43" i="5" l="1"/>
  <c r="D43" i="5"/>
  <c r="F43" i="5" l="1"/>
  <c r="J43" i="5"/>
  <c r="M43" i="5" s="1"/>
  <c r="D44" i="5"/>
  <c r="I43" i="5"/>
  <c r="I44" i="5" s="1"/>
  <c r="G44" i="5"/>
  <c r="J44" i="5" l="1"/>
  <c r="M44" i="5" s="1"/>
  <c r="E160" i="9"/>
  <c r="L43" i="5"/>
  <c r="F44" i="5"/>
  <c r="T160" i="9" l="1"/>
  <c r="T166" i="9" s="1"/>
  <c r="E166" i="9"/>
  <c r="L44" i="5"/>
  <c r="D18" i="5"/>
  <c r="G18" i="5"/>
  <c r="I18" i="5" s="1"/>
  <c r="H39" i="7"/>
  <c r="E121" i="11" s="1"/>
  <c r="U121" i="11" s="1"/>
  <c r="AD121" i="11" s="1"/>
  <c r="AG121" i="11" s="1"/>
  <c r="H45" i="7"/>
  <c r="E126" i="11" s="1"/>
  <c r="U126" i="11" s="1"/>
  <c r="AD126" i="11" s="1"/>
  <c r="AG126" i="11" s="1"/>
  <c r="H22" i="7"/>
  <c r="E46" i="11" s="1"/>
  <c r="H23" i="7"/>
  <c r="E47" i="11" s="1"/>
  <c r="H25" i="7"/>
  <c r="E49" i="11" s="1"/>
  <c r="H11" i="7"/>
  <c r="E11" i="11" s="1"/>
  <c r="H17" i="7"/>
  <c r="E15" i="11" s="1"/>
  <c r="H16" i="7"/>
  <c r="E14" i="11" s="1"/>
  <c r="H56" i="7"/>
  <c r="H51" i="7"/>
  <c r="H61" i="7"/>
  <c r="BH160" i="9" l="1"/>
  <c r="BH166" i="9" s="1"/>
  <c r="F17" i="15" s="1"/>
  <c r="H62" i="7"/>
  <c r="E172" i="11"/>
  <c r="H55" i="7"/>
  <c r="E161" i="11"/>
  <c r="U161" i="11" s="1"/>
  <c r="AD161" i="11" s="1"/>
  <c r="AG161" i="11" s="1"/>
  <c r="C41" i="6"/>
  <c r="D41" i="6"/>
  <c r="D44" i="6" s="1"/>
  <c r="H59" i="7"/>
  <c r="E166" i="11"/>
  <c r="U166" i="11" s="1"/>
  <c r="AD166" i="11" s="1"/>
  <c r="AG166" i="11" s="1"/>
  <c r="E19" i="12"/>
  <c r="G46" i="11"/>
  <c r="AD46" i="11" s="1"/>
  <c r="AG46" i="11" s="1"/>
  <c r="F18" i="5"/>
  <c r="J18" i="5"/>
  <c r="M18" i="5" s="1"/>
  <c r="F14" i="11"/>
  <c r="AD14" i="11" s="1"/>
  <c r="AG14" i="11" s="1"/>
  <c r="E14" i="12"/>
  <c r="F14" i="12" s="1"/>
  <c r="AD14" i="12" s="1"/>
  <c r="E15" i="12"/>
  <c r="F15" i="12" s="1"/>
  <c r="AD15" i="12" s="1"/>
  <c r="F15" i="11"/>
  <c r="AD15" i="11" s="1"/>
  <c r="AG15" i="11" s="1"/>
  <c r="F11" i="11"/>
  <c r="AD11" i="11" s="1"/>
  <c r="AG11" i="11" s="1"/>
  <c r="E11" i="12"/>
  <c r="F11" i="12" s="1"/>
  <c r="AD11" i="12" s="1"/>
  <c r="G49" i="11"/>
  <c r="AD49" i="11" s="1"/>
  <c r="AG49" i="11" s="1"/>
  <c r="E22" i="12"/>
  <c r="G22" i="12" s="1"/>
  <c r="AD22" i="12" s="1"/>
  <c r="G24" i="5"/>
  <c r="D24" i="5"/>
  <c r="G47" i="11"/>
  <c r="AD47" i="11" s="1"/>
  <c r="AG47" i="11" s="1"/>
  <c r="E20" i="12"/>
  <c r="G20" i="12" s="1"/>
  <c r="AD20" i="12" s="1"/>
  <c r="H6" i="7"/>
  <c r="H43" i="7"/>
  <c r="H30" i="7"/>
  <c r="E54" i="11" s="1"/>
  <c r="H21" i="7"/>
  <c r="E45" i="11" s="1"/>
  <c r="H29" i="7"/>
  <c r="E53" i="11" s="1"/>
  <c r="H20" i="7"/>
  <c r="H31" i="7"/>
  <c r="E55" i="11" s="1"/>
  <c r="H28" i="7"/>
  <c r="E52" i="11" s="1"/>
  <c r="H27" i="7"/>
  <c r="E51" i="11" s="1"/>
  <c r="H26" i="7"/>
  <c r="E50" i="11" s="1"/>
  <c r="H24" i="7"/>
  <c r="E48" i="11" s="1"/>
  <c r="H8" i="7"/>
  <c r="E8" i="11" s="1"/>
  <c r="H37" i="7"/>
  <c r="H15" i="7"/>
  <c r="E13" i="11" s="1"/>
  <c r="H13" i="5" l="1"/>
  <c r="H11" i="5" s="1"/>
  <c r="E13" i="5"/>
  <c r="D46" i="6"/>
  <c r="D45" i="6" s="1"/>
  <c r="C46" i="6"/>
  <c r="G53" i="11"/>
  <c r="AD53" i="11" s="1"/>
  <c r="AG53" i="11" s="1"/>
  <c r="E26" i="12"/>
  <c r="G26" i="12" s="1"/>
  <c r="AD26" i="12" s="1"/>
  <c r="AN15" i="12"/>
  <c r="AI15" i="12"/>
  <c r="C27" i="6"/>
  <c r="D27" i="6"/>
  <c r="D28" i="6" s="1"/>
  <c r="H19" i="5"/>
  <c r="E19" i="5"/>
  <c r="E8" i="12"/>
  <c r="F8" i="12" s="1"/>
  <c r="AD8" i="12" s="1"/>
  <c r="F8" i="11"/>
  <c r="AD8" i="11" s="1"/>
  <c r="AG8" i="11" s="1"/>
  <c r="G45" i="11"/>
  <c r="AD45" i="11" s="1"/>
  <c r="AG45" i="11" s="1"/>
  <c r="E18" i="12"/>
  <c r="G18" i="12" s="1"/>
  <c r="AD18" i="12" s="1"/>
  <c r="J24" i="5"/>
  <c r="F24" i="5"/>
  <c r="AN14" i="12"/>
  <c r="AI14" i="12"/>
  <c r="H20" i="5"/>
  <c r="E20" i="5"/>
  <c r="AN20" i="12"/>
  <c r="AI20" i="12"/>
  <c r="H29" i="5"/>
  <c r="H39" i="5" s="1"/>
  <c r="E29" i="5"/>
  <c r="G48" i="11"/>
  <c r="AD48" i="11" s="1"/>
  <c r="AG48" i="11" s="1"/>
  <c r="E21" i="12"/>
  <c r="G21" i="12" s="1"/>
  <c r="AD21" i="12" s="1"/>
  <c r="E27" i="12"/>
  <c r="G27" i="12" s="1"/>
  <c r="AD27" i="12" s="1"/>
  <c r="G54" i="11"/>
  <c r="AD54" i="11" s="1"/>
  <c r="AG54" i="11" s="1"/>
  <c r="I24" i="5"/>
  <c r="M24" i="5"/>
  <c r="E78" i="10"/>
  <c r="X78" i="10" s="1"/>
  <c r="BG78" i="10" s="1"/>
  <c r="C44" i="6"/>
  <c r="E44" i="6" s="1"/>
  <c r="E41" i="6"/>
  <c r="C34" i="6"/>
  <c r="D34" i="6"/>
  <c r="E23" i="12"/>
  <c r="G23" i="12" s="1"/>
  <c r="AD23" i="12" s="1"/>
  <c r="G50" i="11"/>
  <c r="AD50" i="11" s="1"/>
  <c r="AG50" i="11" s="1"/>
  <c r="H46" i="7"/>
  <c r="E124" i="11"/>
  <c r="U124" i="11" s="1"/>
  <c r="AD124" i="11" s="1"/>
  <c r="AG124" i="11" s="1"/>
  <c r="AN22" i="12"/>
  <c r="AI22" i="12"/>
  <c r="H32" i="7"/>
  <c r="E44" i="11"/>
  <c r="E21" i="5"/>
  <c r="H21" i="5"/>
  <c r="E24" i="12"/>
  <c r="G24" i="12" s="1"/>
  <c r="AD24" i="12" s="1"/>
  <c r="G51" i="11"/>
  <c r="AD51" i="11" s="1"/>
  <c r="AG51" i="11" s="1"/>
  <c r="E6" i="11"/>
  <c r="H12" i="7"/>
  <c r="F12" i="7"/>
  <c r="H18" i="7"/>
  <c r="H34" i="7" s="1"/>
  <c r="L18" i="5"/>
  <c r="E40" i="9"/>
  <c r="Q40" i="9" s="1"/>
  <c r="BH40" i="9" s="1"/>
  <c r="H60" i="7"/>
  <c r="G36" i="5"/>
  <c r="D36" i="5"/>
  <c r="D38" i="6"/>
  <c r="C38" i="6"/>
  <c r="E13" i="12"/>
  <c r="F13" i="12" s="1"/>
  <c r="AD13" i="12" s="1"/>
  <c r="F13" i="11"/>
  <c r="AD13" i="11" s="1"/>
  <c r="AG13" i="11" s="1"/>
  <c r="E25" i="12"/>
  <c r="G25" i="12" s="1"/>
  <c r="AD25" i="12" s="1"/>
  <c r="G52" i="11"/>
  <c r="G203" i="11" s="1"/>
  <c r="G204" i="11" s="1"/>
  <c r="AN11" i="12"/>
  <c r="AI11" i="12"/>
  <c r="E188" i="11"/>
  <c r="U172" i="11"/>
  <c r="U174" i="11" s="1"/>
  <c r="D9" i="6"/>
  <c r="C9" i="6"/>
  <c r="E119" i="11"/>
  <c r="H41" i="7"/>
  <c r="G55" i="11"/>
  <c r="AD55" i="11" s="1"/>
  <c r="AG55" i="11" s="1"/>
  <c r="E28" i="12"/>
  <c r="G28" i="12" s="1"/>
  <c r="AD28" i="12" s="1"/>
  <c r="C37" i="6"/>
  <c r="D37" i="6"/>
  <c r="G19" i="12"/>
  <c r="AD19" i="12" s="1"/>
  <c r="K20" i="5" l="1"/>
  <c r="G68" i="12"/>
  <c r="K21" i="5"/>
  <c r="H47" i="7"/>
  <c r="H48" i="7" s="1"/>
  <c r="H63" i="7" s="1"/>
  <c r="AD52" i="11"/>
  <c r="AG52" i="11" s="1"/>
  <c r="AD172" i="11"/>
  <c r="AN23" i="12"/>
  <c r="AI23" i="12"/>
  <c r="AN18" i="12"/>
  <c r="AI18" i="12"/>
  <c r="E17" i="12"/>
  <c r="G17" i="12" s="1"/>
  <c r="AD17" i="12" s="1"/>
  <c r="G44" i="11"/>
  <c r="G98" i="11" s="1"/>
  <c r="G117" i="11" s="1"/>
  <c r="G170" i="11" s="1"/>
  <c r="G190" i="11" s="1"/>
  <c r="AD174" i="11"/>
  <c r="U180" i="11"/>
  <c r="U188" i="11" s="1"/>
  <c r="E77" i="10"/>
  <c r="X77" i="10" s="1"/>
  <c r="BG77" i="10" s="1"/>
  <c r="E38" i="6"/>
  <c r="E34" i="6"/>
  <c r="E73" i="10"/>
  <c r="C39" i="6"/>
  <c r="AN27" i="12"/>
  <c r="AI27" i="12"/>
  <c r="AN26" i="12"/>
  <c r="AI26" i="12"/>
  <c r="D39" i="6"/>
  <c r="AN21" i="12"/>
  <c r="AI21" i="12"/>
  <c r="AN8" i="12"/>
  <c r="AI8" i="12"/>
  <c r="E76" i="10"/>
  <c r="X76" i="10" s="1"/>
  <c r="BG76" i="10" s="1"/>
  <c r="E37" i="6"/>
  <c r="AN28" i="12"/>
  <c r="AI28" i="12"/>
  <c r="J36" i="5"/>
  <c r="M36" i="5" s="1"/>
  <c r="F36" i="5"/>
  <c r="E20" i="11"/>
  <c r="E6" i="12"/>
  <c r="F6" i="11"/>
  <c r="F98" i="11" s="1"/>
  <c r="F117" i="11" s="1"/>
  <c r="F170" i="11" s="1"/>
  <c r="F190" i="11" s="1"/>
  <c r="F191" i="11" s="1"/>
  <c r="F192" i="11" s="1"/>
  <c r="E98" i="11"/>
  <c r="E117" i="11" s="1"/>
  <c r="K19" i="5"/>
  <c r="E133" i="10"/>
  <c r="C45" i="6"/>
  <c r="AN13" i="12"/>
  <c r="AI13" i="12"/>
  <c r="E159" i="11"/>
  <c r="U119" i="11"/>
  <c r="U159" i="11" s="1"/>
  <c r="U170" i="11" s="1"/>
  <c r="I36" i="5"/>
  <c r="K29" i="5"/>
  <c r="E39" i="5"/>
  <c r="AN19" i="12"/>
  <c r="AI19" i="12"/>
  <c r="E9" i="6"/>
  <c r="E7" i="10"/>
  <c r="AN24" i="12"/>
  <c r="AI24" i="12"/>
  <c r="L24" i="5"/>
  <c r="E64" i="9"/>
  <c r="K13" i="5"/>
  <c r="E11" i="5"/>
  <c r="K11" i="5" s="1"/>
  <c r="AN25" i="12"/>
  <c r="AI25" i="12"/>
  <c r="E27" i="6"/>
  <c r="E43" i="10"/>
  <c r="C28" i="6"/>
  <c r="E170" i="11" l="1"/>
  <c r="E190" i="11" s="1"/>
  <c r="U190" i="11"/>
  <c r="U191" i="11" s="1"/>
  <c r="U192" i="11" s="1"/>
  <c r="AD6" i="11"/>
  <c r="E39" i="6"/>
  <c r="K39" i="5"/>
  <c r="AD44" i="11"/>
  <c r="AG44" i="11" s="1"/>
  <c r="BG133" i="10"/>
  <c r="E138" i="10"/>
  <c r="L36" i="5"/>
  <c r="E111" i="9"/>
  <c r="X73" i="10"/>
  <c r="X138" i="10" s="1"/>
  <c r="X140" i="10" s="1"/>
  <c r="X146" i="10" s="1"/>
  <c r="AN17" i="12"/>
  <c r="AI17" i="12"/>
  <c r="E45" i="6"/>
  <c r="Q7" i="10"/>
  <c r="BG7" i="10" s="1"/>
  <c r="G191" i="11"/>
  <c r="G200" i="11" s="1"/>
  <c r="AD119" i="11"/>
  <c r="AG6" i="11"/>
  <c r="E28" i="6"/>
  <c r="S64" i="9"/>
  <c r="BH64" i="9" s="1"/>
  <c r="E194" i="11"/>
  <c r="E191" i="11"/>
  <c r="V43" i="10"/>
  <c r="V69" i="10" s="1"/>
  <c r="V140" i="10" s="1"/>
  <c r="E69" i="10"/>
  <c r="F6" i="12"/>
  <c r="F68" i="12" s="1"/>
  <c r="E68" i="12"/>
  <c r="AG174" i="11"/>
  <c r="F130" i="16"/>
  <c r="F136" i="16" s="1"/>
  <c r="F144" i="16" s="1"/>
  <c r="F146" i="16" s="1"/>
  <c r="F150" i="16" s="1"/>
  <c r="AD180" i="11"/>
  <c r="AG180" i="11" s="1"/>
  <c r="AG172" i="11"/>
  <c r="AD191" i="11" l="1"/>
  <c r="E192" i="11"/>
  <c r="G192" i="11"/>
  <c r="AD98" i="11"/>
  <c r="AD117" i="11" s="1"/>
  <c r="D46" i="5"/>
  <c r="G46" i="5"/>
  <c r="D13" i="5"/>
  <c r="G13" i="5"/>
  <c r="AD188" i="11"/>
  <c r="AG188" i="11" s="1"/>
  <c r="T111" i="9"/>
  <c r="BH111" i="9" s="1"/>
  <c r="G19" i="5"/>
  <c r="I19" i="5" s="1"/>
  <c r="D19" i="5"/>
  <c r="BG43" i="10"/>
  <c r="BG69" i="10" s="1"/>
  <c r="D29" i="5"/>
  <c r="G29" i="5"/>
  <c r="G17" i="5"/>
  <c r="D17" i="5"/>
  <c r="G37" i="5"/>
  <c r="D37" i="5"/>
  <c r="E17" i="5"/>
  <c r="H17" i="5"/>
  <c r="H16" i="5" s="1"/>
  <c r="H26" i="5" s="1"/>
  <c r="H47" i="5" s="1"/>
  <c r="G21" i="5"/>
  <c r="I21" i="5" s="1"/>
  <c r="D21" i="5"/>
  <c r="AD159" i="11"/>
  <c r="AG159" i="11" s="1"/>
  <c r="AG119" i="11"/>
  <c r="D20" i="5"/>
  <c r="G20" i="5"/>
  <c r="I20" i="5" s="1"/>
  <c r="G25" i="5"/>
  <c r="D25" i="5"/>
  <c r="AD6" i="12"/>
  <c r="D22" i="5"/>
  <c r="G22" i="5"/>
  <c r="I22" i="5" s="1"/>
  <c r="BG73" i="10"/>
  <c r="BG138" i="10" s="1"/>
  <c r="F147" i="16" l="1"/>
  <c r="AD203" i="11"/>
  <c r="AD206" i="11" s="1"/>
  <c r="G149" i="13"/>
  <c r="G157" i="13" s="1"/>
  <c r="AG191" i="11"/>
  <c r="AG98" i="11"/>
  <c r="AD192" i="11"/>
  <c r="G16" i="5"/>
  <c r="I16" i="5" s="1"/>
  <c r="I17" i="5"/>
  <c r="AI6" i="12"/>
  <c r="AN6" i="12"/>
  <c r="AD68" i="12"/>
  <c r="I29" i="5"/>
  <c r="J22" i="5"/>
  <c r="M22" i="5" s="1"/>
  <c r="F22" i="5"/>
  <c r="J25" i="5"/>
  <c r="J23" i="5" s="1"/>
  <c r="F25" i="5"/>
  <c r="D23" i="5"/>
  <c r="I25" i="5"/>
  <c r="G23" i="5"/>
  <c r="J29" i="5"/>
  <c r="M29" i="5" s="1"/>
  <c r="F29" i="5"/>
  <c r="G11" i="5"/>
  <c r="I11" i="5" s="1"/>
  <c r="I13" i="5"/>
  <c r="E16" i="5"/>
  <c r="E26" i="5" s="1"/>
  <c r="K17" i="5"/>
  <c r="K16" i="5" s="1"/>
  <c r="J13" i="5"/>
  <c r="M13" i="5" s="1"/>
  <c r="F13" i="5"/>
  <c r="D11" i="5"/>
  <c r="AG117" i="11"/>
  <c r="AD170" i="11"/>
  <c r="J37" i="5"/>
  <c r="M37" i="5" s="1"/>
  <c r="F37" i="5"/>
  <c r="D35" i="5"/>
  <c r="D39" i="5" s="1"/>
  <c r="J20" i="5"/>
  <c r="M20" i="5" s="1"/>
  <c r="F20" i="5"/>
  <c r="J21" i="5"/>
  <c r="M21" i="5" s="1"/>
  <c r="F21" i="5"/>
  <c r="I37" i="5"/>
  <c r="G35" i="5"/>
  <c r="I35" i="5" s="1"/>
  <c r="I39" i="5" s="1"/>
  <c r="F19" i="5"/>
  <c r="J19" i="5"/>
  <c r="M19" i="5" s="1"/>
  <c r="G45" i="5"/>
  <c r="I45" i="5" s="1"/>
  <c r="I46" i="5"/>
  <c r="D16" i="5"/>
  <c r="F17" i="5"/>
  <c r="J17" i="5"/>
  <c r="M17" i="5" s="1"/>
  <c r="J46" i="5"/>
  <c r="M46" i="5" s="1"/>
  <c r="F46" i="5"/>
  <c r="D45" i="5"/>
  <c r="P149" i="13" l="1"/>
  <c r="P157" i="13" s="1"/>
  <c r="M16" i="5"/>
  <c r="F16" i="5"/>
  <c r="F148" i="16"/>
  <c r="AG192" i="11"/>
  <c r="G160" i="13"/>
  <c r="L21" i="5"/>
  <c r="E43" i="9"/>
  <c r="Q43" i="9" s="1"/>
  <c r="BH43" i="9" s="1"/>
  <c r="F11" i="5"/>
  <c r="L11" i="5" s="1"/>
  <c r="J11" i="5"/>
  <c r="M11" i="5" s="1"/>
  <c r="L29" i="5"/>
  <c r="E98" i="9"/>
  <c r="AI68" i="12"/>
  <c r="AN68" i="12"/>
  <c r="AD70" i="12"/>
  <c r="AI70" i="12" s="1"/>
  <c r="E42" i="9"/>
  <c r="Q42" i="9" s="1"/>
  <c r="BH42" i="9" s="1"/>
  <c r="L20" i="5"/>
  <c r="G26" i="5"/>
  <c r="I23" i="5"/>
  <c r="I26" i="5" s="1"/>
  <c r="I47" i="5" s="1"/>
  <c r="E44" i="9"/>
  <c r="Q44" i="9" s="1"/>
  <c r="BH44" i="9" s="1"/>
  <c r="L22" i="5"/>
  <c r="E39" i="9"/>
  <c r="L17" i="5"/>
  <c r="E15" i="9"/>
  <c r="L13" i="5"/>
  <c r="M25" i="5"/>
  <c r="M23" i="5" s="1"/>
  <c r="F45" i="5"/>
  <c r="L45" i="5" s="1"/>
  <c r="J45" i="5"/>
  <c r="M45" i="5" s="1"/>
  <c r="F35" i="5"/>
  <c r="L35" i="5" s="1"/>
  <c r="J35" i="5"/>
  <c r="M35" i="5" s="1"/>
  <c r="L46" i="5"/>
  <c r="E168" i="9"/>
  <c r="BH168" i="9" s="1"/>
  <c r="L19" i="5"/>
  <c r="E41" i="9"/>
  <c r="Q41" i="9" s="1"/>
  <c r="BH41" i="9" s="1"/>
  <c r="E112" i="9"/>
  <c r="L37" i="5"/>
  <c r="K26" i="5"/>
  <c r="E47" i="5"/>
  <c r="K47" i="5" s="1"/>
  <c r="G39" i="5"/>
  <c r="D26" i="5"/>
  <c r="D47" i="5" s="1"/>
  <c r="F23" i="5"/>
  <c r="J16" i="5"/>
  <c r="AD190" i="11"/>
  <c r="AG170" i="11"/>
  <c r="E65" i="9"/>
  <c r="L25" i="5"/>
  <c r="L23" i="5" s="1"/>
  <c r="F39" i="5" l="1"/>
  <c r="F26" i="5"/>
  <c r="L26" i="5" s="1"/>
  <c r="G167" i="13"/>
  <c r="P160" i="13"/>
  <c r="P167" i="13" s="1"/>
  <c r="P169" i="13" s="1"/>
  <c r="P254" i="13" s="1"/>
  <c r="P256" i="13" s="1"/>
  <c r="P260" i="13" s="1"/>
  <c r="T112" i="9"/>
  <c r="T141" i="9" s="1"/>
  <c r="E141" i="9"/>
  <c r="E105" i="9"/>
  <c r="T98" i="9"/>
  <c r="T105" i="9" s="1"/>
  <c r="G47" i="5"/>
  <c r="L16" i="5"/>
  <c r="AD194" i="11"/>
  <c r="AG190" i="11"/>
  <c r="L39" i="5"/>
  <c r="F47" i="5"/>
  <c r="E37" i="9"/>
  <c r="R15" i="9"/>
  <c r="R37" i="9" s="1"/>
  <c r="R95" i="9" s="1"/>
  <c r="R176" i="9" s="1"/>
  <c r="R177" i="9" s="1"/>
  <c r="E62" i="9"/>
  <c r="Q39" i="9"/>
  <c r="Q62" i="9" s="1"/>
  <c r="Q95" i="9" s="1"/>
  <c r="Q176" i="9" s="1"/>
  <c r="Q177" i="9" s="1"/>
  <c r="BH39" i="9"/>
  <c r="J39" i="5"/>
  <c r="M39" i="5" s="1"/>
  <c r="S65" i="9"/>
  <c r="S89" i="9" s="1"/>
  <c r="S95" i="9" s="1"/>
  <c r="S176" i="9" s="1"/>
  <c r="S177" i="9" s="1"/>
  <c r="E89" i="9"/>
  <c r="J26" i="5"/>
  <c r="M26" i="5" s="1"/>
  <c r="BH65" i="9" l="1"/>
  <c r="BH89" i="9" s="1"/>
  <c r="F10" i="15" s="1"/>
  <c r="BH112" i="9"/>
  <c r="BH141" i="9" s="1"/>
  <c r="F15" i="15" s="1"/>
  <c r="E173" i="9"/>
  <c r="BH98" i="9"/>
  <c r="BH105" i="9" s="1"/>
  <c r="L47" i="5"/>
  <c r="T173" i="9"/>
  <c r="E95" i="9"/>
  <c r="E176" i="9" s="1"/>
  <c r="BH15" i="9"/>
  <c r="BH37" i="9" s="1"/>
  <c r="F8" i="15" s="1"/>
  <c r="J47" i="5"/>
  <c r="M47" i="5" s="1"/>
  <c r="BH95" i="9" l="1"/>
  <c r="T180" i="9"/>
  <c r="T176" i="9"/>
  <c r="T177" i="9" s="1"/>
  <c r="F12" i="15"/>
  <c r="E178" i="9"/>
  <c r="BH176" i="9"/>
  <c r="F13" i="15"/>
  <c r="F19" i="15" s="1"/>
  <c r="BH173" i="9"/>
  <c r="F21" i="15" l="1"/>
  <c r="U146" i="13"/>
  <c r="X146" i="13" l="1"/>
  <c r="AE146" i="13"/>
  <c r="D17" i="6" l="1"/>
  <c r="D21" i="6" s="1"/>
  <c r="D30" i="6" s="1"/>
  <c r="D47" i="6" s="1"/>
  <c r="D49" i="6" s="1"/>
  <c r="C17" i="6"/>
  <c r="E13" i="10" l="1"/>
  <c r="E17" i="6"/>
  <c r="C21" i="6"/>
  <c r="H64" i="7"/>
  <c r="E21" i="6" l="1"/>
  <c r="C30" i="6"/>
  <c r="Q13" i="10"/>
  <c r="Q26" i="10" s="1"/>
  <c r="Q38" i="10" s="1"/>
  <c r="Q140" i="10" s="1"/>
  <c r="E26" i="10"/>
  <c r="E38" i="10" s="1"/>
  <c r="E140" i="10" s="1"/>
  <c r="G48" i="5"/>
  <c r="BG13" i="10" l="1"/>
  <c r="BG26" i="10" s="1"/>
  <c r="BG38" i="10" s="1"/>
  <c r="BG140" i="10" s="1"/>
  <c r="BG143" i="10" s="1"/>
  <c r="E143" i="10"/>
  <c r="E179" i="9"/>
  <c r="E30" i="6"/>
  <c r="C47" i="6"/>
  <c r="E142" i="10" s="1"/>
  <c r="F23" i="15" l="1"/>
  <c r="F25" i="15" s="1"/>
  <c r="F29" i="15" s="1"/>
  <c r="F43" i="15" s="1"/>
  <c r="F45" i="15" s="1"/>
  <c r="C49" i="6"/>
  <c r="E47" i="6"/>
  <c r="BH178" i="9"/>
  <c r="BJ178" i="9" s="1"/>
  <c r="BH180" i="9" l="1"/>
  <c r="BL143" i="10"/>
  <c r="I48" i="5"/>
  <c r="F4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Gildas ANTONY</author>
  </authors>
  <commentList>
    <comment ref="BD1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Ajutement sur le delta  CA à corriger fin Sept</t>
        </r>
      </text>
    </comment>
    <comment ref="BC18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Ajutement comptable spar rapport aux cartes expirées à déactiver sur le systément et au rapporcehement d PCA comptable au PCA Théorique.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Gildas ANTONY</author>
  </authors>
  <commentList>
    <comment ref="U6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Intérimaire + Billet  de vacances </t>
        </r>
      </text>
    </comment>
    <comment ref="U7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Reclassement variation de stock
+ reclassement des dons fondation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Gildas ANTONY</author>
  </authors>
  <commentList>
    <comment ref="P2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Prov pour dépréciation des sims  reclassée sur le valeur des kit en immo</t>
        </r>
      </text>
    </comment>
    <comment ref="P2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reclassé en ANC2330</t>
        </r>
      </text>
    </comment>
    <comment ref="P33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reclassé en ANC2330</t>
        </r>
      </text>
    </comment>
    <comment ref="P75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Neutralisation  des IDA et IDP</t>
        </r>
      </text>
    </comment>
    <comment ref="P8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Prov pour dépréciation des sims  reclassée sur le valeur des kit en immo</t>
        </r>
      </text>
    </comment>
    <comment ref="L182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 xml:space="preserve">Gildas ANTONY:
61 MF Ecriture post cloture  charge passee en compta 25 Mf vs 27 sur PIDR  écart à corigé en compta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GBAGUIDI</author>
    <author>Gildas ANTONY</author>
  </authors>
  <commentList>
    <comment ref="C86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GENEVIEVE NOULETOPE:</t>
        </r>
        <r>
          <rPr>
            <sz val="9"/>
            <color indexed="81"/>
            <rFont val="Tahoma"/>
            <family val="2"/>
          </rPr>
          <t xml:space="preserve">
Déterminé le 10/10/19</t>
        </r>
      </text>
    </comment>
    <comment ref="B91" authorId="1" shapeId="0" xr:uid="{00000000-0006-0000-1300-000002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activations au 23 Juin tiré du stat journalier de la DSI</t>
        </r>
      </text>
    </comment>
    <comment ref="B129" authorId="1" shapeId="0" xr:uid="{00000000-0006-0000-1300-000003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Source Business report</t>
        </r>
      </text>
    </comment>
    <comment ref="B130" authorId="1" shapeId="0" xr:uid="{00000000-0006-0000-1300-000004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Source Business report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Gildas ANTONY</author>
  </authors>
  <commentList>
    <comment ref="AI14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Suivant nouvelle échéancier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Gildas ANTONY</author>
  </authors>
  <commentList>
    <comment ref="H3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Estimation base Décembre 2016</t>
        </r>
      </text>
    </comment>
  </commentList>
</comments>
</file>

<file path=xl/sharedStrings.xml><?xml version="1.0" encoding="utf-8"?>
<sst xmlns="http://schemas.openxmlformats.org/spreadsheetml/2006/main" count="5159" uniqueCount="2633">
  <si>
    <t>Devise :</t>
  </si>
  <si>
    <t>En millions de FCFA</t>
  </si>
  <si>
    <t>Package Stand Alone IFRS Etisalat Bénin</t>
  </si>
  <si>
    <t>Date d'ouverture :</t>
  </si>
  <si>
    <t>Date de clôture :</t>
  </si>
  <si>
    <t>Cellule saisissable</t>
  </si>
  <si>
    <t>Cellule non saisissable</t>
  </si>
  <si>
    <t>Produits</t>
  </si>
  <si>
    <t>(+)</t>
  </si>
  <si>
    <t>Charges</t>
  </si>
  <si>
    <t>(-)</t>
  </si>
  <si>
    <t>Amortissements des actifs</t>
  </si>
  <si>
    <t>Provisions pour dépréciation des actifs</t>
  </si>
  <si>
    <t xml:space="preserve"> </t>
  </si>
  <si>
    <r>
      <rPr>
        <b/>
        <i/>
        <sz val="30"/>
        <color theme="4"/>
        <rFont val="Calibri Light"/>
        <family val="1"/>
        <scheme val="major"/>
      </rPr>
      <t>S</t>
    </r>
    <r>
      <rPr>
        <i/>
        <sz val="25"/>
        <color theme="4"/>
        <rFont val="Calibri Light"/>
        <family val="1"/>
        <scheme val="major"/>
      </rPr>
      <t>ommaire</t>
    </r>
  </si>
  <si>
    <t>Comptes sociaux - Normes OHADA</t>
  </si>
  <si>
    <t>Page</t>
  </si>
  <si>
    <t>Liens hypertextes</t>
  </si>
  <si>
    <t>Balance Générale</t>
  </si>
  <si>
    <t>Bilan - Actif</t>
  </si>
  <si>
    <t>Bilan - Passif</t>
  </si>
  <si>
    <t>Compte de résultat</t>
  </si>
  <si>
    <t>Matrice de passage OHADA - Normes IFRS</t>
  </si>
  <si>
    <t>Passage Bilan - Actif</t>
  </si>
  <si>
    <t>Passage Bilan - Passif</t>
  </si>
  <si>
    <t>Passage Compte de résultat - par nature</t>
  </si>
  <si>
    <t>Passage Compte de résultat - par fonction</t>
  </si>
  <si>
    <t>Bilan par flux</t>
  </si>
  <si>
    <t>Comptes IFRS</t>
  </si>
  <si>
    <t>Bilan simplifié</t>
  </si>
  <si>
    <t>P&amp;L - par nature</t>
  </si>
  <si>
    <t>P&amp;L par nature</t>
  </si>
  <si>
    <t>P&amp;L - par fonction</t>
  </si>
  <si>
    <t>P&amp;L par fonction</t>
  </si>
  <si>
    <t>Notes annexes IFRS</t>
  </si>
  <si>
    <t>Actifs financiers non  courants</t>
  </si>
  <si>
    <t>Actifs financiers  non courants</t>
  </si>
  <si>
    <t>Actifs financiers courants</t>
  </si>
  <si>
    <t>Fair value hierarchy</t>
  </si>
  <si>
    <t>Stocks</t>
  </si>
  <si>
    <t>Cartes SIM</t>
  </si>
  <si>
    <t>Effectif</t>
  </si>
  <si>
    <t>NEW</t>
  </si>
  <si>
    <t>Clients et comptes rattachés-Ageing</t>
  </si>
  <si>
    <t>Clients et comptes rattachés - Ageing</t>
  </si>
  <si>
    <t>Fournisseurs et comptes rattachés - Ageing</t>
  </si>
  <si>
    <t>Dettes  sur acquisition d'immobilisations</t>
  </si>
  <si>
    <t>Synthèse FND</t>
  </si>
  <si>
    <t>Dettes financières à long terme</t>
  </si>
  <si>
    <t>Dettes financières à court terme</t>
  </si>
  <si>
    <t>Trésorerie et équivalent de trésorerie</t>
  </si>
  <si>
    <t>Trésorerie et  équivalent de trésorerie</t>
  </si>
  <si>
    <t>Risque de change</t>
  </si>
  <si>
    <t>Covenants</t>
  </si>
  <si>
    <t>Nature des provisions-passif</t>
  </si>
  <si>
    <t>Provision par nature</t>
  </si>
  <si>
    <t>Maturité des provisions-passif</t>
  </si>
  <si>
    <t>Maturité des  provisions - passif</t>
  </si>
  <si>
    <t>Taux effectif d'impôt</t>
  </si>
  <si>
    <t>Nature des impôts différés actifs et passifs</t>
  </si>
  <si>
    <t>Dividendes</t>
  </si>
  <si>
    <t>Dettes SHL</t>
  </si>
  <si>
    <t>Management Fees</t>
  </si>
  <si>
    <t>Engagements hors bilan (EHB)</t>
  </si>
  <si>
    <t>Opérations avec les parties liées</t>
  </si>
  <si>
    <t>Dons</t>
  </si>
  <si>
    <t>Note de crédit</t>
  </si>
  <si>
    <t>PIDR</t>
  </si>
  <si>
    <t>Contrôles de cohérence</t>
  </si>
  <si>
    <t>Equilibres comptables &amp; Immobilisations</t>
  </si>
  <si>
    <t>Contrôle des équilibres comptables et immobilisations</t>
  </si>
  <si>
    <t>Provisions</t>
  </si>
  <si>
    <t>Contrôle des provisions</t>
  </si>
  <si>
    <t>Autres contrôles</t>
  </si>
  <si>
    <t>Comptes sociaux OHADA</t>
  </si>
  <si>
    <t>Sommaire</t>
  </si>
  <si>
    <t>Nº Compte</t>
  </si>
  <si>
    <t>Libellé</t>
  </si>
  <si>
    <t>IFRS</t>
  </si>
  <si>
    <t>Classe</t>
  </si>
  <si>
    <t>A2</t>
  </si>
  <si>
    <t>CAPITAL SOCIAL</t>
  </si>
  <si>
    <t>SN1131</t>
  </si>
  <si>
    <t>CAPITAL SOUSCRIT APPELE NON VE</t>
  </si>
  <si>
    <t>REPORT A NOUVEAU CREDITEUR</t>
  </si>
  <si>
    <t>REPORT A NOUVEAU DEBITEUR</t>
  </si>
  <si>
    <t>RESULTAT NET EN INSTANCE D'AFF</t>
  </si>
  <si>
    <t>SN1132</t>
  </si>
  <si>
    <t>RESULTAT NET : BENEFICE</t>
  </si>
  <si>
    <t>RESULTAT NET : PERTE</t>
  </si>
  <si>
    <t>PNC1606</t>
  </si>
  <si>
    <t>EMPRUNTS BANCAIRES</t>
  </si>
  <si>
    <t>PNC1602</t>
  </si>
  <si>
    <t>EMPRUNT GOLDEN FALCON INVESTIS</t>
  </si>
  <si>
    <t>PNC1603</t>
  </si>
  <si>
    <t>EMPRUNT CORIS BANK</t>
  </si>
  <si>
    <t>AUTRES CAUTIONNEMENTS</t>
  </si>
  <si>
    <t>PC4736  /PNC1608</t>
  </si>
  <si>
    <t>CAUTIONS DISTRIBUTEURS &amp; POSTP</t>
  </si>
  <si>
    <t>INTERETS COURUS SUR EMPRUNTS S</t>
  </si>
  <si>
    <t>PC4716</t>
  </si>
  <si>
    <t>INTERETS COURUS / EMPRUNTS BAN</t>
  </si>
  <si>
    <t>PC4722</t>
  </si>
  <si>
    <t>INTERETS COURUS EMPRUNTS AFREX</t>
  </si>
  <si>
    <t>INTERETS COURUS EMPRUNTS GOLDE</t>
  </si>
  <si>
    <t>PC4723</t>
  </si>
  <si>
    <t>PROVISIONS POUR PENSIONS ET OB</t>
  </si>
  <si>
    <t>PNC1504/PC4504</t>
  </si>
  <si>
    <t>PROVIS° PR PENSIONS ET OB</t>
  </si>
  <si>
    <t>AUTRES PROVISIONS FINANCIERES</t>
  </si>
  <si>
    <t>PNC1501/PC4501</t>
  </si>
  <si>
    <t>PROVISIONS POUR RISQUES</t>
  </si>
  <si>
    <t>CHARGES A ETALER</t>
  </si>
  <si>
    <t>Annuler en IFRS</t>
  </si>
  <si>
    <t>LICENCES GSM</t>
  </si>
  <si>
    <t>ANC2240</t>
  </si>
  <si>
    <t>AUTRES LICENCES ET BREVETS</t>
  </si>
  <si>
    <t>ANC2221</t>
  </si>
  <si>
    <t>LOGICIELS D'EXPLOITATION TECHN</t>
  </si>
  <si>
    <t>ANC2222</t>
  </si>
  <si>
    <t>LOGICIELS AUTRES APPLICATIONS</t>
  </si>
  <si>
    <t>IMOB INCORP EN COURS / LOGICIE</t>
  </si>
  <si>
    <t>A reclasser en IFRS</t>
  </si>
  <si>
    <t>TERRAINS POUR SITES</t>
  </si>
  <si>
    <t>ANC2310</t>
  </si>
  <si>
    <t>AUTRES TERRAINS BATIS</t>
  </si>
  <si>
    <t>TERRAINS EN COURS D'ACQUISITIO</t>
  </si>
  <si>
    <t>INFRASTRUCTURES</t>
  </si>
  <si>
    <t>ANC2330</t>
  </si>
  <si>
    <t>AMENAGEMENT TECHNIQUE</t>
  </si>
  <si>
    <t>EQUIPEMENTS D'ENERGIE</t>
  </si>
  <si>
    <t>AMENAGEMENT DE BUREAUX</t>
  </si>
  <si>
    <t>ANC2380</t>
  </si>
  <si>
    <t>AMENAGEMENT DES AGENCES</t>
  </si>
  <si>
    <t>AMENAGEMENT DES RESIDENCES</t>
  </si>
  <si>
    <t>AUTRES AMENAGEMENTS</t>
  </si>
  <si>
    <t>DIVERS INSTALLATIONS ET AGENCE</t>
  </si>
  <si>
    <t>BATIMENTS EN COURS</t>
  </si>
  <si>
    <t>ANC2320</t>
  </si>
  <si>
    <t>MATERIEL TRANSMISSION -  BSS</t>
  </si>
  <si>
    <t>MATERIEL DE TRANSMISSION - RAD</t>
  </si>
  <si>
    <t>MATERIEL DE COMMUTATION</t>
  </si>
  <si>
    <t>MATERIEL SVA</t>
  </si>
  <si>
    <t>EQUIPEMENTS DE MESURE ET DE TE</t>
  </si>
  <si>
    <t>MATERIEL DE BUREAU</t>
  </si>
  <si>
    <t>ANC2350</t>
  </si>
  <si>
    <t>MATERIEL INFORMATIQUE</t>
  </si>
  <si>
    <t>MOBILIER DE BUREAU</t>
  </si>
  <si>
    <t>MATERIEL ET MOBILIER DE LOGEME</t>
  </si>
  <si>
    <t>MATERIEL DE TRANSPORT</t>
  </si>
  <si>
    <t>ANC2340</t>
  </si>
  <si>
    <t>AUTRES MATERIELS DE TRANSPORT</t>
  </si>
  <si>
    <t>AUTRES MATERIELS</t>
  </si>
  <si>
    <t>MATERIELS TECHNIQUES EN COURS</t>
  </si>
  <si>
    <t>MATERIEL, MOBILIER LOCAL  EN C</t>
  </si>
  <si>
    <t>MATERIEL DE TRANSPORT EN COURS</t>
  </si>
  <si>
    <t>AVCES ET ACPTES / IMMOBILISATI</t>
  </si>
  <si>
    <t>ANC2360</t>
  </si>
  <si>
    <t>TITRES DE PARTICIPATIONS, CTRL</t>
  </si>
  <si>
    <t>ANC2511</t>
  </si>
  <si>
    <t>DEPOTS LOYERS</t>
  </si>
  <si>
    <t>AC3440</t>
  </si>
  <si>
    <t>DEPOTS ELECTRICITE</t>
  </si>
  <si>
    <t>DEPOTS EAU</t>
  </si>
  <si>
    <t>DEPOTS TELEPHONE / FAX</t>
  </si>
  <si>
    <t>AUTRES DEPOTS ET CAUTIONNEMENT</t>
  </si>
  <si>
    <t>ANC2438</t>
  </si>
  <si>
    <t>AMORT. LICENCES GSM</t>
  </si>
  <si>
    <t>ANC2824</t>
  </si>
  <si>
    <t>AMORT. AUTRES LICENCES ET BREV</t>
  </si>
  <si>
    <t>ANC28221</t>
  </si>
  <si>
    <t>AMORT. LOGICIELS D'EXPLOITATIO</t>
  </si>
  <si>
    <t>ANC28222</t>
  </si>
  <si>
    <t>AMORT. LOGICIELS AUTRES APPLIC</t>
  </si>
  <si>
    <t>AMORT INFRASTRUCTURES</t>
  </si>
  <si>
    <t>ANC2833</t>
  </si>
  <si>
    <t>AMORT AMENAGEMENT TECHNIQUE</t>
  </si>
  <si>
    <t>AMORT EQUIPEMENTS D'ENERGIE</t>
  </si>
  <si>
    <t>AMORT. AMENAGEMENT DE BUREAUX</t>
  </si>
  <si>
    <t>ANC2838</t>
  </si>
  <si>
    <t>AMORT. AMENAGEMENT AGENCES</t>
  </si>
  <si>
    <t>AMORT. AMENAGEMENT RESIDENCE</t>
  </si>
  <si>
    <t>AMORT. AUTRES AMENAGEMENTS</t>
  </si>
  <si>
    <t>AMORT. DIVERS INSTALLATIONS ET</t>
  </si>
  <si>
    <t>AMORT. MATERIEL DE TRANSMISSIO</t>
  </si>
  <si>
    <t>AMORT. MATERIEL DE COMMUTATION</t>
  </si>
  <si>
    <t>AMORT. MATERIEL SVA</t>
  </si>
  <si>
    <t>AMORT EQUIPEMENTS DE MESURE ET</t>
  </si>
  <si>
    <t>AMORT OUTILLAGE</t>
  </si>
  <si>
    <t>AMORT. MATERIEL DE BUREAU</t>
  </si>
  <si>
    <t>ANC2835</t>
  </si>
  <si>
    <t>AMORT. MATERIEL INFORMATIQUE</t>
  </si>
  <si>
    <t>AMORT. MOBILIER DE BUREAU</t>
  </si>
  <si>
    <t>AMORT. MATERIEL ET MOBILIER DE</t>
  </si>
  <si>
    <t>AMORT. MATERIEL DE TRANSPORT</t>
  </si>
  <si>
    <t>ANC2834</t>
  </si>
  <si>
    <t>AMORT. AUTRES MATERIELS DE TRA</t>
  </si>
  <si>
    <t>AMORT AUTRES MATERIELS</t>
  </si>
  <si>
    <t>Provision pour dépréciation du</t>
  </si>
  <si>
    <t>STOCKS DE TERMINAUX</t>
  </si>
  <si>
    <t>AC3110</t>
  </si>
  <si>
    <t>STOCKS D'ACCESSOIRES</t>
  </si>
  <si>
    <t>STOCKS DE CARTES SIM</t>
  </si>
  <si>
    <t>STOCKS DE CARTES KIT</t>
  </si>
  <si>
    <t>STOCKS DE CARTES @SIM</t>
  </si>
  <si>
    <t>STOCKS DE CARTES DE RECHARGES</t>
  </si>
  <si>
    <t>STOCKS DE PIECES DETACHEES ETB</t>
  </si>
  <si>
    <t>STK DE PIECES DETACHEES GNMS</t>
  </si>
  <si>
    <t>STOCKS DE CARBURANTS SITES</t>
  </si>
  <si>
    <t>STOCK DE FOURNITURES DE BUREAU</t>
  </si>
  <si>
    <t>STOCK DE FOURNITURE INFORMATIQ</t>
  </si>
  <si>
    <t>STOCK D'ETRENNE</t>
  </si>
  <si>
    <t>DEPRECIATION STOCKS DE TERMINA</t>
  </si>
  <si>
    <t>AC3910</t>
  </si>
  <si>
    <t>DEPRECIATION STOCKS ACCESSOIRE</t>
  </si>
  <si>
    <t>DEPRECIATION CARTE SIM &amp; ASIM</t>
  </si>
  <si>
    <t>DEPRECIATION CARTES DE RECHARG</t>
  </si>
  <si>
    <t>DEPRECIATION STOCKS APPROVISIO</t>
  </si>
  <si>
    <t>FOURNISSEURS INTERCONNEXIONS</t>
  </si>
  <si>
    <t>PC4420</t>
  </si>
  <si>
    <t>FRS INTERCONNEXION LOCAUX</t>
  </si>
  <si>
    <t>FRS INTERCONNEXION ETRANGER</t>
  </si>
  <si>
    <t>FRS INTERCONNEXION GROUPE</t>
  </si>
  <si>
    <t>FRS ROAMING</t>
  </si>
  <si>
    <t>FRS LOCATION D'INFRASTRUCTURE</t>
  </si>
  <si>
    <t>FRS BAILLEUR</t>
  </si>
  <si>
    <t>FRS Avocat, huissier notaire</t>
  </si>
  <si>
    <t>FRS MEDIA</t>
  </si>
  <si>
    <t>ELECTRICITE</t>
  </si>
  <si>
    <t>EAU</t>
  </si>
  <si>
    <t>ENTRETIEN ET MAINTENANCE</t>
  </si>
  <si>
    <t>AGENCE DE VOYAGE</t>
  </si>
  <si>
    <t>FOURNISSEURS DE GASOIL</t>
  </si>
  <si>
    <t>XTS COMMERCIAUX</t>
  </si>
  <si>
    <t>AUDITEURS ET CAC</t>
  </si>
  <si>
    <t>TRANSITAIRES</t>
  </si>
  <si>
    <t>HOTEL</t>
  </si>
  <si>
    <t>GARDIENNAGE</t>
  </si>
  <si>
    <t>TRANSPORT DE PLIS</t>
  </si>
  <si>
    <t>ASSOCIATION PROFESSIONNELLE</t>
  </si>
  <si>
    <t>CABINET HR</t>
  </si>
  <si>
    <t>SERVICES COMMERCIAUX</t>
  </si>
  <si>
    <t>ASSURANCE</t>
  </si>
  <si>
    <t>IMPRIMEUR</t>
  </si>
  <si>
    <t>FRS RETENUE DE GARANTIE</t>
  </si>
  <si>
    <t>FRS DIVERS</t>
  </si>
  <si>
    <t>FNP-FRS INTERCONNEXION LOC</t>
  </si>
  <si>
    <t>FNP-FRS INTERCO ETRANGER</t>
  </si>
  <si>
    <t>FNP-FRS INTERCO GROUPE</t>
  </si>
  <si>
    <t>FNP-FOURNISSEUR ROAMING</t>
  </si>
  <si>
    <t>FNP-FOURNISSEUR BAILLEUR</t>
  </si>
  <si>
    <t>FNP-FRS AVOCAT,HUISSIER</t>
  </si>
  <si>
    <t>SBEE-OPT FACT NON PARVENUES</t>
  </si>
  <si>
    <t>AUDITEURS CAC</t>
  </si>
  <si>
    <t>FNP-FOURNISSEUR DIVERS</t>
  </si>
  <si>
    <t>ACOMPTE SUR ACHAT</t>
  </si>
  <si>
    <t>AC3410</t>
  </si>
  <si>
    <t>CLIENT INTERCONNEXION LOCAUX</t>
  </si>
  <si>
    <t>AC3420</t>
  </si>
  <si>
    <t>CLIENT INTERCONNEXION ETRANGER</t>
  </si>
  <si>
    <t>CLIENT INTERCONNEXION GROUPE</t>
  </si>
  <si>
    <t>CLIENT ROAMING</t>
  </si>
  <si>
    <t>CLIENTS POSTPAID</t>
  </si>
  <si>
    <t>CLIENT AGENCE</t>
  </si>
  <si>
    <t>AGENCE MOOV</t>
  </si>
  <si>
    <t>AGENT GRAND COMPTE</t>
  </si>
  <si>
    <t>CLIENT RESEAU DE DISTRIBUTION</t>
  </si>
  <si>
    <t>CLIENTS RESEAU MINI MASTERS</t>
  </si>
  <si>
    <t>CLT LOCATION D'INFRASTRUCTURE</t>
  </si>
  <si>
    <t>CLIENT BROAD CAST</t>
  </si>
  <si>
    <t>CLIENT CREDIT SECOURS</t>
  </si>
  <si>
    <t>CLIENT TOP UP</t>
  </si>
  <si>
    <t>CLIENT DIVERS</t>
  </si>
  <si>
    <t>CLT LOCATAIRE INFRASTRUCTURE</t>
  </si>
  <si>
    <t>Client SMS Broad Cast</t>
  </si>
  <si>
    <t>CLIENTS, EFFETS A RECEVOIR</t>
  </si>
  <si>
    <t>CLIENTS POSTPAID DOUTEUX</t>
  </si>
  <si>
    <t>CLIENTS RESEAU MASTER DOUTEUX</t>
  </si>
  <si>
    <t>FAE-CLIENT INTERCO LOCAL</t>
  </si>
  <si>
    <t>FAE-CLIENT INTERCO ETRANGER</t>
  </si>
  <si>
    <t>FAE-CLIENT INTERCO GROUPE</t>
  </si>
  <si>
    <t>FAE-CLIENT POSTPAID</t>
  </si>
  <si>
    <t>FAE-CLIENT LOCATION D'INFRA</t>
  </si>
  <si>
    <t>FAE-CLIENT ROAMING</t>
  </si>
  <si>
    <t>FAE-CLIENT DIVERS</t>
  </si>
  <si>
    <t>CLIENTS, CREDITEURS</t>
  </si>
  <si>
    <t>AC3421</t>
  </si>
  <si>
    <t>RRR. ACCORDEES</t>
  </si>
  <si>
    <t>PC4410</t>
  </si>
  <si>
    <t>AVOIR AUX PARTENAIRES ROAMING</t>
  </si>
  <si>
    <t>PERSONNEL AVANCES ET ACOMPTES</t>
  </si>
  <si>
    <t>AC3430</t>
  </si>
  <si>
    <t>PERSON AVANCES FRAIS DE MISSIO</t>
  </si>
  <si>
    <t>PERSONNEL REMUNERATIONS DUES</t>
  </si>
  <si>
    <t>PC4430</t>
  </si>
  <si>
    <t>DETTES PROVISIONNEES POUR CONG</t>
  </si>
  <si>
    <t>PERSONNEL, AUTRES CHARGES A PA</t>
  </si>
  <si>
    <t>COTISATIONS SECURITE SOCIALE</t>
  </si>
  <si>
    <t>PC4440</t>
  </si>
  <si>
    <t>RETRAITE COMPLEMENTAIRE AUTRE</t>
  </si>
  <si>
    <t>CHARGES SOCIALES A PAYER</t>
  </si>
  <si>
    <t>ETAT, IMPOTS SUR BENEFICES</t>
  </si>
  <si>
    <t>ETAT, AUTRES IMPOTS ET TAXE</t>
  </si>
  <si>
    <t>PC4458 /AC3458</t>
  </si>
  <si>
    <t>Droit de douane</t>
  </si>
  <si>
    <t>TVA FACTUREE SUR VENTES</t>
  </si>
  <si>
    <t>PC4455</t>
  </si>
  <si>
    <t>TVA FACTUREE SUR PRESTATIONS D</t>
  </si>
  <si>
    <t>TVA SUR FACTURE A ETABLIR</t>
  </si>
  <si>
    <t>ETAT, TVA DUE</t>
  </si>
  <si>
    <t>PC4458</t>
  </si>
  <si>
    <t>ETAT, CREDIT DE TVA A REPORTER</t>
  </si>
  <si>
    <t>TVA RECUPERABLE SUR IMMOBILISA</t>
  </si>
  <si>
    <t>AC3455</t>
  </si>
  <si>
    <t>TVA RECUPERABLE SUR ACHATS</t>
  </si>
  <si>
    <t>TVA RECUPERABLE SUR FACTURES N</t>
  </si>
  <si>
    <t>IMPOT GENERAL SUR LE REVENU</t>
  </si>
  <si>
    <t>IMPOTS SUR SALAIRES</t>
  </si>
  <si>
    <t>ETAT, RETENUE DE 3% CLIENTS</t>
  </si>
  <si>
    <t>ETAT, RETENUE 10% FOURNISSEURS</t>
  </si>
  <si>
    <t>ETAT, RETENUE 1% FOURNISSEURS</t>
  </si>
  <si>
    <t>ETAT, RETENUE 5% FOURNISSEURS</t>
  </si>
  <si>
    <t>ETAT, RETENUE 12% FOURNISSEUR</t>
  </si>
  <si>
    <t>ETAT, RETENUE 3% FOURNISSEUR</t>
  </si>
  <si>
    <t>ETAT, CHARGES A PAYER</t>
  </si>
  <si>
    <t>ETAT AVANCE ET ACOMPTE SUR BIC</t>
  </si>
  <si>
    <t>AC3453</t>
  </si>
  <si>
    <t>ETAT, ACOMPT PRELEVE PAR LES T</t>
  </si>
  <si>
    <t>ETAT, ACOMPTE VALIDE</t>
  </si>
  <si>
    <t>ACTIONNAIRES, CAPITAL SOUSCRIT</t>
  </si>
  <si>
    <t>MAROC TELECOM  COMPTE COURANT</t>
  </si>
  <si>
    <t>PC44611/PC44614</t>
  </si>
  <si>
    <t>COMPTES COURANTS AT, DETTES PA</t>
  </si>
  <si>
    <t>COMPTES COURANTS AT, OPERATION</t>
  </si>
  <si>
    <t>PC44611/PC44617</t>
  </si>
  <si>
    <t>AT HOLDING NOTE DE DEBIT A REC</t>
  </si>
  <si>
    <t>PC44611/PC44618</t>
  </si>
  <si>
    <t>GROUPE, COMPTES COURANTS TELEC</t>
  </si>
  <si>
    <t>AC3510</t>
  </si>
  <si>
    <t>GROUPE, COMPTES COURANTS MOOV</t>
  </si>
  <si>
    <t>GROUPE, COMPTES COURANTS ACELL</t>
  </si>
  <si>
    <t>COMPTE D'ATTENTE</t>
  </si>
  <si>
    <t>PC4488</t>
  </si>
  <si>
    <t>FACTURES EN ATTENTE DE VALIDAT</t>
  </si>
  <si>
    <t>DEBITEURS DIVERS</t>
  </si>
  <si>
    <t>TELECEL BENIN SA PRODUIT A REF</t>
  </si>
  <si>
    <t>DEBITEURS DIVERS AUTRES F/SEUR</t>
  </si>
  <si>
    <t>CREDITEURS DIVERS</t>
  </si>
  <si>
    <t>CREDITEUR DIVERS / D. MOOVMONE</t>
  </si>
  <si>
    <t>CREDITEURS DIVERS CHARGES A PA</t>
  </si>
  <si>
    <t>Mobile Money Etisalat</t>
  </si>
  <si>
    <t>Mobile Money compte marchand</t>
  </si>
  <si>
    <t>Mobile Money Partenaires</t>
  </si>
  <si>
    <t>Mobile Money Autres</t>
  </si>
  <si>
    <t>SBEE RECHARGE ELECTRONIQUE</t>
  </si>
  <si>
    <t>CHARGES CONSTATEES D'AVANCE</t>
  </si>
  <si>
    <t>AC3490</t>
  </si>
  <si>
    <t>PRODUITS CONSTATES D'AVANCE S/</t>
  </si>
  <si>
    <t>PC4490</t>
  </si>
  <si>
    <t>PRODUITS CONSTATES D'AVCE MOOV</t>
  </si>
  <si>
    <t>ECARTS DE CONVERSION - ACTIF</t>
  </si>
  <si>
    <t>Eliminer en IFRS</t>
  </si>
  <si>
    <t>Augment des dettes finan</t>
  </si>
  <si>
    <t>ECARTS DE CONVERSION - PASSIF</t>
  </si>
  <si>
    <t>Diminution dette financ</t>
  </si>
  <si>
    <t>FRS INV D'IMMO INCORPORELLE</t>
  </si>
  <si>
    <t>PC4481</t>
  </si>
  <si>
    <t>FRS INV D'IMMO CORPORELLE</t>
  </si>
  <si>
    <t>ERICSSON FOURNISSEUR</t>
  </si>
  <si>
    <t>SAGEMCOM BENIN</t>
  </si>
  <si>
    <t>AVIAT</t>
  </si>
  <si>
    <t>PC4482</t>
  </si>
  <si>
    <t>FRS INV RETENUE DE GARANTIE</t>
  </si>
  <si>
    <t>FNPFRS D'INVESTISSEMENT</t>
  </si>
  <si>
    <t>CREANCE SUR CESSION D'IMMOB</t>
  </si>
  <si>
    <t>AC3488</t>
  </si>
  <si>
    <t>AUTRES CREANCES HAO</t>
  </si>
  <si>
    <t>AC3489</t>
  </si>
  <si>
    <t>PROVISIONS CREANCES CLIENTS PO</t>
  </si>
  <si>
    <t>AC39488</t>
  </si>
  <si>
    <t>PROVISIONS CREANCES DISTRIBUTE</t>
  </si>
  <si>
    <t>PROVISIONS CREANCES ROAMING</t>
  </si>
  <si>
    <t>RISQUES PROVISIONNES</t>
  </si>
  <si>
    <t>PC4501/PC4502/PC4505</t>
  </si>
  <si>
    <t>EFFETS A L'ENCAISSEMENT</t>
  </si>
  <si>
    <t>AC5140</t>
  </si>
  <si>
    <t>CHEQUES A ENCAISSER</t>
  </si>
  <si>
    <t>BANQUE ATL BENIN CHEQUES A DAT</t>
  </si>
  <si>
    <t>CHEQUES IMPAYES</t>
  </si>
  <si>
    <t>Caisse Vir Flooz Cpt Principal</t>
  </si>
  <si>
    <t>Caisse Vir Flooz Agce Siège</t>
  </si>
  <si>
    <t>Caisse Vir Flooz Agce Steinmet</t>
  </si>
  <si>
    <t>Caisse Vir Flooz Agce Ganhi</t>
  </si>
  <si>
    <t>Caisse Vir Flooz Agce Aeroport</t>
  </si>
  <si>
    <t>Caisse Vir Flooz Agce Etoile R</t>
  </si>
  <si>
    <t>Caisse Vir Flooz Agce Menontin</t>
  </si>
  <si>
    <t>Caisse Vir Flooz Agce Calavi</t>
  </si>
  <si>
    <t>Caisse Vir Flooz Agce Parakou</t>
  </si>
  <si>
    <t>Caisse Vir Flooz Agce Bohicon</t>
  </si>
  <si>
    <t>Caisse Vir Flooz Agce AGLA</t>
  </si>
  <si>
    <t>Caisse Vir Flooz Agce SEGBEYA</t>
  </si>
  <si>
    <t>Caisse Vir Flooz Agce Natiting</t>
  </si>
  <si>
    <t>Caisse Vir Flooz Agce Porto No</t>
  </si>
  <si>
    <t>Caisse Vir Flooz Agce Kandi</t>
  </si>
  <si>
    <t>Caisse Vir Flooz Agce Azove</t>
  </si>
  <si>
    <t>Caisse Vir Flooz Agce Come</t>
  </si>
  <si>
    <t>Caisse Vir Flooz Agce Lokossa</t>
  </si>
  <si>
    <t>Caisse Vir Flooz Agce UAC</t>
  </si>
  <si>
    <t>Caisse Vir Flooz Agce Cocotome</t>
  </si>
  <si>
    <t>Caisse Vir Flooz Agce Ste RITA</t>
  </si>
  <si>
    <t>Caisse Vir Flooz Agce Houdegbe</t>
  </si>
  <si>
    <t>CAISSE FLOOZ AGCE TANTO</t>
  </si>
  <si>
    <t>CAISSE FLOOZ AGCE ST MICHEL</t>
  </si>
  <si>
    <t>CAISSE FLOOZ PMT POSTPAID</t>
  </si>
  <si>
    <t>Caisse Virt Flooz Dép DG</t>
  </si>
  <si>
    <t>CORIS BANK</t>
  </si>
  <si>
    <t>CONTINENTAL BANK 2snd COMPTE D</t>
  </si>
  <si>
    <t>Ecobank Etisalat</t>
  </si>
  <si>
    <t>Sté Gle de Banques du Bénin (</t>
  </si>
  <si>
    <t>Banque Atlantique du Bénin ( B</t>
  </si>
  <si>
    <t>BANQUE ATLANTIQUE  COMPTE GARA</t>
  </si>
  <si>
    <t>BANQUE ATLANTIQUE PULL</t>
  </si>
  <si>
    <t>Bank Of Africa (BOA) Etilsalat</t>
  </si>
  <si>
    <t>CONTINENTAL BANK BENIN,  MEMBR</t>
  </si>
  <si>
    <t>CBAO</t>
  </si>
  <si>
    <t>DIAMOND BANK BENIN</t>
  </si>
  <si>
    <t>ECOBANK PULL</t>
  </si>
  <si>
    <t>ECOBANK PUSH &amp; PULL ECO APP</t>
  </si>
  <si>
    <t>UBA PUSH</t>
  </si>
  <si>
    <t>NATIONAL BANK OF ABU DHABI EUR</t>
  </si>
  <si>
    <t>NATIONAL BANK OF ABU DHABI DOL</t>
  </si>
  <si>
    <t>CLCAM KANDI RECETTE</t>
  </si>
  <si>
    <t>Caisse Vir Flooz Cpt Pull</t>
  </si>
  <si>
    <t>Caisse Vir Flooz Cpt Push</t>
  </si>
  <si>
    <t>Caisse Vir Flooz Cpt SBEE</t>
  </si>
  <si>
    <t>CAISSE VIRT FLOOZ AGENCE POBE</t>
  </si>
  <si>
    <t>CAISSE SIEGE DEPENSE</t>
  </si>
  <si>
    <t>CAISSE MOUVEMENT ETISALAT</t>
  </si>
  <si>
    <t>CAISSE RECETTES AGENCE STEINME</t>
  </si>
  <si>
    <t>CAISSE RECETTE AGENCE SIEGE ET</t>
  </si>
  <si>
    <t>CAISSE RECETTE AGENCE ETOILE R</t>
  </si>
  <si>
    <t>CAISSE RECETTE AGENCE MENONTIN</t>
  </si>
  <si>
    <t>CAISSE  RECETTE AGENCE AEROPOR</t>
  </si>
  <si>
    <t>CAISSE RECETTE AGENCE PORTO NO</t>
  </si>
  <si>
    <t>CAISSE RECETTE AGENCE BOHICON</t>
  </si>
  <si>
    <t>CAISSE RECETTE AGENCE PARAKOU</t>
  </si>
  <si>
    <t>CAISSE  RECETTE AGENCE KANDI</t>
  </si>
  <si>
    <t>CAISSE RECETTE AGENCE AZOVE</t>
  </si>
  <si>
    <t>CAISSE RECETTE AGENCE NATITING</t>
  </si>
  <si>
    <t>CAISSE RECETTES AGENCE AGLA</t>
  </si>
  <si>
    <t>CAISSE RECETTES AGENCE GANHI</t>
  </si>
  <si>
    <t>CAISSE RECETTES AGENCE COME</t>
  </si>
  <si>
    <t>CAISSE RECETTES AGENCE CALAVI</t>
  </si>
  <si>
    <t>CAISSE RECETTES AGENCE UAC</t>
  </si>
  <si>
    <t>CAISSE RECETTES AGENCE COCOTOM</t>
  </si>
  <si>
    <t>CAISSE RECETTES AGENCE SEGBEYA</t>
  </si>
  <si>
    <t>CAISSE RECETTES AGENCE LOKOSSA</t>
  </si>
  <si>
    <t>CAISSE RECETTE AGENCE STE RITA</t>
  </si>
  <si>
    <t>CAISSE RECETTE AGENCE   UNIPAR</t>
  </si>
  <si>
    <t>CAISSE RECETTE AGENCE TANTO</t>
  </si>
  <si>
    <t>CAISSE RECETTE AGCE ST MICHEL</t>
  </si>
  <si>
    <t>CAISSE FLOOZ AGENCE SIEGE</t>
  </si>
  <si>
    <t>CAISSE FLOOZ AGENCE STEINMETZ</t>
  </si>
  <si>
    <t>CAISSE FLOOZ AGENCE GANHI</t>
  </si>
  <si>
    <t>CAISSE FLOOZ AGENCE AEROPORT</t>
  </si>
  <si>
    <t>CAISSE FLOOZ AGENCE ETOILE ROU</t>
  </si>
  <si>
    <t>CAISSE FLOOZ AGENCE MENONTIN</t>
  </si>
  <si>
    <t>CAISSE FLOOZ AGENCE CALAVI</t>
  </si>
  <si>
    <t>CAISSE FLOOZ AGENCE PARAKOU</t>
  </si>
  <si>
    <t>CAISSE FLOOZ AGENCE BOHICON</t>
  </si>
  <si>
    <t>CAISSE FLOOZ AGENCE AGLA</t>
  </si>
  <si>
    <t>CAISSE FLOOZ  AGENCE SEGBEYA</t>
  </si>
  <si>
    <t>CAISSE FLOOZ AGENCE NATITINGOU</t>
  </si>
  <si>
    <t>CAISSE FLOOZ AGENCE PORTO NOVO</t>
  </si>
  <si>
    <t>CAISSE FLOOZ AGENCE KANDI</t>
  </si>
  <si>
    <t>CAISSE FLOOZ AGENCE AZOVE</t>
  </si>
  <si>
    <t>CAISSE FLOOZ AGENCE COME</t>
  </si>
  <si>
    <t>CAISSE FLOOZ AGENCE LOKOSSA</t>
  </si>
  <si>
    <t>CAISSE FLOOZ AGENCE UAC</t>
  </si>
  <si>
    <t>CAISSE FLOOZ AGENCE COCOTOMEY</t>
  </si>
  <si>
    <t>CAISSE FLOOZ AGENCE STE RITA</t>
  </si>
  <si>
    <t>CAISSE FLOOZ AGENCE TANTO</t>
  </si>
  <si>
    <t>CAISSE FLOOZ AGENCE ST MICHEL</t>
  </si>
  <si>
    <t>CAISSE FLOOZ AGENCE POBE</t>
  </si>
  <si>
    <t>VIREMENT DE FONDS</t>
  </si>
  <si>
    <t>RISQUES PROVISIONNES A CARACTE</t>
  </si>
  <si>
    <t>AC5911</t>
  </si>
  <si>
    <t>ACHATS UEMOA, ACCESSOIRES</t>
  </si>
  <si>
    <t>RC6111 Coûts des terminaux</t>
  </si>
  <si>
    <t>ACHATS HORS UEMOA, TERMINAUX</t>
  </si>
  <si>
    <t>ACHATS HORS UEMOA, ACCESSOIRES</t>
  </si>
  <si>
    <t>ACHATS HORS UEMOA, SIM</t>
  </si>
  <si>
    <t>RC6113  Autres achats consommés</t>
  </si>
  <si>
    <t>ACHATS HORS UEMOA, CARTES DE R</t>
  </si>
  <si>
    <t>VARIATION DE STOCKS, TERMINAUX</t>
  </si>
  <si>
    <t>VARIATION DE STOCKS, ACCESSOIR</t>
  </si>
  <si>
    <t>VARIATION DE STOCKS, SIM</t>
  </si>
  <si>
    <t>VARIATION DE STOCKS, @SIM</t>
  </si>
  <si>
    <t>VARIATION DE STOCKS, CARTES DE</t>
  </si>
  <si>
    <t>VARIATION DE STOCKS, CARBURANT</t>
  </si>
  <si>
    <t>RC6149 Charges opérationnelles diverses</t>
  </si>
  <si>
    <t>Variiation du stock des autres</t>
  </si>
  <si>
    <t>ACHATS CARBURANT</t>
  </si>
  <si>
    <t>EAU BUREAUX, ADMINISTRATION, C</t>
  </si>
  <si>
    <t>EAU RESIDENCES</t>
  </si>
  <si>
    <t>ELECTRICITE BUREAUX, ADMINISTR</t>
  </si>
  <si>
    <t>ELECTRICITE SITES TECHNIQUES</t>
  </si>
  <si>
    <t>ELECTRICITE RESIDENCES</t>
  </si>
  <si>
    <t>FRAIS DE CARBURANT ET LUBRIFIA</t>
  </si>
  <si>
    <t>FOURNITURES DE BUREAU NON STOC</t>
  </si>
  <si>
    <t>FOURNITURES INFORMATIQUES NON</t>
  </si>
  <si>
    <t>ACHATS PETIT MATERIEL ET OUTIL</t>
  </si>
  <si>
    <t>CHARGE INTERCONNEX° OPERATEUR NATIONAL BTSA</t>
  </si>
  <si>
    <t>RC6112 Charges d'interconnexion nationale et internationale</t>
  </si>
  <si>
    <t>CHARGES DE TRAFIC VOIX INTERNATIONAL BTSA</t>
  </si>
  <si>
    <t>CHARGES D'INTERCONNEXION OPERATEUR LIBERCOM</t>
  </si>
  <si>
    <t>CHARGES D'INTERCONNEXION OPERA</t>
  </si>
  <si>
    <t>CHARGE INTERCONNEXION OPERATEUR MTN</t>
  </si>
  <si>
    <t>CHARGES D'INTERCONNEXION OPERATEUR GLO</t>
  </si>
  <si>
    <t>CHARGES DE ROAMING</t>
  </si>
  <si>
    <t>REVERSEMENTS POUR SVA</t>
  </si>
  <si>
    <t>CHARGES DE TRAFIC VOIX INTERNATIONAL CARRIERS</t>
  </si>
  <si>
    <t>CHARGES DE TRAFIC, TRANSIT</t>
  </si>
  <si>
    <t>TRAVAUX, ACHATS MATERIELS ET E</t>
  </si>
  <si>
    <t>TRANSPORT VISITEURS</t>
  </si>
  <si>
    <t>TRANSPORTS DE PLIS</t>
  </si>
  <si>
    <t>VOYAGES ET DEPLACEMENTS</t>
  </si>
  <si>
    <t>AUTRES FRAIS DE TRANSPORTS</t>
  </si>
  <si>
    <t>LOYERS SITES TECHNIQUES</t>
  </si>
  <si>
    <t>RC6142 Locations et charges locatives</t>
  </si>
  <si>
    <t>LOYERS SIEGE ET AGENCES</t>
  </si>
  <si>
    <t>LOYERS ENTREPOTS</t>
  </si>
  <si>
    <t>LOYERS RESIDENCES</t>
  </si>
  <si>
    <t>LOYERS D'ESPACES EN CO-LOCATIO</t>
  </si>
  <si>
    <t>LOYERS LIAISONS SIGNALISATIONS</t>
  </si>
  <si>
    <t>LOYERS LIAISONS SEGMENT SPACIA</t>
  </si>
  <si>
    <t>LOYERS LIAISONS FIBRES OPTIQUE</t>
  </si>
  <si>
    <t>LOYERS AUTRES LIAISONS</t>
  </si>
  <si>
    <t>AUTRES LOCATIONS ET CHARGES LO</t>
  </si>
  <si>
    <t>ENTRETIEN ET REPARATIONS BATS</t>
  </si>
  <si>
    <t>RC6143 Entretiens, réparations et maintenances courantes</t>
  </si>
  <si>
    <t>ENTRETIEN ET REPARATIONS SITES</t>
  </si>
  <si>
    <t>ENTRETIEN ET REPARATIONS RESID</t>
  </si>
  <si>
    <t>ENTRETIEN ET REPARATIONS VEHIC</t>
  </si>
  <si>
    <t>ENTRETIEN ET REPARATIONS EQUIP</t>
  </si>
  <si>
    <t>ENTRETIEN MATERIEL INFORMATIQU</t>
  </si>
  <si>
    <t>MAINTENANCE EQUIPEMENTS TECHNI</t>
  </si>
  <si>
    <t>MAINTENANCE INFORMATIQUE</t>
  </si>
  <si>
    <t>AUTRES ENTRETIENS ET REPARATIO</t>
  </si>
  <si>
    <t>ASSURANCE MULTIRISQUES</t>
  </si>
  <si>
    <t>ASSURANCE MATERIEL DE TRANSPOR</t>
  </si>
  <si>
    <t>ASSURANCE DU PERSONNEL</t>
  </si>
  <si>
    <t>RC6122 Charges sociales</t>
  </si>
  <si>
    <t>DOCUMENTATION GENERALE</t>
  </si>
  <si>
    <t>DOCUMENTATION TECHNIQUE</t>
  </si>
  <si>
    <t>ANNONCES, INSERTIONS TELE</t>
  </si>
  <si>
    <t>RC6140 Communication</t>
  </si>
  <si>
    <t>ANNONCES, INSERTIONS RADIO</t>
  </si>
  <si>
    <t>ANNONCES, INSERTIONS PRESSE</t>
  </si>
  <si>
    <t>FRAIS D'AGENCES PUBLICITAIRES</t>
  </si>
  <si>
    <t>CONCEPTIONS, PRODUCTION PUBLIC</t>
  </si>
  <si>
    <t>CATALOGUES, IMPRIMES PUBLICITA</t>
  </si>
  <si>
    <t>ENSEIGNES PUBLICITAIRES - AFFI</t>
  </si>
  <si>
    <t>ACTIONS COMMERCIALES</t>
  </si>
  <si>
    <t>RELATIONS PUBLIQUES</t>
  </si>
  <si>
    <t>ENQUETES ET ETUDES DE MARCHES</t>
  </si>
  <si>
    <t>FRAIS DE TELEPHONE BUREAUX</t>
  </si>
  <si>
    <t>FRAIS DE TELEPHONE RESIDENCES</t>
  </si>
  <si>
    <t>FRAIS DE TELECOPIE</t>
  </si>
  <si>
    <t>AUTRES FRAIS DE COMMUNICATIONS</t>
  </si>
  <si>
    <t>FRAIS CONNEXION INTERNET</t>
  </si>
  <si>
    <t>AUTRES FRAIS BANCAIRES</t>
  </si>
  <si>
    <t>RC6145 Frais postaux et services bancaires</t>
  </si>
  <si>
    <t>FRAIS DE VIREMENT</t>
  </si>
  <si>
    <t>FRAIS D'ARRETES DE COMPTES</t>
  </si>
  <si>
    <t>COMMISSIONS DISTRIBUTEURS</t>
  </si>
  <si>
    <t>RC6141 Commissions</t>
  </si>
  <si>
    <t>HONORAIRES AVOCATS, HUISSIERS</t>
  </si>
  <si>
    <t>RC6144 Rémunérations des intermédiaires et honoraires</t>
  </si>
  <si>
    <t>HONORAIRES CONSULTANTS</t>
  </si>
  <si>
    <t>HONORAIRES CAC</t>
  </si>
  <si>
    <t>HONORAIRES AUDITEURS</t>
  </si>
  <si>
    <t>HONORAIRES DIVERS</t>
  </si>
  <si>
    <t>FRAIS DE GARDIENNAGE</t>
  </si>
  <si>
    <t>FRAIS DE GESTION ROAMING CHAMB</t>
  </si>
  <si>
    <t>MANAGEMENT FEES - FRAIS DE GES</t>
  </si>
  <si>
    <t>DIVERS FRAIS</t>
  </si>
  <si>
    <t>FRAIS DE FORMATION DU PERSONNE</t>
  </si>
  <si>
    <t>REDEVANCES AUTORITE DE REGULAT</t>
  </si>
  <si>
    <t>RC6132 Redevances régulateur</t>
  </si>
  <si>
    <t>REDEVANCES POUR MARQUE</t>
  </si>
  <si>
    <t>COTISATIONS</t>
  </si>
  <si>
    <t>CONCOURS DIVERS</t>
  </si>
  <si>
    <t>PERSONNEL INTERIMAIRE &amp; STAGIA</t>
  </si>
  <si>
    <t>RC6121 Traitements et salaires</t>
  </si>
  <si>
    <t>FRAIS DE RECRUTEMENT DU PERSON</t>
  </si>
  <si>
    <t>FRAIS DE DEMENAGEMENT</t>
  </si>
  <si>
    <t>RECEPTIONS PERSONNEL</t>
  </si>
  <si>
    <t>RECEPTIONS VISITEURS, DIVERS T</t>
  </si>
  <si>
    <t>MISSIONS &amp; FRAIS D'HOTELS PERS</t>
  </si>
  <si>
    <t>MISSIONS &amp; FRAIS D'HOTELS VISI</t>
  </si>
  <si>
    <t>IMPOTS FONCIERS ET TAXES ANNEX</t>
  </si>
  <si>
    <t>RC6131 Impôts et taxes direct et indirects</t>
  </si>
  <si>
    <t>PATENTES, LICENCES ET TAXES AN</t>
  </si>
  <si>
    <t>TAXES SUR APPOINTEMENTS ET SAL</t>
  </si>
  <si>
    <t>AUTRES IMPOTS ET TAXES DIRECTS</t>
  </si>
  <si>
    <t>IMPOTS ET TAXES INDIRECTS</t>
  </si>
  <si>
    <t>TAXES SUR LES VEHICULES DE SOC</t>
  </si>
  <si>
    <t>AUTRES DROITS D'ENREGISTREMENT</t>
  </si>
  <si>
    <t>PENALITES &amp; AMENDES FISCALES</t>
  </si>
  <si>
    <t>AUTRES IMPOTS &amp; TAXES</t>
  </si>
  <si>
    <t>PERTES / CREANCES CLIENTS</t>
  </si>
  <si>
    <t>PERTES / AUTRES DEBITEURS</t>
  </si>
  <si>
    <t>PENALITES ET AMENDES PENALES</t>
  </si>
  <si>
    <t>DONS</t>
  </si>
  <si>
    <t>CHARGES PROVISIONNEES S/ STOCK</t>
  </si>
  <si>
    <t>RC61560 Dotations aux provisions pour dépréciation des stocks</t>
  </si>
  <si>
    <t>CHARGES PROVISIONNEES S/ CREAN</t>
  </si>
  <si>
    <t>RC61561 Dotations aux provisions pour dépréciation des clients et comptes rattachés</t>
  </si>
  <si>
    <t>AUTRES CHARGES PROVISIONNEES</t>
  </si>
  <si>
    <t>RC61551 Dotations de l'exploitation aux provisions du passif courant  (hors provision sur IS)</t>
  </si>
  <si>
    <t>APPOINTEMENTS, SALAIRES PERSON</t>
  </si>
  <si>
    <t>PRIMES ET GRATIFICATIONS PERSO</t>
  </si>
  <si>
    <t>CONGES PAYES PERSONNEL NATIONA</t>
  </si>
  <si>
    <t>AVANTAGES EN NATURE PERSONNEL</t>
  </si>
  <si>
    <t>INDEMNITES DE LICENCIEMENT PER</t>
  </si>
  <si>
    <t>CHARGES SOCIALES S/ REMUNERATI</t>
  </si>
  <si>
    <t>AUTRES CHARGES SOCIALES</t>
  </si>
  <si>
    <t>INTERETS S/ EMPRUNT BANCAIRE E</t>
  </si>
  <si>
    <t>RC6310 Charges d'intérêts sur dettes financières</t>
  </si>
  <si>
    <t>INT BANCAIRE, S/ OPERATION DE</t>
  </si>
  <si>
    <t>INTERETS S/ DETTES DIVERSES</t>
  </si>
  <si>
    <t>PERTES DE CHANGE</t>
  </si>
  <si>
    <t>RC6147 Pertes de change d'exploitation</t>
  </si>
  <si>
    <t>CHARG  DEP ET PROV RISQ FINANC</t>
  </si>
  <si>
    <t>AUTRES CHARGES PROVISIONNEES F</t>
  </si>
  <si>
    <t>RC6320 Pertes de change financières</t>
  </si>
  <si>
    <t>DOT. AMORT. CHARGES IMMOBILISE</t>
  </si>
  <si>
    <t>Annulées en IFRS</t>
  </si>
  <si>
    <t>DOT. AMORT. LICENCES GSM</t>
  </si>
  <si>
    <t>RC6152 Dotations aux amortissements des immobilisations incorporelles/</t>
  </si>
  <si>
    <t>DOT. AMORT. AUTRES LICENCES ET</t>
  </si>
  <si>
    <t>DOT. AMORT. LOGICIELS D'EXPLOI</t>
  </si>
  <si>
    <t>DOT. AMORT. LOGICIELS AUTRES A</t>
  </si>
  <si>
    <t>DOT. AMORT BATIMENTS INDUSTRIE</t>
  </si>
  <si>
    <t>RC6153 Dotations aux amortissements des immobilisations corporelles</t>
  </si>
  <si>
    <t>DOT. AMORT INFRASTRUCTURES PYL</t>
  </si>
  <si>
    <t>DOT. AMORT AMENAGEMENT DE BURE</t>
  </si>
  <si>
    <t>DOT. AMORT AMENAGEMENT AGENCES</t>
  </si>
  <si>
    <t>DOT. AMORT AUTRES AMENAGEMENTS</t>
  </si>
  <si>
    <t>DOT. AMORT INSTALLATIONS ET AG</t>
  </si>
  <si>
    <t>DOT. AMORT DIVERS INSTALLATION</t>
  </si>
  <si>
    <t>DOT. AMORT MATERIEL RADIO - BS</t>
  </si>
  <si>
    <t>DOT. AMORT MATERIEL DE TRANSMI</t>
  </si>
  <si>
    <t>DOT. AMORT MATERIEL DE COMMUTA</t>
  </si>
  <si>
    <t>DOT. AMORT MATERIEL SVA</t>
  </si>
  <si>
    <t>DOT. AMORT MATERIEL DE BUREAU</t>
  </si>
  <si>
    <t>DOT. AMORT MATERIEL INFORMATIQ</t>
  </si>
  <si>
    <t>DOT. AMORT MOBILIER DE BUREAU</t>
  </si>
  <si>
    <t>DOT. AMORT MATERIEL ET MOBILIE</t>
  </si>
  <si>
    <t>DOT. AMORT MATERIEL DE TRANSPO</t>
  </si>
  <si>
    <t>DOT. AMORT AUTRES MATERIELS DE</t>
  </si>
  <si>
    <t>DOT. AMORT. AUTRES MATERIELS</t>
  </si>
  <si>
    <t>PROVISIONS POUR RISQUES &amp; CHAR</t>
  </si>
  <si>
    <t>RC61552 Dotations de l'exploitation aux provisions du passif non courant (hors provision sur IS)</t>
  </si>
  <si>
    <t>PROVISIONS POUR DEP. IMMOBILIS</t>
  </si>
  <si>
    <t>RC61541 Dotations aux provisions pour dépréciation des immobilisations incorporelles (hors IFRS 3)</t>
  </si>
  <si>
    <t>VENTES TERMINAUX</t>
  </si>
  <si>
    <t>RP7111. Ventes de biens</t>
  </si>
  <si>
    <t>VENTES ACCESSOIRES</t>
  </si>
  <si>
    <t>VENTES KITS SIM</t>
  </si>
  <si>
    <t>VENTES CARTES SIM SWAP</t>
  </si>
  <si>
    <t>VENTES CARTES @SIM SWAP</t>
  </si>
  <si>
    <t>VENTES CARTES DE RECHARGE</t>
  </si>
  <si>
    <t>VENTE DE RECHARGE ELECTRONIQUE</t>
  </si>
  <si>
    <t>VENTE DE RECHARGE DATA</t>
  </si>
  <si>
    <t>RRR ACCORDE - Ristourne sur ve</t>
  </si>
  <si>
    <t>RRR ACCORDES - BONUS AIR TIME,</t>
  </si>
  <si>
    <t>RRR ACCORDES - REMISES S/ KITS</t>
  </si>
  <si>
    <t>FRAIS ABONNEMENTS POSTPAID</t>
  </si>
  <si>
    <t>RP7112 Ventes de services</t>
  </si>
  <si>
    <t>FRAIS ABONNEMENTS PREPAID (Fra</t>
  </si>
  <si>
    <t>REVENU SMS SORTANT PREPAID</t>
  </si>
  <si>
    <t>REVENU SMS SORTANT POSTPAID</t>
  </si>
  <si>
    <t>AIRTIME SORTANT PREPAID INTRA</t>
  </si>
  <si>
    <t>AIRTIME SORTANT PREPAID VERS A</t>
  </si>
  <si>
    <t>AIRTIME SORTANT PREPAID VERS N</t>
  </si>
  <si>
    <t>AIRTIME SORTANT PREPAID VERS I</t>
  </si>
  <si>
    <t>AIRTIME SORTANT POSTPAID INTRA</t>
  </si>
  <si>
    <t>AIRTIME SORTANT POSTPAID VERS</t>
  </si>
  <si>
    <t>AIRTIME  SORTANT POSTPAID VERS</t>
  </si>
  <si>
    <t>INTERCONNEX ENTRAN AUTR OPERAT</t>
  </si>
  <si>
    <t>INTERCONNEXION ENTRANT OPERATE</t>
  </si>
  <si>
    <t>INTERCONNEXION ENTRANT INTERNA</t>
  </si>
  <si>
    <t>INTERCONNEXION SMS  ENTRANT NA</t>
  </si>
  <si>
    <t>INTERCONNEXION SMS  ENTRANT IN</t>
  </si>
  <si>
    <t>INTERCONNEX ENTRANT AUTRE OPER</t>
  </si>
  <si>
    <t>ROAMING ABONNES PREPAID</t>
  </si>
  <si>
    <t>ROAMING ABONNES POSTPAID</t>
  </si>
  <si>
    <t>ROAMING VISITEURS</t>
  </si>
  <si>
    <t>REVENU M-COMMERCE</t>
  </si>
  <si>
    <t>SVA PREPAID</t>
  </si>
  <si>
    <t>SVA POSTPAID</t>
  </si>
  <si>
    <t>Revenu data Prépaid</t>
  </si>
  <si>
    <t>Revenu data Postpaid</t>
  </si>
  <si>
    <t>RECUPERATION CREDITS MINUTES E</t>
  </si>
  <si>
    <t>AUTRES REVENUS</t>
  </si>
  <si>
    <t>RRR ACCORDEES SUR COMM POSTPAI</t>
  </si>
  <si>
    <t>Ristourne Performance vte ind</t>
  </si>
  <si>
    <t>RRR BONUS AIR TIME, FIDELISATI</t>
  </si>
  <si>
    <t>REMISE IMMEDIATE SUR VTE RECHA</t>
  </si>
  <si>
    <t>PRODUITS ACCESSOIRES, LOCATION</t>
  </si>
  <si>
    <t xml:space="preserve">RP7113 Autres revenus </t>
  </si>
  <si>
    <t>INDEMNITES D'ASSURANCES RECUES</t>
  </si>
  <si>
    <t>RP7149 Produits opérationnels divers</t>
  </si>
  <si>
    <t>PENALITES RECUES</t>
  </si>
  <si>
    <t>AUTRES PRODUITS</t>
  </si>
  <si>
    <t>REPRISES PROVISIONS POUR DEPRE</t>
  </si>
  <si>
    <t>RP71560 Reprise sur  provisions pour dépréciation des stocks</t>
  </si>
  <si>
    <t>REPRISE PROVISION POUR DEPRECI</t>
  </si>
  <si>
    <t>RP71561 Reprise sur provisions pour dépréciation des clients et comptes rattachés</t>
  </si>
  <si>
    <t>REPRISES AUTRES CHARGES PROVIS</t>
  </si>
  <si>
    <t>RP71551 Reprises de l'exploitation aux provisions du passif courant (hors provisions sur IS)/RP71552 Reprises de l'exploitation aux provisions du passif  non courant (hors provisions sur IS)</t>
  </si>
  <si>
    <t>INTERETS DE PRETS</t>
  </si>
  <si>
    <t>RP73102 Produits d'intérêts sur prêts</t>
  </si>
  <si>
    <t>GAINS DE CHANGE</t>
  </si>
  <si>
    <t>RP7320 Gains de change financiers</t>
  </si>
  <si>
    <t>REPRISES DE CHARGES PROVISIONN</t>
  </si>
  <si>
    <t>TRANSFERT DE CHARGES D'EXPLOIT</t>
  </si>
  <si>
    <t>RP7143 Transferts de charges d’exploitation</t>
  </si>
  <si>
    <t>REPRISES PROV. POUR RISQUES &amp;</t>
  </si>
  <si>
    <t>RP71551 Reprises de l'exploitation aux provisions du passif courant (hors provisions sur IS)/RP71552 Reprises de l'exploitation aux provisions du passif  non courant (hors provisions sur IS)/RP71552 Reprises de l'exploitation aux provisions du passif  non courant (hors provisions sur IS)</t>
  </si>
  <si>
    <t>REPRISES PROV. POUR DEP. IMMOB</t>
  </si>
  <si>
    <t>RP71542 Reprise sur provisions pour dépréciation des immobilisations corporelles</t>
  </si>
  <si>
    <t>VALEURS COMPTABLES DES CESSONS</t>
  </si>
  <si>
    <t>RC6148 Valeur nette comptable des immobilisations corporelles et incorporelles</t>
  </si>
  <si>
    <t>PRODUITS DES CESSIONS D'IMMOBI</t>
  </si>
  <si>
    <t>RC6711 Impôts sur le résultat</t>
  </si>
  <si>
    <t>COMPTES DE RESULTAT</t>
  </si>
  <si>
    <t>COMPTE TEMPORAIRE</t>
  </si>
  <si>
    <t>Bilan - Actif OHADA</t>
  </si>
  <si>
    <t>En FCFA</t>
  </si>
  <si>
    <t>Réf.</t>
  </si>
  <si>
    <t xml:space="preserve">                        ACTIF</t>
  </si>
  <si>
    <t>Variation</t>
  </si>
  <si>
    <t>Brut</t>
  </si>
  <si>
    <t>Amort/Prov</t>
  </si>
  <si>
    <t>Net</t>
  </si>
  <si>
    <t>AA</t>
  </si>
  <si>
    <t xml:space="preserve">  Charges immobilisées</t>
  </si>
  <si>
    <t>AB</t>
  </si>
  <si>
    <t xml:space="preserve">  Frais d'établissement et charges à répartir</t>
  </si>
  <si>
    <t>AC</t>
  </si>
  <si>
    <t xml:space="preserve">  Primes de remboursement des obligations</t>
  </si>
  <si>
    <t>AD</t>
  </si>
  <si>
    <t xml:space="preserve">  Immobilisations incorporelles</t>
  </si>
  <si>
    <t>AE</t>
  </si>
  <si>
    <t xml:space="preserve">  Frais de recherche et de développement</t>
  </si>
  <si>
    <t>AF</t>
  </si>
  <si>
    <t xml:space="preserve">  Brevets, licences, logiciels</t>
  </si>
  <si>
    <t>AG</t>
  </si>
  <si>
    <t xml:space="preserve">  Fonds commercial</t>
  </si>
  <si>
    <t>AH</t>
  </si>
  <si>
    <t xml:space="preserve">  Autres immobilisations incorporelles</t>
  </si>
  <si>
    <t>AI</t>
  </si>
  <si>
    <t xml:space="preserve">  Immobilisations corporelles</t>
  </si>
  <si>
    <t>AJ</t>
  </si>
  <si>
    <t xml:space="preserve">  Terrains</t>
  </si>
  <si>
    <t>AK</t>
  </si>
  <si>
    <t xml:space="preserve">  Bâtiments</t>
  </si>
  <si>
    <t>AL</t>
  </si>
  <si>
    <t xml:space="preserve">  Installations et agencements</t>
  </si>
  <si>
    <t>AM</t>
  </si>
  <si>
    <t xml:space="preserve">  Matériel</t>
  </si>
  <si>
    <t>AN</t>
  </si>
  <si>
    <t xml:space="preserve">  Matériel de transport</t>
  </si>
  <si>
    <t>AP</t>
  </si>
  <si>
    <t xml:space="preserve">  Avances et acomptes versés sur immobilisations</t>
  </si>
  <si>
    <t>AQ</t>
  </si>
  <si>
    <t xml:space="preserve">  Immobilisations financières</t>
  </si>
  <si>
    <t>AR</t>
  </si>
  <si>
    <t xml:space="preserve">  Titres de participation</t>
  </si>
  <si>
    <t>AS</t>
  </si>
  <si>
    <t xml:space="preserve">  Autres immobilisations financières</t>
  </si>
  <si>
    <t>AZ</t>
  </si>
  <si>
    <t xml:space="preserve">  TOTAL ACTIF IMMOBILISE (I)</t>
  </si>
  <si>
    <t xml:space="preserve">  ACTIF CIRCULANT</t>
  </si>
  <si>
    <t>DH</t>
  </si>
  <si>
    <t xml:space="preserve">  Actif circulant H. A. O.</t>
  </si>
  <si>
    <t>BB</t>
  </si>
  <si>
    <t xml:space="preserve">  Stocks</t>
  </si>
  <si>
    <t>BC</t>
  </si>
  <si>
    <t xml:space="preserve">  Marchandises</t>
  </si>
  <si>
    <t>BD</t>
  </si>
  <si>
    <t xml:space="preserve">  Matières premières et autres</t>
  </si>
  <si>
    <t xml:space="preserve">  Approvisionnements</t>
  </si>
  <si>
    <t>BE</t>
  </si>
  <si>
    <t xml:space="preserve">  En-cours</t>
  </si>
  <si>
    <t>BF</t>
  </si>
  <si>
    <t xml:space="preserve">  Produits fabriqués</t>
  </si>
  <si>
    <t>BG</t>
  </si>
  <si>
    <t xml:space="preserve">  Créances et emplois assimilés</t>
  </si>
  <si>
    <t>BH</t>
  </si>
  <si>
    <t xml:space="preserve">  Fournisseurs, avances versées</t>
  </si>
  <si>
    <t>BI</t>
  </si>
  <si>
    <t xml:space="preserve">  Clients</t>
  </si>
  <si>
    <t>BJ</t>
  </si>
  <si>
    <t xml:space="preserve">  Autres créances</t>
  </si>
  <si>
    <t>BK</t>
  </si>
  <si>
    <t xml:space="preserve">  TOTAL ACTIF CIRCULANT (II)</t>
  </si>
  <si>
    <t xml:space="preserve">  TRESORERIE-ACTIF</t>
  </si>
  <si>
    <t>BQ</t>
  </si>
  <si>
    <t xml:space="preserve">  Titres de placement</t>
  </si>
  <si>
    <t>BR</t>
  </si>
  <si>
    <t xml:space="preserve">  Valeurs à encaisser</t>
  </si>
  <si>
    <t>BS</t>
  </si>
  <si>
    <t xml:space="preserve">  Banques, chèques postaux, caisse</t>
  </si>
  <si>
    <t>BT</t>
  </si>
  <si>
    <t xml:space="preserve">  TOTAL TRESORERIE-ACTIF (III)</t>
  </si>
  <si>
    <t>BU</t>
  </si>
  <si>
    <t xml:space="preserve">  Ecarts de conversion-Actif (IV)</t>
  </si>
  <si>
    <t xml:space="preserve">  (perte probable de change)</t>
  </si>
  <si>
    <t>BZ</t>
  </si>
  <si>
    <t xml:space="preserve">  TOTAL GENERAL (I + II + III + IV)</t>
  </si>
  <si>
    <t>Bilan - Passif OHADA</t>
  </si>
  <si>
    <t xml:space="preserve">                                PASSIF</t>
  </si>
  <si>
    <t>CA</t>
  </si>
  <si>
    <t xml:space="preserve">  Capital</t>
  </si>
  <si>
    <t>CB</t>
  </si>
  <si>
    <t xml:space="preserve">  Actionnaires capital non appelé                                   -</t>
  </si>
  <si>
    <t>CC</t>
  </si>
  <si>
    <t xml:space="preserve">  Primes et réserves</t>
  </si>
  <si>
    <t>CD</t>
  </si>
  <si>
    <t xml:space="preserve">  Primes d'apport, d'émission, de fusion</t>
  </si>
  <si>
    <t>CE</t>
  </si>
  <si>
    <t xml:space="preserve">  Ecarts de réévaluation</t>
  </si>
  <si>
    <t>CF</t>
  </si>
  <si>
    <t xml:space="preserve">  Réserves indisponibles</t>
  </si>
  <si>
    <t>CG</t>
  </si>
  <si>
    <t xml:space="preserve">  Réserves libres</t>
  </si>
  <si>
    <t>CH</t>
  </si>
  <si>
    <t xml:space="preserve">  Report à nouveau + ou -</t>
  </si>
  <si>
    <t>C I</t>
  </si>
  <si>
    <t xml:space="preserve">  Résultat net de l'exercice (bénéfice + ou perte -)</t>
  </si>
  <si>
    <t>CK</t>
  </si>
  <si>
    <t xml:space="preserve">  Autres capitaux propres</t>
  </si>
  <si>
    <t>CL</t>
  </si>
  <si>
    <t xml:space="preserve">  Subventions d'investissement</t>
  </si>
  <si>
    <t>CM</t>
  </si>
  <si>
    <t xml:space="preserve">  Provisions réglementées et fonds assimilés</t>
  </si>
  <si>
    <t>CP</t>
  </si>
  <si>
    <t xml:space="preserve">  TOTAL CAPITAUX PROPRES (I)</t>
  </si>
  <si>
    <t xml:space="preserve">  DETTES FINANCIERES ET RESSOURCES</t>
  </si>
  <si>
    <t xml:space="preserve">  ASSIMILEES (1)</t>
  </si>
  <si>
    <t>DA</t>
  </si>
  <si>
    <t xml:space="preserve">  Emprunts</t>
  </si>
  <si>
    <t>DB</t>
  </si>
  <si>
    <t xml:space="preserve">  Dettes de crédit-bail et contrats assimilés</t>
  </si>
  <si>
    <t>DC</t>
  </si>
  <si>
    <t xml:space="preserve">  Dettes financières diverses</t>
  </si>
  <si>
    <t>DD</t>
  </si>
  <si>
    <t xml:space="preserve">  Provisions financières pour risques et charges</t>
  </si>
  <si>
    <t>DF</t>
  </si>
  <si>
    <t xml:space="preserve">  TOTAL DETTES FINANCIERES (II)</t>
  </si>
  <si>
    <t>DG</t>
  </si>
  <si>
    <t xml:space="preserve">  TOTAL RESSOURCES STABLES (I + II)</t>
  </si>
  <si>
    <t xml:space="preserve">  PASSIF CIRCULANT</t>
  </si>
  <si>
    <t xml:space="preserve">  Dettes circulantes et ressources assimilées H.A.O.</t>
  </si>
  <si>
    <t>DI</t>
  </si>
  <si>
    <t xml:space="preserve">  Clients, avances reçues</t>
  </si>
  <si>
    <t>DJ</t>
  </si>
  <si>
    <t xml:space="preserve">  Fournisseurs d'exploitation</t>
  </si>
  <si>
    <t>DK</t>
  </si>
  <si>
    <t xml:space="preserve">  Dettes fiscales</t>
  </si>
  <si>
    <t>DL</t>
  </si>
  <si>
    <t xml:space="preserve">  Dettes sociales</t>
  </si>
  <si>
    <t>DM</t>
  </si>
  <si>
    <t xml:space="preserve">  Autres dettes</t>
  </si>
  <si>
    <t>DN</t>
  </si>
  <si>
    <t xml:space="preserve">  Risques provisionnés</t>
  </si>
  <si>
    <t>DP</t>
  </si>
  <si>
    <t xml:space="preserve">  TOTAL PASSIF CIRCULANT (III)</t>
  </si>
  <si>
    <t xml:space="preserve">  TRESORERIE - PASSIF</t>
  </si>
  <si>
    <t>DQ</t>
  </si>
  <si>
    <t xml:space="preserve">  Banques, crédits d'escompte</t>
  </si>
  <si>
    <t>DR</t>
  </si>
  <si>
    <t xml:space="preserve">  Banques, crédits de trésorerie</t>
  </si>
  <si>
    <t>DS</t>
  </si>
  <si>
    <t xml:space="preserve">  Banques, découverts</t>
  </si>
  <si>
    <t>DT</t>
  </si>
  <si>
    <t xml:space="preserve">  TOTAL TRESORERIE-PASSIF (IV)</t>
  </si>
  <si>
    <t>DU</t>
  </si>
  <si>
    <t xml:space="preserve">  Ecarts de conversion-Passif (V)</t>
  </si>
  <si>
    <t xml:space="preserve">  (gain probable de change)</t>
  </si>
  <si>
    <t>DZ</t>
  </si>
  <si>
    <t xml:space="preserve">  TOTAL GENERAL (I + II + III + IV + V)</t>
  </si>
  <si>
    <t>Ctrl Actif-Passif</t>
  </si>
  <si>
    <t>Compte de résultat OHADA</t>
  </si>
  <si>
    <t xml:space="preserve">  ACTIVITE D'EXPLOITATION</t>
  </si>
  <si>
    <t>TA</t>
  </si>
  <si>
    <t xml:space="preserve">  Ventes de marchandises</t>
  </si>
  <si>
    <t>TC</t>
  </si>
  <si>
    <t xml:space="preserve">  Ventes de produits fabriqués</t>
  </si>
  <si>
    <t>TD</t>
  </si>
  <si>
    <t xml:space="preserve">  Travaux, services vendus</t>
  </si>
  <si>
    <t>TE</t>
  </si>
  <si>
    <t xml:space="preserve">  Production stockée ou déstockage    (+ ou -)</t>
  </si>
  <si>
    <t>TF</t>
  </si>
  <si>
    <t xml:space="preserve">  Production immobilisée</t>
  </si>
  <si>
    <t>TH</t>
  </si>
  <si>
    <t xml:space="preserve">  Produits accessoires</t>
  </si>
  <si>
    <t>T I</t>
  </si>
  <si>
    <t xml:space="preserve"> CHIFFRE D'AFFAIRES (1) (TA + TC + TD + TH)</t>
  </si>
  <si>
    <t>TJ</t>
  </si>
  <si>
    <t xml:space="preserve"> (1) dont à l'exportation</t>
  </si>
  <si>
    <t>TK</t>
  </si>
  <si>
    <t xml:space="preserve">  Subventions d'exploitation</t>
  </si>
  <si>
    <t>TL</t>
  </si>
  <si>
    <t xml:space="preserve">  Autres produits</t>
  </si>
  <si>
    <t>TS</t>
  </si>
  <si>
    <t xml:space="preserve">  Reprises de provisions</t>
  </si>
  <si>
    <t>TT</t>
  </si>
  <si>
    <t xml:space="preserve">  Transferts de charges</t>
  </si>
  <si>
    <t>TW</t>
  </si>
  <si>
    <t xml:space="preserve">  Total des produits d'exploitation</t>
  </si>
  <si>
    <t>RA</t>
  </si>
  <si>
    <t xml:space="preserve">  Achats de marchandises</t>
  </si>
  <si>
    <t>RB</t>
  </si>
  <si>
    <t xml:space="preserve">  - Variation de stocks</t>
  </si>
  <si>
    <t>(- ou +)</t>
  </si>
  <si>
    <t>RC</t>
  </si>
  <si>
    <t xml:space="preserve">  Achats de matières premières et fournitures liées</t>
  </si>
  <si>
    <t>RD</t>
  </si>
  <si>
    <t>RE</t>
  </si>
  <si>
    <t xml:space="preserve">  Autres achats</t>
  </si>
  <si>
    <t>RH</t>
  </si>
  <si>
    <t>RI</t>
  </si>
  <si>
    <t xml:space="preserve">  Transports</t>
  </si>
  <si>
    <t>RJ</t>
  </si>
  <si>
    <t xml:space="preserve">  Services extérieurs</t>
  </si>
  <si>
    <t>RK</t>
  </si>
  <si>
    <t xml:space="preserve">  Impôts et taxes</t>
  </si>
  <si>
    <t>RL</t>
  </si>
  <si>
    <t xml:space="preserve">  Autres charges</t>
  </si>
  <si>
    <t>RP</t>
  </si>
  <si>
    <t xml:space="preserve">  Charges de personnel </t>
  </si>
  <si>
    <t>RS</t>
  </si>
  <si>
    <t>Dotations aux amortissements et aux provisions</t>
  </si>
  <si>
    <t>RW</t>
  </si>
  <si>
    <t xml:space="preserve">  Total des charges d'exploitation</t>
  </si>
  <si>
    <t>TX</t>
  </si>
  <si>
    <t xml:space="preserve">                RESULTAT D'EXPLOITATION</t>
  </si>
  <si>
    <t xml:space="preserve">      Bénéfice (+) ; Perte (-)</t>
  </si>
  <si>
    <t xml:space="preserve">  ACTIVITE FINANCIERE</t>
  </si>
  <si>
    <t>UA</t>
  </si>
  <si>
    <t xml:space="preserve">  Revenus financiers</t>
  </si>
  <si>
    <t>UC</t>
  </si>
  <si>
    <t xml:space="preserve">  Gains de change</t>
  </si>
  <si>
    <t>UD</t>
  </si>
  <si>
    <t>UE</t>
  </si>
  <si>
    <t>UF</t>
  </si>
  <si>
    <t xml:space="preserve">  Total des produits financiers</t>
  </si>
  <si>
    <t>SA</t>
  </si>
  <si>
    <t xml:space="preserve">  Frais financiers</t>
  </si>
  <si>
    <t>SC</t>
  </si>
  <si>
    <t xml:space="preserve">  Pertes de change</t>
  </si>
  <si>
    <t>SD</t>
  </si>
  <si>
    <t xml:space="preserve">  Dotations aux amortissements et aux provisions</t>
  </si>
  <si>
    <t>SF</t>
  </si>
  <si>
    <t xml:space="preserve">  Total des charges financières</t>
  </si>
  <si>
    <t>UG</t>
  </si>
  <si>
    <t xml:space="preserve">       RESULTAT FINANCIER </t>
  </si>
  <si>
    <t>(+ ou -)</t>
  </si>
  <si>
    <t xml:space="preserve">       RESULTAT courant</t>
  </si>
  <si>
    <t xml:space="preserve">  HORS ACTIVITES ORDINAIRES (H.A.O.)</t>
  </si>
  <si>
    <t>UK</t>
  </si>
  <si>
    <t xml:space="preserve">  Produits des cessions d'immobilisations</t>
  </si>
  <si>
    <t>UL</t>
  </si>
  <si>
    <t xml:space="preserve">  Produits H.A.O.</t>
  </si>
  <si>
    <t>UM</t>
  </si>
  <si>
    <t xml:space="preserve">  Reprises H.A.O.</t>
  </si>
  <si>
    <t>UN</t>
  </si>
  <si>
    <t>UO</t>
  </si>
  <si>
    <t xml:space="preserve">  Total des produits H.A.O.</t>
  </si>
  <si>
    <t>SK</t>
  </si>
  <si>
    <t xml:space="preserve">  Valeurs comptables des cessions d'immobilisations</t>
  </si>
  <si>
    <t>SL</t>
  </si>
  <si>
    <t xml:space="preserve">  Charges H.A.O.</t>
  </si>
  <si>
    <t>SM</t>
  </si>
  <si>
    <t xml:space="preserve">  Dotations H.A.O.</t>
  </si>
  <si>
    <t>SO</t>
  </si>
  <si>
    <t xml:space="preserve">  Total des charges H.A.O.</t>
  </si>
  <si>
    <t>UP</t>
  </si>
  <si>
    <t xml:space="preserve">                  RESULTAT H.A.O.</t>
  </si>
  <si>
    <t>SR</t>
  </si>
  <si>
    <t xml:space="preserve">  Impôts sur le résultat</t>
  </si>
  <si>
    <t>SS</t>
  </si>
  <si>
    <t xml:space="preserve">  Total impôts sur le résultat</t>
  </si>
  <si>
    <t>UZ</t>
  </si>
  <si>
    <r>
      <t xml:space="preserve">RESULTAT NET
</t>
    </r>
    <r>
      <rPr>
        <b/>
        <i/>
        <sz val="11"/>
        <color theme="3"/>
        <rFont val="Calibri Light"/>
        <family val="1"/>
        <scheme val="major"/>
      </rPr>
      <t xml:space="preserve">    </t>
    </r>
    <r>
      <rPr>
        <b/>
        <i/>
        <sz val="10"/>
        <color theme="3"/>
        <rFont val="Calibri Light"/>
        <family val="1"/>
        <scheme val="major"/>
      </rPr>
      <t xml:space="preserve">  Bénéfice (+) ; Perte (-)</t>
    </r>
  </si>
  <si>
    <t>Matrice de passage OHADA - IFRS</t>
  </si>
  <si>
    <t>Retraitements PPA</t>
  </si>
  <si>
    <t>Reclassements</t>
  </si>
  <si>
    <t>Retraitements</t>
  </si>
  <si>
    <t>Ajustements conso</t>
  </si>
  <si>
    <t>Marque</t>
  </si>
  <si>
    <t>Base client (VB)</t>
  </si>
  <si>
    <t>Base client (AMENTS)</t>
  </si>
  <si>
    <t>Juste valeur terrain</t>
  </si>
  <si>
    <t xml:space="preserve">Juste valeur titres </t>
  </si>
  <si>
    <t>Reclass 
immo. Corp</t>
  </si>
  <si>
    <t>Reclass 
immo. Incorp</t>
  </si>
  <si>
    <t>Reclass 
immo. Fin</t>
  </si>
  <si>
    <t>Reclass 
BFR</t>
  </si>
  <si>
    <t>Reclass 
Acomptes IS</t>
  </si>
  <si>
    <t>Autres 
Reclassements</t>
  </si>
  <si>
    <t>CCA/PCA</t>
  </si>
  <si>
    <t>CCA</t>
  </si>
  <si>
    <t>Cash bloqué</t>
  </si>
  <si>
    <t>ID social</t>
  </si>
  <si>
    <t>IDA/PIDR</t>
  </si>
  <si>
    <t>Cartes SIM  (VB)</t>
  </si>
  <si>
    <t>Cartes SIM (AMORT)</t>
  </si>
  <si>
    <t>Subventions (VB)</t>
  </si>
  <si>
    <t>Subventions (REPRISES)</t>
  </si>
  <si>
    <t>Droit d'actif(VB)</t>
  </si>
  <si>
    <t>Droit d'actif(Amort)</t>
  </si>
  <si>
    <t>Frais immobilisés</t>
  </si>
  <si>
    <t>Mise en rebut (VB)</t>
  </si>
  <si>
    <t>Mise en rebut (AMORT)</t>
  </si>
  <si>
    <t>Stocks réseaux (VB)</t>
  </si>
  <si>
    <t>Stocks réseaux (AMORT)</t>
  </si>
  <si>
    <t>ECA</t>
  </si>
  <si>
    <t>Ajust 1</t>
  </si>
  <si>
    <t>Ajust 2</t>
  </si>
  <si>
    <t>Ajust 3</t>
  </si>
  <si>
    <t>Ajust 4</t>
  </si>
  <si>
    <t>Ouverture</t>
  </si>
  <si>
    <t>Flux</t>
  </si>
  <si>
    <t>Achats  de cartes SIM</t>
  </si>
  <si>
    <t>Sorties comptables</t>
  </si>
  <si>
    <t>Goodwill</t>
  </si>
  <si>
    <t>ID</t>
  </si>
  <si>
    <t>SHL &amp; MFees</t>
  </si>
  <si>
    <t>Activation charges du personnel</t>
  </si>
  <si>
    <t>Frais d'établissement et autres charges à répartir</t>
  </si>
  <si>
    <t>Autres charges immobilisées</t>
  </si>
  <si>
    <t>ANC2100</t>
  </si>
  <si>
    <t>Ecarts d’acquisition</t>
  </si>
  <si>
    <t>ANC2910</t>
  </si>
  <si>
    <t>Provisions pour dépréciation des écarts d’acquisition</t>
  </si>
  <si>
    <t>TANC2000</t>
  </si>
  <si>
    <t xml:space="preserve">Ecarts d'acquisition </t>
  </si>
  <si>
    <t>Frais de recherche et de développemt</t>
  </si>
  <si>
    <t>Brevets, licences, logiciels</t>
  </si>
  <si>
    <t>Fonds commercial</t>
  </si>
  <si>
    <t>Autres immobilisations incorporelles</t>
  </si>
  <si>
    <t>ANC2210</t>
  </si>
  <si>
    <t>Frais de développement</t>
  </si>
  <si>
    <t>ANC2821</t>
  </si>
  <si>
    <t>Amortissements &amp; dépréciation des frais de développement</t>
  </si>
  <si>
    <t>Brevets et marques</t>
  </si>
  <si>
    <t xml:space="preserve">Amortissements &amp; dépréciation des brevets et marques  </t>
  </si>
  <si>
    <t>Logiciels</t>
  </si>
  <si>
    <t>Amortissements &amp; dépréciation des logiciels</t>
  </si>
  <si>
    <t>Licences telecom</t>
  </si>
  <si>
    <t>Amortissements &amp; dépréciation des licences telecom</t>
  </si>
  <si>
    <t>ANC2250</t>
  </si>
  <si>
    <t>Immobilisations incorporelles acquises par voie de regroupement d'entreprises</t>
  </si>
  <si>
    <t>ANC2825</t>
  </si>
  <si>
    <t>Amortissements &amp; dépréciation des immobilisations incorporelles acquises par voie de regroupement d'entreprises</t>
  </si>
  <si>
    <t>ANC2260</t>
  </si>
  <si>
    <t>ANC2826</t>
  </si>
  <si>
    <t>Amortissements &amp; dépréciation cartes SIM</t>
  </si>
  <si>
    <t>ANC2270</t>
  </si>
  <si>
    <t>Droit d'utilisation de l'actif</t>
  </si>
  <si>
    <t>ANC2827</t>
  </si>
  <si>
    <t>Amortissements du droit d'utilisation de l'actif</t>
  </si>
  <si>
    <t>ANC2280</t>
  </si>
  <si>
    <t>ANC2828</t>
  </si>
  <si>
    <t>Amortissements &amp; dépréciation des autres immobilisations incorporelles</t>
  </si>
  <si>
    <t>ANC2298</t>
  </si>
  <si>
    <t>Immobilisations incorporelles en cours</t>
  </si>
  <si>
    <t>ANC2929</t>
  </si>
  <si>
    <t>Provisions pour dépréciation des immobilisations incorporelles en cours</t>
  </si>
  <si>
    <t>TANC2100</t>
  </si>
  <si>
    <t>Immobilisations incorporelles</t>
  </si>
  <si>
    <t>Terrains</t>
  </si>
  <si>
    <t>Bâtiments</t>
  </si>
  <si>
    <t>Installations et agencements</t>
  </si>
  <si>
    <t xml:space="preserve">Matériel, mobilier et actifs biologiques </t>
  </si>
  <si>
    <t>Matériel de transport</t>
  </si>
  <si>
    <t>Avances et acomptes versés sur immobilisations</t>
  </si>
  <si>
    <t>ANC2831</t>
  </si>
  <si>
    <t>Amortissements &amp; dépréciation des terrains</t>
  </si>
  <si>
    <t>Constructions</t>
  </si>
  <si>
    <t>ANC2832</t>
  </si>
  <si>
    <t>Amortissements &amp; dépréciation des constructions</t>
  </si>
  <si>
    <t>Installations techniques, matériel et outillage</t>
  </si>
  <si>
    <t>Amortissements &amp; dépréciation des installations techniques, matériel et outillage</t>
  </si>
  <si>
    <t>Amortissements &amp; dépréciation du matériel de transport</t>
  </si>
  <si>
    <t>Mobilier et matériel de bureau</t>
  </si>
  <si>
    <t>Amortissements &amp; dépréciation du mobilier, matériel de bureau</t>
  </si>
  <si>
    <t>Avances et acomptes versés sur commandes d'immobilisations corporelles</t>
  </si>
  <si>
    <t>ANC2936</t>
  </si>
  <si>
    <t>Provisions pour dépréciation des avances  et acomptes versés sur commandes d'immobilisations corporelles</t>
  </si>
  <si>
    <t>Autres immobilisations corporelles</t>
  </si>
  <si>
    <t>Amortissements &amp; dépréciation des autres immobilisations corporelles</t>
  </si>
  <si>
    <t>ANC2390</t>
  </si>
  <si>
    <t>Immobilisations corporelles en cours</t>
  </si>
  <si>
    <t>ANC2939</t>
  </si>
  <si>
    <t>Provisions pour dépréciation des immobilisations en cours</t>
  </si>
  <si>
    <t>TANC2200</t>
  </si>
  <si>
    <t>Immobilisations corporelles</t>
  </si>
  <si>
    <t>Titres de participation</t>
  </si>
  <si>
    <t>Autres immobilisations financières</t>
  </si>
  <si>
    <t>ANC2410</t>
  </si>
  <si>
    <t>Prêts immobilisés (+1 an)</t>
  </si>
  <si>
    <t>ANC2941</t>
  </si>
  <si>
    <t>Provisions pour dépréciation des prêts immobilisés (+1 an)</t>
  </si>
  <si>
    <t>ANC2420</t>
  </si>
  <si>
    <t>Cash bloqué pour emprunts</t>
  </si>
  <si>
    <t>ANC2942</t>
  </si>
  <si>
    <t>Provisions pour dépréciation du cash bloqué pour emprunts</t>
  </si>
  <si>
    <t>ANC2431</t>
  </si>
  <si>
    <t>Actifs financiers non courants détenus jusqu’à l’échéance</t>
  </si>
  <si>
    <t>ANC29431</t>
  </si>
  <si>
    <t>Provisions pour dépréciation des actifs financiers non courants détenus jusqu’à l'échéance</t>
  </si>
  <si>
    <t>ANC2433</t>
  </si>
  <si>
    <t>Créances immobilisées</t>
  </si>
  <si>
    <t>ANC29433</t>
  </si>
  <si>
    <t>Provisions pour dépréciation des créances immobilisées</t>
  </si>
  <si>
    <t>ANC2434</t>
  </si>
  <si>
    <t>Créances sur cessions d'immobilisations financières (+1 an)</t>
  </si>
  <si>
    <t>ANC29434</t>
  </si>
  <si>
    <t>Provisions pour dépréciation des créances sur cessions d'immobilisations financières (+1 an)</t>
  </si>
  <si>
    <t>ANC2435</t>
  </si>
  <si>
    <t>Frais et commissions sur facilités de crédit</t>
  </si>
  <si>
    <t>ANC29435</t>
  </si>
  <si>
    <t>Provisions pour dépréciation des frais et commissions sur facilités de crédit</t>
  </si>
  <si>
    <t>Créances financières diverses</t>
  </si>
  <si>
    <t>ANC29438</t>
  </si>
  <si>
    <t>Provisions pour dépréciation des créances financières diverses</t>
  </si>
  <si>
    <t>Titres de participation consolidés</t>
  </si>
  <si>
    <t>ANC29511</t>
  </si>
  <si>
    <t>Provisions pour dépréciation des titres consolidés</t>
  </si>
  <si>
    <t>ANC2512</t>
  </si>
  <si>
    <t>Titres de participation non consolidés</t>
  </si>
  <si>
    <t>ANC29512</t>
  </si>
  <si>
    <t>Provisions pour dépréciation des titres non consolidés</t>
  </si>
  <si>
    <t>ANC2520</t>
  </si>
  <si>
    <t>Titres mis en équivalence</t>
  </si>
  <si>
    <t>ANC2952</t>
  </si>
  <si>
    <t>Provisions pour dépréciation des titres mis en équivalence</t>
  </si>
  <si>
    <t>ANC2621</t>
  </si>
  <si>
    <t>Instruments dérivés - actifs non courants (variation en situation nette)</t>
  </si>
  <si>
    <t>ANC2622</t>
  </si>
  <si>
    <t>Instruments dérivés - actifs non courants (variation en résultat)</t>
  </si>
  <si>
    <t>TANC2300</t>
  </si>
  <si>
    <t>Actifs financiers non courants</t>
  </si>
  <si>
    <t>ANC2700</t>
  </si>
  <si>
    <t xml:space="preserve"> Impôts différés actifs</t>
  </si>
  <si>
    <t>ANC2970</t>
  </si>
  <si>
    <t xml:space="preserve"> Provisions pour dépréciation des impôts différés actifs</t>
  </si>
  <si>
    <t>TANC2400</t>
  </si>
  <si>
    <t xml:space="preserve">Impôts différés actifs </t>
  </si>
  <si>
    <t>TANC200</t>
  </si>
  <si>
    <t>Actifs non courants</t>
  </si>
  <si>
    <t xml:space="preserve">Stocks et encours </t>
  </si>
  <si>
    <t xml:space="preserve"> Stocks</t>
  </si>
  <si>
    <t xml:space="preserve"> Provisions pour dépréciation des stocks</t>
  </si>
  <si>
    <t>TAC3000</t>
  </si>
  <si>
    <t xml:space="preserve">Stocks </t>
  </si>
  <si>
    <t xml:space="preserve"> Acomptes sur impôts sur le résultat</t>
  </si>
  <si>
    <t>TAC3100</t>
  </si>
  <si>
    <t>Créances sur impôts sur le résultat</t>
  </si>
  <si>
    <t>Actif circulant H.A.O.</t>
  </si>
  <si>
    <t>Fournisseurs, avances versées</t>
  </si>
  <si>
    <t>Clients</t>
  </si>
  <si>
    <t>Autres créances</t>
  </si>
  <si>
    <t xml:space="preserve"> Fournisseurs débiteurs, avances et acomptes sur commandes en cours</t>
  </si>
  <si>
    <t>AC3941</t>
  </si>
  <si>
    <t xml:space="preserve"> Provisions pour dépréciation des fournisseurs débiteurs, avances et acomptes sur commandes en cours</t>
  </si>
  <si>
    <t xml:space="preserve"> Clients et comptes rattachés</t>
  </si>
  <si>
    <t>AC3942</t>
  </si>
  <si>
    <t xml:space="preserve"> Provisions pour dépréciation des clients et comptes rattachés</t>
  </si>
  <si>
    <t xml:space="preserve"> Personnel - débiteur</t>
  </si>
  <si>
    <t>AC3943</t>
  </si>
  <si>
    <t xml:space="preserve"> Provisions pour dépréciation du personnel – débiteur</t>
  </si>
  <si>
    <t>Dépôts et cautionnements d'exploitation versés</t>
  </si>
  <si>
    <t>AC3944</t>
  </si>
  <si>
    <t>Provisions pour dépréciation des dépôts et cautionnements versés</t>
  </si>
  <si>
    <t>Etat - TVA récupérable</t>
  </si>
  <si>
    <t>AC3458</t>
  </si>
  <si>
    <t>Etat - autres comptes débiteurs</t>
  </si>
  <si>
    <t>AC3945</t>
  </si>
  <si>
    <t>Provisions pour dépréciation des créances fiscales</t>
  </si>
  <si>
    <t>AC34611</t>
  </si>
  <si>
    <t>Comptes d'actionnaires débiteurs- groupe</t>
  </si>
  <si>
    <t>AC34612</t>
  </si>
  <si>
    <t>Comptes d'actionnaires débiteurs- minoritaires</t>
  </si>
  <si>
    <t>AC39461</t>
  </si>
  <si>
    <t>Provisions pour dépréciation des comptes d'actionnaires débiteurs- groupe</t>
  </si>
  <si>
    <t>AC39462</t>
  </si>
  <si>
    <t>Provisions pour dépréciation des comptes d'actionnaires débiteurs- minoritaires</t>
  </si>
  <si>
    <t>AC3471</t>
  </si>
  <si>
    <t>Dividendes à recevoir (titres consolidés)</t>
  </si>
  <si>
    <t>AC39471</t>
  </si>
  <si>
    <t>Provisions pour dépréciation des dividendes à recevoir (titres consolidés)</t>
  </si>
  <si>
    <t>AC3472</t>
  </si>
  <si>
    <t>Dividendes à recevoir  (titres non consolidés)</t>
  </si>
  <si>
    <t>AC39472</t>
  </si>
  <si>
    <t>Provisions pour dépréciation des dividendes à recevoir (titres non consolidés)</t>
  </si>
  <si>
    <t>AC3478</t>
  </si>
  <si>
    <t>Autres dividendes à recevoir</t>
  </si>
  <si>
    <t>AC39478</t>
  </si>
  <si>
    <t>Provisions pour dépréciation des autres dividendes à recevoir</t>
  </si>
  <si>
    <t>AC3481</t>
  </si>
  <si>
    <t>Créances sur cessions d'immobilisations corporelles et incorporelles (-1 an)</t>
  </si>
  <si>
    <t>AC39481</t>
  </si>
  <si>
    <t>Provisions pour dépréciation des Créances sur cessions d'immobilisations corporelles et incorporelles  (-1 an)</t>
  </si>
  <si>
    <t>Créances rattachées aux autres débiteurs</t>
  </si>
  <si>
    <t>Provisions pour dépréciation des Créances rattachées aux autres débiteurs</t>
  </si>
  <si>
    <t>Comptes de régularisation - actif</t>
  </si>
  <si>
    <t>TAC3200</t>
  </si>
  <si>
    <t>Créances d'exploitation</t>
  </si>
  <si>
    <t>Prêts courants (-1 an)</t>
  </si>
  <si>
    <t>AC3951</t>
  </si>
  <si>
    <t>Provisions pour dépréciation des prêts courants</t>
  </si>
  <si>
    <t>AC3521</t>
  </si>
  <si>
    <t>Actifs financiers courants détenus jusqu’à l’échéance</t>
  </si>
  <si>
    <t>AC39521</t>
  </si>
  <si>
    <t>Provisions pour dépréciation des actifs financiers courants détenus jusqu’à l'échéance</t>
  </si>
  <si>
    <t>AC3522</t>
  </si>
  <si>
    <t>Actifs financiers courants détenus à des fins de transaction</t>
  </si>
  <si>
    <t>AC39522</t>
  </si>
  <si>
    <t>Provisions pour dépréciation des actifs financiers courants détenus à des fins de transaction</t>
  </si>
  <si>
    <t>AC3523</t>
  </si>
  <si>
    <t>Cash bloqué pour roaming</t>
  </si>
  <si>
    <t>AC39523</t>
  </si>
  <si>
    <t>Provisions pour dépréciation du cash bloqué pour roaming</t>
  </si>
  <si>
    <t>AC3524</t>
  </si>
  <si>
    <t>Instruments dérivés - actifs courants (variation en situation nette)</t>
  </si>
  <si>
    <t>AC3525</t>
  </si>
  <si>
    <t>Instruments dérivés - actifs courants (variation en résultat)</t>
  </si>
  <si>
    <t>AC3526</t>
  </si>
  <si>
    <t>Créances sur cessions d'immobilisations financières (-1 an)</t>
  </si>
  <si>
    <t>AC39526</t>
  </si>
  <si>
    <t>Provisions pour dépréciation des créances sur cessions d'immobilisations financières (-1 an)</t>
  </si>
  <si>
    <t>AC3527</t>
  </si>
  <si>
    <t>Créances sur cessions des titres consolidés (-1 an)</t>
  </si>
  <si>
    <t>TAC3300</t>
  </si>
  <si>
    <t>Titres de placement</t>
  </si>
  <si>
    <t>Valeurs à encaisser</t>
  </si>
  <si>
    <t>Banques, chèques postaux, caisse</t>
  </si>
  <si>
    <t>AC5110</t>
  </si>
  <si>
    <t>Equivalents de trésorerie  (DAT&lt;3 mois)</t>
  </si>
  <si>
    <t>Trésorerie</t>
  </si>
  <si>
    <t>Provisions pour dépréciation des équivalents de trésorerie</t>
  </si>
  <si>
    <t>AC5914</t>
  </si>
  <si>
    <t>Provisions pour dépréciation de la trésorerie</t>
  </si>
  <si>
    <t>TAC3400</t>
  </si>
  <si>
    <t>Trésorerie et équivalents de trésorerie</t>
  </si>
  <si>
    <t>Ecarts de conversion-Actif (IV)</t>
  </si>
  <si>
    <t>AC3600</t>
  </si>
  <si>
    <t xml:space="preserve"> Actifs non courants destinés à être cédés</t>
  </si>
  <si>
    <t>TAC3500</t>
  </si>
  <si>
    <t>Actifs non courants destinés à être cédés</t>
  </si>
  <si>
    <t>TAC300</t>
  </si>
  <si>
    <t>Actifs courants</t>
  </si>
  <si>
    <t>TA000</t>
  </si>
  <si>
    <t>TOTAL ACTIF</t>
  </si>
  <si>
    <t>Contrôle visuel 1 (Vs Bilan Actif)</t>
  </si>
  <si>
    <t>Contrôle visuel 2 (Vs Passage Passif BC)</t>
  </si>
  <si>
    <t>Reclass
SN - Part du Groupe/Minos</t>
  </si>
  <si>
    <t>Reclass 
Dettes financières  fraction à -1 an</t>
  </si>
  <si>
    <t>Reclass 
Dettes financières  ICNE</t>
  </si>
  <si>
    <t>Reclass 
Dettes financières  envers la mère</t>
  </si>
  <si>
    <t>Conventions financières exploitation (DPA)</t>
  </si>
  <si>
    <t>Reclass 
Provisions</t>
  </si>
  <si>
    <t>Reclass 
Dette d'IS</t>
  </si>
  <si>
    <t>Reclass
BFR</t>
  </si>
  <si>
    <t>Reclass
Equivalents 
de trésorerie</t>
  </si>
  <si>
    <t>Autres reclassements</t>
  </si>
  <si>
    <t>Autres reclass 2</t>
  </si>
  <si>
    <t>Autres reclass 3</t>
  </si>
  <si>
    <t>Autres reclass 4</t>
  </si>
  <si>
    <t xml:space="preserve">PIDR </t>
  </si>
  <si>
    <t>Subventions Reprises</t>
  </si>
  <si>
    <t xml:space="preserve">Frais immobilisés </t>
  </si>
  <si>
    <t>ECA - Provision pour perte de change</t>
  </si>
  <si>
    <t>ECP</t>
  </si>
  <si>
    <t>Achats de  cartes  SIM</t>
  </si>
  <si>
    <t>Activation charges de personnel</t>
  </si>
  <si>
    <t>Capital</t>
  </si>
  <si>
    <t>Primes d'apport, d'émission, de fusion</t>
  </si>
  <si>
    <t>Ecarts de réévaluation</t>
  </si>
  <si>
    <t>Réserves indisponibles</t>
  </si>
  <si>
    <t>Réserves libres</t>
  </si>
  <si>
    <t>Report à nouveau (+ ou - )</t>
  </si>
  <si>
    <t>Résultat net de l'exercice (bénéfice + ou perte -)</t>
  </si>
  <si>
    <t>Subventions d'investissement</t>
  </si>
  <si>
    <t>Provisions réglementées et fonds assimilés</t>
  </si>
  <si>
    <t xml:space="preserve"> Capital &amp; réserves - part du groupe </t>
  </si>
  <si>
    <t xml:space="preserve"> Résultat net - part du groupe</t>
  </si>
  <si>
    <t>SN1141</t>
  </si>
  <si>
    <t xml:space="preserve"> Titres d’autocontrôle</t>
  </si>
  <si>
    <t>SN1161</t>
  </si>
  <si>
    <t xml:space="preserve"> Ecarts de réévaluation </t>
  </si>
  <si>
    <t>SN1163</t>
  </si>
  <si>
    <t xml:space="preserve"> Impôts différés sur les écarts de réévaluation</t>
  </si>
  <si>
    <t>SN1171</t>
  </si>
  <si>
    <t xml:space="preserve"> Ecarts actuariels sur avantages du personnel</t>
  </si>
  <si>
    <t>SN1172</t>
  </si>
  <si>
    <t xml:space="preserve"> Impôts différés sur les écarts actuariels sur avantages du personnel</t>
  </si>
  <si>
    <t>SN1191</t>
  </si>
  <si>
    <t xml:space="preserve"> Ecarts de réévaluation des instruments de capitaux propres</t>
  </si>
  <si>
    <t>SN1192</t>
  </si>
  <si>
    <t xml:space="preserve"> Impôts différés sur les écarts de réévaluation des instruments de capitaux propres</t>
  </si>
  <si>
    <t>TSN 1000</t>
  </si>
  <si>
    <t>Situation nette - Part du groupe</t>
  </si>
  <si>
    <t>SN1231</t>
  </si>
  <si>
    <t xml:space="preserve"> Capital &amp; réserves - part des minoritaires </t>
  </si>
  <si>
    <t>SN1232</t>
  </si>
  <si>
    <t xml:space="preserve"> Résultat net - part des minoritaires</t>
  </si>
  <si>
    <t>SN1261</t>
  </si>
  <si>
    <t xml:space="preserve"> Ecarts de réévaluation</t>
  </si>
  <si>
    <t>SN1263</t>
  </si>
  <si>
    <t>SN1271</t>
  </si>
  <si>
    <t>SN1272</t>
  </si>
  <si>
    <t>SN1291</t>
  </si>
  <si>
    <t>SN1292</t>
  </si>
  <si>
    <t>TSN 1100</t>
  </si>
  <si>
    <t xml:space="preserve">Intérêts minoritaires </t>
  </si>
  <si>
    <t>TSN 100</t>
  </si>
  <si>
    <t>TOTAL SITUATION NETTE</t>
  </si>
  <si>
    <t>Emprunts</t>
  </si>
  <si>
    <t>Dettes de crédit-bail et contrats assimilés</t>
  </si>
  <si>
    <t>Dettes financières diverses</t>
  </si>
  <si>
    <t>Provisions financières pour risques et charges</t>
  </si>
  <si>
    <t xml:space="preserve"> Emprunts auprès des établissements de crédit (+1 an)</t>
  </si>
  <si>
    <t xml:space="preserve"> Dettes envers la société mère (+1 an)</t>
  </si>
  <si>
    <t>PNC1604</t>
  </si>
  <si>
    <t xml:space="preserve"> Avances reçues et comptes courants bloqués (+1 an)</t>
  </si>
  <si>
    <t>PNC1605</t>
  </si>
  <si>
    <t>Obligation locative (+1 an)</t>
  </si>
  <si>
    <t xml:space="preserve"> Conventions financières (+1 an)</t>
  </si>
  <si>
    <t>PNC1608</t>
  </si>
  <si>
    <t xml:space="preserve"> Autres dettes financières non courantes (+1 an)</t>
  </si>
  <si>
    <t>TPNC1300</t>
  </si>
  <si>
    <t>Dettes financières à long terme (+1 an)</t>
  </si>
  <si>
    <t>PNC1501</t>
  </si>
  <si>
    <t xml:space="preserve"> Provisions non courantes d'exploitation (+1an)</t>
  </si>
  <si>
    <t>PNC1502</t>
  </si>
  <si>
    <t xml:space="preserve"> Provisions non courantes - hors exploitation (+1an)</t>
  </si>
  <si>
    <t>PNC1503</t>
  </si>
  <si>
    <t xml:space="preserve"> Provisions non courantes pour impôt (+1an)</t>
  </si>
  <si>
    <t>PNC1504</t>
  </si>
  <si>
    <t xml:space="preserve"> Provisions non courantes pour indemnités de départ à la retraite (+1an)</t>
  </si>
  <si>
    <t>PNC1505</t>
  </si>
  <si>
    <t xml:space="preserve"> Provisions non courantes pour rentes viagères (+1an)</t>
  </si>
  <si>
    <t>TPNC1200</t>
  </si>
  <si>
    <t>Provisions non courantes</t>
  </si>
  <si>
    <t>PNC1618</t>
  </si>
  <si>
    <t xml:space="preserve"> Autres passifs financiers non courants (+1 an)</t>
  </si>
  <si>
    <t>TPNC 1400</t>
  </si>
  <si>
    <t>Autres passifs financiers non courants (+1 an)</t>
  </si>
  <si>
    <t>PNC1700</t>
  </si>
  <si>
    <t xml:space="preserve"> Impôts différés passifs</t>
  </si>
  <si>
    <t>TPNC 1500</t>
  </si>
  <si>
    <t>PNC1812</t>
  </si>
  <si>
    <t xml:space="preserve"> Autres produits constatés d’avance non courants (+1 an)</t>
  </si>
  <si>
    <t>TPNC1600</t>
  </si>
  <si>
    <t>Autres passifs  non courants (+1 an)</t>
  </si>
  <si>
    <t>TPNC100</t>
  </si>
  <si>
    <t>TOTAL PASSIF NON COURANT</t>
  </si>
  <si>
    <t>Dettes circulantes et ressources assimilées H.A.O.</t>
  </si>
  <si>
    <t>Clients, avances reçues</t>
  </si>
  <si>
    <t>Fournisseurs d'exploitation</t>
  </si>
  <si>
    <t>Dettes fiscales</t>
  </si>
  <si>
    <t>Dettes sociales</t>
  </si>
  <si>
    <t>Autres dettes</t>
  </si>
  <si>
    <t>Risques provisionnés</t>
  </si>
  <si>
    <t>Banques, crédits d'escompte</t>
  </si>
  <si>
    <t>Banques, crédits de trésorerie</t>
  </si>
  <si>
    <t>Banques, découverts</t>
  </si>
  <si>
    <t xml:space="preserve"> Clients créditeurs, avances et acomptes</t>
  </si>
  <si>
    <t xml:space="preserve"> Fournisseurs et comptes rattachés</t>
  </si>
  <si>
    <t xml:space="preserve"> Personnel - créditeur</t>
  </si>
  <si>
    <t xml:space="preserve"> Organismes sociaux</t>
  </si>
  <si>
    <t xml:space="preserve"> Etat –TVA facturée</t>
  </si>
  <si>
    <t xml:space="preserve"> Etat - autres comptes créditeurs (hors impôt sur le résultat)</t>
  </si>
  <si>
    <t>PC44611</t>
  </si>
  <si>
    <t xml:space="preserve"> Comptes d'actionnaires  créditeurs-groupe</t>
  </si>
  <si>
    <t>PC44612</t>
  </si>
  <si>
    <t xml:space="preserve"> Comptes d'actionnaires  créditeurs-minoritaires</t>
  </si>
  <si>
    <t>PC4471</t>
  </si>
  <si>
    <t xml:space="preserve"> Dividendes à payer   (société mère)</t>
  </si>
  <si>
    <t>PC4473</t>
  </si>
  <si>
    <t xml:space="preserve"> Dividendes à payer  (autres actionnaires)</t>
  </si>
  <si>
    <t>PC44741</t>
  </si>
  <si>
    <t>Retenue à la source part du groupe</t>
  </si>
  <si>
    <t>PC44742</t>
  </si>
  <si>
    <t>Retenue à la source part des minoritaires</t>
  </si>
  <si>
    <t xml:space="preserve"> Dettes sur acquisitions d'immobilisations corporelles et incorporelles (-1 an)</t>
  </si>
  <si>
    <t xml:space="preserve"> Dettes liées aux restructurations</t>
  </si>
  <si>
    <t xml:space="preserve"> Dettes rattachées aux autres créanciers</t>
  </si>
  <si>
    <t xml:space="preserve"> Comptes de régularisation - passif</t>
  </si>
  <si>
    <t>PC4734</t>
  </si>
  <si>
    <t>Dettes sur acquisition des titres et actifs financiers</t>
  </si>
  <si>
    <t>PC4735</t>
  </si>
  <si>
    <t xml:space="preserve"> Dettes sur acquisition des titres consolidés</t>
  </si>
  <si>
    <t xml:space="preserve">PC4736 </t>
  </si>
  <si>
    <t>Dépôts et cautionnements d'exploitation reçus</t>
  </si>
  <si>
    <t>TP4000</t>
  </si>
  <si>
    <t xml:space="preserve">Dettes d'exploitation </t>
  </si>
  <si>
    <t>PC4453</t>
  </si>
  <si>
    <t xml:space="preserve"> Etat, impôt sur le résultat</t>
  </si>
  <si>
    <t>TP4100</t>
  </si>
  <si>
    <t>Passif d'impôts exigibles</t>
  </si>
  <si>
    <t>PC4501</t>
  </si>
  <si>
    <t xml:space="preserve"> Provisions courantes d'exploitation (-1 an)</t>
  </si>
  <si>
    <t>PC4502</t>
  </si>
  <si>
    <t xml:space="preserve"> Provisions courantes - hors exploitation (-1 an)</t>
  </si>
  <si>
    <t>PC4503</t>
  </si>
  <si>
    <t xml:space="preserve"> Provisions courantes pour impôts (-1 an)</t>
  </si>
  <si>
    <t>PC4504</t>
  </si>
  <si>
    <t xml:space="preserve"> Provisions courantes pour indemnités de départ à la retraite (-1 an)</t>
  </si>
  <si>
    <t>PC4505</t>
  </si>
  <si>
    <t xml:space="preserve"> Provision courantes pour restructuration (-1 an)</t>
  </si>
  <si>
    <t>TP4200</t>
  </si>
  <si>
    <t>Provisions courantes</t>
  </si>
  <si>
    <t>PC4712</t>
  </si>
  <si>
    <t xml:space="preserve"> Emprunts auprès des établissements de crédit (- 1an)</t>
  </si>
  <si>
    <t xml:space="preserve"> ICNE sur emprunts auprès des établissements de crédit</t>
  </si>
  <si>
    <t>PC4713</t>
  </si>
  <si>
    <t xml:space="preserve"> Dettes envers la société mère (- 1an)</t>
  </si>
  <si>
    <t xml:space="preserve"> ICNE sur dettes envers la société mère</t>
  </si>
  <si>
    <t>PC4714</t>
  </si>
  <si>
    <t xml:space="preserve"> Avances reçues et comptes courants bloqués (- 1an)</t>
  </si>
  <si>
    <t>PC4724</t>
  </si>
  <si>
    <t xml:space="preserve"> ICNE sur avances reçues et comptes courants bloqués</t>
  </si>
  <si>
    <t>PC4715</t>
  </si>
  <si>
    <t>Obligation locative (-1 an)</t>
  </si>
  <si>
    <t xml:space="preserve">  Conventions financières (-1 an)</t>
  </si>
  <si>
    <t>PC4726</t>
  </si>
  <si>
    <t xml:space="preserve"> ICNE sur  fournisseur d'immobilisations, conventions financières (-1 an)</t>
  </si>
  <si>
    <t>PC4718</t>
  </si>
  <si>
    <t xml:space="preserve"> Autres dettes financières non courantes (- 1an )</t>
  </si>
  <si>
    <t>PC4728</t>
  </si>
  <si>
    <t xml:space="preserve"> ICNE sur autres dettes financières non courantes</t>
  </si>
  <si>
    <t>PC5000</t>
  </si>
  <si>
    <t xml:space="preserve"> Crédits de trésorerie</t>
  </si>
  <si>
    <t>PC5020</t>
  </si>
  <si>
    <t xml:space="preserve"> ICNE sur crédits de trésorerie</t>
  </si>
  <si>
    <t>PC5010</t>
  </si>
  <si>
    <t xml:space="preserve"> Découverts bancaires</t>
  </si>
  <si>
    <t>PC5030</t>
  </si>
  <si>
    <t xml:space="preserve"> ICNE sur découverts bancaires</t>
  </si>
  <si>
    <t>TP4300</t>
  </si>
  <si>
    <t xml:space="preserve">Dettes financières à court terme </t>
  </si>
  <si>
    <t xml:space="preserve">PC4738  </t>
  </si>
  <si>
    <t>Autres passifs financiers courants (-1 an)</t>
  </si>
  <si>
    <t>TP4400</t>
  </si>
  <si>
    <t>Autres passifs financiers courants (-1an)</t>
  </si>
  <si>
    <t>Ecarts de conversion-Passif (V)</t>
  </si>
  <si>
    <t>PC4600</t>
  </si>
  <si>
    <t>Passifs associés aux actifs détenus en vue de la vente</t>
  </si>
  <si>
    <t>TP4500</t>
  </si>
  <si>
    <t>Passifs non courants destinés à être cédés</t>
  </si>
  <si>
    <t>TP400</t>
  </si>
  <si>
    <t>TOTAL PASSIFS COURANTS</t>
  </si>
  <si>
    <t>TP00</t>
  </si>
  <si>
    <t>TOTAL CAPITAUX PROPRES ET PASSIF</t>
  </si>
  <si>
    <t>Contrôle visuel 1 (Vs Bilan Passif)</t>
  </si>
  <si>
    <t>Contrôle visuel 2 (Vs Passage Actif BC)</t>
  </si>
  <si>
    <t>²</t>
  </si>
  <si>
    <t>yu</t>
  </si>
  <si>
    <t>Passage Compte de  résultat - par nature</t>
  </si>
  <si>
    <t>Exploitation</t>
  </si>
  <si>
    <t>Financier</t>
  </si>
  <si>
    <t>Autres</t>
  </si>
  <si>
    <t>Reclass 
produits d'exploitation</t>
  </si>
  <si>
    <t>Reclass 
charges d'exploitation</t>
  </si>
  <si>
    <t>Commisions distributeurs</t>
  </si>
  <si>
    <t>Résiliation</t>
  </si>
  <si>
    <t>Achats 
Cartes SIM</t>
  </si>
  <si>
    <t>Var. de stock 
Cartes SIM</t>
  </si>
  <si>
    <t>Amortissements
Cartes SIM</t>
  </si>
  <si>
    <t>SVA</t>
  </si>
  <si>
    <t>Provision pour perte de change</t>
  </si>
  <si>
    <t>Complément
 PIDR</t>
  </si>
  <si>
    <t>Impact Désactualisation PIDR</t>
  </si>
  <si>
    <t>Escomptes</t>
  </si>
  <si>
    <t>Autres Reclassements</t>
  </si>
  <si>
    <t>Activation Charges du personnel</t>
  </si>
  <si>
    <t>Droit d'actif</t>
  </si>
  <si>
    <t>Delta</t>
  </si>
  <si>
    <t>Check</t>
  </si>
  <si>
    <t xml:space="preserve">  Production stockée (ou déstockage)</t>
  </si>
  <si>
    <t>RP7111</t>
  </si>
  <si>
    <t>Ventes de biens</t>
  </si>
  <si>
    <t xml:space="preserve">RP7112 </t>
  </si>
  <si>
    <t>Ventes de services</t>
  </si>
  <si>
    <t xml:space="preserve">RP7113 </t>
  </si>
  <si>
    <t xml:space="preserve">Autres revenus </t>
  </si>
  <si>
    <t>RP711 C</t>
  </si>
  <si>
    <t xml:space="preserve">Chiffre d'affaires  </t>
  </si>
  <si>
    <t xml:space="preserve">RP7141 </t>
  </si>
  <si>
    <t>Immobilisations produites par l’entreprise pour elle-même</t>
  </si>
  <si>
    <t xml:space="preserve">RP7142 </t>
  </si>
  <si>
    <t>Subventions d’exploitation et d’investissement</t>
  </si>
  <si>
    <t xml:space="preserve">RP7143 </t>
  </si>
  <si>
    <t>Transferts de charges d’exploitation</t>
  </si>
  <si>
    <t xml:space="preserve">RP7147 </t>
  </si>
  <si>
    <t>Gains de change d’exploitation</t>
  </si>
  <si>
    <t xml:space="preserve">RP7148 </t>
  </si>
  <si>
    <t>Produits de cession des immobilisations corporelles et incorporelles</t>
  </si>
  <si>
    <t xml:space="preserve">RP7149 </t>
  </si>
  <si>
    <t>Produits opérationnels divers</t>
  </si>
  <si>
    <t xml:space="preserve">RP714 </t>
  </si>
  <si>
    <t>Autres produits opérationnels</t>
  </si>
  <si>
    <t xml:space="preserve">RP7152 </t>
  </si>
  <si>
    <t>Reprise sur amortissement et dépréciation des immobilisations incorporelles</t>
  </si>
  <si>
    <t xml:space="preserve">RP7153 </t>
  </si>
  <si>
    <t>Reprise sur amortissement et dépréciation des immobilisations corporelles</t>
  </si>
  <si>
    <t>RP71551</t>
  </si>
  <si>
    <t>Reprise de l'exploitation aux provisions du passif courant (hors provisions sur IS)</t>
  </si>
  <si>
    <t>RP71552</t>
  </si>
  <si>
    <t>Reprise de l'exploitation aux provisions du passif  non courant (hors provisions sur IS)</t>
  </si>
  <si>
    <t>RP71560</t>
  </si>
  <si>
    <t>Reprise sur  provisions pour dépréciation des stocks</t>
  </si>
  <si>
    <t>RP71561</t>
  </si>
  <si>
    <t>Reprise sur provisions pour dépréciation des clients et comptes rattachés</t>
  </si>
  <si>
    <t>RP71562</t>
  </si>
  <si>
    <t>Reprise sur provisions pour dépréciation des fournisseurs débiteurs, avances et acomptes</t>
  </si>
  <si>
    <t>RP71563</t>
  </si>
  <si>
    <t>Reprise sur provisions pour dépréciation du personnel – débiteur</t>
  </si>
  <si>
    <t>RC71564</t>
  </si>
  <si>
    <t>Reprise sur provisions pour dépréciation des dépôts et cautionnements versés</t>
  </si>
  <si>
    <t>RP71565</t>
  </si>
  <si>
    <t>Reprise sur provisions pour dépréciation des créances fiscales</t>
  </si>
  <si>
    <t>RP71566</t>
  </si>
  <si>
    <t>Reprise sur provisions pour dépréciation des autres débiteurs</t>
  </si>
  <si>
    <t>RC71567</t>
  </si>
  <si>
    <t>Reprise sur provisions pour dépréciation des comptes d'actionnaires débiteurs</t>
  </si>
  <si>
    <t xml:space="preserve">RP715 </t>
  </si>
  <si>
    <t>Reprise sur amortissement et provisions</t>
  </si>
  <si>
    <t/>
  </si>
  <si>
    <t>Achats de marchandises</t>
  </si>
  <si>
    <t>Variation de stocks</t>
  </si>
  <si>
    <t>Achats de matières premières et fournitures liées</t>
  </si>
  <si>
    <t>Autres achats</t>
  </si>
  <si>
    <t>Transports</t>
  </si>
  <si>
    <t>Services extérieurs</t>
  </si>
  <si>
    <t>Impôts et taxes</t>
  </si>
  <si>
    <t>Autres charges</t>
  </si>
  <si>
    <t>Charges de personnel</t>
  </si>
  <si>
    <t xml:space="preserve">RC6111 </t>
  </si>
  <si>
    <t>Coûts des terminaux</t>
  </si>
  <si>
    <t xml:space="preserve">RC6112 </t>
  </si>
  <si>
    <t>Charges d'interconnexion nationale et internationale</t>
  </si>
  <si>
    <t xml:space="preserve">RC6113 </t>
  </si>
  <si>
    <t>Autres achats consommés</t>
  </si>
  <si>
    <t xml:space="preserve">RC611 </t>
  </si>
  <si>
    <t xml:space="preserve">Achats consommés  </t>
  </si>
  <si>
    <t xml:space="preserve">RC6121 </t>
  </si>
  <si>
    <t>Traitements et salaires</t>
  </si>
  <si>
    <t xml:space="preserve">RC6122 </t>
  </si>
  <si>
    <t>Charges sociales</t>
  </si>
  <si>
    <t xml:space="preserve">RC6123 </t>
  </si>
  <si>
    <t>Rémunérations payées en action</t>
  </si>
  <si>
    <t xml:space="preserve">RC612 </t>
  </si>
  <si>
    <t xml:space="preserve">Charges de personnel  </t>
  </si>
  <si>
    <t xml:space="preserve">RC6131 </t>
  </si>
  <si>
    <t>Impôts et taxes directs et indirects</t>
  </si>
  <si>
    <t xml:space="preserve">RC6132 </t>
  </si>
  <si>
    <t>Redevances - régulateur</t>
  </si>
  <si>
    <t xml:space="preserve">RC613 </t>
  </si>
  <si>
    <t xml:space="preserve"> Impôts et taxes </t>
  </si>
  <si>
    <t xml:space="preserve">RC6140 </t>
  </si>
  <si>
    <t>Communication</t>
  </si>
  <si>
    <t xml:space="preserve">RC6141 </t>
  </si>
  <si>
    <t>Commissions</t>
  </si>
  <si>
    <t xml:space="preserve">RC6142 </t>
  </si>
  <si>
    <t>Locations et charges locatives</t>
  </si>
  <si>
    <t xml:space="preserve">RC6143 </t>
  </si>
  <si>
    <t>Entretiens, réparations et maintenances courantes</t>
  </si>
  <si>
    <t xml:space="preserve">RC6144 </t>
  </si>
  <si>
    <t>Rémunérations des intermédiaires et honoraires</t>
  </si>
  <si>
    <t xml:space="preserve">RC6145 </t>
  </si>
  <si>
    <t>Frais postaux et services bancaires</t>
  </si>
  <si>
    <t xml:space="preserve">RC6146 </t>
  </si>
  <si>
    <t>Charges de départ volontaire</t>
  </si>
  <si>
    <t xml:space="preserve">RC6147 </t>
  </si>
  <si>
    <t>Pertes de change d'exploitation</t>
  </si>
  <si>
    <t xml:space="preserve">RC6148 </t>
  </si>
  <si>
    <t>Valeur nette comptable des immobilisations corporelles et incorporelles</t>
  </si>
  <si>
    <t xml:space="preserve">RC6149 </t>
  </si>
  <si>
    <t>Charges opérationnelles diverses</t>
  </si>
  <si>
    <t xml:space="preserve">RC614 </t>
  </si>
  <si>
    <t xml:space="preserve">Autres charges opérationnelles </t>
  </si>
  <si>
    <t xml:space="preserve">RC6152 </t>
  </si>
  <si>
    <t>Dotations aux amortissements et aux dépréciations des immobilisations incorporelles</t>
  </si>
  <si>
    <t>RC6151</t>
  </si>
  <si>
    <t>Dotations aux amortissements du droit d'utilisati</t>
  </si>
  <si>
    <t xml:space="preserve">RC6153 </t>
  </si>
  <si>
    <t>Dotations aux amortissements et aux dépréciations des immobilisations corporelles</t>
  </si>
  <si>
    <t>RC61551</t>
  </si>
  <si>
    <t>Dotations de l'exploitation aux provisions du passif courant  (hors provision sur IS)</t>
  </si>
  <si>
    <t>RC61552</t>
  </si>
  <si>
    <t>Dotations de l'exploitation aux provisions du passif non courant (hors provision sur IS)</t>
  </si>
  <si>
    <t>RC61560</t>
  </si>
  <si>
    <t>Dotations aux provisions pour dépréciation des stocks</t>
  </si>
  <si>
    <t>RC61561</t>
  </si>
  <si>
    <t>Dotations aux provisions pour dépréciation des clients et comptes rattachés</t>
  </si>
  <si>
    <t>RC61562</t>
  </si>
  <si>
    <t>Dotations aux provisions pour dépréciation des fournisseurs débiteurs, avances et acomptes</t>
  </si>
  <si>
    <t>RC61563</t>
  </si>
  <si>
    <t>Dotations aux provisions pour dépréciation du personnel – débiteur</t>
  </si>
  <si>
    <t>RC61564</t>
  </si>
  <si>
    <t>Dotations aux provisions pour dépréciation des dépôts et cautionnements versés</t>
  </si>
  <si>
    <t>RC61565</t>
  </si>
  <si>
    <t>Dotations aux provisions pour dépréciation des créances fiscales</t>
  </si>
  <si>
    <t>RC61566</t>
  </si>
  <si>
    <t>Dotations aux provisions pour dépréciation des autres débiteurs</t>
  </si>
  <si>
    <t>RC61567</t>
  </si>
  <si>
    <t>Dotations aux provisions pour dépréciation des comptes d'actionnaires débiteurs</t>
  </si>
  <si>
    <t xml:space="preserve">RC615 </t>
  </si>
  <si>
    <t xml:space="preserve">R.100 </t>
  </si>
  <si>
    <t>Résultat d'exploitation "EBITA"</t>
  </si>
  <si>
    <t xml:space="preserve">RC6211 </t>
  </si>
  <si>
    <t>Dotations aux amortissements des immobilisations acquises par voie de 
regroupement d’entreprises</t>
  </si>
  <si>
    <t xml:space="preserve">RC6212 </t>
  </si>
  <si>
    <t>Dotations aux provisions pour dépréciation des immobilisations acquises par voie de 
regroupement d’entreprises</t>
  </si>
  <si>
    <t xml:space="preserve">RC6220 </t>
  </si>
  <si>
    <t>Juste valeur des actifs et passifs (Perte)</t>
  </si>
  <si>
    <t xml:space="preserve">RC6230 </t>
  </si>
  <si>
    <t>Dotations aux provisions pour dépréciation des écarts d’acquisition</t>
  </si>
  <si>
    <t xml:space="preserve">RC6241 </t>
  </si>
  <si>
    <t>Dotations hors exploitation aux provisions du passif courant  (hors provisions sur l’IS)</t>
  </si>
  <si>
    <t xml:space="preserve">RC6242 </t>
  </si>
  <si>
    <t>Dotations hors exploitation aux provisions du passif non courant (hors provisions sur IS)</t>
  </si>
  <si>
    <t xml:space="preserve">RC6288 </t>
  </si>
  <si>
    <t xml:space="preserve">Charges des activités ordinaires diverses </t>
  </si>
  <si>
    <t xml:space="preserve">RC62 </t>
  </si>
  <si>
    <t>Autres charges des activités ordinaires</t>
  </si>
  <si>
    <t xml:space="preserve">RP7211 </t>
  </si>
  <si>
    <t>Reprises sur amortissements des immobilisations acquises par voie de
regroupement d’entreprises</t>
  </si>
  <si>
    <t xml:space="preserve">RP7212 </t>
  </si>
  <si>
    <t>Reprises sur provisions pour dépréciation des immobilisations acquises par voie de
regroupement d’entreprises</t>
  </si>
  <si>
    <t xml:space="preserve">RP7220 </t>
  </si>
  <si>
    <t>Juste valeur des actifs et passifs (gain)</t>
  </si>
  <si>
    <t xml:space="preserve">RP7241 </t>
  </si>
  <si>
    <t xml:space="preserve">Reprises hors exploitation aux provisions du passif courant </t>
  </si>
  <si>
    <t xml:space="preserve">RP7242 </t>
  </si>
  <si>
    <t>Reprises hors exploitation aux provisions du passif non courant</t>
  </si>
  <si>
    <t xml:space="preserve">RP7288 </t>
  </si>
  <si>
    <t>Produits des activités ordinaires divers</t>
  </si>
  <si>
    <t xml:space="preserve">RP728 </t>
  </si>
  <si>
    <t xml:space="preserve">Autres produits des activités ordinaires </t>
  </si>
  <si>
    <t xml:space="preserve">R.200 </t>
  </si>
  <si>
    <t>Résultat des activités ordinaires "EBIT"</t>
  </si>
  <si>
    <t xml:space="preserve">RC6310 </t>
  </si>
  <si>
    <t>Charges d'intérêts sur dettes financières</t>
  </si>
  <si>
    <t>RP73101</t>
  </si>
  <si>
    <t>Produits d'intérêts sur trésorerie et équivalents de trésorerie</t>
  </si>
  <si>
    <t>R.73-63</t>
  </si>
  <si>
    <t xml:space="preserve">Coût de l'endettement financier net  </t>
  </si>
  <si>
    <t>RP73102</t>
  </si>
  <si>
    <t>Produits d'intérêts sur prêts</t>
  </si>
  <si>
    <t>RP73103</t>
  </si>
  <si>
    <t>Revenus des créances financières</t>
  </si>
  <si>
    <t xml:space="preserve">RP7320 </t>
  </si>
  <si>
    <t>Gains de change financiers</t>
  </si>
  <si>
    <t xml:space="preserve">RP7330 </t>
  </si>
  <si>
    <t xml:space="preserve">Effet de la désactualisation (gain) </t>
  </si>
  <si>
    <t xml:space="preserve">RP7341 </t>
  </si>
  <si>
    <t>Reprises financières sur amortissements et provisions</t>
  </si>
  <si>
    <t xml:space="preserve">RP7351 </t>
  </si>
  <si>
    <t>Revenus des titres de participation consolidés</t>
  </si>
  <si>
    <t xml:space="preserve">RP7352 </t>
  </si>
  <si>
    <t>Revenus des titres de participation non consolidés</t>
  </si>
  <si>
    <t xml:space="preserve">RP7353 </t>
  </si>
  <si>
    <t>Revenus des titres mis en équivalence</t>
  </si>
  <si>
    <t xml:space="preserve">RP7361 </t>
  </si>
  <si>
    <t>Produits de cession des immobilisations financières</t>
  </si>
  <si>
    <t xml:space="preserve">RP7362 </t>
  </si>
  <si>
    <t>Produits des cession des actifs financiers courants</t>
  </si>
  <si>
    <t xml:space="preserve">RP7363 </t>
  </si>
  <si>
    <t>Produits de cession des titres consolidés</t>
  </si>
  <si>
    <t xml:space="preserve">RP7370 </t>
  </si>
  <si>
    <t>Juste valeur des actifs et passifs financiers</t>
  </si>
  <si>
    <t xml:space="preserve">RP7388 </t>
  </si>
  <si>
    <t>Autres produits financiers</t>
  </si>
  <si>
    <t xml:space="preserve">RP73 </t>
  </si>
  <si>
    <t>Produits financiers</t>
  </si>
  <si>
    <t xml:space="preserve">RC6320 </t>
  </si>
  <si>
    <t>Pertes de change financières</t>
  </si>
  <si>
    <t>RC6311</t>
  </si>
  <si>
    <t>Charges d'intérêts sur obligation locative</t>
  </si>
  <si>
    <t xml:space="preserve">RC6330 </t>
  </si>
  <si>
    <t>Effet de la désactualisation (perte)</t>
  </si>
  <si>
    <t xml:space="preserve">RC6341 </t>
  </si>
  <si>
    <t>Dotations financières aux amortissements et aux provisions</t>
  </si>
  <si>
    <t xml:space="preserve">RC6361 </t>
  </si>
  <si>
    <t>Valeur nette comptable des immobilisations financières</t>
  </si>
  <si>
    <t xml:space="preserve">RC6362 </t>
  </si>
  <si>
    <t>Valeur nette comptable des actifs financiers courants</t>
  </si>
  <si>
    <t xml:space="preserve">RC6363 </t>
  </si>
  <si>
    <t>Valeur nette comptable des titres consolidés</t>
  </si>
  <si>
    <t xml:space="preserve">RC6370 </t>
  </si>
  <si>
    <t>Juste valeur des actifs et passifs financiers (perte)</t>
  </si>
  <si>
    <t xml:space="preserve">RC6381 </t>
  </si>
  <si>
    <t xml:space="preserve">Commissions versées sur les activités de financement </t>
  </si>
  <si>
    <t xml:space="preserve">RC6388 </t>
  </si>
  <si>
    <t>Charges financières diverses</t>
  </si>
  <si>
    <t xml:space="preserve">RC63 </t>
  </si>
  <si>
    <t>Charges financières</t>
  </si>
  <si>
    <t>R.300</t>
  </si>
  <si>
    <t>Résultat financier</t>
  </si>
  <si>
    <t>R.400</t>
  </si>
  <si>
    <t>Résultat avant impôt</t>
  </si>
  <si>
    <t xml:space="preserve">RC6711 </t>
  </si>
  <si>
    <t>Impôts sur le résultat</t>
  </si>
  <si>
    <t xml:space="preserve">RC6712 </t>
  </si>
  <si>
    <t>Imposition minimale annuelle des sociétés</t>
  </si>
  <si>
    <t xml:space="preserve">RC6713 </t>
  </si>
  <si>
    <t>Contribution pour l’appui à la cohésion sociale</t>
  </si>
  <si>
    <t xml:space="preserve">RC6718 </t>
  </si>
  <si>
    <t>Rappels et dégrèvements d’impôts sur le résultat</t>
  </si>
  <si>
    <t xml:space="preserve">RC6750 </t>
  </si>
  <si>
    <t>Dotations aux provisions pour impôt sur le résultat</t>
  </si>
  <si>
    <t xml:space="preserve">RP7750 </t>
  </si>
  <si>
    <t>Reprises sur provisions pour impôt sur le résultat</t>
  </si>
  <si>
    <t>R.671-775</t>
  </si>
  <si>
    <t>Impôt courant</t>
  </si>
  <si>
    <t xml:space="preserve">RC6721 </t>
  </si>
  <si>
    <t>Impôts différés passifs (charge d’impôt)</t>
  </si>
  <si>
    <t xml:space="preserve">RC6722 </t>
  </si>
  <si>
    <t>Impôts différés actifs (produit d’impôt)</t>
  </si>
  <si>
    <t xml:space="preserve">RC6770 </t>
  </si>
  <si>
    <t>Dotations aux provisions pour dépréciations des impôts différés actif</t>
  </si>
  <si>
    <t xml:space="preserve">RP7770 </t>
  </si>
  <si>
    <t>Reprises sur provisions pour dépréciation des impôts différés actif</t>
  </si>
  <si>
    <t>R.672-777</t>
  </si>
  <si>
    <t>Impôts différés</t>
  </si>
  <si>
    <t xml:space="preserve">R.700 </t>
  </si>
  <si>
    <t>Charges d'impôt de l'exercice</t>
  </si>
  <si>
    <t>R.900</t>
  </si>
  <si>
    <t>Résultat net</t>
  </si>
  <si>
    <t>R.901</t>
  </si>
  <si>
    <t>Résultat net - Part du groupe</t>
  </si>
  <si>
    <t xml:space="preserve">R.902 </t>
  </si>
  <si>
    <t>Résultat net - Intérêts minoritaires</t>
  </si>
  <si>
    <t>Contrôle visuel (vs Résultat Bilan PG+PM)</t>
  </si>
  <si>
    <t>Passage Compte de  résultat - par fonction</t>
  </si>
  <si>
    <t>Ajustements - consolidation</t>
  </si>
  <si>
    <t xml:space="preserve"> Achats de marchandises</t>
  </si>
  <si>
    <t xml:space="preserve"> Variation de stocks</t>
  </si>
  <si>
    <t xml:space="preserve"> Achats de matières premières et fournitures liées</t>
  </si>
  <si>
    <t xml:space="preserve"> Transports</t>
  </si>
  <si>
    <t xml:space="preserve"> Services extérieurs</t>
  </si>
  <si>
    <t xml:space="preserve"> Impôts et taxes</t>
  </si>
  <si>
    <t xml:space="preserve"> Autres charges</t>
  </si>
  <si>
    <t xml:space="preserve"> Charges de personnel</t>
  </si>
  <si>
    <t xml:space="preserve"> Dotations aux amortissements et aux provisions</t>
  </si>
  <si>
    <t xml:space="preserve">RP711 Chiffre d'affaires  </t>
  </si>
  <si>
    <t>RC6410</t>
  </si>
  <si>
    <t>Coûts des ventes de biens</t>
  </si>
  <si>
    <t>RC6420</t>
  </si>
  <si>
    <t>Coûts des ventes de services</t>
  </si>
  <si>
    <t>RC640</t>
  </si>
  <si>
    <t>Coûts des ventes</t>
  </si>
  <si>
    <t xml:space="preserve">RC611 Achats consommés  </t>
  </si>
  <si>
    <t>R.80</t>
  </si>
  <si>
    <t>Marge brute</t>
  </si>
  <si>
    <t xml:space="preserve">RC613 Impôts et taxes </t>
  </si>
  <si>
    <t>RC6430</t>
  </si>
  <si>
    <t>Coûts opérationnels</t>
  </si>
  <si>
    <t>R.90</t>
  </si>
  <si>
    <t>EBITDA</t>
  </si>
  <si>
    <t>Produits des cessions des immobilisations corporelles et Incorporelles</t>
  </si>
  <si>
    <t>RP7148 Produits des cessions des immobilisations corporelles et Incorporelles</t>
  </si>
  <si>
    <t>RP714 Autres produits opérationnels</t>
  </si>
  <si>
    <t xml:space="preserve">RC614 Autres charges opérationnelles </t>
  </si>
  <si>
    <t>Reprises sur amortissements des immobilisations incorporelles</t>
  </si>
  <si>
    <t>RP7152 Reprises sur amortissements des immobilisations incorporelles</t>
  </si>
  <si>
    <t>Reprises sur amortissements des immobilisations corporelles</t>
  </si>
  <si>
    <t>RP7153 Reprises sur amortissements des immobilisations corporelles</t>
  </si>
  <si>
    <t>RP71541</t>
  </si>
  <si>
    <t>Reprise sur provisions pour dépréciation des immobilisations incorporelles (hors IFRS3)</t>
  </si>
  <si>
    <t>RP71541 Reprise sur provisions pour dépréciation des immobilisations incorporelles (hors IFRS3)</t>
  </si>
  <si>
    <t>RP71542</t>
  </si>
  <si>
    <t>Reprise sur provisions pour dépréciation des immobilisations corporelles</t>
  </si>
  <si>
    <t>YRP71551</t>
  </si>
  <si>
    <r>
      <t>Reprises de l'exploitation aux provisions du passif courant (hors provisions sur IS)</t>
    </r>
    <r>
      <rPr>
        <sz val="20"/>
        <color rgb="FFFF9900"/>
        <rFont val="Calibri Light"/>
        <family val="1"/>
        <scheme val="major"/>
      </rPr>
      <t xml:space="preserve"> "HORS EBITDA"</t>
    </r>
  </si>
  <si>
    <t>RP71551 Reprises de l'exploitation aux provisions du passif courant (hors provisions sur IS)</t>
  </si>
  <si>
    <t>YRP71552</t>
  </si>
  <si>
    <r>
      <t xml:space="preserve">Reprises de l'exploitation aux provisions du passif  non courant (hors provisions sur IS)  </t>
    </r>
    <r>
      <rPr>
        <sz val="20"/>
        <color rgb="FFFF9900"/>
        <rFont val="Calibri Light"/>
        <family val="1"/>
        <scheme val="major"/>
      </rPr>
      <t>"HORS EBITDA"</t>
    </r>
  </si>
  <si>
    <t>RP71552 Reprises de l'exploitation aux provisions du passif  non courant (hors provisions sur IS)</t>
  </si>
  <si>
    <t>Reprise sur amortissemnts et provisions</t>
  </si>
  <si>
    <t>RP715 Reprise sur amortissemnts et provisions</t>
  </si>
  <si>
    <t>Dotations aux amortissements des immobilisations incorporelles</t>
  </si>
  <si>
    <t>RC6152 Dotations aux amortissements des immobilisations incorporelles</t>
  </si>
  <si>
    <t>Dotations aux amortissements des immobilisations corporelles</t>
  </si>
  <si>
    <t>YRC61551</t>
  </si>
  <si>
    <r>
      <t xml:space="preserve">Dotations de l'exploitation aux provisions du passif courant  (hors provision sur IS) </t>
    </r>
    <r>
      <rPr>
        <sz val="20"/>
        <color rgb="FFFF9900"/>
        <rFont val="Calibri Light"/>
        <family val="1"/>
        <scheme val="major"/>
      </rPr>
      <t xml:space="preserve"> "HORS EBITDA"</t>
    </r>
  </si>
  <si>
    <t>YRC61552</t>
  </si>
  <si>
    <r>
      <t>Dotations de l'exploitation aux provisions du passif non courant (hors provision sur IS)</t>
    </r>
    <r>
      <rPr>
        <sz val="20"/>
        <color rgb="FFFF9900"/>
        <rFont val="Calibri Light"/>
        <family val="1"/>
        <scheme val="major"/>
      </rPr>
      <t xml:space="preserve">  "HORS EBITDA"</t>
    </r>
  </si>
  <si>
    <t>RC615 Dotations aux amortissements et aux provisions</t>
  </si>
  <si>
    <t>Contrôle visuel (vs EBITA P&amp;L par nature)</t>
  </si>
  <si>
    <t>F00
Ouverture</t>
  </si>
  <si>
    <t>F10 
Résultat</t>
  </si>
  <si>
    <t>F12
Affectation</t>
  </si>
  <si>
    <t>F13
Dividendes</t>
  </si>
  <si>
    <t>F17
Opérations avec les actionnaires</t>
  </si>
  <si>
    <t>F20
Augmentation</t>
  </si>
  <si>
    <t>F25
Dotation</t>
  </si>
  <si>
    <t>F40
Diminution</t>
  </si>
  <si>
    <t>F45
Reprise</t>
  </si>
  <si>
    <t>F60
BFR</t>
  </si>
  <si>
    <t>F88
Reclassement</t>
  </si>
  <si>
    <t>F98 
Désactualisation</t>
  </si>
  <si>
    <t>F82
JV par P&amp;L</t>
  </si>
  <si>
    <t>F87
Changement de Méthode</t>
  </si>
  <si>
    <t>F99
Clôture</t>
  </si>
  <si>
    <t xml:space="preserve"> Ecarts d’acquisition</t>
  </si>
  <si>
    <t xml:space="preserve"> Provisions pour dépréciation des écarts d’acquisition</t>
  </si>
  <si>
    <t xml:space="preserve"> Frais de développement</t>
  </si>
  <si>
    <t xml:space="preserve"> Amortissements &amp; dépréciation des frais de développement</t>
  </si>
  <si>
    <t xml:space="preserve"> Brevets et marques</t>
  </si>
  <si>
    <t xml:space="preserve"> Licences télécom</t>
  </si>
  <si>
    <t xml:space="preserve"> Amortissements &amp; dépréciation des licences télécom</t>
  </si>
  <si>
    <t xml:space="preserve"> Immobilisations incorporelles acquises par voie de regroupement d'entreprises</t>
  </si>
  <si>
    <t xml:space="preserve"> Cartes SIM</t>
  </si>
  <si>
    <t xml:space="preserve"> Amortissements &amp; dépréciation cartes SIM</t>
  </si>
  <si>
    <t xml:space="preserve"> Autres immobilisations incorporelles</t>
  </si>
  <si>
    <t xml:space="preserve"> Amortissements &amp; dépréciation des autres immobilisations incorporelles</t>
  </si>
  <si>
    <t xml:space="preserve"> Immobilisations incorporelles en cours</t>
  </si>
  <si>
    <t xml:space="preserve"> Provisions pour dépréciation des immobilisations incorporelles en cours</t>
  </si>
  <si>
    <t xml:space="preserve"> Terrains</t>
  </si>
  <si>
    <t xml:space="preserve"> Amortissement &amp; dépréciation des terrains</t>
  </si>
  <si>
    <t xml:space="preserve"> Constructions</t>
  </si>
  <si>
    <t xml:space="preserve"> Amortissement &amp; dépréciation des constructions</t>
  </si>
  <si>
    <t xml:space="preserve"> Installations techniques, matériel et outillage</t>
  </si>
  <si>
    <t xml:space="preserve"> Amortissement &amp; dépréciation des installations techniques, matériel et outillage</t>
  </si>
  <si>
    <t xml:space="preserve"> Matériel de transport</t>
  </si>
  <si>
    <t xml:space="preserve"> Amortissements &amp; dépréciation du matériel de transport</t>
  </si>
  <si>
    <t xml:space="preserve"> Mobilier et matériel de bureau</t>
  </si>
  <si>
    <t xml:space="preserve"> Amortissements &amp; dépréciation du mobilier, matériel de bureau</t>
  </si>
  <si>
    <t xml:space="preserve"> Avances et acomptes versés sur commandes d'immobilisations corporelles</t>
  </si>
  <si>
    <t xml:space="preserve"> Provisions pour dépréciation des avances  et acomptes versés sur commandes d'immobilisations corporelles</t>
  </si>
  <si>
    <t xml:space="preserve"> Autres immobilisations corporelles</t>
  </si>
  <si>
    <t xml:space="preserve"> Amortissement &amp; dépréciation des autres immobilisations corporelles</t>
  </si>
  <si>
    <t xml:space="preserve"> Immobilisations corporelles en cours</t>
  </si>
  <si>
    <t xml:space="preserve"> Provisions pour dépréciation des immobilisations en cours</t>
  </si>
  <si>
    <t>Provisions pour dépréciation des créances sur cession d'immobilisations financières (+1 an)</t>
  </si>
  <si>
    <t xml:space="preserve"> Titres de participation consolidés</t>
  </si>
  <si>
    <t xml:space="preserve"> Titres de participation non consolidés</t>
  </si>
  <si>
    <t xml:space="preserve"> Dépôts et cautionnements d'exploitation versés</t>
  </si>
  <si>
    <t xml:space="preserve"> Provisions pour dépréciation des dépôts et cautionnements versés</t>
  </si>
  <si>
    <t xml:space="preserve"> Etat - TVA récupérable</t>
  </si>
  <si>
    <t xml:space="preserve"> Etat - autres comptes débiteurs</t>
  </si>
  <si>
    <t xml:space="preserve"> Provisions pour dépréciation des créances fiscales</t>
  </si>
  <si>
    <t xml:space="preserve"> Comptes d'actionnaires débiteurs- groupe</t>
  </si>
  <si>
    <t xml:space="preserve"> Comptes d'actionnaires débiteurs- minoritaires</t>
  </si>
  <si>
    <t xml:space="preserve"> Provisions pour dépréciation des comptes d'actionnaires débiteurs- groupe</t>
  </si>
  <si>
    <t xml:space="preserve"> Provisions pour dépréciation des comptes d'actionnaires débiteurs- minoritaires</t>
  </si>
  <si>
    <t xml:space="preserve"> Dividendes à recevoir (titres consolidés)</t>
  </si>
  <si>
    <t xml:space="preserve"> Provisions pour dépréciation des dividendes à recevoir (titres consolidés)</t>
  </si>
  <si>
    <t xml:space="preserve"> Dividendes à recevoir  (titres non consolidés)</t>
  </si>
  <si>
    <t xml:space="preserve"> Provisions pour dépréciation des dividendes à recevoir (titres non consolidés)</t>
  </si>
  <si>
    <t>Provisions pour dépréciation des créances rattachées aux autres débiteurs</t>
  </si>
  <si>
    <t xml:space="preserve"> Comptes de régularisation - actif</t>
  </si>
  <si>
    <t>AC3528</t>
  </si>
  <si>
    <t>Créances financières diverses (-1 an)</t>
  </si>
  <si>
    <t xml:space="preserve"> Instruments dérivés-actifs courants (variation en résultat)</t>
  </si>
  <si>
    <t>Total actif</t>
  </si>
  <si>
    <t xml:space="preserve"> Fournisseurs d'immobilisations, conventions financières (+1 an)</t>
  </si>
  <si>
    <t xml:space="preserve"> Provisions non courantes pour indemnités de départs à la retraite (+1an)</t>
  </si>
  <si>
    <t>TOTAL PASSIFS NON COURANTS</t>
  </si>
  <si>
    <t>Dettes sur acquisitions des titres et actifs financiers</t>
  </si>
  <si>
    <t xml:space="preserve"> Dettes sur acquisitions des titres consolidés</t>
  </si>
  <si>
    <t>Passifs d'impôts exigibles</t>
  </si>
  <si>
    <t xml:space="preserve"> Fournisseurs d'immobilisations, conventions financières (-1 an)</t>
  </si>
  <si>
    <t>TOTAL PASSIF COURANT</t>
  </si>
  <si>
    <t>Comptes individuels IFRS</t>
  </si>
  <si>
    <t xml:space="preserve">         Bilan simplifié</t>
  </si>
  <si>
    <t>Autres passifs  nou courants (+1 an)</t>
  </si>
  <si>
    <t>Contrôle visuel d'équilibre Bilan (Total ACTIF = Total PASSIF)</t>
  </si>
  <si>
    <t>RP7141 Immobilisations produites par l’entreprise pour elle-même</t>
  </si>
  <si>
    <t>RP7142 Subventions d’exploitation et d’investissement</t>
  </si>
  <si>
    <t>RP7147 Gains de change d’exploitation</t>
  </si>
  <si>
    <t>Reprise sur amortissements et dépréciations des immobilisations incorporelles</t>
  </si>
  <si>
    <t>Reprise sur amortissements et dépréciations des immobilisations corporelles</t>
  </si>
  <si>
    <t>RP71562 Reprise sur provisions pour dépréciation des fournisseurs débiteurs, avances et acomptes</t>
  </si>
  <si>
    <t>RP71563 Reprise sur provisions pour dépréciation du personnel – débiteur</t>
  </si>
  <si>
    <t>RC71564 Reprise sur provisions pour dépréciation des dépôts et cautionnements versés</t>
  </si>
  <si>
    <t>RP71565 Reprise sur provisions pour dépréciation des créances fiscales</t>
  </si>
  <si>
    <t>RP71566 Reprise sur provisions pour dépréciation des autres débiteurs</t>
  </si>
  <si>
    <t>Reprises sur provisions pour dépréciation des comptes d'actionnaires débiteurs</t>
  </si>
  <si>
    <t>RC71567 Reprises sur provisions pour dépréciation des comptes d'actionnaires débiteurs</t>
  </si>
  <si>
    <t>RC6123 Rémunérations payées en action</t>
  </si>
  <si>
    <t xml:space="preserve">RC612 Charges de personnel  </t>
  </si>
  <si>
    <t>Charges de départs volontaires</t>
  </si>
  <si>
    <t>RC6146 Charges de départs volontaires</t>
  </si>
  <si>
    <t>RC61562 Dotations aux provisions pour dépréciation des fournisseurs débiteurs, avances et acomptes</t>
  </si>
  <si>
    <t>RC61563 Dotations aux provisions pour dépréciation du personnel – débiteur</t>
  </si>
  <si>
    <t>RC61564 Dotations aux provisions pour dépréciation des dépôts et cautionnements versés</t>
  </si>
  <si>
    <t>RC61565 Dotations aux provisions pour dépréciation des créances fiscales</t>
  </si>
  <si>
    <t>RC61566 Dotations aux provisions pour dépréciation des autres débiteurs</t>
  </si>
  <si>
    <t>RC61567 Dotations aux provisions pour dépréciation des comptes d'actionnaires débiteurs</t>
  </si>
  <si>
    <t>RC6211 Dotations aux amortissements des immobilisations acquises par voie de 
regroupement d’entreprises</t>
  </si>
  <si>
    <t>RC6212 Dotations aux provisions pour dépréciation des immobilisations acquises par voie de 
regroupement d’entreprises</t>
  </si>
  <si>
    <t>RC6220 Juste valeur des actifs et passifs (Perte)</t>
  </si>
  <si>
    <t>RC6230 Dotations aux provisions pour dépréciation des écarts d’acquisition</t>
  </si>
  <si>
    <t>RC6241 Dotations hors exploitation aux provisions du passif courant  (hors provisions sur l’IS)</t>
  </si>
  <si>
    <t>RC6242 Dotations hors exploitation aux provisions du passif non courant (hors provisions sur IS)</t>
  </si>
  <si>
    <t xml:space="preserve">RC6288 Charges des activités ordinaires diverses </t>
  </si>
  <si>
    <t xml:space="preserve">RC62 Autres charges des activités ordinaires </t>
  </si>
  <si>
    <t>RP7211 Reprises sur amortissements des immobilisations acquises par voie de
regroupement d’entreprises</t>
  </si>
  <si>
    <t>RP7212 Reprises sur provisions pour dépréciation des immobilisations acquises par voie de
regroupement d’entreprises</t>
  </si>
  <si>
    <t>RP7220 Juste valeur des actifs et passifs (gain)</t>
  </si>
  <si>
    <t xml:space="preserve">RP7241  Reprises hors exploitation aux provisions du passif courant </t>
  </si>
  <si>
    <t>RP7242  Reprises hors exploitation aux provisions du passif non courant</t>
  </si>
  <si>
    <t>RP7288 Produits des activités ordinaires divers</t>
  </si>
  <si>
    <t xml:space="preserve">RP728 Autres produits des activités ordinaires </t>
  </si>
  <si>
    <t>RP73101  Produits d'intérêts sur trésorerie et équivalents de trésorerie</t>
  </si>
  <si>
    <t xml:space="preserve">R.73-63  Coût de l'endettement financier net  </t>
  </si>
  <si>
    <t>RP73103 Revenus des créances financières</t>
  </si>
  <si>
    <t xml:space="preserve">RP7330 Effet de la désactualisation (gain) </t>
  </si>
  <si>
    <t>RP7341 Reprises financières sur amortissements et provisions</t>
  </si>
  <si>
    <t>RP7351 Revenus des titres de participation consolidés</t>
  </si>
  <si>
    <t>RP7352 Revenus des titres de participation non consolidés</t>
  </si>
  <si>
    <t>RP7353 Revenus des titres mis en équivalence</t>
  </si>
  <si>
    <t>RP7361 Produits des cessions des immobilisations financières</t>
  </si>
  <si>
    <t>Produits de cession des actifs financiers courants</t>
  </si>
  <si>
    <t>RP7362 Produits des cessions des actifs financiers courants</t>
  </si>
  <si>
    <t>RP7363 Produits des cessions des titres consolidés</t>
  </si>
  <si>
    <t>RP7370 Juste valeur des actifs et passifs financiers</t>
  </si>
  <si>
    <t>RP7388 Autres produits financiers</t>
  </si>
  <si>
    <t>RC6330 Effet de la désactualisation (perte)</t>
  </si>
  <si>
    <t>RC6341 Dotations financières aux amortissements et aux provisions</t>
  </si>
  <si>
    <t>RC6361 Valeur nette comptable des immobilisations financières</t>
  </si>
  <si>
    <t>RC6362 Valeur nette comptable des actifs financiers courants</t>
  </si>
  <si>
    <t>RC6363 Valeur nette comptable des titres consolidés</t>
  </si>
  <si>
    <t>RC6370 Juste valeur des actifs et passifs financiers (perte)</t>
  </si>
  <si>
    <t xml:space="preserve">RC6381 Commissions versées sur les activités de financement </t>
  </si>
  <si>
    <t>RC6388 Charges financières diverses</t>
  </si>
  <si>
    <t>RC63 Charges financières</t>
  </si>
  <si>
    <t>RC6712 Imposition minimale annuelle des sociétés</t>
  </si>
  <si>
    <t>RC6713 Contribution pour l’appui à la cohésion sociale</t>
  </si>
  <si>
    <t>RC6718 Rappels et dégrèvements d’impôts sur le résultat</t>
  </si>
  <si>
    <t>RC6750 Dotations aux provisions pour impôt sur le résultat</t>
  </si>
  <si>
    <t>RP7750 Reprises sur provisions pour impôt sur le résultat</t>
  </si>
  <si>
    <t>RC6721 Impôts différés passifs (charge d’impôt)</t>
  </si>
  <si>
    <t>RC6722 Impôts différés actifs (produit d’impôt)</t>
  </si>
  <si>
    <t>Dotations aux provisions pour dépréciation des impôts différés actif</t>
  </si>
  <si>
    <t>RC6770 Dotations aux provisions pour dépréciations des impôts différés actif</t>
  </si>
  <si>
    <t>RP7770 Reprises sur provisions pour dépréciation des impôts différés actif</t>
  </si>
  <si>
    <t xml:space="preserve">R901, </t>
  </si>
  <si>
    <t>Contrôle visuel (Vs Résultat du Bilan (restit))</t>
  </si>
  <si>
    <t>Reprise sur amortissements des immobilisations incorporelles</t>
  </si>
  <si>
    <t>Reprise sur amortissements des immobilisations corporelles</t>
  </si>
  <si>
    <r>
      <t>Reprise de l'exploitation aux provisions du passif courant (hors provisions sur IS)</t>
    </r>
    <r>
      <rPr>
        <sz val="11"/>
        <color rgb="FFFF9900"/>
        <rFont val="Calibri Light"/>
        <family val="1"/>
        <scheme val="major"/>
      </rPr>
      <t xml:space="preserve"> "HORS EBITDA"</t>
    </r>
  </si>
  <si>
    <r>
      <t xml:space="preserve">Reprise de l'exploitation aux provisions du passif  non courant (hors provisions sur IS)  </t>
    </r>
    <r>
      <rPr>
        <sz val="11"/>
        <color rgb="FFFF9900"/>
        <rFont val="Calibri Light"/>
        <family val="1"/>
        <scheme val="major"/>
      </rPr>
      <t>"HORS EBITDA"</t>
    </r>
  </si>
  <si>
    <t>Reprise sur amortissements et provisions</t>
  </si>
  <si>
    <r>
      <t xml:space="preserve">Dotations de l'exploitation aux provisions du passif courant  (hors provision sur IS) </t>
    </r>
    <r>
      <rPr>
        <sz val="11"/>
        <color rgb="FFFF9900"/>
        <rFont val="Calibri Light"/>
        <family val="1"/>
        <scheme val="major"/>
      </rPr>
      <t xml:space="preserve"> "HORS EBITDA"</t>
    </r>
  </si>
  <si>
    <r>
      <t>Dotations de l'exploitation aux provisions du passif non courant (hors provision sur IS)</t>
    </r>
    <r>
      <rPr>
        <sz val="11"/>
        <color rgb="FFFF9900"/>
        <rFont val="Calibri Light"/>
        <family val="1"/>
        <scheme val="major"/>
      </rPr>
      <t xml:space="preserve">  "HORS EBITDA"</t>
    </r>
  </si>
  <si>
    <t>Contrôle visuel (Vs EBITA P&amp;L par nature (Restit)</t>
  </si>
  <si>
    <t>Annexes IFRS</t>
  </si>
  <si>
    <r>
      <rPr>
        <b/>
        <i/>
        <sz val="15"/>
        <color theme="3"/>
        <rFont val="Calibri Light"/>
        <family val="1"/>
        <scheme val="major"/>
      </rPr>
      <t xml:space="preserve">  </t>
    </r>
    <r>
      <rPr>
        <b/>
        <i/>
        <u/>
        <sz val="15"/>
        <color theme="3"/>
        <rFont val="Calibri Light"/>
        <family val="1"/>
        <scheme val="major"/>
      </rPr>
      <t>Note : Cartes SIM</t>
    </r>
  </si>
  <si>
    <t xml:space="preserve">     Exercice :</t>
  </si>
  <si>
    <t>Stock initial</t>
  </si>
  <si>
    <r>
      <t>-  Achats</t>
    </r>
    <r>
      <rPr>
        <b/>
        <vertAlign val="superscript"/>
        <sz val="8"/>
        <rFont val="Calibri Light"/>
        <family val="1"/>
        <scheme val="major"/>
      </rPr>
      <t>(1)</t>
    </r>
  </si>
  <si>
    <r>
      <t>-  Activations</t>
    </r>
    <r>
      <rPr>
        <b/>
        <vertAlign val="superscript"/>
        <sz val="8"/>
        <rFont val="Calibri Light"/>
        <family val="1"/>
        <scheme val="major"/>
      </rPr>
      <t>(2)</t>
    </r>
  </si>
  <si>
    <t>Stock Final</t>
  </si>
  <si>
    <t>(1)</t>
  </si>
  <si>
    <t>Achat de cartes SIM</t>
  </si>
  <si>
    <t>(2)</t>
  </si>
  <si>
    <t>Cartes activées</t>
  </si>
  <si>
    <t>Tableau des immos SIM - BRUT</t>
  </si>
  <si>
    <t>Augmentation</t>
  </si>
  <si>
    <t>Sortie</t>
  </si>
  <si>
    <t>Reclassement</t>
  </si>
  <si>
    <t>Clôture</t>
  </si>
  <si>
    <t>Immos Incorp. SIM</t>
  </si>
  <si>
    <t>Immos Incorp. Encours SIM</t>
  </si>
  <si>
    <t>TOTAL BRUT - SIM</t>
  </si>
  <si>
    <t>Tableau des immos SIM - AMORT</t>
  </si>
  <si>
    <t>Dotation</t>
  </si>
  <si>
    <t>Reprise</t>
  </si>
  <si>
    <t>Amortissement des  cartes  SIM</t>
  </si>
  <si>
    <t>TOTAL AMORT - SIM</t>
  </si>
  <si>
    <t>Tableau d'amortissement des cartes SIM</t>
  </si>
  <si>
    <t>Activations</t>
  </si>
  <si>
    <t>CMUP</t>
  </si>
  <si>
    <t>Montant</t>
  </si>
  <si>
    <r>
      <rPr>
        <b/>
        <i/>
        <sz val="15"/>
        <color theme="3"/>
        <rFont val="Calibri Light"/>
        <family val="1"/>
        <scheme val="major"/>
      </rPr>
      <t xml:space="preserve">  </t>
    </r>
    <r>
      <rPr>
        <b/>
        <i/>
        <u/>
        <sz val="15"/>
        <color theme="3"/>
        <rFont val="Calibri Light"/>
        <family val="1"/>
        <scheme val="major"/>
      </rPr>
      <t>Note : Dettes financières à long terme</t>
    </r>
  </si>
  <si>
    <t>Échéances</t>
  </si>
  <si>
    <t>Comptes</t>
  </si>
  <si>
    <t>Taux nominal d'intérêt (%)</t>
  </si>
  <si>
    <t>Nature de taux</t>
  </si>
  <si>
    <t>Maturité</t>
  </si>
  <si>
    <t>Société</t>
  </si>
  <si>
    <t>Devise</t>
  </si>
  <si>
    <t>Garantie O/N</t>
  </si>
  <si>
    <t>Garantie</t>
  </si>
  <si>
    <t>Covenants
O/N</t>
  </si>
  <si>
    <t>Détails Covenants</t>
  </si>
  <si>
    <t xml:space="preserve">Facilités </t>
  </si>
  <si>
    <t>Facilités utilisées</t>
  </si>
  <si>
    <t>Date de signature</t>
  </si>
  <si>
    <t>Montant initial de la facilité</t>
  </si>
  <si>
    <t>Remboursements</t>
  </si>
  <si>
    <t>Durée</t>
  </si>
  <si>
    <t>Délai de grâce</t>
  </si>
  <si>
    <t xml:space="preserve">F99
Clôture </t>
  </si>
  <si>
    <t xml:space="preserve">F00
Ouverture </t>
  </si>
  <si>
    <t xml:space="preserve">  F20
Augmentation</t>
  </si>
  <si>
    <t xml:space="preserve"> F40
Diminution</t>
  </si>
  <si>
    <t xml:space="preserve"> F82
Var de la Juste Valeur  P&amp;L</t>
  </si>
  <si>
    <t xml:space="preserve"> F88
Reclassements</t>
  </si>
  <si>
    <t>Payable within next 3 months</t>
  </si>
  <si>
    <t>Payable within 4 - 6 months</t>
  </si>
  <si>
    <t>Payable within 7 - 9 months</t>
  </si>
  <si>
    <t>Payable within 10 -12 months</t>
  </si>
  <si>
    <t>Payable within 13 -15 months</t>
  </si>
  <si>
    <t>Payable within 16 -18 months</t>
  </si>
  <si>
    <t>Payable within 19 -21 months</t>
  </si>
  <si>
    <t>Payable within 22 -24 months</t>
  </si>
  <si>
    <t>Payable within 25-27months</t>
  </si>
  <si>
    <t>Payable within 28 -30 months</t>
  </si>
  <si>
    <t>Payable within 31 -3 months</t>
  </si>
  <si>
    <t>Payable within 34 -36 months</t>
  </si>
  <si>
    <t>After 3 years &amp; before 5 years</t>
  </si>
  <si>
    <t>After 5 years</t>
  </si>
  <si>
    <t xml:space="preserve">Emprunts auprès des établissements de crédit - PNC1602
</t>
  </si>
  <si>
    <t>simple</t>
  </si>
  <si>
    <t>Mensuel : '06/10/2017</t>
  </si>
  <si>
    <t>BABE</t>
  </si>
  <si>
    <t xml:space="preserve">CFA </t>
  </si>
  <si>
    <t>N</t>
  </si>
  <si>
    <t>LT: 10 Milliards</t>
  </si>
  <si>
    <t>06/05/2014</t>
  </si>
  <si>
    <t>10 miilliards CFA</t>
  </si>
  <si>
    <t>Mensualités</t>
  </si>
  <si>
    <t xml:space="preserve">60mois </t>
  </si>
  <si>
    <t>N/A</t>
  </si>
  <si>
    <t xml:space="preserve">PNC1602  </t>
  </si>
  <si>
    <t>Emprunt BABE</t>
  </si>
  <si>
    <t xml:space="preserve">   Emprunts auprès des établissements de crédit</t>
  </si>
  <si>
    <t xml:space="preserve">Dettes envers la société mère (+1 an)-PNC1603 
</t>
  </si>
  <si>
    <t>Simple</t>
  </si>
  <si>
    <t>Semetrielle : 01/11/2017</t>
  </si>
  <si>
    <t>Maroc Telecom</t>
  </si>
  <si>
    <t>Euros</t>
  </si>
  <si>
    <t>LT: 137 millions d'euros</t>
  </si>
  <si>
    <t>01/05/2013</t>
  </si>
  <si>
    <t>137 millions d'euros</t>
  </si>
  <si>
    <t>Semestrialités</t>
  </si>
  <si>
    <t xml:space="preserve">60 Mois </t>
  </si>
  <si>
    <t xml:space="preserve">1 an 6mois </t>
  </si>
  <si>
    <t>Emprunt Maroc Telecom</t>
  </si>
  <si>
    <t>Dettes envers la société mère (+1 an)</t>
  </si>
  <si>
    <t>Avances reçues et comptes courants bloqués (+ 1 an) - PNC1604</t>
  </si>
  <si>
    <t>Avances reçues et comptes courants bloqués</t>
  </si>
  <si>
    <t>Fournisseurs d'immobilisations, conventions financières</t>
  </si>
  <si>
    <t xml:space="preserve">PNC1606  </t>
  </si>
  <si>
    <t xml:space="preserve">PNC1606   </t>
  </si>
  <si>
    <t xml:space="preserve"> Fournisseurs d'immobilisations, conventions financières</t>
  </si>
  <si>
    <t>Autres dettes financières non courantes (+1 an)</t>
  </si>
  <si>
    <t>Semetre à partir  15/04/2019</t>
  </si>
  <si>
    <t>CAA</t>
  </si>
  <si>
    <t>CFA</t>
  </si>
  <si>
    <t>LT: 1317,8 millions CFA</t>
  </si>
  <si>
    <t>15/10/2015</t>
  </si>
  <si>
    <t>1317,8 millions CFA</t>
  </si>
  <si>
    <t xml:space="preserve">10ans </t>
  </si>
  <si>
    <t xml:space="preserve">42mois </t>
  </si>
  <si>
    <t>Emprunt ACE</t>
  </si>
  <si>
    <t>Autres dettes financières (+1 an) - PNC1608</t>
  </si>
  <si>
    <t>Autres dettes financières</t>
  </si>
  <si>
    <t>Contrôle Vs Bilan TPNC1300</t>
  </si>
  <si>
    <r>
      <rPr>
        <b/>
        <i/>
        <sz val="15"/>
        <color theme="3"/>
        <rFont val="Calibri Light"/>
        <family val="1"/>
        <scheme val="major"/>
      </rPr>
      <t xml:space="preserve">  </t>
    </r>
    <r>
      <rPr>
        <b/>
        <i/>
        <u/>
        <sz val="15"/>
        <color theme="3"/>
        <rFont val="Calibri Light"/>
        <family val="1"/>
        <scheme val="major"/>
      </rPr>
      <t>Note : Dettes financières à court terme</t>
    </r>
  </si>
  <si>
    <t xml:space="preserve"> F82
Var de laJuste Valeur  P&amp;L</t>
  </si>
  <si>
    <t>Charges d'intérêt (-)</t>
  </si>
  <si>
    <t>Dont cash</t>
  </si>
  <si>
    <t>Dont non cash</t>
  </si>
  <si>
    <t>Emprunts auprès des établissements de crédit (-1 an) - PC4712</t>
  </si>
  <si>
    <t xml:space="preserve">12 mois </t>
  </si>
  <si>
    <t>Emprunts auprès des établissements de crédit (-1 an)</t>
  </si>
  <si>
    <t>Dettes envers la société mère (- 1 an) - PC4713</t>
  </si>
  <si>
    <t>Dettes envers la société mère (-1 an)</t>
  </si>
  <si>
    <t>Avances reçues et comptes courants bloqués (-1 an) - PC4714</t>
  </si>
  <si>
    <t xml:space="preserve">Fournisseurs d'immobilisations, conventions financières (-1 an) y.c. ICNE - PC4716    </t>
  </si>
  <si>
    <t>Autres dettes financières non courantes (-1 an) - PC4718</t>
  </si>
  <si>
    <t xml:space="preserve">  Autres dettes financières non courantes (-1 an)</t>
  </si>
  <si>
    <t>Crédits de trésorerie - PC5000</t>
  </si>
  <si>
    <t>Découverts bancaires - PC5010</t>
  </si>
  <si>
    <t>CONTINENTAL BANK</t>
  </si>
  <si>
    <t>Contrôle Vs Bilan TP4300</t>
  </si>
  <si>
    <t>Contrôle Vs RP6310</t>
  </si>
  <si>
    <t>Contrôle équilobre F88</t>
  </si>
  <si>
    <t>Provision pour  indemnité de départ à la retraite</t>
  </si>
  <si>
    <t>Solde d'ouverture</t>
  </si>
  <si>
    <t>Coût des services rendus</t>
  </si>
  <si>
    <t>Prestations versées aux bénéficiaires (cash)</t>
  </si>
  <si>
    <t>Impact EBITA</t>
  </si>
  <si>
    <t>Effets de la désactualisation des passifs actuariels (a)</t>
  </si>
  <si>
    <t>Charge de la période</t>
  </si>
  <si>
    <t>Pertes et gains actuariels comptabilisés en autres éléments du résultat global</t>
  </si>
  <si>
    <t xml:space="preserve">Charges et produits comptabilisés directement en capitaux propres </t>
  </si>
  <si>
    <t>Solde de clôture</t>
  </si>
  <si>
    <t>Détail des autres charges opérationnelles</t>
  </si>
  <si>
    <t>montant</t>
  </si>
  <si>
    <t>Y2018</t>
  </si>
  <si>
    <t>Y2019</t>
  </si>
  <si>
    <t>reclassement Variation stock marketing</t>
  </si>
  <si>
    <t>Total</t>
  </si>
  <si>
    <t>MASSE SALARIALE JANV A JUIN 2016</t>
  </si>
  <si>
    <t xml:space="preserve">Entité mère </t>
  </si>
  <si>
    <t>FONCTION RESEAU</t>
  </si>
  <si>
    <t xml:space="preserve">Effectif Total </t>
  </si>
  <si>
    <t>Activation O/N</t>
  </si>
  <si>
    <t>Taux d'activation</t>
  </si>
  <si>
    <t>COUT TOTAL</t>
  </si>
  <si>
    <t xml:space="preserve">Montant à Activer </t>
  </si>
  <si>
    <t>Déploiement des Projets Réseaux</t>
  </si>
  <si>
    <t>O</t>
  </si>
  <si>
    <t>Ingénierie Réseau</t>
  </si>
  <si>
    <t>Exploitation Réseau</t>
  </si>
  <si>
    <t>DSI</t>
  </si>
  <si>
    <t>Déploiement des Projets SI</t>
  </si>
  <si>
    <t>Ingénierie Réseau SI</t>
  </si>
  <si>
    <t>Exploitation SI</t>
  </si>
  <si>
    <t>TOTAL</t>
  </si>
  <si>
    <t xml:space="preserve"> Cumul amortissement  Janv - Déc 16</t>
  </si>
  <si>
    <t>Charges Personnel  TBG</t>
  </si>
  <si>
    <t>Ammortissement charges à répartir</t>
  </si>
  <si>
    <t>Impact P&amp;L ( favorable)</t>
  </si>
  <si>
    <t xml:space="preserve">Impact capex </t>
  </si>
  <si>
    <t xml:space="preserve"> Amortissement des  des activation 2016</t>
  </si>
  <si>
    <t>Charges Personnel  activation Janv 2017</t>
  </si>
  <si>
    <t>Charges Personnel  activation Fév  2017</t>
  </si>
  <si>
    <t>Charges Personnel  activation Mars  2017</t>
  </si>
  <si>
    <t>Charges Personnel  activation Avril  2017</t>
  </si>
  <si>
    <t>Charges Personnel  activation Mai  2017</t>
  </si>
  <si>
    <t>Est</t>
  </si>
  <si>
    <t>Charges Personnel  activation Juin 2017</t>
  </si>
  <si>
    <t>Charges Personnel  activation Juillet 2017</t>
  </si>
  <si>
    <t>Charges Personnel  activation Août 2017</t>
  </si>
  <si>
    <t>Charges Personnel  activation Sept 2017</t>
  </si>
  <si>
    <t>Charges Personnel  activation Oct 2017</t>
  </si>
  <si>
    <t>Charges Personnel  activation Nov 2017</t>
  </si>
  <si>
    <t>Charges Personnel  activation Déc 2017</t>
  </si>
  <si>
    <t>Charges Personnel  activation Jan 2018</t>
  </si>
  <si>
    <t>Charges Personnel  activation Fév 2018</t>
  </si>
  <si>
    <t>Charges Personnel  activation Mars  2018</t>
  </si>
  <si>
    <t>Charges Personnel  activation Avr 2018</t>
  </si>
  <si>
    <t>Charges Personnel  activation Mai 2018</t>
  </si>
  <si>
    <t>Charges Personnel  activation Juin  2018</t>
  </si>
  <si>
    <t>Charges Personnel  activation Juillet  2018</t>
  </si>
  <si>
    <t>Charges Personnel  activation Aout  2018</t>
  </si>
  <si>
    <t>Charges Personnel  activation Sept  2018</t>
  </si>
  <si>
    <t>Charges Personnel  activation oct  2018</t>
  </si>
  <si>
    <t>Charges Personnel  activation nov  2018</t>
  </si>
  <si>
    <t>Charges Personnel  activation déc  2018</t>
  </si>
  <si>
    <t>Charges Personnel  activation Janv 2019</t>
  </si>
  <si>
    <t>Charges Personnel  activation Fév  2019</t>
  </si>
  <si>
    <t>Charges Personnel  activation Mars  2019</t>
  </si>
  <si>
    <t>Charges Personnel  activation Avril  2019</t>
  </si>
  <si>
    <t>Charges Personnel  activation Mai  2019</t>
  </si>
  <si>
    <t>Charges Personnel  activation Juin  2019</t>
  </si>
  <si>
    <t>Charges Personnel  activation Juil  2019</t>
  </si>
  <si>
    <t>Charges Personnel  activation Aôut  2019</t>
  </si>
  <si>
    <t>Charges Personnel  activation Sept  2019</t>
  </si>
  <si>
    <t>Charges Personnel  activation Oct  2019</t>
  </si>
  <si>
    <t>Charges Personnel  activation Nov  2019</t>
  </si>
  <si>
    <t>Charges Personnel  activation Déc 2019</t>
  </si>
  <si>
    <t>Charges Personnel  activation Jan 2020</t>
  </si>
  <si>
    <t>Charges Personnel  activation Fév 2020</t>
  </si>
  <si>
    <t>Charges Personnel  activation Mars  2020</t>
  </si>
  <si>
    <t xml:space="preserve">Total </t>
  </si>
  <si>
    <t>Total Amortissements P&amp;L</t>
  </si>
  <si>
    <t>cumml Amortissements Bilan</t>
  </si>
  <si>
    <t>total BG</t>
  </si>
  <si>
    <t xml:space="preserve"> v</t>
  </si>
  <si>
    <t>Décompte Interêt PRÊT RETROCEDE WARCIP ETISALAT BENIN SA</t>
  </si>
  <si>
    <r>
      <t>Date de mise en place</t>
    </r>
    <r>
      <rPr>
        <b/>
        <sz val="11"/>
        <rFont val="Times New Roman"/>
        <family val="1"/>
      </rPr>
      <t xml:space="preserve"> :</t>
    </r>
  </si>
  <si>
    <r>
      <t>Durée de l'emprunt</t>
    </r>
    <r>
      <rPr>
        <b/>
        <sz val="11"/>
        <rFont val="Times New Roman"/>
        <family val="1"/>
      </rPr>
      <t xml:space="preserve"> :</t>
    </r>
  </si>
  <si>
    <t>10 ans</t>
  </si>
  <si>
    <r>
      <t>Taux</t>
    </r>
    <r>
      <rPr>
        <b/>
        <sz val="11"/>
        <rFont val="Times New Roman"/>
        <family val="1"/>
      </rPr>
      <t xml:space="preserve"> :</t>
    </r>
  </si>
  <si>
    <r>
      <t>Terme de paiement des intérêts</t>
    </r>
    <r>
      <rPr>
        <b/>
        <sz val="11"/>
        <rFont val="Times New Roman"/>
        <family val="1"/>
      </rPr>
      <t xml:space="preserve"> :</t>
    </r>
  </si>
  <si>
    <t>semestriel</t>
  </si>
  <si>
    <r>
      <t>Terme de paiement du capital</t>
    </r>
    <r>
      <rPr>
        <b/>
        <sz val="11"/>
        <rFont val="Times New Roman"/>
        <family val="1"/>
      </rPr>
      <t xml:space="preserve"> :</t>
    </r>
  </si>
  <si>
    <r>
      <t xml:space="preserve">Date de paiement 1 </t>
    </r>
    <r>
      <rPr>
        <b/>
        <u/>
        <vertAlign val="superscript"/>
        <sz val="11"/>
        <rFont val="Times New Roman"/>
        <family val="1"/>
      </rPr>
      <t>er</t>
    </r>
    <r>
      <rPr>
        <b/>
        <u/>
        <sz val="11"/>
        <rFont val="Times New Roman"/>
        <family val="1"/>
      </rPr>
      <t xml:space="preserve"> intérêt</t>
    </r>
    <r>
      <rPr>
        <b/>
        <sz val="11"/>
        <rFont val="Times New Roman"/>
        <family val="1"/>
      </rPr>
      <t xml:space="preserve"> :</t>
    </r>
  </si>
  <si>
    <r>
      <t xml:space="preserve">Date de remboursement 1 </t>
    </r>
    <r>
      <rPr>
        <b/>
        <u/>
        <vertAlign val="superscript"/>
        <sz val="11"/>
        <rFont val="Times New Roman"/>
        <family val="1"/>
      </rPr>
      <t>er</t>
    </r>
    <r>
      <rPr>
        <b/>
        <u/>
        <sz val="11"/>
        <rFont val="Times New Roman"/>
        <family val="1"/>
      </rPr>
      <t xml:space="preserve"> capital</t>
    </r>
    <r>
      <rPr>
        <b/>
        <sz val="11"/>
        <rFont val="Times New Roman"/>
        <family val="1"/>
      </rPr>
      <t xml:space="preserve"> :</t>
    </r>
  </si>
  <si>
    <t>Taux :</t>
  </si>
  <si>
    <t>Part ETB</t>
  </si>
  <si>
    <t>Date d'échéance</t>
  </si>
  <si>
    <t>Encours</t>
  </si>
  <si>
    <t>Principal</t>
  </si>
  <si>
    <t>Interêt</t>
  </si>
  <si>
    <t>Montant à payer en CFA</t>
  </si>
  <si>
    <t>P</t>
  </si>
  <si>
    <t>-1an</t>
  </si>
  <si>
    <t>+1 an</t>
  </si>
  <si>
    <t xml:space="preserve">               Total </t>
  </si>
  <si>
    <t>CLIENT PERSONNEL ETB ACTION CO</t>
  </si>
  <si>
    <t>SOLDE MOOVMONEY ABONNE PURGE</t>
  </si>
  <si>
    <t>Caisse Vir Flooz Cpte  Purge</t>
  </si>
  <si>
    <t>Charges Personnel  activation Avril  2020</t>
  </si>
  <si>
    <t>Charges Personnel  activation Mai  2020</t>
  </si>
  <si>
    <t>Charges Personnel  activation juin  2020</t>
  </si>
  <si>
    <t>EMPRUNTS CAA</t>
  </si>
  <si>
    <t>Charges Personnel  activation juillet 2020</t>
  </si>
  <si>
    <t>Charges Personnel  activation Août 2020</t>
  </si>
  <si>
    <t>Charges Personnel  activation  Septembre   2020</t>
  </si>
  <si>
    <t>A1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</si>
  <si>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</si>
  <si>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</si>
  <si>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</si>
  <si>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</si>
  <si>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</si>
  <si>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</si>
  <si>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</si>
  <si>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</si>
  <si>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</si>
  <si>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</si>
  <si>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</si>
  <si>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</si>
  <si>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</si>
  <si>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</si>
  <si>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Charges Personnel  activation Octobre   2020</t>
  </si>
  <si>
    <t>Charges Personnel  activation Novembre  2020</t>
  </si>
  <si>
    <t>Charges Personnel  activation Décembre  2020</t>
  </si>
  <si>
    <t>Solde au  01/01/2021</t>
  </si>
  <si>
    <t>MOUVEMENT2021</t>
  </si>
  <si>
    <t>AUTRES IMPOTS ET CONTRIBUTIONS</t>
  </si>
  <si>
    <t>ETB CPT COURANT ACTIONNAIRE MM</t>
  </si>
  <si>
    <t>ETISALAT BENIN COMPTE D'OPERAT</t>
  </si>
  <si>
    <t>BANQUE ATLANTIQUE MOOV MONEY</t>
  </si>
  <si>
    <t>CHARGE EXTERNE DIVERSE REFACTU</t>
  </si>
  <si>
    <t>TRANSFERT CHARGES D'EXPLOIT MM</t>
  </si>
  <si>
    <t>Charges Personnel  activation Janvier 2021</t>
  </si>
  <si>
    <t>Charges Personnel  activation Février 2021</t>
  </si>
  <si>
    <t>Charges Personnel  activation Mars 2021</t>
  </si>
  <si>
    <t>Solde au  31/06/21</t>
  </si>
  <si>
    <t>Charges Personnel  activation Avril 2021</t>
  </si>
  <si>
    <t>Charges Personnel  activation Mai 2021</t>
  </si>
  <si>
    <t>Charges Personnel  activation Juin 2021</t>
  </si>
  <si>
    <t>BATIMENTS INDUSTRIELS</t>
  </si>
  <si>
    <t>ORABANK</t>
  </si>
  <si>
    <t>CAISSE VIRT FLOOZ AGEN DJOUGOU</t>
  </si>
  <si>
    <t>FOURNITURES D'ENTRETIEN NON ST</t>
  </si>
  <si>
    <t>Rappel D'impot sur Resultat An</t>
  </si>
  <si>
    <t>Charges Personnel  activation Juillet 2021</t>
  </si>
  <si>
    <t>Charges Personnel  activation Août 2021</t>
  </si>
  <si>
    <t>Charges Personnel  activation Sept 2021</t>
  </si>
  <si>
    <t>CCEI BANK BENIN</t>
  </si>
  <si>
    <t>LA POSTE DU BENIN</t>
  </si>
  <si>
    <t>Charges Personnel  activation Oct 2021</t>
  </si>
  <si>
    <t>Charges Personnel  activation Nov2021</t>
  </si>
  <si>
    <t>Charges Personnel  activation Déct 2021</t>
  </si>
  <si>
    <t>Emprunt BOA</t>
  </si>
  <si>
    <t>EMPRUNT BANK OF AFRICA (BOA)</t>
  </si>
  <si>
    <t>AMORT. BATIMENTS INDUSTRIELS</t>
  </si>
  <si>
    <t>Débit 2021</t>
  </si>
  <si>
    <t>Crédit 2021</t>
  </si>
  <si>
    <t>Débit 2022</t>
  </si>
  <si>
    <t>Crédit 2022</t>
  </si>
  <si>
    <t>EMPRUNT CBAO</t>
  </si>
  <si>
    <t>RESEAU DE DISTRIBUTION INDIREC</t>
  </si>
  <si>
    <t>PRDTS CONSTATES D'AVCE RECHARG</t>
  </si>
  <si>
    <t>BANQUES CREDITS DE TRESORERIE,</t>
  </si>
  <si>
    <t>ACHATS UEMOA, TERMINAUX</t>
  </si>
  <si>
    <t>PRDTS ACCESSOIRES, COLOCATION</t>
  </si>
  <si>
    <t>Emprunt CBOA</t>
  </si>
  <si>
    <t>Moins un an</t>
  </si>
  <si>
    <t>RC6111</t>
  </si>
  <si>
    <t>RC6113</t>
  </si>
  <si>
    <t>RC6149</t>
  </si>
  <si>
    <t>RC6112</t>
  </si>
  <si>
    <t>RC6142</t>
  </si>
  <si>
    <t>RC6143</t>
  </si>
  <si>
    <t>RC6122</t>
  </si>
  <si>
    <t>RC6140</t>
  </si>
  <si>
    <t>RC6145</t>
  </si>
  <si>
    <t>RC6141</t>
  </si>
  <si>
    <t>RC6144</t>
  </si>
  <si>
    <t>RC6132</t>
  </si>
  <si>
    <t>RC6121</t>
  </si>
  <si>
    <t>RC6131</t>
  </si>
  <si>
    <t>RC6310</t>
  </si>
  <si>
    <t>RC6147</t>
  </si>
  <si>
    <t>RC6152</t>
  </si>
  <si>
    <t>RC6153</t>
  </si>
  <si>
    <t>RP7112</t>
  </si>
  <si>
    <t>RP7113</t>
  </si>
  <si>
    <t>RP7149</t>
  </si>
  <si>
    <t>RP7143</t>
  </si>
  <si>
    <t>RC6148</t>
  </si>
  <si>
    <t>RP7141</t>
  </si>
  <si>
    <t>RP7142</t>
  </si>
  <si>
    <t>RP7147</t>
  </si>
  <si>
    <t>RP7148</t>
  </si>
  <si>
    <t>RP7152</t>
  </si>
  <si>
    <t>RP7153</t>
  </si>
  <si>
    <t>RC6123</t>
  </si>
  <si>
    <t>RC6146</t>
  </si>
  <si>
    <t>RP7111 Ventes de biens</t>
  </si>
  <si>
    <t>Charges Personnel  activation Janvier  2022</t>
  </si>
  <si>
    <t>Charges Personnel  activation Février 2022</t>
  </si>
  <si>
    <t>Charges Personnel  activation Mars  2022</t>
  </si>
  <si>
    <t>AUTRES INDEMNITES ET AVANTAGES</t>
  </si>
  <si>
    <t>Flux BFC</t>
  </si>
  <si>
    <t>F10
Résultat</t>
  </si>
  <si>
    <t>F60
V.BFR</t>
  </si>
  <si>
    <t>F87
Changement de Méth</t>
  </si>
  <si>
    <t>F99
Clôturre</t>
  </si>
  <si>
    <t>Résultat</t>
  </si>
  <si>
    <t>Réserves</t>
  </si>
  <si>
    <t xml:space="preserve">Solde </t>
  </si>
  <si>
    <t>d'ouverture à partir de BFC</t>
  </si>
  <si>
    <t>Comptes de régularisation - passif</t>
  </si>
  <si>
    <t>Loyers</t>
  </si>
  <si>
    <t>Charges Personnel  activation Avril  2022</t>
  </si>
  <si>
    <t>Charges Personnel  activation Mai  2022</t>
  </si>
  <si>
    <t>Charges Personnel  activation Juin  2022</t>
  </si>
  <si>
    <t>Note:</t>
  </si>
  <si>
    <t>Provision  pour  indemnité  de départ à  la retraite</t>
  </si>
  <si>
    <t>ETB 2022.12</t>
  </si>
  <si>
    <t>ETB 2022.06</t>
  </si>
  <si>
    <t>F00</t>
  </si>
  <si>
    <t>F25</t>
  </si>
  <si>
    <t>F45</t>
  </si>
  <si>
    <t>F98</t>
  </si>
  <si>
    <t>F87</t>
  </si>
  <si>
    <t>Date</t>
  </si>
  <si>
    <t>NumÃ©ro de piÃ¨ce</t>
  </si>
  <si>
    <t>Site</t>
  </si>
  <si>
    <t>Type</t>
  </si>
  <si>
    <t>Journal</t>
  </si>
  <si>
    <t>LibellÃ© ligne</t>
  </si>
  <si>
    <t>DÃ©bit rÃ©fÃ©rentiel</t>
  </si>
  <si>
    <t>CrÃ©dit rÃ©fÃ©rentiel</t>
  </si>
  <si>
    <t>RÃ©fÃ©rence</t>
  </si>
  <si>
    <t>Contrepartie</t>
  </si>
  <si>
    <t>Taxe</t>
  </si>
  <si>
    <t>Coll</t>
  </si>
  <si>
    <t>Transaction</t>
  </si>
  <si>
    <t>Module</t>
  </si>
  <si>
    <t>CatÃ©gorie</t>
  </si>
  <si>
    <t>Etat</t>
  </si>
  <si>
    <t>NumÃ©ro chrono</t>
  </si>
  <si>
    <t>Marquage</t>
  </si>
  <si>
    <t>SIEGM</t>
  </si>
  <si>
    <t>ODDIV</t>
  </si>
  <si>
    <t>OD</t>
  </si>
  <si>
    <t>STDCO</t>
  </si>
  <si>
    <t>CLIENT COLLECTIF MOOV MONEY</t>
  </si>
  <si>
    <t>CAISSE VIRT FLOOZ AGEN GLODJIG</t>
  </si>
  <si>
    <t>CAISSE RECETTE AGENC GLO-DJIGB</t>
  </si>
  <si>
    <t>CAISSE FLOOZ  GLO-DJIGBE</t>
  </si>
  <si>
    <t>Charges Personnel  activation Juillet  2022</t>
  </si>
  <si>
    <t>Charges Personnel  activation Août  2022</t>
  </si>
  <si>
    <t>Charges Personnel  activation Septembre  2022</t>
  </si>
  <si>
    <t>MOOV MONEY DETTE CPTE GARANTIE</t>
  </si>
  <si>
    <t>CORISBANK CC MOOV MONEY</t>
  </si>
  <si>
    <t>ORABANK PUSH AND PULL M M</t>
  </si>
  <si>
    <t>Moov Money NSIA BANK DEPOT GAR</t>
  </si>
  <si>
    <t>Moov Money BGFIBANK DEPOT GARA</t>
  </si>
  <si>
    <t>Moov Money UBA DEPOT GARANT</t>
  </si>
  <si>
    <t>Moov Money ORABANK DEPOT GARAN</t>
  </si>
  <si>
    <t>Moov Money BABE DEPOT GARANT</t>
  </si>
  <si>
    <t>Moov Money CCEI DEPOT GARANT</t>
  </si>
  <si>
    <t>Moov Money ECOBANK DEPOT GAR</t>
  </si>
  <si>
    <t>AUTRES REMUNERATIONS DIRECTES</t>
  </si>
  <si>
    <t>ROAMING NATIONAL VOIX</t>
  </si>
  <si>
    <t>ROAMING NATIONAL SMS</t>
  </si>
  <si>
    <t>ROAMING NATIONAL DATA</t>
  </si>
  <si>
    <t>BANQUE</t>
  </si>
  <si>
    <t>PORT AUTONOME DE COTONOU</t>
  </si>
  <si>
    <t>COMPTE CLIENT</t>
  </si>
  <si>
    <t>INTITULE</t>
  </si>
  <si>
    <t>TYPE DE PRET</t>
  </si>
  <si>
    <t>Crédit équipement</t>
  </si>
  <si>
    <t>MONTANT CREDIT</t>
  </si>
  <si>
    <t>27/01/2022 &amp; 29/04/2022</t>
  </si>
  <si>
    <t>Date de crédit capitalisé</t>
  </si>
  <si>
    <t>DATE DE MEP</t>
  </si>
  <si>
    <t>DATE DE 1ERE ECHEANCE</t>
  </si>
  <si>
    <t>DATE DERNIERE ECHEANCE</t>
  </si>
  <si>
    <t>DUREE EN ANNEE</t>
  </si>
  <si>
    <t>DIFFERE EN ANNEE</t>
  </si>
  <si>
    <t>TAUX</t>
  </si>
  <si>
    <t>TAXE/INTERETS (10%)</t>
  </si>
  <si>
    <t>Dates Echéance</t>
  </si>
  <si>
    <t>Montant Echéance</t>
  </si>
  <si>
    <t>INTERET</t>
  </si>
  <si>
    <t>Taxes</t>
  </si>
  <si>
    <t>Amortissement</t>
  </si>
  <si>
    <t>Tirage</t>
  </si>
  <si>
    <t xml:space="preserve">Encaisse </t>
  </si>
  <si>
    <t>Solde Ech déc</t>
  </si>
  <si>
    <t>PC4736</t>
  </si>
  <si>
    <t>Charges Personnel  activation Octobre  2022</t>
  </si>
  <si>
    <t>Charges Personnel  activation Novembre  2022</t>
  </si>
  <si>
    <t>Charges Personnel  activation Décembre 2022</t>
  </si>
  <si>
    <t>Coris</t>
  </si>
  <si>
    <t>cbao</t>
  </si>
  <si>
    <t>BOA</t>
  </si>
  <si>
    <t>REPRISES DE CHARGES FINANCIERE</t>
  </si>
  <si>
    <t>Moins d'un an</t>
  </si>
  <si>
    <t>Plus dun an</t>
  </si>
  <si>
    <t>Charges Personnel  activation Janvier  2023</t>
  </si>
  <si>
    <t>Charges Personnel  activation Février 2023</t>
  </si>
  <si>
    <t>Charges Personnel  activation Mars  2023</t>
  </si>
  <si>
    <t>SIEGM0401ODDIV000003</t>
  </si>
  <si>
    <t>S/RED 5% MOOV MONEY JANV 2023</t>
  </si>
  <si>
    <t>442000</t>
  </si>
  <si>
    <t>001</t>
  </si>
  <si>
    <t>SIEGM0402ODDIV000001</t>
  </si>
  <si>
    <t>S/RED 5% MOOV MONEY FEVR 2023</t>
  </si>
  <si>
    <t>SIEGM0403ODDIV000002</t>
  </si>
  <si>
    <t>S/1ER ACOMPTE TAXE SPORTS 2023</t>
  </si>
  <si>
    <t>SIEGM0403ODDIV000003</t>
  </si>
  <si>
    <t>S/TAXE RADIO &amp; TELE 2023</t>
  </si>
  <si>
    <t>SIEGM0403ODDIV000008</t>
  </si>
  <si>
    <t>PROV.RED 5% MOOV MONEY MARS 23</t>
  </si>
  <si>
    <t>CORIS BANK INTERNATIONAL BENIN</t>
  </si>
  <si>
    <t>00699124001</t>
  </si>
  <si>
    <t>0006991 ETISALAT BENIN !</t>
  </si>
  <si>
    <t>202 CREDIT MT ENTREPRISE !</t>
  </si>
  <si>
    <t>Échéance Moins d'un an</t>
  </si>
  <si>
    <t>Échéances Plus d'un an</t>
  </si>
  <si>
    <t>SUBVENTION D'INVESTISSEMENT</t>
  </si>
  <si>
    <t>Moov Money BGFIBANK C COURANT</t>
  </si>
  <si>
    <t>CONTRÔLE</t>
  </si>
  <si>
    <t>Charges Personnel  activation Avril  2023</t>
  </si>
  <si>
    <t>Charges Personnel  activation Mai  2023</t>
  </si>
  <si>
    <t>Charges Personnel  activation Juin 2023</t>
  </si>
  <si>
    <t>SIEGM0404ODDIV000002</t>
  </si>
  <si>
    <t>ANNUL PROV.RED 5% MM MARS 23</t>
  </si>
  <si>
    <t>SIEGM0404ODDIV000003</t>
  </si>
  <si>
    <t>RED 5% MOOV MONEY MARS 23</t>
  </si>
  <si>
    <t>SIEGM0404ODDIV000013</t>
  </si>
  <si>
    <t>RED 5% MOOV MONEY AVRIL 23</t>
  </si>
  <si>
    <t>SIEGM0404ODDIV000014</t>
  </si>
  <si>
    <t>S/REG RED 5% JANV A DEC 2022</t>
  </si>
  <si>
    <t>SIEGM0405ODDIV000002</t>
  </si>
  <si>
    <t>RED 5% MOOV MONEY MAI 23</t>
  </si>
  <si>
    <t>SIEGM0406ODDIV000005</t>
  </si>
  <si>
    <t>PROV.RED 5% MOOV MONEY JUIN 23</t>
  </si>
  <si>
    <t>FACSIEGM23010001</t>
  </si>
  <si>
    <t>FACLI</t>
  </si>
  <si>
    <t>VENTE</t>
  </si>
  <si>
    <t>REVENU M-COMMERCE  JANVIER 23</t>
  </si>
  <si>
    <t>VTE11005</t>
  </si>
  <si>
    <t>408101</t>
  </si>
  <si>
    <t>SIEGM0401ODDIV000002</t>
  </si>
  <si>
    <t>AIB/CHGES M-COM JANV 2023</t>
  </si>
  <si>
    <t>FACSIEGM23010002</t>
  </si>
  <si>
    <t>REVENU ADDITIONNEL JANVIER 202</t>
  </si>
  <si>
    <t>VTE01006</t>
  </si>
  <si>
    <t>SIEGM0402ODDIV000002</t>
  </si>
  <si>
    <t>AIB/CHGES M-COM FEVR 2023</t>
  </si>
  <si>
    <t>FACSIEGM23020001</t>
  </si>
  <si>
    <t>REVENU M-COMMERCE  FEVRIER 23</t>
  </si>
  <si>
    <t>FACSIEGM23030001</t>
  </si>
  <si>
    <t>REVENU M-COMMERCE MARS 2023</t>
  </si>
  <si>
    <t>VTE03001</t>
  </si>
  <si>
    <t>SIEGM0403ODDIV000007</t>
  </si>
  <si>
    <t>PROV.AIB/CHGES M-COM MARS 2023</t>
  </si>
  <si>
    <t>SIEGM0404ODDIV000004</t>
  </si>
  <si>
    <t>AN PROV.AIB/CHGES MM MARS 2023</t>
  </si>
  <si>
    <t>SIEGM0404ODDIV000005</t>
  </si>
  <si>
    <t>AIB/CHGES M-COM MARS 2023</t>
  </si>
  <si>
    <t>SIEGM0404REGUL000001</t>
  </si>
  <si>
    <t>REG</t>
  </si>
  <si>
    <t>REGM0003</t>
  </si>
  <si>
    <t>FACSIEGM23040001</t>
  </si>
  <si>
    <t>REVENU M-COMMERCE DEFINITIF MA</t>
  </si>
  <si>
    <t>VTE03002</t>
  </si>
  <si>
    <t>FACSIEGM23040002</t>
  </si>
  <si>
    <t>REVENU M-COMMERCE AVRIL 2023</t>
  </si>
  <si>
    <t>VTE04001</t>
  </si>
  <si>
    <t>SIEGM0404ODDIV000012</t>
  </si>
  <si>
    <t>AIB/CHGES M-COM AVRIL 2023</t>
  </si>
  <si>
    <t>SIEGM0405ODDIV000003</t>
  </si>
  <si>
    <t>AIB/CHGES M-COM MAI 2023</t>
  </si>
  <si>
    <t>FACSIEGM23050001</t>
  </si>
  <si>
    <t>REVENU M-COMMERCE MAI 2023</t>
  </si>
  <si>
    <t>VTE05001</t>
  </si>
  <si>
    <t>FACSIEGM23060001</t>
  </si>
  <si>
    <t xml:space="preserve">REVENU M-COMMERCE JUIN ESTIME </t>
  </si>
  <si>
    <t>VTE06001</t>
  </si>
  <si>
    <t>SIEGM0406ODDIV000006</t>
  </si>
  <si>
    <t>PROV. AIB/CHGES M-COM JUI 2023</t>
  </si>
  <si>
    <t>FNP-COMMISSION DISTRIBUTEURS</t>
  </si>
  <si>
    <t>Variiation du stock marketing</t>
  </si>
  <si>
    <t>Variiation du stock technique</t>
  </si>
  <si>
    <t>Variiation du stock informatiq</t>
  </si>
  <si>
    <t>Variiation du stock fondation</t>
  </si>
  <si>
    <t>LOCATION CAPACITE SUR CABLE SM</t>
  </si>
  <si>
    <t>SIEGM0407ODDIV000001</t>
  </si>
  <si>
    <t>SIEGM0407ODDIV000002</t>
  </si>
  <si>
    <t>S/RED 5% MOOV MONEY JUIN 23</t>
  </si>
  <si>
    <t>SIEGM0407ODDIV000012</t>
  </si>
  <si>
    <t>S/RED 5% MOOV MONEY JUILLET 23</t>
  </si>
  <si>
    <t>SIEGM0407ODDIV000013</t>
  </si>
  <si>
    <t>S/2Ã¨ ACOMPTE TAXE SPORTS 2023</t>
  </si>
  <si>
    <t>SIEGM0408ODDIV000003</t>
  </si>
  <si>
    <t>S/RED 5% MOOV MONEY AOUT 23</t>
  </si>
  <si>
    <t>SIEGM0409ODDIV000001</t>
  </si>
  <si>
    <t>PROV RED 5% MOOV MONEY SEPT 23</t>
  </si>
  <si>
    <t>FACSIEGM23070001</t>
  </si>
  <si>
    <t>ANNUL REVENU M-COMMERCE JUIN E</t>
  </si>
  <si>
    <t>REGM0024</t>
  </si>
  <si>
    <t>SIEGM0407ODDIV000003</t>
  </si>
  <si>
    <t>SIEGM0407ODDIV000004</t>
  </si>
  <si>
    <t>S/AIB/CHGES M-COM JUIN 2023</t>
  </si>
  <si>
    <t>FACSIEGM23070002</t>
  </si>
  <si>
    <t>REVENU M-COMMERCE JUIN DEFINIT</t>
  </si>
  <si>
    <t>VTE07001</t>
  </si>
  <si>
    <t>SIEGM0407ODDIV000009</t>
  </si>
  <si>
    <t>AIB/CHGES M-COM JUILLET 2023</t>
  </si>
  <si>
    <t>FACSIEGM23070003</t>
  </si>
  <si>
    <t>REVENU M-COMMERCE JUILLET 2023</t>
  </si>
  <si>
    <t>VTE07002</t>
  </si>
  <si>
    <t>FACSIEGM23080001</t>
  </si>
  <si>
    <t>REVENU M-COMMERCE AOUT 2023</t>
  </si>
  <si>
    <t>VTE08001</t>
  </si>
  <si>
    <t>SIEGM0408ODDIV000002</t>
  </si>
  <si>
    <t>AIB/CHGES M-COM AOUT 2023</t>
  </si>
  <si>
    <t>SIEGM0409ODDIV000002</t>
  </si>
  <si>
    <t>PROV AIB/CHGES M-COM SEPT 2023</t>
  </si>
  <si>
    <t>FACSIEGM23090001</t>
  </si>
  <si>
    <t xml:space="preserve">REVENU M-COMMERCE SEPT ESTIME </t>
  </si>
  <si>
    <t>VTE09001</t>
  </si>
  <si>
    <t>Moov Money ORABANK C COURANT</t>
  </si>
  <si>
    <t>Moov Money CCEI C COURANT</t>
  </si>
  <si>
    <t>Moov Money NSIA BANK C COURANT</t>
  </si>
  <si>
    <t>Moov Mone CORISBANK DEPOT GARA</t>
  </si>
  <si>
    <t>AC5141</t>
  </si>
  <si>
    <t>AC5142</t>
  </si>
  <si>
    <t>AC5143</t>
  </si>
  <si>
    <t>AC5144</t>
  </si>
  <si>
    <t>ETB 2023.12</t>
  </si>
  <si>
    <t>24 to 25</t>
  </si>
  <si>
    <t>25 TO 26</t>
  </si>
  <si>
    <t>26 TO 27</t>
  </si>
  <si>
    <t>27 TO 28</t>
  </si>
  <si>
    <t>Solde de cloture BG</t>
  </si>
  <si>
    <t>DOTATION</t>
  </si>
  <si>
    <t xml:space="preserve">Reprise </t>
  </si>
  <si>
    <t>Charges Personnel  activation Juillet 2023</t>
  </si>
  <si>
    <t>Charges Personnel  activation Août 2023</t>
  </si>
  <si>
    <t>Charges Personnel  activation Sept 2023</t>
  </si>
  <si>
    <t>FNP-FOURNISSEUR LOCATION D'INF</t>
  </si>
  <si>
    <t>PC4421</t>
  </si>
  <si>
    <t>PRODUITS CONSTATES D'AVANCE</t>
  </si>
  <si>
    <t>BGFI BANK MOOV AFRICA BENIN</t>
  </si>
  <si>
    <t>BANQUES, INTERETS COURUS</t>
  </si>
  <si>
    <t>ACHAT CAPACITE</t>
  </si>
  <si>
    <t>Charges Personnel  activation Oct 2023</t>
  </si>
  <si>
    <t>Charges Personnel  activation Nov 2023</t>
  </si>
  <si>
    <t>Charges Personnel  activation Déc 2023</t>
  </si>
  <si>
    <t>OK</t>
  </si>
  <si>
    <t>Moov Money UBA BANK C COURANT</t>
  </si>
  <si>
    <t>SIEGM0409ODDIV000011</t>
  </si>
  <si>
    <t>SIEGM0409ODDIV000012</t>
  </si>
  <si>
    <t>RED 5% MOOV MONEY SEPT 23</t>
  </si>
  <si>
    <t>SIEGM0409ODDIV000013</t>
  </si>
  <si>
    <t>S/3Ã¨ ACOMPTE TAXE SPORTS 2023</t>
  </si>
  <si>
    <t>SIEGM0410ODDIV000001</t>
  </si>
  <si>
    <t>RED 5% MOOV MONEY OCT 23</t>
  </si>
  <si>
    <t>SIEGM0411ODDIV000002</t>
  </si>
  <si>
    <t>S/CONTRIBUTION 5% MM NOV 2023</t>
  </si>
  <si>
    <t>SIEGM0412ODDIV000005</t>
  </si>
  <si>
    <t>S/4Ã¨ ACOMPTE TAXE SPORTS 2023</t>
  </si>
  <si>
    <t>SIEGM0412ODDIV000006</t>
  </si>
  <si>
    <t>S/CONTRIBUTION 5% MM DEC 2023</t>
  </si>
  <si>
    <t>SIEGM0409ODDIV000009</t>
  </si>
  <si>
    <t>SIEGM0409ODDIV000010</t>
  </si>
  <si>
    <t>AIB/CHGES M-COM SEPT 2023</t>
  </si>
  <si>
    <t>SIEGM0410REGUL000001</t>
  </si>
  <si>
    <t>ANNULATION REVENU M-COMMERCE S</t>
  </si>
  <si>
    <t>REGM0040</t>
  </si>
  <si>
    <t>FACSIEGM23100001</t>
  </si>
  <si>
    <t>REVENU M-COMMERCE SEPT DEFINIT</t>
  </si>
  <si>
    <t>VTE10001</t>
  </si>
  <si>
    <t>SIEGM0410ODDIV000002</t>
  </si>
  <si>
    <t>AIB/CHGES M-COM OCT 2023</t>
  </si>
  <si>
    <t>FACSIEGM23100002</t>
  </si>
  <si>
    <t>REVENU M-COMMERCE OCTOBRE 2023</t>
  </si>
  <si>
    <t>VTE10002</t>
  </si>
  <si>
    <t>SIEGM0411ODDIV000001</t>
  </si>
  <si>
    <t>AIB/CHGES M-COM NOV 2023</t>
  </si>
  <si>
    <t>FACSIEGM23110001</t>
  </si>
  <si>
    <t>REVENU M-COMMERCE NOVEMBRE 202</t>
  </si>
  <si>
    <t>VTE11001</t>
  </si>
  <si>
    <t>SIEGM0412ODDIV000009</t>
  </si>
  <si>
    <t>AIB/CHGES M-COM DEC 2023</t>
  </si>
  <si>
    <t>FACSIEGM23120001</t>
  </si>
  <si>
    <t>REVENU M-COMMERCE DECEMBRE 202</t>
  </si>
  <si>
    <t>VTE12001</t>
  </si>
  <si>
    <t>SIEGM0412REGUL000025</t>
  </si>
  <si>
    <t>ANNULATION COM FLOOZ REPORT JU</t>
  </si>
  <si>
    <t>REGM0065</t>
  </si>
  <si>
    <t>FACSIEGM23120002</t>
  </si>
  <si>
    <t>CSION M-COMMERCE COMPLEMENT JU</t>
  </si>
  <si>
    <t>VTE12002</t>
  </si>
  <si>
    <t>PIT2R</t>
  </si>
  <si>
    <t>Charges Personnel  activation Jan 2024</t>
  </si>
  <si>
    <t>Charges Personnel  activation Fév 2024</t>
  </si>
  <si>
    <t>Charges Personnel  activation Mar 2024</t>
  </si>
  <si>
    <t>Charges Personnel  activation Avr 2024</t>
  </si>
  <si>
    <t>Charges Personnel  activation Mai 2024</t>
  </si>
  <si>
    <t>Charges Personnel  activation Juin 2024</t>
  </si>
  <si>
    <t>Charges Personnel  activation Juillet 2024</t>
  </si>
  <si>
    <t>Charges Personnel  activation Aout 2024</t>
  </si>
  <si>
    <t>Charges Personnel  activation Septembre 2024</t>
  </si>
  <si>
    <t>Charges Personnel  activation Octobre 2024</t>
  </si>
  <si>
    <t>Charges Personnel  activation Novembre 2024</t>
  </si>
  <si>
    <t>Charges Personnel  activation Décembre 2024</t>
  </si>
  <si>
    <t>Charges Personnel  activation Janvier 2025</t>
  </si>
  <si>
    <t>Charges Personnel  activation Février 2025</t>
  </si>
  <si>
    <t>Charges Personnel  activation Mars 2025</t>
  </si>
  <si>
    <t>Charges Personnel  activation Avril 2025</t>
  </si>
  <si>
    <t>Charges Personnel  activation Mai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</si>
</sst>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-* #,##0\ _C_F_A_-;\-* #,##0\ _C_F_A_-;_-* &quot;-&quot;\ _C_F_A_-;_-@_-"/>
    <numFmt numFmtId="165" formatCode="_-* #,##0.00\ _C_F_A_-;\-* #,##0.00\ _C_F_A_-;_-* &quot;-&quot;??\ _C_F_A_-;_-@_-"/>
    <numFmt numFmtId="166" formatCode="[$-40C]mmm\-yy;@"/>
    <numFmt numFmtId="167" formatCode="#,##0.0"/>
    <numFmt numFmtId="168" formatCode="[$GBP]\ * _(#,##0.00_);[Red][$GBP]\ * \(#,##0.00\);[$GBP]\ * _(&quot;-&quot;?_);@_)"/>
    <numFmt numFmtId="169" formatCode="_-* #,##0.00\ _€_-;\-* #,##0.00\ _€_-;_-* &quot;-&quot;??\ _€_-;_-@_-"/>
    <numFmt numFmtId="170" formatCode="_-* #,##0.0\ _€_-;\-* #,##0.0\ _€_-;_-* &quot;-&quot;??\ _€_-;_-@_-"/>
    <numFmt numFmtId="171" formatCode="_-* #,##0\ _€_-;\-* #,##0\ _€_-;_-* &quot;-&quot;??\ _€_-;_-@_-"/>
    <numFmt numFmtId="172" formatCode="#,##0;[Red]\(#,##0\)"/>
    <numFmt numFmtId="173" formatCode="#,##0,,"/>
    <numFmt numFmtId="174" formatCode="#,##0.0,,"/>
    <numFmt numFmtId="175" formatCode="#,##0.000"/>
    <numFmt numFmtId="176" formatCode="#,##0.0;\(#,##0.0\);\-"/>
    <numFmt numFmtId="177" formatCode="[$-40C]d\-mmm\-yy;@"/>
    <numFmt numFmtId="178" formatCode="0.000%"/>
    <numFmt numFmtId="179" formatCode="0.0"/>
    <numFmt numFmtId="180" formatCode="_-* #,##0.0\ _C_F_A_-;\-* #,##0.0\ _C_F_A_-;_-* &quot;-&quot;\ _C_F_A_-;_-@_-"/>
    <numFmt numFmtId="181" formatCode="#,##0.00000"/>
    <numFmt numFmtId="182" formatCode="_-* #,##0.00_-;\-* #,##0.00_-;_-* &quot;-&quot;_-;_-@_-"/>
    <numFmt numFmtId="183" formatCode="0.0_ ;\-0.0\ "/>
    <numFmt numFmtId="184" formatCode="#,##0.0000000"/>
    <numFmt numFmtId="185" formatCode="_-* #,##0.0\ _€_-;\-* #,##0.0\ _€_-;_-* &quot;-&quot;?\ _€_-;_-@_-"/>
    <numFmt numFmtId="186" formatCode="#,##0.000000"/>
    <numFmt numFmtId="187" formatCode="_-* #,##0.000000\ _€_-;\-* #,##0.000000\ _€_-;_-* &quot;-&quot;??\ _€_-;_-@_-"/>
    <numFmt numFmtId="188" formatCode="_-* #,##0.0000000\ _€_-;\-* #,##0.0000000\ _€_-;_-* &quot;-&quot;??\ _€_-;_-@_-"/>
    <numFmt numFmtId="189" formatCode="_-* #,##0.0000\ _€_-;\-* #,##0.0000\ _€_-;_-* &quot;-&quot;??\ _€_-;_-@_-"/>
    <numFmt numFmtId="190" formatCode="_-* #,##0.0000000000\ _€_-;\-* #,##0.0000000000\ _€_-;_-* &quot;-&quot;??\ _€_-;_-@_-"/>
    <numFmt numFmtId="191" formatCode="_-* #,##0.0000000000\ _€_-;\-* #,##0.0000000000\ _€_-;_-* &quot;-&quot;??????????\ _€_-;_-@_-"/>
    <numFmt numFmtId="192" formatCode="_-* #,##0.000\ _€_-;\-* #,##0.000\ _€_-;_-* &quot;-&quot;??\ _€_-;_-@_-"/>
    <numFmt numFmtId="193" formatCode="_-* #,##0_-;\-* #,##0_-;_-* &quot;-&quot;??_-;_-@_-"/>
    <numFmt numFmtId="194" formatCode="0.00_ ;\-0.00\ "/>
    <numFmt numFmtId="195" formatCode="_-* #,##0.0\ _C_F_A_-;\-* #,##0.0\ _C_F_A_-;_-* &quot;-&quot;?\ _C_F_A_-;_-@_-"/>
  </numFmts>
  <fonts count="18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i/>
      <sz val="11"/>
      <color theme="1"/>
      <name val="Calibri Light"/>
      <family val="1"/>
      <scheme val="major"/>
    </font>
    <font>
      <b/>
      <i/>
      <sz val="16"/>
      <color theme="3"/>
      <name val="Calibri Light"/>
      <family val="1"/>
      <scheme val="major"/>
    </font>
    <font>
      <i/>
      <sz val="16"/>
      <color theme="3"/>
      <name val="Calibri Light"/>
      <family val="1"/>
      <scheme val="major"/>
    </font>
    <font>
      <i/>
      <sz val="11"/>
      <color theme="3"/>
      <name val="Calibri Light"/>
      <family val="1"/>
      <scheme val="major"/>
    </font>
    <font>
      <b/>
      <sz val="36"/>
      <color indexed="17"/>
      <name val="Calibri Light"/>
      <family val="1"/>
      <scheme val="major"/>
    </font>
    <font>
      <b/>
      <sz val="32"/>
      <color rgb="FFFF9900"/>
      <name val="Calibri Light"/>
      <family val="1"/>
      <scheme val="major"/>
    </font>
    <font>
      <sz val="10"/>
      <color indexed="17"/>
      <name val="Calibri Light"/>
      <family val="1"/>
      <scheme val="major"/>
    </font>
    <font>
      <sz val="10"/>
      <color rgb="FFFF0000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30"/>
      <color rgb="FF000099"/>
      <name val="Calibri Light"/>
      <family val="1"/>
      <scheme val="major"/>
    </font>
    <font>
      <b/>
      <sz val="14"/>
      <color rgb="FFC00000"/>
      <name val="Calibri Light"/>
      <family val="1"/>
      <scheme val="major"/>
    </font>
    <font>
      <b/>
      <i/>
      <sz val="18"/>
      <color rgb="FFC00000"/>
      <name val="Calibri Light"/>
      <family val="1"/>
      <scheme val="major"/>
    </font>
    <font>
      <b/>
      <sz val="26"/>
      <color indexed="17"/>
      <name val="Calibri Light"/>
      <family val="1"/>
      <scheme val="major"/>
    </font>
    <font>
      <sz val="11"/>
      <color theme="3"/>
      <name val="Calibri Light"/>
      <family val="1"/>
      <scheme val="major"/>
    </font>
    <font>
      <sz val="24"/>
      <color indexed="9"/>
      <name val="Calibri Light"/>
      <family val="1"/>
      <scheme val="major"/>
    </font>
    <font>
      <sz val="24"/>
      <color indexed="57"/>
      <name val="Calibri Light"/>
      <family val="1"/>
      <scheme val="major"/>
    </font>
    <font>
      <sz val="10"/>
      <color indexed="18"/>
      <name val="Calibri Light"/>
      <family val="1"/>
      <scheme val="major"/>
    </font>
    <font>
      <b/>
      <sz val="8"/>
      <color rgb="FF002060"/>
      <name val="Calibri Light"/>
      <family val="1"/>
      <scheme val="major"/>
    </font>
    <font>
      <sz val="10"/>
      <name val="Arial"/>
      <family val="2"/>
    </font>
    <font>
      <b/>
      <i/>
      <sz val="25"/>
      <color theme="4"/>
      <name val="Calibri Light"/>
      <family val="1"/>
      <scheme val="major"/>
    </font>
    <font>
      <b/>
      <i/>
      <sz val="30"/>
      <color theme="4"/>
      <name val="Calibri Light"/>
      <family val="1"/>
      <scheme val="major"/>
    </font>
    <font>
      <i/>
      <sz val="25"/>
      <color theme="4"/>
      <name val="Calibri Light"/>
      <family val="1"/>
      <scheme val="major"/>
    </font>
    <font>
      <b/>
      <i/>
      <u/>
      <sz val="11"/>
      <color theme="0"/>
      <name val="Calibri Light"/>
      <family val="1"/>
      <scheme val="major"/>
    </font>
    <font>
      <b/>
      <sz val="11"/>
      <color theme="0"/>
      <name val="Calibri Light"/>
      <family val="1"/>
      <scheme val="major"/>
    </font>
    <font>
      <b/>
      <i/>
      <u/>
      <sz val="12"/>
      <color theme="3"/>
      <name val="Calibri Light"/>
      <family val="1"/>
      <scheme val="major"/>
    </font>
    <font>
      <b/>
      <i/>
      <sz val="11"/>
      <color theme="3"/>
      <name val="Calibri Light"/>
      <family val="1"/>
      <scheme val="major"/>
    </font>
    <font>
      <sz val="11"/>
      <color theme="0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u/>
      <sz val="11"/>
      <color theme="10"/>
      <name val="Calibri Light"/>
      <family val="1"/>
      <scheme val="major"/>
    </font>
    <font>
      <b/>
      <i/>
      <u/>
      <sz val="11"/>
      <color theme="3"/>
      <name val="Calibri Light"/>
      <family val="1"/>
      <scheme val="major"/>
    </font>
    <font>
      <b/>
      <sz val="11"/>
      <color theme="3"/>
      <name val="Calibri Light"/>
      <family val="1"/>
      <scheme val="major"/>
    </font>
    <font>
      <u/>
      <sz val="11"/>
      <color theme="3"/>
      <name val="Calibri Light"/>
      <family val="1"/>
      <scheme val="major"/>
    </font>
    <font>
      <b/>
      <sz val="10"/>
      <color rgb="FFFF0000"/>
      <name val="Calibri"/>
      <family val="2"/>
      <scheme val="minor"/>
    </font>
    <font>
      <sz val="8"/>
      <name val="Arial"/>
      <family val="2"/>
    </font>
    <font>
      <b/>
      <i/>
      <sz val="15"/>
      <color theme="3"/>
      <name val="Calibri Light"/>
      <family val="1"/>
      <scheme val="major"/>
    </font>
    <font>
      <b/>
      <i/>
      <u/>
      <sz val="15"/>
      <color theme="3"/>
      <name val="Calibri Light"/>
      <family val="1"/>
      <scheme val="major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 Light"/>
      <family val="1"/>
      <scheme val="major"/>
    </font>
    <font>
      <b/>
      <sz val="11"/>
      <name val="Calibri Light"/>
      <family val="1"/>
      <scheme val="major"/>
    </font>
    <font>
      <sz val="11"/>
      <name val="Calibri Light"/>
      <family val="1"/>
      <scheme val="major"/>
    </font>
    <font>
      <b/>
      <sz val="12"/>
      <color theme="3"/>
      <name val="Calibri Light"/>
      <family val="1"/>
      <scheme val="major"/>
    </font>
    <font>
      <b/>
      <sz val="30"/>
      <color theme="4"/>
      <name val="Calibri Light"/>
      <family val="1"/>
      <scheme val="major"/>
    </font>
    <font>
      <sz val="10"/>
      <name val="Calibri Light"/>
      <family val="1"/>
      <scheme val="major"/>
    </font>
    <font>
      <sz val="12"/>
      <name val="Arial"/>
      <family val="2"/>
    </font>
    <font>
      <b/>
      <sz val="11"/>
      <color theme="4" tint="-0.249977111117893"/>
      <name val="Calibri Light"/>
      <family val="1"/>
      <scheme val="major"/>
    </font>
    <font>
      <sz val="11"/>
      <color theme="4" tint="-0.249977111117893"/>
      <name val="Calibri Light"/>
      <family val="1"/>
      <scheme val="major"/>
    </font>
    <font>
      <b/>
      <sz val="11"/>
      <color indexed="16"/>
      <name val="Calibri Light"/>
      <family val="1"/>
      <scheme val="major"/>
    </font>
    <font>
      <i/>
      <sz val="11"/>
      <name val="Calibri Light"/>
      <family val="1"/>
      <scheme val="major"/>
    </font>
    <font>
      <b/>
      <i/>
      <sz val="11"/>
      <name val="Calibri Light"/>
      <family val="1"/>
      <scheme val="major"/>
    </font>
    <font>
      <b/>
      <i/>
      <sz val="11"/>
      <color theme="0"/>
      <name val="Calibri Light"/>
      <family val="1"/>
      <scheme val="major"/>
    </font>
    <font>
      <b/>
      <sz val="11"/>
      <color indexed="17"/>
      <name val="Calibri Light"/>
      <family val="1"/>
      <scheme val="major"/>
    </font>
    <font>
      <b/>
      <i/>
      <sz val="11"/>
      <color theme="4" tint="-0.249977111117893"/>
      <name val="Calibri Light"/>
      <family val="1"/>
      <scheme val="major"/>
    </font>
    <font>
      <b/>
      <i/>
      <sz val="11"/>
      <color indexed="16"/>
      <name val="Calibri Light"/>
      <family val="1"/>
      <scheme val="major"/>
    </font>
    <font>
      <i/>
      <sz val="11"/>
      <color rgb="FFFF0000"/>
      <name val="Calibri Light"/>
      <family val="1"/>
      <scheme val="major"/>
    </font>
    <font>
      <sz val="11"/>
      <color indexed="12"/>
      <name val="Calibri Light"/>
      <family val="1"/>
      <scheme val="major"/>
    </font>
    <font>
      <b/>
      <sz val="11"/>
      <color indexed="12"/>
      <name val="Calibri Light"/>
      <family val="1"/>
      <scheme val="major"/>
    </font>
    <font>
      <b/>
      <i/>
      <sz val="10"/>
      <color theme="3"/>
      <name val="Calibri Light"/>
      <family val="1"/>
      <scheme val="major"/>
    </font>
    <font>
      <sz val="8"/>
      <color theme="3"/>
      <name val="Calibri Light"/>
      <family val="1"/>
      <scheme val="major"/>
    </font>
    <font>
      <b/>
      <sz val="11"/>
      <color rgb="FFFF0000"/>
      <name val="Calibri Light"/>
      <family val="1"/>
      <scheme val="major"/>
    </font>
    <font>
      <b/>
      <u/>
      <sz val="11"/>
      <color theme="3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9"/>
      <color theme="0"/>
      <name val="Calibri Light"/>
      <family val="1"/>
      <scheme val="major"/>
    </font>
    <font>
      <sz val="11"/>
      <color indexed="8"/>
      <name val="Calibri"/>
      <family val="2"/>
    </font>
    <font>
      <b/>
      <sz val="11"/>
      <color indexed="9"/>
      <name val="Calibri Light"/>
      <family val="1"/>
      <scheme val="major"/>
    </font>
    <font>
      <b/>
      <i/>
      <sz val="11"/>
      <color rgb="FFFF0000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color theme="1"/>
      <name val="Calibri Light"/>
      <family val="1"/>
      <scheme val="major"/>
    </font>
    <font>
      <b/>
      <sz val="18"/>
      <color theme="3"/>
      <name val="Calibri Light"/>
      <family val="1"/>
      <scheme val="major"/>
    </font>
    <font>
      <b/>
      <i/>
      <sz val="18"/>
      <color theme="4"/>
      <name val="Calibri Light"/>
      <family val="1"/>
      <scheme val="major"/>
    </font>
    <font>
      <u/>
      <sz val="11"/>
      <name val="Calibri Light"/>
      <family val="1"/>
      <scheme val="major"/>
    </font>
    <font>
      <i/>
      <sz val="18"/>
      <color rgb="FFFF0000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8"/>
      <color rgb="FFFF0000"/>
      <name val="Calibri Light"/>
      <family val="1"/>
      <scheme val="major"/>
    </font>
    <font>
      <b/>
      <sz val="18"/>
      <color theme="0"/>
      <name val="Calibri Light"/>
      <family val="1"/>
      <scheme val="major"/>
    </font>
    <font>
      <b/>
      <sz val="18"/>
      <name val="Calibri Light"/>
      <family val="1"/>
      <scheme val="major"/>
    </font>
    <font>
      <sz val="18"/>
      <name val="Calibri Light"/>
      <family val="1"/>
      <scheme val="major"/>
    </font>
    <font>
      <b/>
      <sz val="12"/>
      <color theme="0"/>
      <name val="Calibri Light"/>
      <family val="1"/>
      <scheme val="major"/>
    </font>
    <font>
      <b/>
      <sz val="18"/>
      <color indexed="9"/>
      <name val="Calibri Light"/>
      <family val="1"/>
      <scheme val="major"/>
    </font>
    <font>
      <u/>
      <sz val="20"/>
      <color theme="10"/>
      <name val="Calibri Light"/>
      <family val="1"/>
      <scheme val="major"/>
    </font>
    <font>
      <sz val="20"/>
      <color theme="1"/>
      <name val="Calibri Light"/>
      <family val="1"/>
      <scheme val="major"/>
    </font>
    <font>
      <sz val="20"/>
      <color rgb="FFFF0000"/>
      <name val="Calibri Light"/>
      <family val="1"/>
      <scheme val="major"/>
    </font>
    <font>
      <b/>
      <sz val="20"/>
      <color theme="3"/>
      <name val="Calibri Light"/>
      <family val="1"/>
      <scheme val="major"/>
    </font>
    <font>
      <b/>
      <i/>
      <sz val="20"/>
      <color theme="4"/>
      <name val="Calibri Light"/>
      <family val="1"/>
      <scheme val="major"/>
    </font>
    <font>
      <u/>
      <sz val="20"/>
      <name val="Calibri Light"/>
      <family val="1"/>
      <scheme val="major"/>
    </font>
    <font>
      <i/>
      <sz val="20"/>
      <color rgb="FFFF0000"/>
      <name val="Calibri Light"/>
      <family val="1"/>
      <scheme val="major"/>
    </font>
    <font>
      <sz val="20"/>
      <color theme="0"/>
      <name val="Calibri Light"/>
      <family val="1"/>
      <scheme val="major"/>
    </font>
    <font>
      <b/>
      <sz val="20"/>
      <color theme="0"/>
      <name val="Calibri Light"/>
      <family val="1"/>
      <scheme val="major"/>
    </font>
    <font>
      <b/>
      <sz val="20"/>
      <name val="Calibri Light"/>
      <family val="1"/>
      <scheme val="major"/>
    </font>
    <font>
      <sz val="20"/>
      <name val="Calibri Light"/>
      <family val="1"/>
      <scheme val="major"/>
    </font>
    <font>
      <b/>
      <sz val="20"/>
      <color theme="1"/>
      <name val="Calibri Light"/>
      <family val="1"/>
      <scheme val="major"/>
    </font>
    <font>
      <sz val="20"/>
      <color rgb="FFFF9900"/>
      <name val="Calibri Light"/>
      <family val="1"/>
      <scheme val="major"/>
    </font>
    <font>
      <b/>
      <sz val="20"/>
      <color indexed="9"/>
      <name val="Calibri Light"/>
      <family val="1"/>
      <scheme val="major"/>
    </font>
    <font>
      <sz val="14"/>
      <color theme="1"/>
      <name val="Calibri Light"/>
      <family val="1"/>
      <scheme val="major"/>
    </font>
    <font>
      <i/>
      <sz val="14"/>
      <color rgb="FFFF0000"/>
      <name val="Calibri Light"/>
      <family val="1"/>
      <scheme val="major"/>
    </font>
    <font>
      <sz val="14"/>
      <color theme="0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4"/>
      <color theme="0"/>
      <name val="Calibri Light"/>
      <family val="1"/>
      <scheme val="major"/>
    </font>
    <font>
      <b/>
      <sz val="14"/>
      <color indexed="9"/>
      <name val="Calibri Light"/>
      <family val="1"/>
      <scheme val="major"/>
    </font>
    <font>
      <u/>
      <sz val="14"/>
      <color theme="1"/>
      <name val="Calibri Light"/>
      <family val="1"/>
      <scheme val="major"/>
    </font>
    <font>
      <sz val="14"/>
      <color theme="3"/>
      <name val="Calibri Light"/>
      <family val="1"/>
      <scheme val="major"/>
    </font>
    <font>
      <sz val="12"/>
      <color rgb="FFFF0000"/>
      <name val="Calibri Light"/>
      <family val="1"/>
      <scheme val="major"/>
    </font>
    <font>
      <b/>
      <i/>
      <sz val="11"/>
      <color theme="4"/>
      <name val="Calibri Light"/>
      <family val="1"/>
      <scheme val="major"/>
    </font>
    <font>
      <b/>
      <sz val="9"/>
      <color indexed="9"/>
      <name val="Calibri Light"/>
      <family val="1"/>
      <scheme val="major"/>
    </font>
    <font>
      <sz val="11"/>
      <color rgb="FFFF9900"/>
      <name val="Calibri Light"/>
      <family val="1"/>
      <scheme val="major"/>
    </font>
    <font>
      <sz val="8"/>
      <name val="Calibri Light"/>
      <family val="1"/>
      <scheme val="major"/>
    </font>
    <font>
      <sz val="8"/>
      <color theme="1"/>
      <name val="Calibri Light"/>
      <family val="1"/>
      <scheme val="major"/>
    </font>
    <font>
      <b/>
      <u/>
      <sz val="10"/>
      <name val="Calibri Light"/>
      <family val="1"/>
      <scheme val="major"/>
    </font>
    <font>
      <b/>
      <sz val="8"/>
      <name val="Calibri Light"/>
      <family val="1"/>
      <scheme val="major"/>
    </font>
    <font>
      <b/>
      <vertAlign val="superscript"/>
      <sz val="8"/>
      <name val="Calibri Light"/>
      <family val="1"/>
      <scheme val="major"/>
    </font>
    <font>
      <b/>
      <sz val="9"/>
      <color rgb="FF0000CC"/>
      <name val="Calibri Light"/>
      <family val="1"/>
      <scheme val="major"/>
    </font>
    <font>
      <vertAlign val="superscript"/>
      <sz val="9"/>
      <color theme="1"/>
      <name val="Calibri Light"/>
      <family val="1"/>
      <scheme val="major"/>
    </font>
    <font>
      <b/>
      <sz val="8"/>
      <color rgb="FF0000CC"/>
      <name val="Calibri Light"/>
      <family val="1"/>
      <scheme val="major"/>
    </font>
    <font>
      <sz val="9"/>
      <name val="Arial"/>
      <family val="2"/>
    </font>
    <font>
      <sz val="11"/>
      <color indexed="20"/>
      <name val="Calibri Light"/>
      <family val="1"/>
      <scheme val="major"/>
    </font>
    <font>
      <sz val="30"/>
      <color theme="0"/>
      <name val="Calibri Light"/>
      <family val="1"/>
      <scheme val="major"/>
    </font>
    <font>
      <sz val="10"/>
      <color indexed="10"/>
      <name val="Calibri Light"/>
      <family val="1"/>
      <scheme val="major"/>
    </font>
    <font>
      <sz val="11"/>
      <color rgb="FF808285"/>
      <name val="Calibri Light"/>
      <family val="1"/>
      <scheme val="major"/>
    </font>
    <font>
      <i/>
      <sz val="10"/>
      <color rgb="FFFF0000"/>
      <name val="Calibri Light"/>
      <family val="1"/>
      <scheme val="major"/>
    </font>
    <font>
      <b/>
      <sz val="11"/>
      <color indexed="20"/>
      <name val="Calibri Light"/>
      <family val="1"/>
      <scheme val="major"/>
    </font>
    <font>
      <b/>
      <i/>
      <sz val="11"/>
      <color indexed="18"/>
      <name val="Calibri"/>
      <family val="2"/>
      <scheme val="minor"/>
    </font>
    <font>
      <b/>
      <sz val="9"/>
      <color theme="3"/>
      <name val="Calibri Light"/>
      <family val="1"/>
      <scheme val="major"/>
    </font>
    <font>
      <b/>
      <i/>
      <sz val="11"/>
      <color indexed="20"/>
      <name val="Calibri Light"/>
      <family val="1"/>
      <scheme val="major"/>
    </font>
    <font>
      <sz val="10"/>
      <name val="Times New Roman"/>
      <family val="1"/>
    </font>
    <font>
      <sz val="9"/>
      <name val="Calibri Light"/>
      <family val="1"/>
      <scheme val="major"/>
    </font>
    <font>
      <sz val="9"/>
      <color indexed="20"/>
      <name val="Calibri Light"/>
      <family val="1"/>
      <scheme val="major"/>
    </font>
    <font>
      <sz val="9"/>
      <color indexed="12"/>
      <name val="Calibri Light"/>
      <family val="1"/>
      <scheme val="major"/>
    </font>
    <font>
      <i/>
      <sz val="9"/>
      <name val="Calibri Light"/>
      <family val="1"/>
      <scheme val="major"/>
    </font>
    <font>
      <i/>
      <sz val="11"/>
      <color indexed="12"/>
      <name val="Calibri Light"/>
      <family val="1"/>
      <scheme val="major"/>
    </font>
    <font>
      <b/>
      <i/>
      <sz val="14"/>
      <color theme="3"/>
      <name val="Calibri Light"/>
      <family val="1"/>
      <scheme val="major"/>
    </font>
    <font>
      <b/>
      <i/>
      <u/>
      <sz val="14"/>
      <color theme="3"/>
      <name val="Calibri Light"/>
      <family val="1"/>
      <scheme val="major"/>
    </font>
    <font>
      <sz val="10"/>
      <color theme="0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12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u/>
      <vertAlign val="superscript"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8"/>
      <color theme="0"/>
      <name val="Calibri Light"/>
      <family val="2"/>
      <scheme val="maj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Trebuchet MS"/>
      <family val="2"/>
    </font>
    <font>
      <b/>
      <u/>
      <sz val="14"/>
      <color theme="1"/>
      <name val="Trebuchet MS"/>
      <family val="2"/>
    </font>
    <font>
      <b/>
      <sz val="11"/>
      <color rgb="FF00007E"/>
      <name val="Trebuchet MS"/>
      <family val="2"/>
    </font>
    <font>
      <sz val="11"/>
      <color rgb="FF00007E"/>
      <name val="Trebuchet MS"/>
      <family val="2"/>
    </font>
    <font>
      <b/>
      <sz val="11"/>
      <color rgb="FFFF0000"/>
      <name val="Trebuchet MS"/>
      <family val="2"/>
    </font>
    <font>
      <b/>
      <sz val="11"/>
      <color theme="1"/>
      <name val="Trebuchet MS"/>
      <family val="2"/>
    </font>
    <font>
      <sz val="11"/>
      <color rgb="FFFF0000"/>
      <name val="Trebuchet MS"/>
      <family val="2"/>
    </font>
    <font>
      <b/>
      <u/>
      <sz val="11"/>
      <color rgb="FF00007E"/>
      <name val="Trebuchet MS"/>
      <family val="2"/>
    </font>
    <font>
      <b/>
      <sz val="11"/>
      <color theme="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i/>
      <sz val="30"/>
      <color theme="4"/>
      <name val="Calibri Light"/>
      <family val="2"/>
      <scheme val="major"/>
    </font>
    <font>
      <b/>
      <i/>
      <sz val="11"/>
      <color rgb="FFFF000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9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4"/>
      <color theme="3"/>
      <name val="Calibri Light"/>
      <family val="1"/>
      <scheme val="major"/>
    </font>
    <font>
      <b/>
      <sz val="10"/>
      <color theme="0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6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b/>
      <sz val="10"/>
      <color theme="0"/>
      <name val="Century Gothic"/>
      <family val="2"/>
    </font>
    <font>
      <b/>
      <sz val="11"/>
      <color rgb="FFFF0000"/>
      <name val="Arial"/>
      <family val="2"/>
    </font>
    <font>
      <sz val="14"/>
      <color rgb="FFFF0000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 Light"/>
      <family val="1"/>
      <scheme val="major"/>
    </font>
    <font>
      <b/>
      <sz val="10"/>
      <name val="Calibri Light"/>
      <family val="1"/>
      <scheme val="major"/>
    </font>
  </fonts>
  <fills count="7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0000"/>
        <bgColor indexed="64"/>
      </patternFill>
    </fill>
    <fill>
      <gradientFill degree="18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gray125">
        <fgColor theme="4" tint="0.39994506668294322"/>
        <bgColor rgb="FFFFFFCC"/>
      </patternFill>
    </fill>
    <fill>
      <patternFill patternType="solid">
        <fgColor theme="3"/>
        <bgColor indexed="64"/>
      </patternFill>
    </fill>
    <fill>
      <patternFill patternType="gray125">
        <fgColor theme="0"/>
        <bgColor theme="3"/>
      </patternFill>
    </fill>
    <fill>
      <patternFill patternType="solid">
        <fgColor indexed="3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125">
        <fgColor theme="0"/>
        <bgColor rgb="FF0070C0"/>
      </patternFill>
    </fill>
    <fill>
      <patternFill patternType="solid">
        <fgColor theme="0" tint="-4.9989318521683403E-2"/>
        <bgColor auto="1"/>
      </patternFill>
    </fill>
    <fill>
      <patternFill patternType="lightUp"/>
    </fill>
    <fill>
      <patternFill patternType="solid">
        <fgColor indexed="4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EF6E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226A9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565068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0C2EF"/>
        <bgColor indexed="64"/>
      </patternFill>
    </fill>
  </fills>
  <borders count="248">
    <border>
      <left/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/>
      <right/>
      <top/>
      <bottom style="dashDot">
        <color theme="0" tint="-0.24994659260841701"/>
      </bottom>
      <diagonal/>
    </border>
    <border>
      <left/>
      <right/>
      <top style="dashDot">
        <color theme="0" tint="-0.2499465926084170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dashed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3743705557422"/>
      </left>
      <right style="dashed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8764000366222"/>
      </left>
      <right/>
      <top style="thin">
        <color theme="0" tint="-0.14990691854609822"/>
      </top>
      <bottom/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dashed">
        <color theme="0" tint="-0.14990691854609822"/>
      </right>
      <top style="thin">
        <color theme="0" tint="-0.14996795556505021"/>
      </top>
      <bottom/>
      <diagonal/>
    </border>
    <border>
      <left style="dashed">
        <color theme="0" tint="-0.14990691854609822"/>
      </left>
      <right style="dashed">
        <color theme="0" tint="-0.14990691854609822"/>
      </right>
      <top style="thin">
        <color theme="0" tint="-0.14996795556505021"/>
      </top>
      <bottom/>
      <diagonal/>
    </border>
    <border>
      <left style="dashed">
        <color theme="0" tint="-0.149906918546098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 style="dashed">
        <color theme="0" tint="-0.14987640003662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8764000366222"/>
      </left>
      <right style="dashed">
        <color theme="0" tint="-0.1498458815271462"/>
      </right>
      <top style="thin">
        <color theme="0" tint="-0.14996795556505021"/>
      </top>
      <bottom/>
      <diagonal/>
    </border>
    <border>
      <left style="dashed">
        <color theme="0" tint="-0.1498458815271462"/>
      </left>
      <right style="dashed">
        <color theme="0" tint="-0.1498458815271462"/>
      </right>
      <top style="thin">
        <color theme="0" tint="-0.14996795556505021"/>
      </top>
      <bottom/>
      <diagonal/>
    </border>
    <border>
      <left style="dashed">
        <color theme="0" tint="-0.1498458815271462"/>
      </left>
      <right style="thin">
        <color theme="0" tint="-0.1498458815271462"/>
      </right>
      <top style="thin">
        <color theme="0" tint="-0.14996795556505021"/>
      </top>
      <bottom/>
      <diagonal/>
    </border>
    <border>
      <left style="thin">
        <color theme="0" tint="-0.1498764000366222"/>
      </left>
      <right/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dashed">
        <color theme="0" tint="-0.14990691854609822"/>
      </right>
      <top/>
      <bottom style="hair">
        <color theme="0" tint="-0.14990691854609822"/>
      </bottom>
      <diagonal/>
    </border>
    <border>
      <left style="dashed">
        <color theme="0" tint="-0.14990691854609822"/>
      </left>
      <right style="dashed">
        <color theme="0" tint="-0.14990691854609822"/>
      </right>
      <top/>
      <bottom style="hair">
        <color theme="0" tint="-0.14990691854609822"/>
      </bottom>
      <diagonal/>
    </border>
    <border>
      <left style="dashed">
        <color theme="0" tint="-0.14990691854609822"/>
      </left>
      <right style="thin">
        <color theme="0" tint="-0.14990691854609822"/>
      </right>
      <top/>
      <bottom style="hair">
        <color theme="0" tint="-0.14990691854609822"/>
      </bottom>
      <diagonal/>
    </border>
    <border>
      <left style="dashed">
        <color theme="0" tint="-0.1498764000366222"/>
      </left>
      <right style="thin">
        <color theme="0" tint="-0.1498764000366222"/>
      </right>
      <top/>
      <bottom style="hair">
        <color theme="0" tint="-0.14990691854609822"/>
      </bottom>
      <diagonal/>
    </border>
    <border>
      <left style="thin">
        <color theme="0" tint="-0.1498764000366222"/>
      </left>
      <right style="dashed">
        <color theme="0" tint="-0.1498458815271462"/>
      </right>
      <top/>
      <bottom style="hair">
        <color theme="0" tint="-0.14990691854609822"/>
      </bottom>
      <diagonal/>
    </border>
    <border>
      <left style="dashed">
        <color theme="0" tint="-0.1498458815271462"/>
      </left>
      <right style="dashed">
        <color theme="0" tint="-0.1498458815271462"/>
      </right>
      <top/>
      <bottom style="hair">
        <color theme="0" tint="-0.14990691854609822"/>
      </bottom>
      <diagonal/>
    </border>
    <border>
      <left style="dashed">
        <color theme="0" tint="-0.1498458815271462"/>
      </left>
      <right style="thin">
        <color theme="0" tint="-0.1498458815271462"/>
      </right>
      <top/>
      <bottom style="hair">
        <color theme="0" tint="-0.14990691854609822"/>
      </bottom>
      <diagonal/>
    </border>
    <border>
      <left/>
      <right style="dashed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dashed">
        <color theme="0" tint="-0.14990691854609822"/>
      </left>
      <right style="dashed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dashed">
        <color theme="0" tint="-0.14990691854609822"/>
      </left>
      <right style="thin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dashed">
        <color theme="0" tint="-0.1498764000366222"/>
      </left>
      <right style="thin">
        <color theme="0" tint="-0.1498764000366222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1498764000366222"/>
      </left>
      <right style="dashed">
        <color theme="0" tint="-0.1498458815271462"/>
      </right>
      <top style="hair">
        <color theme="0" tint="-0.14990691854609822"/>
      </top>
      <bottom style="hair">
        <color theme="0" tint="-0.14990691854609822"/>
      </bottom>
      <diagonal/>
    </border>
    <border>
      <left style="dashed">
        <color theme="0" tint="-0.1498458815271462"/>
      </left>
      <right style="dashed">
        <color theme="0" tint="-0.1498458815271462"/>
      </right>
      <top style="hair">
        <color theme="0" tint="-0.14990691854609822"/>
      </top>
      <bottom style="hair">
        <color theme="0" tint="-0.14990691854609822"/>
      </bottom>
      <diagonal/>
    </border>
    <border>
      <left style="dashed">
        <color theme="0" tint="-0.1498458815271462"/>
      </left>
      <right style="thin">
        <color theme="0" tint="-0.1498458815271462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14993743705557422"/>
      </left>
      <right/>
      <top/>
      <bottom style="dashed">
        <color theme="0" tint="-0.14990691854609822"/>
      </bottom>
      <diagonal/>
    </border>
    <border>
      <left/>
      <right style="thin">
        <color theme="0" tint="-0.14993743705557422"/>
      </right>
      <top/>
      <bottom style="dashed">
        <color theme="0" tint="-0.14990691854609822"/>
      </bottom>
      <diagonal/>
    </border>
    <border>
      <left style="thin">
        <color theme="0" tint="-0.14993743705557422"/>
      </left>
      <right/>
      <top style="dashed">
        <color theme="0" tint="-0.14990691854609822"/>
      </top>
      <bottom/>
      <diagonal/>
    </border>
    <border>
      <left/>
      <right style="thin">
        <color theme="0" tint="-0.14993743705557422"/>
      </right>
      <top style="dashed">
        <color theme="0" tint="-0.14990691854609822"/>
      </top>
      <bottom/>
      <diagonal/>
    </border>
    <border>
      <left style="thin">
        <color theme="0" tint="-0.14993743705557422"/>
      </left>
      <right/>
      <top/>
      <bottom style="hair">
        <color theme="0" tint="-0.14990691854609822"/>
      </bottom>
      <diagonal/>
    </border>
    <border>
      <left/>
      <right style="thin">
        <color theme="0" tint="-0.14993743705557422"/>
      </right>
      <top/>
      <bottom style="hair">
        <color theme="0" tint="-0.14990691854609822"/>
      </bottom>
      <diagonal/>
    </border>
    <border>
      <left style="thin">
        <color theme="0" tint="-0.14993743705557422"/>
      </left>
      <right/>
      <top style="hair">
        <color theme="0" tint="-0.14990691854609822"/>
      </top>
      <bottom/>
      <diagonal/>
    </border>
    <border>
      <left/>
      <right style="thin">
        <color theme="0" tint="-0.14993743705557422"/>
      </right>
      <top style="hair">
        <color theme="0" tint="-0.14990691854609822"/>
      </top>
      <bottom/>
      <diagonal/>
    </border>
    <border>
      <left/>
      <right style="dashed">
        <color theme="0" tint="-0.14990691854609822"/>
      </right>
      <top style="hair">
        <color theme="0" tint="-0.14990691854609822"/>
      </top>
      <bottom/>
      <diagonal/>
    </border>
    <border>
      <left style="dashed">
        <color theme="0" tint="-0.14990691854609822"/>
      </left>
      <right style="dashed">
        <color theme="0" tint="-0.14990691854609822"/>
      </right>
      <top style="hair">
        <color theme="0" tint="-0.14990691854609822"/>
      </top>
      <bottom/>
      <diagonal/>
    </border>
    <border>
      <left style="dashed">
        <color theme="0" tint="-0.14990691854609822"/>
      </left>
      <right style="thin">
        <color theme="0" tint="-0.14990691854609822"/>
      </right>
      <top style="hair">
        <color theme="0" tint="-0.14990691854609822"/>
      </top>
      <bottom/>
      <diagonal/>
    </border>
    <border>
      <left style="dashed">
        <color theme="0" tint="-0.1498764000366222"/>
      </left>
      <right style="thin">
        <color theme="0" tint="-0.1498764000366222"/>
      </right>
      <top style="hair">
        <color theme="0" tint="-0.14990691854609822"/>
      </top>
      <bottom/>
      <diagonal/>
    </border>
    <border>
      <left style="thin">
        <color theme="0" tint="-0.1498764000366222"/>
      </left>
      <right style="dashed">
        <color theme="0" tint="-0.1498458815271462"/>
      </right>
      <top style="hair">
        <color theme="0" tint="-0.14990691854609822"/>
      </top>
      <bottom/>
      <diagonal/>
    </border>
    <border>
      <left style="dashed">
        <color theme="0" tint="-0.1498458815271462"/>
      </left>
      <right style="dashed">
        <color theme="0" tint="-0.1498458815271462"/>
      </right>
      <top style="hair">
        <color theme="0" tint="-0.14990691854609822"/>
      </top>
      <bottom/>
      <diagonal/>
    </border>
    <border>
      <left style="dashed">
        <color theme="0" tint="-0.1498458815271462"/>
      </left>
      <right style="thin">
        <color theme="0" tint="-0.1498458815271462"/>
      </right>
      <top style="hair">
        <color theme="0" tint="-0.14990691854609822"/>
      </top>
      <bottom/>
      <diagonal/>
    </border>
    <border>
      <left style="thin">
        <color theme="0" tint="-0.1498764000366222"/>
      </left>
      <right/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93743705557422"/>
      </left>
      <right/>
      <top style="thin">
        <color theme="0" tint="-0.1498458815271462"/>
      </top>
      <bottom style="thin">
        <color theme="0" tint="-0.1498458815271462"/>
      </bottom>
      <diagonal/>
    </border>
    <border>
      <left/>
      <right style="thin">
        <color theme="0" tint="-0.14993743705557422"/>
      </right>
      <top style="thin">
        <color theme="0" tint="-0.1498458815271462"/>
      </top>
      <bottom style="thin">
        <color theme="0" tint="-0.1498458815271462"/>
      </bottom>
      <diagonal/>
    </border>
    <border>
      <left/>
      <right style="dashed">
        <color theme="0" tint="-0.14990691854609822"/>
      </right>
      <top style="thin">
        <color theme="0" tint="-0.1498458815271462"/>
      </top>
      <bottom style="thin">
        <color theme="0" tint="-0.1498458815271462"/>
      </bottom>
      <diagonal/>
    </border>
    <border>
      <left style="dashed">
        <color theme="0" tint="-0.14990691854609822"/>
      </left>
      <right style="dashed">
        <color theme="0" tint="-0.14990691854609822"/>
      </right>
      <top style="thin">
        <color theme="0" tint="-0.1498458815271462"/>
      </top>
      <bottom style="thin">
        <color theme="0" tint="-0.1498458815271462"/>
      </bottom>
      <diagonal/>
    </border>
    <border>
      <left style="dashed">
        <color theme="0" tint="-0.14990691854609822"/>
      </left>
      <right style="thin">
        <color theme="0" tint="-0.1499069185460982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93743705557422"/>
      </left>
      <right style="dashed">
        <color theme="0" tint="-0.14990691854609822"/>
      </right>
      <top style="thin">
        <color theme="0" tint="-0.1498458815271462"/>
      </top>
      <bottom style="thin">
        <color theme="0" tint="-0.1498458815271462"/>
      </bottom>
      <diagonal/>
    </border>
    <border>
      <left/>
      <right style="dashed">
        <color theme="0" tint="-0.14996795556505021"/>
      </right>
      <top style="thin">
        <color theme="0" tint="-0.1498458815271462"/>
      </top>
      <bottom/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0" tint="-0.1498458815271462"/>
      </top>
      <bottom/>
      <diagonal/>
    </border>
    <border>
      <left style="dashed">
        <color theme="0" tint="-0.14996795556505021"/>
      </left>
      <right style="thin">
        <color theme="0" tint="-0.14996795556505021"/>
      </right>
      <top style="thin">
        <color theme="0" tint="-0.1498458815271462"/>
      </top>
      <bottom/>
      <diagonal/>
    </border>
    <border>
      <left style="thin">
        <color theme="0" tint="-0.14996795556505021"/>
      </left>
      <right style="dashed">
        <color theme="0" tint="-0.14996795556505021"/>
      </right>
      <top style="thin">
        <color theme="0" tint="-0.1498458815271462"/>
      </top>
      <bottom/>
      <diagonal/>
    </border>
    <border>
      <left/>
      <right style="dashed">
        <color theme="0" tint="-0.14996795556505021"/>
      </right>
      <top/>
      <bottom style="hair">
        <color theme="0" tint="-0.14993743705557422"/>
      </bottom>
      <diagonal/>
    </border>
    <border>
      <left style="dashed">
        <color theme="0" tint="-0.14996795556505021"/>
      </left>
      <right style="dashed">
        <color theme="0" tint="-0.14996795556505021"/>
      </right>
      <top/>
      <bottom style="hair">
        <color theme="0" tint="-0.14993743705557422"/>
      </bottom>
      <diagonal/>
    </border>
    <border>
      <left style="dashed">
        <color theme="0" tint="-0.14996795556505021"/>
      </left>
      <right style="thin">
        <color theme="0" tint="-0.14996795556505021"/>
      </right>
      <top/>
      <bottom style="hair">
        <color theme="0" tint="-0.14993743705557422"/>
      </bottom>
      <diagonal/>
    </border>
    <border>
      <left style="thin">
        <color theme="0" tint="-0.14996795556505021"/>
      </left>
      <right style="dashed">
        <color theme="0" tint="-0.14996795556505021"/>
      </right>
      <top/>
      <bottom style="hair">
        <color theme="0" tint="-0.14993743705557422"/>
      </bottom>
      <diagonal/>
    </border>
    <border>
      <left/>
      <right style="dashed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dashed">
        <color theme="0" tint="-0.14996795556505021"/>
      </left>
      <right style="dashed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dashed">
        <color theme="0" tint="-0.14996795556505021"/>
      </left>
      <right style="thin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 style="dashed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dashed">
        <color theme="0" tint="-0.14996795556505021"/>
      </left>
      <right style="dashed">
        <color theme="0" tint="-0.14996795556505021"/>
      </right>
      <top style="hair">
        <color theme="0" tint="-0.14993743705557422"/>
      </top>
      <bottom style="thin">
        <color theme="0" tint="-0.14993743705557422"/>
      </bottom>
      <diagonal/>
    </border>
    <border>
      <left style="dashed">
        <color theme="0" tint="-0.14996795556505021"/>
      </left>
      <right style="thin">
        <color theme="0" tint="-0.14996795556505021"/>
      </right>
      <top style="hair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dashed">
        <color theme="0" tint="-0.14996795556505021"/>
      </right>
      <top style="hair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dashed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dashed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dashed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dashed">
        <color theme="0" tint="-0.14996795556505021"/>
      </right>
      <top/>
      <bottom/>
      <diagonal/>
    </border>
    <border>
      <left style="dashed">
        <color theme="0" tint="-0.14996795556505021"/>
      </left>
      <right style="dashed">
        <color theme="0" tint="-0.14996795556505021"/>
      </right>
      <top/>
      <bottom/>
      <diagonal/>
    </border>
    <border>
      <left style="dashed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dashed">
        <color theme="0" tint="-0.14996795556505021"/>
      </right>
      <top/>
      <bottom/>
      <diagonal/>
    </border>
    <border>
      <left style="dashed">
        <color theme="0" tint="-0.14996795556505021"/>
      </left>
      <right style="dashed">
        <color theme="0" tint="-0.14996795556505021"/>
      </right>
      <top style="hair">
        <color theme="0" tint="-0.14993743705557422"/>
      </top>
      <bottom/>
      <diagonal/>
    </border>
    <border>
      <left style="dashed">
        <color theme="0" tint="-0.14996795556505021"/>
      </left>
      <right style="thin">
        <color theme="0" tint="-0.14996795556505021"/>
      </right>
      <top style="hair">
        <color theme="0" tint="-0.14993743705557422"/>
      </top>
      <bottom/>
      <diagonal/>
    </border>
    <border>
      <left style="thin">
        <color theme="0" tint="-0.14996795556505021"/>
      </left>
      <right style="dashed">
        <color theme="0" tint="-0.14996795556505021"/>
      </right>
      <top style="hair">
        <color theme="0" tint="-0.14993743705557422"/>
      </top>
      <bottom/>
      <diagonal/>
    </border>
    <border>
      <left/>
      <right style="dashed">
        <color theme="0" tint="-0.14996795556505021"/>
      </right>
      <top style="thin">
        <color theme="0" tint="-0.14993743705557422"/>
      </top>
      <bottom style="hair">
        <color theme="0" tint="-0.14993743705557422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0" tint="-0.14993743705557422"/>
      </top>
      <bottom style="hair">
        <color theme="0" tint="-0.14993743705557422"/>
      </bottom>
      <diagonal/>
    </border>
    <border>
      <left style="dashed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hair">
        <color theme="0" tint="-0.14993743705557422"/>
      </bottom>
      <diagonal/>
    </border>
    <border>
      <left style="thin">
        <color theme="0" tint="-0.14993743705557422"/>
      </left>
      <right style="dashed">
        <color theme="0" tint="-0.14996795556505021"/>
      </right>
      <top style="thin">
        <color theme="0" tint="-0.14993743705557422"/>
      </top>
      <bottom style="hair">
        <color theme="0" tint="-0.14993743705557422"/>
      </bottom>
      <diagonal/>
    </border>
    <border>
      <left/>
      <right style="dashed">
        <color theme="0" tint="-0.14996795556505021"/>
      </right>
      <top style="hair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dashed">
        <color theme="0" tint="-0.14996795556505021"/>
      </right>
      <top style="hair">
        <color theme="0" tint="-0.14993743705557422"/>
      </top>
      <bottom style="thin">
        <color theme="0" tint="-0.14993743705557422"/>
      </bottom>
      <diagonal/>
    </border>
    <border>
      <left/>
      <right style="dashed">
        <color theme="0" tint="-0.14996795556505021"/>
      </right>
      <top/>
      <bottom style="thin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/>
      <bottom style="thin">
        <color theme="0" tint="-0.14996795556505021"/>
      </bottom>
      <diagonal/>
    </border>
    <border>
      <left style="dashed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dashed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hair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hair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thin">
        <color theme="0" tint="-0.14996795556505021"/>
      </right>
      <top style="hair">
        <color theme="0" tint="-0.14993743705557422"/>
      </top>
      <bottom/>
      <diagonal/>
    </border>
    <border>
      <left/>
      <right style="thin">
        <color theme="0" tint="-0.14996795556505021"/>
      </right>
      <top/>
      <bottom style="hair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 style="hair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hair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indexed="9"/>
      </bottom>
      <diagonal/>
    </border>
    <border>
      <left/>
      <right/>
      <top style="dashed">
        <color theme="0" tint="-0.14996795556505021"/>
      </top>
      <bottom style="thin">
        <color theme="3"/>
      </bottom>
      <diagonal/>
    </border>
    <border>
      <left style="thin">
        <color theme="0" tint="-0.24994659260841701"/>
      </left>
      <right/>
      <top/>
      <bottom style="medium">
        <color indexed="9"/>
      </bottom>
      <diagonal/>
    </border>
    <border>
      <left/>
      <right style="thin">
        <color theme="0" tint="-0.24994659260841701"/>
      </right>
      <top/>
      <bottom style="medium">
        <color indexed="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9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mediumDashed">
        <color theme="0" tint="-0.24994659260841701"/>
      </bottom>
      <diagonal/>
    </border>
    <border>
      <left style="thin">
        <color theme="0" tint="-0.24994659260841701"/>
      </left>
      <right/>
      <top/>
      <bottom style="mediumDashed">
        <color theme="0" tint="-0.24994659260841701"/>
      </bottom>
      <diagonal/>
    </border>
    <border>
      <left/>
      <right style="thin">
        <color theme="0" tint="-0.24994659260841701"/>
      </right>
      <top/>
      <bottom style="mediumDash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Dashed">
        <color theme="0" tint="-0.24994659260841701"/>
      </bottom>
      <diagonal/>
    </border>
    <border>
      <left style="dashDot">
        <color theme="0" tint="-0.249977111117893"/>
      </left>
      <right style="dashDot">
        <color theme="0" tint="-0.249977111117893"/>
      </right>
      <top style="dashDot">
        <color theme="0" tint="-0.249977111117893"/>
      </top>
      <bottom/>
      <diagonal/>
    </border>
    <border>
      <left style="dashDot">
        <color theme="0" tint="-0.249977111117893"/>
      </left>
      <right style="dashDot">
        <color theme="0" tint="-0.249977111117893"/>
      </right>
      <top style="dashDot">
        <color theme="0" tint="-0.249977111117893"/>
      </top>
      <bottom style="dashDot">
        <color theme="0" tint="-0.249977111117893"/>
      </bottom>
      <diagonal/>
    </border>
    <border>
      <left style="dashDot">
        <color theme="0" tint="-0.249977111117893"/>
      </left>
      <right style="dashDot">
        <color theme="0" tint="-0.249977111117893"/>
      </right>
      <top/>
      <bottom style="dashDot">
        <color theme="0" tint="-0.249977111117893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0000CC"/>
      </top>
      <bottom/>
      <diagonal/>
    </border>
    <border>
      <left/>
      <right/>
      <top style="thin">
        <color rgb="FF0000CC"/>
      </top>
      <bottom style="thin">
        <color rgb="FF0000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dashed">
        <color theme="0" tint="-0.34998626667073579"/>
      </left>
      <right/>
      <top style="dashed">
        <color theme="0" tint="-0.34998626667073579"/>
      </top>
      <bottom style="dashed">
        <color theme="0" tint="-0.34998626667073579"/>
      </bottom>
      <diagonal/>
    </border>
    <border>
      <left/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theme="0" tint="-0.249977111117893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4659260841701"/>
      </top>
      <bottom style="thin">
        <color theme="0" tint="-0.249977111117893"/>
      </bottom>
      <diagonal/>
    </border>
    <border>
      <left/>
      <right/>
      <top style="dashed">
        <color theme="0" tint="-0.2499465926084170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dashed">
        <color theme="0" tint="-0.24994659260841701"/>
      </top>
      <bottom style="thin">
        <color theme="0" tint="-0.249977111117893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theme="3"/>
      </top>
      <bottom style="thin">
        <color indexed="64"/>
      </bottom>
      <diagonal/>
    </border>
    <border>
      <left/>
      <right/>
      <top style="dashed">
        <color theme="3"/>
      </top>
      <bottom style="thin">
        <color indexed="64"/>
      </bottom>
      <diagonal/>
    </border>
    <border>
      <left/>
      <right style="thin">
        <color indexed="64"/>
      </right>
      <top style="dashed">
        <color theme="3"/>
      </top>
      <bottom style="thin">
        <color indexed="64"/>
      </bottom>
      <diagonal/>
    </border>
    <border>
      <left style="medium">
        <color theme="0" tint="-0.24994659260841701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dashed">
        <color indexed="64"/>
      </top>
      <bottom style="dashed">
        <color indexed="64"/>
      </bottom>
      <diagonal/>
    </border>
    <border>
      <left/>
      <right style="medium">
        <color theme="0" tint="-0.24994659260841701"/>
      </right>
      <top style="dashed">
        <color indexed="64"/>
      </top>
      <bottom style="dashed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465926084170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dashDot">
        <color rgb="FFFF0000"/>
      </top>
      <bottom style="dashDot">
        <color rgb="FFFF0000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medium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dashed">
        <color indexed="64"/>
      </top>
      <bottom style="dashed">
        <color indexed="64"/>
      </bottom>
      <diagonal/>
    </border>
    <border>
      <left/>
      <right style="medium">
        <color theme="0" tint="-0.24994659260841701"/>
      </right>
      <top style="dashed">
        <color indexed="64"/>
      </top>
      <bottom/>
      <diagonal/>
    </border>
    <border>
      <left style="medium">
        <color theme="0" tint="-0.24994659260841701"/>
      </left>
      <right/>
      <top style="dashed">
        <color theme="0" tint="-0.24994659260841701"/>
      </top>
      <bottom style="medium">
        <color theme="0" tint="-0.24994659260841701"/>
      </bottom>
      <diagonal/>
    </border>
    <border>
      <left/>
      <right/>
      <top style="dashed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dashed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ashed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32">
    <xf numFmtId="0" fontId="0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8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50" fillId="0" borderId="0"/>
    <xf numFmtId="169" fontId="69" fillId="0" borderId="0" applyFont="0" applyFill="0" applyBorder="0" applyAlignment="0" applyProtection="0"/>
    <xf numFmtId="0" fontId="23" fillId="0" borderId="0"/>
    <xf numFmtId="0" fontId="23" fillId="0" borderId="0"/>
    <xf numFmtId="0" fontId="121" fillId="0" borderId="0"/>
    <xf numFmtId="9" fontId="121" fillId="0" borderId="0" applyFont="0" applyFill="0" applyBorder="0" applyAlignment="0" applyProtection="0"/>
    <xf numFmtId="0" fontId="23" fillId="0" borderId="0"/>
    <xf numFmtId="9" fontId="1" fillId="0" borderId="0" applyFont="0" applyFill="0" applyBorder="0" applyAlignment="0" applyProtection="0"/>
    <xf numFmtId="0" fontId="23" fillId="0" borderId="0"/>
    <xf numFmtId="169" fontId="1" fillId="0" borderId="0" applyFont="0" applyFill="0" applyBorder="0" applyAlignment="0" applyProtection="0"/>
    <xf numFmtId="0" fontId="23" fillId="0" borderId="0"/>
    <xf numFmtId="169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0" fillId="0" borderId="0">
      <alignment vertical="top"/>
    </xf>
    <xf numFmtId="0" fontId="151" fillId="0" borderId="0"/>
    <xf numFmtId="164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53" fillId="0" borderId="0"/>
    <xf numFmtId="169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53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2013">
    <xf numFmtId="0" fontId="0" fillId="0" borderId="0" xfId="0"/>
    <xf numFmtId="0" fontId="4" fillId="2" borderId="0" xfId="0" applyFont="1" applyFill="1"/>
    <xf numFmtId="0" fontId="4" fillId="0" borderId="0" xfId="0" applyFont="1"/>
    <xf numFmtId="0" fontId="5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left" vertical="center"/>
    </xf>
    <xf numFmtId="14" fontId="7" fillId="3" borderId="9" xfId="0" applyNumberFormat="1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14" fontId="6" fillId="5" borderId="8" xfId="0" applyNumberFormat="1" applyFont="1" applyFill="1" applyBorder="1" applyAlignment="1">
      <alignment vertical="center"/>
    </xf>
    <xf numFmtId="14" fontId="7" fillId="5" borderId="9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quotePrefix="1" applyFont="1" applyAlignment="1">
      <alignment vertical="center"/>
    </xf>
    <xf numFmtId="0" fontId="4" fillId="2" borderId="3" xfId="0" applyFont="1" applyFill="1" applyBorder="1"/>
    <xf numFmtId="0" fontId="17" fillId="0" borderId="10" xfId="0" quotePrefix="1" applyFont="1" applyBorder="1" applyAlignment="1">
      <alignment horizontal="center"/>
    </xf>
    <xf numFmtId="0" fontId="17" fillId="0" borderId="4" xfId="0" quotePrefix="1" applyFont="1" applyBorder="1" applyAlignment="1">
      <alignment horizontal="center"/>
    </xf>
    <xf numFmtId="14" fontId="7" fillId="0" borderId="0" xfId="0" applyNumberFormat="1" applyFont="1" applyAlignment="1">
      <alignment horizontal="left" vertical="center"/>
    </xf>
    <xf numFmtId="167" fontId="18" fillId="6" borderId="0" xfId="0" applyNumberFormat="1" applyFont="1" applyFill="1" applyAlignment="1">
      <alignment horizontal="center" vertical="center"/>
    </xf>
    <xf numFmtId="0" fontId="13" fillId="0" borderId="0" xfId="0" applyFont="1"/>
    <xf numFmtId="0" fontId="19" fillId="0" borderId="0" xfId="0" applyFont="1" applyAlignment="1">
      <alignment horizontal="center"/>
    </xf>
    <xf numFmtId="167" fontId="4" fillId="3" borderId="0" xfId="0" applyNumberFormat="1" applyFont="1" applyFill="1" applyAlignment="1">
      <alignment horizontal="right"/>
    </xf>
    <xf numFmtId="0" fontId="20" fillId="2" borderId="0" xfId="0" applyFont="1" applyFill="1" applyAlignment="1">
      <alignment horizontal="center"/>
    </xf>
    <xf numFmtId="0" fontId="21" fillId="2" borderId="0" xfId="0" applyFont="1" applyFill="1"/>
    <xf numFmtId="0" fontId="22" fillId="0" borderId="0" xfId="0" applyFont="1"/>
    <xf numFmtId="3" fontId="4" fillId="2" borderId="0" xfId="0" applyNumberFormat="1" applyFont="1" applyFill="1"/>
    <xf numFmtId="0" fontId="4" fillId="2" borderId="0" xfId="0" applyFont="1" applyFill="1" applyAlignment="1">
      <alignment horizontal="center"/>
    </xf>
    <xf numFmtId="9" fontId="4" fillId="2" borderId="0" xfId="3" applyFont="1" applyFill="1" applyProtection="1"/>
    <xf numFmtId="0" fontId="8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24" fillId="0" borderId="0" xfId="0" applyFont="1"/>
    <xf numFmtId="0" fontId="27" fillId="7" borderId="0" xfId="0" applyFont="1" applyFill="1" applyAlignment="1">
      <alignment horizontal="right" vertical="center"/>
    </xf>
    <xf numFmtId="0" fontId="28" fillId="0" borderId="0" xfId="0" applyFont="1" applyAlignment="1">
      <alignment vertical="center"/>
    </xf>
    <xf numFmtId="0" fontId="29" fillId="4" borderId="11" xfId="0" applyFont="1" applyFill="1" applyBorder="1" applyAlignment="1">
      <alignment horizontal="center"/>
    </xf>
    <xf numFmtId="0" fontId="30" fillId="4" borderId="0" xfId="0" applyFont="1" applyFill="1" applyAlignment="1">
      <alignment horizontal="right" vertical="center"/>
    </xf>
    <xf numFmtId="0" fontId="31" fillId="7" borderId="0" xfId="0" applyFont="1" applyFill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33" fillId="0" borderId="0" xfId="4" quotePrefix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18" fillId="0" borderId="13" xfId="0" applyFont="1" applyBorder="1" applyAlignment="1">
      <alignment vertical="center"/>
    </xf>
    <xf numFmtId="0" fontId="34" fillId="8" borderId="0" xfId="0" applyFont="1" applyFill="1" applyAlignment="1">
      <alignment horizontal="right" vertical="center"/>
    </xf>
    <xf numFmtId="0" fontId="35" fillId="0" borderId="0" xfId="0" applyFont="1" applyAlignment="1">
      <alignment vertical="center"/>
    </xf>
    <xf numFmtId="0" fontId="18" fillId="8" borderId="0" xfId="0" applyFont="1" applyFill="1" applyAlignment="1">
      <alignment vertical="center"/>
    </xf>
    <xf numFmtId="0" fontId="36" fillId="0" borderId="0" xfId="4" applyFont="1" applyBorder="1" applyAlignment="1">
      <alignment vertical="center"/>
    </xf>
    <xf numFmtId="0" fontId="34" fillId="9" borderId="0" xfId="0" applyFont="1" applyFill="1" applyAlignment="1">
      <alignment horizontal="right" vertical="center"/>
    </xf>
    <xf numFmtId="0" fontId="36" fillId="0" borderId="14" xfId="4" applyFont="1" applyBorder="1" applyAlignment="1">
      <alignment vertical="center"/>
    </xf>
    <xf numFmtId="0" fontId="31" fillId="9" borderId="0" xfId="0" applyFont="1" applyFill="1" applyAlignment="1">
      <alignment vertical="center"/>
    </xf>
    <xf numFmtId="0" fontId="28" fillId="0" borderId="0" xfId="0" applyFont="1"/>
    <xf numFmtId="0" fontId="27" fillId="10" borderId="0" xfId="0" applyFont="1" applyFill="1" applyAlignment="1">
      <alignment horizontal="right" vertical="center"/>
    </xf>
    <xf numFmtId="0" fontId="18" fillId="0" borderId="14" xfId="0" applyFont="1" applyBorder="1" applyAlignment="1">
      <alignment vertical="center"/>
    </xf>
    <xf numFmtId="0" fontId="31" fillId="10" borderId="0" xfId="0" applyFont="1" applyFill="1" applyAlignment="1">
      <alignment vertical="center"/>
    </xf>
    <xf numFmtId="168" fontId="37" fillId="0" borderId="0" xfId="0" applyNumberFormat="1" applyFont="1" applyAlignment="1">
      <alignment horizontal="center" vertical="center"/>
    </xf>
    <xf numFmtId="0" fontId="36" fillId="0" borderId="0" xfId="4" quotePrefix="1" applyFont="1" applyBorder="1" applyAlignment="1">
      <alignment vertical="center"/>
    </xf>
    <xf numFmtId="0" fontId="31" fillId="11" borderId="0" xfId="0" applyFont="1" applyFill="1" applyAlignment="1">
      <alignment vertical="center"/>
    </xf>
    <xf numFmtId="0" fontId="33" fillId="0" borderId="14" xfId="4" quotePrefix="1" applyFont="1" applyBorder="1" applyAlignment="1">
      <alignment vertical="center"/>
    </xf>
    <xf numFmtId="0" fontId="31" fillId="0" borderId="0" xfId="0" applyFont="1" applyAlignment="1">
      <alignment vertical="center"/>
    </xf>
    <xf numFmtId="0" fontId="27" fillId="12" borderId="0" xfId="0" applyFont="1" applyFill="1" applyAlignment="1">
      <alignment horizontal="right" vertical="center"/>
    </xf>
    <xf numFmtId="0" fontId="31" fillId="12" borderId="0" xfId="0" applyFont="1" applyFill="1" applyAlignment="1">
      <alignment vertical="center"/>
    </xf>
    <xf numFmtId="0" fontId="8" fillId="0" borderId="15" xfId="0" applyFont="1" applyBorder="1" applyAlignment="1">
      <alignment horizontal="center"/>
    </xf>
    <xf numFmtId="9" fontId="4" fillId="2" borderId="0" xfId="3" applyFont="1" applyFill="1"/>
    <xf numFmtId="0" fontId="33" fillId="0" borderId="0" xfId="4" quotePrefix="1" applyFont="1" applyBorder="1" applyProtection="1">
      <protection locked="0"/>
    </xf>
    <xf numFmtId="0" fontId="4" fillId="0" borderId="0" xfId="0" applyFont="1" applyProtection="1">
      <protection locked="0"/>
    </xf>
    <xf numFmtId="3" fontId="4" fillId="0" borderId="0" xfId="0" applyNumberFormat="1" applyFont="1" applyProtection="1">
      <protection locked="0"/>
    </xf>
    <xf numFmtId="170" fontId="4" fillId="0" borderId="0" xfId="1" applyNumberFormat="1" applyFont="1" applyFill="1" applyProtection="1">
      <protection locked="0"/>
    </xf>
    <xf numFmtId="171" fontId="0" fillId="0" borderId="0" xfId="1" applyNumberFormat="1" applyFont="1"/>
    <xf numFmtId="0" fontId="39" fillId="13" borderId="0" xfId="5" applyFont="1" applyFill="1" applyAlignment="1" applyProtection="1">
      <alignment vertical="center"/>
      <protection locked="0"/>
    </xf>
    <xf numFmtId="0" fontId="40" fillId="13" borderId="0" xfId="5" applyFont="1" applyFill="1" applyAlignment="1" applyProtection="1">
      <alignment vertical="center"/>
      <protection locked="0"/>
    </xf>
    <xf numFmtId="0" fontId="41" fillId="0" borderId="17" xfId="6" applyFont="1" applyBorder="1" applyAlignment="1">
      <alignment horizontal="center" vertical="center"/>
    </xf>
    <xf numFmtId="0" fontId="41" fillId="0" borderId="17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42" fillId="0" borderId="18" xfId="6" applyFont="1" applyBorder="1" applyAlignment="1">
      <alignment vertical="center" wrapText="1"/>
    </xf>
    <xf numFmtId="171" fontId="42" fillId="0" borderId="18" xfId="7" applyNumberFormat="1" applyFont="1" applyFill="1" applyBorder="1" applyAlignment="1">
      <alignment vertical="center" wrapText="1"/>
    </xf>
    <xf numFmtId="169" fontId="42" fillId="14" borderId="18" xfId="1" applyFont="1" applyFill="1" applyBorder="1" applyAlignment="1">
      <alignment vertical="center" wrapText="1"/>
    </xf>
    <xf numFmtId="169" fontId="42" fillId="15" borderId="18" xfId="1" applyFont="1" applyFill="1" applyBorder="1" applyAlignment="1">
      <alignment vertical="center" wrapText="1"/>
    </xf>
    <xf numFmtId="171" fontId="42" fillId="16" borderId="18" xfId="1" applyNumberFormat="1" applyFont="1" applyFill="1" applyBorder="1" applyAlignment="1">
      <alignment vertical="center" wrapText="1"/>
    </xf>
    <xf numFmtId="171" fontId="0" fillId="0" borderId="0" xfId="1" applyNumberFormat="1" applyFont="1" applyFill="1" applyBorder="1" applyAlignment="1"/>
    <xf numFmtId="171" fontId="0" fillId="0" borderId="0" xfId="1" applyNumberFormat="1" applyFont="1" applyFill="1"/>
    <xf numFmtId="171" fontId="23" fillId="0" borderId="0" xfId="1" applyNumberFormat="1" applyFont="1" applyFill="1" applyAlignment="1"/>
    <xf numFmtId="171" fontId="0" fillId="17" borderId="0" xfId="1" applyNumberFormat="1" applyFont="1" applyFill="1" applyBorder="1" applyAlignment="1">
      <alignment horizontal="center"/>
    </xf>
    <xf numFmtId="171" fontId="4" fillId="0" borderId="0" xfId="1" applyNumberFormat="1" applyFont="1" applyFill="1"/>
    <xf numFmtId="171" fontId="4" fillId="0" borderId="0" xfId="1" applyNumberFormat="1" applyFont="1" applyFill="1" applyProtection="1">
      <protection locked="0"/>
    </xf>
    <xf numFmtId="0" fontId="23" fillId="0" borderId="0" xfId="6"/>
    <xf numFmtId="172" fontId="0" fillId="0" borderId="0" xfId="1" applyNumberFormat="1" applyFont="1" applyFill="1" applyBorder="1" applyAlignment="1">
      <alignment horizontal="center"/>
    </xf>
    <xf numFmtId="171" fontId="0" fillId="0" borderId="0" xfId="1" applyNumberFormat="1" applyFont="1" applyFill="1" applyBorder="1" applyAlignment="1">
      <alignment horizontal="center"/>
    </xf>
    <xf numFmtId="171" fontId="4" fillId="0" borderId="0" xfId="0" applyNumberFormat="1" applyFont="1" applyProtection="1">
      <protection locked="0"/>
    </xf>
    <xf numFmtId="3" fontId="0" fillId="0" borderId="0" xfId="0" applyNumberFormat="1"/>
    <xf numFmtId="0" fontId="0" fillId="9" borderId="0" xfId="0" applyFill="1"/>
    <xf numFmtId="169" fontId="0" fillId="0" borderId="0" xfId="1" applyFont="1"/>
    <xf numFmtId="169" fontId="4" fillId="0" borderId="0" xfId="1" applyFont="1" applyFill="1"/>
    <xf numFmtId="172" fontId="4" fillId="0" borderId="0" xfId="0" applyNumberFormat="1" applyFont="1"/>
    <xf numFmtId="171" fontId="0" fillId="0" borderId="0" xfId="0" applyNumberFormat="1"/>
    <xf numFmtId="171" fontId="4" fillId="17" borderId="0" xfId="1" applyNumberFormat="1" applyFont="1" applyFill="1"/>
    <xf numFmtId="172" fontId="0" fillId="18" borderId="0" xfId="1" applyNumberFormat="1" applyFont="1" applyFill="1" applyBorder="1" applyAlignment="1">
      <alignment horizontal="center"/>
    </xf>
    <xf numFmtId="172" fontId="2" fillId="0" borderId="0" xfId="1" applyNumberFormat="1" applyFont="1" applyFill="1" applyBorder="1" applyAlignment="1">
      <alignment horizontal="center"/>
    </xf>
    <xf numFmtId="0" fontId="0" fillId="17" borderId="0" xfId="0" applyFill="1"/>
    <xf numFmtId="172" fontId="0" fillId="19" borderId="0" xfId="1" applyNumberFormat="1" applyFont="1" applyFill="1" applyBorder="1" applyAlignment="1">
      <alignment horizontal="center"/>
    </xf>
    <xf numFmtId="171" fontId="0" fillId="20" borderId="0" xfId="1" applyNumberFormat="1" applyFont="1" applyFill="1" applyBorder="1" applyAlignment="1">
      <alignment horizontal="center"/>
    </xf>
    <xf numFmtId="172" fontId="0" fillId="17" borderId="0" xfId="1" applyNumberFormat="1" applyFont="1" applyFill="1" applyBorder="1" applyAlignment="1">
      <alignment horizontal="center"/>
    </xf>
    <xf numFmtId="171" fontId="0" fillId="21" borderId="0" xfId="1" applyNumberFormat="1" applyFont="1" applyFill="1" applyBorder="1" applyAlignment="1">
      <alignment horizontal="center"/>
    </xf>
    <xf numFmtId="0" fontId="43" fillId="0" borderId="0" xfId="0" applyFont="1"/>
    <xf numFmtId="172" fontId="0" fillId="22" borderId="0" xfId="1" applyNumberFormat="1" applyFont="1" applyFill="1" applyBorder="1" applyAlignment="1">
      <alignment horizontal="center"/>
    </xf>
    <xf numFmtId="171" fontId="0" fillId="18" borderId="0" xfId="1" applyNumberFormat="1" applyFont="1" applyFill="1" applyBorder="1" applyAlignment="1">
      <alignment horizontal="center"/>
    </xf>
    <xf numFmtId="0" fontId="0" fillId="18" borderId="0" xfId="0" applyFill="1"/>
    <xf numFmtId="171" fontId="0" fillId="23" borderId="0" xfId="1" applyNumberFormat="1" applyFont="1" applyFill="1" applyBorder="1" applyAlignment="1">
      <alignment horizontal="center"/>
    </xf>
    <xf numFmtId="172" fontId="2" fillId="19" borderId="0" xfId="1" applyNumberFormat="1" applyFont="1" applyFill="1" applyBorder="1" applyAlignment="1">
      <alignment horizontal="center"/>
    </xf>
    <xf numFmtId="171" fontId="0" fillId="19" borderId="0" xfId="1" applyNumberFormat="1" applyFont="1" applyFill="1" applyBorder="1" applyAlignment="1">
      <alignment horizontal="center"/>
    </xf>
    <xf numFmtId="172" fontId="2" fillId="17" borderId="0" xfId="1" applyNumberFormat="1" applyFont="1" applyFill="1" applyBorder="1" applyAlignment="1">
      <alignment horizontal="center"/>
    </xf>
    <xf numFmtId="172" fontId="0" fillId="24" borderId="0" xfId="1" applyNumberFormat="1" applyFont="1" applyFill="1" applyBorder="1" applyAlignment="1">
      <alignment horizontal="center"/>
    </xf>
    <xf numFmtId="171" fontId="0" fillId="15" borderId="0" xfId="1" applyNumberFormat="1" applyFont="1" applyFill="1" applyBorder="1" applyAlignment="1">
      <alignment horizontal="center"/>
    </xf>
    <xf numFmtId="171" fontId="0" fillId="25" borderId="0" xfId="1" applyNumberFormat="1" applyFont="1" applyFill="1" applyBorder="1" applyAlignment="1">
      <alignment horizontal="center"/>
    </xf>
    <xf numFmtId="172" fontId="0" fillId="12" borderId="0" xfId="1" applyNumberFormat="1" applyFont="1" applyFill="1" applyBorder="1" applyAlignment="1">
      <alignment horizontal="center"/>
    </xf>
    <xf numFmtId="172" fontId="0" fillId="26" borderId="0" xfId="1" applyNumberFormat="1" applyFont="1" applyFill="1" applyBorder="1" applyAlignment="1">
      <alignment horizontal="center"/>
    </xf>
    <xf numFmtId="171" fontId="0" fillId="27" borderId="0" xfId="1" applyNumberFormat="1" applyFont="1" applyFill="1" applyBorder="1" applyAlignment="1">
      <alignment horizontal="center"/>
    </xf>
    <xf numFmtId="171" fontId="0" fillId="3" borderId="0" xfId="1" applyNumberFormat="1" applyFont="1" applyFill="1" applyBorder="1" applyAlignment="1">
      <alignment horizontal="center"/>
    </xf>
    <xf numFmtId="171" fontId="0" fillId="9" borderId="0" xfId="1" applyNumberFormat="1" applyFont="1" applyFill="1" applyBorder="1" applyAlignment="1">
      <alignment horizontal="center"/>
    </xf>
    <xf numFmtId="171" fontId="44" fillId="17" borderId="0" xfId="1" applyNumberFormat="1" applyFont="1" applyFill="1"/>
    <xf numFmtId="171" fontId="4" fillId="11" borderId="0" xfId="1" applyNumberFormat="1" applyFont="1" applyFill="1"/>
    <xf numFmtId="171" fontId="44" fillId="11" borderId="0" xfId="1" applyNumberFormat="1" applyFont="1" applyFill="1"/>
    <xf numFmtId="0" fontId="2" fillId="17" borderId="0" xfId="0" applyFont="1" applyFill="1"/>
    <xf numFmtId="171" fontId="4" fillId="0" borderId="0" xfId="0" applyNumberFormat="1" applyFont="1"/>
    <xf numFmtId="171" fontId="4" fillId="5" borderId="0" xfId="1" applyNumberFormat="1" applyFont="1" applyFill="1"/>
    <xf numFmtId="0" fontId="0" fillId="23" borderId="0" xfId="0" applyFill="1"/>
    <xf numFmtId="0" fontId="0" fillId="20" borderId="0" xfId="0" applyFill="1"/>
    <xf numFmtId="0" fontId="43" fillId="17" borderId="0" xfId="0" applyFont="1" applyFill="1"/>
    <xf numFmtId="0" fontId="0" fillId="28" borderId="0" xfId="0" applyFill="1"/>
    <xf numFmtId="0" fontId="0" fillId="0" borderId="19" xfId="0" applyBorder="1"/>
    <xf numFmtId="0" fontId="0" fillId="0" borderId="0" xfId="0" quotePrefix="1"/>
    <xf numFmtId="0" fontId="4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172" fontId="0" fillId="0" borderId="18" xfId="1" applyNumberFormat="1" applyFont="1" applyFill="1" applyBorder="1" applyAlignment="1">
      <alignment vertical="center"/>
    </xf>
    <xf numFmtId="3" fontId="4" fillId="0" borderId="0" xfId="0" applyNumberFormat="1" applyFont="1"/>
    <xf numFmtId="49" fontId="35" fillId="0" borderId="0" xfId="8" applyNumberFormat="1" applyFont="1" applyAlignment="1" applyProtection="1">
      <alignment horizontal="centerContinuous" vertical="center"/>
      <protection locked="0"/>
    </xf>
    <xf numFmtId="0" fontId="35" fillId="0" borderId="0" xfId="0" applyFont="1" applyAlignment="1" applyProtection="1">
      <alignment horizontal="right" vertical="center"/>
      <protection locked="0"/>
    </xf>
    <xf numFmtId="49" fontId="45" fillId="0" borderId="0" xfId="8" applyNumberFormat="1" applyFont="1" applyAlignment="1" applyProtection="1">
      <alignment horizontal="centerContinuous"/>
      <protection locked="0"/>
    </xf>
    <xf numFmtId="0" fontId="46" fillId="0" borderId="0" xfId="8" applyFont="1" applyProtection="1">
      <protection locked="0"/>
    </xf>
    <xf numFmtId="14" fontId="47" fillId="0" borderId="0" xfId="0" applyNumberFormat="1" applyFont="1" applyProtection="1">
      <protection locked="0"/>
    </xf>
    <xf numFmtId="0" fontId="48" fillId="0" borderId="0" xfId="0" applyFont="1" applyProtection="1">
      <protection locked="0"/>
    </xf>
    <xf numFmtId="14" fontId="44" fillId="0" borderId="0" xfId="0" applyNumberFormat="1" applyFont="1" applyAlignment="1" applyProtection="1">
      <alignment horizontal="right" wrapText="1"/>
      <protection locked="0"/>
    </xf>
    <xf numFmtId="0" fontId="49" fillId="0" borderId="0" xfId="8" applyFont="1" applyProtection="1">
      <protection locked="0"/>
    </xf>
    <xf numFmtId="0" fontId="49" fillId="0" borderId="0" xfId="8" applyFont="1" applyAlignment="1" applyProtection="1">
      <alignment horizontal="centerContinuous"/>
      <protection locked="0"/>
    </xf>
    <xf numFmtId="0" fontId="46" fillId="2" borderId="0" xfId="8" applyFont="1" applyFill="1" applyProtection="1">
      <protection locked="0"/>
    </xf>
    <xf numFmtId="0" fontId="28" fillId="29" borderId="25" xfId="9" applyFont="1" applyFill="1" applyBorder="1" applyAlignment="1">
      <alignment horizontal="center"/>
    </xf>
    <xf numFmtId="0" fontId="28" fillId="29" borderId="26" xfId="9" applyFont="1" applyFill="1" applyBorder="1" applyAlignment="1">
      <alignment horizontal="center"/>
    </xf>
    <xf numFmtId="0" fontId="28" fillId="29" borderId="27" xfId="9" applyFont="1" applyFill="1" applyBorder="1" applyAlignment="1">
      <alignment horizontal="center"/>
    </xf>
    <xf numFmtId="0" fontId="28" fillId="5" borderId="25" xfId="9" applyFont="1" applyFill="1" applyBorder="1" applyAlignment="1">
      <alignment horizontal="center"/>
    </xf>
    <xf numFmtId="0" fontId="28" fillId="5" borderId="26" xfId="9" applyFont="1" applyFill="1" applyBorder="1" applyAlignment="1">
      <alignment horizontal="center"/>
    </xf>
    <xf numFmtId="0" fontId="28" fillId="5" borderId="27" xfId="9" applyFont="1" applyFill="1" applyBorder="1" applyAlignment="1">
      <alignment horizontal="center"/>
    </xf>
    <xf numFmtId="0" fontId="46" fillId="2" borderId="28" xfId="8" applyFont="1" applyFill="1" applyBorder="1"/>
    <xf numFmtId="0" fontId="45" fillId="2" borderId="29" xfId="8" applyFont="1" applyFill="1" applyBorder="1"/>
    <xf numFmtId="0" fontId="46" fillId="2" borderId="30" xfId="8" applyFont="1" applyFill="1" applyBorder="1"/>
    <xf numFmtId="3" fontId="45" fillId="2" borderId="31" xfId="8" applyNumberFormat="1" applyFont="1" applyFill="1" applyBorder="1" applyAlignment="1" applyProtection="1">
      <alignment horizontal="right"/>
      <protection locked="0"/>
    </xf>
    <xf numFmtId="3" fontId="45" fillId="2" borderId="32" xfId="8" applyNumberFormat="1" applyFont="1" applyFill="1" applyBorder="1" applyAlignment="1" applyProtection="1">
      <alignment horizontal="right"/>
      <protection locked="0"/>
    </xf>
    <xf numFmtId="3" fontId="45" fillId="2" borderId="33" xfId="8" applyNumberFormat="1" applyFont="1" applyFill="1" applyBorder="1" applyAlignment="1" applyProtection="1">
      <alignment horizontal="right"/>
      <protection locked="0"/>
    </xf>
    <xf numFmtId="3" fontId="45" fillId="2" borderId="34" xfId="8" applyNumberFormat="1" applyFont="1" applyFill="1" applyBorder="1" applyAlignment="1" applyProtection="1">
      <alignment horizontal="right"/>
      <protection locked="0"/>
    </xf>
    <xf numFmtId="3" fontId="45" fillId="2" borderId="35" xfId="8" applyNumberFormat="1" applyFont="1" applyFill="1" applyBorder="1" applyAlignment="1" applyProtection="1">
      <alignment horizontal="right"/>
      <protection locked="0"/>
    </xf>
    <xf numFmtId="3" fontId="45" fillId="2" borderId="36" xfId="8" applyNumberFormat="1" applyFont="1" applyFill="1" applyBorder="1" applyAlignment="1" applyProtection="1">
      <alignment horizontal="right"/>
      <protection locked="0"/>
    </xf>
    <xf numFmtId="3" fontId="45" fillId="2" borderId="37" xfId="8" applyNumberFormat="1" applyFont="1" applyFill="1" applyBorder="1" applyAlignment="1" applyProtection="1">
      <alignment horizontal="right"/>
      <protection locked="0"/>
    </xf>
    <xf numFmtId="0" fontId="35" fillId="0" borderId="38" xfId="9" applyFont="1" applyBorder="1" applyAlignment="1">
      <alignment horizontal="center"/>
    </xf>
    <xf numFmtId="0" fontId="51" fillId="0" borderId="39" xfId="9" applyFont="1" applyBorder="1"/>
    <xf numFmtId="0" fontId="52" fillId="2" borderId="40" xfId="8" applyFont="1" applyFill="1" applyBorder="1"/>
    <xf numFmtId="171" fontId="51" fillId="0" borderId="41" xfId="1" applyNumberFormat="1" applyFont="1" applyBorder="1" applyProtection="1"/>
    <xf numFmtId="171" fontId="51" fillId="0" borderId="42" xfId="1" applyNumberFormat="1" applyFont="1" applyBorder="1" applyProtection="1"/>
    <xf numFmtId="171" fontId="51" fillId="0" borderId="43" xfId="1" applyNumberFormat="1" applyFont="1" applyBorder="1" applyProtection="1"/>
    <xf numFmtId="171" fontId="51" fillId="0" borderId="44" xfId="1" applyNumberFormat="1" applyFont="1" applyBorder="1" applyProtection="1"/>
    <xf numFmtId="171" fontId="51" fillId="0" borderId="45" xfId="1" applyNumberFormat="1" applyFont="1" applyBorder="1" applyProtection="1"/>
    <xf numFmtId="171" fontId="51" fillId="0" borderId="46" xfId="1" applyNumberFormat="1" applyFont="1" applyBorder="1" applyProtection="1"/>
    <xf numFmtId="171" fontId="51" fillId="0" borderId="47" xfId="1" applyNumberFormat="1" applyFont="1" applyBorder="1" applyProtection="1"/>
    <xf numFmtId="0" fontId="46" fillId="2" borderId="38" xfId="8" applyFont="1" applyFill="1" applyBorder="1" applyAlignment="1">
      <alignment horizontal="center"/>
    </xf>
    <xf numFmtId="0" fontId="46" fillId="2" borderId="39" xfId="8" applyFont="1" applyFill="1" applyBorder="1"/>
    <xf numFmtId="0" fontId="46" fillId="2" borderId="40" xfId="8" applyFont="1" applyFill="1" applyBorder="1"/>
    <xf numFmtId="171" fontId="45" fillId="2" borderId="48" xfId="1" applyNumberFormat="1" applyFont="1" applyFill="1" applyBorder="1" applyAlignment="1" applyProtection="1">
      <alignment horizontal="right"/>
      <protection locked="0"/>
    </xf>
    <xf numFmtId="171" fontId="45" fillId="2" borderId="49" xfId="1" applyNumberFormat="1" applyFont="1" applyFill="1" applyBorder="1" applyAlignment="1" applyProtection="1">
      <alignment horizontal="right"/>
      <protection locked="0"/>
    </xf>
    <xf numFmtId="171" fontId="51" fillId="2" borderId="50" xfId="1" applyNumberFormat="1" applyFont="1" applyFill="1" applyBorder="1" applyAlignment="1" applyProtection="1">
      <alignment horizontal="right"/>
      <protection locked="0"/>
    </xf>
    <xf numFmtId="171" fontId="51" fillId="2" borderId="51" xfId="1" applyNumberFormat="1" applyFont="1" applyFill="1" applyBorder="1" applyAlignment="1" applyProtection="1">
      <alignment horizontal="right"/>
      <protection locked="0"/>
    </xf>
    <xf numFmtId="171" fontId="45" fillId="30" borderId="52" xfId="1" applyNumberFormat="1" applyFont="1" applyFill="1" applyBorder="1" applyAlignment="1" applyProtection="1">
      <alignment horizontal="right"/>
      <protection locked="0"/>
    </xf>
    <xf numFmtId="171" fontId="45" fillId="30" borderId="53" xfId="1" applyNumberFormat="1" applyFont="1" applyFill="1" applyBorder="1" applyAlignment="1" applyProtection="1">
      <alignment horizontal="right"/>
      <protection locked="0"/>
    </xf>
    <xf numFmtId="171" fontId="45" fillId="2" borderId="54" xfId="1" applyNumberFormat="1" applyFont="1" applyFill="1" applyBorder="1" applyAlignment="1" applyProtection="1">
      <alignment horizontal="right"/>
      <protection locked="0"/>
    </xf>
    <xf numFmtId="0" fontId="46" fillId="0" borderId="55" xfId="8" applyFont="1" applyBorder="1"/>
    <xf numFmtId="0" fontId="46" fillId="2" borderId="56" xfId="8" applyFont="1" applyFill="1" applyBorder="1"/>
    <xf numFmtId="171" fontId="45" fillId="30" borderId="49" xfId="1" applyNumberFormat="1" applyFont="1" applyFill="1" applyBorder="1" applyAlignment="1" applyProtection="1">
      <alignment horizontal="right"/>
      <protection locked="0"/>
    </xf>
    <xf numFmtId="0" fontId="51" fillId="0" borderId="38" xfId="9" applyFont="1" applyBorder="1" applyAlignment="1">
      <alignment horizontal="center"/>
    </xf>
    <xf numFmtId="0" fontId="51" fillId="0" borderId="57" xfId="9" applyFont="1" applyBorder="1"/>
    <xf numFmtId="0" fontId="52" fillId="2" borderId="58" xfId="8" applyFont="1" applyFill="1" applyBorder="1"/>
    <xf numFmtId="171" fontId="51" fillId="0" borderId="48" xfId="1" applyNumberFormat="1" applyFont="1" applyBorder="1" applyProtection="1"/>
    <xf numFmtId="171" fontId="51" fillId="0" borderId="49" xfId="1" applyNumberFormat="1" applyFont="1" applyBorder="1" applyProtection="1"/>
    <xf numFmtId="171" fontId="51" fillId="0" borderId="50" xfId="1" applyNumberFormat="1" applyFont="1" applyBorder="1" applyProtection="1"/>
    <xf numFmtId="171" fontId="51" fillId="0" borderId="51" xfId="1" applyNumberFormat="1" applyFont="1" applyBorder="1" applyProtection="1"/>
    <xf numFmtId="171" fontId="51" fillId="0" borderId="52" xfId="1" applyNumberFormat="1" applyFont="1" applyBorder="1" applyProtection="1"/>
    <xf numFmtId="171" fontId="51" fillId="0" borderId="53" xfId="1" applyNumberFormat="1" applyFont="1" applyBorder="1" applyProtection="1"/>
    <xf numFmtId="171" fontId="51" fillId="0" borderId="54" xfId="1" applyNumberFormat="1" applyFont="1" applyBorder="1" applyProtection="1"/>
    <xf numFmtId="0" fontId="52" fillId="0" borderId="0" xfId="8" applyFont="1" applyProtection="1">
      <protection locked="0"/>
    </xf>
    <xf numFmtId="171" fontId="45" fillId="2" borderId="52" xfId="1" applyNumberFormat="1" applyFont="1" applyFill="1" applyBorder="1" applyAlignment="1" applyProtection="1">
      <alignment horizontal="right"/>
      <protection locked="0"/>
    </xf>
    <xf numFmtId="171" fontId="45" fillId="2" borderId="53" xfId="1" applyNumberFormat="1" applyFont="1" applyFill="1" applyBorder="1" applyAlignment="1" applyProtection="1">
      <alignment horizontal="right"/>
      <protection locked="0"/>
    </xf>
    <xf numFmtId="0" fontId="46" fillId="2" borderId="59" xfId="8" applyFont="1" applyFill="1" applyBorder="1"/>
    <xf numFmtId="0" fontId="46" fillId="2" borderId="60" xfId="8" applyFont="1" applyFill="1" applyBorder="1"/>
    <xf numFmtId="0" fontId="51" fillId="0" borderId="61" xfId="9" applyFont="1" applyBorder="1"/>
    <xf numFmtId="0" fontId="52" fillId="2" borderId="62" xfId="8" applyFont="1" applyFill="1" applyBorder="1"/>
    <xf numFmtId="171" fontId="45" fillId="2" borderId="63" xfId="1" applyNumberFormat="1" applyFont="1" applyFill="1" applyBorder="1" applyAlignment="1" applyProtection="1">
      <alignment horizontal="right"/>
      <protection locked="0"/>
    </xf>
    <xf numFmtId="171" fontId="45" fillId="2" borderId="64" xfId="1" applyNumberFormat="1" applyFont="1" applyFill="1" applyBorder="1" applyAlignment="1" applyProtection="1">
      <alignment horizontal="right"/>
      <protection locked="0"/>
    </xf>
    <xf numFmtId="171" fontId="51" fillId="2" borderId="65" xfId="1" applyNumberFormat="1" applyFont="1" applyFill="1" applyBorder="1" applyAlignment="1" applyProtection="1">
      <alignment horizontal="right"/>
      <protection locked="0"/>
    </xf>
    <xf numFmtId="171" fontId="51" fillId="2" borderId="66" xfId="1" applyNumberFormat="1" applyFont="1" applyFill="1" applyBorder="1" applyAlignment="1" applyProtection="1">
      <alignment horizontal="right"/>
      <protection locked="0"/>
    </xf>
    <xf numFmtId="171" fontId="45" fillId="2" borderId="67" xfId="1" applyNumberFormat="1" applyFont="1" applyFill="1" applyBorder="1" applyAlignment="1" applyProtection="1">
      <alignment horizontal="right"/>
      <protection locked="0"/>
    </xf>
    <xf numFmtId="171" fontId="45" fillId="2" borderId="68" xfId="1" applyNumberFormat="1" applyFont="1" applyFill="1" applyBorder="1" applyAlignment="1" applyProtection="1">
      <alignment horizontal="right"/>
      <protection locked="0"/>
    </xf>
    <xf numFmtId="171" fontId="45" fillId="2" borderId="69" xfId="1" applyNumberFormat="1" applyFont="1" applyFill="1" applyBorder="1" applyAlignment="1" applyProtection="1">
      <alignment horizontal="right"/>
      <protection locked="0"/>
    </xf>
    <xf numFmtId="0" fontId="45" fillId="3" borderId="70" xfId="9" applyFont="1" applyFill="1" applyBorder="1" applyAlignment="1">
      <alignment horizontal="center" vertical="center"/>
    </xf>
    <xf numFmtId="0" fontId="45" fillId="3" borderId="71" xfId="9" applyFont="1" applyFill="1" applyBorder="1" applyAlignment="1">
      <alignment vertical="center"/>
    </xf>
    <xf numFmtId="0" fontId="53" fillId="3" borderId="72" xfId="9" applyFont="1" applyFill="1" applyBorder="1" applyAlignment="1">
      <alignment vertical="center"/>
    </xf>
    <xf numFmtId="171" fontId="53" fillId="3" borderId="73" xfId="1" applyNumberFormat="1" applyFont="1" applyFill="1" applyBorder="1" applyAlignment="1" applyProtection="1">
      <alignment horizontal="right" vertical="center"/>
    </xf>
    <xf numFmtId="171" fontId="53" fillId="3" borderId="74" xfId="1" applyNumberFormat="1" applyFont="1" applyFill="1" applyBorder="1" applyAlignment="1" applyProtection="1">
      <alignment horizontal="right" vertical="center"/>
    </xf>
    <xf numFmtId="171" fontId="53" fillId="3" borderId="75" xfId="1" applyNumberFormat="1" applyFont="1" applyFill="1" applyBorder="1" applyAlignment="1" applyProtection="1">
      <alignment horizontal="right" vertical="center"/>
    </xf>
    <xf numFmtId="171" fontId="53" fillId="3" borderId="76" xfId="1" applyNumberFormat="1" applyFont="1" applyFill="1" applyBorder="1" applyAlignment="1" applyProtection="1">
      <alignment horizontal="right" vertical="center"/>
    </xf>
    <xf numFmtId="0" fontId="51" fillId="2" borderId="38" xfId="8" applyFont="1" applyFill="1" applyBorder="1" applyAlignment="1">
      <alignment horizontal="center"/>
    </xf>
    <xf numFmtId="171" fontId="51" fillId="2" borderId="77" xfId="1" applyNumberFormat="1" applyFont="1" applyFill="1" applyBorder="1" applyAlignment="1" applyProtection="1">
      <alignment horizontal="right"/>
      <protection locked="0"/>
    </xf>
    <xf numFmtId="171" fontId="51" fillId="2" borderId="78" xfId="1" applyNumberFormat="1" applyFont="1" applyFill="1" applyBorder="1" applyAlignment="1" applyProtection="1">
      <alignment horizontal="right"/>
      <protection locked="0"/>
    </xf>
    <xf numFmtId="171" fontId="51" fillId="2" borderId="79" xfId="1" applyNumberFormat="1" applyFont="1" applyFill="1" applyBorder="1" applyAlignment="1" applyProtection="1">
      <alignment horizontal="right"/>
      <protection locked="0"/>
    </xf>
    <xf numFmtId="171" fontId="51" fillId="2" borderId="80" xfId="1" applyNumberFormat="1" applyFont="1" applyFill="1" applyBorder="1" applyAlignment="1" applyProtection="1">
      <alignment horizontal="right"/>
      <protection locked="0"/>
    </xf>
    <xf numFmtId="171" fontId="51" fillId="0" borderId="81" xfId="1" applyNumberFormat="1" applyFont="1" applyBorder="1" applyProtection="1"/>
    <xf numFmtId="171" fontId="51" fillId="0" borderId="82" xfId="1" applyNumberFormat="1" applyFont="1" applyBorder="1" applyProtection="1"/>
    <xf numFmtId="171" fontId="51" fillId="17" borderId="83" xfId="1" applyNumberFormat="1" applyFont="1" applyFill="1" applyBorder="1" applyProtection="1"/>
    <xf numFmtId="171" fontId="51" fillId="0" borderId="83" xfId="1" applyNumberFormat="1" applyFont="1" applyBorder="1" applyProtection="1"/>
    <xf numFmtId="171" fontId="51" fillId="0" borderId="84" xfId="1" applyNumberFormat="1" applyFont="1" applyBorder="1" applyProtection="1"/>
    <xf numFmtId="171" fontId="51" fillId="0" borderId="85" xfId="1" applyNumberFormat="1" applyFont="1" applyBorder="1" applyProtection="1"/>
    <xf numFmtId="171" fontId="51" fillId="0" borderId="86" xfId="1" applyNumberFormat="1" applyFont="1" applyBorder="1" applyProtection="1"/>
    <xf numFmtId="171" fontId="51" fillId="0" borderId="87" xfId="1" applyNumberFormat="1" applyFont="1" applyBorder="1" applyProtection="1"/>
    <xf numFmtId="171" fontId="51" fillId="0" borderId="88" xfId="1" applyNumberFormat="1" applyFont="1" applyBorder="1" applyProtection="1"/>
    <xf numFmtId="171" fontId="45" fillId="2" borderId="85" xfId="1" applyNumberFormat="1" applyFont="1" applyFill="1" applyBorder="1" applyAlignment="1" applyProtection="1">
      <alignment horizontal="right"/>
      <protection locked="0"/>
    </xf>
    <xf numFmtId="171" fontId="45" fillId="2" borderId="86" xfId="1" applyNumberFormat="1" applyFont="1" applyFill="1" applyBorder="1" applyAlignment="1" applyProtection="1">
      <alignment horizontal="right"/>
      <protection locked="0"/>
    </xf>
    <xf numFmtId="171" fontId="45" fillId="2" borderId="87" xfId="1" applyNumberFormat="1" applyFont="1" applyFill="1" applyBorder="1" applyAlignment="1" applyProtection="1">
      <alignment horizontal="right"/>
      <protection locked="0"/>
    </xf>
    <xf numFmtId="171" fontId="45" fillId="2" borderId="88" xfId="1" applyNumberFormat="1" applyFont="1" applyFill="1" applyBorder="1" applyAlignment="1" applyProtection="1">
      <alignment horizontal="right"/>
      <protection locked="0"/>
    </xf>
    <xf numFmtId="0" fontId="46" fillId="0" borderId="39" xfId="8" applyFont="1" applyBorder="1"/>
    <xf numFmtId="171" fontId="45" fillId="17" borderId="87" xfId="1" applyNumberFormat="1" applyFont="1" applyFill="1" applyBorder="1" applyAlignment="1" applyProtection="1">
      <alignment horizontal="right"/>
      <protection locked="0"/>
    </xf>
    <xf numFmtId="171" fontId="45" fillId="2" borderId="89" xfId="1" applyNumberFormat="1" applyFont="1" applyFill="1" applyBorder="1" applyAlignment="1" applyProtection="1">
      <alignment horizontal="right"/>
      <protection locked="0"/>
    </xf>
    <xf numFmtId="171" fontId="45" fillId="17" borderId="90" xfId="1" applyNumberFormat="1" applyFont="1" applyFill="1" applyBorder="1" applyAlignment="1" applyProtection="1">
      <alignment horizontal="right"/>
      <protection locked="0"/>
    </xf>
    <xf numFmtId="171" fontId="45" fillId="2" borderId="90" xfId="1" applyNumberFormat="1" applyFont="1" applyFill="1" applyBorder="1" applyAlignment="1" applyProtection="1">
      <alignment horizontal="right"/>
      <protection locked="0"/>
    </xf>
    <xf numFmtId="171" fontId="45" fillId="2" borderId="91" xfId="1" applyNumberFormat="1" applyFont="1" applyFill="1" applyBorder="1" applyAlignment="1" applyProtection="1">
      <alignment horizontal="right"/>
      <protection locked="0"/>
    </xf>
    <xf numFmtId="0" fontId="45" fillId="3" borderId="92" xfId="9" applyFont="1" applyFill="1" applyBorder="1" applyAlignment="1">
      <alignment vertical="center"/>
    </xf>
    <xf numFmtId="0" fontId="53" fillId="3" borderId="93" xfId="9" applyFont="1" applyFill="1" applyBorder="1" applyAlignment="1">
      <alignment vertical="center"/>
    </xf>
    <xf numFmtId="171" fontId="53" fillId="3" borderId="94" xfId="1" applyNumberFormat="1" applyFont="1" applyFill="1" applyBorder="1" applyAlignment="1" applyProtection="1">
      <alignment horizontal="right" vertical="center"/>
    </xf>
    <xf numFmtId="171" fontId="53" fillId="3" borderId="95" xfId="1" applyNumberFormat="1" applyFont="1" applyFill="1" applyBorder="1" applyAlignment="1" applyProtection="1">
      <alignment horizontal="right" vertical="center"/>
    </xf>
    <xf numFmtId="171" fontId="53" fillId="3" borderId="96" xfId="1" applyNumberFormat="1" applyFont="1" applyFill="1" applyBorder="1" applyAlignment="1" applyProtection="1">
      <alignment horizontal="right" vertical="center"/>
    </xf>
    <xf numFmtId="171" fontId="53" fillId="3" borderId="97" xfId="1" applyNumberFormat="1" applyFont="1" applyFill="1" applyBorder="1" applyAlignment="1" applyProtection="1">
      <alignment horizontal="right" vertical="center"/>
    </xf>
    <xf numFmtId="171" fontId="51" fillId="2" borderId="98" xfId="1" applyNumberFormat="1" applyFont="1" applyFill="1" applyBorder="1" applyAlignment="1" applyProtection="1">
      <alignment horizontal="right"/>
      <protection locked="0"/>
    </xf>
    <xf numFmtId="171" fontId="51" fillId="2" borderId="99" xfId="1" applyNumberFormat="1" applyFont="1" applyFill="1" applyBorder="1" applyAlignment="1" applyProtection="1">
      <alignment horizontal="right"/>
      <protection locked="0"/>
    </xf>
    <xf numFmtId="171" fontId="51" fillId="2" borderId="100" xfId="1" applyNumberFormat="1" applyFont="1" applyFill="1" applyBorder="1" applyAlignment="1" applyProtection="1">
      <alignment horizontal="right"/>
      <protection locked="0"/>
    </xf>
    <xf numFmtId="171" fontId="51" fillId="2" borderId="101" xfId="1" applyNumberFormat="1" applyFont="1" applyFill="1" applyBorder="1" applyAlignment="1" applyProtection="1">
      <alignment horizontal="right"/>
      <protection locked="0"/>
    </xf>
    <xf numFmtId="171" fontId="45" fillId="2" borderId="81" xfId="1" applyNumberFormat="1" applyFont="1" applyFill="1" applyBorder="1" applyAlignment="1" applyProtection="1">
      <alignment horizontal="right"/>
      <protection locked="0"/>
    </xf>
    <xf numFmtId="171" fontId="45" fillId="2" borderId="82" xfId="1" applyNumberFormat="1" applyFont="1" applyFill="1" applyBorder="1" applyAlignment="1" applyProtection="1">
      <alignment horizontal="right"/>
      <protection locked="0"/>
    </xf>
    <xf numFmtId="171" fontId="45" fillId="2" borderId="83" xfId="1" applyNumberFormat="1" applyFont="1" applyFill="1" applyBorder="1" applyAlignment="1" applyProtection="1">
      <alignment horizontal="right"/>
      <protection locked="0"/>
    </xf>
    <xf numFmtId="171" fontId="45" fillId="2" borderId="84" xfId="1" applyNumberFormat="1" applyFont="1" applyFill="1" applyBorder="1" applyAlignment="1" applyProtection="1">
      <alignment horizontal="right"/>
      <protection locked="0"/>
    </xf>
    <xf numFmtId="171" fontId="45" fillId="2" borderId="102" xfId="1" applyNumberFormat="1" applyFont="1" applyFill="1" applyBorder="1" applyAlignment="1" applyProtection="1">
      <alignment horizontal="right"/>
      <protection locked="0"/>
    </xf>
    <xf numFmtId="171" fontId="45" fillId="2" borderId="103" xfId="1" applyNumberFormat="1" applyFont="1" applyFill="1" applyBorder="1" applyAlignment="1" applyProtection="1">
      <alignment horizontal="right"/>
      <protection locked="0"/>
    </xf>
    <xf numFmtId="171" fontId="45" fillId="2" borderId="104" xfId="1" applyNumberFormat="1" applyFont="1" applyFill="1" applyBorder="1" applyAlignment="1" applyProtection="1">
      <alignment horizontal="right"/>
      <protection locked="0"/>
    </xf>
    <xf numFmtId="0" fontId="51" fillId="0" borderId="40" xfId="9" applyFont="1" applyBorder="1" applyAlignment="1">
      <alignment horizontal="center"/>
    </xf>
    <xf numFmtId="171" fontId="51" fillId="0" borderId="105" xfId="1" applyNumberFormat="1" applyFont="1" applyBorder="1" applyProtection="1"/>
    <xf numFmtId="171" fontId="51" fillId="0" borderId="106" xfId="1" applyNumberFormat="1" applyFont="1" applyBorder="1" applyProtection="1"/>
    <xf numFmtId="171" fontId="51" fillId="0" borderId="107" xfId="1" applyNumberFormat="1" applyFont="1" applyBorder="1" applyProtection="1"/>
    <xf numFmtId="171" fontId="51" fillId="0" borderId="108" xfId="1" applyNumberFormat="1" applyFont="1" applyBorder="1" applyProtection="1"/>
    <xf numFmtId="171" fontId="45" fillId="2" borderId="109" xfId="1" applyNumberFormat="1" applyFont="1" applyFill="1" applyBorder="1" applyAlignment="1" applyProtection="1">
      <alignment horizontal="right"/>
      <protection locked="0"/>
    </xf>
    <xf numFmtId="171" fontId="45" fillId="2" borderId="110" xfId="1" applyNumberFormat="1" applyFont="1" applyFill="1" applyBorder="1" applyAlignment="1" applyProtection="1">
      <alignment horizontal="right"/>
      <protection locked="0"/>
    </xf>
    <xf numFmtId="171" fontId="53" fillId="3" borderId="111" xfId="1" applyNumberFormat="1" applyFont="1" applyFill="1" applyBorder="1" applyAlignment="1" applyProtection="1">
      <alignment horizontal="right" vertical="center"/>
    </xf>
    <xf numFmtId="171" fontId="53" fillId="3" borderId="112" xfId="1" applyNumberFormat="1" applyFont="1" applyFill="1" applyBorder="1" applyAlignment="1" applyProtection="1">
      <alignment horizontal="right" vertical="center"/>
    </xf>
    <xf numFmtId="171" fontId="53" fillId="3" borderId="113" xfId="1" applyNumberFormat="1" applyFont="1" applyFill="1" applyBorder="1" applyAlignment="1" applyProtection="1">
      <alignment horizontal="right" vertical="center"/>
    </xf>
    <xf numFmtId="171" fontId="53" fillId="3" borderId="114" xfId="1" applyNumberFormat="1" applyFont="1" applyFill="1" applyBorder="1" applyAlignment="1" applyProtection="1">
      <alignment horizontal="right" vertical="center"/>
    </xf>
    <xf numFmtId="171" fontId="46" fillId="17" borderId="0" xfId="8" applyNumberFormat="1" applyFont="1" applyFill="1" applyProtection="1">
      <protection locked="0"/>
    </xf>
    <xf numFmtId="171" fontId="46" fillId="0" borderId="0" xfId="8" applyNumberFormat="1" applyFont="1" applyProtection="1">
      <protection locked="0"/>
    </xf>
    <xf numFmtId="173" fontId="46" fillId="0" borderId="0" xfId="8" applyNumberFormat="1" applyFont="1" applyProtection="1">
      <protection locked="0"/>
    </xf>
    <xf numFmtId="174" fontId="46" fillId="0" borderId="0" xfId="8" applyNumberFormat="1" applyFont="1" applyProtection="1">
      <protection locked="0"/>
    </xf>
    <xf numFmtId="171" fontId="46" fillId="0" borderId="0" xfId="1" applyNumberFormat="1" applyFont="1" applyProtection="1">
      <protection locked="0"/>
    </xf>
    <xf numFmtId="0" fontId="54" fillId="0" borderId="0" xfId="8" applyFont="1" applyProtection="1">
      <protection locked="0"/>
    </xf>
    <xf numFmtId="49" fontId="55" fillId="0" borderId="0" xfId="8" applyNumberFormat="1" applyFont="1" applyAlignment="1" applyProtection="1">
      <alignment horizontal="centerContinuous"/>
      <protection locked="0"/>
    </xf>
    <xf numFmtId="0" fontId="25" fillId="0" borderId="0" xfId="0" applyFont="1" applyProtection="1">
      <protection locked="0"/>
    </xf>
    <xf numFmtId="0" fontId="46" fillId="0" borderId="0" xfId="8" applyFont="1" applyAlignment="1" applyProtection="1">
      <alignment horizontal="centerContinuous"/>
      <protection locked="0"/>
    </xf>
    <xf numFmtId="0" fontId="54" fillId="0" borderId="0" xfId="8" applyFont="1" applyAlignment="1" applyProtection="1">
      <alignment horizontal="centerContinuous"/>
      <protection locked="0"/>
    </xf>
    <xf numFmtId="0" fontId="45" fillId="0" borderId="0" xfId="8" applyFont="1" applyProtection="1">
      <protection locked="0"/>
    </xf>
    <xf numFmtId="0" fontId="55" fillId="0" borderId="0" xfId="8" applyFont="1" applyProtection="1">
      <protection locked="0"/>
    </xf>
    <xf numFmtId="0" fontId="54" fillId="2" borderId="0" xfId="8" applyFont="1" applyFill="1" applyProtection="1">
      <protection locked="0"/>
    </xf>
    <xf numFmtId="0" fontId="46" fillId="0" borderId="0" xfId="8" applyFont="1" applyAlignment="1" applyProtection="1">
      <alignment vertical="center"/>
      <protection locked="0"/>
    </xf>
    <xf numFmtId="0" fontId="46" fillId="2" borderId="115" xfId="8" applyFont="1" applyFill="1" applyBorder="1"/>
    <xf numFmtId="0" fontId="57" fillId="0" borderId="115" xfId="9" applyFont="1" applyBorder="1"/>
    <xf numFmtId="173" fontId="45" fillId="2" borderId="115" xfId="8" applyNumberFormat="1" applyFont="1" applyFill="1" applyBorder="1" applyProtection="1">
      <protection locked="0"/>
    </xf>
    <xf numFmtId="173" fontId="55" fillId="2" borderId="115" xfId="8" applyNumberFormat="1" applyFont="1" applyFill="1" applyBorder="1" applyProtection="1">
      <protection locked="0"/>
    </xf>
    <xf numFmtId="0" fontId="51" fillId="0" borderId="117" xfId="9" applyFont="1" applyBorder="1" applyAlignment="1">
      <alignment horizontal="center"/>
    </xf>
    <xf numFmtId="0" fontId="51" fillId="0" borderId="118" xfId="9" applyFont="1" applyBorder="1"/>
    <xf numFmtId="171" fontId="51" fillId="2" borderId="118" xfId="1" applyNumberFormat="1" applyFont="1" applyFill="1" applyBorder="1" applyAlignment="1" applyProtection="1">
      <alignment horizontal="center"/>
      <protection locked="0"/>
    </xf>
    <xf numFmtId="171" fontId="58" fillId="2" borderId="118" xfId="1" applyNumberFormat="1" applyFont="1" applyFill="1" applyBorder="1" applyProtection="1">
      <protection locked="0"/>
    </xf>
    <xf numFmtId="0" fontId="51" fillId="0" borderId="119" xfId="9" applyFont="1" applyBorder="1"/>
    <xf numFmtId="171" fontId="51" fillId="2" borderId="119" xfId="1" applyNumberFormat="1" applyFont="1" applyFill="1" applyBorder="1" applyAlignment="1" applyProtection="1">
      <alignment horizontal="center"/>
      <protection locked="0"/>
    </xf>
    <xf numFmtId="171" fontId="58" fillId="2" borderId="119" xfId="1" applyNumberFormat="1" applyFont="1" applyFill="1" applyBorder="1" applyProtection="1">
      <protection locked="0"/>
    </xf>
    <xf numFmtId="171" fontId="51" fillId="2" borderId="119" xfId="1" applyNumberFormat="1" applyFont="1" applyFill="1" applyBorder="1" applyAlignment="1" applyProtection="1">
      <alignment horizontal="center"/>
    </xf>
    <xf numFmtId="171" fontId="58" fillId="2" borderId="119" xfId="1" applyNumberFormat="1" applyFont="1" applyFill="1" applyBorder="1" applyAlignment="1" applyProtection="1">
      <alignment horizontal="center"/>
    </xf>
    <xf numFmtId="0" fontId="46" fillId="2" borderId="117" xfId="8" applyFont="1" applyFill="1" applyBorder="1" applyAlignment="1">
      <alignment horizontal="center"/>
    </xf>
    <xf numFmtId="0" fontId="46" fillId="2" borderId="119" xfId="8" applyFont="1" applyFill="1" applyBorder="1"/>
    <xf numFmtId="171" fontId="45" fillId="2" borderId="119" xfId="1" applyNumberFormat="1" applyFont="1" applyFill="1" applyBorder="1" applyAlignment="1" applyProtection="1">
      <alignment horizontal="center"/>
      <protection locked="0"/>
    </xf>
    <xf numFmtId="3" fontId="52" fillId="0" borderId="0" xfId="8" applyNumberFormat="1" applyFont="1" applyProtection="1">
      <protection locked="0"/>
    </xf>
    <xf numFmtId="0" fontId="45" fillId="2" borderId="117" xfId="8" applyFont="1" applyFill="1" applyBorder="1" applyAlignment="1">
      <alignment horizontal="center"/>
    </xf>
    <xf numFmtId="0" fontId="45" fillId="2" borderId="119" xfId="8" applyFont="1" applyFill="1" applyBorder="1"/>
    <xf numFmtId="0" fontId="46" fillId="2" borderId="120" xfId="8" applyFont="1" applyFill="1" applyBorder="1"/>
    <xf numFmtId="171" fontId="45" fillId="2" borderId="120" xfId="1" applyNumberFormat="1" applyFont="1" applyFill="1" applyBorder="1" applyAlignment="1" applyProtection="1">
      <alignment horizontal="center"/>
      <protection locked="0"/>
    </xf>
    <xf numFmtId="0" fontId="45" fillId="31" borderId="121" xfId="9" applyFont="1" applyFill="1" applyBorder="1" applyAlignment="1">
      <alignment horizontal="center"/>
    </xf>
    <xf numFmtId="0" fontId="45" fillId="31" borderId="121" xfId="9" applyFont="1" applyFill="1" applyBorder="1" applyAlignment="1">
      <alignment horizontal="left"/>
    </xf>
    <xf numFmtId="171" fontId="53" fillId="31" borderId="121" xfId="1" applyNumberFormat="1" applyFont="1" applyFill="1" applyBorder="1" applyAlignment="1" applyProtection="1">
      <alignment horizontal="center"/>
    </xf>
    <xf numFmtId="171" fontId="59" fillId="31" borderId="121" xfId="1" applyNumberFormat="1" applyFont="1" applyFill="1" applyBorder="1" applyAlignment="1" applyProtection="1">
      <alignment horizontal="center"/>
    </xf>
    <xf numFmtId="0" fontId="52" fillId="2" borderId="117" xfId="8" applyFont="1" applyFill="1" applyBorder="1" applyAlignment="1">
      <alignment horizontal="center"/>
    </xf>
    <xf numFmtId="0" fontId="51" fillId="0" borderId="122" xfId="9" applyFont="1" applyBorder="1"/>
    <xf numFmtId="171" fontId="51" fillId="2" borderId="122" xfId="1" applyNumberFormat="1" applyFont="1" applyFill="1" applyBorder="1" applyAlignment="1" applyProtection="1">
      <alignment horizontal="center"/>
      <protection locked="0"/>
    </xf>
    <xf numFmtId="171" fontId="58" fillId="2" borderId="122" xfId="1" applyNumberFormat="1" applyFont="1" applyFill="1" applyBorder="1" applyProtection="1">
      <protection locked="0"/>
    </xf>
    <xf numFmtId="0" fontId="51" fillId="2" borderId="117" xfId="8" applyFont="1" applyFill="1" applyBorder="1" applyAlignment="1">
      <alignment horizontal="center"/>
    </xf>
    <xf numFmtId="0" fontId="51" fillId="0" borderId="117" xfId="9" applyFont="1" applyBorder="1"/>
    <xf numFmtId="171" fontId="51" fillId="2" borderId="117" xfId="1" applyNumberFormat="1" applyFont="1" applyFill="1" applyBorder="1" applyAlignment="1" applyProtection="1">
      <alignment horizontal="center"/>
      <protection locked="0"/>
    </xf>
    <xf numFmtId="171" fontId="58" fillId="2" borderId="117" xfId="1" applyNumberFormat="1" applyFont="1" applyFill="1" applyBorder="1" applyProtection="1">
      <protection locked="0"/>
    </xf>
    <xf numFmtId="0" fontId="46" fillId="2" borderId="118" xfId="8" applyFont="1" applyFill="1" applyBorder="1"/>
    <xf numFmtId="171" fontId="45" fillId="2" borderId="118" xfId="1" applyNumberFormat="1" applyFont="1" applyFill="1" applyBorder="1" applyAlignment="1" applyProtection="1">
      <alignment horizontal="center"/>
      <protection locked="0"/>
    </xf>
    <xf numFmtId="171" fontId="55" fillId="2" borderId="118" xfId="1" applyNumberFormat="1" applyFont="1" applyFill="1" applyBorder="1" applyAlignment="1" applyProtection="1">
      <alignment horizontal="center"/>
      <protection locked="0"/>
    </xf>
    <xf numFmtId="171" fontId="55" fillId="2" borderId="119" xfId="1" applyNumberFormat="1" applyFont="1" applyFill="1" applyBorder="1" applyProtection="1">
      <protection locked="0"/>
    </xf>
    <xf numFmtId="171" fontId="45" fillId="12" borderId="119" xfId="1" applyNumberFormat="1" applyFont="1" applyFill="1" applyBorder="1" applyAlignment="1" applyProtection="1">
      <alignment horizontal="center"/>
      <protection locked="0"/>
    </xf>
    <xf numFmtId="171" fontId="55" fillId="2" borderId="120" xfId="1" applyNumberFormat="1" applyFont="1" applyFill="1" applyBorder="1" applyAlignment="1" applyProtection="1">
      <alignment horizontal="center"/>
      <protection locked="0"/>
    </xf>
    <xf numFmtId="0" fontId="46" fillId="0" borderId="117" xfId="8" applyFont="1" applyBorder="1" applyAlignment="1">
      <alignment horizontal="centerContinuous" vertical="center"/>
    </xf>
    <xf numFmtId="0" fontId="46" fillId="0" borderId="117" xfId="8" applyFont="1" applyBorder="1" applyAlignment="1">
      <alignment horizontal="left" vertical="center"/>
    </xf>
    <xf numFmtId="171" fontId="53" fillId="2" borderId="117" xfId="1" applyNumberFormat="1" applyFont="1" applyFill="1" applyBorder="1" applyAlignment="1" applyProtection="1">
      <alignment horizontal="center"/>
      <protection locked="0"/>
    </xf>
    <xf numFmtId="171" fontId="59" fillId="2" borderId="117" xfId="1" applyNumberFormat="1" applyFont="1" applyFill="1" applyBorder="1" applyProtection="1">
      <protection locked="0"/>
    </xf>
    <xf numFmtId="0" fontId="46" fillId="0" borderId="118" xfId="8" applyFont="1" applyBorder="1"/>
    <xf numFmtId="171" fontId="55" fillId="2" borderId="118" xfId="1" applyNumberFormat="1" applyFont="1" applyFill="1" applyBorder="1" applyProtection="1">
      <protection locked="0"/>
    </xf>
    <xf numFmtId="169" fontId="46" fillId="0" borderId="0" xfId="1" applyFont="1" applyProtection="1">
      <protection locked="0"/>
    </xf>
    <xf numFmtId="171" fontId="55" fillId="2" borderId="119" xfId="1" applyNumberFormat="1" applyFont="1" applyFill="1" applyBorder="1" applyAlignment="1" applyProtection="1">
      <alignment horizontal="center"/>
      <protection locked="0"/>
    </xf>
    <xf numFmtId="171" fontId="45" fillId="12" borderId="118" xfId="1" applyNumberFormat="1" applyFont="1" applyFill="1" applyBorder="1" applyAlignment="1" applyProtection="1">
      <alignment horizontal="center"/>
      <protection locked="0"/>
    </xf>
    <xf numFmtId="171" fontId="55" fillId="2" borderId="120" xfId="1" applyNumberFormat="1" applyFont="1" applyFill="1" applyBorder="1" applyProtection="1">
      <protection locked="0"/>
    </xf>
    <xf numFmtId="171" fontId="53" fillId="31" borderId="121" xfId="1" applyNumberFormat="1" applyFont="1" applyFill="1" applyBorder="1" applyAlignment="1" applyProtection="1">
      <alignment horizontal="center"/>
      <protection locked="0"/>
    </xf>
    <xf numFmtId="171" fontId="59" fillId="31" borderId="121" xfId="1" applyNumberFormat="1" applyFont="1" applyFill="1" applyBorder="1" applyAlignment="1" applyProtection="1">
      <alignment horizontal="center"/>
      <protection locked="0"/>
    </xf>
    <xf numFmtId="171" fontId="51" fillId="0" borderId="122" xfId="1" applyNumberFormat="1" applyFont="1" applyFill="1" applyBorder="1" applyAlignment="1" applyProtection="1">
      <alignment horizontal="center"/>
      <protection locked="0"/>
    </xf>
    <xf numFmtId="0" fontId="54" fillId="2" borderId="123" xfId="8" applyFont="1" applyFill="1" applyBorder="1"/>
    <xf numFmtId="171" fontId="45" fillId="2" borderId="123" xfId="1" applyNumberFormat="1" applyFont="1" applyFill="1" applyBorder="1" applyAlignment="1" applyProtection="1">
      <alignment horizontal="center"/>
      <protection locked="0"/>
    </xf>
    <xf numFmtId="171" fontId="58" fillId="2" borderId="123" xfId="1" applyNumberFormat="1" applyFont="1" applyFill="1" applyBorder="1" applyProtection="1">
      <protection locked="0"/>
    </xf>
    <xf numFmtId="169" fontId="46" fillId="0" borderId="0" xfId="1" applyFont="1" applyBorder="1" applyProtection="1">
      <protection locked="0"/>
    </xf>
    <xf numFmtId="169" fontId="54" fillId="0" borderId="0" xfId="1" applyFont="1" applyBorder="1" applyProtection="1">
      <protection locked="0"/>
    </xf>
    <xf numFmtId="0" fontId="60" fillId="4" borderId="0" xfId="8" applyFont="1" applyFill="1" applyProtection="1">
      <protection locked="0"/>
    </xf>
    <xf numFmtId="169" fontId="60" fillId="4" borderId="0" xfId="1" applyFont="1" applyFill="1" applyBorder="1" applyProtection="1"/>
    <xf numFmtId="171" fontId="60" fillId="4" borderId="0" xfId="1" applyNumberFormat="1" applyFont="1" applyFill="1" applyBorder="1" applyProtection="1"/>
    <xf numFmtId="0" fontId="60" fillId="0" borderId="0" xfId="8" applyFont="1"/>
    <xf numFmtId="0" fontId="60" fillId="0" borderId="0" xfId="8" applyFont="1" applyProtection="1">
      <protection locked="0"/>
    </xf>
    <xf numFmtId="0" fontId="33" fillId="0" borderId="0" xfId="4" applyFont="1" applyBorder="1" applyAlignment="1" applyProtection="1">
      <alignment vertical="center"/>
      <protection locked="0"/>
    </xf>
    <xf numFmtId="14" fontId="35" fillId="0" borderId="0" xfId="0" applyNumberFormat="1" applyFont="1" applyProtection="1">
      <protection locked="0"/>
    </xf>
    <xf numFmtId="0" fontId="28" fillId="29" borderId="115" xfId="8" applyFont="1" applyFill="1" applyBorder="1" applyAlignment="1">
      <alignment horizontal="center" vertical="center"/>
    </xf>
    <xf numFmtId="14" fontId="28" fillId="29" borderId="115" xfId="8" applyNumberFormat="1" applyFont="1" applyFill="1" applyBorder="1" applyAlignment="1" applyProtection="1">
      <alignment horizontal="center" vertical="center"/>
      <protection locked="0"/>
    </xf>
    <xf numFmtId="0" fontId="46" fillId="2" borderId="124" xfId="8" applyFont="1" applyFill="1" applyBorder="1"/>
    <xf numFmtId="0" fontId="45" fillId="2" borderId="124" xfId="8" applyFont="1" applyFill="1" applyBorder="1"/>
    <xf numFmtId="0" fontId="46" fillId="2" borderId="125" xfId="8" applyFont="1" applyFill="1" applyBorder="1"/>
    <xf numFmtId="0" fontId="46" fillId="2" borderId="126" xfId="8" applyFont="1" applyFill="1" applyBorder="1"/>
    <xf numFmtId="171" fontId="45" fillId="2" borderId="127" xfId="1" applyNumberFormat="1" applyFont="1" applyFill="1" applyBorder="1" applyProtection="1">
      <protection locked="0"/>
    </xf>
    <xf numFmtId="0" fontId="46" fillId="2" borderId="128" xfId="8" applyFont="1" applyFill="1" applyBorder="1" applyAlignment="1">
      <alignment horizontal="center"/>
    </xf>
    <xf numFmtId="0" fontId="46" fillId="2" borderId="128" xfId="8" applyFont="1" applyFill="1" applyBorder="1"/>
    <xf numFmtId="0" fontId="46" fillId="2" borderId="0" xfId="8" applyFont="1" applyFill="1"/>
    <xf numFmtId="0" fontId="46" fillId="2" borderId="129" xfId="8" applyFont="1" applyFill="1" applyBorder="1"/>
    <xf numFmtId="171" fontId="45" fillId="2" borderId="130" xfId="1" applyNumberFormat="1" applyFont="1" applyFill="1" applyBorder="1" applyProtection="1">
      <protection locked="0"/>
    </xf>
    <xf numFmtId="0" fontId="46" fillId="0" borderId="128" xfId="8" applyFont="1" applyBorder="1"/>
    <xf numFmtId="3" fontId="46" fillId="2" borderId="0" xfId="8" applyNumberFormat="1" applyFont="1" applyFill="1"/>
    <xf numFmtId="0" fontId="35" fillId="2" borderId="128" xfId="8" applyFont="1" applyFill="1" applyBorder="1" applyAlignment="1">
      <alignment horizontal="center"/>
    </xf>
    <xf numFmtId="0" fontId="35" fillId="2" borderId="128" xfId="8" applyFont="1" applyFill="1" applyBorder="1"/>
    <xf numFmtId="0" fontId="35" fillId="2" borderId="0" xfId="8" applyFont="1" applyFill="1"/>
    <xf numFmtId="0" fontId="61" fillId="2" borderId="0" xfId="8" applyFont="1" applyFill="1"/>
    <xf numFmtId="3" fontId="62" fillId="2" borderId="0" xfId="8" applyNumberFormat="1" applyFont="1" applyFill="1"/>
    <xf numFmtId="3" fontId="62" fillId="2" borderId="129" xfId="8" applyNumberFormat="1" applyFont="1" applyFill="1" applyBorder="1"/>
    <xf numFmtId="171" fontId="45" fillId="2" borderId="131" xfId="1" applyNumberFormat="1" applyFont="1" applyFill="1" applyBorder="1" applyProtection="1"/>
    <xf numFmtId="0" fontId="54" fillId="2" borderId="128" xfId="8" applyFont="1" applyFill="1" applyBorder="1"/>
    <xf numFmtId="0" fontId="54" fillId="2" borderId="0" xfId="8" applyFont="1" applyFill="1"/>
    <xf numFmtId="3" fontId="55" fillId="2" borderId="0" xfId="8" applyNumberFormat="1" applyFont="1" applyFill="1"/>
    <xf numFmtId="3" fontId="45" fillId="2" borderId="0" xfId="8" applyNumberFormat="1" applyFont="1" applyFill="1"/>
    <xf numFmtId="171" fontId="45" fillId="2" borderId="132" xfId="1" applyNumberFormat="1" applyFont="1" applyFill="1" applyBorder="1" applyProtection="1">
      <protection locked="0"/>
    </xf>
    <xf numFmtId="0" fontId="46" fillId="2" borderId="133" xfId="8" applyFont="1" applyFill="1" applyBorder="1" applyAlignment="1">
      <alignment horizontal="center"/>
    </xf>
    <xf numFmtId="0" fontId="46" fillId="2" borderId="133" xfId="8" applyFont="1" applyFill="1" applyBorder="1"/>
    <xf numFmtId="0" fontId="46" fillId="2" borderId="134" xfId="8" applyFont="1" applyFill="1" applyBorder="1"/>
    <xf numFmtId="0" fontId="46" fillId="2" borderId="135" xfId="8" applyFont="1" applyFill="1" applyBorder="1"/>
    <xf numFmtId="171" fontId="45" fillId="2" borderId="136" xfId="1" applyNumberFormat="1" applyFont="1" applyFill="1" applyBorder="1" applyProtection="1">
      <protection locked="0"/>
    </xf>
    <xf numFmtId="171" fontId="45" fillId="5" borderId="129" xfId="1" applyNumberFormat="1" applyFont="1" applyFill="1" applyBorder="1" applyAlignment="1" applyProtection="1">
      <alignment horizontal="center" vertical="center"/>
    </xf>
    <xf numFmtId="0" fontId="45" fillId="32" borderId="124" xfId="8" applyFont="1" applyFill="1" applyBorder="1" applyAlignment="1">
      <alignment horizontal="left" vertical="center"/>
    </xf>
    <xf numFmtId="0" fontId="53" fillId="32" borderId="125" xfId="8" applyFont="1" applyFill="1" applyBorder="1" applyAlignment="1">
      <alignment horizontal="left" vertical="center"/>
    </xf>
    <xf numFmtId="0" fontId="53" fillId="32" borderId="126" xfId="8" applyFont="1" applyFill="1" applyBorder="1" applyAlignment="1">
      <alignment horizontal="left" vertical="center"/>
    </xf>
    <xf numFmtId="171" fontId="53" fillId="5" borderId="126" xfId="1" applyNumberFormat="1" applyFont="1" applyFill="1" applyBorder="1" applyProtection="1"/>
    <xf numFmtId="171" fontId="45" fillId="2" borderId="137" xfId="1" applyNumberFormat="1" applyFont="1" applyFill="1" applyBorder="1" applyProtection="1">
      <protection locked="0"/>
    </xf>
    <xf numFmtId="171" fontId="45" fillId="2" borderId="119" xfId="1" applyNumberFormat="1" applyFont="1" applyFill="1" applyBorder="1" applyProtection="1">
      <protection locked="0"/>
    </xf>
    <xf numFmtId="0" fontId="45" fillId="32" borderId="128" xfId="8" applyFont="1" applyFill="1" applyBorder="1" applyAlignment="1">
      <alignment horizontal="left" vertical="center"/>
    </xf>
    <xf numFmtId="0" fontId="53" fillId="32" borderId="0" xfId="8" applyFont="1" applyFill="1" applyAlignment="1">
      <alignment horizontal="left" vertical="center"/>
    </xf>
    <xf numFmtId="0" fontId="53" fillId="32" borderId="129" xfId="8" applyFont="1" applyFill="1" applyBorder="1" applyAlignment="1">
      <alignment horizontal="left" vertical="center"/>
    </xf>
    <xf numFmtId="171" fontId="53" fillId="5" borderId="129" xfId="1" applyNumberFormat="1" applyFont="1" applyFill="1" applyBorder="1" applyProtection="1"/>
    <xf numFmtId="0" fontId="45" fillId="2" borderId="128" xfId="8" applyFont="1" applyFill="1" applyBorder="1" applyAlignment="1">
      <alignment horizontal="centerContinuous" vertical="center"/>
    </xf>
    <xf numFmtId="0" fontId="45" fillId="30" borderId="128" xfId="8" applyFont="1" applyFill="1" applyBorder="1" applyAlignment="1">
      <alignment horizontal="left" vertical="center"/>
    </xf>
    <xf numFmtId="0" fontId="53" fillId="30" borderId="0" xfId="8" applyFont="1" applyFill="1" applyAlignment="1">
      <alignment horizontal="left" vertical="center"/>
    </xf>
    <xf numFmtId="0" fontId="53" fillId="30" borderId="129" xfId="8" applyFont="1" applyFill="1" applyBorder="1" applyAlignment="1">
      <alignment horizontal="left" vertical="center"/>
    </xf>
    <xf numFmtId="171" fontId="53" fillId="30" borderId="122" xfId="1" applyNumberFormat="1" applyFont="1" applyFill="1" applyBorder="1" applyProtection="1">
      <protection locked="0"/>
    </xf>
    <xf numFmtId="0" fontId="46" fillId="30" borderId="0" xfId="8" applyFont="1" applyFill="1" applyProtection="1">
      <protection locked="0"/>
    </xf>
    <xf numFmtId="0" fontId="35" fillId="4" borderId="128" xfId="8" applyFont="1" applyFill="1" applyBorder="1" applyAlignment="1">
      <alignment horizontal="center"/>
    </xf>
    <xf numFmtId="0" fontId="35" fillId="4" borderId="128" xfId="8" applyFont="1" applyFill="1" applyBorder="1" applyAlignment="1">
      <alignment horizontal="centerContinuous" vertical="center"/>
    </xf>
    <xf numFmtId="0" fontId="35" fillId="4" borderId="0" xfId="8" applyFont="1" applyFill="1" applyAlignment="1">
      <alignment horizontal="centerContinuous" vertical="center"/>
    </xf>
    <xf numFmtId="0" fontId="61" fillId="4" borderId="0" xfId="8" applyFont="1" applyFill="1" applyAlignment="1">
      <alignment horizontal="centerContinuous" vertical="center"/>
    </xf>
    <xf numFmtId="3" fontId="62" fillId="4" borderId="0" xfId="8" applyNumberFormat="1" applyFont="1" applyFill="1"/>
    <xf numFmtId="3" fontId="62" fillId="4" borderId="129" xfId="8" applyNumberFormat="1" applyFont="1" applyFill="1" applyBorder="1"/>
    <xf numFmtId="171" fontId="45" fillId="4" borderId="117" xfId="1" applyNumberFormat="1" applyFont="1" applyFill="1" applyBorder="1" applyProtection="1"/>
    <xf numFmtId="0" fontId="35" fillId="4" borderId="128" xfId="8" applyFont="1" applyFill="1" applyBorder="1"/>
    <xf numFmtId="0" fontId="35" fillId="4" borderId="0" xfId="8" applyFont="1" applyFill="1"/>
    <xf numFmtId="0" fontId="61" fillId="4" borderId="0" xfId="8" applyFont="1" applyFill="1"/>
    <xf numFmtId="0" fontId="61" fillId="4" borderId="129" xfId="8" applyFont="1" applyFill="1" applyBorder="1"/>
    <xf numFmtId="171" fontId="45" fillId="4" borderId="117" xfId="1" applyNumberFormat="1" applyFont="1" applyFill="1" applyBorder="1" applyProtection="1">
      <protection locked="0"/>
    </xf>
    <xf numFmtId="0" fontId="45" fillId="2" borderId="128" xfId="8" applyFont="1" applyFill="1" applyBorder="1"/>
    <xf numFmtId="3" fontId="45" fillId="2" borderId="129" xfId="8" applyNumberFormat="1" applyFont="1" applyFill="1" applyBorder="1"/>
    <xf numFmtId="171" fontId="46" fillId="2" borderId="117" xfId="1" applyNumberFormat="1" applyFont="1" applyFill="1" applyBorder="1" applyProtection="1">
      <protection locked="0"/>
    </xf>
    <xf numFmtId="171" fontId="45" fillId="2" borderId="118" xfId="1" applyNumberFormat="1" applyFont="1" applyFill="1" applyBorder="1" applyProtection="1">
      <protection locked="0"/>
    </xf>
    <xf numFmtId="171" fontId="45" fillId="12" borderId="118" xfId="1" applyNumberFormat="1" applyFont="1" applyFill="1" applyBorder="1" applyProtection="1">
      <protection locked="0"/>
    </xf>
    <xf numFmtId="3" fontId="46" fillId="2" borderId="134" xfId="8" applyNumberFormat="1" applyFont="1" applyFill="1" applyBorder="1"/>
    <xf numFmtId="171" fontId="45" fillId="2" borderId="120" xfId="1" applyNumberFormat="1" applyFont="1" applyFill="1" applyBorder="1" applyProtection="1">
      <protection locked="0"/>
    </xf>
    <xf numFmtId="171" fontId="45" fillId="2" borderId="117" xfId="1" applyNumberFormat="1" applyFont="1" applyFill="1" applyBorder="1" applyProtection="1">
      <protection locked="0"/>
    </xf>
    <xf numFmtId="0" fontId="18" fillId="4" borderId="0" xfId="8" applyFont="1" applyFill="1" applyAlignment="1">
      <alignment horizontal="centerContinuous" vertical="center"/>
    </xf>
    <xf numFmtId="0" fontId="35" fillId="2" borderId="128" xfId="8" applyFont="1" applyFill="1" applyBorder="1" applyAlignment="1">
      <alignment horizontal="centerContinuous" vertical="center"/>
    </xf>
    <xf numFmtId="0" fontId="35" fillId="2" borderId="0" xfId="8" applyFont="1" applyFill="1" applyAlignment="1">
      <alignment horizontal="centerContinuous" vertical="center"/>
    </xf>
    <xf numFmtId="0" fontId="18" fillId="2" borderId="0" xfId="8" applyFont="1" applyFill="1" applyAlignment="1">
      <alignment horizontal="centerContinuous" vertical="center"/>
    </xf>
    <xf numFmtId="0" fontId="62" fillId="2" borderId="128" xfId="8" applyFont="1" applyFill="1" applyBorder="1" applyAlignment="1">
      <alignment horizontal="center"/>
    </xf>
    <xf numFmtId="0" fontId="61" fillId="2" borderId="128" xfId="8" applyFont="1" applyFill="1" applyBorder="1"/>
    <xf numFmtId="171" fontId="45" fillId="2" borderId="129" xfId="1" applyNumberFormat="1" applyFont="1" applyFill="1" applyBorder="1" applyProtection="1">
      <protection locked="0"/>
    </xf>
    <xf numFmtId="0" fontId="45" fillId="2" borderId="0" xfId="8" applyFont="1" applyFill="1"/>
    <xf numFmtId="3" fontId="45" fillId="2" borderId="134" xfId="8" applyNumberFormat="1" applyFont="1" applyFill="1" applyBorder="1"/>
    <xf numFmtId="3" fontId="45" fillId="2" borderId="135" xfId="8" applyNumberFormat="1" applyFont="1" applyFill="1" applyBorder="1"/>
    <xf numFmtId="0" fontId="53" fillId="32" borderId="128" xfId="8" applyFont="1" applyFill="1" applyBorder="1" applyAlignment="1">
      <alignment horizontal="center" vertical="center"/>
    </xf>
    <xf numFmtId="0" fontId="53" fillId="32" borderId="128" xfId="8" applyFont="1" applyFill="1" applyBorder="1" applyAlignment="1">
      <alignment horizontal="left" vertical="center"/>
    </xf>
    <xf numFmtId="171" fontId="53" fillId="30" borderId="118" xfId="1" quotePrefix="1" applyNumberFormat="1" applyFont="1" applyFill="1" applyBorder="1" applyProtection="1">
      <protection locked="0"/>
    </xf>
    <xf numFmtId="171" fontId="53" fillId="30" borderId="119" xfId="1" applyNumberFormat="1" applyFont="1" applyFill="1" applyBorder="1" applyProtection="1">
      <protection locked="0"/>
    </xf>
    <xf numFmtId="171" fontId="53" fillId="30" borderId="138" xfId="1" applyNumberFormat="1" applyFont="1" applyFill="1" applyBorder="1" applyProtection="1">
      <protection locked="0"/>
    </xf>
    <xf numFmtId="171" fontId="45" fillId="5" borderId="139" xfId="1" applyNumberFormat="1" applyFont="1" applyFill="1" applyBorder="1" applyAlignment="1" applyProtection="1">
      <alignment horizontal="center" vertical="center"/>
    </xf>
    <xf numFmtId="0" fontId="45" fillId="32" borderId="140" xfId="8" applyFont="1" applyFill="1" applyBorder="1" applyAlignment="1">
      <alignment horizontal="left" vertical="center"/>
    </xf>
    <xf numFmtId="0" fontId="45" fillId="32" borderId="141" xfId="8" applyFont="1" applyFill="1" applyBorder="1" applyAlignment="1">
      <alignment horizontal="left" vertical="center"/>
    </xf>
    <xf numFmtId="0" fontId="45" fillId="32" borderId="142" xfId="8" applyFont="1" applyFill="1" applyBorder="1" applyAlignment="1">
      <alignment horizontal="left" vertical="center"/>
    </xf>
    <xf numFmtId="171" fontId="45" fillId="5" borderId="142" xfId="1" applyNumberFormat="1" applyFont="1" applyFill="1" applyBorder="1" applyProtection="1">
      <protection locked="0"/>
    </xf>
    <xf numFmtId="0" fontId="35" fillId="4" borderId="124" xfId="8" applyFont="1" applyFill="1" applyBorder="1" applyAlignment="1">
      <alignment horizontal="centerContinuous" vertical="center"/>
    </xf>
    <xf numFmtId="0" fontId="35" fillId="4" borderId="125" xfId="8" applyFont="1" applyFill="1" applyBorder="1" applyAlignment="1">
      <alignment horizontal="centerContinuous" vertical="center"/>
    </xf>
    <xf numFmtId="0" fontId="18" fillId="4" borderId="125" xfId="8" applyFont="1" applyFill="1" applyBorder="1" applyAlignment="1">
      <alignment horizontal="centerContinuous" vertical="center"/>
    </xf>
    <xf numFmtId="3" fontId="35" fillId="4" borderId="125" xfId="8" applyNumberFormat="1" applyFont="1" applyFill="1" applyBorder="1"/>
    <xf numFmtId="3" fontId="35" fillId="4" borderId="126" xfId="8" applyNumberFormat="1" applyFont="1" applyFill="1" applyBorder="1"/>
    <xf numFmtId="171" fontId="18" fillId="4" borderId="126" xfId="1" applyNumberFormat="1" applyFont="1" applyFill="1" applyBorder="1" applyProtection="1"/>
    <xf numFmtId="0" fontId="18" fillId="0" borderId="0" xfId="8" applyFont="1" applyProtection="1">
      <protection locked="0"/>
    </xf>
    <xf numFmtId="171" fontId="45" fillId="5" borderId="143" xfId="1" applyNumberFormat="1" applyFont="1" applyFill="1" applyBorder="1" applyAlignment="1" applyProtection="1">
      <alignment horizontal="center" vertical="center"/>
    </xf>
    <xf numFmtId="0" fontId="35" fillId="4" borderId="144" xfId="8" applyFont="1" applyFill="1" applyBorder="1" applyAlignment="1">
      <alignment horizontal="center" vertical="center"/>
    </xf>
    <xf numFmtId="171" fontId="35" fillId="4" borderId="148" xfId="1" applyNumberFormat="1" applyFont="1" applyFill="1" applyBorder="1" applyAlignment="1" applyProtection="1">
      <alignment vertical="center"/>
    </xf>
    <xf numFmtId="0" fontId="18" fillId="0" borderId="0" xfId="8" applyFont="1" applyAlignment="1" applyProtection="1">
      <alignment vertical="center"/>
      <protection locked="0"/>
    </xf>
    <xf numFmtId="0" fontId="64" fillId="2" borderId="21" xfId="8" applyFont="1" applyFill="1" applyBorder="1" applyAlignment="1">
      <alignment horizontal="center"/>
    </xf>
    <xf numFmtId="0" fontId="35" fillId="2" borderId="21" xfId="8" applyFont="1" applyFill="1" applyBorder="1" applyAlignment="1">
      <alignment horizontal="centerContinuous" vertical="center"/>
    </xf>
    <xf numFmtId="0" fontId="18" fillId="2" borderId="21" xfId="8" applyFont="1" applyFill="1" applyBorder="1" applyAlignment="1">
      <alignment horizontal="left"/>
    </xf>
    <xf numFmtId="0" fontId="18" fillId="2" borderId="21" xfId="8" applyFont="1" applyFill="1" applyBorder="1"/>
    <xf numFmtId="171" fontId="65" fillId="2" borderId="21" xfId="1" applyNumberFormat="1" applyFont="1" applyFill="1" applyBorder="1" applyProtection="1">
      <protection locked="0"/>
    </xf>
    <xf numFmtId="0" fontId="33" fillId="0" borderId="0" xfId="4" applyFont="1" applyAlignment="1" applyProtection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65" fillId="0" borderId="0" xfId="0" applyFont="1" applyProtection="1">
      <protection locked="0"/>
    </xf>
    <xf numFmtId="0" fontId="35" fillId="0" borderId="0" xfId="0" applyFont="1" applyAlignment="1" applyProtection="1">
      <alignment vertical="center"/>
      <protection locked="0"/>
    </xf>
    <xf numFmtId="49" fontId="35" fillId="0" borderId="0" xfId="8" applyNumberFormat="1" applyFont="1" applyAlignment="1">
      <alignment horizontal="centerContinuous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 applyProtection="1">
      <alignment horizontal="center" vertical="center"/>
      <protection locked="0"/>
    </xf>
    <xf numFmtId="49" fontId="45" fillId="0" borderId="0" xfId="8" applyNumberFormat="1" applyFont="1" applyAlignment="1">
      <alignment horizontal="centerContinuous"/>
    </xf>
    <xf numFmtId="0" fontId="25" fillId="0" borderId="0" xfId="0" applyFont="1" applyAlignment="1">
      <alignment wrapText="1"/>
    </xf>
    <xf numFmtId="0" fontId="4" fillId="30" borderId="0" xfId="0" applyFont="1" applyFill="1"/>
    <xf numFmtId="0" fontId="65" fillId="0" borderId="0" xfId="0" applyFont="1"/>
    <xf numFmtId="0" fontId="4" fillId="0" borderId="0" xfId="0" applyFont="1" applyAlignment="1">
      <alignment horizontal="center" vertical="center" wrapText="1"/>
    </xf>
    <xf numFmtId="14" fontId="60" fillId="0" borderId="0" xfId="0" applyNumberFormat="1" applyFont="1" applyAlignment="1">
      <alignment horizontal="right" wrapText="1"/>
    </xf>
    <xf numFmtId="0" fontId="4" fillId="30" borderId="0" xfId="0" applyFont="1" applyFill="1" applyAlignment="1">
      <alignment horizontal="center" vertical="center" wrapText="1"/>
    </xf>
    <xf numFmtId="0" fontId="31" fillId="34" borderId="154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1" fillId="34" borderId="155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52" xfId="0" applyFont="1" applyBorder="1" applyAlignment="1" applyProtection="1">
      <alignment horizontal="center"/>
      <protection locked="0"/>
    </xf>
    <xf numFmtId="0" fontId="4" fillId="0" borderId="153" xfId="0" applyFont="1" applyBorder="1" applyAlignment="1" applyProtection="1">
      <alignment horizontal="center"/>
      <protection locked="0"/>
    </xf>
    <xf numFmtId="0" fontId="4" fillId="0" borderId="154" xfId="0" applyFont="1" applyBorder="1" applyAlignment="1" applyProtection="1">
      <alignment horizontal="center"/>
      <protection locked="0"/>
    </xf>
    <xf numFmtId="0" fontId="44" fillId="0" borderId="0" xfId="0" applyFont="1" applyProtection="1">
      <protection locked="0"/>
    </xf>
    <xf numFmtId="0" fontId="4" fillId="33" borderId="0" xfId="0" applyFont="1" applyFill="1"/>
    <xf numFmtId="0" fontId="4" fillId="30" borderId="0" xfId="0" applyFont="1" applyFill="1" applyProtection="1">
      <protection locked="0"/>
    </xf>
    <xf numFmtId="167" fontId="4" fillId="33" borderId="0" xfId="0" applyNumberFormat="1" applyFont="1" applyFill="1" applyAlignment="1">
      <alignment horizontal="right"/>
    </xf>
    <xf numFmtId="167" fontId="67" fillId="0" borderId="0" xfId="0" applyNumberFormat="1" applyFont="1" applyAlignment="1" applyProtection="1">
      <alignment horizontal="center" vertical="center" wrapText="1"/>
      <protection locked="0"/>
    </xf>
    <xf numFmtId="167" fontId="4" fillId="33" borderId="152" xfId="0" applyNumberFormat="1" applyFont="1" applyFill="1" applyBorder="1" applyAlignment="1">
      <alignment horizontal="center"/>
    </xf>
    <xf numFmtId="167" fontId="4" fillId="33" borderId="153" xfId="0" applyNumberFormat="1" applyFont="1" applyFill="1" applyBorder="1" applyAlignment="1">
      <alignment horizontal="center"/>
    </xf>
    <xf numFmtId="167" fontId="4" fillId="33" borderId="154" xfId="0" applyNumberFormat="1" applyFont="1" applyFill="1" applyBorder="1" applyAlignment="1">
      <alignment horizontal="right"/>
    </xf>
    <xf numFmtId="167" fontId="4" fillId="33" borderId="152" xfId="0" applyNumberFormat="1" applyFont="1" applyFill="1" applyBorder="1" applyAlignment="1">
      <alignment horizontal="right"/>
    </xf>
    <xf numFmtId="167" fontId="4" fillId="33" borderId="153" xfId="0" applyNumberFormat="1" applyFont="1" applyFill="1" applyBorder="1" applyAlignment="1">
      <alignment horizontal="right"/>
    </xf>
    <xf numFmtId="169" fontId="65" fillId="0" borderId="0" xfId="0" applyNumberFormat="1" applyFont="1" applyProtection="1">
      <protection locked="0"/>
    </xf>
    <xf numFmtId="167" fontId="4" fillId="0" borderId="0" xfId="0" applyNumberFormat="1" applyFont="1" applyAlignment="1">
      <alignment horizontal="right"/>
    </xf>
    <xf numFmtId="167" fontId="4" fillId="0" borderId="152" xfId="0" applyNumberFormat="1" applyFont="1" applyBorder="1" applyAlignment="1" applyProtection="1">
      <alignment horizontal="center"/>
      <protection locked="0"/>
    </xf>
    <xf numFmtId="167" fontId="4" fillId="0" borderId="153" xfId="0" applyNumberFormat="1" applyFont="1" applyBorder="1" applyAlignment="1" applyProtection="1">
      <alignment horizontal="center"/>
      <protection locked="0"/>
    </xf>
    <xf numFmtId="167" fontId="4" fillId="0" borderId="154" xfId="0" applyNumberFormat="1" applyFont="1" applyBorder="1" applyAlignment="1" applyProtection="1">
      <alignment horizontal="right"/>
      <protection locked="0"/>
    </xf>
    <xf numFmtId="167" fontId="4" fillId="0" borderId="0" xfId="0" applyNumberFormat="1" applyFont="1" applyAlignment="1" applyProtection="1">
      <alignment horizontal="right"/>
      <protection locked="0"/>
    </xf>
    <xf numFmtId="167" fontId="4" fillId="0" borderId="152" xfId="0" applyNumberFormat="1" applyFont="1" applyBorder="1" applyAlignment="1" applyProtection="1">
      <alignment horizontal="right"/>
      <protection locked="0"/>
    </xf>
    <xf numFmtId="167" fontId="4" fillId="0" borderId="153" xfId="0" applyNumberFormat="1" applyFont="1" applyBorder="1" applyAlignment="1" applyProtection="1">
      <alignment horizontal="right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0" fontId="31" fillId="34" borderId="0" xfId="0" applyFont="1" applyFill="1"/>
    <xf numFmtId="167" fontId="4" fillId="35" borderId="0" xfId="0" applyNumberFormat="1" applyFont="1" applyFill="1" applyAlignment="1">
      <alignment horizontal="right"/>
    </xf>
    <xf numFmtId="167" fontId="4" fillId="6" borderId="152" xfId="0" applyNumberFormat="1" applyFont="1" applyFill="1" applyBorder="1" applyAlignment="1" applyProtection="1">
      <alignment horizontal="center"/>
      <protection locked="0"/>
    </xf>
    <xf numFmtId="167" fontId="4" fillId="6" borderId="153" xfId="0" applyNumberFormat="1" applyFont="1" applyFill="1" applyBorder="1" applyAlignment="1" applyProtection="1">
      <alignment horizontal="center"/>
      <protection locked="0"/>
    </xf>
    <xf numFmtId="167" fontId="4" fillId="6" borderId="154" xfId="0" applyNumberFormat="1" applyFont="1" applyFill="1" applyBorder="1" applyAlignment="1" applyProtection="1">
      <alignment horizontal="right"/>
      <protection locked="0"/>
    </xf>
    <xf numFmtId="167" fontId="4" fillId="6" borderId="0" xfId="0" applyNumberFormat="1" applyFont="1" applyFill="1" applyAlignment="1" applyProtection="1">
      <alignment horizontal="right"/>
      <protection locked="0"/>
    </xf>
    <xf numFmtId="167" fontId="4" fillId="6" borderId="152" xfId="0" applyNumberFormat="1" applyFont="1" applyFill="1" applyBorder="1" applyAlignment="1" applyProtection="1">
      <alignment horizontal="right"/>
      <protection locked="0"/>
    </xf>
    <xf numFmtId="167" fontId="4" fillId="6" borderId="153" xfId="0" applyNumberFormat="1" applyFont="1" applyFill="1" applyBorder="1" applyAlignment="1" applyProtection="1">
      <alignment horizontal="right"/>
      <protection locked="0"/>
    </xf>
    <xf numFmtId="167" fontId="31" fillId="34" borderId="0" xfId="1" applyNumberFormat="1" applyFont="1" applyFill="1" applyAlignment="1" applyProtection="1">
      <alignment horizontal="right"/>
    </xf>
    <xf numFmtId="0" fontId="28" fillId="36" borderId="156" xfId="0" applyFont="1" applyFill="1" applyBorder="1" applyAlignment="1">
      <alignment vertical="center" wrapText="1"/>
    </xf>
    <xf numFmtId="167" fontId="68" fillId="37" borderId="157" xfId="1" applyNumberFormat="1" applyFont="1" applyFill="1" applyBorder="1" applyAlignment="1" applyProtection="1">
      <alignment horizontal="right" vertical="center"/>
    </xf>
    <xf numFmtId="167" fontId="67" fillId="0" borderId="0" xfId="0" applyNumberFormat="1" applyFont="1" applyAlignment="1">
      <alignment horizontal="center" vertical="center" wrapText="1"/>
    </xf>
    <xf numFmtId="167" fontId="28" fillId="36" borderId="158" xfId="1" applyNumberFormat="1" applyFont="1" applyFill="1" applyBorder="1" applyAlignment="1" applyProtection="1">
      <alignment horizontal="center" vertical="center" wrapText="1"/>
    </xf>
    <xf numFmtId="167" fontId="28" fillId="36" borderId="159" xfId="1" applyNumberFormat="1" applyFont="1" applyFill="1" applyBorder="1" applyAlignment="1" applyProtection="1">
      <alignment horizontal="center" vertical="center" wrapText="1"/>
    </xf>
    <xf numFmtId="167" fontId="28" fillId="36" borderId="160" xfId="1" applyNumberFormat="1" applyFont="1" applyFill="1" applyBorder="1" applyAlignment="1" applyProtection="1">
      <alignment horizontal="right" vertical="center" wrapText="1"/>
    </xf>
    <xf numFmtId="167" fontId="28" fillId="36" borderId="156" xfId="1" applyNumberFormat="1" applyFont="1" applyFill="1" applyBorder="1" applyAlignment="1" applyProtection="1">
      <alignment horizontal="right" vertical="center" wrapText="1"/>
    </xf>
    <xf numFmtId="167" fontId="28" fillId="36" borderId="158" xfId="1" applyNumberFormat="1" applyFont="1" applyFill="1" applyBorder="1" applyAlignment="1" applyProtection="1">
      <alignment horizontal="right" vertical="center" wrapText="1"/>
    </xf>
    <xf numFmtId="167" fontId="28" fillId="36" borderId="159" xfId="1" applyNumberFormat="1" applyFont="1" applyFill="1" applyBorder="1" applyAlignment="1" applyProtection="1">
      <alignment horizontal="right" vertical="center" wrapText="1"/>
    </xf>
    <xf numFmtId="169" fontId="65" fillId="0" borderId="0" xfId="0" applyNumberFormat="1" applyFont="1"/>
    <xf numFmtId="167" fontId="4" fillId="30" borderId="0" xfId="0" applyNumberFormat="1" applyFont="1" applyFill="1" applyAlignment="1">
      <alignment horizontal="right"/>
    </xf>
    <xf numFmtId="167" fontId="4" fillId="30" borderId="152" xfId="0" applyNumberFormat="1" applyFont="1" applyFill="1" applyBorder="1" applyAlignment="1" applyProtection="1">
      <alignment horizontal="center"/>
      <protection locked="0"/>
    </xf>
    <xf numFmtId="167" fontId="4" fillId="30" borderId="153" xfId="0" applyNumberFormat="1" applyFont="1" applyFill="1" applyBorder="1" applyAlignment="1" applyProtection="1">
      <alignment horizontal="center"/>
      <protection locked="0"/>
    </xf>
    <xf numFmtId="167" fontId="4" fillId="30" borderId="154" xfId="0" applyNumberFormat="1" applyFont="1" applyFill="1" applyBorder="1" applyAlignment="1" applyProtection="1">
      <alignment horizontal="right"/>
      <protection locked="0"/>
    </xf>
    <xf numFmtId="167" fontId="4" fillId="30" borderId="0" xfId="0" applyNumberFormat="1" applyFont="1" applyFill="1" applyAlignment="1" applyProtection="1">
      <alignment horizontal="right"/>
      <protection locked="0"/>
    </xf>
    <xf numFmtId="167" fontId="4" fillId="30" borderId="152" xfId="0" applyNumberFormat="1" applyFont="1" applyFill="1" applyBorder="1" applyAlignment="1" applyProtection="1">
      <alignment horizontal="right"/>
      <protection locked="0"/>
    </xf>
    <xf numFmtId="167" fontId="4" fillId="30" borderId="153" xfId="0" applyNumberFormat="1" applyFont="1" applyFill="1" applyBorder="1" applyAlignment="1" applyProtection="1">
      <alignment horizontal="right"/>
      <protection locked="0"/>
    </xf>
    <xf numFmtId="0" fontId="31" fillId="34" borderId="0" xfId="0" applyFont="1" applyFill="1" applyAlignment="1">
      <alignment wrapText="1"/>
    </xf>
    <xf numFmtId="0" fontId="44" fillId="34" borderId="0" xfId="0" applyFont="1" applyFill="1"/>
    <xf numFmtId="167" fontId="44" fillId="6" borderId="0" xfId="0" applyNumberFormat="1" applyFont="1" applyFill="1" applyAlignment="1" applyProtection="1">
      <alignment horizontal="right"/>
      <protection locked="0"/>
    </xf>
    <xf numFmtId="0" fontId="4" fillId="30" borderId="0" xfId="0" applyFont="1" applyFill="1" applyAlignment="1">
      <alignment vertical="center"/>
    </xf>
    <xf numFmtId="169" fontId="65" fillId="0" borderId="0" xfId="0" applyNumberFormat="1" applyFont="1" applyAlignment="1">
      <alignment vertical="center"/>
    </xf>
    <xf numFmtId="167" fontId="4" fillId="30" borderId="0" xfId="1" applyNumberFormat="1" applyFont="1" applyFill="1" applyAlignment="1" applyProtection="1">
      <alignment horizontal="right"/>
    </xf>
    <xf numFmtId="167" fontId="4" fillId="6" borderId="0" xfId="0" applyNumberFormat="1" applyFont="1" applyFill="1" applyAlignment="1" applyProtection="1">
      <alignment horizontal="center"/>
      <protection locked="0"/>
    </xf>
    <xf numFmtId="175" fontId="4" fillId="6" borderId="152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Alignment="1">
      <alignment horizontal="center" vertical="center"/>
    </xf>
    <xf numFmtId="169" fontId="70" fillId="38" borderId="8" xfId="10" applyFont="1" applyFill="1" applyBorder="1" applyAlignment="1" applyProtection="1">
      <alignment horizontal="left" vertical="center" wrapText="1"/>
    </xf>
    <xf numFmtId="169" fontId="70" fillId="38" borderId="9" xfId="10" applyFont="1" applyFill="1" applyBorder="1" applyAlignment="1" applyProtection="1">
      <alignment horizontal="left" vertical="center" wrapText="1"/>
    </xf>
    <xf numFmtId="0" fontId="4" fillId="30" borderId="0" xfId="0" applyFont="1" applyFill="1" applyAlignment="1" applyProtection="1">
      <alignment horizontal="center" vertical="center"/>
      <protection locked="0"/>
    </xf>
    <xf numFmtId="167" fontId="70" fillId="38" borderId="161" xfId="10" applyNumberFormat="1" applyFont="1" applyFill="1" applyBorder="1" applyAlignment="1" applyProtection="1">
      <alignment horizontal="right" vertical="center" wrapText="1"/>
    </xf>
    <xf numFmtId="167" fontId="70" fillId="38" borderId="161" xfId="10" applyNumberFormat="1" applyFont="1" applyFill="1" applyBorder="1" applyAlignment="1" applyProtection="1">
      <alignment horizontal="right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9" fontId="65" fillId="0" borderId="0" xfId="0" applyNumberFormat="1" applyFont="1" applyAlignment="1" applyProtection="1">
      <alignment horizontal="center" vertical="center"/>
      <protection locked="0"/>
    </xf>
    <xf numFmtId="0" fontId="4" fillId="0" borderId="162" xfId="0" applyFont="1" applyBorder="1"/>
    <xf numFmtId="0" fontId="4" fillId="30" borderId="162" xfId="0" applyFont="1" applyFill="1" applyBorder="1" applyProtection="1">
      <protection locked="0"/>
    </xf>
    <xf numFmtId="167" fontId="4" fillId="0" borderId="162" xfId="0" applyNumberFormat="1" applyFont="1" applyBorder="1" applyAlignment="1">
      <alignment horizontal="right"/>
    </xf>
    <xf numFmtId="167" fontId="67" fillId="0" borderId="162" xfId="0" applyNumberFormat="1" applyFont="1" applyBorder="1" applyAlignment="1" applyProtection="1">
      <alignment horizontal="center" vertical="center" wrapText="1"/>
      <protection locked="0"/>
    </xf>
    <xf numFmtId="167" fontId="4" fillId="0" borderId="163" xfId="0" applyNumberFormat="1" applyFont="1" applyBorder="1" applyAlignment="1" applyProtection="1">
      <alignment horizontal="center"/>
      <protection locked="0"/>
    </xf>
    <xf numFmtId="167" fontId="4" fillId="0" borderId="164" xfId="0" applyNumberFormat="1" applyFont="1" applyBorder="1" applyAlignment="1" applyProtection="1">
      <alignment horizontal="center"/>
      <protection locked="0"/>
    </xf>
    <xf numFmtId="167" fontId="4" fillId="0" borderId="165" xfId="0" applyNumberFormat="1" applyFont="1" applyBorder="1" applyAlignment="1" applyProtection="1">
      <alignment horizontal="right"/>
      <protection locked="0"/>
    </xf>
    <xf numFmtId="167" fontId="4" fillId="0" borderId="162" xfId="0" applyNumberFormat="1" applyFont="1" applyBorder="1" applyAlignment="1" applyProtection="1">
      <alignment horizontal="right"/>
      <protection locked="0"/>
    </xf>
    <xf numFmtId="167" fontId="4" fillId="0" borderId="163" xfId="0" applyNumberFormat="1" applyFont="1" applyBorder="1" applyAlignment="1" applyProtection="1">
      <alignment horizontal="right"/>
      <protection locked="0"/>
    </xf>
    <xf numFmtId="167" fontId="4" fillId="0" borderId="164" xfId="0" applyNumberFormat="1" applyFont="1" applyBorder="1" applyAlignment="1" applyProtection="1">
      <alignment horizontal="right"/>
      <protection locked="0"/>
    </xf>
    <xf numFmtId="0" fontId="4" fillId="0" borderId="162" xfId="0" applyFont="1" applyBorder="1" applyProtection="1">
      <protection locked="0"/>
    </xf>
    <xf numFmtId="169" fontId="65" fillId="0" borderId="162" xfId="0" applyNumberFormat="1" applyFont="1" applyBorder="1" applyProtection="1">
      <protection locked="0"/>
    </xf>
    <xf numFmtId="167" fontId="67" fillId="33" borderId="0" xfId="0" applyNumberFormat="1" applyFont="1" applyFill="1" applyAlignment="1" applyProtection="1">
      <alignment horizontal="center" vertical="center" wrapText="1"/>
      <protection locked="0"/>
    </xf>
    <xf numFmtId="167" fontId="4" fillId="17" borderId="152" xfId="0" applyNumberFormat="1" applyFont="1" applyFill="1" applyBorder="1" applyAlignment="1" applyProtection="1">
      <alignment horizontal="right"/>
      <protection locked="0"/>
    </xf>
    <xf numFmtId="167" fontId="44" fillId="6" borderId="154" xfId="0" applyNumberFormat="1" applyFont="1" applyFill="1" applyBorder="1" applyAlignment="1" applyProtection="1">
      <alignment horizontal="right"/>
      <protection locked="0"/>
    </xf>
    <xf numFmtId="167" fontId="4" fillId="0" borderId="0" xfId="0" applyNumberFormat="1" applyFont="1" applyProtection="1">
      <protection locked="0"/>
    </xf>
    <xf numFmtId="167" fontId="4" fillId="6" borderId="152" xfId="1" applyNumberFormat="1" applyFont="1" applyFill="1" applyBorder="1" applyAlignment="1" applyProtection="1">
      <alignment horizontal="center"/>
      <protection locked="0"/>
    </xf>
    <xf numFmtId="167" fontId="4" fillId="6" borderId="153" xfId="1" applyNumberFormat="1" applyFont="1" applyFill="1" applyBorder="1" applyAlignment="1" applyProtection="1">
      <alignment horizontal="center"/>
      <protection locked="0"/>
    </xf>
    <xf numFmtId="167" fontId="4" fillId="6" borderId="154" xfId="1" applyNumberFormat="1" applyFont="1" applyFill="1" applyBorder="1" applyAlignment="1" applyProtection="1">
      <alignment horizontal="right"/>
      <protection locked="0"/>
    </xf>
    <xf numFmtId="167" fontId="4" fillId="6" borderId="0" xfId="1" applyNumberFormat="1" applyFont="1" applyFill="1" applyAlignment="1" applyProtection="1">
      <alignment horizontal="right"/>
      <protection locked="0"/>
    </xf>
    <xf numFmtId="167" fontId="4" fillId="6" borderId="152" xfId="1" applyNumberFormat="1" applyFont="1" applyFill="1" applyBorder="1" applyAlignment="1" applyProtection="1">
      <alignment horizontal="right"/>
      <protection locked="0"/>
    </xf>
    <xf numFmtId="167" fontId="4" fillId="6" borderId="153" xfId="1" applyNumberFormat="1" applyFont="1" applyFill="1" applyBorder="1" applyAlignment="1" applyProtection="1">
      <alignment horizontal="right"/>
      <protection locked="0"/>
    </xf>
    <xf numFmtId="167" fontId="4" fillId="6" borderId="0" xfId="1" applyNumberFormat="1" applyFont="1" applyFill="1" applyBorder="1" applyAlignment="1" applyProtection="1">
      <alignment horizontal="right"/>
      <protection locked="0"/>
    </xf>
    <xf numFmtId="175" fontId="28" fillId="36" borderId="158" xfId="1" applyNumberFormat="1" applyFont="1" applyFill="1" applyBorder="1" applyAlignment="1" applyProtection="1">
      <alignment horizontal="center" vertical="center" wrapText="1"/>
    </xf>
    <xf numFmtId="167" fontId="4" fillId="30" borderId="152" xfId="1" applyNumberFormat="1" applyFont="1" applyFill="1" applyBorder="1" applyAlignment="1" applyProtection="1">
      <alignment horizontal="center"/>
      <protection locked="0"/>
    </xf>
    <xf numFmtId="167" fontId="4" fillId="30" borderId="153" xfId="1" applyNumberFormat="1" applyFont="1" applyFill="1" applyBorder="1" applyAlignment="1" applyProtection="1">
      <alignment horizontal="center"/>
      <protection locked="0"/>
    </xf>
    <xf numFmtId="167" fontId="4" fillId="30" borderId="154" xfId="1" applyNumberFormat="1" applyFont="1" applyFill="1" applyBorder="1" applyAlignment="1" applyProtection="1">
      <alignment horizontal="right"/>
      <protection locked="0"/>
    </xf>
    <xf numFmtId="167" fontId="4" fillId="30" borderId="0" xfId="1" applyNumberFormat="1" applyFont="1" applyFill="1" applyAlignment="1" applyProtection="1">
      <alignment horizontal="right"/>
      <protection locked="0"/>
    </xf>
    <xf numFmtId="167" fontId="4" fillId="30" borderId="152" xfId="1" applyNumberFormat="1" applyFont="1" applyFill="1" applyBorder="1" applyAlignment="1" applyProtection="1">
      <alignment horizontal="right"/>
      <protection locked="0"/>
    </xf>
    <xf numFmtId="167" fontId="4" fillId="30" borderId="153" xfId="1" applyNumberFormat="1" applyFont="1" applyFill="1" applyBorder="1" applyAlignment="1" applyProtection="1">
      <alignment horizontal="right"/>
      <protection locked="0"/>
    </xf>
    <xf numFmtId="167" fontId="4" fillId="30" borderId="0" xfId="1" applyNumberFormat="1" applyFont="1" applyFill="1" applyBorder="1" applyAlignment="1" applyProtection="1">
      <alignment horizontal="right"/>
      <protection locked="0"/>
    </xf>
    <xf numFmtId="167" fontId="4" fillId="17" borderId="152" xfId="0" applyNumberFormat="1" applyFont="1" applyFill="1" applyBorder="1" applyAlignment="1">
      <alignment horizontal="right"/>
    </xf>
    <xf numFmtId="0" fontId="4" fillId="6" borderId="0" xfId="0" applyFont="1" applyFill="1" applyProtection="1">
      <protection locked="0"/>
    </xf>
    <xf numFmtId="0" fontId="4" fillId="30" borderId="0" xfId="0" applyFont="1" applyFill="1" applyAlignment="1">
      <alignment horizontal="center" vertical="center"/>
    </xf>
    <xf numFmtId="169" fontId="65" fillId="0" borderId="0" xfId="0" applyNumberFormat="1" applyFont="1" applyAlignment="1">
      <alignment horizontal="center" vertical="center"/>
    </xf>
    <xf numFmtId="169" fontId="28" fillId="34" borderId="0" xfId="10" applyFont="1" applyFill="1" applyAlignment="1" applyProtection="1">
      <alignment horizontal="left" vertical="center" wrapText="1"/>
    </xf>
    <xf numFmtId="4" fontId="28" fillId="34" borderId="0" xfId="10" applyNumberFormat="1" applyFont="1" applyFill="1" applyAlignment="1" applyProtection="1">
      <alignment horizontal="right" vertical="center" wrapText="1"/>
    </xf>
    <xf numFmtId="167" fontId="28" fillId="34" borderId="152" xfId="10" applyNumberFormat="1" applyFont="1" applyFill="1" applyBorder="1" applyAlignment="1" applyProtection="1">
      <alignment horizontal="center" vertical="center" wrapText="1"/>
    </xf>
    <xf numFmtId="167" fontId="28" fillId="34" borderId="153" xfId="10" applyNumberFormat="1" applyFont="1" applyFill="1" applyBorder="1" applyAlignment="1" applyProtection="1">
      <alignment horizontal="center" vertical="center" wrapText="1"/>
    </xf>
    <xf numFmtId="175" fontId="28" fillId="34" borderId="0" xfId="10" applyNumberFormat="1" applyFont="1" applyFill="1" applyAlignment="1" applyProtection="1">
      <alignment horizontal="right" vertical="center" wrapText="1"/>
    </xf>
    <xf numFmtId="167" fontId="28" fillId="34" borderId="0" xfId="10" applyNumberFormat="1" applyFont="1" applyFill="1" applyAlignment="1" applyProtection="1">
      <alignment horizontal="right" vertical="center" wrapText="1"/>
    </xf>
    <xf numFmtId="173" fontId="4" fillId="0" borderId="0" xfId="0" applyNumberFormat="1" applyFont="1" applyAlignment="1">
      <alignment horizontal="right"/>
    </xf>
    <xf numFmtId="0" fontId="60" fillId="0" borderId="0" xfId="0" applyFont="1" applyAlignment="1">
      <alignment horizontal="center"/>
    </xf>
    <xf numFmtId="0" fontId="60" fillId="4" borderId="0" xfId="0" applyFont="1" applyFill="1" applyAlignment="1" applyProtection="1">
      <alignment horizontal="left"/>
      <protection locked="0"/>
    </xf>
    <xf numFmtId="173" fontId="60" fillId="0" borderId="0" xfId="0" applyNumberFormat="1" applyFont="1" applyAlignment="1" applyProtection="1">
      <alignment horizontal="center"/>
      <protection locked="0"/>
    </xf>
    <xf numFmtId="0" fontId="33" fillId="0" borderId="0" xfId="4" applyFont="1" applyProtection="1"/>
    <xf numFmtId="0" fontId="35" fillId="4" borderId="150" xfId="0" applyFont="1" applyFill="1" applyBorder="1" applyAlignment="1" applyProtection="1">
      <alignment horizontal="center" vertical="center"/>
      <protection locked="0"/>
    </xf>
    <xf numFmtId="0" fontId="35" fillId="4" borderId="151" xfId="0" applyFont="1" applyFill="1" applyBorder="1" applyAlignment="1" applyProtection="1">
      <alignment horizontal="center" vertical="center"/>
      <protection locked="0"/>
    </xf>
    <xf numFmtId="173" fontId="4" fillId="0" borderId="0" xfId="0" applyNumberFormat="1" applyFont="1" applyProtection="1">
      <protection locked="0"/>
    </xf>
    <xf numFmtId="174" fontId="4" fillId="0" borderId="0" xfId="0" applyNumberFormat="1" applyFont="1"/>
    <xf numFmtId="173" fontId="65" fillId="0" borderId="0" xfId="0" applyNumberFormat="1" applyFont="1" applyProtection="1">
      <protection locked="0"/>
    </xf>
    <xf numFmtId="0" fontId="67" fillId="0" borderId="0" xfId="0" applyFont="1" applyAlignment="1">
      <alignment wrapText="1"/>
    </xf>
    <xf numFmtId="49" fontId="45" fillId="0" borderId="0" xfId="8" applyNumberFormat="1" applyFont="1" applyAlignment="1">
      <alignment horizontal="centerContinuous" wrapText="1"/>
    </xf>
    <xf numFmtId="0" fontId="67" fillId="30" borderId="0" xfId="0" applyFont="1" applyFill="1" applyAlignment="1" applyProtection="1">
      <alignment wrapText="1"/>
      <protection locked="0"/>
    </xf>
    <xf numFmtId="0" fontId="67" fillId="0" borderId="0" xfId="0" applyFont="1" applyAlignment="1" applyProtection="1">
      <alignment wrapText="1"/>
      <protection locked="0"/>
    </xf>
    <xf numFmtId="0" fontId="31" fillId="34" borderId="154" xfId="0" applyFont="1" applyFill="1" applyBorder="1" applyAlignment="1" applyProtection="1">
      <alignment horizontal="center" vertical="center" wrapText="1"/>
      <protection locked="0"/>
    </xf>
    <xf numFmtId="0" fontId="31" fillId="34" borderId="15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wrapText="1"/>
      <protection locked="0"/>
    </xf>
    <xf numFmtId="0" fontId="65" fillId="0" borderId="0" xfId="0" applyFont="1" applyAlignment="1" applyProtection="1">
      <alignment horizontal="center" wrapText="1"/>
      <protection locked="0"/>
    </xf>
    <xf numFmtId="0" fontId="67" fillId="0" borderId="0" xfId="0" applyFont="1" applyAlignment="1">
      <alignment horizontal="center" vertical="center" wrapText="1"/>
    </xf>
    <xf numFmtId="0" fontId="31" fillId="34" borderId="155" xfId="0" applyFont="1" applyFill="1" applyBorder="1" applyAlignment="1" applyProtection="1">
      <alignment horizontal="center" vertical="center" wrapText="1"/>
      <protection locked="0"/>
    </xf>
    <xf numFmtId="0" fontId="65" fillId="0" borderId="0" xfId="0" applyFont="1" applyAlignment="1" applyProtection="1">
      <alignment wrapText="1"/>
      <protection locked="0"/>
    </xf>
    <xf numFmtId="0" fontId="67" fillId="0" borderId="0" xfId="0" applyFont="1" applyAlignment="1" applyProtection="1">
      <alignment horizontal="center"/>
      <protection locked="0"/>
    </xf>
    <xf numFmtId="0" fontId="46" fillId="33" borderId="0" xfId="9" applyFont="1" applyFill="1" applyAlignment="1">
      <alignment horizontal="left" indent="1"/>
    </xf>
    <xf numFmtId="0" fontId="46" fillId="30" borderId="0" xfId="9" applyFont="1" applyFill="1" applyAlignment="1">
      <alignment horizontal="left" indent="1"/>
    </xf>
    <xf numFmtId="167" fontId="4" fillId="0" borderId="0" xfId="0" applyNumberFormat="1" applyFont="1"/>
    <xf numFmtId="167" fontId="4" fillId="39" borderId="0" xfId="0" applyNumberFormat="1" applyFont="1" applyFill="1"/>
    <xf numFmtId="175" fontId="4" fillId="33" borderId="0" xfId="0" applyNumberFormat="1" applyFont="1" applyFill="1"/>
    <xf numFmtId="167" fontId="4" fillId="33" borderId="0" xfId="0" applyNumberFormat="1" applyFont="1" applyFill="1"/>
    <xf numFmtId="167" fontId="4" fillId="33" borderId="0" xfId="1" applyNumberFormat="1" applyFont="1" applyFill="1" applyProtection="1"/>
    <xf numFmtId="173" fontId="65" fillId="0" borderId="0" xfId="0" applyNumberFormat="1" applyFont="1"/>
    <xf numFmtId="167" fontId="4" fillId="33" borderId="0" xfId="0" applyNumberFormat="1" applyFont="1" applyFill="1" applyAlignment="1">
      <alignment horizontal="center"/>
    </xf>
    <xf numFmtId="167" fontId="4" fillId="6" borderId="0" xfId="0" applyNumberFormat="1" applyFont="1" applyFill="1" applyProtection="1">
      <protection locked="0"/>
    </xf>
    <xf numFmtId="175" fontId="4" fillId="6" borderId="0" xfId="0" applyNumberFormat="1" applyFont="1" applyFill="1" applyProtection="1">
      <protection locked="0"/>
    </xf>
    <xf numFmtId="167" fontId="44" fillId="6" borderId="0" xfId="0" applyNumberFormat="1" applyFont="1" applyFill="1" applyProtection="1">
      <protection locked="0"/>
    </xf>
    <xf numFmtId="167" fontId="72" fillId="17" borderId="0" xfId="0" applyNumberFormat="1" applyFont="1" applyFill="1" applyAlignment="1" applyProtection="1">
      <alignment horizontal="right"/>
      <protection locked="0"/>
    </xf>
    <xf numFmtId="167" fontId="31" fillId="34" borderId="0" xfId="1" applyNumberFormat="1" applyFont="1" applyFill="1" applyProtection="1"/>
    <xf numFmtId="167" fontId="28" fillId="34" borderId="156" xfId="1" applyNumberFormat="1" applyFont="1" applyFill="1" applyBorder="1" applyAlignment="1" applyProtection="1">
      <alignment vertical="center" wrapText="1"/>
    </xf>
    <xf numFmtId="167" fontId="28" fillId="36" borderId="156" xfId="1" applyNumberFormat="1" applyFont="1" applyFill="1" applyBorder="1" applyAlignment="1" applyProtection="1">
      <alignment vertical="center" wrapText="1"/>
    </xf>
    <xf numFmtId="167" fontId="4" fillId="6" borderId="0" xfId="1" applyNumberFormat="1" applyFont="1" applyFill="1" applyProtection="1">
      <protection locked="0"/>
    </xf>
    <xf numFmtId="167" fontId="4" fillId="0" borderId="0" xfId="0" applyNumberFormat="1" applyFont="1" applyAlignment="1">
      <alignment horizontal="right" vertical="center"/>
    </xf>
    <xf numFmtId="167" fontId="70" fillId="38" borderId="0" xfId="10" applyNumberFormat="1" applyFont="1" applyFill="1" applyAlignment="1" applyProtection="1">
      <alignment horizontal="right" vertical="center" wrapText="1"/>
    </xf>
    <xf numFmtId="173" fontId="65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4" fillId="30" borderId="162" xfId="0" applyFont="1" applyFill="1" applyBorder="1"/>
    <xf numFmtId="167" fontId="4" fillId="39" borderId="0" xfId="0" applyNumberFormat="1" applyFont="1" applyFill="1" applyProtection="1">
      <protection locked="0"/>
    </xf>
    <xf numFmtId="167" fontId="4" fillId="33" borderId="0" xfId="0" applyNumberFormat="1" applyFont="1" applyFill="1" applyProtection="1">
      <protection locked="0"/>
    </xf>
    <xf numFmtId="167" fontId="4" fillId="33" borderId="0" xfId="0" applyNumberFormat="1" applyFont="1" applyFill="1" applyAlignment="1" applyProtection="1">
      <alignment horizontal="center"/>
      <protection locked="0"/>
    </xf>
    <xf numFmtId="3" fontId="4" fillId="6" borderId="0" xfId="0" applyNumberFormat="1" applyFont="1" applyFill="1" applyProtection="1">
      <protection locked="0"/>
    </xf>
    <xf numFmtId="4" fontId="31" fillId="34" borderId="0" xfId="1" applyNumberFormat="1" applyFont="1" applyFill="1" applyProtection="1"/>
    <xf numFmtId="0" fontId="18" fillId="2" borderId="0" xfId="0" applyFont="1" applyFill="1" applyAlignment="1">
      <alignment wrapText="1"/>
    </xf>
    <xf numFmtId="167" fontId="31" fillId="30" borderId="0" xfId="1" applyNumberFormat="1" applyFont="1" applyFill="1" applyProtection="1"/>
    <xf numFmtId="167" fontId="4" fillId="30" borderId="0" xfId="1" applyNumberFormat="1" applyFont="1" applyFill="1" applyProtection="1"/>
    <xf numFmtId="167" fontId="4" fillId="17" borderId="0" xfId="0" applyNumberFormat="1" applyFont="1" applyFill="1" applyProtection="1">
      <protection locked="0"/>
    </xf>
    <xf numFmtId="4" fontId="4" fillId="6" borderId="0" xfId="0" applyNumberFormat="1" applyFont="1" applyFill="1" applyProtection="1">
      <protection locked="0"/>
    </xf>
    <xf numFmtId="167" fontId="44" fillId="4" borderId="167" xfId="0" applyNumberFormat="1" applyFont="1" applyFill="1" applyBorder="1" applyAlignment="1">
      <alignment horizontal="right"/>
    </xf>
    <xf numFmtId="3" fontId="44" fillId="4" borderId="167" xfId="0" applyNumberFormat="1" applyFont="1" applyFill="1" applyBorder="1"/>
    <xf numFmtId="169" fontId="4" fillId="0" borderId="0" xfId="0" applyNumberFormat="1" applyFont="1"/>
    <xf numFmtId="0" fontId="75" fillId="0" borderId="0" xfId="0" applyFont="1" applyAlignment="1">
      <alignment vertical="center"/>
    </xf>
    <xf numFmtId="0" fontId="75" fillId="0" borderId="0" xfId="0" applyFont="1"/>
    <xf numFmtId="0" fontId="75" fillId="30" borderId="0" xfId="0" applyFont="1" applyFill="1" applyProtection="1">
      <protection locked="0"/>
    </xf>
    <xf numFmtId="0" fontId="75" fillId="0" borderId="0" xfId="0" applyFont="1" applyProtection="1">
      <protection locked="0"/>
    </xf>
    <xf numFmtId="0" fontId="75" fillId="0" borderId="0" xfId="0" applyFont="1" applyAlignment="1" applyProtection="1">
      <alignment horizontal="center"/>
      <protection locked="0"/>
    </xf>
    <xf numFmtId="170" fontId="75" fillId="0" borderId="0" xfId="1" applyNumberFormat="1" applyFont="1" applyProtection="1"/>
    <xf numFmtId="49" fontId="76" fillId="0" borderId="0" xfId="8" applyNumberFormat="1" applyFont="1" applyAlignment="1">
      <alignment horizontal="center" vertical="center"/>
    </xf>
    <xf numFmtId="0" fontId="75" fillId="30" borderId="0" xfId="0" applyFont="1" applyFill="1" applyAlignment="1" applyProtection="1">
      <alignment vertical="center"/>
      <protection locked="0"/>
    </xf>
    <xf numFmtId="170" fontId="75" fillId="0" borderId="0" xfId="1" applyNumberFormat="1" applyFont="1" applyAlignment="1" applyProtection="1">
      <alignment vertical="center"/>
    </xf>
    <xf numFmtId="0" fontId="78" fillId="0" borderId="0" xfId="4" applyFont="1" applyAlignment="1" applyProtection="1">
      <alignment horizontal="center" vertical="center" wrapText="1"/>
    </xf>
    <xf numFmtId="167" fontId="75" fillId="0" borderId="0" xfId="0" applyNumberFormat="1" applyFont="1" applyProtection="1">
      <protection locked="0"/>
    </xf>
    <xf numFmtId="14" fontId="79" fillId="0" borderId="0" xfId="0" applyNumberFormat="1" applyFont="1" applyAlignment="1">
      <alignment horizontal="right" vertical="center" wrapText="1"/>
    </xf>
    <xf numFmtId="0" fontId="75" fillId="30" borderId="0" xfId="0" applyFont="1" applyFill="1" applyAlignment="1">
      <alignment horizontal="center" vertical="center" wrapText="1"/>
    </xf>
    <xf numFmtId="0" fontId="76" fillId="33" borderId="0" xfId="0" applyFont="1" applyFill="1" applyAlignment="1">
      <alignment horizontal="center" vertical="center" wrapText="1"/>
    </xf>
    <xf numFmtId="0" fontId="80" fillId="34" borderId="0" xfId="0" applyFont="1" applyFill="1" applyAlignment="1">
      <alignment horizontal="center" vertical="center" wrapText="1"/>
    </xf>
    <xf numFmtId="0" fontId="80" fillId="34" borderId="154" xfId="0" applyFont="1" applyFill="1" applyBorder="1" applyAlignment="1">
      <alignment horizontal="center" vertical="center" wrapText="1"/>
    </xf>
    <xf numFmtId="0" fontId="80" fillId="34" borderId="152" xfId="0" applyFont="1" applyFill="1" applyBorder="1" applyAlignment="1">
      <alignment horizontal="center" vertical="center" wrapText="1"/>
    </xf>
    <xf numFmtId="170" fontId="82" fillId="34" borderId="0" xfId="1" applyNumberFormat="1" applyFont="1" applyFill="1" applyAlignment="1" applyProtection="1">
      <alignment horizontal="center" vertical="center" wrapText="1"/>
    </xf>
    <xf numFmtId="167" fontId="4" fillId="30" borderId="0" xfId="0" applyNumberFormat="1" applyFont="1" applyFill="1" applyAlignment="1">
      <alignment vertical="center"/>
    </xf>
    <xf numFmtId="49" fontId="83" fillId="0" borderId="0" xfId="8" applyNumberFormat="1" applyFont="1" applyAlignment="1">
      <alignment horizontal="center" vertical="center" wrapText="1"/>
    </xf>
    <xf numFmtId="0" fontId="84" fillId="33" borderId="0" xfId="0" applyFont="1" applyFill="1"/>
    <xf numFmtId="0" fontId="75" fillId="30" borderId="0" xfId="0" applyFont="1" applyFill="1"/>
    <xf numFmtId="167" fontId="75" fillId="33" borderId="0" xfId="0" applyNumberFormat="1" applyFont="1" applyFill="1" applyAlignment="1">
      <alignment horizontal="right"/>
    </xf>
    <xf numFmtId="167" fontId="75" fillId="30" borderId="0" xfId="0" applyNumberFormat="1" applyFont="1" applyFill="1"/>
    <xf numFmtId="170" fontId="75" fillId="33" borderId="0" xfId="1" applyNumberFormat="1" applyFont="1" applyFill="1" applyAlignment="1" applyProtection="1">
      <alignment horizontal="right"/>
    </xf>
    <xf numFmtId="167" fontId="75" fillId="0" borderId="0" xfId="0" applyNumberFormat="1" applyFont="1" applyAlignment="1">
      <alignment horizontal="right"/>
    </xf>
    <xf numFmtId="167" fontId="75" fillId="0" borderId="0" xfId="0" applyNumberFormat="1" applyFont="1" applyAlignment="1" applyProtection="1">
      <alignment horizontal="right"/>
      <protection locked="0"/>
    </xf>
    <xf numFmtId="167" fontId="75" fillId="30" borderId="0" xfId="0" applyNumberFormat="1" applyFont="1" applyFill="1" applyProtection="1">
      <protection locked="0"/>
    </xf>
    <xf numFmtId="170" fontId="75" fillId="0" borderId="0" xfId="1" applyNumberFormat="1" applyFont="1" applyAlignment="1" applyProtection="1">
      <alignment horizontal="right"/>
    </xf>
    <xf numFmtId="0" fontId="80" fillId="34" borderId="0" xfId="0" applyFont="1" applyFill="1" applyAlignment="1">
      <alignment vertical="center"/>
    </xf>
    <xf numFmtId="0" fontId="80" fillId="34" borderId="0" xfId="0" applyFont="1" applyFill="1"/>
    <xf numFmtId="167" fontId="75" fillId="35" borderId="0" xfId="0" applyNumberFormat="1" applyFont="1" applyFill="1" applyAlignment="1">
      <alignment horizontal="right"/>
    </xf>
    <xf numFmtId="167" fontId="75" fillId="6" borderId="0" xfId="0" applyNumberFormat="1" applyFont="1" applyFill="1" applyAlignment="1" applyProtection="1">
      <alignment horizontal="right"/>
      <protection locked="0"/>
    </xf>
    <xf numFmtId="170" fontId="80" fillId="34" borderId="0" xfId="1" applyNumberFormat="1" applyFont="1" applyFill="1" applyAlignment="1" applyProtection="1">
      <alignment horizontal="right"/>
    </xf>
    <xf numFmtId="4" fontId="75" fillId="6" borderId="0" xfId="0" applyNumberFormat="1" applyFont="1" applyFill="1" applyAlignment="1" applyProtection="1">
      <alignment horizontal="right"/>
      <protection locked="0"/>
    </xf>
    <xf numFmtId="3" fontId="82" fillId="34" borderId="157" xfId="0" applyNumberFormat="1" applyFont="1" applyFill="1" applyBorder="1" applyAlignment="1">
      <alignment horizontal="left" vertical="center"/>
    </xf>
    <xf numFmtId="0" fontId="75" fillId="30" borderId="157" xfId="0" applyFont="1" applyFill="1" applyBorder="1"/>
    <xf numFmtId="167" fontId="82" fillId="40" borderId="157" xfId="1" applyNumberFormat="1" applyFont="1" applyFill="1" applyBorder="1" applyAlignment="1" applyProtection="1">
      <alignment horizontal="right" vertical="center"/>
    </xf>
    <xf numFmtId="167" fontId="82" fillId="34" borderId="157" xfId="1" applyNumberFormat="1" applyFont="1" applyFill="1" applyBorder="1" applyAlignment="1" applyProtection="1">
      <alignment horizontal="right" vertical="center"/>
    </xf>
    <xf numFmtId="167" fontId="75" fillId="0" borderId="0" xfId="0" applyNumberFormat="1" applyFont="1"/>
    <xf numFmtId="167" fontId="75" fillId="0" borderId="0" xfId="0" applyNumberFormat="1" applyFont="1" applyAlignment="1" applyProtection="1">
      <alignment horizontal="center"/>
      <protection locked="0"/>
    </xf>
    <xf numFmtId="170" fontId="82" fillId="34" borderId="157" xfId="1" applyNumberFormat="1" applyFont="1" applyFill="1" applyBorder="1" applyAlignment="1" applyProtection="1">
      <alignment horizontal="right" vertical="center"/>
    </xf>
    <xf numFmtId="170" fontId="80" fillId="22" borderId="0" xfId="1" applyNumberFormat="1" applyFont="1" applyFill="1" applyAlignment="1" applyProtection="1">
      <alignment horizontal="right"/>
    </xf>
    <xf numFmtId="0" fontId="75" fillId="33" borderId="0" xfId="0" applyFont="1" applyFill="1" applyAlignment="1">
      <alignment horizontal="left"/>
    </xf>
    <xf numFmtId="173" fontId="75" fillId="33" borderId="0" xfId="0" applyNumberFormat="1" applyFont="1" applyFill="1" applyAlignment="1">
      <alignment horizontal="left"/>
    </xf>
    <xf numFmtId="169" fontId="80" fillId="34" borderId="0" xfId="1" applyFont="1" applyFill="1" applyAlignment="1" applyProtection="1">
      <alignment horizontal="right"/>
    </xf>
    <xf numFmtId="175" fontId="75" fillId="6" borderId="0" xfId="0" applyNumberFormat="1" applyFont="1" applyFill="1" applyAlignment="1" applyProtection="1">
      <alignment horizontal="right"/>
      <protection locked="0"/>
    </xf>
    <xf numFmtId="167" fontId="81" fillId="6" borderId="0" xfId="0" applyNumberFormat="1" applyFont="1" applyFill="1" applyAlignment="1" applyProtection="1">
      <alignment horizontal="right"/>
      <protection locked="0"/>
    </xf>
    <xf numFmtId="169" fontId="75" fillId="6" borderId="0" xfId="1" applyFont="1" applyFill="1" applyAlignment="1" applyProtection="1">
      <alignment horizontal="right"/>
      <protection locked="0"/>
    </xf>
    <xf numFmtId="0" fontId="80" fillId="30" borderId="157" xfId="0" applyFont="1" applyFill="1" applyBorder="1"/>
    <xf numFmtId="167" fontId="80" fillId="30" borderId="0" xfId="0" applyNumberFormat="1" applyFont="1" applyFill="1"/>
    <xf numFmtId="167" fontId="75" fillId="6" borderId="0" xfId="0" quotePrefix="1" applyNumberFormat="1" applyFont="1" applyFill="1" applyAlignment="1" applyProtection="1">
      <alignment horizontal="right"/>
      <protection locked="0"/>
    </xf>
    <xf numFmtId="0" fontId="81" fillId="34" borderId="0" xfId="0" applyFont="1" applyFill="1" applyAlignment="1">
      <alignment vertical="center"/>
    </xf>
    <xf numFmtId="0" fontId="81" fillId="34" borderId="0" xfId="0" applyFont="1" applyFill="1"/>
    <xf numFmtId="3" fontId="82" fillId="36" borderId="157" xfId="0" applyNumberFormat="1" applyFont="1" applyFill="1" applyBorder="1" applyAlignment="1">
      <alignment horizontal="left" vertical="center"/>
    </xf>
    <xf numFmtId="0" fontId="75" fillId="30" borderId="0" xfId="0" applyFont="1" applyFill="1" applyAlignment="1">
      <alignment vertical="center"/>
    </xf>
    <xf numFmtId="167" fontId="82" fillId="37" borderId="157" xfId="1" applyNumberFormat="1" applyFont="1" applyFill="1" applyBorder="1" applyAlignment="1" applyProtection="1">
      <alignment horizontal="right" vertical="center"/>
    </xf>
    <xf numFmtId="167" fontId="86" fillId="36" borderId="0" xfId="1" applyNumberFormat="1" applyFont="1" applyFill="1" applyBorder="1" applyAlignment="1" applyProtection="1">
      <alignment horizontal="right" vertical="center"/>
    </xf>
    <xf numFmtId="170" fontId="86" fillId="36" borderId="0" xfId="1" applyNumberFormat="1" applyFont="1" applyFill="1" applyBorder="1" applyAlignment="1" applyProtection="1">
      <alignment horizontal="right" vertical="center"/>
    </xf>
    <xf numFmtId="167" fontId="75" fillId="30" borderId="0" xfId="0" applyNumberFormat="1" applyFont="1" applyFill="1" applyAlignment="1">
      <alignment vertical="center"/>
    </xf>
    <xf numFmtId="0" fontId="80" fillId="34" borderId="0" xfId="0" applyFont="1" applyFill="1" applyAlignment="1">
      <alignment wrapText="1"/>
    </xf>
    <xf numFmtId="167" fontId="75" fillId="0" borderId="0" xfId="0" applyNumberFormat="1" applyFont="1" applyAlignment="1">
      <alignment vertical="center"/>
    </xf>
    <xf numFmtId="0" fontId="84" fillId="30" borderId="0" xfId="0" applyFont="1" applyFill="1"/>
    <xf numFmtId="167" fontId="84" fillId="30" borderId="0" xfId="0" applyNumberFormat="1" applyFont="1" applyFill="1"/>
    <xf numFmtId="4" fontId="81" fillId="6" borderId="0" xfId="0" applyNumberFormat="1" applyFont="1" applyFill="1" applyAlignment="1" applyProtection="1">
      <alignment horizontal="right"/>
      <protection locked="0"/>
    </xf>
    <xf numFmtId="175" fontId="86" fillId="36" borderId="0" xfId="1" applyNumberFormat="1" applyFont="1" applyFill="1" applyBorder="1" applyAlignment="1" applyProtection="1">
      <alignment horizontal="right" vertical="center"/>
    </xf>
    <xf numFmtId="167" fontId="84" fillId="33" borderId="0" xfId="0" applyNumberFormat="1" applyFont="1" applyFill="1" applyAlignment="1">
      <alignment horizontal="right"/>
    </xf>
    <xf numFmtId="3" fontId="86" fillId="38" borderId="0" xfId="0" applyNumberFormat="1" applyFont="1" applyFill="1" applyAlignment="1">
      <alignment horizontal="left" vertical="center"/>
    </xf>
    <xf numFmtId="167" fontId="86" fillId="38" borderId="0" xfId="1" applyNumberFormat="1" applyFont="1" applyFill="1" applyBorder="1" applyAlignment="1" applyProtection="1">
      <alignment horizontal="right" vertical="center"/>
      <protection locked="0"/>
    </xf>
    <xf numFmtId="170" fontId="86" fillId="38" borderId="0" xfId="1" applyNumberFormat="1" applyFont="1" applyFill="1" applyBorder="1" applyAlignment="1" applyProtection="1">
      <alignment horizontal="right" vertical="center"/>
    </xf>
    <xf numFmtId="175" fontId="82" fillId="37" borderId="157" xfId="1" applyNumberFormat="1" applyFont="1" applyFill="1" applyBorder="1" applyAlignment="1" applyProtection="1">
      <alignment horizontal="right" vertical="center"/>
    </xf>
    <xf numFmtId="167" fontId="75" fillId="6" borderId="0" xfId="0" applyNumberFormat="1" applyFont="1" applyFill="1" applyAlignment="1">
      <alignment horizontal="right" vertical="center"/>
    </xf>
    <xf numFmtId="175" fontId="75" fillId="6" borderId="0" xfId="0" applyNumberFormat="1" applyFont="1" applyFill="1" applyAlignment="1">
      <alignment horizontal="right" vertical="center"/>
    </xf>
    <xf numFmtId="170" fontId="80" fillId="34" borderId="0" xfId="1" applyNumberFormat="1" applyFont="1" applyFill="1" applyAlignment="1" applyProtection="1">
      <alignment horizontal="right" vertical="center"/>
    </xf>
    <xf numFmtId="0" fontId="79" fillId="4" borderId="0" xfId="0" applyFont="1" applyFill="1" applyAlignment="1">
      <alignment horizontal="left"/>
    </xf>
    <xf numFmtId="175" fontId="79" fillId="0" borderId="0" xfId="0" applyNumberFormat="1" applyFont="1" applyAlignment="1">
      <alignment horizontal="center"/>
    </xf>
    <xf numFmtId="4" fontId="75" fillId="0" borderId="0" xfId="0" applyNumberFormat="1" applyFont="1" applyAlignment="1" applyProtection="1">
      <alignment horizontal="right"/>
      <protection locked="0"/>
    </xf>
    <xf numFmtId="170" fontId="4" fillId="0" borderId="0" xfId="1" applyNumberFormat="1" applyFont="1" applyProtection="1"/>
    <xf numFmtId="174" fontId="4" fillId="0" borderId="0" xfId="0" applyNumberFormat="1" applyFont="1" applyProtection="1">
      <protection locked="0"/>
    </xf>
    <xf numFmtId="0" fontId="87" fillId="0" borderId="0" xfId="4" applyFont="1" applyAlignment="1" applyProtection="1">
      <alignment horizontal="left" vertical="center" wrapText="1"/>
    </xf>
    <xf numFmtId="0" fontId="88" fillId="0" borderId="0" xfId="0" applyFont="1" applyAlignment="1">
      <alignment vertical="center"/>
    </xf>
    <xf numFmtId="0" fontId="88" fillId="0" borderId="0" xfId="0" applyFont="1"/>
    <xf numFmtId="0" fontId="88" fillId="30" borderId="0" xfId="0" applyFont="1" applyFill="1"/>
    <xf numFmtId="0" fontId="88" fillId="0" borderId="0" xfId="0" applyFont="1" applyProtection="1">
      <protection locked="0"/>
    </xf>
    <xf numFmtId="0" fontId="88" fillId="30" borderId="0" xfId="0" applyFont="1" applyFill="1" applyProtection="1">
      <protection locked="0"/>
    </xf>
    <xf numFmtId="0" fontId="88" fillId="0" borderId="0" xfId="0" applyFont="1" applyAlignment="1" applyProtection="1">
      <alignment vertical="center"/>
      <protection locked="0"/>
    </xf>
    <xf numFmtId="49" fontId="90" fillId="0" borderId="0" xfId="8" applyNumberFormat="1" applyFont="1" applyAlignment="1">
      <alignment horizontal="center" vertical="center"/>
    </xf>
    <xf numFmtId="0" fontId="88" fillId="30" borderId="0" xfId="0" applyFont="1" applyFill="1" applyAlignment="1">
      <alignment vertical="center"/>
    </xf>
    <xf numFmtId="0" fontId="88" fillId="30" borderId="0" xfId="0" applyFont="1" applyFill="1" applyAlignment="1" applyProtection="1">
      <alignment vertical="center"/>
      <protection locked="0"/>
    </xf>
    <xf numFmtId="0" fontId="92" fillId="0" borderId="0" xfId="4" applyFont="1" applyAlignment="1" applyProtection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14" fontId="93" fillId="0" borderId="0" xfId="0" applyNumberFormat="1" applyFont="1" applyAlignment="1">
      <alignment horizontal="right" vertical="center" wrapText="1"/>
    </xf>
    <xf numFmtId="0" fontId="88" fillId="30" borderId="0" xfId="0" applyFont="1" applyFill="1" applyAlignment="1">
      <alignment horizontal="center" vertical="center" wrapText="1"/>
    </xf>
    <xf numFmtId="0" fontId="90" fillId="33" borderId="0" xfId="0" applyFont="1" applyFill="1" applyAlignment="1">
      <alignment horizontal="center" vertical="center" wrapText="1"/>
    </xf>
    <xf numFmtId="0" fontId="95" fillId="34" borderId="0" xfId="0" applyFont="1" applyFill="1" applyAlignment="1">
      <alignment horizontal="center" vertical="center" wrapText="1"/>
    </xf>
    <xf numFmtId="167" fontId="88" fillId="30" borderId="0" xfId="0" applyNumberFormat="1" applyFont="1" applyFill="1" applyAlignment="1">
      <alignment vertical="center"/>
    </xf>
    <xf numFmtId="49" fontId="96" fillId="0" borderId="0" xfId="8" applyNumberFormat="1" applyFont="1" applyAlignment="1">
      <alignment horizontal="center" vertical="center" wrapText="1"/>
    </xf>
    <xf numFmtId="0" fontId="97" fillId="33" borderId="0" xfId="0" applyFont="1" applyFill="1"/>
    <xf numFmtId="167" fontId="88" fillId="33" borderId="0" xfId="0" applyNumberFormat="1" applyFont="1" applyFill="1" applyAlignment="1">
      <alignment horizontal="right"/>
    </xf>
    <xf numFmtId="167" fontId="88" fillId="30" borderId="0" xfId="0" applyNumberFormat="1" applyFont="1" applyFill="1"/>
    <xf numFmtId="167" fontId="88" fillId="33" borderId="0" xfId="1" applyNumberFormat="1" applyFont="1" applyFill="1" applyAlignment="1" applyProtection="1">
      <alignment horizontal="right"/>
    </xf>
    <xf numFmtId="167" fontId="88" fillId="0" borderId="0" xfId="0" applyNumberFormat="1" applyFont="1" applyAlignment="1">
      <alignment horizontal="right"/>
    </xf>
    <xf numFmtId="0" fontId="88" fillId="33" borderId="0" xfId="0" applyFont="1" applyFill="1" applyAlignment="1">
      <alignment horizontal="left"/>
    </xf>
    <xf numFmtId="173" fontId="88" fillId="33" borderId="0" xfId="0" applyNumberFormat="1" applyFont="1" applyFill="1" applyAlignment="1">
      <alignment horizontal="left"/>
    </xf>
    <xf numFmtId="167" fontId="88" fillId="30" borderId="0" xfId="0" applyNumberFormat="1" applyFont="1" applyFill="1" applyProtection="1">
      <protection locked="0"/>
    </xf>
    <xf numFmtId="0" fontId="94" fillId="34" borderId="0" xfId="0" applyFont="1" applyFill="1" applyAlignment="1">
      <alignment vertical="center"/>
    </xf>
    <xf numFmtId="0" fontId="94" fillId="34" borderId="0" xfId="0" applyFont="1" applyFill="1"/>
    <xf numFmtId="167" fontId="88" fillId="35" borderId="0" xfId="0" applyNumberFormat="1" applyFont="1" applyFill="1" applyAlignment="1">
      <alignment horizontal="right"/>
    </xf>
    <xf numFmtId="167" fontId="94" fillId="34" borderId="0" xfId="1" applyNumberFormat="1" applyFont="1" applyFill="1" applyAlignment="1" applyProtection="1">
      <alignment horizontal="right"/>
    </xf>
    <xf numFmtId="3" fontId="95" fillId="34" borderId="157" xfId="0" applyNumberFormat="1" applyFont="1" applyFill="1" applyBorder="1" applyAlignment="1">
      <alignment horizontal="left" vertical="center"/>
    </xf>
    <xf numFmtId="0" fontId="88" fillId="30" borderId="157" xfId="0" applyFont="1" applyFill="1" applyBorder="1"/>
    <xf numFmtId="167" fontId="95" fillId="40" borderId="157" xfId="1" applyNumberFormat="1" applyFont="1" applyFill="1" applyBorder="1" applyAlignment="1" applyProtection="1">
      <alignment horizontal="right" vertical="center"/>
    </xf>
    <xf numFmtId="167" fontId="95" fillId="34" borderId="157" xfId="1" applyNumberFormat="1" applyFont="1" applyFill="1" applyBorder="1" applyAlignment="1" applyProtection="1">
      <alignment horizontal="right" vertical="center"/>
    </xf>
    <xf numFmtId="167" fontId="88" fillId="0" borderId="0" xfId="0" applyNumberFormat="1" applyFont="1"/>
    <xf numFmtId="3" fontId="95" fillId="36" borderId="157" xfId="0" applyNumberFormat="1" applyFont="1" applyFill="1" applyBorder="1" applyAlignment="1">
      <alignment horizontal="left" vertical="center"/>
    </xf>
    <xf numFmtId="0" fontId="88" fillId="30" borderId="157" xfId="0" applyFont="1" applyFill="1" applyBorder="1" applyAlignment="1">
      <alignment vertical="center"/>
    </xf>
    <xf numFmtId="167" fontId="95" fillId="36" borderId="157" xfId="1" applyNumberFormat="1" applyFont="1" applyFill="1" applyBorder="1" applyAlignment="1" applyProtection="1">
      <alignment horizontal="right" vertical="center"/>
    </xf>
    <xf numFmtId="0" fontId="95" fillId="34" borderId="0" xfId="0" applyFont="1" applyFill="1" applyAlignment="1">
      <alignment vertical="center"/>
    </xf>
    <xf numFmtId="0" fontId="95" fillId="34" borderId="0" xfId="0" applyFont="1" applyFill="1"/>
    <xf numFmtId="0" fontId="98" fillId="30" borderId="0" xfId="0" applyFont="1" applyFill="1"/>
    <xf numFmtId="167" fontId="98" fillId="35" borderId="0" xfId="0" applyNumberFormat="1" applyFont="1" applyFill="1" applyAlignment="1">
      <alignment horizontal="right"/>
    </xf>
    <xf numFmtId="167" fontId="98" fillId="30" borderId="0" xfId="0" applyNumberFormat="1" applyFont="1" applyFill="1"/>
    <xf numFmtId="0" fontId="98" fillId="0" borderId="0" xfId="0" applyFont="1"/>
    <xf numFmtId="3" fontId="94" fillId="34" borderId="0" xfId="1" applyNumberFormat="1" applyFont="1" applyFill="1" applyAlignment="1" applyProtection="1">
      <alignment horizontal="right"/>
    </xf>
    <xf numFmtId="175" fontId="94" fillId="34" borderId="0" xfId="1" applyNumberFormat="1" applyFont="1" applyFill="1" applyAlignment="1" applyProtection="1">
      <alignment horizontal="right"/>
    </xf>
    <xf numFmtId="0" fontId="94" fillId="30" borderId="157" xfId="0" applyFont="1" applyFill="1" applyBorder="1"/>
    <xf numFmtId="167" fontId="94" fillId="30" borderId="0" xfId="0" applyNumberFormat="1" applyFont="1" applyFill="1"/>
    <xf numFmtId="0" fontId="89" fillId="34" borderId="0" xfId="0" applyFont="1" applyFill="1" applyAlignment="1">
      <alignment vertical="center"/>
    </xf>
    <xf numFmtId="0" fontId="89" fillId="34" borderId="0" xfId="0" applyFont="1" applyFill="1"/>
    <xf numFmtId="167" fontId="100" fillId="36" borderId="0" xfId="1" applyNumberFormat="1" applyFont="1" applyFill="1" applyBorder="1" applyAlignment="1" applyProtection="1">
      <alignment horizontal="right" vertical="center"/>
    </xf>
    <xf numFmtId="0" fontId="93" fillId="4" borderId="167" xfId="0" applyFont="1" applyFill="1" applyBorder="1" applyAlignment="1">
      <alignment horizontal="left"/>
    </xf>
    <xf numFmtId="0" fontId="101" fillId="0" borderId="0" xfId="0" applyFont="1" applyProtection="1">
      <protection locked="0"/>
    </xf>
    <xf numFmtId="0" fontId="25" fillId="0" borderId="0" xfId="0" applyFont="1"/>
    <xf numFmtId="0" fontId="101" fillId="0" borderId="0" xfId="0" applyFont="1" applyAlignment="1">
      <alignment horizontal="center" vertical="center" wrapText="1"/>
    </xf>
    <xf numFmtId="14" fontId="102" fillId="0" borderId="0" xfId="0" applyNumberFormat="1" applyFont="1" applyAlignment="1">
      <alignment horizontal="right" wrapText="1"/>
    </xf>
    <xf numFmtId="0" fontId="101" fillId="30" borderId="0" xfId="0" applyFont="1" applyFill="1" applyAlignment="1" applyProtection="1">
      <alignment horizontal="center" vertical="center" wrapText="1"/>
      <protection locked="0"/>
    </xf>
    <xf numFmtId="0" fontId="101" fillId="0" borderId="0" xfId="0" applyFont="1" applyAlignment="1" applyProtection="1">
      <alignment horizontal="center" vertical="center" wrapText="1"/>
      <protection locked="0"/>
    </xf>
    <xf numFmtId="0" fontId="101" fillId="0" borderId="0" xfId="0" applyFont="1"/>
    <xf numFmtId="0" fontId="101" fillId="0" borderId="154" xfId="0" applyFont="1" applyBorder="1" applyAlignment="1" applyProtection="1">
      <alignment horizontal="center"/>
      <protection locked="0"/>
    </xf>
    <xf numFmtId="0" fontId="103" fillId="34" borderId="0" xfId="0" applyFont="1" applyFill="1"/>
    <xf numFmtId="0" fontId="103" fillId="34" borderId="0" xfId="0" applyFont="1" applyFill="1" applyProtection="1">
      <protection locked="0"/>
    </xf>
    <xf numFmtId="0" fontId="101" fillId="30" borderId="0" xfId="0" applyFont="1" applyFill="1"/>
    <xf numFmtId="167" fontId="104" fillId="0" borderId="0" xfId="0" applyNumberFormat="1" applyFont="1" applyAlignment="1">
      <alignment vertical="center" wrapText="1"/>
    </xf>
    <xf numFmtId="167" fontId="101" fillId="3" borderId="154" xfId="0" applyNumberFormat="1" applyFont="1" applyFill="1" applyBorder="1"/>
    <xf numFmtId="167" fontId="101" fillId="6" borderId="154" xfId="0" applyNumberFormat="1" applyFont="1" applyFill="1" applyBorder="1" applyProtection="1">
      <protection locked="0"/>
    </xf>
    <xf numFmtId="0" fontId="105" fillId="36" borderId="156" xfId="0" applyFont="1" applyFill="1" applyBorder="1" applyAlignment="1">
      <alignment vertical="center" wrapText="1"/>
    </xf>
    <xf numFmtId="0" fontId="105" fillId="36" borderId="156" xfId="0" applyFont="1" applyFill="1" applyBorder="1" applyAlignment="1" applyProtection="1">
      <alignment vertical="center" wrapText="1"/>
      <protection locked="0"/>
    </xf>
    <xf numFmtId="167" fontId="105" fillId="36" borderId="156" xfId="1" applyNumberFormat="1" applyFont="1" applyFill="1" applyBorder="1" applyAlignment="1" applyProtection="1">
      <alignment vertical="center" wrapText="1"/>
    </xf>
    <xf numFmtId="167" fontId="105" fillId="36" borderId="160" xfId="1" applyNumberFormat="1" applyFont="1" applyFill="1" applyBorder="1" applyAlignment="1" applyProtection="1">
      <alignment vertical="center" wrapText="1"/>
    </xf>
    <xf numFmtId="0" fontId="101" fillId="30" borderId="0" xfId="0" applyFont="1" applyFill="1" applyProtection="1">
      <protection locked="0"/>
    </xf>
    <xf numFmtId="167" fontId="101" fillId="30" borderId="154" xfId="0" applyNumberFormat="1" applyFont="1" applyFill="1" applyBorder="1"/>
    <xf numFmtId="167" fontId="101" fillId="6" borderId="0" xfId="0" applyNumberFormat="1" applyFont="1" applyFill="1" applyProtection="1">
      <protection locked="0"/>
    </xf>
    <xf numFmtId="167" fontId="101" fillId="0" borderId="0" xfId="0" applyNumberFormat="1" applyFont="1"/>
    <xf numFmtId="167" fontId="101" fillId="0" borderId="154" xfId="0" applyNumberFormat="1" applyFont="1" applyBorder="1"/>
    <xf numFmtId="169" fontId="106" fillId="38" borderId="0" xfId="10" applyFont="1" applyFill="1" applyAlignment="1" applyProtection="1">
      <alignment horizontal="left" vertical="center" wrapText="1"/>
    </xf>
    <xf numFmtId="169" fontId="106" fillId="38" borderId="0" xfId="10" applyFont="1" applyFill="1" applyAlignment="1" applyProtection="1">
      <alignment horizontal="left" vertical="center" wrapText="1"/>
      <protection locked="0"/>
    </xf>
    <xf numFmtId="0" fontId="101" fillId="30" borderId="0" xfId="0" applyFont="1" applyFill="1" applyAlignment="1">
      <alignment horizontal="center" vertical="center"/>
    </xf>
    <xf numFmtId="167" fontId="106" fillId="38" borderId="0" xfId="10" applyNumberFormat="1" applyFont="1" applyFill="1" applyAlignment="1" applyProtection="1">
      <alignment vertical="center" wrapText="1"/>
    </xf>
    <xf numFmtId="167" fontId="106" fillId="38" borderId="154" xfId="10" applyNumberFormat="1" applyFont="1" applyFill="1" applyBorder="1" applyAlignment="1" applyProtection="1">
      <alignment vertical="center" wrapText="1"/>
    </xf>
    <xf numFmtId="0" fontId="101" fillId="0" borderId="162" xfId="0" applyFont="1" applyBorder="1"/>
    <xf numFmtId="0" fontId="101" fillId="0" borderId="162" xfId="0" applyFont="1" applyBorder="1" applyProtection="1">
      <protection locked="0"/>
    </xf>
    <xf numFmtId="0" fontId="101" fillId="30" borderId="162" xfId="0" applyFont="1" applyFill="1" applyBorder="1"/>
    <xf numFmtId="167" fontId="104" fillId="0" borderId="162" xfId="0" applyNumberFormat="1" applyFont="1" applyBorder="1" applyAlignment="1">
      <alignment vertical="center" wrapText="1"/>
    </xf>
    <xf numFmtId="167" fontId="101" fillId="0" borderId="165" xfId="0" applyNumberFormat="1" applyFont="1" applyBorder="1"/>
    <xf numFmtId="0" fontId="101" fillId="0" borderId="0" xfId="0" applyFont="1" applyAlignment="1" applyProtection="1">
      <alignment horizontal="center"/>
      <protection locked="0"/>
    </xf>
    <xf numFmtId="167" fontId="107" fillId="6" borderId="154" xfId="0" applyNumberFormat="1" applyFont="1" applyFill="1" applyBorder="1" applyProtection="1">
      <protection locked="0"/>
    </xf>
    <xf numFmtId="167" fontId="101" fillId="3" borderId="154" xfId="1" applyNumberFormat="1" applyFont="1" applyFill="1" applyBorder="1" applyAlignment="1" applyProtection="1"/>
    <xf numFmtId="169" fontId="105" fillId="34" borderId="0" xfId="10" applyFont="1" applyFill="1" applyAlignment="1" applyProtection="1">
      <alignment horizontal="left" vertical="center" wrapText="1"/>
    </xf>
    <xf numFmtId="169" fontId="105" fillId="34" borderId="0" xfId="10" applyFont="1" applyFill="1" applyAlignment="1" applyProtection="1">
      <alignment horizontal="left" vertical="center" wrapText="1"/>
      <protection locked="0"/>
    </xf>
    <xf numFmtId="0" fontId="101" fillId="30" borderId="0" xfId="0" applyFont="1" applyFill="1" applyAlignment="1">
      <alignment vertical="center"/>
    </xf>
    <xf numFmtId="167" fontId="105" fillId="34" borderId="154" xfId="10" applyNumberFormat="1" applyFont="1" applyFill="1" applyBorder="1" applyAlignment="1" applyProtection="1">
      <alignment vertical="center" wrapText="1"/>
    </xf>
    <xf numFmtId="0" fontId="60" fillId="3" borderId="0" xfId="0" applyFont="1" applyFill="1" applyAlignment="1">
      <alignment horizontal="center"/>
    </xf>
    <xf numFmtId="0" fontId="102" fillId="3" borderId="0" xfId="0" applyFont="1" applyFill="1" applyAlignment="1">
      <alignment horizontal="center"/>
    </xf>
    <xf numFmtId="0" fontId="102" fillId="3" borderId="0" xfId="0" applyFont="1" applyFill="1" applyAlignment="1" applyProtection="1">
      <alignment horizontal="left"/>
      <protection locked="0"/>
    </xf>
    <xf numFmtId="167" fontId="102" fillId="3" borderId="0" xfId="0" applyNumberFormat="1" applyFont="1" applyFill="1"/>
    <xf numFmtId="0" fontId="60" fillId="3" borderId="0" xfId="0" applyFont="1" applyFill="1" applyAlignment="1" applyProtection="1">
      <alignment horizontal="center"/>
      <protection locked="0"/>
    </xf>
    <xf numFmtId="167" fontId="102" fillId="0" borderId="0" xfId="0" applyNumberFormat="1" applyFont="1"/>
    <xf numFmtId="0" fontId="108" fillId="2" borderId="0" xfId="0" applyFont="1" applyFill="1" applyAlignment="1">
      <alignment wrapText="1"/>
    </xf>
    <xf numFmtId="0" fontId="108" fillId="2" borderId="0" xfId="0" applyFont="1" applyFill="1" applyAlignment="1" applyProtection="1">
      <alignment wrapText="1"/>
      <protection locked="0"/>
    </xf>
    <xf numFmtId="169" fontId="106" fillId="38" borderId="8" xfId="10" applyFont="1" applyFill="1" applyBorder="1" applyAlignment="1" applyProtection="1">
      <alignment horizontal="left" vertical="center" wrapText="1"/>
    </xf>
    <xf numFmtId="169" fontId="106" fillId="38" borderId="9" xfId="10" applyFont="1" applyFill="1" applyBorder="1" applyAlignment="1" applyProtection="1">
      <alignment horizontal="left" vertical="center" wrapText="1"/>
      <protection locked="0"/>
    </xf>
    <xf numFmtId="167" fontId="106" fillId="38" borderId="161" xfId="10" applyNumberFormat="1" applyFont="1" applyFill="1" applyBorder="1" applyAlignment="1" applyProtection="1">
      <alignment vertical="center" wrapText="1"/>
    </xf>
    <xf numFmtId="0" fontId="72" fillId="0" borderId="0" xfId="0" applyFont="1"/>
    <xf numFmtId="0" fontId="109" fillId="4" borderId="0" xfId="0" applyFont="1" applyFill="1" applyAlignment="1">
      <alignment horizontal="left"/>
    </xf>
    <xf numFmtId="0" fontId="72" fillId="30" borderId="0" xfId="0" applyFont="1" applyFill="1" applyProtection="1">
      <protection locked="0"/>
    </xf>
    <xf numFmtId="0" fontId="72" fillId="0" borderId="0" xfId="0" applyFont="1" applyAlignment="1" applyProtection="1">
      <alignment horizontal="center"/>
      <protection locked="0"/>
    </xf>
    <xf numFmtId="0" fontId="72" fillId="0" borderId="0" xfId="0" applyFont="1" applyProtection="1">
      <protection locked="0"/>
    </xf>
    <xf numFmtId="0" fontId="33" fillId="0" borderId="0" xfId="4" applyFont="1" applyAlignment="1">
      <alignment horizontal="left" vertical="center" wrapText="1"/>
    </xf>
    <xf numFmtId="0" fontId="35" fillId="0" borderId="0" xfId="0" applyFont="1" applyAlignment="1">
      <alignment horizontal="center" vertical="center"/>
    </xf>
    <xf numFmtId="0" fontId="44" fillId="0" borderId="0" xfId="0" applyFont="1"/>
    <xf numFmtId="0" fontId="18" fillId="4" borderId="173" xfId="0" applyFont="1" applyFill="1" applyBorder="1" applyAlignment="1">
      <alignment vertical="center" wrapText="1"/>
    </xf>
    <xf numFmtId="0" fontId="4" fillId="30" borderId="173" xfId="0" applyFont="1" applyFill="1" applyBorder="1" applyAlignment="1">
      <alignment vertical="center"/>
    </xf>
    <xf numFmtId="167" fontId="18" fillId="4" borderId="173" xfId="1" applyNumberFormat="1" applyFont="1" applyFill="1" applyBorder="1" applyAlignment="1">
      <alignment horizontal="right" vertical="center" wrapText="1"/>
    </xf>
    <xf numFmtId="169" fontId="70" fillId="38" borderId="0" xfId="10" applyFont="1" applyFill="1" applyAlignment="1">
      <alignment horizontal="left" vertical="center" wrapText="1"/>
    </xf>
    <xf numFmtId="167" fontId="70" fillId="38" borderId="0" xfId="10" applyNumberFormat="1" applyFont="1" applyFill="1" applyAlignment="1">
      <alignment horizontal="right" vertical="center" wrapText="1"/>
    </xf>
    <xf numFmtId="0" fontId="18" fillId="4" borderId="173" xfId="0" applyFont="1" applyFill="1" applyBorder="1" applyAlignment="1">
      <alignment vertical="center"/>
    </xf>
    <xf numFmtId="167" fontId="18" fillId="4" borderId="173" xfId="1" applyNumberFormat="1" applyFont="1" applyFill="1" applyBorder="1" applyAlignment="1">
      <alignment horizontal="right" vertical="center"/>
    </xf>
    <xf numFmtId="0" fontId="18" fillId="0" borderId="0" xfId="0" applyFont="1"/>
    <xf numFmtId="169" fontId="35" fillId="18" borderId="9" xfId="10" applyFont="1" applyFill="1" applyBorder="1" applyAlignment="1">
      <alignment horizontal="left" vertical="center" wrapText="1"/>
    </xf>
    <xf numFmtId="0" fontId="18" fillId="30" borderId="0" xfId="0" applyFont="1" applyFill="1"/>
    <xf numFmtId="167" fontId="35" fillId="18" borderId="161" xfId="10" applyNumberFormat="1" applyFont="1" applyFill="1" applyBorder="1" applyAlignment="1">
      <alignment horizontal="right" vertical="center" wrapText="1"/>
    </xf>
    <xf numFmtId="0" fontId="35" fillId="0" borderId="0" xfId="0" applyFont="1"/>
    <xf numFmtId="0" fontId="65" fillId="0" borderId="0" xfId="0" applyFont="1" applyAlignment="1">
      <alignment vertical="center"/>
    </xf>
    <xf numFmtId="0" fontId="35" fillId="3" borderId="156" xfId="0" applyFont="1" applyFill="1" applyBorder="1" applyAlignment="1">
      <alignment vertical="center" wrapText="1"/>
    </xf>
    <xf numFmtId="0" fontId="18" fillId="30" borderId="0" xfId="0" applyFont="1" applyFill="1" applyAlignment="1">
      <alignment vertical="center"/>
    </xf>
    <xf numFmtId="167" fontId="35" fillId="3" borderId="156" xfId="1" applyNumberFormat="1" applyFont="1" applyFill="1" applyBorder="1" applyAlignment="1">
      <alignment horizontal="right" vertical="center" wrapText="1"/>
    </xf>
    <xf numFmtId="0" fontId="60" fillId="4" borderId="0" xfId="0" applyFont="1" applyFill="1" applyAlignment="1">
      <alignment horizontal="left"/>
    </xf>
    <xf numFmtId="167" fontId="60" fillId="4" borderId="167" xfId="0" applyNumberFormat="1" applyFont="1" applyFill="1" applyBorder="1" applyAlignment="1">
      <alignment horizontal="center"/>
    </xf>
    <xf numFmtId="49" fontId="35" fillId="0" borderId="0" xfId="8" applyNumberFormat="1" applyFont="1" applyAlignment="1">
      <alignment horizontal="center" vertical="center"/>
    </xf>
    <xf numFmtId="14" fontId="60" fillId="0" borderId="0" xfId="0" applyNumberFormat="1" applyFont="1" applyAlignment="1">
      <alignment horizontal="right" vertical="center" wrapText="1"/>
    </xf>
    <xf numFmtId="0" fontId="28" fillId="34" borderId="0" xfId="0" applyFont="1" applyFill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7" fillId="30" borderId="0" xfId="0" applyFont="1" applyFill="1" applyAlignment="1">
      <alignment horizontal="center" vertical="center" wrapText="1"/>
    </xf>
    <xf numFmtId="14" fontId="28" fillId="34" borderId="0" xfId="0" applyNumberFormat="1" applyFont="1" applyFill="1" applyAlignment="1">
      <alignment horizontal="center" vertical="center" wrapText="1"/>
    </xf>
    <xf numFmtId="49" fontId="45" fillId="0" borderId="0" xfId="8" applyNumberFormat="1" applyFont="1" applyAlignment="1">
      <alignment horizontal="center" vertical="center" wrapText="1"/>
    </xf>
    <xf numFmtId="167" fontId="4" fillId="30" borderId="0" xfId="0" applyNumberFormat="1" applyFont="1" applyFill="1"/>
    <xf numFmtId="3" fontId="28" fillId="34" borderId="157" xfId="0" applyNumberFormat="1" applyFont="1" applyFill="1" applyBorder="1" applyAlignment="1">
      <alignment horizontal="left" vertical="center"/>
    </xf>
    <xf numFmtId="3" fontId="28" fillId="34" borderId="157" xfId="0" applyNumberFormat="1" applyFont="1" applyFill="1" applyBorder="1" applyAlignment="1">
      <alignment horizontal="left" vertical="center" wrapText="1"/>
    </xf>
    <xf numFmtId="0" fontId="4" fillId="30" borderId="157" xfId="0" applyFont="1" applyFill="1" applyBorder="1"/>
    <xf numFmtId="167" fontId="28" fillId="34" borderId="157" xfId="1" applyNumberFormat="1" applyFont="1" applyFill="1" applyBorder="1" applyAlignment="1" applyProtection="1">
      <alignment horizontal="right" vertical="center"/>
    </xf>
    <xf numFmtId="3" fontId="68" fillId="34" borderId="172" xfId="0" applyNumberFormat="1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31" fillId="30" borderId="157" xfId="0" applyFont="1" applyFill="1" applyBorder="1"/>
    <xf numFmtId="167" fontId="31" fillId="30" borderId="0" xfId="0" applyNumberFormat="1" applyFont="1" applyFill="1"/>
    <xf numFmtId="3" fontId="28" fillId="36" borderId="157" xfId="0" applyNumberFormat="1" applyFont="1" applyFill="1" applyBorder="1" applyAlignment="1">
      <alignment horizontal="left" vertical="center"/>
    </xf>
    <xf numFmtId="3" fontId="28" fillId="36" borderId="157" xfId="0" applyNumberFormat="1" applyFont="1" applyFill="1" applyBorder="1" applyAlignment="1">
      <alignment horizontal="left" vertical="center" wrapText="1"/>
    </xf>
    <xf numFmtId="167" fontId="70" fillId="36" borderId="0" xfId="1" applyNumberFormat="1" applyFont="1" applyFill="1" applyBorder="1" applyAlignment="1" applyProtection="1">
      <alignment horizontal="right" vertical="center"/>
    </xf>
    <xf numFmtId="3" fontId="111" fillId="38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center" wrapText="1"/>
    </xf>
    <xf numFmtId="3" fontId="70" fillId="38" borderId="0" xfId="0" applyNumberFormat="1" applyFont="1" applyFill="1" applyAlignment="1">
      <alignment horizontal="left" vertical="center"/>
    </xf>
    <xf numFmtId="3" fontId="70" fillId="38" borderId="0" xfId="0" applyNumberFormat="1" applyFont="1" applyFill="1" applyAlignment="1">
      <alignment horizontal="left" vertical="center" wrapText="1"/>
    </xf>
    <xf numFmtId="167" fontId="70" fillId="38" borderId="0" xfId="1" applyNumberFormat="1" applyFont="1" applyFill="1" applyBorder="1" applyAlignment="1" applyProtection="1">
      <alignment horizontal="right" vertical="center"/>
    </xf>
    <xf numFmtId="167" fontId="31" fillId="34" borderId="0" xfId="0" applyNumberFormat="1" applyFont="1" applyFill="1" applyAlignment="1">
      <alignment horizontal="right" vertical="center"/>
    </xf>
    <xf numFmtId="0" fontId="31" fillId="34" borderId="0" xfId="0" applyFont="1" applyFill="1" applyAlignment="1">
      <alignment vertical="center"/>
    </xf>
    <xf numFmtId="167" fontId="4" fillId="0" borderId="0" xfId="1" applyNumberFormat="1" applyFont="1" applyProtection="1"/>
    <xf numFmtId="3" fontId="4" fillId="0" borderId="0" xfId="1" applyNumberFormat="1" applyFont="1" applyProtection="1"/>
    <xf numFmtId="0" fontId="28" fillId="30" borderId="0" xfId="0" applyFont="1" applyFill="1" applyAlignment="1">
      <alignment horizontal="center" vertical="center" wrapText="1"/>
    </xf>
    <xf numFmtId="3" fontId="68" fillId="34" borderId="157" xfId="0" applyNumberFormat="1" applyFont="1" applyFill="1" applyBorder="1" applyAlignment="1">
      <alignment horizontal="left" vertical="center"/>
    </xf>
    <xf numFmtId="3" fontId="85" fillId="36" borderId="157" xfId="0" applyNumberFormat="1" applyFont="1" applyFill="1" applyBorder="1" applyAlignment="1">
      <alignment horizontal="left" vertical="center"/>
    </xf>
    <xf numFmtId="0" fontId="4" fillId="30" borderId="157" xfId="0" applyFont="1" applyFill="1" applyBorder="1" applyAlignment="1">
      <alignment vertical="center"/>
    </xf>
    <xf numFmtId="167" fontId="28" fillId="36" borderId="157" xfId="1" applyNumberFormat="1" applyFont="1" applyFill="1" applyBorder="1" applyAlignment="1" applyProtection="1">
      <alignment horizontal="right" vertical="center"/>
    </xf>
    <xf numFmtId="0" fontId="28" fillId="34" borderId="0" xfId="0" applyFont="1" applyFill="1" applyAlignment="1">
      <alignment vertical="center"/>
    </xf>
    <xf numFmtId="0" fontId="28" fillId="34" borderId="0" xfId="0" applyFont="1" applyFill="1"/>
    <xf numFmtId="0" fontId="67" fillId="30" borderId="0" xfId="0" applyFont="1" applyFill="1"/>
    <xf numFmtId="167" fontId="67" fillId="30" borderId="0" xfId="0" applyNumberFormat="1" applyFont="1" applyFill="1"/>
    <xf numFmtId="167" fontId="28" fillId="34" borderId="0" xfId="1" applyNumberFormat="1" applyFont="1" applyFill="1" applyAlignment="1" applyProtection="1">
      <alignment horizontal="right"/>
    </xf>
    <xf numFmtId="0" fontId="67" fillId="0" borderId="0" xfId="0" applyFont="1"/>
    <xf numFmtId="167" fontId="44" fillId="4" borderId="167" xfId="0" applyNumberFormat="1" applyFont="1" applyFill="1" applyBorder="1"/>
    <xf numFmtId="14" fontId="35" fillId="41" borderId="0" xfId="0" applyNumberFormat="1" applyFont="1" applyFill="1" applyAlignment="1" applyProtection="1">
      <alignment vertical="center"/>
      <protection locked="0"/>
    </xf>
    <xf numFmtId="174" fontId="113" fillId="0" borderId="0" xfId="11" applyNumberFormat="1" applyFont="1" applyAlignment="1">
      <alignment vertical="center"/>
    </xf>
    <xf numFmtId="0" fontId="114" fillId="0" borderId="0" xfId="0" quotePrefix="1" applyFont="1" applyAlignment="1">
      <alignment horizontal="center"/>
    </xf>
    <xf numFmtId="0" fontId="115" fillId="0" borderId="0" xfId="11" applyFont="1"/>
    <xf numFmtId="174" fontId="116" fillId="3" borderId="18" xfId="12" applyNumberFormat="1" applyFont="1" applyFill="1" applyBorder="1" applyAlignment="1">
      <alignment horizontal="center" vertical="center"/>
    </xf>
    <xf numFmtId="174" fontId="116" fillId="3" borderId="18" xfId="12" quotePrefix="1" applyNumberFormat="1" applyFont="1" applyFill="1" applyBorder="1" applyAlignment="1">
      <alignment horizontal="center" vertical="center"/>
    </xf>
    <xf numFmtId="174" fontId="113" fillId="0" borderId="0" xfId="11" applyNumberFormat="1" applyFont="1"/>
    <xf numFmtId="174" fontId="118" fillId="3" borderId="18" xfId="1" applyNumberFormat="1" applyFont="1" applyFill="1" applyBorder="1" applyAlignment="1">
      <alignment horizontal="center" vertical="center"/>
    </xf>
    <xf numFmtId="173" fontId="113" fillId="0" borderId="0" xfId="11" applyNumberFormat="1" applyFont="1"/>
    <xf numFmtId="0" fontId="119" fillId="0" borderId="0" xfId="0" quotePrefix="1" applyFont="1" applyAlignment="1">
      <alignment horizontal="right"/>
    </xf>
    <xf numFmtId="174" fontId="113" fillId="0" borderId="0" xfId="11" applyNumberFormat="1" applyFont="1" applyAlignment="1">
      <alignment horizontal="left" vertical="center"/>
    </xf>
    <xf numFmtId="0" fontId="113" fillId="0" borderId="0" xfId="11" applyFont="1"/>
    <xf numFmtId="174" fontId="116" fillId="18" borderId="174" xfId="12" applyNumberFormat="1" applyFont="1" applyFill="1" applyBorder="1" applyAlignment="1">
      <alignment horizontal="center" vertical="center"/>
    </xf>
    <xf numFmtId="174" fontId="116" fillId="3" borderId="174" xfId="12" applyNumberFormat="1" applyFont="1" applyFill="1" applyBorder="1" applyAlignment="1">
      <alignment horizontal="center" vertical="center"/>
    </xf>
    <xf numFmtId="0" fontId="113" fillId="0" borderId="174" xfId="11" applyFont="1" applyBorder="1"/>
    <xf numFmtId="174" fontId="120" fillId="18" borderId="174" xfId="1" applyNumberFormat="1" applyFont="1" applyFill="1" applyBorder="1" applyAlignment="1">
      <alignment horizontal="center"/>
    </xf>
    <xf numFmtId="174" fontId="116" fillId="0" borderId="174" xfId="1" applyNumberFormat="1" applyFont="1" applyFill="1" applyBorder="1" applyAlignment="1">
      <alignment horizontal="center"/>
    </xf>
    <xf numFmtId="174" fontId="120" fillId="0" borderId="174" xfId="1" applyNumberFormat="1" applyFont="1" applyFill="1" applyBorder="1" applyAlignment="1">
      <alignment horizontal="center"/>
    </xf>
    <xf numFmtId="3" fontId="12" fillId="0" borderId="0" xfId="0" applyNumberFormat="1" applyFont="1" applyAlignment="1">
      <alignment horizontal="center"/>
    </xf>
    <xf numFmtId="174" fontId="120" fillId="18" borderId="0" xfId="1" applyNumberFormat="1" applyFont="1" applyFill="1" applyBorder="1" applyAlignment="1">
      <alignment horizontal="center"/>
    </xf>
    <xf numFmtId="174" fontId="120" fillId="0" borderId="0" xfId="1" applyNumberFormat="1" applyFont="1" applyFill="1" applyBorder="1" applyAlignment="1">
      <alignment horizontal="center"/>
    </xf>
    <xf numFmtId="0" fontId="116" fillId="0" borderId="175" xfId="11" applyFont="1" applyBorder="1"/>
    <xf numFmtId="174" fontId="118" fillId="18" borderId="175" xfId="1" applyNumberFormat="1" applyFont="1" applyFill="1" applyBorder="1" applyAlignment="1">
      <alignment horizontal="center"/>
    </xf>
    <xf numFmtId="174" fontId="118" fillId="0" borderId="175" xfId="1" applyNumberFormat="1" applyFont="1" applyFill="1" applyBorder="1" applyAlignment="1">
      <alignment horizontal="center"/>
    </xf>
    <xf numFmtId="0" fontId="116" fillId="30" borderId="0" xfId="11" applyFont="1" applyFill="1"/>
    <xf numFmtId="174" fontId="118" fillId="30" borderId="0" xfId="1" applyNumberFormat="1" applyFont="1" applyFill="1" applyBorder="1" applyAlignment="1">
      <alignment horizontal="center"/>
    </xf>
    <xf numFmtId="0" fontId="4" fillId="30" borderId="0" xfId="0" applyFont="1" applyFill="1" applyAlignment="1">
      <alignment horizontal="center"/>
    </xf>
    <xf numFmtId="0" fontId="113" fillId="0" borderId="175" xfId="11" applyFont="1" applyBorder="1"/>
    <xf numFmtId="174" fontId="116" fillId="18" borderId="175" xfId="12" applyNumberFormat="1" applyFont="1" applyFill="1" applyBorder="1" applyAlignment="1">
      <alignment horizontal="center" vertical="center"/>
    </xf>
    <xf numFmtId="174" fontId="116" fillId="3" borderId="175" xfId="12" applyNumberFormat="1" applyFont="1" applyFill="1" applyBorder="1" applyAlignment="1">
      <alignment horizontal="center" vertical="center"/>
    </xf>
    <xf numFmtId="174" fontId="116" fillId="30" borderId="0" xfId="12" applyNumberFormat="1" applyFont="1" applyFill="1" applyAlignment="1">
      <alignment horizontal="center" vertical="center"/>
    </xf>
    <xf numFmtId="174" fontId="120" fillId="30" borderId="0" xfId="1" applyNumberFormat="1" applyFont="1" applyFill="1" applyBorder="1" applyAlignment="1">
      <alignment horizontal="center"/>
    </xf>
    <xf numFmtId="174" fontId="118" fillId="30" borderId="175" xfId="1" applyNumberFormat="1" applyFont="1" applyFill="1" applyBorder="1" applyAlignment="1">
      <alignment horizontal="center"/>
    </xf>
    <xf numFmtId="20" fontId="113" fillId="0" borderId="0" xfId="11" applyNumberFormat="1" applyFont="1"/>
    <xf numFmtId="3" fontId="67" fillId="0" borderId="176" xfId="0" applyNumberFormat="1" applyFont="1" applyBorder="1" applyAlignment="1">
      <alignment horizontal="center"/>
    </xf>
    <xf numFmtId="0" fontId="67" fillId="0" borderId="177" xfId="0" applyFont="1" applyBorder="1" applyAlignment="1">
      <alignment horizontal="center"/>
    </xf>
    <xf numFmtId="17" fontId="67" fillId="0" borderId="177" xfId="0" applyNumberFormat="1" applyFont="1" applyBorder="1" applyAlignment="1">
      <alignment horizontal="center"/>
    </xf>
    <xf numFmtId="17" fontId="4" fillId="0" borderId="178" xfId="0" applyNumberFormat="1" applyFont="1" applyBorder="1" applyAlignment="1">
      <alignment horizontal="center"/>
    </xf>
    <xf numFmtId="3" fontId="67" fillId="0" borderId="179" xfId="0" applyNumberFormat="1" applyFont="1" applyBorder="1" applyAlignment="1">
      <alignment horizontal="center"/>
    </xf>
    <xf numFmtId="171" fontId="67" fillId="0" borderId="180" xfId="1" applyNumberFormat="1" applyFont="1" applyBorder="1" applyAlignment="1">
      <alignment horizontal="center"/>
    </xf>
    <xf numFmtId="170" fontId="67" fillId="0" borderId="180" xfId="1" applyNumberFormat="1" applyFont="1" applyBorder="1" applyAlignment="1">
      <alignment horizontal="center"/>
    </xf>
    <xf numFmtId="169" fontId="67" fillId="0" borderId="180" xfId="1" applyFont="1" applyBorder="1" applyAlignment="1">
      <alignment horizontal="center"/>
    </xf>
    <xf numFmtId="3" fontId="67" fillId="0" borderId="181" xfId="0" applyNumberFormat="1" applyFont="1" applyBorder="1" applyAlignment="1">
      <alignment horizontal="center"/>
    </xf>
    <xf numFmtId="171" fontId="67" fillId="0" borderId="0" xfId="1" applyNumberFormat="1" applyFont="1" applyBorder="1" applyAlignment="1">
      <alignment horizontal="center"/>
    </xf>
    <xf numFmtId="170" fontId="67" fillId="0" borderId="0" xfId="1" applyNumberFormat="1" applyFont="1" applyBorder="1" applyAlignment="1">
      <alignment horizontal="center"/>
    </xf>
    <xf numFmtId="171" fontId="4" fillId="42" borderId="0" xfId="1" applyNumberFormat="1" applyFont="1" applyFill="1" applyBorder="1"/>
    <xf numFmtId="3" fontId="67" fillId="0" borderId="0" xfId="0" applyNumberFormat="1" applyFont="1" applyAlignment="1">
      <alignment horizontal="center"/>
    </xf>
    <xf numFmtId="169" fontId="67" fillId="0" borderId="177" xfId="1" applyFont="1" applyBorder="1" applyAlignment="1">
      <alignment horizontal="center"/>
    </xf>
    <xf numFmtId="0" fontId="4" fillId="0" borderId="177" xfId="0" applyFont="1" applyBorder="1"/>
    <xf numFmtId="169" fontId="67" fillId="0" borderId="16" xfId="1" applyFont="1" applyBorder="1" applyAlignment="1">
      <alignment horizontal="center"/>
    </xf>
    <xf numFmtId="0" fontId="4" fillId="0" borderId="16" xfId="0" applyFont="1" applyBorder="1"/>
    <xf numFmtId="171" fontId="4" fillId="0" borderId="177" xfId="1" applyNumberFormat="1" applyFont="1" applyBorder="1"/>
    <xf numFmtId="170" fontId="4" fillId="0" borderId="177" xfId="1" applyNumberFormat="1" applyFont="1" applyBorder="1"/>
    <xf numFmtId="0" fontId="60" fillId="0" borderId="0" xfId="0" applyFont="1"/>
    <xf numFmtId="0" fontId="60" fillId="6" borderId="0" xfId="0" applyFont="1" applyFill="1"/>
    <xf numFmtId="171" fontId="60" fillId="6" borderId="0" xfId="1" applyNumberFormat="1" applyFont="1" applyFill="1" applyAlignment="1"/>
    <xf numFmtId="176" fontId="33" fillId="0" borderId="0" xfId="4" applyNumberFormat="1" applyFont="1" applyProtection="1">
      <protection locked="0"/>
    </xf>
    <xf numFmtId="176" fontId="46" fillId="0" borderId="0" xfId="13" applyNumberFormat="1" applyFont="1" applyProtection="1">
      <protection locked="0"/>
    </xf>
    <xf numFmtId="10" fontId="46" fillId="0" borderId="0" xfId="14" applyNumberFormat="1" applyFont="1" applyAlignment="1" applyProtection="1">
      <alignment horizontal="right"/>
      <protection locked="0"/>
    </xf>
    <xf numFmtId="176" fontId="46" fillId="0" borderId="0" xfId="13" applyNumberFormat="1" applyFont="1" applyAlignment="1" applyProtection="1">
      <alignment horizontal="center"/>
      <protection locked="0"/>
    </xf>
    <xf numFmtId="166" fontId="46" fillId="0" borderId="0" xfId="13" applyNumberFormat="1" applyFont="1" applyAlignment="1" applyProtection="1">
      <alignment horizontal="center"/>
      <protection locked="0"/>
    </xf>
    <xf numFmtId="176" fontId="122" fillId="0" borderId="0" xfId="13" applyNumberFormat="1" applyFont="1" applyAlignment="1" applyProtection="1">
      <alignment horizontal="center"/>
      <protection locked="0"/>
    </xf>
    <xf numFmtId="176" fontId="61" fillId="0" borderId="0" xfId="13" applyNumberFormat="1" applyFont="1" applyProtection="1">
      <protection locked="0"/>
    </xf>
    <xf numFmtId="176" fontId="46" fillId="30" borderId="0" xfId="13" applyNumberFormat="1" applyFont="1" applyFill="1" applyProtection="1">
      <protection locked="0"/>
    </xf>
    <xf numFmtId="0" fontId="123" fillId="0" borderId="0" xfId="0" applyFont="1" applyAlignment="1" applyProtection="1">
      <alignment horizontal="center" vertical="center"/>
      <protection locked="0"/>
    </xf>
    <xf numFmtId="0" fontId="21" fillId="0" borderId="0" xfId="15" applyFont="1" applyAlignment="1" applyProtection="1">
      <alignment vertical="center"/>
      <protection locked="0"/>
    </xf>
    <xf numFmtId="0" fontId="124" fillId="0" borderId="0" xfId="15" applyFont="1" applyAlignment="1" applyProtection="1">
      <alignment vertical="center"/>
      <protection locked="0"/>
    </xf>
    <xf numFmtId="0" fontId="125" fillId="0" borderId="0" xfId="0" applyFont="1" applyProtection="1">
      <protection locked="0"/>
    </xf>
    <xf numFmtId="168" fontId="37" fillId="0" borderId="0" xfId="0" applyNumberFormat="1" applyFont="1" applyAlignment="1">
      <alignment horizontal="center"/>
    </xf>
    <xf numFmtId="14" fontId="126" fillId="0" borderId="0" xfId="1" applyNumberFormat="1" applyFont="1" applyAlignment="1" applyProtection="1">
      <alignment horizontal="right"/>
      <protection locked="0"/>
    </xf>
    <xf numFmtId="14" fontId="31" fillId="34" borderId="0" xfId="0" applyNumberFormat="1" applyFont="1" applyFill="1" applyAlignment="1" applyProtection="1">
      <alignment horizontal="center" vertical="center" wrapText="1"/>
      <protection locked="0"/>
    </xf>
    <xf numFmtId="176" fontId="45" fillId="0" borderId="0" xfId="13" applyNumberFormat="1" applyFont="1" applyAlignment="1" applyProtection="1">
      <alignment horizontal="center" vertical="center" wrapText="1"/>
      <protection locked="0"/>
    </xf>
    <xf numFmtId="176" fontId="127" fillId="0" borderId="0" xfId="13" applyNumberFormat="1" applyFont="1" applyAlignment="1" applyProtection="1">
      <alignment horizontal="center" vertical="center" wrapText="1"/>
      <protection locked="0"/>
    </xf>
    <xf numFmtId="14" fontId="31" fillId="34" borderId="0" xfId="0" applyNumberFormat="1" applyFont="1" applyFill="1" applyAlignment="1">
      <alignment horizontal="center" vertical="center" wrapText="1"/>
    </xf>
    <xf numFmtId="176" fontId="28" fillId="30" borderId="0" xfId="13" applyNumberFormat="1" applyFont="1" applyFill="1" applyAlignment="1" applyProtection="1">
      <alignment horizontal="center" vertical="center" wrapText="1"/>
      <protection locked="0"/>
    </xf>
    <xf numFmtId="168" fontId="128" fillId="3" borderId="177" xfId="0" applyNumberFormat="1" applyFont="1" applyFill="1" applyBorder="1" applyAlignment="1">
      <alignment horizontal="center" vertical="center" wrapText="1"/>
    </xf>
    <xf numFmtId="10" fontId="46" fillId="0" borderId="0" xfId="14" applyNumberFormat="1" applyFont="1" applyAlignment="1" applyProtection="1">
      <alignment horizontal="center"/>
      <protection locked="0"/>
    </xf>
    <xf numFmtId="176" fontId="54" fillId="0" borderId="0" xfId="13" applyNumberFormat="1" applyFont="1"/>
    <xf numFmtId="176" fontId="54" fillId="30" borderId="0" xfId="13" applyNumberFormat="1" applyFont="1" applyFill="1" applyProtection="1">
      <protection locked="0"/>
    </xf>
    <xf numFmtId="176" fontId="46" fillId="0" borderId="0" xfId="13" applyNumberFormat="1" applyFont="1"/>
    <xf numFmtId="176" fontId="129" fillId="0" borderId="0" xfId="13" applyNumberFormat="1" applyFont="1" applyAlignment="1" applyProtection="1">
      <alignment vertical="center"/>
      <protection locked="0"/>
    </xf>
    <xf numFmtId="176" fontId="127" fillId="0" borderId="0" xfId="13" applyNumberFormat="1" applyFont="1" applyAlignment="1" applyProtection="1">
      <alignment vertical="center"/>
      <protection locked="0"/>
    </xf>
    <xf numFmtId="176" fontId="46" fillId="0" borderId="0" xfId="13" applyNumberFormat="1" applyFont="1" applyAlignment="1" applyProtection="1">
      <alignment vertical="center"/>
      <protection locked="0"/>
    </xf>
    <xf numFmtId="10" fontId="46" fillId="0" borderId="0" xfId="14" applyNumberFormat="1" applyFont="1" applyFill="1" applyBorder="1" applyAlignment="1" applyProtection="1">
      <alignment horizontal="center" vertical="center"/>
      <protection locked="0"/>
    </xf>
    <xf numFmtId="176" fontId="46" fillId="0" borderId="0" xfId="13" applyNumberFormat="1" applyFont="1" applyAlignment="1" applyProtection="1">
      <alignment horizontal="center" vertical="center"/>
      <protection locked="0"/>
    </xf>
    <xf numFmtId="177" fontId="46" fillId="0" borderId="0" xfId="13" applyNumberFormat="1" applyFont="1" applyAlignment="1" applyProtection="1">
      <alignment horizontal="center" vertical="center"/>
      <protection locked="0"/>
    </xf>
    <xf numFmtId="10" fontId="4" fillId="0" borderId="0" xfId="14" applyNumberFormat="1" applyFont="1" applyFill="1" applyBorder="1" applyAlignment="1" applyProtection="1">
      <alignment horizontal="center" vertical="center"/>
      <protection locked="0"/>
    </xf>
    <xf numFmtId="173" fontId="46" fillId="0" borderId="0" xfId="13" applyNumberFormat="1" applyFont="1" applyAlignment="1" applyProtection="1">
      <alignment horizontal="center" vertical="center"/>
      <protection locked="0"/>
    </xf>
    <xf numFmtId="173" fontId="4" fillId="0" borderId="0" xfId="13" applyNumberFormat="1" applyFont="1" applyAlignment="1" applyProtection="1">
      <alignment horizontal="center" vertical="center"/>
      <protection locked="0"/>
    </xf>
    <xf numFmtId="9" fontId="46" fillId="0" borderId="0" xfId="2" applyFont="1" applyFill="1" applyAlignment="1" applyProtection="1">
      <alignment horizontal="center" vertical="center"/>
      <protection locked="0"/>
    </xf>
    <xf numFmtId="166" fontId="46" fillId="0" borderId="0" xfId="13" quotePrefix="1" applyNumberFormat="1" applyFont="1" applyAlignment="1" applyProtection="1">
      <alignment horizontal="center" vertical="center"/>
      <protection locked="0"/>
    </xf>
    <xf numFmtId="176" fontId="122" fillId="0" borderId="0" xfId="13" applyNumberFormat="1" applyFont="1" applyAlignment="1" applyProtection="1">
      <alignment horizontal="center" vertical="center"/>
      <protection locked="0"/>
    </xf>
    <xf numFmtId="167" fontId="18" fillId="0" borderId="182" xfId="13" applyNumberFormat="1" applyFont="1" applyBorder="1" applyAlignment="1" applyProtection="1">
      <alignment horizontal="center" vertical="center"/>
      <protection locked="0"/>
    </xf>
    <xf numFmtId="167" fontId="18" fillId="0" borderId="183" xfId="13" applyNumberFormat="1" applyFont="1" applyBorder="1" applyAlignment="1" applyProtection="1">
      <alignment horizontal="center" vertical="center"/>
      <protection locked="0"/>
    </xf>
    <xf numFmtId="167" fontId="18" fillId="0" borderId="184" xfId="13" applyNumberFormat="1" applyFont="1" applyBorder="1" applyAlignment="1">
      <alignment horizontal="center" vertical="center"/>
    </xf>
    <xf numFmtId="167" fontId="18" fillId="30" borderId="0" xfId="13" applyNumberFormat="1" applyFont="1" applyFill="1" applyAlignment="1" applyProtection="1">
      <alignment horizontal="center" vertical="center"/>
      <protection locked="0"/>
    </xf>
    <xf numFmtId="167" fontId="18" fillId="0" borderId="185" xfId="13" applyNumberFormat="1" applyFont="1" applyBorder="1" applyAlignment="1">
      <alignment horizontal="center" vertical="center"/>
    </xf>
    <xf numFmtId="176" fontId="46" fillId="6" borderId="0" xfId="13" applyNumberFormat="1" applyFont="1" applyFill="1" applyAlignment="1" applyProtection="1">
      <alignment vertical="center"/>
      <protection locked="0"/>
    </xf>
    <xf numFmtId="167" fontId="18" fillId="0" borderId="186" xfId="1" applyNumberFormat="1" applyFont="1" applyBorder="1" applyAlignment="1" applyProtection="1">
      <alignment horizontal="center" vertical="center"/>
      <protection locked="0"/>
    </xf>
    <xf numFmtId="167" fontId="18" fillId="0" borderId="0" xfId="1" applyNumberFormat="1" applyFont="1" applyFill="1" applyBorder="1" applyAlignment="1" applyProtection="1">
      <alignment horizontal="center" vertical="center"/>
      <protection locked="0"/>
    </xf>
    <xf numFmtId="167" fontId="18" fillId="0" borderId="187" xfId="13" applyNumberFormat="1" applyFont="1" applyBorder="1" applyAlignment="1">
      <alignment horizontal="center" vertical="center"/>
    </xf>
    <xf numFmtId="167" fontId="18" fillId="0" borderId="0" xfId="13" applyNumberFormat="1" applyFont="1" applyAlignment="1" applyProtection="1">
      <alignment horizontal="center" vertical="center"/>
      <protection locked="0"/>
    </xf>
    <xf numFmtId="167" fontId="18" fillId="0" borderId="186" xfId="13" applyNumberFormat="1" applyFont="1" applyBorder="1" applyAlignment="1" applyProtection="1">
      <alignment horizontal="center" vertical="center"/>
      <protection locked="0"/>
    </xf>
    <xf numFmtId="167" fontId="18" fillId="0" borderId="188" xfId="13" applyNumberFormat="1" applyFont="1" applyBorder="1" applyAlignment="1">
      <alignment horizontal="center" vertical="center"/>
    </xf>
    <xf numFmtId="176" fontId="45" fillId="43" borderId="189" xfId="13" applyNumberFormat="1" applyFont="1" applyFill="1" applyBorder="1" applyAlignment="1" applyProtection="1">
      <alignment vertical="center"/>
      <protection locked="0"/>
    </xf>
    <xf numFmtId="176" fontId="45" fillId="43" borderId="190" xfId="13" applyNumberFormat="1" applyFont="1" applyFill="1" applyBorder="1" applyAlignment="1" applyProtection="1">
      <alignment horizontal="right" vertical="center"/>
      <protection locked="0"/>
    </xf>
    <xf numFmtId="176" fontId="55" fillId="0" borderId="0" xfId="13" applyNumberFormat="1" applyFont="1" applyAlignment="1" applyProtection="1">
      <alignment vertical="center"/>
      <protection locked="0"/>
    </xf>
    <xf numFmtId="10" fontId="45" fillId="32" borderId="191" xfId="14" applyNumberFormat="1" applyFont="1" applyFill="1" applyBorder="1" applyAlignment="1" applyProtection="1">
      <alignment horizontal="center" vertical="center"/>
      <protection locked="0"/>
    </xf>
    <xf numFmtId="176" fontId="45" fillId="32" borderId="192" xfId="13" applyNumberFormat="1" applyFont="1" applyFill="1" applyBorder="1" applyAlignment="1" applyProtection="1">
      <alignment horizontal="center" vertical="center"/>
      <protection locked="0"/>
    </xf>
    <xf numFmtId="166" fontId="45" fillId="32" borderId="192" xfId="13" applyNumberFormat="1" applyFont="1" applyFill="1" applyBorder="1" applyAlignment="1" applyProtection="1">
      <alignment horizontal="center" vertical="center"/>
      <protection locked="0"/>
    </xf>
    <xf numFmtId="176" fontId="45" fillId="32" borderId="193" xfId="13" applyNumberFormat="1" applyFont="1" applyFill="1" applyBorder="1" applyAlignment="1" applyProtection="1">
      <alignment horizontal="center" vertical="center"/>
      <protection locked="0"/>
    </xf>
    <xf numFmtId="176" fontId="45" fillId="32" borderId="0" xfId="13" applyNumberFormat="1" applyFont="1" applyFill="1" applyAlignment="1" applyProtection="1">
      <alignment horizontal="center" vertical="center"/>
      <protection locked="0"/>
    </xf>
    <xf numFmtId="176" fontId="130" fillId="0" borderId="0" xfId="13" applyNumberFormat="1" applyFont="1" applyAlignment="1" applyProtection="1">
      <alignment horizontal="center" vertical="center"/>
      <protection locked="0"/>
    </xf>
    <xf numFmtId="167" fontId="35" fillId="43" borderId="186" xfId="13" applyNumberFormat="1" applyFont="1" applyFill="1" applyBorder="1" applyAlignment="1">
      <alignment horizontal="center" vertical="center"/>
    </xf>
    <xf numFmtId="167" fontId="35" fillId="43" borderId="0" xfId="13" applyNumberFormat="1" applyFont="1" applyFill="1" applyAlignment="1">
      <alignment horizontal="center" vertical="center"/>
    </xf>
    <xf numFmtId="167" fontId="35" fillId="43" borderId="187" xfId="13" applyNumberFormat="1" applyFont="1" applyFill="1" applyBorder="1" applyAlignment="1">
      <alignment horizontal="center" vertical="center"/>
    </xf>
    <xf numFmtId="167" fontId="35" fillId="30" borderId="0" xfId="13" applyNumberFormat="1" applyFont="1" applyFill="1" applyAlignment="1">
      <alignment horizontal="center" vertical="center"/>
    </xf>
    <xf numFmtId="167" fontId="35" fillId="43" borderId="194" xfId="13" applyNumberFormat="1" applyFont="1" applyFill="1" applyBorder="1" applyAlignment="1">
      <alignment horizontal="center" vertical="center"/>
    </xf>
    <xf numFmtId="167" fontId="35" fillId="43" borderId="195" xfId="13" applyNumberFormat="1" applyFont="1" applyFill="1" applyBorder="1" applyAlignment="1">
      <alignment horizontal="center" vertical="center"/>
    </xf>
    <xf numFmtId="167" fontId="35" fillId="43" borderId="196" xfId="13" applyNumberFormat="1" applyFont="1" applyFill="1" applyBorder="1" applyAlignment="1">
      <alignment horizontal="center" vertical="center"/>
    </xf>
    <xf numFmtId="173" fontId="45" fillId="0" borderId="0" xfId="13" applyNumberFormat="1" applyFont="1" applyAlignment="1" applyProtection="1">
      <alignment horizontal="center" vertical="center"/>
      <protection locked="0"/>
    </xf>
    <xf numFmtId="10" fontId="46" fillId="0" borderId="0" xfId="14" applyNumberFormat="1" applyFont="1" applyAlignment="1" applyProtection="1">
      <alignment horizontal="center" vertical="center"/>
      <protection locked="0"/>
    </xf>
    <xf numFmtId="166" fontId="46" fillId="0" borderId="0" xfId="13" applyNumberFormat="1" applyFont="1" applyAlignment="1" applyProtection="1">
      <alignment horizontal="center" vertical="center"/>
      <protection locked="0"/>
    </xf>
    <xf numFmtId="176" fontId="4" fillId="0" borderId="0" xfId="13" applyNumberFormat="1" applyFont="1" applyAlignment="1" applyProtection="1">
      <alignment horizontal="center" vertical="center"/>
      <protection locked="0"/>
    </xf>
    <xf numFmtId="9" fontId="46" fillId="0" borderId="0" xfId="2" applyFont="1" applyAlignment="1" applyProtection="1">
      <alignment horizontal="center" vertical="center"/>
      <protection locked="0"/>
    </xf>
    <xf numFmtId="176" fontId="46" fillId="0" borderId="0" xfId="13" quotePrefix="1" applyNumberFormat="1" applyFont="1" applyAlignment="1" applyProtection="1">
      <alignment horizontal="center" vertical="center"/>
      <protection locked="0"/>
    </xf>
    <xf numFmtId="176" fontId="46" fillId="6" borderId="0" xfId="13" applyNumberFormat="1" applyFont="1" applyFill="1" applyAlignment="1" applyProtection="1">
      <alignment vertical="center" wrapText="1"/>
      <protection locked="0"/>
    </xf>
    <xf numFmtId="0" fontId="46" fillId="0" borderId="0" xfId="13" applyFont="1" applyAlignment="1" applyProtection="1">
      <alignment vertical="center"/>
      <protection locked="0"/>
    </xf>
    <xf numFmtId="176" fontId="45" fillId="0" borderId="0" xfId="13" applyNumberFormat="1" applyFont="1" applyAlignment="1" applyProtection="1">
      <alignment vertical="center"/>
      <protection locked="0"/>
    </xf>
    <xf numFmtId="176" fontId="127" fillId="0" borderId="0" xfId="13" applyNumberFormat="1" applyFont="1" applyAlignment="1" applyProtection="1">
      <alignment horizontal="center" vertical="center"/>
      <protection locked="0"/>
    </xf>
    <xf numFmtId="176" fontId="18" fillId="0" borderId="0" xfId="13" applyNumberFormat="1" applyFont="1" applyAlignment="1" applyProtection="1">
      <alignment vertical="center"/>
      <protection locked="0"/>
    </xf>
    <xf numFmtId="178" fontId="131" fillId="0" borderId="0" xfId="16" applyNumberFormat="1" applyFont="1" applyAlignment="1">
      <alignment horizontal="left"/>
    </xf>
    <xf numFmtId="14" fontId="23" fillId="0" borderId="0" xfId="17" quotePrefix="1" applyNumberFormat="1"/>
    <xf numFmtId="167" fontId="35" fillId="43" borderId="197" xfId="13" applyNumberFormat="1" applyFont="1" applyFill="1" applyBorder="1" applyAlignment="1">
      <alignment horizontal="center" vertical="center"/>
    </xf>
    <xf numFmtId="167" fontId="35" fillId="43" borderId="198" xfId="13" applyNumberFormat="1" applyFont="1" applyFill="1" applyBorder="1" applyAlignment="1">
      <alignment horizontal="center" vertical="center"/>
    </xf>
    <xf numFmtId="167" fontId="35" fillId="43" borderId="199" xfId="13" applyNumberFormat="1" applyFont="1" applyFill="1" applyBorder="1" applyAlignment="1">
      <alignment horizontal="center" vertical="center"/>
    </xf>
    <xf numFmtId="167" fontId="35" fillId="43" borderId="200" xfId="13" applyNumberFormat="1" applyFont="1" applyFill="1" applyBorder="1" applyAlignment="1">
      <alignment horizontal="center" vertical="center"/>
    </xf>
    <xf numFmtId="167" fontId="35" fillId="43" borderId="201" xfId="13" applyNumberFormat="1" applyFont="1" applyFill="1" applyBorder="1" applyAlignment="1">
      <alignment horizontal="center" vertical="center"/>
    </xf>
    <xf numFmtId="167" fontId="35" fillId="43" borderId="202" xfId="13" applyNumberFormat="1" applyFont="1" applyFill="1" applyBorder="1" applyAlignment="1">
      <alignment horizontal="center" vertical="center"/>
    </xf>
    <xf numFmtId="167" fontId="18" fillId="0" borderId="6" xfId="13" applyNumberFormat="1" applyFont="1" applyBorder="1" applyAlignment="1">
      <alignment horizontal="center" vertical="center"/>
    </xf>
    <xf numFmtId="167" fontId="18" fillId="0" borderId="0" xfId="13" applyNumberFormat="1" applyFont="1" applyAlignment="1">
      <alignment horizontal="center" vertical="center"/>
    </xf>
    <xf numFmtId="167" fontId="18" fillId="0" borderId="203" xfId="13" applyNumberFormat="1" applyFont="1" applyBorder="1" applyAlignment="1">
      <alignment horizontal="center" vertical="center"/>
    </xf>
    <xf numFmtId="167" fontId="18" fillId="30" borderId="0" xfId="13" applyNumberFormat="1" applyFont="1" applyFill="1" applyAlignment="1">
      <alignment horizontal="center" vertical="center"/>
    </xf>
    <xf numFmtId="167" fontId="18" fillId="0" borderId="7" xfId="13" applyNumberFormat="1" applyFont="1" applyBorder="1" applyAlignment="1">
      <alignment horizontal="center" vertical="center"/>
    </xf>
    <xf numFmtId="176" fontId="45" fillId="43" borderId="177" xfId="13" applyNumberFormat="1" applyFont="1" applyFill="1" applyBorder="1" applyAlignment="1" applyProtection="1">
      <alignment vertical="center"/>
      <protection locked="0"/>
    </xf>
    <xf numFmtId="176" fontId="45" fillId="43" borderId="204" xfId="13" applyNumberFormat="1" applyFont="1" applyFill="1" applyBorder="1" applyAlignment="1" applyProtection="1">
      <alignment horizontal="right" vertical="center"/>
      <protection locked="0"/>
    </xf>
    <xf numFmtId="10" fontId="45" fillId="32" borderId="205" xfId="14" applyNumberFormat="1" applyFont="1" applyFill="1" applyBorder="1" applyAlignment="1" applyProtection="1">
      <alignment horizontal="center" vertical="center"/>
      <protection locked="0"/>
    </xf>
    <xf numFmtId="176" fontId="45" fillId="32" borderId="206" xfId="13" applyNumberFormat="1" applyFont="1" applyFill="1" applyBorder="1" applyAlignment="1" applyProtection="1">
      <alignment horizontal="center" vertical="center"/>
      <protection locked="0"/>
    </xf>
    <xf numFmtId="166" fontId="45" fillId="32" borderId="206" xfId="13" applyNumberFormat="1" applyFont="1" applyFill="1" applyBorder="1" applyAlignment="1" applyProtection="1">
      <alignment horizontal="center" vertical="center"/>
      <protection locked="0"/>
    </xf>
    <xf numFmtId="176" fontId="45" fillId="32" borderId="207" xfId="13" applyNumberFormat="1" applyFont="1" applyFill="1" applyBorder="1" applyAlignment="1" applyProtection="1">
      <alignment horizontal="center" vertical="center"/>
      <protection locked="0"/>
    </xf>
    <xf numFmtId="167" fontId="35" fillId="43" borderId="208" xfId="13" applyNumberFormat="1" applyFont="1" applyFill="1" applyBorder="1" applyAlignment="1">
      <alignment horizontal="center" vertical="center"/>
    </xf>
    <xf numFmtId="167" fontId="35" fillId="43" borderId="209" xfId="13" applyNumberFormat="1" applyFont="1" applyFill="1" applyBorder="1" applyAlignment="1">
      <alignment horizontal="center" vertical="center"/>
    </xf>
    <xf numFmtId="167" fontId="35" fillId="43" borderId="210" xfId="13" applyNumberFormat="1" applyFont="1" applyFill="1" applyBorder="1" applyAlignment="1">
      <alignment horizontal="center" vertical="center"/>
    </xf>
    <xf numFmtId="167" fontId="35" fillId="43" borderId="211" xfId="13" applyNumberFormat="1" applyFont="1" applyFill="1" applyBorder="1" applyAlignment="1">
      <alignment horizontal="center" vertical="center"/>
    </xf>
    <xf numFmtId="10" fontId="45" fillId="32" borderId="212" xfId="14" applyNumberFormat="1" applyFont="1" applyFill="1" applyBorder="1" applyAlignment="1" applyProtection="1">
      <alignment horizontal="center" vertical="center"/>
      <protection locked="0"/>
    </xf>
    <xf numFmtId="176" fontId="45" fillId="32" borderId="213" xfId="13" applyNumberFormat="1" applyFont="1" applyFill="1" applyBorder="1" applyAlignment="1" applyProtection="1">
      <alignment horizontal="center" vertical="center"/>
      <protection locked="0"/>
    </xf>
    <xf numFmtId="176" fontId="45" fillId="32" borderId="214" xfId="13" applyNumberFormat="1" applyFont="1" applyFill="1" applyBorder="1" applyAlignment="1" applyProtection="1">
      <alignment horizontal="center" vertical="center"/>
      <protection locked="0"/>
    </xf>
    <xf numFmtId="167" fontId="35" fillId="3" borderId="215" xfId="13" applyNumberFormat="1" applyFont="1" applyFill="1" applyBorder="1" applyAlignment="1">
      <alignment horizontal="center" vertical="center"/>
    </xf>
    <xf numFmtId="167" fontId="35" fillId="3" borderId="216" xfId="13" applyNumberFormat="1" applyFont="1" applyFill="1" applyBorder="1" applyAlignment="1">
      <alignment horizontal="center" vertical="center"/>
    </xf>
    <xf numFmtId="167" fontId="35" fillId="3" borderId="217" xfId="13" applyNumberFormat="1" applyFont="1" applyFill="1" applyBorder="1" applyAlignment="1">
      <alignment horizontal="center" vertical="center"/>
    </xf>
    <xf numFmtId="10" fontId="46" fillId="0" borderId="0" xfId="14" applyNumberFormat="1" applyFont="1" applyAlignment="1" applyProtection="1">
      <alignment horizontal="right" vertical="center"/>
      <protection locked="0"/>
    </xf>
    <xf numFmtId="167" fontId="18" fillId="0" borderId="0" xfId="13" applyNumberFormat="1" applyFont="1" applyAlignment="1" applyProtection="1">
      <alignment vertical="center"/>
      <protection locked="0"/>
    </xf>
    <xf numFmtId="167" fontId="18" fillId="30" borderId="0" xfId="13" applyNumberFormat="1" applyFont="1" applyFill="1" applyAlignment="1" applyProtection="1">
      <alignment vertical="center"/>
      <protection locked="0"/>
    </xf>
    <xf numFmtId="167" fontId="18" fillId="0" borderId="0" xfId="13" applyNumberFormat="1" applyFont="1" applyAlignment="1">
      <alignment vertical="center"/>
    </xf>
    <xf numFmtId="176" fontId="60" fillId="4" borderId="0" xfId="13" applyNumberFormat="1" applyFont="1" applyFill="1" applyAlignment="1" applyProtection="1">
      <alignment horizontal="center" vertical="center"/>
      <protection locked="0"/>
    </xf>
    <xf numFmtId="176" fontId="60" fillId="0" borderId="0" xfId="13" applyNumberFormat="1" applyFont="1" applyAlignment="1" applyProtection="1">
      <alignment vertical="center"/>
      <protection locked="0"/>
    </xf>
    <xf numFmtId="167" fontId="60" fillId="4" borderId="218" xfId="0" applyNumberFormat="1" applyFont="1" applyFill="1" applyBorder="1" applyAlignment="1" applyProtection="1">
      <alignment horizontal="center" vertical="center"/>
      <protection locked="0"/>
    </xf>
    <xf numFmtId="167" fontId="46" fillId="0" borderId="0" xfId="13" applyNumberFormat="1" applyFont="1" applyAlignment="1" applyProtection="1">
      <alignment vertical="center"/>
      <protection locked="0"/>
    </xf>
    <xf numFmtId="167" fontId="46" fillId="30" borderId="0" xfId="13" applyNumberFormat="1" applyFont="1" applyFill="1" applyAlignment="1" applyProtection="1">
      <alignment vertical="center"/>
      <protection locked="0"/>
    </xf>
    <xf numFmtId="167" fontId="46" fillId="0" borderId="0" xfId="13" applyNumberFormat="1" applyFont="1" applyAlignment="1">
      <alignment vertical="center"/>
    </xf>
    <xf numFmtId="176" fontId="44" fillId="0" borderId="0" xfId="13" applyNumberFormat="1" applyFont="1" applyProtection="1">
      <protection locked="0"/>
    </xf>
    <xf numFmtId="169" fontId="132" fillId="0" borderId="0" xfId="1" applyFont="1" applyAlignment="1" applyProtection="1">
      <alignment horizontal="right"/>
      <protection locked="0"/>
    </xf>
    <xf numFmtId="169" fontId="132" fillId="0" borderId="0" xfId="1" applyFont="1" applyProtection="1">
      <protection locked="0"/>
    </xf>
    <xf numFmtId="169" fontId="132" fillId="0" borderId="0" xfId="1" applyFont="1" applyAlignment="1" applyProtection="1">
      <alignment horizontal="center"/>
      <protection locked="0"/>
    </xf>
    <xf numFmtId="169" fontId="133" fillId="0" borderId="0" xfId="1" applyFont="1" applyAlignment="1" applyProtection="1">
      <alignment horizontal="center"/>
      <protection locked="0"/>
    </xf>
    <xf numFmtId="169" fontId="134" fillId="0" borderId="0" xfId="1" applyFont="1" applyAlignment="1" applyProtection="1">
      <alignment horizontal="center"/>
      <protection locked="0"/>
    </xf>
    <xf numFmtId="169" fontId="49" fillId="30" borderId="0" xfId="1" applyFont="1" applyFill="1" applyBorder="1" applyProtection="1">
      <protection locked="0"/>
    </xf>
    <xf numFmtId="169" fontId="135" fillId="0" borderId="0" xfId="1" applyFont="1" applyProtection="1">
      <protection locked="0"/>
    </xf>
    <xf numFmtId="169" fontId="49" fillId="0" borderId="0" xfId="1" applyFont="1" applyAlignment="1" applyProtection="1">
      <alignment horizontal="center"/>
      <protection locked="0"/>
    </xf>
    <xf numFmtId="169" fontId="132" fillId="30" borderId="0" xfId="1" applyFont="1" applyFill="1" applyBorder="1" applyProtection="1">
      <protection locked="0"/>
    </xf>
    <xf numFmtId="169" fontId="46" fillId="0" borderId="0" xfId="1" applyFont="1" applyBorder="1" applyAlignment="1" applyProtection="1">
      <alignment horizontal="right"/>
      <protection locked="0"/>
    </xf>
    <xf numFmtId="169" fontId="46" fillId="0" borderId="0" xfId="1" applyFont="1" applyBorder="1" applyAlignment="1" applyProtection="1">
      <alignment horizontal="center"/>
      <protection locked="0"/>
    </xf>
    <xf numFmtId="169" fontId="122" fillId="0" borderId="0" xfId="1" applyFont="1" applyBorder="1" applyAlignment="1" applyProtection="1">
      <alignment horizontal="center"/>
      <protection locked="0"/>
    </xf>
    <xf numFmtId="169" fontId="61" fillId="0" borderId="0" xfId="1" applyFont="1" applyBorder="1" applyAlignment="1" applyProtection="1">
      <alignment horizontal="center"/>
      <protection locked="0"/>
    </xf>
    <xf numFmtId="169" fontId="46" fillId="0" borderId="0" xfId="1" applyFont="1" applyBorder="1" applyAlignment="1" applyProtection="1">
      <alignment horizontal="center"/>
    </xf>
    <xf numFmtId="169" fontId="54" fillId="30" borderId="0" xfId="1" applyFont="1" applyFill="1" applyBorder="1" applyProtection="1">
      <protection locked="0"/>
    </xf>
    <xf numFmtId="169" fontId="46" fillId="0" borderId="0" xfId="1" applyFont="1" applyBorder="1" applyProtection="1"/>
    <xf numFmtId="169" fontId="35" fillId="0" borderId="0" xfId="1" applyFont="1" applyAlignment="1" applyProtection="1">
      <protection locked="0"/>
    </xf>
    <xf numFmtId="169" fontId="46" fillId="0" borderId="0" xfId="1" applyFont="1" applyAlignment="1" applyProtection="1">
      <alignment horizontal="center"/>
      <protection locked="0"/>
    </xf>
    <xf numFmtId="169" fontId="122" fillId="0" borderId="0" xfId="1" applyFont="1" applyAlignment="1" applyProtection="1">
      <alignment horizontal="center"/>
      <protection locked="0"/>
    </xf>
    <xf numFmtId="179" fontId="18" fillId="0" borderId="1" xfId="1" applyNumberFormat="1" applyFont="1" applyFill="1" applyBorder="1" applyAlignment="1" applyProtection="1">
      <alignment horizontal="center"/>
      <protection locked="0"/>
    </xf>
    <xf numFmtId="179" fontId="18" fillId="0" borderId="5" xfId="1" applyNumberFormat="1" applyFont="1" applyFill="1" applyBorder="1" applyAlignment="1" applyProtection="1">
      <alignment horizontal="center"/>
      <protection locked="0"/>
    </xf>
    <xf numFmtId="179" fontId="18" fillId="0" borderId="219" xfId="1" applyNumberFormat="1" applyFont="1" applyFill="1" applyBorder="1" applyAlignment="1" applyProtection="1">
      <alignment horizontal="center"/>
    </xf>
    <xf numFmtId="179" fontId="18" fillId="30" borderId="0" xfId="1" applyNumberFormat="1" applyFont="1" applyFill="1" applyBorder="1" applyAlignment="1" applyProtection="1">
      <alignment horizontal="center"/>
      <protection locked="0"/>
    </xf>
    <xf numFmtId="179" fontId="18" fillId="0" borderId="2" xfId="1" applyNumberFormat="1" applyFont="1" applyFill="1" applyBorder="1" applyAlignment="1" applyProtection="1">
      <alignment horizontal="center"/>
    </xf>
    <xf numFmtId="169" fontId="18" fillId="0" borderId="0" xfId="1" applyFont="1" applyProtection="1">
      <protection locked="0"/>
    </xf>
    <xf numFmtId="179" fontId="18" fillId="0" borderId="1" xfId="1" applyNumberFormat="1" applyFont="1" applyBorder="1" applyAlignment="1" applyProtection="1">
      <alignment horizontal="center"/>
    </xf>
    <xf numFmtId="179" fontId="18" fillId="0" borderId="5" xfId="1" applyNumberFormat="1" applyFont="1" applyBorder="1" applyAlignment="1" applyProtection="1">
      <alignment horizontal="center"/>
      <protection locked="0"/>
    </xf>
    <xf numFmtId="179" fontId="18" fillId="0" borderId="2" xfId="1" applyNumberFormat="1" applyFont="1" applyBorder="1" applyAlignment="1" applyProtection="1">
      <alignment horizontal="center"/>
      <protection locked="0"/>
    </xf>
    <xf numFmtId="179" fontId="18" fillId="0" borderId="220" xfId="1" applyNumberFormat="1" applyFont="1" applyBorder="1" applyAlignment="1" applyProtection="1">
      <alignment horizontal="center"/>
      <protection locked="0"/>
    </xf>
    <xf numFmtId="179" fontId="18" fillId="0" borderId="221" xfId="1" applyNumberFormat="1" applyFont="1" applyBorder="1" applyAlignment="1" applyProtection="1">
      <alignment horizontal="center"/>
      <protection locked="0"/>
    </xf>
    <xf numFmtId="179" fontId="18" fillId="0" borderId="222" xfId="1" applyNumberFormat="1" applyFont="1" applyBorder="1" applyAlignment="1" applyProtection="1">
      <alignment horizontal="center"/>
      <protection locked="0"/>
    </xf>
    <xf numFmtId="169" fontId="46" fillId="6" borderId="0" xfId="1" applyFont="1" applyFill="1" applyProtection="1">
      <protection locked="0"/>
    </xf>
    <xf numFmtId="169" fontId="46" fillId="6" borderId="0" xfId="1" applyFont="1" applyFill="1" applyAlignment="1" applyProtection="1">
      <alignment horizontal="center"/>
      <protection locked="0"/>
    </xf>
    <xf numFmtId="169" fontId="4" fillId="0" borderId="0" xfId="1" applyFont="1" applyBorder="1" applyAlignment="1" applyProtection="1">
      <alignment horizontal="center"/>
      <protection locked="0"/>
    </xf>
    <xf numFmtId="169" fontId="46" fillId="0" borderId="0" xfId="1" applyFont="1" applyFill="1" applyAlignment="1" applyProtection="1">
      <alignment horizontal="center"/>
      <protection locked="0"/>
    </xf>
    <xf numFmtId="169" fontId="122" fillId="0" borderId="0" xfId="1" applyFont="1" applyFill="1" applyAlignment="1" applyProtection="1">
      <alignment horizontal="center"/>
      <protection locked="0"/>
    </xf>
    <xf numFmtId="179" fontId="18" fillId="0" borderId="6" xfId="1" applyNumberFormat="1" applyFont="1" applyFill="1" applyBorder="1" applyAlignment="1" applyProtection="1">
      <alignment horizontal="center"/>
      <protection locked="0"/>
    </xf>
    <xf numFmtId="179" fontId="18" fillId="0" borderId="0" xfId="1" applyNumberFormat="1" applyFont="1" applyFill="1" applyBorder="1" applyAlignment="1" applyProtection="1">
      <alignment horizontal="center"/>
      <protection locked="0"/>
    </xf>
    <xf numFmtId="179" fontId="18" fillId="0" borderId="223" xfId="1" applyNumberFormat="1" applyFont="1" applyFill="1" applyBorder="1" applyAlignment="1" applyProtection="1">
      <alignment horizontal="center"/>
    </xf>
    <xf numFmtId="179" fontId="18" fillId="0" borderId="6" xfId="1" applyNumberFormat="1" applyFont="1" applyFill="1" applyBorder="1" applyAlignment="1" applyProtection="1">
      <alignment horizontal="center" vertical="center"/>
      <protection locked="0"/>
    </xf>
    <xf numFmtId="179" fontId="18" fillId="0" borderId="0" xfId="1" applyNumberFormat="1" applyFont="1" applyFill="1" applyBorder="1" applyAlignment="1" applyProtection="1">
      <alignment horizontal="center" vertical="center"/>
      <protection locked="0"/>
    </xf>
    <xf numFmtId="179" fontId="18" fillId="0" borderId="7" xfId="1" applyNumberFormat="1" applyFont="1" applyFill="1" applyBorder="1" applyAlignment="1" applyProtection="1">
      <alignment horizontal="center"/>
    </xf>
    <xf numFmtId="179" fontId="18" fillId="0" borderId="6" xfId="1" applyNumberFormat="1" applyFont="1" applyBorder="1" applyAlignment="1" applyProtection="1">
      <alignment horizontal="center"/>
    </xf>
    <xf numFmtId="179" fontId="18" fillId="0" borderId="7" xfId="1" applyNumberFormat="1" applyFont="1" applyFill="1" applyBorder="1" applyAlignment="1" applyProtection="1">
      <alignment horizontal="center"/>
      <protection locked="0"/>
    </xf>
    <xf numFmtId="179" fontId="18" fillId="0" borderId="152" xfId="1" applyNumberFormat="1" applyFont="1" applyFill="1" applyBorder="1" applyAlignment="1" applyProtection="1">
      <alignment horizontal="center"/>
      <protection locked="0"/>
    </xf>
    <xf numFmtId="179" fontId="18" fillId="0" borderId="153" xfId="1" applyNumberFormat="1" applyFont="1" applyFill="1" applyBorder="1" applyAlignment="1" applyProtection="1">
      <alignment horizontal="center"/>
      <protection locked="0"/>
    </xf>
    <xf numFmtId="169" fontId="46" fillId="0" borderId="0" xfId="1" applyFont="1" applyFill="1" applyProtection="1">
      <protection locked="0"/>
    </xf>
    <xf numFmtId="179" fontId="18" fillId="0" borderId="7" xfId="1" applyNumberFormat="1" applyFont="1" applyBorder="1" applyAlignment="1" applyProtection="1">
      <alignment horizontal="center"/>
    </xf>
    <xf numFmtId="169" fontId="45" fillId="43" borderId="189" xfId="1" applyFont="1" applyFill="1" applyBorder="1" applyAlignment="1" applyProtection="1">
      <alignment vertical="center"/>
      <protection locked="0"/>
    </xf>
    <xf numFmtId="169" fontId="45" fillId="43" borderId="190" xfId="1" applyFont="1" applyFill="1" applyBorder="1" applyAlignment="1" applyProtection="1">
      <alignment horizontal="right" vertical="center" wrapText="1"/>
      <protection locked="0"/>
    </xf>
    <xf numFmtId="169" fontId="45" fillId="0" borderId="0" xfId="1" applyFont="1" applyBorder="1" applyAlignment="1" applyProtection="1">
      <alignment horizontal="center" vertical="center"/>
      <protection locked="0"/>
    </xf>
    <xf numFmtId="169" fontId="45" fillId="32" borderId="191" xfId="1" applyFont="1" applyFill="1" applyBorder="1" applyAlignment="1" applyProtection="1">
      <alignment horizontal="center" vertical="center"/>
      <protection locked="0"/>
    </xf>
    <xf numFmtId="169" fontId="45" fillId="32" borderId="192" xfId="1" applyFont="1" applyFill="1" applyBorder="1" applyAlignment="1" applyProtection="1">
      <alignment horizontal="center" vertical="center"/>
      <protection locked="0"/>
    </xf>
    <xf numFmtId="169" fontId="45" fillId="32" borderId="193" xfId="1" applyFont="1" applyFill="1" applyBorder="1" applyAlignment="1" applyProtection="1">
      <alignment horizontal="center" vertical="center"/>
      <protection locked="0"/>
    </xf>
    <xf numFmtId="169" fontId="45" fillId="32" borderId="0" xfId="1" applyFont="1" applyFill="1" applyBorder="1" applyAlignment="1" applyProtection="1">
      <alignment horizontal="center" vertical="center"/>
      <protection locked="0"/>
    </xf>
    <xf numFmtId="169" fontId="127" fillId="0" borderId="0" xfId="1" applyFont="1" applyBorder="1" applyAlignment="1" applyProtection="1">
      <alignment horizontal="center" vertical="center"/>
      <protection locked="0"/>
    </xf>
    <xf numFmtId="179" fontId="35" fillId="43" borderId="224" xfId="1" applyNumberFormat="1" applyFont="1" applyFill="1" applyBorder="1" applyAlignment="1" applyProtection="1">
      <alignment horizontal="center" vertical="center"/>
    </xf>
    <xf numFmtId="179" fontId="35" fillId="43" borderId="195" xfId="1" applyNumberFormat="1" applyFont="1" applyFill="1" applyBorder="1" applyAlignment="1" applyProtection="1">
      <alignment horizontal="center" vertical="center"/>
    </xf>
    <xf numFmtId="179" fontId="35" fillId="43" borderId="225" xfId="1" applyNumberFormat="1" applyFont="1" applyFill="1" applyBorder="1" applyAlignment="1" applyProtection="1">
      <alignment horizontal="center" vertical="center"/>
    </xf>
    <xf numFmtId="179" fontId="35" fillId="43" borderId="226" xfId="1" applyNumberFormat="1" applyFont="1" applyFill="1" applyBorder="1" applyAlignment="1" applyProtection="1">
      <alignment horizontal="center" vertical="center"/>
    </xf>
    <xf numFmtId="179" fontId="35" fillId="43" borderId="227" xfId="1" applyNumberFormat="1" applyFont="1" applyFill="1" applyBorder="1" applyAlignment="1" applyProtection="1">
      <alignment horizontal="center" vertical="center"/>
    </xf>
    <xf numFmtId="179" fontId="35" fillId="43" borderId="228" xfId="1" applyNumberFormat="1" applyFont="1" applyFill="1" applyBorder="1" applyAlignment="1" applyProtection="1">
      <alignment horizontal="center" vertical="center"/>
    </xf>
    <xf numFmtId="169" fontId="45" fillId="0" borderId="0" xfId="1" applyFont="1" applyBorder="1" applyAlignment="1" applyProtection="1">
      <alignment vertical="center"/>
      <protection locked="0"/>
    </xf>
    <xf numFmtId="179" fontId="18" fillId="0" borderId="6" xfId="1" applyNumberFormat="1" applyFont="1" applyBorder="1" applyAlignment="1" applyProtection="1">
      <alignment horizontal="center"/>
      <protection locked="0"/>
    </xf>
    <xf numFmtId="179" fontId="18" fillId="0" borderId="0" xfId="1" applyNumberFormat="1" applyFont="1" applyBorder="1" applyAlignment="1" applyProtection="1">
      <alignment horizontal="center"/>
      <protection locked="0"/>
    </xf>
    <xf numFmtId="179" fontId="18" fillId="0" borderId="223" xfId="1" applyNumberFormat="1" applyFont="1" applyBorder="1" applyAlignment="1" applyProtection="1">
      <alignment horizontal="center"/>
    </xf>
    <xf numFmtId="179" fontId="18" fillId="0" borderId="7" xfId="1" applyNumberFormat="1" applyFont="1" applyBorder="1" applyAlignment="1" applyProtection="1">
      <alignment horizontal="center"/>
      <protection locked="0"/>
    </xf>
    <xf numFmtId="179" fontId="18" fillId="0" borderId="152" xfId="1" applyNumberFormat="1" applyFont="1" applyBorder="1" applyAlignment="1" applyProtection="1">
      <alignment horizontal="center"/>
      <protection locked="0"/>
    </xf>
    <xf numFmtId="179" fontId="18" fillId="0" borderId="153" xfId="1" applyNumberFormat="1" applyFont="1" applyBorder="1" applyAlignment="1" applyProtection="1">
      <alignment horizontal="center"/>
      <protection locked="0"/>
    </xf>
    <xf numFmtId="169" fontId="35" fillId="0" borderId="0" xfId="1" applyFont="1" applyProtection="1">
      <protection locked="0"/>
    </xf>
    <xf numFmtId="169" fontId="127" fillId="0" borderId="0" xfId="1" applyFont="1" applyAlignment="1" applyProtection="1">
      <alignment horizontal="center"/>
      <protection locked="0"/>
    </xf>
    <xf numFmtId="179" fontId="18" fillId="0" borderId="7" xfId="1" applyNumberFormat="1" applyFont="1" applyFill="1" applyBorder="1" applyAlignment="1" applyProtection="1">
      <alignment horizontal="center" vertical="center"/>
    </xf>
    <xf numFmtId="179" fontId="18" fillId="0" borderId="6" xfId="1" applyNumberFormat="1" applyFont="1" applyFill="1" applyBorder="1" applyAlignment="1" applyProtection="1">
      <alignment horizontal="center"/>
    </xf>
    <xf numFmtId="169" fontId="46" fillId="6" borderId="0" xfId="1" applyFont="1" applyFill="1" applyAlignment="1" applyProtection="1">
      <alignment wrapText="1"/>
      <protection locked="0"/>
    </xf>
    <xf numFmtId="169" fontId="18" fillId="0" borderId="6" xfId="1" applyFont="1" applyBorder="1" applyAlignment="1" applyProtection="1">
      <alignment horizontal="center"/>
      <protection locked="0"/>
    </xf>
    <xf numFmtId="171" fontId="18" fillId="0" borderId="152" xfId="1" applyNumberFormat="1" applyFont="1" applyFill="1" applyBorder="1" applyAlignment="1" applyProtection="1">
      <alignment horizontal="center"/>
      <protection locked="0"/>
    </xf>
    <xf numFmtId="169" fontId="45" fillId="0" borderId="0" xfId="1" applyFont="1" applyAlignment="1" applyProtection="1">
      <alignment horizontal="center" vertical="center"/>
      <protection locked="0"/>
    </xf>
    <xf numFmtId="169" fontId="127" fillId="0" borderId="0" xfId="1" applyFont="1" applyAlignment="1" applyProtection="1">
      <alignment horizontal="center" vertical="center"/>
      <protection locked="0"/>
    </xf>
    <xf numFmtId="169" fontId="45" fillId="0" borderId="0" xfId="1" applyFont="1" applyAlignment="1" applyProtection="1">
      <alignment vertical="center"/>
      <protection locked="0"/>
    </xf>
    <xf numFmtId="169" fontId="46" fillId="0" borderId="0" xfId="1" applyFont="1" applyFill="1" applyBorder="1" applyAlignment="1" applyProtection="1">
      <alignment horizontal="center"/>
      <protection locked="0"/>
    </xf>
    <xf numFmtId="179" fontId="35" fillId="43" borderId="208" xfId="1" applyNumberFormat="1" applyFont="1" applyFill="1" applyBorder="1" applyAlignment="1" applyProtection="1">
      <alignment horizontal="center" vertical="center"/>
    </xf>
    <xf numFmtId="179" fontId="35" fillId="43" borderId="209" xfId="1" applyNumberFormat="1" applyFont="1" applyFill="1" applyBorder="1" applyAlignment="1" applyProtection="1">
      <alignment horizontal="center" vertical="center"/>
    </xf>
    <xf numFmtId="179" fontId="35" fillId="43" borderId="229" xfId="1" applyNumberFormat="1" applyFont="1" applyFill="1" applyBorder="1" applyAlignment="1" applyProtection="1">
      <alignment horizontal="center" vertical="center"/>
    </xf>
    <xf numFmtId="179" fontId="35" fillId="43" borderId="211" xfId="1" applyNumberFormat="1" applyFont="1" applyFill="1" applyBorder="1" applyAlignment="1" applyProtection="1">
      <alignment horizontal="center" vertical="center"/>
    </xf>
    <xf numFmtId="179" fontId="18" fillId="0" borderId="230" xfId="1" applyNumberFormat="1" applyFont="1" applyBorder="1" applyAlignment="1" applyProtection="1">
      <alignment horizontal="center"/>
    </xf>
    <xf numFmtId="169" fontId="8" fillId="0" borderId="0" xfId="1" applyFont="1" applyBorder="1" applyProtection="1">
      <protection locked="0"/>
    </xf>
    <xf numFmtId="9" fontId="46" fillId="0" borderId="0" xfId="2" applyFont="1" applyAlignment="1" applyProtection="1">
      <alignment horizontal="center"/>
      <protection locked="0"/>
    </xf>
    <xf numFmtId="179" fontId="35" fillId="43" borderId="231" xfId="1" applyNumberFormat="1" applyFont="1" applyFill="1" applyBorder="1" applyAlignment="1" applyProtection="1">
      <alignment horizontal="center" vertical="center"/>
    </xf>
    <xf numFmtId="179" fontId="35" fillId="43" borderId="232" xfId="1" applyNumberFormat="1" applyFont="1" applyFill="1" applyBorder="1" applyAlignment="1" applyProtection="1">
      <alignment horizontal="center" vertical="center"/>
    </xf>
    <xf numFmtId="179" fontId="35" fillId="43" borderId="233" xfId="1" applyNumberFormat="1" applyFont="1" applyFill="1" applyBorder="1" applyAlignment="1" applyProtection="1">
      <alignment horizontal="center" vertical="center"/>
    </xf>
    <xf numFmtId="179" fontId="35" fillId="43" borderId="234" xfId="1" applyNumberFormat="1" applyFont="1" applyFill="1" applyBorder="1" applyAlignment="1" applyProtection="1">
      <alignment horizontal="center" vertical="center"/>
    </xf>
    <xf numFmtId="169" fontId="18" fillId="0" borderId="0" xfId="1" applyFont="1" applyAlignment="1" applyProtection="1">
      <alignment horizontal="center"/>
      <protection locked="0"/>
    </xf>
    <xf numFmtId="169" fontId="18" fillId="0" borderId="0" xfId="1" applyFont="1" applyAlignment="1" applyProtection="1">
      <alignment horizontal="center"/>
    </xf>
    <xf numFmtId="169" fontId="18" fillId="0" borderId="152" xfId="1" applyFont="1" applyBorder="1" applyAlignment="1" applyProtection="1">
      <alignment horizontal="center"/>
      <protection locked="0"/>
    </xf>
    <xf numFmtId="169" fontId="18" fillId="0" borderId="0" xfId="1" applyFont="1" applyBorder="1" applyAlignment="1" applyProtection="1">
      <alignment horizontal="center"/>
      <protection locked="0"/>
    </xf>
    <xf numFmtId="169" fontId="18" fillId="0" borderId="153" xfId="1" applyFont="1" applyBorder="1" applyAlignment="1" applyProtection="1">
      <alignment horizontal="center"/>
      <protection locked="0"/>
    </xf>
    <xf numFmtId="169" fontId="45" fillId="32" borderId="212" xfId="1" applyFont="1" applyFill="1" applyBorder="1" applyAlignment="1" applyProtection="1">
      <alignment horizontal="center"/>
      <protection locked="0"/>
    </xf>
    <xf numFmtId="169" fontId="45" fillId="32" borderId="213" xfId="1" applyFont="1" applyFill="1" applyBorder="1" applyAlignment="1" applyProtection="1">
      <alignment horizontal="center"/>
      <protection locked="0"/>
    </xf>
    <xf numFmtId="169" fontId="45" fillId="32" borderId="214" xfId="1" applyFont="1" applyFill="1" applyBorder="1" applyAlignment="1" applyProtection="1">
      <alignment horizontal="center"/>
      <protection locked="0"/>
    </xf>
    <xf numFmtId="169" fontId="45" fillId="32" borderId="0" xfId="1" applyFont="1" applyFill="1" applyBorder="1" applyAlignment="1" applyProtection="1">
      <alignment horizontal="center"/>
      <protection locked="0"/>
    </xf>
    <xf numFmtId="179" fontId="35" fillId="3" borderId="8" xfId="1" applyNumberFormat="1" applyFont="1" applyFill="1" applyBorder="1" applyAlignment="1" applyProtection="1">
      <alignment horizontal="center" vertical="center"/>
    </xf>
    <xf numFmtId="179" fontId="35" fillId="3" borderId="235" xfId="1" applyNumberFormat="1" applyFont="1" applyFill="1" applyBorder="1" applyAlignment="1" applyProtection="1">
      <alignment horizontal="center" vertical="center"/>
    </xf>
    <xf numFmtId="179" fontId="35" fillId="3" borderId="236" xfId="1" applyNumberFormat="1" applyFont="1" applyFill="1" applyBorder="1" applyAlignment="1" applyProtection="1">
      <alignment horizontal="center" vertical="center"/>
    </xf>
    <xf numFmtId="179" fontId="35" fillId="3" borderId="237" xfId="1" applyNumberFormat="1" applyFont="1" applyFill="1" applyBorder="1" applyAlignment="1" applyProtection="1">
      <alignment horizontal="center" vertical="center"/>
    </xf>
    <xf numFmtId="2" fontId="35" fillId="3" borderId="9" xfId="1" applyNumberFormat="1" applyFont="1" applyFill="1" applyBorder="1" applyAlignment="1" applyProtection="1">
      <alignment horizontal="center" vertical="center"/>
    </xf>
    <xf numFmtId="179" fontId="35" fillId="3" borderId="9" xfId="1" applyNumberFormat="1" applyFont="1" applyFill="1" applyBorder="1" applyAlignment="1" applyProtection="1">
      <alignment horizontal="center" vertical="center"/>
    </xf>
    <xf numFmtId="179" fontId="35" fillId="3" borderId="238" xfId="1" applyNumberFormat="1" applyFont="1" applyFill="1" applyBorder="1" applyAlignment="1" applyProtection="1">
      <alignment horizontal="center" vertical="center"/>
    </xf>
    <xf numFmtId="169" fontId="127" fillId="0" borderId="0" xfId="1" applyFont="1" applyAlignment="1" applyProtection="1">
      <alignment vertical="center"/>
      <protection locked="0"/>
    </xf>
    <xf numFmtId="169" fontId="54" fillId="0" borderId="0" xfId="1" applyFont="1" applyProtection="1">
      <protection locked="0"/>
    </xf>
    <xf numFmtId="169" fontId="44" fillId="0" borderId="0" xfId="1" applyFont="1" applyAlignment="1" applyProtection="1">
      <protection locked="0"/>
    </xf>
    <xf numFmtId="176" fontId="60" fillId="4" borderId="0" xfId="13" applyNumberFormat="1" applyFont="1" applyFill="1" applyAlignment="1">
      <alignment horizontal="left" vertical="center"/>
    </xf>
    <xf numFmtId="167" fontId="60" fillId="4" borderId="218" xfId="0" applyNumberFormat="1" applyFont="1" applyFill="1" applyBorder="1" applyAlignment="1">
      <alignment horizontal="center" vertical="center"/>
    </xf>
    <xf numFmtId="169" fontId="60" fillId="4" borderId="0" xfId="1" applyFont="1" applyFill="1" applyAlignment="1" applyProtection="1">
      <protection locked="0"/>
    </xf>
    <xf numFmtId="169" fontId="136" fillId="0" borderId="0" xfId="1" applyFont="1" applyAlignment="1" applyProtection="1">
      <alignment horizontal="center"/>
      <protection locked="0"/>
    </xf>
    <xf numFmtId="169" fontId="61" fillId="0" borderId="0" xfId="1" applyFont="1" applyAlignment="1" applyProtection="1">
      <alignment horizontal="center"/>
      <protection locked="0"/>
    </xf>
    <xf numFmtId="169" fontId="46" fillId="30" borderId="0" xfId="1" applyFont="1" applyFill="1" applyBorder="1" applyAlignment="1" applyProtection="1">
      <alignment horizontal="center"/>
      <protection locked="0"/>
    </xf>
    <xf numFmtId="169" fontId="54" fillId="4" borderId="0" xfId="1" applyFont="1" applyFill="1" applyAlignment="1" applyProtection="1">
      <alignment horizontal="center"/>
      <protection locked="0"/>
    </xf>
    <xf numFmtId="170" fontId="60" fillId="4" borderId="218" xfId="1" applyNumberFormat="1" applyFont="1" applyFill="1" applyBorder="1" applyAlignment="1" applyProtection="1">
      <alignment horizontal="center"/>
    </xf>
    <xf numFmtId="169" fontId="54" fillId="0" borderId="0" xfId="1" applyFont="1" applyAlignment="1" applyProtection="1">
      <alignment horizontal="center"/>
      <protection locked="0"/>
    </xf>
    <xf numFmtId="170" fontId="134" fillId="0" borderId="0" xfId="1" applyNumberFormat="1" applyFont="1" applyAlignment="1" applyProtection="1">
      <alignment horizontal="center"/>
      <protection locked="0"/>
    </xf>
    <xf numFmtId="169" fontId="132" fillId="0" borderId="0" xfId="1" applyFont="1" applyFill="1" applyBorder="1" applyAlignment="1" applyProtection="1">
      <alignment horizontal="center"/>
      <protection locked="0"/>
    </xf>
    <xf numFmtId="169" fontId="49" fillId="30" borderId="0" xfId="1" applyFont="1" applyFill="1" applyBorder="1" applyAlignment="1" applyProtection="1">
      <alignment horizontal="center"/>
      <protection locked="0"/>
    </xf>
    <xf numFmtId="169" fontId="134" fillId="0" borderId="0" xfId="1" applyFont="1" applyAlignment="1" applyProtection="1">
      <protection locked="0"/>
    </xf>
    <xf numFmtId="0" fontId="33" fillId="30" borderId="0" xfId="4" applyFont="1" applyFill="1" applyBorder="1" applyAlignment="1" applyProtection="1">
      <alignment horizontal="left" vertical="center"/>
      <protection locked="0"/>
    </xf>
    <xf numFmtId="14" fontId="47" fillId="41" borderId="0" xfId="0" applyNumberFormat="1" applyFont="1" applyFill="1" applyAlignment="1" applyProtection="1">
      <alignment vertical="center"/>
      <protection locked="0"/>
    </xf>
    <xf numFmtId="14" fontId="35" fillId="44" borderId="0" xfId="0" applyNumberFormat="1" applyFont="1" applyFill="1" applyAlignment="1" applyProtection="1">
      <alignment vertical="center"/>
      <protection locked="0"/>
    </xf>
    <xf numFmtId="14" fontId="35" fillId="44" borderId="0" xfId="0" applyNumberFormat="1" applyFont="1" applyFill="1" applyAlignment="1" applyProtection="1">
      <alignment horizontal="left" vertical="center"/>
      <protection locked="0"/>
    </xf>
    <xf numFmtId="14" fontId="28" fillId="36" borderId="0" xfId="0" applyNumberFormat="1" applyFont="1" applyFill="1" applyAlignment="1">
      <alignment horizontal="center"/>
    </xf>
    <xf numFmtId="0" fontId="28" fillId="30" borderId="0" xfId="0" applyFont="1" applyFill="1" applyAlignment="1">
      <alignment horizontal="center"/>
    </xf>
    <xf numFmtId="14" fontId="28" fillId="36" borderId="0" xfId="0" applyNumberFormat="1" applyFont="1" applyFill="1"/>
    <xf numFmtId="14" fontId="28" fillId="30" borderId="0" xfId="0" applyNumberFormat="1" applyFont="1" applyFill="1"/>
    <xf numFmtId="169" fontId="31" fillId="36" borderId="0" xfId="1" applyFont="1" applyFill="1" applyAlignment="1">
      <alignment horizontal="center"/>
    </xf>
    <xf numFmtId="0" fontId="18" fillId="33" borderId="0" xfId="0" applyFont="1" applyFill="1"/>
    <xf numFmtId="169" fontId="4" fillId="6" borderId="0" xfId="1" applyFont="1" applyFill="1" applyAlignment="1">
      <alignment horizontal="center"/>
    </xf>
    <xf numFmtId="0" fontId="28" fillId="36" borderId="0" xfId="0" applyFont="1" applyFill="1"/>
    <xf numFmtId="0" fontId="28" fillId="30" borderId="0" xfId="0" applyFont="1" applyFill="1"/>
    <xf numFmtId="169" fontId="139" fillId="36" borderId="0" xfId="1" applyFont="1" applyFill="1" applyAlignment="1">
      <alignment horizontal="center"/>
    </xf>
    <xf numFmtId="0" fontId="2" fillId="17" borderId="239" xfId="0" applyFont="1" applyFill="1" applyBorder="1"/>
    <xf numFmtId="169" fontId="2" fillId="17" borderId="240" xfId="1" applyFont="1" applyFill="1" applyBorder="1"/>
    <xf numFmtId="0" fontId="0" fillId="0" borderId="181" xfId="0" applyBorder="1"/>
    <xf numFmtId="171" fontId="0" fillId="24" borderId="241" xfId="1" applyNumberFormat="1" applyFont="1" applyFill="1" applyBorder="1"/>
    <xf numFmtId="171" fontId="0" fillId="0" borderId="241" xfId="1" applyNumberFormat="1" applyFont="1" applyBorder="1"/>
    <xf numFmtId="169" fontId="0" fillId="0" borderId="0" xfId="0" applyNumberFormat="1"/>
    <xf numFmtId="0" fontId="2" fillId="0" borderId="181" xfId="0" applyFont="1" applyBorder="1"/>
    <xf numFmtId="0" fontId="0" fillId="17" borderId="242" xfId="0" applyFill="1" applyBorder="1"/>
    <xf numFmtId="171" fontId="0" fillId="17" borderId="243" xfId="1" applyNumberFormat="1" applyFont="1" applyFill="1" applyBorder="1"/>
    <xf numFmtId="0" fontId="3" fillId="0" borderId="0" xfId="0" applyFont="1"/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44" xfId="0" applyBorder="1" applyAlignment="1">
      <alignment vertical="center" wrapText="1"/>
    </xf>
    <xf numFmtId="9" fontId="0" fillId="0" borderId="18" xfId="0" applyNumberFormat="1" applyBorder="1" applyAlignment="1">
      <alignment horizontal="center"/>
    </xf>
    <xf numFmtId="171" fontId="0" fillId="30" borderId="18" xfId="1" applyNumberFormat="1" applyFont="1" applyFill="1" applyBorder="1"/>
    <xf numFmtId="171" fontId="0" fillId="0" borderId="18" xfId="1" applyNumberFormat="1" applyFont="1" applyBorder="1"/>
    <xf numFmtId="0" fontId="0" fillId="0" borderId="18" xfId="0" applyBorder="1" applyAlignment="1">
      <alignment vertical="center" wrapText="1"/>
    </xf>
    <xf numFmtId="0" fontId="0" fillId="0" borderId="176" xfId="0" applyBorder="1" applyAlignment="1">
      <alignment horizontal="center" vertical="center"/>
    </xf>
    <xf numFmtId="0" fontId="0" fillId="0" borderId="245" xfId="0" applyBorder="1" applyAlignment="1">
      <alignment horizontal="center" vertical="center"/>
    </xf>
    <xf numFmtId="171" fontId="2" fillId="0" borderId="0" xfId="1" applyNumberFormat="1" applyFont="1"/>
    <xf numFmtId="0" fontId="0" fillId="45" borderId="0" xfId="0" applyFill="1"/>
    <xf numFmtId="171" fontId="0" fillId="17" borderId="0" xfId="0" applyNumberFormat="1" applyFill="1"/>
    <xf numFmtId="9" fontId="0" fillId="0" borderId="0" xfId="0" applyNumberFormat="1"/>
    <xf numFmtId="171" fontId="3" fillId="0" borderId="0" xfId="0" applyNumberFormat="1" applyFont="1"/>
    <xf numFmtId="171" fontId="43" fillId="17" borderId="0" xfId="0" applyNumberFormat="1" applyFont="1" applyFill="1"/>
    <xf numFmtId="17" fontId="0" fillId="0" borderId="0" xfId="0" applyNumberFormat="1"/>
    <xf numFmtId="171" fontId="0" fillId="45" borderId="0" xfId="0" applyNumberFormat="1" applyFill="1"/>
    <xf numFmtId="171" fontId="43" fillId="0" borderId="0" xfId="0" applyNumberFormat="1" applyFont="1"/>
    <xf numFmtId="171" fontId="2" fillId="17" borderId="0" xfId="0" applyNumberFormat="1" applyFont="1" applyFill="1"/>
    <xf numFmtId="171" fontId="0" fillId="18" borderId="0" xfId="0" applyNumberFormat="1" applyFill="1"/>
    <xf numFmtId="171" fontId="141" fillId="0" borderId="0" xfId="1" applyNumberFormat="1" applyFont="1"/>
    <xf numFmtId="0" fontId="141" fillId="0" borderId="0" xfId="0" applyFont="1"/>
    <xf numFmtId="169" fontId="141" fillId="0" borderId="0" xfId="1" applyFont="1"/>
    <xf numFmtId="171" fontId="141" fillId="0" borderId="0" xfId="1" applyNumberFormat="1" applyFont="1" applyFill="1"/>
    <xf numFmtId="17" fontId="141" fillId="0" borderId="0" xfId="0" applyNumberFormat="1" applyFont="1"/>
    <xf numFmtId="171" fontId="141" fillId="17" borderId="0" xfId="1" applyNumberFormat="1" applyFont="1" applyFill="1"/>
    <xf numFmtId="17" fontId="141" fillId="17" borderId="0" xfId="0" applyNumberFormat="1" applyFont="1" applyFill="1"/>
    <xf numFmtId="0" fontId="141" fillId="17" borderId="0" xfId="0" applyFont="1" applyFill="1"/>
    <xf numFmtId="171" fontId="142" fillId="0" borderId="0" xfId="0" applyNumberFormat="1" applyFont="1"/>
    <xf numFmtId="171" fontId="141" fillId="0" borderId="0" xfId="0" applyNumberFormat="1" applyFont="1"/>
    <xf numFmtId="171" fontId="141" fillId="9" borderId="0" xfId="1" applyNumberFormat="1" applyFont="1" applyFill="1"/>
    <xf numFmtId="169" fontId="142" fillId="0" borderId="0" xfId="1" applyFont="1"/>
    <xf numFmtId="169" fontId="141" fillId="0" borderId="0" xfId="0" applyNumberFormat="1" applyFont="1"/>
    <xf numFmtId="0" fontId="23" fillId="0" borderId="0" xfId="17"/>
    <xf numFmtId="169" fontId="0" fillId="0" borderId="0" xfId="18" applyFont="1"/>
    <xf numFmtId="171" fontId="0" fillId="0" borderId="0" xfId="18" applyNumberFormat="1" applyFont="1"/>
    <xf numFmtId="9" fontId="0" fillId="0" borderId="0" xfId="16" applyFont="1"/>
    <xf numFmtId="0" fontId="143" fillId="0" borderId="0" xfId="19" applyFont="1"/>
    <xf numFmtId="0" fontId="131" fillId="0" borderId="0" xfId="19" applyFont="1"/>
    <xf numFmtId="10" fontId="0" fillId="0" borderId="0" xfId="16" applyNumberFormat="1" applyFont="1"/>
    <xf numFmtId="0" fontId="144" fillId="0" borderId="0" xfId="19" applyFont="1"/>
    <xf numFmtId="14" fontId="23" fillId="0" borderId="0" xfId="17" applyNumberFormat="1"/>
    <xf numFmtId="10" fontId="23" fillId="0" borderId="0" xfId="17" applyNumberFormat="1"/>
    <xf numFmtId="0" fontId="144" fillId="0" borderId="0" xfId="19" applyFont="1" applyAlignment="1">
      <alignment horizontal="center" vertical="top"/>
    </xf>
    <xf numFmtId="0" fontId="144" fillId="0" borderId="0" xfId="19" applyFont="1" applyAlignment="1">
      <alignment horizontal="center" vertical="top" wrapText="1"/>
    </xf>
    <xf numFmtId="0" fontId="23" fillId="0" borderId="0" xfId="17" applyAlignment="1">
      <alignment horizontal="center" vertical="top"/>
    </xf>
    <xf numFmtId="169" fontId="0" fillId="0" borderId="0" xfId="18" applyFont="1" applyAlignment="1">
      <alignment horizontal="center" vertical="top"/>
    </xf>
    <xf numFmtId="171" fontId="0" fillId="0" borderId="0" xfId="20" applyNumberFormat="1" applyFont="1" applyAlignment="1">
      <alignment horizontal="center" vertical="top"/>
    </xf>
    <xf numFmtId="169" fontId="0" fillId="0" borderId="0" xfId="20" applyFont="1"/>
    <xf numFmtId="169" fontId="0" fillId="3" borderId="0" xfId="18" applyFont="1" applyFill="1"/>
    <xf numFmtId="14" fontId="23" fillId="46" borderId="0" xfId="17" applyNumberFormat="1" applyFill="1"/>
    <xf numFmtId="169" fontId="0" fillId="46" borderId="0" xfId="18" applyFont="1" applyFill="1"/>
    <xf numFmtId="169" fontId="0" fillId="0" borderId="0" xfId="18" quotePrefix="1" applyFont="1"/>
    <xf numFmtId="169" fontId="0" fillId="17" borderId="0" xfId="18" applyFont="1" applyFill="1"/>
    <xf numFmtId="14" fontId="147" fillId="0" borderId="0" xfId="17" applyNumberFormat="1" applyFont="1"/>
    <xf numFmtId="169" fontId="147" fillId="0" borderId="0" xfId="20" applyFont="1"/>
    <xf numFmtId="169" fontId="23" fillId="0" borderId="0" xfId="17" applyNumberFormat="1"/>
    <xf numFmtId="171" fontId="0" fillId="0" borderId="0" xfId="20" applyNumberFormat="1" applyFont="1"/>
    <xf numFmtId="0" fontId="0" fillId="18" borderId="0" xfId="0" applyFill="1" applyAlignment="1">
      <alignment vertical="top"/>
    </xf>
    <xf numFmtId="0" fontId="2" fillId="18" borderId="0" xfId="0" applyFont="1" applyFill="1" applyAlignment="1">
      <alignment vertical="top"/>
    </xf>
    <xf numFmtId="0" fontId="148" fillId="34" borderId="0" xfId="0" applyFont="1" applyFill="1"/>
    <xf numFmtId="0" fontId="149" fillId="34" borderId="0" xfId="0" applyFont="1" applyFill="1"/>
    <xf numFmtId="4" fontId="4" fillId="0" borderId="0" xfId="0" applyNumberFormat="1" applyFont="1" applyProtection="1">
      <protection locked="0"/>
    </xf>
    <xf numFmtId="171" fontId="0" fillId="47" borderId="0" xfId="1" applyNumberFormat="1" applyFont="1" applyFill="1" applyBorder="1" applyAlignment="1">
      <alignment horizontal="center"/>
    </xf>
    <xf numFmtId="171" fontId="0" fillId="48" borderId="0" xfId="1" applyNumberFormat="1" applyFont="1" applyFill="1"/>
    <xf numFmtId="0" fontId="0" fillId="48" borderId="0" xfId="0" applyFill="1"/>
    <xf numFmtId="0" fontId="4" fillId="48" borderId="0" xfId="0" applyFont="1" applyFill="1" applyProtection="1">
      <protection locked="0"/>
    </xf>
    <xf numFmtId="171" fontId="4" fillId="48" borderId="0" xfId="0" applyNumberFormat="1" applyFont="1" applyFill="1" applyProtection="1">
      <protection locked="0"/>
    </xf>
    <xf numFmtId="171" fontId="0" fillId="48" borderId="0" xfId="0" applyNumberFormat="1" applyFill="1"/>
    <xf numFmtId="169" fontId="0" fillId="49" borderId="0" xfId="18" applyFont="1" applyFill="1"/>
    <xf numFmtId="164" fontId="0" fillId="0" borderId="0" xfId="21" applyFont="1"/>
    <xf numFmtId="171" fontId="0" fillId="50" borderId="0" xfId="1" applyNumberFormat="1" applyFont="1" applyFill="1" applyBorder="1" applyAlignment="1">
      <alignment horizontal="center"/>
    </xf>
    <xf numFmtId="170" fontId="80" fillId="48" borderId="0" xfId="1" applyNumberFormat="1" applyFont="1" applyFill="1" applyAlignment="1" applyProtection="1">
      <alignment horizontal="right"/>
    </xf>
    <xf numFmtId="0" fontId="151" fillId="0" borderId="0" xfId="23"/>
    <xf numFmtId="164" fontId="0" fillId="17" borderId="0" xfId="24" applyFont="1" applyFill="1"/>
    <xf numFmtId="164" fontId="151" fillId="0" borderId="0" xfId="23" applyNumberFormat="1"/>
    <xf numFmtId="164" fontId="0" fillId="0" borderId="0" xfId="24" applyFont="1"/>
    <xf numFmtId="14" fontId="2" fillId="0" borderId="0" xfId="0" applyNumberFormat="1" applyFont="1"/>
    <xf numFmtId="3" fontId="28" fillId="34" borderId="0" xfId="10" applyNumberFormat="1" applyFont="1" applyFill="1" applyAlignment="1" applyProtection="1">
      <alignment horizontal="right" vertical="center" wrapText="1"/>
    </xf>
    <xf numFmtId="171" fontId="0" fillId="39" borderId="0" xfId="1" applyNumberFormat="1" applyFont="1" applyFill="1" applyBorder="1" applyAlignment="1">
      <alignment horizontal="center"/>
    </xf>
    <xf numFmtId="0" fontId="0" fillId="51" borderId="0" xfId="0" applyFill="1"/>
    <xf numFmtId="172" fontId="43" fillId="0" borderId="0" xfId="1" applyNumberFormat="1" applyFont="1" applyFill="1" applyBorder="1" applyAlignment="1">
      <alignment horizontal="center"/>
    </xf>
    <xf numFmtId="164" fontId="4" fillId="17" borderId="154" xfId="21" applyFont="1" applyFill="1" applyBorder="1" applyAlignment="1" applyProtection="1">
      <alignment horizontal="right"/>
      <protection locked="0"/>
    </xf>
    <xf numFmtId="167" fontId="44" fillId="6" borderId="152" xfId="0" applyNumberFormat="1" applyFont="1" applyFill="1" applyBorder="1" applyAlignment="1" applyProtection="1">
      <alignment horizontal="right"/>
      <protection locked="0"/>
    </xf>
    <xf numFmtId="167" fontId="44" fillId="6" borderId="153" xfId="0" applyNumberFormat="1" applyFont="1" applyFill="1" applyBorder="1" applyAlignment="1" applyProtection="1">
      <alignment horizontal="right"/>
      <protection locked="0"/>
    </xf>
    <xf numFmtId="0" fontId="44" fillId="30" borderId="0" xfId="0" applyFont="1" applyFill="1" applyProtection="1">
      <protection locked="0"/>
    </xf>
    <xf numFmtId="171" fontId="43" fillId="0" borderId="0" xfId="1" applyNumberFormat="1" applyFont="1" applyFill="1" applyBorder="1" applyAlignment="1">
      <alignment horizontal="center"/>
    </xf>
    <xf numFmtId="164" fontId="0" fillId="14" borderId="0" xfId="24" applyFont="1" applyFill="1"/>
    <xf numFmtId="0" fontId="0" fillId="50" borderId="0" xfId="0" applyFill="1" applyAlignment="1">
      <alignment vertical="top"/>
    </xf>
    <xf numFmtId="171" fontId="0" fillId="53" borderId="0" xfId="1" applyNumberFormat="1" applyFont="1" applyFill="1" applyBorder="1" applyAlignment="1">
      <alignment horizontal="center"/>
    </xf>
    <xf numFmtId="164" fontId="152" fillId="17" borderId="0" xfId="21" applyFont="1" applyFill="1"/>
    <xf numFmtId="0" fontId="23" fillId="0" borderId="0" xfId="23" applyFont="1"/>
    <xf numFmtId="0" fontId="0" fillId="0" borderId="0" xfId="0" applyAlignment="1">
      <alignment vertical="top"/>
    </xf>
    <xf numFmtId="180" fontId="4" fillId="6" borderId="0" xfId="21" applyNumberFormat="1" applyFont="1" applyFill="1" applyProtection="1">
      <protection locked="0"/>
    </xf>
    <xf numFmtId="0" fontId="0" fillId="33" borderId="0" xfId="0" applyFill="1"/>
    <xf numFmtId="171" fontId="0" fillId="33" borderId="0" xfId="1" applyNumberFormat="1" applyFont="1" applyFill="1" applyBorder="1" applyAlignment="1">
      <alignment horizontal="center"/>
    </xf>
    <xf numFmtId="167" fontId="75" fillId="56" borderId="0" xfId="0" applyNumberFormat="1" applyFont="1" applyFill="1" applyAlignment="1" applyProtection="1">
      <alignment horizontal="right"/>
      <protection locked="0"/>
    </xf>
    <xf numFmtId="167" fontId="75" fillId="3" borderId="0" xfId="0" applyNumberFormat="1" applyFont="1" applyFill="1" applyAlignment="1" applyProtection="1">
      <alignment horizontal="right"/>
      <protection locked="0"/>
    </xf>
    <xf numFmtId="164" fontId="0" fillId="20" borderId="0" xfId="24" applyFont="1" applyFill="1"/>
    <xf numFmtId="3" fontId="4" fillId="50" borderId="0" xfId="0" applyNumberFormat="1" applyFont="1" applyFill="1" applyProtection="1">
      <protection locked="0"/>
    </xf>
    <xf numFmtId="0" fontId="0" fillId="50" borderId="0" xfId="0" applyFill="1"/>
    <xf numFmtId="171" fontId="0" fillId="50" borderId="0" xfId="1" applyNumberFormat="1" applyFont="1" applyFill="1"/>
    <xf numFmtId="0" fontId="23" fillId="50" borderId="0" xfId="6" applyFill="1"/>
    <xf numFmtId="172" fontId="0" fillId="50" borderId="0" xfId="1" applyNumberFormat="1" applyFont="1" applyFill="1" applyBorder="1" applyAlignment="1">
      <alignment horizontal="center"/>
    </xf>
    <xf numFmtId="0" fontId="4" fillId="50" borderId="0" xfId="0" applyFont="1" applyFill="1"/>
    <xf numFmtId="171" fontId="4" fillId="50" borderId="0" xfId="1" applyNumberFormat="1" applyFont="1" applyFill="1"/>
    <xf numFmtId="171" fontId="4" fillId="50" borderId="0" xfId="0" applyNumberFormat="1" applyFont="1" applyFill="1" applyProtection="1">
      <protection locked="0"/>
    </xf>
    <xf numFmtId="0" fontId="4" fillId="50" borderId="0" xfId="0" applyFont="1" applyFill="1" applyProtection="1">
      <protection locked="0"/>
    </xf>
    <xf numFmtId="3" fontId="4" fillId="49" borderId="0" xfId="0" applyNumberFormat="1" applyFont="1" applyFill="1" applyProtection="1">
      <protection locked="0"/>
    </xf>
    <xf numFmtId="0" fontId="0" fillId="12" borderId="0" xfId="0" applyFill="1"/>
    <xf numFmtId="3" fontId="44" fillId="6" borderId="0" xfId="0" applyNumberFormat="1" applyFont="1" applyFill="1" applyAlignment="1" applyProtection="1">
      <alignment horizontal="right"/>
      <protection locked="0"/>
    </xf>
    <xf numFmtId="170" fontId="44" fillId="6" borderId="0" xfId="1" applyNumberFormat="1" applyFont="1" applyFill="1" applyBorder="1" applyAlignment="1" applyProtection="1">
      <alignment horizontal="right"/>
      <protection locked="0"/>
    </xf>
    <xf numFmtId="3" fontId="75" fillId="6" borderId="0" xfId="0" applyNumberFormat="1" applyFont="1" applyFill="1" applyAlignment="1" applyProtection="1">
      <alignment horizontal="right"/>
      <protection locked="0"/>
    </xf>
    <xf numFmtId="181" fontId="89" fillId="4" borderId="167" xfId="0" applyNumberFormat="1" applyFont="1" applyFill="1" applyBorder="1"/>
    <xf numFmtId="172" fontId="0" fillId="55" borderId="0" xfId="1" applyNumberFormat="1" applyFont="1" applyFill="1" applyBorder="1" applyAlignment="1">
      <alignment horizontal="center"/>
    </xf>
    <xf numFmtId="3" fontId="4" fillId="55" borderId="0" xfId="0" applyNumberFormat="1" applyFont="1" applyFill="1" applyProtection="1">
      <protection locked="0"/>
    </xf>
    <xf numFmtId="167" fontId="31" fillId="52" borderId="0" xfId="1" applyNumberFormat="1" applyFont="1" applyFill="1" applyProtection="1"/>
    <xf numFmtId="171" fontId="0" fillId="12" borderId="0" xfId="1" applyNumberFormat="1" applyFont="1" applyFill="1" applyBorder="1" applyAlignment="1">
      <alignment horizontal="center"/>
    </xf>
    <xf numFmtId="171" fontId="0" fillId="54" borderId="0" xfId="1" applyNumberFormat="1" applyFont="1" applyFill="1" applyBorder="1" applyAlignment="1">
      <alignment horizontal="center"/>
    </xf>
    <xf numFmtId="167" fontId="101" fillId="18" borderId="154" xfId="0" applyNumberFormat="1" applyFont="1" applyFill="1" applyBorder="1" applyProtection="1">
      <protection locked="0"/>
    </xf>
    <xf numFmtId="167" fontId="4" fillId="49" borderId="0" xfId="0" applyNumberFormat="1" applyFont="1" applyFill="1" applyProtection="1">
      <protection locked="0"/>
    </xf>
    <xf numFmtId="167" fontId="44" fillId="49" borderId="0" xfId="0" applyNumberFormat="1" applyFont="1" applyFill="1" applyProtection="1">
      <protection locked="0"/>
    </xf>
    <xf numFmtId="167" fontId="4" fillId="12" borderId="0" xfId="0" applyNumberFormat="1" applyFont="1" applyFill="1" applyProtection="1">
      <protection locked="0"/>
    </xf>
    <xf numFmtId="167" fontId="31" fillId="12" borderId="0" xfId="1" applyNumberFormat="1" applyFont="1" applyFill="1" applyProtection="1"/>
    <xf numFmtId="3" fontId="4" fillId="17" borderId="0" xfId="0" applyNumberFormat="1" applyFont="1" applyFill="1" applyProtection="1">
      <protection locked="0"/>
    </xf>
    <xf numFmtId="167" fontId="4" fillId="17" borderId="154" xfId="0" applyNumberFormat="1" applyFont="1" applyFill="1" applyBorder="1" applyAlignment="1" applyProtection="1">
      <alignment horizontal="right"/>
      <protection locked="0"/>
    </xf>
    <xf numFmtId="165" fontId="4" fillId="0" borderId="0" xfId="0" applyNumberFormat="1" applyFont="1" applyProtection="1">
      <protection locked="0"/>
    </xf>
    <xf numFmtId="0" fontId="153" fillId="0" borderId="0" xfId="26"/>
    <xf numFmtId="0" fontId="153" fillId="0" borderId="0" xfId="26" applyAlignment="1">
      <alignment wrapText="1"/>
    </xf>
    <xf numFmtId="169" fontId="153" fillId="0" borderId="0" xfId="27" applyFont="1"/>
    <xf numFmtId="0" fontId="153" fillId="0" borderId="0" xfId="26" applyAlignment="1">
      <alignment horizontal="center"/>
    </xf>
    <xf numFmtId="171" fontId="153" fillId="0" borderId="0" xfId="26" applyNumberFormat="1"/>
    <xf numFmtId="0" fontId="153" fillId="0" borderId="0" xfId="26" applyAlignment="1">
      <alignment horizontal="center" vertical="center" wrapText="1"/>
    </xf>
    <xf numFmtId="0" fontId="155" fillId="0" borderId="18" xfId="26" applyFont="1" applyBorder="1" applyAlignment="1">
      <alignment horizontal="center" vertical="center" wrapText="1"/>
    </xf>
    <xf numFmtId="169" fontId="153" fillId="0" borderId="0" xfId="27" applyFont="1" applyAlignment="1">
      <alignment horizontal="center" vertical="center" wrapText="1"/>
    </xf>
    <xf numFmtId="171" fontId="153" fillId="0" borderId="0" xfId="26" applyNumberFormat="1" applyAlignment="1">
      <alignment horizontal="center" vertical="center" wrapText="1"/>
    </xf>
    <xf numFmtId="0" fontId="155" fillId="0" borderId="18" xfId="26" applyFont="1" applyBorder="1"/>
    <xf numFmtId="0" fontId="156" fillId="0" borderId="0" xfId="26" applyFont="1" applyAlignment="1">
      <alignment horizontal="center" vertical="center" wrapText="1"/>
    </xf>
    <xf numFmtId="3" fontId="156" fillId="0" borderId="18" xfId="26" applyNumberFormat="1" applyFont="1" applyBorder="1"/>
    <xf numFmtId="0" fontId="156" fillId="0" borderId="18" xfId="26" applyFont="1" applyBorder="1"/>
    <xf numFmtId="171" fontId="155" fillId="0" borderId="18" xfId="26" applyNumberFormat="1" applyFont="1" applyBorder="1"/>
    <xf numFmtId="171" fontId="155" fillId="12" borderId="18" xfId="26" applyNumberFormat="1" applyFont="1" applyFill="1" applyBorder="1"/>
    <xf numFmtId="171" fontId="155" fillId="17" borderId="18" xfId="26" applyNumberFormat="1" applyFont="1" applyFill="1" applyBorder="1"/>
    <xf numFmtId="171" fontId="157" fillId="0" borderId="0" xfId="27" applyNumberFormat="1" applyFont="1"/>
    <xf numFmtId="171" fontId="153" fillId="0" borderId="0" xfId="26" applyNumberFormat="1" applyAlignment="1">
      <alignment horizontal="center"/>
    </xf>
    <xf numFmtId="0" fontId="155" fillId="0" borderId="0" xfId="26" applyFont="1"/>
    <xf numFmtId="0" fontId="156" fillId="0" borderId="0" xfId="26" applyFont="1"/>
    <xf numFmtId="171" fontId="158" fillId="0" borderId="0" xfId="27" applyNumberFormat="1" applyFont="1"/>
    <xf numFmtId="171" fontId="156" fillId="0" borderId="18" xfId="26" applyNumberFormat="1" applyFont="1" applyBorder="1"/>
    <xf numFmtId="0" fontId="155" fillId="17" borderId="18" xfId="26" applyFont="1" applyFill="1" applyBorder="1"/>
    <xf numFmtId="0" fontId="156" fillId="17" borderId="0" xfId="26" applyFont="1" applyFill="1" applyAlignment="1">
      <alignment horizontal="center" vertical="center" wrapText="1"/>
    </xf>
    <xf numFmtId="0" fontId="156" fillId="17" borderId="18" xfId="26" applyFont="1" applyFill="1" applyBorder="1"/>
    <xf numFmtId="43" fontId="0" fillId="0" borderId="0" xfId="28" quotePrefix="1" applyFont="1" applyAlignment="1">
      <alignment vertical="top"/>
    </xf>
    <xf numFmtId="0" fontId="153" fillId="17" borderId="0" xfId="26" applyFill="1" applyAlignment="1">
      <alignment horizontal="center"/>
    </xf>
    <xf numFmtId="171" fontId="158" fillId="17" borderId="0" xfId="26" applyNumberFormat="1" applyFont="1" applyFill="1"/>
    <xf numFmtId="171" fontId="153" fillId="17" borderId="0" xfId="26" applyNumberFormat="1" applyFill="1"/>
    <xf numFmtId="0" fontId="153" fillId="17" borderId="0" xfId="26" applyFill="1"/>
    <xf numFmtId="171" fontId="157" fillId="17" borderId="0" xfId="27" applyNumberFormat="1" applyFont="1" applyFill="1"/>
    <xf numFmtId="3" fontId="156" fillId="17" borderId="18" xfId="26" applyNumberFormat="1" applyFont="1" applyFill="1" applyBorder="1"/>
    <xf numFmtId="0" fontId="159" fillId="0" borderId="0" xfId="26" applyFont="1"/>
    <xf numFmtId="171" fontId="157" fillId="0" borderId="0" xfId="29" applyNumberFormat="1" applyFont="1"/>
    <xf numFmtId="171" fontId="158" fillId="0" borderId="0" xfId="26" applyNumberFormat="1" applyFont="1"/>
    <xf numFmtId="171" fontId="156" fillId="0" borderId="0" xfId="26" applyNumberFormat="1" applyFont="1"/>
    <xf numFmtId="169" fontId="157" fillId="0" borderId="0" xfId="27" applyFont="1"/>
    <xf numFmtId="171" fontId="156" fillId="0" borderId="0" xfId="27" applyNumberFormat="1" applyFont="1"/>
    <xf numFmtId="169" fontId="153" fillId="0" borderId="0" xfId="26" applyNumberFormat="1"/>
    <xf numFmtId="169" fontId="156" fillId="0" borderId="0" xfId="26" applyNumberFormat="1" applyFont="1"/>
    <xf numFmtId="0" fontId="160" fillId="0" borderId="18" xfId="26" applyFont="1" applyBorder="1" applyAlignment="1">
      <alignment horizontal="center"/>
    </xf>
    <xf numFmtId="0" fontId="156" fillId="0" borderId="18" xfId="26" applyFont="1" applyBorder="1" applyAlignment="1">
      <alignment horizontal="center" vertical="center" wrapText="1"/>
    </xf>
    <xf numFmtId="2" fontId="156" fillId="0" borderId="18" xfId="26" applyNumberFormat="1" applyFont="1" applyBorder="1"/>
    <xf numFmtId="2" fontId="155" fillId="0" borderId="18" xfId="26" applyNumberFormat="1" applyFont="1" applyBorder="1"/>
    <xf numFmtId="2" fontId="155" fillId="12" borderId="18" xfId="26" applyNumberFormat="1" applyFont="1" applyFill="1" applyBorder="1"/>
    <xf numFmtId="2" fontId="155" fillId="17" borderId="18" xfId="26" applyNumberFormat="1" applyFont="1" applyFill="1" applyBorder="1"/>
    <xf numFmtId="2" fontId="156" fillId="0" borderId="0" xfId="26" applyNumberFormat="1" applyFont="1"/>
    <xf numFmtId="2" fontId="156" fillId="17" borderId="18" xfId="26" applyNumberFormat="1" applyFont="1" applyFill="1" applyBorder="1"/>
    <xf numFmtId="2" fontId="159" fillId="12" borderId="18" xfId="26" applyNumberFormat="1" applyFont="1" applyFill="1" applyBorder="1"/>
    <xf numFmtId="182" fontId="156" fillId="0" borderId="18" xfId="30" applyNumberFormat="1" applyFont="1" applyBorder="1"/>
    <xf numFmtId="43" fontId="156" fillId="0" borderId="0" xfId="28" applyFont="1"/>
    <xf numFmtId="0" fontId="161" fillId="0" borderId="0" xfId="0" applyFont="1"/>
    <xf numFmtId="0" fontId="162" fillId="0" borderId="0" xfId="0" applyFont="1" applyAlignment="1">
      <alignment horizontal="right" vertical="center"/>
    </xf>
    <xf numFmtId="0" fontId="163" fillId="0" borderId="0" xfId="0" applyFont="1" applyAlignment="1">
      <alignment wrapText="1"/>
    </xf>
    <xf numFmtId="14" fontId="164" fillId="0" borderId="0" xfId="0" applyNumberFormat="1" applyFont="1" applyAlignment="1">
      <alignment horizontal="right" wrapText="1"/>
    </xf>
    <xf numFmtId="0" fontId="161" fillId="0" borderId="0" xfId="0" applyFont="1" applyAlignment="1">
      <alignment horizontal="center" vertical="center" wrapText="1"/>
    </xf>
    <xf numFmtId="0" fontId="165" fillId="33" borderId="0" xfId="9" applyFont="1" applyFill="1" applyAlignment="1">
      <alignment horizontal="left" indent="1"/>
    </xf>
    <xf numFmtId="0" fontId="148" fillId="36" borderId="156" xfId="0" applyFont="1" applyFill="1" applyBorder="1" applyAlignment="1">
      <alignment vertical="center" wrapText="1"/>
    </xf>
    <xf numFmtId="169" fontId="166" fillId="38" borderId="9" xfId="10" applyFont="1" applyFill="1" applyBorder="1" applyAlignment="1" applyProtection="1">
      <alignment horizontal="left" vertical="center" wrapText="1"/>
    </xf>
    <xf numFmtId="0" fontId="161" fillId="0" borderId="162" xfId="0" applyFont="1" applyBorder="1"/>
    <xf numFmtId="0" fontId="161" fillId="33" borderId="0" xfId="0" applyFont="1" applyFill="1"/>
    <xf numFmtId="0" fontId="167" fillId="34" borderId="0" xfId="0" applyFont="1" applyFill="1"/>
    <xf numFmtId="0" fontId="162" fillId="2" borderId="0" xfId="0" applyFont="1" applyFill="1" applyAlignment="1">
      <alignment wrapText="1"/>
    </xf>
    <xf numFmtId="0" fontId="165" fillId="33" borderId="0" xfId="9" applyFont="1" applyFill="1"/>
    <xf numFmtId="169" fontId="148" fillId="34" borderId="0" xfId="10" applyFont="1" applyFill="1" applyAlignment="1" applyProtection="1">
      <alignment horizontal="left" vertical="center" wrapText="1"/>
    </xf>
    <xf numFmtId="0" fontId="164" fillId="4" borderId="0" xfId="0" applyFont="1" applyFill="1" applyAlignment="1" applyProtection="1">
      <alignment horizontal="left"/>
      <protection locked="0"/>
    </xf>
    <xf numFmtId="169" fontId="156" fillId="0" borderId="0" xfId="1" applyFont="1"/>
    <xf numFmtId="169" fontId="155" fillId="0" borderId="18" xfId="1" applyFont="1" applyBorder="1"/>
    <xf numFmtId="170" fontId="44" fillId="6" borderId="0" xfId="1" quotePrefix="1" applyNumberFormat="1" applyFont="1" applyFill="1" applyBorder="1" applyAlignment="1" applyProtection="1">
      <alignment horizontal="right"/>
      <protection locked="0"/>
    </xf>
    <xf numFmtId="0" fontId="33" fillId="30" borderId="0" xfId="4" applyFont="1" applyFill="1"/>
    <xf numFmtId="0" fontId="46" fillId="30" borderId="0" xfId="0" applyFont="1" applyFill="1"/>
    <xf numFmtId="0" fontId="140" fillId="0" borderId="0" xfId="0" applyFont="1"/>
    <xf numFmtId="14" fontId="137" fillId="41" borderId="0" xfId="0" applyNumberFormat="1" applyFont="1" applyFill="1" applyAlignment="1">
      <alignment horizontal="right" vertical="center"/>
    </xf>
    <xf numFmtId="0" fontId="169" fillId="36" borderId="0" xfId="0" applyFont="1" applyFill="1" applyAlignment="1">
      <alignment horizontal="center"/>
    </xf>
    <xf numFmtId="0" fontId="169" fillId="30" borderId="0" xfId="0" applyFont="1" applyFill="1" applyAlignment="1">
      <alignment horizontal="center"/>
    </xf>
    <xf numFmtId="0" fontId="140" fillId="30" borderId="0" xfId="0" applyFont="1" applyFill="1"/>
    <xf numFmtId="169" fontId="139" fillId="36" borderId="0" xfId="25" applyFont="1" applyFill="1" applyAlignment="1">
      <alignment horizontal="center"/>
    </xf>
    <xf numFmtId="169" fontId="140" fillId="0" borderId="0" xfId="0" applyNumberFormat="1" applyFont="1"/>
    <xf numFmtId="169" fontId="169" fillId="36" borderId="0" xfId="25" applyFont="1" applyFill="1" applyAlignment="1">
      <alignment horizontal="center"/>
    </xf>
    <xf numFmtId="169" fontId="140" fillId="6" borderId="0" xfId="25" applyFont="1" applyFill="1" applyAlignment="1">
      <alignment horizontal="center"/>
    </xf>
    <xf numFmtId="169" fontId="170" fillId="6" borderId="0" xfId="25" applyFont="1" applyFill="1" applyAlignment="1">
      <alignment horizontal="center"/>
    </xf>
    <xf numFmtId="0" fontId="170" fillId="0" borderId="0" xfId="0" applyFont="1"/>
    <xf numFmtId="169" fontId="4" fillId="0" borderId="0" xfId="1" applyFont="1" applyProtection="1"/>
    <xf numFmtId="167" fontId="4" fillId="12" borderId="0" xfId="0" applyNumberFormat="1" applyFont="1" applyFill="1" applyAlignment="1" applyProtection="1">
      <alignment horizontal="right"/>
      <protection locked="0"/>
    </xf>
    <xf numFmtId="0" fontId="0" fillId="54" borderId="0" xfId="0" applyFill="1"/>
    <xf numFmtId="0" fontId="23" fillId="54" borderId="0" xfId="6" applyFill="1"/>
    <xf numFmtId="172" fontId="0" fillId="54" borderId="0" xfId="1" applyNumberFormat="1" applyFont="1" applyFill="1" applyBorder="1" applyAlignment="1">
      <alignment horizontal="center"/>
    </xf>
    <xf numFmtId="3" fontId="4" fillId="54" borderId="0" xfId="0" applyNumberFormat="1" applyFont="1" applyFill="1" applyProtection="1">
      <protection locked="0"/>
    </xf>
    <xf numFmtId="0" fontId="0" fillId="54" borderId="0" xfId="0" applyFill="1" applyAlignment="1">
      <alignment vertical="top"/>
    </xf>
    <xf numFmtId="2" fontId="101" fillId="3" borderId="154" xfId="0" applyNumberFormat="1" applyFont="1" applyFill="1" applyBorder="1"/>
    <xf numFmtId="2" fontId="0" fillId="0" borderId="0" xfId="0" applyNumberFormat="1"/>
    <xf numFmtId="171" fontId="151" fillId="0" borderId="0" xfId="1" applyNumberFormat="1" applyFont="1"/>
    <xf numFmtId="171" fontId="151" fillId="0" borderId="0" xfId="23" applyNumberFormat="1"/>
    <xf numFmtId="0" fontId="4" fillId="17" borderId="0" xfId="0" applyFont="1" applyFill="1" applyProtection="1">
      <protection locked="0"/>
    </xf>
    <xf numFmtId="14" fontId="0" fillId="0" borderId="0" xfId="0" applyNumberFormat="1"/>
    <xf numFmtId="167" fontId="75" fillId="50" borderId="0" xfId="0" applyNumberFormat="1" applyFont="1" applyFill="1" applyAlignment="1" applyProtection="1">
      <alignment horizontal="right"/>
      <protection locked="0"/>
    </xf>
    <xf numFmtId="167" fontId="75" fillId="18" borderId="0" xfId="0" applyNumberFormat="1" applyFont="1" applyFill="1" applyAlignment="1" applyProtection="1">
      <alignment horizontal="right"/>
      <protection locked="0"/>
    </xf>
    <xf numFmtId="3" fontId="4" fillId="59" borderId="0" xfId="0" applyNumberFormat="1" applyFont="1" applyFill="1" applyProtection="1">
      <protection locked="0"/>
    </xf>
    <xf numFmtId="175" fontId="4" fillId="33" borderId="154" xfId="0" applyNumberFormat="1" applyFont="1" applyFill="1" applyBorder="1" applyAlignment="1">
      <alignment horizontal="right"/>
    </xf>
    <xf numFmtId="167" fontId="4" fillId="60" borderId="0" xfId="0" applyNumberFormat="1" applyFont="1" applyFill="1"/>
    <xf numFmtId="167" fontId="4" fillId="60" borderId="0" xfId="0" applyNumberFormat="1" applyFont="1" applyFill="1" applyProtection="1">
      <protection locked="0"/>
    </xf>
    <xf numFmtId="169" fontId="4" fillId="6" borderId="0" xfId="1" applyFont="1" applyFill="1" applyProtection="1">
      <protection locked="0"/>
    </xf>
    <xf numFmtId="169" fontId="4" fillId="33" borderId="0" xfId="1" applyFont="1" applyFill="1" applyAlignment="1" applyProtection="1">
      <alignment horizontal="center"/>
      <protection locked="0"/>
    </xf>
    <xf numFmtId="164" fontId="0" fillId="0" borderId="0" xfId="0" applyNumberFormat="1"/>
    <xf numFmtId="167" fontId="75" fillId="17" borderId="0" xfId="0" applyNumberFormat="1" applyFont="1" applyFill="1" applyAlignment="1" applyProtection="1">
      <alignment horizontal="right"/>
      <protection locked="0"/>
    </xf>
    <xf numFmtId="170" fontId="80" fillId="26" borderId="0" xfId="1" applyNumberFormat="1" applyFont="1" applyFill="1" applyAlignment="1" applyProtection="1">
      <alignment horizontal="right"/>
    </xf>
    <xf numFmtId="170" fontId="82" fillId="26" borderId="157" xfId="1" applyNumberFormat="1" applyFont="1" applyFill="1" applyBorder="1" applyAlignment="1" applyProtection="1">
      <alignment horizontal="right" vertical="center"/>
    </xf>
    <xf numFmtId="164" fontId="0" fillId="17" borderId="0" xfId="21" applyFont="1" applyFill="1"/>
    <xf numFmtId="164" fontId="0" fillId="59" borderId="0" xfId="21" applyFont="1" applyFill="1"/>
    <xf numFmtId="164" fontId="0" fillId="49" borderId="0" xfId="21" applyFont="1" applyFill="1"/>
    <xf numFmtId="169" fontId="80" fillId="61" borderId="0" xfId="1" applyFont="1" applyFill="1" applyAlignment="1" applyProtection="1">
      <alignment horizontal="right"/>
    </xf>
    <xf numFmtId="170" fontId="80" fillId="61" borderId="0" xfId="1" applyNumberFormat="1" applyFont="1" applyFill="1" applyAlignment="1" applyProtection="1">
      <alignment horizontal="right"/>
    </xf>
    <xf numFmtId="0" fontId="23" fillId="0" borderId="0" xfId="15" applyAlignment="1">
      <alignment vertical="top"/>
    </xf>
    <xf numFmtId="169" fontId="65" fillId="0" borderId="0" xfId="1" applyFont="1" applyProtection="1">
      <protection locked="0"/>
    </xf>
    <xf numFmtId="0" fontId="23" fillId="0" borderId="0" xfId="8"/>
    <xf numFmtId="0" fontId="172" fillId="0" borderId="246" xfId="8" applyFont="1" applyBorder="1" applyAlignment="1">
      <alignment vertical="center"/>
    </xf>
    <xf numFmtId="0" fontId="172" fillId="0" borderId="247" xfId="8" applyFont="1" applyBorder="1" applyAlignment="1">
      <alignment vertical="center"/>
    </xf>
    <xf numFmtId="0" fontId="173" fillId="0" borderId="0" xfId="8" applyFont="1" applyAlignment="1">
      <alignment vertical="center"/>
    </xf>
    <xf numFmtId="0" fontId="172" fillId="0" borderId="246" xfId="8" quotePrefix="1" applyFont="1" applyBorder="1" applyAlignment="1">
      <alignment vertical="center"/>
    </xf>
    <xf numFmtId="0" fontId="172" fillId="0" borderId="0" xfId="8" applyFont="1" applyAlignment="1">
      <alignment vertical="center"/>
    </xf>
    <xf numFmtId="171" fontId="172" fillId="0" borderId="247" xfId="18" applyNumberFormat="1" applyFont="1" applyBorder="1" applyAlignment="1">
      <alignment vertical="center"/>
    </xf>
    <xf numFmtId="14" fontId="172" fillId="0" borderId="247" xfId="8" applyNumberFormat="1" applyFont="1" applyBorder="1" applyAlignment="1">
      <alignment vertical="center"/>
    </xf>
    <xf numFmtId="171" fontId="172" fillId="0" borderId="0" xfId="8" applyNumberFormat="1" applyFont="1" applyAlignment="1">
      <alignment vertical="center"/>
    </xf>
    <xf numFmtId="10" fontId="172" fillId="0" borderId="247" xfId="16" applyNumberFormat="1" applyFont="1" applyBorder="1" applyAlignment="1">
      <alignment vertical="center"/>
    </xf>
    <xf numFmtId="9" fontId="172" fillId="0" borderId="247" xfId="16" applyFont="1" applyBorder="1" applyAlignment="1">
      <alignment vertical="center"/>
    </xf>
    <xf numFmtId="0" fontId="174" fillId="29" borderId="18" xfId="8" applyFont="1" applyFill="1" applyBorder="1" applyAlignment="1">
      <alignment horizontal="center" vertical="center"/>
    </xf>
    <xf numFmtId="171" fontId="174" fillId="29" borderId="18" xfId="18" applyNumberFormat="1" applyFont="1" applyFill="1" applyBorder="1" applyAlignment="1">
      <alignment vertical="center"/>
    </xf>
    <xf numFmtId="171" fontId="174" fillId="29" borderId="0" xfId="18" applyNumberFormat="1" applyFont="1" applyFill="1" applyBorder="1" applyAlignment="1">
      <alignment vertical="center"/>
    </xf>
    <xf numFmtId="14" fontId="23" fillId="0" borderId="0" xfId="8" applyNumberFormat="1"/>
    <xf numFmtId="3" fontId="23" fillId="0" borderId="0" xfId="8" applyNumberFormat="1"/>
    <xf numFmtId="171" fontId="23" fillId="0" borderId="0" xfId="8" applyNumberFormat="1"/>
    <xf numFmtId="169" fontId="0" fillId="0" borderId="0" xfId="7" applyFont="1"/>
    <xf numFmtId="169" fontId="23" fillId="0" borderId="0" xfId="7" applyFont="1" applyBorder="1"/>
    <xf numFmtId="183" fontId="23" fillId="0" borderId="0" xfId="8" applyNumberFormat="1"/>
    <xf numFmtId="0" fontId="175" fillId="29" borderId="18" xfId="8" applyFont="1" applyFill="1" applyBorder="1" applyAlignment="1">
      <alignment vertical="center"/>
    </xf>
    <xf numFmtId="171" fontId="152" fillId="0" borderId="0" xfId="18" applyNumberFormat="1" applyFont="1" applyFill="1"/>
    <xf numFmtId="171" fontId="0" fillId="0" borderId="0" xfId="18" applyNumberFormat="1" applyFont="1" applyFill="1"/>
    <xf numFmtId="0" fontId="23" fillId="57" borderId="0" xfId="8" applyFill="1"/>
    <xf numFmtId="14" fontId="23" fillId="57" borderId="0" xfId="8" applyNumberFormat="1" applyFill="1"/>
    <xf numFmtId="171" fontId="0" fillId="57" borderId="0" xfId="18" applyNumberFormat="1" applyFont="1" applyFill="1"/>
    <xf numFmtId="0" fontId="23" fillId="58" borderId="0" xfId="8" applyFill="1"/>
    <xf numFmtId="14" fontId="23" fillId="58" borderId="0" xfId="8" applyNumberFormat="1" applyFill="1"/>
    <xf numFmtId="171" fontId="0" fillId="58" borderId="0" xfId="18" applyNumberFormat="1" applyFont="1" applyFill="1"/>
    <xf numFmtId="164" fontId="0" fillId="57" borderId="0" xfId="24" applyFont="1" applyFill="1"/>
    <xf numFmtId="164" fontId="151" fillId="57" borderId="0" xfId="23" applyNumberFormat="1" applyFill="1"/>
    <xf numFmtId="184" fontId="28" fillId="34" borderId="154" xfId="10" applyNumberFormat="1" applyFont="1" applyFill="1" applyBorder="1" applyAlignment="1" applyProtection="1">
      <alignment horizontal="right" vertical="center" wrapText="1"/>
    </xf>
    <xf numFmtId="184" fontId="28" fillId="34" borderId="0" xfId="10" applyNumberFormat="1" applyFont="1" applyFill="1" applyAlignment="1" applyProtection="1">
      <alignment horizontal="right" vertical="center" wrapText="1"/>
    </xf>
    <xf numFmtId="184" fontId="28" fillId="34" borderId="152" xfId="10" applyNumberFormat="1" applyFont="1" applyFill="1" applyBorder="1" applyAlignment="1" applyProtection="1">
      <alignment horizontal="right" vertical="center" wrapText="1"/>
    </xf>
    <xf numFmtId="184" fontId="28" fillId="34" borderId="153" xfId="10" applyNumberFormat="1" applyFont="1" applyFill="1" applyBorder="1" applyAlignment="1" applyProtection="1">
      <alignment horizontal="right" vertical="center" wrapText="1"/>
    </xf>
    <xf numFmtId="184" fontId="28" fillId="34" borderId="0" xfId="10" applyNumberFormat="1" applyFont="1" applyFill="1" applyBorder="1" applyAlignment="1" applyProtection="1">
      <alignment horizontal="right" vertical="center" wrapText="1"/>
    </xf>
    <xf numFmtId="184" fontId="4" fillId="30" borderId="0" xfId="0" applyNumberFormat="1" applyFont="1" applyFill="1" applyAlignment="1">
      <alignment vertical="center"/>
    </xf>
    <xf numFmtId="0" fontId="0" fillId="20" borderId="0" xfId="0" applyFill="1" applyAlignment="1">
      <alignment vertical="top"/>
    </xf>
    <xf numFmtId="167" fontId="4" fillId="62" borderId="0" xfId="0" applyNumberFormat="1" applyFont="1" applyFill="1" applyProtection="1">
      <protection locked="0"/>
    </xf>
    <xf numFmtId="167" fontId="4" fillId="62" borderId="0" xfId="0" applyNumberFormat="1" applyFont="1" applyFill="1"/>
    <xf numFmtId="169" fontId="67" fillId="0" borderId="0" xfId="1" applyFont="1" applyBorder="1" applyAlignment="1">
      <alignment horizontal="center"/>
    </xf>
    <xf numFmtId="4" fontId="86" fillId="36" borderId="0" xfId="1" applyNumberFormat="1" applyFont="1" applyFill="1" applyBorder="1" applyAlignment="1" applyProtection="1">
      <alignment horizontal="right" vertical="center"/>
    </xf>
    <xf numFmtId="164" fontId="81" fillId="4" borderId="167" xfId="21" applyFont="1" applyFill="1" applyBorder="1" applyProtection="1"/>
    <xf numFmtId="0" fontId="0" fillId="3" borderId="0" xfId="0" applyFill="1"/>
    <xf numFmtId="171" fontId="0" fillId="3" borderId="0" xfId="1" applyNumberFormat="1" applyFont="1" applyFill="1"/>
    <xf numFmtId="0" fontId="23" fillId="3" borderId="0" xfId="6" applyFill="1"/>
    <xf numFmtId="172" fontId="0" fillId="3" borderId="0" xfId="1" applyNumberFormat="1" applyFont="1" applyFill="1" applyBorder="1" applyAlignment="1">
      <alignment horizontal="center"/>
    </xf>
    <xf numFmtId="3" fontId="4" fillId="3" borderId="0" xfId="0" applyNumberFormat="1" applyFont="1" applyFill="1" applyProtection="1">
      <protection locked="0"/>
    </xf>
    <xf numFmtId="3" fontId="0" fillId="3" borderId="0" xfId="0" applyNumberFormat="1" applyFill="1"/>
    <xf numFmtId="171" fontId="0" fillId="3" borderId="0" xfId="0" applyNumberFormat="1" applyFill="1"/>
    <xf numFmtId="171" fontId="4" fillId="3" borderId="0" xfId="0" applyNumberFormat="1" applyFont="1" applyFill="1"/>
    <xf numFmtId="171" fontId="4" fillId="3" borderId="0" xfId="1" applyNumberFormat="1" applyFont="1" applyFill="1"/>
    <xf numFmtId="171" fontId="4" fillId="3" borderId="0" xfId="0" applyNumberFormat="1" applyFont="1" applyFill="1" applyProtection="1">
      <protection locked="0"/>
    </xf>
    <xf numFmtId="0" fontId="4" fillId="3" borderId="0" xfId="0" applyFont="1" applyFill="1" applyProtection="1">
      <protection locked="0"/>
    </xf>
    <xf numFmtId="3" fontId="44" fillId="3" borderId="0" xfId="0" applyNumberFormat="1" applyFont="1" applyFill="1" applyProtection="1">
      <protection locked="0"/>
    </xf>
    <xf numFmtId="0" fontId="0" fillId="39" borderId="0" xfId="0" applyFill="1"/>
    <xf numFmtId="171" fontId="0" fillId="39" borderId="0" xfId="1" applyNumberFormat="1" applyFont="1" applyFill="1"/>
    <xf numFmtId="0" fontId="23" fillId="39" borderId="0" xfId="6" applyFill="1"/>
    <xf numFmtId="172" fontId="0" fillId="39" borderId="0" xfId="1" applyNumberFormat="1" applyFont="1" applyFill="1" applyBorder="1" applyAlignment="1">
      <alignment horizontal="center"/>
    </xf>
    <xf numFmtId="3" fontId="4" fillId="39" borderId="0" xfId="0" applyNumberFormat="1" applyFont="1" applyFill="1" applyProtection="1">
      <protection locked="0"/>
    </xf>
    <xf numFmtId="0" fontId="4" fillId="39" borderId="0" xfId="0" applyFont="1" applyFill="1"/>
    <xf numFmtId="171" fontId="4" fillId="39" borderId="0" xfId="1" applyNumberFormat="1" applyFont="1" applyFill="1"/>
    <xf numFmtId="171" fontId="4" fillId="39" borderId="0" xfId="0" applyNumberFormat="1" applyFont="1" applyFill="1" applyProtection="1">
      <protection locked="0"/>
    </xf>
    <xf numFmtId="0" fontId="4" fillId="39" borderId="0" xfId="0" applyFont="1" applyFill="1" applyProtection="1">
      <protection locked="0"/>
    </xf>
    <xf numFmtId="167" fontId="4" fillId="39" borderId="154" xfId="0" applyNumberFormat="1" applyFont="1" applyFill="1" applyBorder="1" applyAlignment="1" applyProtection="1">
      <alignment horizontal="right"/>
      <protection locked="0"/>
    </xf>
    <xf numFmtId="167" fontId="4" fillId="58" borderId="154" xfId="0" applyNumberFormat="1" applyFont="1" applyFill="1" applyBorder="1" applyAlignment="1" applyProtection="1">
      <alignment horizontal="right"/>
      <protection locked="0"/>
    </xf>
    <xf numFmtId="0" fontId="43" fillId="54" borderId="0" xfId="0" applyFont="1" applyFill="1"/>
    <xf numFmtId="172" fontId="43" fillId="54" borderId="0" xfId="1" applyNumberFormat="1" applyFont="1" applyFill="1" applyBorder="1" applyAlignment="1">
      <alignment horizontal="center"/>
    </xf>
    <xf numFmtId="3" fontId="65" fillId="54" borderId="0" xfId="0" applyNumberFormat="1" applyFont="1" applyFill="1" applyProtection="1">
      <protection locked="0"/>
    </xf>
    <xf numFmtId="171" fontId="43" fillId="54" borderId="0" xfId="1" applyNumberFormat="1" applyFont="1" applyFill="1" applyBorder="1" applyAlignment="1">
      <alignment horizontal="center"/>
    </xf>
    <xf numFmtId="0" fontId="176" fillId="54" borderId="0" xfId="6" applyFont="1" applyFill="1"/>
    <xf numFmtId="167" fontId="4" fillId="63" borderId="0" xfId="0" applyNumberFormat="1" applyFont="1" applyFill="1" applyProtection="1">
      <protection locked="0"/>
    </xf>
    <xf numFmtId="169" fontId="4" fillId="30" borderId="0" xfId="0" applyNumberFormat="1" applyFont="1" applyFill="1"/>
    <xf numFmtId="169" fontId="4" fillId="30" borderId="0" xfId="1" applyFont="1" applyFill="1"/>
    <xf numFmtId="169" fontId="35" fillId="44" borderId="0" xfId="1" applyFont="1" applyFill="1" applyBorder="1" applyAlignment="1" applyProtection="1">
      <alignment horizontal="left" vertical="center"/>
      <protection locked="0"/>
    </xf>
    <xf numFmtId="179" fontId="171" fillId="0" borderId="0" xfId="0" applyNumberFormat="1" applyFont="1"/>
    <xf numFmtId="179" fontId="101" fillId="30" borderId="0" xfId="0" applyNumberFormat="1" applyFont="1" applyFill="1"/>
    <xf numFmtId="179" fontId="101" fillId="30" borderId="0" xfId="0" applyNumberFormat="1" applyFont="1" applyFill="1" applyAlignment="1">
      <alignment vertical="center"/>
    </xf>
    <xf numFmtId="179" fontId="101" fillId="30" borderId="162" xfId="0" applyNumberFormat="1" applyFont="1" applyFill="1" applyBorder="1"/>
    <xf numFmtId="179" fontId="102" fillId="3" borderId="0" xfId="0" applyNumberFormat="1" applyFont="1" applyFill="1"/>
    <xf numFmtId="171" fontId="23" fillId="0" borderId="0" xfId="1" applyNumberFormat="1" applyFont="1"/>
    <xf numFmtId="2" fontId="0" fillId="58" borderId="0" xfId="18" applyNumberFormat="1" applyFont="1" applyFill="1"/>
    <xf numFmtId="2" fontId="0" fillId="0" borderId="0" xfId="18" applyNumberFormat="1" applyFont="1"/>
    <xf numFmtId="171" fontId="4" fillId="0" borderId="0" xfId="1" applyNumberFormat="1" applyFont="1" applyAlignment="1" applyProtection="1">
      <alignment horizontal="center"/>
    </xf>
    <xf numFmtId="171" fontId="35" fillId="0" borderId="0" xfId="1" applyNumberFormat="1" applyFont="1" applyAlignment="1" applyProtection="1">
      <alignment horizontal="center" vertical="center"/>
    </xf>
    <xf numFmtId="167" fontId="4" fillId="64" borderId="154" xfId="0" applyNumberFormat="1" applyFont="1" applyFill="1" applyBorder="1" applyAlignment="1" applyProtection="1">
      <alignment horizontal="right"/>
      <protection locked="0"/>
    </xf>
    <xf numFmtId="175" fontId="4" fillId="64" borderId="154" xfId="0" applyNumberFormat="1" applyFont="1" applyFill="1" applyBorder="1" applyAlignment="1">
      <alignment horizontal="right"/>
    </xf>
    <xf numFmtId="3" fontId="65" fillId="0" borderId="0" xfId="0" applyNumberFormat="1" applyFont="1" applyAlignment="1">
      <alignment horizontal="center"/>
    </xf>
    <xf numFmtId="171" fontId="4" fillId="0" borderId="0" xfId="1" applyNumberFormat="1" applyFont="1" applyFill="1" applyAlignment="1" applyProtection="1">
      <alignment horizontal="center"/>
    </xf>
    <xf numFmtId="171" fontId="4" fillId="33" borderId="0" xfId="1" applyNumberFormat="1" applyFont="1" applyFill="1" applyAlignment="1" applyProtection="1">
      <alignment horizontal="right"/>
    </xf>
    <xf numFmtId="171" fontId="4" fillId="0" borderId="0" xfId="1" applyNumberFormat="1" applyFont="1" applyAlignment="1" applyProtection="1">
      <alignment horizontal="right"/>
    </xf>
    <xf numFmtId="171" fontId="31" fillId="34" borderId="0" xfId="1" applyNumberFormat="1" applyFont="1" applyFill="1" applyAlignment="1" applyProtection="1">
      <alignment horizontal="right"/>
    </xf>
    <xf numFmtId="171" fontId="28" fillId="36" borderId="156" xfId="1" applyNumberFormat="1" applyFont="1" applyFill="1" applyBorder="1" applyAlignment="1" applyProtection="1">
      <alignment horizontal="right" vertical="center" wrapText="1"/>
    </xf>
    <xf numFmtId="171" fontId="4" fillId="30" borderId="0" xfId="1" applyNumberFormat="1" applyFont="1" applyFill="1" applyAlignment="1" applyProtection="1">
      <alignment horizontal="right"/>
    </xf>
    <xf numFmtId="171" fontId="28" fillId="36" borderId="160" xfId="1" applyNumberFormat="1" applyFont="1" applyFill="1" applyBorder="1" applyAlignment="1" applyProtection="1">
      <alignment horizontal="right" vertical="center" wrapText="1"/>
    </xf>
    <xf numFmtId="171" fontId="28" fillId="36" borderId="158" xfId="1" applyNumberFormat="1" applyFont="1" applyFill="1" applyBorder="1" applyAlignment="1" applyProtection="1">
      <alignment horizontal="center" vertical="center" wrapText="1"/>
    </xf>
    <xf numFmtId="171" fontId="70" fillId="38" borderId="161" xfId="1" applyNumberFormat="1" applyFont="1" applyFill="1" applyBorder="1" applyAlignment="1" applyProtection="1">
      <alignment horizontal="right" vertical="center" wrapText="1"/>
    </xf>
    <xf numFmtId="171" fontId="4" fillId="0" borderId="162" xfId="1" applyNumberFormat="1" applyFont="1" applyBorder="1" applyAlignment="1" applyProtection="1">
      <alignment horizontal="right"/>
    </xf>
    <xf numFmtId="171" fontId="4" fillId="0" borderId="0" xfId="1" applyNumberFormat="1" applyFont="1" applyBorder="1" applyAlignment="1" applyProtection="1">
      <alignment horizontal="right"/>
    </xf>
    <xf numFmtId="171" fontId="28" fillId="34" borderId="0" xfId="1" applyNumberFormat="1" applyFont="1" applyFill="1" applyAlignment="1" applyProtection="1">
      <alignment horizontal="right" vertical="center" wrapText="1"/>
    </xf>
    <xf numFmtId="171" fontId="60" fillId="0" borderId="0" xfId="1" applyNumberFormat="1" applyFont="1" applyAlignment="1" applyProtection="1">
      <alignment horizontal="center"/>
    </xf>
    <xf numFmtId="167" fontId="75" fillId="9" borderId="0" xfId="0" applyNumberFormat="1" applyFont="1" applyFill="1" applyAlignment="1" applyProtection="1">
      <alignment horizontal="right"/>
      <protection locked="0"/>
    </xf>
    <xf numFmtId="2" fontId="155" fillId="59" borderId="18" xfId="26" applyNumberFormat="1" applyFont="1" applyFill="1" applyBorder="1"/>
    <xf numFmtId="3" fontId="44" fillId="4" borderId="167" xfId="0" applyNumberFormat="1" applyFont="1" applyFill="1" applyBorder="1" applyAlignment="1">
      <alignment horizontal="right"/>
    </xf>
    <xf numFmtId="171" fontId="102" fillId="50" borderId="0" xfId="1" applyNumberFormat="1" applyFont="1" applyFill="1" applyAlignment="1" applyProtection="1"/>
    <xf numFmtId="171" fontId="109" fillId="50" borderId="0" xfId="1" applyNumberFormat="1" applyFont="1" applyFill="1" applyAlignment="1" applyProtection="1">
      <alignment horizontal="center"/>
    </xf>
    <xf numFmtId="171" fontId="44" fillId="50" borderId="0" xfId="1" applyNumberFormat="1" applyFont="1" applyFill="1" applyAlignment="1" applyProtection="1">
      <alignment horizontal="center"/>
    </xf>
    <xf numFmtId="171" fontId="65" fillId="50" borderId="0" xfId="1" applyNumberFormat="1" applyFont="1" applyFill="1" applyAlignment="1" applyProtection="1">
      <alignment horizontal="center" vertical="center"/>
    </xf>
    <xf numFmtId="171" fontId="177" fillId="50" borderId="0" xfId="1" applyNumberFormat="1" applyFont="1" applyFill="1" applyAlignment="1" applyProtection="1">
      <alignment horizontal="center"/>
    </xf>
    <xf numFmtId="171" fontId="177" fillId="50" borderId="0" xfId="1" applyNumberFormat="1" applyFont="1" applyFill="1" applyAlignment="1" applyProtection="1"/>
    <xf numFmtId="171" fontId="178" fillId="50" borderId="156" xfId="1" applyNumberFormat="1" applyFont="1" applyFill="1" applyBorder="1" applyAlignment="1" applyProtection="1">
      <alignment vertical="center" wrapText="1"/>
    </xf>
    <xf numFmtId="171" fontId="178" fillId="50" borderId="0" xfId="1" applyNumberFormat="1" applyFont="1" applyFill="1" applyAlignment="1" applyProtection="1">
      <alignment vertical="center" wrapText="1"/>
    </xf>
    <xf numFmtId="171" fontId="177" fillId="50" borderId="162" xfId="1" applyNumberFormat="1" applyFont="1" applyFill="1" applyBorder="1" applyAlignment="1" applyProtection="1"/>
    <xf numFmtId="171" fontId="177" fillId="50" borderId="0" xfId="1" applyNumberFormat="1" applyFont="1" applyFill="1" applyBorder="1" applyAlignment="1" applyProtection="1"/>
    <xf numFmtId="171" fontId="178" fillId="50" borderId="160" xfId="1" applyNumberFormat="1" applyFont="1" applyFill="1" applyBorder="1" applyAlignment="1" applyProtection="1">
      <alignment vertical="center" wrapText="1"/>
    </xf>
    <xf numFmtId="171" fontId="179" fillId="50" borderId="0" xfId="1" applyNumberFormat="1" applyFont="1" applyFill="1" applyAlignment="1" applyProtection="1"/>
    <xf numFmtId="171" fontId="178" fillId="50" borderId="161" xfId="1" applyNumberFormat="1" applyFont="1" applyFill="1" applyBorder="1" applyAlignment="1" applyProtection="1">
      <alignment vertical="center" wrapText="1"/>
    </xf>
    <xf numFmtId="171" fontId="2" fillId="50" borderId="0" xfId="1" applyNumberFormat="1" applyFont="1" applyFill="1"/>
    <xf numFmtId="170" fontId="0" fillId="0" borderId="0" xfId="1" applyNumberFormat="1" applyFont="1"/>
    <xf numFmtId="3" fontId="75" fillId="50" borderId="0" xfId="0" applyNumberFormat="1" applyFont="1" applyFill="1" applyAlignment="1" applyProtection="1">
      <alignment horizontal="right"/>
      <protection locked="0"/>
    </xf>
    <xf numFmtId="167" fontId="75" fillId="17" borderId="0" xfId="0" applyNumberFormat="1" applyFont="1" applyFill="1" applyAlignment="1">
      <alignment horizontal="right"/>
    </xf>
    <xf numFmtId="175" fontId="75" fillId="17" borderId="0" xfId="0" applyNumberFormat="1" applyFont="1" applyFill="1" applyAlignment="1" applyProtection="1">
      <alignment horizontal="right"/>
      <protection locked="0"/>
    </xf>
    <xf numFmtId="171" fontId="80" fillId="34" borderId="0" xfId="1" applyNumberFormat="1" applyFont="1" applyFill="1" applyAlignment="1" applyProtection="1">
      <alignment horizontal="right"/>
    </xf>
    <xf numFmtId="171" fontId="82" fillId="34" borderId="157" xfId="1" applyNumberFormat="1" applyFont="1" applyFill="1" applyBorder="1" applyAlignment="1" applyProtection="1">
      <alignment horizontal="right" vertical="center"/>
    </xf>
    <xf numFmtId="169" fontId="172" fillId="0" borderId="0" xfId="7" applyFont="1" applyAlignment="1">
      <alignment vertical="center"/>
    </xf>
    <xf numFmtId="14" fontId="23" fillId="45" borderId="0" xfId="8" applyNumberFormat="1" applyFill="1"/>
    <xf numFmtId="171" fontId="0" fillId="65" borderId="0" xfId="18" applyNumberFormat="1" applyFont="1" applyFill="1"/>
    <xf numFmtId="0" fontId="23" fillId="66" borderId="0" xfId="8" applyFill="1"/>
    <xf numFmtId="14" fontId="23" fillId="66" borderId="0" xfId="8" applyNumberFormat="1" applyFill="1"/>
    <xf numFmtId="171" fontId="0" fillId="66" borderId="0" xfId="18" applyNumberFormat="1" applyFont="1" applyFill="1"/>
    <xf numFmtId="0" fontId="23" fillId="9" borderId="0" xfId="8" applyFill="1"/>
    <xf numFmtId="14" fontId="23" fillId="9" borderId="0" xfId="8" applyNumberFormat="1" applyFill="1"/>
    <xf numFmtId="171" fontId="0" fillId="9" borderId="0" xfId="18" applyNumberFormat="1" applyFont="1" applyFill="1"/>
    <xf numFmtId="171" fontId="23" fillId="5" borderId="0" xfId="8" applyNumberFormat="1" applyFill="1"/>
    <xf numFmtId="3" fontId="75" fillId="6" borderId="0" xfId="0" applyNumberFormat="1" applyFont="1" applyFill="1" applyAlignment="1">
      <alignment horizontal="right" vertical="center"/>
    </xf>
    <xf numFmtId="3" fontId="75" fillId="0" borderId="0" xfId="0" applyNumberFormat="1" applyFont="1" applyAlignment="1" applyProtection="1">
      <alignment horizontal="center"/>
      <protection locked="0"/>
    </xf>
    <xf numFmtId="3" fontId="86" fillId="36" borderId="0" xfId="1" applyNumberFormat="1" applyFont="1" applyFill="1" applyBorder="1" applyAlignment="1" applyProtection="1">
      <alignment horizontal="right" vertical="center"/>
    </xf>
    <xf numFmtId="3" fontId="4" fillId="12" borderId="0" xfId="0" applyNumberFormat="1" applyFont="1" applyFill="1" applyProtection="1">
      <protection locked="0"/>
    </xf>
    <xf numFmtId="3" fontId="4" fillId="19" borderId="0" xfId="0" applyNumberFormat="1" applyFont="1" applyFill="1" applyProtection="1">
      <protection locked="0"/>
    </xf>
    <xf numFmtId="3" fontId="161" fillId="0" borderId="0" xfId="0" applyNumberFormat="1" applyFont="1" applyProtection="1">
      <protection locked="0"/>
    </xf>
    <xf numFmtId="0" fontId="23" fillId="17" borderId="0" xfId="6" applyFill="1"/>
    <xf numFmtId="167" fontId="0" fillId="0" borderId="0" xfId="0" applyNumberFormat="1"/>
    <xf numFmtId="169" fontId="155" fillId="0" borderId="18" xfId="26" applyNumberFormat="1" applyFont="1" applyBorder="1"/>
    <xf numFmtId="167" fontId="75" fillId="5" borderId="0" xfId="0" applyNumberFormat="1" applyFont="1" applyFill="1" applyAlignment="1" applyProtection="1">
      <alignment horizontal="right"/>
      <protection locked="0"/>
    </xf>
    <xf numFmtId="167" fontId="75" fillId="5" borderId="0" xfId="0" applyNumberFormat="1" applyFont="1" applyFill="1" applyAlignment="1">
      <alignment horizontal="right"/>
    </xf>
    <xf numFmtId="167" fontId="75" fillId="18" borderId="0" xfId="0" applyNumberFormat="1" applyFont="1" applyFill="1" applyAlignment="1">
      <alignment horizontal="right" vertical="center"/>
    </xf>
    <xf numFmtId="175" fontId="28" fillId="18" borderId="0" xfId="10" applyNumberFormat="1" applyFont="1" applyFill="1" applyAlignment="1" applyProtection="1">
      <alignment horizontal="right" vertical="center" wrapText="1"/>
    </xf>
    <xf numFmtId="3" fontId="4" fillId="18" borderId="0" xfId="0" applyNumberFormat="1" applyFont="1" applyFill="1" applyProtection="1">
      <protection locked="0"/>
    </xf>
    <xf numFmtId="170" fontId="103" fillId="34" borderId="0" xfId="1" applyNumberFormat="1" applyFont="1" applyFill="1" applyAlignment="1" applyProtection="1"/>
    <xf numFmtId="170" fontId="31" fillId="34" borderId="0" xfId="1" applyNumberFormat="1" applyFont="1" applyFill="1" applyAlignment="1" applyProtection="1">
      <alignment horizontal="right"/>
    </xf>
    <xf numFmtId="169" fontId="31" fillId="34" borderId="0" xfId="1" applyFont="1" applyFill="1" applyAlignment="1" applyProtection="1">
      <alignment horizontal="right"/>
    </xf>
    <xf numFmtId="3" fontId="44" fillId="56" borderId="0" xfId="0" applyNumberFormat="1" applyFont="1" applyFill="1" applyProtection="1">
      <protection locked="0"/>
    </xf>
    <xf numFmtId="186" fontId="44" fillId="17" borderId="0" xfId="1" applyNumberFormat="1" applyFont="1" applyFill="1" applyProtection="1"/>
    <xf numFmtId="187" fontId="139" fillId="36" borderId="0" xfId="1" applyNumberFormat="1" applyFont="1" applyFill="1" applyAlignment="1">
      <alignment horizontal="center"/>
    </xf>
    <xf numFmtId="185" fontId="4" fillId="0" borderId="0" xfId="0" applyNumberFormat="1" applyFont="1"/>
    <xf numFmtId="0" fontId="151" fillId="0" borderId="0" xfId="23" applyAlignment="1">
      <alignment vertical="top"/>
    </xf>
    <xf numFmtId="169" fontId="4" fillId="0" borderId="0" xfId="1" applyFont="1" applyFill="1" applyProtection="1">
      <protection locked="0"/>
    </xf>
    <xf numFmtId="188" fontId="4" fillId="0" borderId="0" xfId="1" applyNumberFormat="1" applyFont="1" applyAlignment="1" applyProtection="1">
      <alignment horizontal="center"/>
      <protection locked="0"/>
    </xf>
    <xf numFmtId="0" fontId="174" fillId="29" borderId="18" xfId="0" applyFont="1" applyFill="1" applyBorder="1" applyAlignment="1">
      <alignment horizontal="center" vertical="center"/>
    </xf>
    <xf numFmtId="171" fontId="174" fillId="29" borderId="18" xfId="31" applyNumberFormat="1" applyFont="1" applyFill="1" applyBorder="1" applyAlignment="1">
      <alignment vertical="center"/>
    </xf>
    <xf numFmtId="14" fontId="0" fillId="45" borderId="0" xfId="0" applyNumberFormat="1" applyFill="1"/>
    <xf numFmtId="171" fontId="0" fillId="0" borderId="0" xfId="31" applyNumberFormat="1" applyFont="1"/>
    <xf numFmtId="171" fontId="0" fillId="65" borderId="0" xfId="31" applyNumberFormat="1" applyFont="1" applyFill="1"/>
    <xf numFmtId="0" fontId="175" fillId="29" borderId="18" xfId="0" applyFont="1" applyFill="1" applyBorder="1" applyAlignment="1">
      <alignment vertical="center"/>
    </xf>
    <xf numFmtId="3" fontId="67" fillId="17" borderId="0" xfId="0" applyNumberFormat="1" applyFont="1" applyFill="1" applyAlignment="1">
      <alignment horizontal="center"/>
    </xf>
    <xf numFmtId="169" fontId="151" fillId="0" borderId="0" xfId="1" applyFont="1"/>
    <xf numFmtId="169" fontId="103" fillId="34" borderId="0" xfId="1" applyFont="1" applyFill="1" applyAlignment="1" applyProtection="1"/>
    <xf numFmtId="169" fontId="4" fillId="0" borderId="0" xfId="1" applyFont="1" applyAlignment="1" applyProtection="1">
      <alignment horizontal="center"/>
      <protection locked="0"/>
    </xf>
    <xf numFmtId="169" fontId="35" fillId="0" borderId="0" xfId="1" applyFont="1" applyAlignment="1" applyProtection="1">
      <alignment horizontal="center" vertical="center"/>
      <protection locked="0"/>
    </xf>
    <xf numFmtId="169" fontId="101" fillId="0" borderId="154" xfId="1" applyFont="1" applyFill="1" applyBorder="1" applyAlignment="1" applyProtection="1">
      <alignment horizontal="center"/>
      <protection locked="0"/>
    </xf>
    <xf numFmtId="169" fontId="101" fillId="6" borderId="154" xfId="1" applyFont="1" applyFill="1" applyBorder="1" applyAlignment="1" applyProtection="1">
      <protection locked="0"/>
    </xf>
    <xf numFmtId="169" fontId="105" fillId="36" borderId="160" xfId="1" applyFont="1" applyFill="1" applyBorder="1" applyAlignment="1" applyProtection="1">
      <alignment vertical="center" wrapText="1"/>
    </xf>
    <xf numFmtId="169" fontId="101" fillId="30" borderId="154" xfId="1" applyFont="1" applyFill="1" applyBorder="1" applyAlignment="1" applyProtection="1"/>
    <xf numFmtId="169" fontId="101" fillId="57" borderId="154" xfId="1" applyFont="1" applyFill="1" applyBorder="1" applyAlignment="1" applyProtection="1">
      <protection locked="0"/>
    </xf>
    <xf numFmtId="169" fontId="101" fillId="39" borderId="154" xfId="1" applyFont="1" applyFill="1" applyBorder="1" applyAlignment="1" applyProtection="1">
      <protection locked="0"/>
    </xf>
    <xf numFmtId="169" fontId="101" fillId="18" borderId="154" xfId="1" applyFont="1" applyFill="1" applyBorder="1" applyAlignment="1" applyProtection="1">
      <protection locked="0"/>
    </xf>
    <xf numFmtId="169" fontId="105" fillId="36" borderId="156" xfId="1" applyFont="1" applyFill="1" applyBorder="1" applyAlignment="1" applyProtection="1">
      <alignment vertical="center" wrapText="1"/>
    </xf>
    <xf numFmtId="169" fontId="101" fillId="0" borderId="154" xfId="1" applyFont="1" applyBorder="1" applyAlignment="1" applyProtection="1"/>
    <xf numFmtId="169" fontId="106" fillId="38" borderId="154" xfId="1" applyFont="1" applyFill="1" applyBorder="1" applyAlignment="1" applyProtection="1">
      <alignment vertical="center" wrapText="1"/>
    </xf>
    <xf numFmtId="169" fontId="101" fillId="0" borderId="165" xfId="1" applyFont="1" applyBorder="1" applyAlignment="1" applyProtection="1"/>
    <xf numFmtId="169" fontId="101" fillId="6" borderId="154" xfId="1" applyFont="1" applyFill="1" applyBorder="1" applyAlignment="1" applyProtection="1"/>
    <xf numFmtId="169" fontId="106" fillId="38" borderId="0" xfId="1" applyFont="1" applyFill="1" applyAlignment="1" applyProtection="1">
      <alignment vertical="center" wrapText="1"/>
    </xf>
    <xf numFmtId="169" fontId="105" fillId="34" borderId="154" xfId="1" applyFont="1" applyFill="1" applyBorder="1" applyAlignment="1" applyProtection="1">
      <alignment vertical="center" wrapText="1"/>
    </xf>
    <xf numFmtId="169" fontId="101" fillId="0" borderId="0" xfId="1" applyFont="1" applyAlignment="1" applyProtection="1"/>
    <xf numFmtId="169" fontId="102" fillId="3" borderId="0" xfId="1" applyFont="1" applyFill="1" applyAlignment="1" applyProtection="1"/>
    <xf numFmtId="169" fontId="102" fillId="0" borderId="0" xfId="1" applyFont="1" applyAlignment="1" applyProtection="1"/>
    <xf numFmtId="169" fontId="101" fillId="0" borderId="0" xfId="1" applyFont="1" applyAlignment="1" applyProtection="1">
      <protection locked="0"/>
    </xf>
    <xf numFmtId="169" fontId="101" fillId="58" borderId="154" xfId="1" applyFont="1" applyFill="1" applyBorder="1" applyAlignment="1" applyProtection="1">
      <protection locked="0"/>
    </xf>
    <xf numFmtId="169" fontId="101" fillId="62" borderId="154" xfId="1" applyFont="1" applyFill="1" applyBorder="1" applyAlignment="1" applyProtection="1">
      <protection locked="0"/>
    </xf>
    <xf numFmtId="169" fontId="106" fillId="38" borderId="161" xfId="1" applyFont="1" applyFill="1" applyBorder="1" applyAlignment="1" applyProtection="1">
      <alignment vertical="center" wrapText="1"/>
    </xf>
    <xf numFmtId="169" fontId="101" fillId="0" borderId="0" xfId="1" applyFont="1" applyAlignment="1" applyProtection="1">
      <alignment horizontal="center"/>
      <protection locked="0"/>
    </xf>
    <xf numFmtId="169" fontId="180" fillId="49" borderId="154" xfId="1" applyFont="1" applyFill="1" applyBorder="1" applyAlignment="1" applyProtection="1">
      <protection locked="0"/>
    </xf>
    <xf numFmtId="170" fontId="105" fillId="36" borderId="160" xfId="1" applyNumberFormat="1" applyFont="1" applyFill="1" applyBorder="1" applyAlignment="1" applyProtection="1">
      <alignment vertical="center" wrapText="1"/>
    </xf>
    <xf numFmtId="170" fontId="105" fillId="36" borderId="156" xfId="1" applyNumberFormat="1" applyFont="1" applyFill="1" applyBorder="1" applyAlignment="1" applyProtection="1">
      <alignment vertical="center" wrapText="1"/>
    </xf>
    <xf numFmtId="170" fontId="106" fillId="38" borderId="0" xfId="1" applyNumberFormat="1" applyFont="1" applyFill="1" applyAlignment="1" applyProtection="1">
      <alignment vertical="center" wrapText="1"/>
    </xf>
    <xf numFmtId="170" fontId="101" fillId="0" borderId="0" xfId="1" applyNumberFormat="1" applyFont="1" applyAlignment="1" applyProtection="1"/>
    <xf numFmtId="170" fontId="102" fillId="3" borderId="0" xfId="1" applyNumberFormat="1" applyFont="1" applyFill="1" applyAlignment="1" applyProtection="1"/>
    <xf numFmtId="170" fontId="102" fillId="0" borderId="0" xfId="1" applyNumberFormat="1" applyFont="1" applyAlignment="1" applyProtection="1"/>
    <xf numFmtId="170" fontId="106" fillId="38" borderId="161" xfId="1" applyNumberFormat="1" applyFont="1" applyFill="1" applyBorder="1" applyAlignment="1" applyProtection="1">
      <alignment vertical="center" wrapText="1"/>
    </xf>
    <xf numFmtId="171" fontId="4" fillId="0" borderId="0" xfId="1" applyNumberFormat="1" applyFont="1" applyAlignment="1" applyProtection="1">
      <alignment horizontal="center"/>
      <protection locked="0"/>
    </xf>
    <xf numFmtId="169" fontId="46" fillId="30" borderId="0" xfId="0" applyNumberFormat="1" applyFont="1" applyFill="1"/>
    <xf numFmtId="169" fontId="4" fillId="0" borderId="0" xfId="1" applyFont="1" applyAlignment="1" applyProtection="1">
      <alignment horizontal="center"/>
    </xf>
    <xf numFmtId="169" fontId="35" fillId="0" borderId="0" xfId="1" applyFont="1" applyAlignment="1" applyProtection="1">
      <alignment horizontal="center" vertical="center"/>
    </xf>
    <xf numFmtId="169" fontId="101" fillId="0" borderId="0" xfId="1" applyFont="1" applyFill="1" applyAlignment="1" applyProtection="1">
      <alignment horizontal="center"/>
    </xf>
    <xf numFmtId="169" fontId="101" fillId="30" borderId="0" xfId="1" applyFont="1" applyFill="1" applyAlignment="1" applyProtection="1"/>
    <xf numFmtId="169" fontId="101" fillId="0" borderId="162" xfId="1" applyFont="1" applyBorder="1" applyAlignment="1" applyProtection="1"/>
    <xf numFmtId="169" fontId="101" fillId="0" borderId="0" xfId="1" applyFont="1" applyBorder="1" applyAlignment="1" applyProtection="1"/>
    <xf numFmtId="169" fontId="105" fillId="34" borderId="0" xfId="1" applyFont="1" applyFill="1" applyAlignment="1" applyProtection="1">
      <alignment vertical="center" wrapText="1"/>
    </xf>
    <xf numFmtId="169" fontId="101" fillId="0" borderId="0" xfId="1" applyFont="1" applyAlignment="1" applyProtection="1">
      <alignment horizontal="center"/>
    </xf>
    <xf numFmtId="169" fontId="109" fillId="4" borderId="0" xfId="1" applyFont="1" applyFill="1" applyAlignment="1" applyProtection="1">
      <alignment horizontal="center"/>
    </xf>
    <xf numFmtId="170" fontId="4" fillId="0" borderId="0" xfId="1" applyNumberFormat="1" applyFont="1" applyAlignment="1" applyProtection="1">
      <alignment horizontal="center"/>
    </xf>
    <xf numFmtId="170" fontId="35" fillId="0" borderId="0" xfId="1" applyNumberFormat="1" applyFont="1" applyAlignment="1" applyProtection="1">
      <alignment horizontal="center" vertical="center"/>
    </xf>
    <xf numFmtId="170" fontId="101" fillId="0" borderId="0" xfId="1" applyNumberFormat="1" applyFont="1" applyFill="1" applyAlignment="1" applyProtection="1">
      <alignment horizontal="center"/>
    </xf>
    <xf numFmtId="170" fontId="101" fillId="30" borderId="0" xfId="1" applyNumberFormat="1" applyFont="1" applyFill="1" applyAlignment="1" applyProtection="1"/>
    <xf numFmtId="170" fontId="101" fillId="0" borderId="162" xfId="1" applyNumberFormat="1" applyFont="1" applyBorder="1" applyAlignment="1" applyProtection="1"/>
    <xf numFmtId="170" fontId="101" fillId="0" borderId="0" xfId="1" applyNumberFormat="1" applyFont="1" applyBorder="1" applyAlignment="1" applyProtection="1"/>
    <xf numFmtId="170" fontId="105" fillId="34" borderId="0" xfId="1" applyNumberFormat="1" applyFont="1" applyFill="1" applyAlignment="1" applyProtection="1">
      <alignment vertical="center" wrapText="1"/>
    </xf>
    <xf numFmtId="170" fontId="103" fillId="52" borderId="0" xfId="1" applyNumberFormat="1" applyFont="1" applyFill="1" applyAlignment="1" applyProtection="1"/>
    <xf numFmtId="170" fontId="101" fillId="0" borderId="0" xfId="1" applyNumberFormat="1" applyFont="1" applyAlignment="1" applyProtection="1">
      <alignment horizontal="center"/>
    </xf>
    <xf numFmtId="2" fontId="2" fillId="67" borderId="0" xfId="0" applyNumberFormat="1" applyFont="1" applyFill="1"/>
    <xf numFmtId="0" fontId="0" fillId="57" borderId="0" xfId="0" applyFill="1"/>
    <xf numFmtId="171" fontId="0" fillId="57" borderId="0" xfId="1" applyNumberFormat="1" applyFont="1" applyFill="1"/>
    <xf numFmtId="0" fontId="23" fillId="57" borderId="0" xfId="6" applyFill="1"/>
    <xf numFmtId="172" fontId="0" fillId="57" borderId="0" xfId="1" applyNumberFormat="1" applyFont="1" applyFill="1" applyBorder="1" applyAlignment="1">
      <alignment horizontal="center"/>
    </xf>
    <xf numFmtId="3" fontId="4" fillId="57" borderId="0" xfId="0" applyNumberFormat="1" applyFont="1" applyFill="1" applyProtection="1">
      <protection locked="0"/>
    </xf>
    <xf numFmtId="171" fontId="0" fillId="57" borderId="0" xfId="1" applyNumberFormat="1" applyFont="1" applyFill="1" applyBorder="1" applyAlignment="1">
      <alignment horizontal="center"/>
    </xf>
    <xf numFmtId="0" fontId="4" fillId="57" borderId="0" xfId="0" applyFont="1" applyFill="1"/>
    <xf numFmtId="171" fontId="4" fillId="57" borderId="0" xfId="1" applyNumberFormat="1" applyFont="1" applyFill="1"/>
    <xf numFmtId="171" fontId="4" fillId="57" borderId="0" xfId="0" applyNumberFormat="1" applyFont="1" applyFill="1" applyProtection="1">
      <protection locked="0"/>
    </xf>
    <xf numFmtId="0" fontId="4" fillId="57" borderId="0" xfId="0" applyFont="1" applyFill="1" applyProtection="1">
      <protection locked="0"/>
    </xf>
    <xf numFmtId="179" fontId="94" fillId="34" borderId="0" xfId="1" applyNumberFormat="1" applyFont="1" applyFill="1" applyAlignment="1" applyProtection="1">
      <alignment horizontal="right"/>
    </xf>
    <xf numFmtId="179" fontId="95" fillId="34" borderId="0" xfId="1" applyNumberFormat="1" applyFont="1" applyFill="1" applyAlignment="1" applyProtection="1">
      <alignment horizontal="right"/>
    </xf>
    <xf numFmtId="183" fontId="103" fillId="34" borderId="0" xfId="1" applyNumberFormat="1" applyFont="1" applyFill="1" applyAlignment="1" applyProtection="1"/>
    <xf numFmtId="14" fontId="47" fillId="13" borderId="0" xfId="0" applyNumberFormat="1" applyFont="1" applyFill="1" applyAlignment="1">
      <alignment vertical="center"/>
    </xf>
    <xf numFmtId="0" fontId="168" fillId="13" borderId="0" xfId="5" applyFont="1" applyFill="1" applyAlignment="1">
      <alignment vertical="center"/>
    </xf>
    <xf numFmtId="187" fontId="47" fillId="13" borderId="0" xfId="0" applyNumberFormat="1" applyFont="1" applyFill="1" applyAlignment="1">
      <alignment vertical="center"/>
    </xf>
    <xf numFmtId="169" fontId="28" fillId="18" borderId="154" xfId="1" applyFont="1" applyFill="1" applyBorder="1" applyAlignment="1" applyProtection="1">
      <alignment horizontal="right" vertical="center" wrapText="1"/>
    </xf>
    <xf numFmtId="167" fontId="4" fillId="57" borderId="0" xfId="0" applyNumberFormat="1" applyFont="1" applyFill="1" applyProtection="1">
      <protection locked="0"/>
    </xf>
    <xf numFmtId="170" fontId="177" fillId="17" borderId="0" xfId="1" applyNumberFormat="1" applyFont="1" applyFill="1" applyAlignment="1" applyProtection="1"/>
    <xf numFmtId="0" fontId="0" fillId="17" borderId="0" xfId="0" applyFill="1" applyAlignment="1">
      <alignment vertical="top"/>
    </xf>
    <xf numFmtId="167" fontId="4" fillId="25" borderId="0" xfId="0" applyNumberFormat="1" applyFont="1" applyFill="1"/>
    <xf numFmtId="167" fontId="4" fillId="25" borderId="0" xfId="0" applyNumberFormat="1" applyFont="1" applyFill="1" applyProtection="1">
      <protection locked="0"/>
    </xf>
    <xf numFmtId="167" fontId="4" fillId="52" borderId="0" xfId="0" applyNumberFormat="1" applyFont="1" applyFill="1"/>
    <xf numFmtId="167" fontId="4" fillId="52" borderId="0" xfId="0" applyNumberFormat="1" applyFont="1" applyFill="1" applyProtection="1">
      <protection locked="0"/>
    </xf>
    <xf numFmtId="167" fontId="4" fillId="20" borderId="0" xfId="0" applyNumberFormat="1" applyFont="1" applyFill="1"/>
    <xf numFmtId="167" fontId="4" fillId="20" borderId="0" xfId="0" applyNumberFormat="1" applyFont="1" applyFill="1" applyProtection="1">
      <protection locked="0"/>
    </xf>
    <xf numFmtId="167" fontId="4" fillId="57" borderId="0" xfId="0" applyNumberFormat="1" applyFont="1" applyFill="1"/>
    <xf numFmtId="167" fontId="4" fillId="54" borderId="0" xfId="0" applyNumberFormat="1" applyFont="1" applyFill="1"/>
    <xf numFmtId="167" fontId="4" fillId="54" borderId="0" xfId="0" applyNumberFormat="1" applyFont="1" applyFill="1" applyProtection="1">
      <protection locked="0"/>
    </xf>
    <xf numFmtId="169" fontId="4" fillId="0" borderId="0" xfId="1" applyFont="1" applyProtection="1">
      <protection locked="0"/>
    </xf>
    <xf numFmtId="171" fontId="4" fillId="0" borderId="0" xfId="1" applyNumberFormat="1" applyFont="1" applyProtection="1">
      <protection locked="0"/>
    </xf>
    <xf numFmtId="189" fontId="4" fillId="0" borderId="0" xfId="1" applyNumberFormat="1" applyFont="1" applyProtection="1"/>
    <xf numFmtId="189" fontId="4" fillId="30" borderId="0" xfId="1" applyNumberFormat="1" applyFont="1" applyFill="1" applyProtection="1">
      <protection locked="0"/>
    </xf>
    <xf numFmtId="189" fontId="4" fillId="0" borderId="0" xfId="1" applyNumberFormat="1" applyFont="1" applyAlignment="1" applyProtection="1">
      <alignment horizontal="right"/>
    </xf>
    <xf numFmtId="189" fontId="67" fillId="0" borderId="0" xfId="1" applyNumberFormat="1" applyFont="1" applyAlignment="1" applyProtection="1">
      <alignment horizontal="center" vertical="center" wrapText="1"/>
      <protection locked="0"/>
    </xf>
    <xf numFmtId="189" fontId="4" fillId="0" borderId="0" xfId="1" applyNumberFormat="1" applyFont="1" applyAlignment="1" applyProtection="1">
      <alignment horizontal="center"/>
      <protection locked="0"/>
    </xf>
    <xf numFmtId="189" fontId="44" fillId="0" borderId="0" xfId="1" applyNumberFormat="1" applyFont="1" applyAlignment="1" applyProtection="1">
      <alignment horizontal="right"/>
      <protection locked="0"/>
    </xf>
    <xf numFmtId="189" fontId="4" fillId="0" borderId="0" xfId="1" applyNumberFormat="1" applyFont="1" applyProtection="1">
      <protection locked="0"/>
    </xf>
    <xf numFmtId="189" fontId="65" fillId="0" borderId="0" xfId="1" applyNumberFormat="1" applyFont="1" applyProtection="1">
      <protection locked="0"/>
    </xf>
    <xf numFmtId="189" fontId="60" fillId="0" borderId="0" xfId="1" applyNumberFormat="1" applyFont="1" applyAlignment="1" applyProtection="1">
      <alignment horizontal="center"/>
    </xf>
    <xf numFmtId="189" fontId="60" fillId="4" borderId="0" xfId="1" applyNumberFormat="1" applyFont="1" applyFill="1" applyAlignment="1" applyProtection="1">
      <alignment horizontal="left"/>
      <protection locked="0"/>
    </xf>
    <xf numFmtId="189" fontId="60" fillId="30" borderId="0" xfId="1" applyNumberFormat="1" applyFont="1" applyFill="1" applyAlignment="1" applyProtection="1">
      <alignment horizontal="center"/>
      <protection locked="0"/>
    </xf>
    <xf numFmtId="189" fontId="60" fillId="4" borderId="166" xfId="1" applyNumberFormat="1" applyFont="1" applyFill="1" applyBorder="1" applyAlignment="1" applyProtection="1">
      <alignment horizontal="center"/>
    </xf>
    <xf numFmtId="189" fontId="60" fillId="0" borderId="0" xfId="1" applyNumberFormat="1" applyFont="1" applyAlignment="1" applyProtection="1">
      <alignment horizontal="center"/>
      <protection locked="0"/>
    </xf>
    <xf numFmtId="189" fontId="71" fillId="0" borderId="0" xfId="1" applyNumberFormat="1" applyFont="1" applyAlignment="1" applyProtection="1">
      <alignment horizontal="center"/>
      <protection locked="0"/>
    </xf>
    <xf numFmtId="181" fontId="28" fillId="34" borderId="0" xfId="10" applyNumberFormat="1" applyFont="1" applyFill="1" applyAlignment="1" applyProtection="1">
      <alignment horizontal="right" vertical="center" wrapText="1"/>
    </xf>
    <xf numFmtId="190" fontId="65" fillId="4" borderId="167" xfId="1" applyNumberFormat="1" applyFont="1" applyFill="1" applyBorder="1" applyProtection="1"/>
    <xf numFmtId="191" fontId="4" fillId="0" borderId="0" xfId="0" applyNumberFormat="1" applyFont="1" applyProtection="1">
      <protection locked="0"/>
    </xf>
    <xf numFmtId="3" fontId="169" fillId="30" borderId="0" xfId="0" applyNumberFormat="1" applyFont="1" applyFill="1" applyAlignment="1">
      <alignment horizontal="center"/>
    </xf>
    <xf numFmtId="175" fontId="4" fillId="54" borderId="154" xfId="0" applyNumberFormat="1" applyFont="1" applyFill="1" applyBorder="1" applyAlignment="1">
      <alignment horizontal="right"/>
    </xf>
    <xf numFmtId="167" fontId="4" fillId="54" borderId="154" xfId="0" applyNumberFormat="1" applyFont="1" applyFill="1" applyBorder="1" applyAlignment="1" applyProtection="1">
      <alignment horizontal="right"/>
      <protection locked="0"/>
    </xf>
    <xf numFmtId="167" fontId="4" fillId="54" borderId="0" xfId="0" applyNumberFormat="1" applyFont="1" applyFill="1" applyAlignment="1">
      <alignment horizontal="right"/>
    </xf>
    <xf numFmtId="167" fontId="4" fillId="54" borderId="0" xfId="0" applyNumberFormat="1" applyFont="1" applyFill="1" applyAlignment="1" applyProtection="1">
      <alignment horizontal="right"/>
      <protection locked="0"/>
    </xf>
    <xf numFmtId="167" fontId="4" fillId="68" borderId="154" xfId="0" applyNumberFormat="1" applyFont="1" applyFill="1" applyBorder="1" applyAlignment="1" applyProtection="1">
      <alignment horizontal="right"/>
      <protection locked="0"/>
    </xf>
    <xf numFmtId="167" fontId="4" fillId="20" borderId="154" xfId="0" applyNumberFormat="1" applyFont="1" applyFill="1" applyBorder="1" applyAlignment="1">
      <alignment horizontal="right"/>
    </xf>
    <xf numFmtId="167" fontId="4" fillId="20" borderId="154" xfId="0" applyNumberFormat="1" applyFont="1" applyFill="1" applyBorder="1" applyAlignment="1" applyProtection="1">
      <alignment horizontal="right"/>
      <protection locked="0"/>
    </xf>
    <xf numFmtId="167" fontId="75" fillId="20" borderId="0" xfId="0" applyNumberFormat="1" applyFont="1" applyFill="1" applyAlignment="1">
      <alignment horizontal="right"/>
    </xf>
    <xf numFmtId="4" fontId="75" fillId="20" borderId="0" xfId="0" applyNumberFormat="1" applyFont="1" applyFill="1" applyAlignment="1" applyProtection="1">
      <alignment horizontal="right"/>
      <protection locked="0"/>
    </xf>
    <xf numFmtId="167" fontId="75" fillId="9" borderId="0" xfId="0" applyNumberFormat="1" applyFont="1" applyFill="1" applyAlignment="1">
      <alignment horizontal="right"/>
    </xf>
    <xf numFmtId="3" fontId="75" fillId="9" borderId="0" xfId="0" applyNumberFormat="1" applyFont="1" applyFill="1" applyAlignment="1" applyProtection="1">
      <alignment horizontal="right"/>
      <protection locked="0"/>
    </xf>
    <xf numFmtId="171" fontId="161" fillId="0" borderId="0" xfId="1" applyNumberFormat="1" applyFont="1" applyProtection="1">
      <protection locked="0"/>
    </xf>
    <xf numFmtId="167" fontId="75" fillId="57" borderId="0" xfId="0" applyNumberFormat="1" applyFont="1" applyFill="1" applyAlignment="1">
      <alignment horizontal="right"/>
    </xf>
    <xf numFmtId="192" fontId="75" fillId="9" borderId="0" xfId="1" applyNumberFormat="1" applyFont="1" applyFill="1" applyAlignment="1" applyProtection="1">
      <alignment horizontal="right"/>
      <protection locked="0"/>
    </xf>
    <xf numFmtId="171" fontId="0" fillId="69" borderId="0" xfId="1" applyNumberFormat="1" applyFont="1" applyFill="1" applyBorder="1" applyAlignment="1">
      <alignment horizontal="center"/>
    </xf>
    <xf numFmtId="171" fontId="0" fillId="70" borderId="0" xfId="1" applyNumberFormat="1" applyFont="1" applyFill="1" applyBorder="1" applyAlignment="1">
      <alignment horizontal="center"/>
    </xf>
    <xf numFmtId="171" fontId="0" fillId="11" borderId="0" xfId="1" applyNumberFormat="1" applyFont="1" applyFill="1" applyBorder="1" applyAlignment="1">
      <alignment horizontal="center"/>
    </xf>
    <xf numFmtId="171" fontId="0" fillId="71" borderId="0" xfId="1" applyNumberFormat="1" applyFont="1" applyFill="1" applyBorder="1" applyAlignment="1">
      <alignment horizontal="center"/>
    </xf>
    <xf numFmtId="171" fontId="0" fillId="72" borderId="0" xfId="1" applyNumberFormat="1" applyFont="1" applyFill="1" applyBorder="1" applyAlignment="1">
      <alignment horizontal="center"/>
    </xf>
    <xf numFmtId="3" fontId="4" fillId="72" borderId="0" xfId="0" applyNumberFormat="1" applyFont="1" applyFill="1" applyProtection="1">
      <protection locked="0"/>
    </xf>
    <xf numFmtId="171" fontId="2" fillId="73" borderId="0" xfId="1" applyNumberFormat="1" applyFont="1" applyFill="1" applyBorder="1" applyAlignment="1">
      <alignment horizontal="center"/>
    </xf>
    <xf numFmtId="171" fontId="0" fillId="74" borderId="0" xfId="1" applyNumberFormat="1" applyFont="1" applyFill="1" applyBorder="1" applyAlignment="1">
      <alignment horizontal="center"/>
    </xf>
    <xf numFmtId="188" fontId="44" fillId="4" borderId="167" xfId="1" applyNumberFormat="1" applyFont="1" applyFill="1" applyBorder="1" applyAlignment="1" applyProtection="1">
      <alignment horizontal="center"/>
    </xf>
    <xf numFmtId="169" fontId="60" fillId="4" borderId="168" xfId="1" applyFont="1" applyFill="1" applyBorder="1" applyAlignment="1" applyProtection="1">
      <alignment horizontal="center"/>
    </xf>
    <xf numFmtId="14" fontId="35" fillId="0" borderId="0" xfId="0" applyNumberFormat="1" applyFont="1" applyAlignment="1" applyProtection="1">
      <alignment horizontal="left" vertical="center"/>
      <protection locked="0"/>
    </xf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69" fontId="140" fillId="0" borderId="0" xfId="25" applyFont="1" applyFill="1" applyAlignment="1">
      <alignment horizontal="center"/>
    </xf>
    <xf numFmtId="169" fontId="4" fillId="0" borderId="0" xfId="1" applyFont="1" applyFill="1" applyAlignment="1">
      <alignment horizontal="center"/>
    </xf>
    <xf numFmtId="169" fontId="139" fillId="0" borderId="0" xfId="1" applyFont="1" applyFill="1" applyAlignment="1">
      <alignment horizontal="center"/>
    </xf>
    <xf numFmtId="0" fontId="46" fillId="0" borderId="0" xfId="0" applyFont="1"/>
    <xf numFmtId="0" fontId="169" fillId="0" borderId="0" xfId="0" applyFont="1" applyAlignment="1">
      <alignment horizontal="center"/>
    </xf>
    <xf numFmtId="169" fontId="169" fillId="0" borderId="0" xfId="1" applyFont="1" applyFill="1" applyAlignment="1">
      <alignment horizontal="center"/>
    </xf>
    <xf numFmtId="3" fontId="169" fillId="0" borderId="0" xfId="0" applyNumberFormat="1" applyFont="1" applyAlignment="1">
      <alignment horizontal="center"/>
    </xf>
    <xf numFmtId="169" fontId="139" fillId="0" borderId="0" xfId="25" applyFont="1" applyFill="1" applyAlignment="1">
      <alignment horizontal="center"/>
    </xf>
    <xf numFmtId="169" fontId="140" fillId="0" borderId="0" xfId="1" applyFont="1" applyFill="1" applyAlignment="1">
      <alignment horizontal="center"/>
    </xf>
    <xf numFmtId="169" fontId="101" fillId="0" borderId="0" xfId="1" applyFont="1" applyProtection="1">
      <protection locked="0"/>
    </xf>
    <xf numFmtId="169" fontId="182" fillId="0" borderId="0" xfId="0" applyNumberFormat="1" applyFont="1"/>
    <xf numFmtId="193" fontId="0" fillId="0" borderId="0" xfId="28" applyNumberFormat="1" applyFont="1"/>
    <xf numFmtId="185" fontId="0" fillId="0" borderId="0" xfId="0" applyNumberFormat="1"/>
    <xf numFmtId="2" fontId="182" fillId="0" borderId="0" xfId="1" applyNumberFormat="1" applyFont="1"/>
    <xf numFmtId="2" fontId="181" fillId="0" borderId="0" xfId="1" applyNumberFormat="1" applyFont="1"/>
    <xf numFmtId="2" fontId="183" fillId="0" borderId="0" xfId="0" applyNumberFormat="1" applyFont="1"/>
    <xf numFmtId="2" fontId="184" fillId="0" borderId="0" xfId="1" applyNumberFormat="1" applyFont="1"/>
    <xf numFmtId="169" fontId="88" fillId="0" borderId="0" xfId="1" applyFont="1" applyProtection="1">
      <protection locked="0"/>
    </xf>
    <xf numFmtId="169" fontId="88" fillId="0" borderId="0" xfId="1" applyFont="1" applyAlignment="1" applyProtection="1">
      <alignment horizontal="center"/>
      <protection locked="0"/>
    </xf>
    <xf numFmtId="169" fontId="94" fillId="34" borderId="0" xfId="1" applyFont="1" applyFill="1" applyAlignment="1" applyProtection="1">
      <alignment horizontal="center" vertical="center" wrapText="1"/>
    </xf>
    <xf numFmtId="169" fontId="80" fillId="34" borderId="0" xfId="1" applyFont="1" applyFill="1" applyAlignment="1" applyProtection="1">
      <alignment horizontal="center" vertical="center" wrapText="1"/>
    </xf>
    <xf numFmtId="169" fontId="81" fillId="34" borderId="0" xfId="1" applyFont="1" applyFill="1" applyAlignment="1" applyProtection="1">
      <alignment horizontal="center" vertical="center" wrapText="1"/>
    </xf>
    <xf numFmtId="169" fontId="94" fillId="34" borderId="154" xfId="1" applyFont="1" applyFill="1" applyBorder="1" applyAlignment="1" applyProtection="1">
      <alignment horizontal="center" vertical="center" wrapText="1"/>
    </xf>
    <xf numFmtId="169" fontId="94" fillId="34" borderId="152" xfId="1" applyFont="1" applyFill="1" applyBorder="1" applyAlignment="1" applyProtection="1">
      <alignment horizontal="center" vertical="center" wrapText="1"/>
    </xf>
    <xf numFmtId="169" fontId="88" fillId="33" borderId="0" xfId="1" applyFont="1" applyFill="1" applyAlignment="1" applyProtection="1">
      <alignment horizontal="right"/>
    </xf>
    <xf numFmtId="169" fontId="88" fillId="0" borderId="0" xfId="1" applyFont="1" applyAlignment="1" applyProtection="1">
      <alignment horizontal="right"/>
    </xf>
    <xf numFmtId="169" fontId="88" fillId="0" borderId="0" xfId="1" applyFont="1" applyAlignment="1" applyProtection="1">
      <alignment horizontal="right"/>
      <protection locked="0"/>
    </xf>
    <xf numFmtId="169" fontId="88" fillId="6" borderId="0" xfId="1" applyFont="1" applyFill="1" applyAlignment="1" applyProtection="1">
      <alignment horizontal="right"/>
      <protection locked="0"/>
    </xf>
    <xf numFmtId="169" fontId="95" fillId="34" borderId="157" xfId="1" applyFont="1" applyFill="1" applyBorder="1" applyAlignment="1" applyProtection="1">
      <alignment horizontal="right" vertical="center"/>
    </xf>
    <xf numFmtId="169" fontId="95" fillId="36" borderId="157" xfId="1" applyFont="1" applyFill="1" applyBorder="1" applyAlignment="1" applyProtection="1">
      <alignment horizontal="right" vertical="center"/>
    </xf>
    <xf numFmtId="169" fontId="98" fillId="6" borderId="0" xfId="1" applyFont="1" applyFill="1" applyAlignment="1" applyProtection="1">
      <alignment horizontal="right"/>
    </xf>
    <xf numFmtId="169" fontId="100" fillId="36" borderId="0" xfId="1" applyFont="1" applyFill="1" applyBorder="1" applyAlignment="1" applyProtection="1">
      <alignment horizontal="right" vertical="center"/>
    </xf>
    <xf numFmtId="2" fontId="88" fillId="0" borderId="0" xfId="0" applyNumberFormat="1" applyFont="1"/>
    <xf numFmtId="2" fontId="88" fillId="0" borderId="0" xfId="0" applyNumberFormat="1" applyFont="1" applyAlignment="1">
      <alignment vertical="center"/>
    </xf>
    <xf numFmtId="2" fontId="95" fillId="34" borderId="0" xfId="0" applyNumberFormat="1" applyFont="1" applyFill="1" applyAlignment="1">
      <alignment horizontal="center" vertical="center" wrapText="1"/>
    </xf>
    <xf numFmtId="2" fontId="88" fillId="33" borderId="0" xfId="1" applyNumberFormat="1" applyFont="1" applyFill="1" applyAlignment="1" applyProtection="1">
      <alignment horizontal="right"/>
    </xf>
    <xf numFmtId="2" fontId="88" fillId="0" borderId="0" xfId="0" applyNumberFormat="1" applyFont="1" applyAlignment="1">
      <alignment horizontal="right"/>
    </xf>
    <xf numFmtId="2" fontId="94" fillId="34" borderId="0" xfId="1" applyNumberFormat="1" applyFont="1" applyFill="1" applyAlignment="1" applyProtection="1">
      <alignment horizontal="right"/>
    </xf>
    <xf numFmtId="2" fontId="95" fillId="34" borderId="157" xfId="1" applyNumberFormat="1" applyFont="1" applyFill="1" applyBorder="1" applyAlignment="1" applyProtection="1">
      <alignment horizontal="right" vertical="center"/>
    </xf>
    <xf numFmtId="2" fontId="95" fillId="36" borderId="157" xfId="1" applyNumberFormat="1" applyFont="1" applyFill="1" applyBorder="1" applyAlignment="1" applyProtection="1">
      <alignment horizontal="right" vertical="center"/>
    </xf>
    <xf numFmtId="2" fontId="95" fillId="34" borderId="0" xfId="1" applyNumberFormat="1" applyFont="1" applyFill="1" applyAlignment="1" applyProtection="1">
      <alignment horizontal="right"/>
    </xf>
    <xf numFmtId="2" fontId="100" fillId="36" borderId="0" xfId="1" applyNumberFormat="1" applyFont="1" applyFill="1" applyBorder="1" applyAlignment="1" applyProtection="1">
      <alignment horizontal="right" vertical="center"/>
    </xf>
    <xf numFmtId="2" fontId="89" fillId="4" borderId="167" xfId="0" applyNumberFormat="1" applyFont="1" applyFill="1" applyBorder="1"/>
    <xf numFmtId="2" fontId="105" fillId="36" borderId="160" xfId="1" applyNumberFormat="1" applyFont="1" applyFill="1" applyBorder="1" applyAlignment="1" applyProtection="1">
      <alignment vertical="center" wrapText="1"/>
    </xf>
    <xf numFmtId="2" fontId="105" fillId="36" borderId="156" xfId="1" applyNumberFormat="1" applyFont="1" applyFill="1" applyBorder="1" applyAlignment="1" applyProtection="1">
      <alignment vertical="center" wrapText="1"/>
    </xf>
    <xf numFmtId="2" fontId="101" fillId="6" borderId="154" xfId="1" applyNumberFormat="1" applyFont="1" applyFill="1" applyBorder="1" applyAlignment="1" applyProtection="1">
      <protection locked="0"/>
    </xf>
    <xf numFmtId="2" fontId="101" fillId="6" borderId="154" xfId="1" applyNumberFormat="1" applyFont="1" applyFill="1" applyBorder="1" applyAlignment="1" applyProtection="1"/>
    <xf numFmtId="169" fontId="101" fillId="6" borderId="0" xfId="1" applyFont="1" applyFill="1" applyAlignment="1" applyProtection="1">
      <protection locked="0"/>
    </xf>
    <xf numFmtId="169" fontId="179" fillId="4" borderId="0" xfId="1" applyFont="1" applyFill="1" applyAlignment="1" applyProtection="1">
      <alignment horizontal="center"/>
      <protection locked="0"/>
    </xf>
    <xf numFmtId="170" fontId="4" fillId="0" borderId="0" xfId="1" applyNumberFormat="1" applyFont="1" applyAlignment="1" applyProtection="1">
      <alignment horizontal="center"/>
      <protection locked="0"/>
    </xf>
    <xf numFmtId="170" fontId="35" fillId="0" borderId="0" xfId="1" applyNumberFormat="1" applyFont="1" applyAlignment="1" applyProtection="1">
      <alignment horizontal="center" vertical="center"/>
      <protection locked="0"/>
    </xf>
    <xf numFmtId="170" fontId="101" fillId="0" borderId="154" xfId="1" applyNumberFormat="1" applyFont="1" applyFill="1" applyBorder="1" applyAlignment="1" applyProtection="1">
      <alignment horizontal="center"/>
      <protection locked="0"/>
    </xf>
    <xf numFmtId="170" fontId="101" fillId="0" borderId="0" xfId="1" applyNumberFormat="1" applyFont="1" applyFill="1" applyAlignment="1" applyProtection="1">
      <alignment horizontal="center"/>
      <protection locked="0"/>
    </xf>
    <xf numFmtId="170" fontId="101" fillId="3" borderId="154" xfId="1" applyNumberFormat="1" applyFont="1" applyFill="1" applyBorder="1" applyAlignment="1" applyProtection="1"/>
    <xf numFmtId="170" fontId="101" fillId="3" borderId="0" xfId="1" applyNumberFormat="1" applyFont="1" applyFill="1" applyAlignment="1" applyProtection="1"/>
    <xf numFmtId="170" fontId="101" fillId="6" borderId="154" xfId="1" applyNumberFormat="1" applyFont="1" applyFill="1" applyBorder="1" applyAlignment="1" applyProtection="1">
      <protection locked="0"/>
    </xf>
    <xf numFmtId="170" fontId="101" fillId="30" borderId="154" xfId="1" applyNumberFormat="1" applyFont="1" applyFill="1" applyBorder="1" applyAlignment="1" applyProtection="1"/>
    <xf numFmtId="170" fontId="101" fillId="0" borderId="154" xfId="1" applyNumberFormat="1" applyFont="1" applyBorder="1" applyAlignment="1" applyProtection="1"/>
    <xf numFmtId="170" fontId="106" fillId="38" borderId="154" xfId="1" applyNumberFormat="1" applyFont="1" applyFill="1" applyBorder="1" applyAlignment="1" applyProtection="1">
      <alignment vertical="center" wrapText="1"/>
    </xf>
    <xf numFmtId="170" fontId="101" fillId="0" borderId="165" xfId="1" applyNumberFormat="1" applyFont="1" applyBorder="1" applyAlignment="1" applyProtection="1"/>
    <xf numFmtId="170" fontId="101" fillId="6" borderId="0" xfId="1" applyNumberFormat="1" applyFont="1" applyFill="1" applyAlignment="1" applyProtection="1">
      <protection locked="0"/>
    </xf>
    <xf numFmtId="170" fontId="101" fillId="6" borderId="154" xfId="1" applyNumberFormat="1" applyFont="1" applyFill="1" applyBorder="1" applyAlignment="1" applyProtection="1"/>
    <xf numFmtId="170" fontId="105" fillId="34" borderId="154" xfId="1" applyNumberFormat="1" applyFont="1" applyFill="1" applyBorder="1" applyAlignment="1" applyProtection="1">
      <alignment vertical="center" wrapText="1"/>
    </xf>
    <xf numFmtId="170" fontId="101" fillId="0" borderId="0" xfId="1" applyNumberFormat="1" applyFont="1" applyAlignment="1" applyProtection="1">
      <protection locked="0"/>
    </xf>
    <xf numFmtId="170" fontId="101" fillId="0" borderId="0" xfId="1" applyNumberFormat="1" applyFont="1" applyAlignment="1" applyProtection="1">
      <alignment horizontal="center"/>
      <protection locked="0"/>
    </xf>
    <xf numFmtId="170" fontId="72" fillId="0" borderId="0" xfId="1" applyNumberFormat="1" applyFont="1" applyAlignment="1" applyProtection="1">
      <alignment horizontal="center"/>
      <protection locked="0"/>
    </xf>
    <xf numFmtId="170" fontId="101" fillId="30" borderId="0" xfId="1" applyNumberFormat="1" applyFont="1" applyFill="1" applyAlignment="1" applyProtection="1">
      <protection locked="0"/>
    </xf>
    <xf numFmtId="170" fontId="101" fillId="3" borderId="0" xfId="1" applyNumberFormat="1" applyFont="1" applyFill="1" applyBorder="1" applyAlignment="1" applyProtection="1"/>
    <xf numFmtId="170" fontId="101" fillId="0" borderId="154" xfId="1" applyNumberFormat="1" applyFont="1" applyBorder="1" applyAlignment="1" applyProtection="1">
      <protection locked="0"/>
    </xf>
    <xf numFmtId="2" fontId="4" fillId="0" borderId="0" xfId="1" applyNumberFormat="1" applyFont="1" applyAlignment="1" applyProtection="1">
      <alignment horizontal="center"/>
      <protection locked="0"/>
    </xf>
    <xf numFmtId="2" fontId="35" fillId="0" borderId="0" xfId="1" applyNumberFormat="1" applyFont="1" applyAlignment="1" applyProtection="1">
      <alignment horizontal="center" vertical="center"/>
      <protection locked="0"/>
    </xf>
    <xf numFmtId="2" fontId="101" fillId="0" borderId="154" xfId="1" applyNumberFormat="1" applyFont="1" applyFill="1" applyBorder="1" applyAlignment="1" applyProtection="1">
      <alignment horizontal="center"/>
      <protection locked="0"/>
    </xf>
    <xf numFmtId="2" fontId="101" fillId="0" borderId="0" xfId="1" applyNumberFormat="1" applyFont="1" applyFill="1" applyAlignment="1" applyProtection="1">
      <alignment horizontal="center"/>
      <protection locked="0"/>
    </xf>
    <xf numFmtId="2" fontId="101" fillId="3" borderId="154" xfId="1" applyNumberFormat="1" applyFont="1" applyFill="1" applyBorder="1" applyAlignment="1" applyProtection="1"/>
    <xf numFmtId="2" fontId="101" fillId="3" borderId="0" xfId="1" applyNumberFormat="1" applyFont="1" applyFill="1" applyAlignment="1" applyProtection="1"/>
    <xf numFmtId="2" fontId="101" fillId="30" borderId="154" xfId="1" applyNumberFormat="1" applyFont="1" applyFill="1" applyBorder="1" applyAlignment="1" applyProtection="1"/>
    <xf numFmtId="2" fontId="101" fillId="30" borderId="0" xfId="1" applyNumberFormat="1" applyFont="1" applyFill="1" applyAlignment="1" applyProtection="1"/>
    <xf numFmtId="2" fontId="101" fillId="18" borderId="154" xfId="1" applyNumberFormat="1" applyFont="1" applyFill="1" applyBorder="1" applyAlignment="1" applyProtection="1">
      <protection locked="0"/>
    </xf>
    <xf numFmtId="2" fontId="103" fillId="29" borderId="154" xfId="1" applyNumberFormat="1" applyFont="1" applyFill="1" applyBorder="1" applyAlignment="1" applyProtection="1">
      <protection locked="0"/>
    </xf>
    <xf numFmtId="2" fontId="101" fillId="0" borderId="154" xfId="1" applyNumberFormat="1" applyFont="1" applyBorder="1" applyAlignment="1" applyProtection="1"/>
    <xf numFmtId="2" fontId="101" fillId="0" borderId="0" xfId="1" applyNumberFormat="1" applyFont="1" applyAlignment="1" applyProtection="1"/>
    <xf numFmtId="2" fontId="101" fillId="6" borderId="154" xfId="1" quotePrefix="1" applyNumberFormat="1" applyFont="1" applyFill="1" applyBorder="1" applyAlignment="1" applyProtection="1">
      <protection locked="0"/>
    </xf>
    <xf numFmtId="2" fontId="106" fillId="38" borderId="154" xfId="1" applyNumberFormat="1" applyFont="1" applyFill="1" applyBorder="1" applyAlignment="1" applyProtection="1">
      <alignment vertical="center" wrapText="1"/>
    </xf>
    <xf numFmtId="2" fontId="106" fillId="38" borderId="0" xfId="1" applyNumberFormat="1" applyFont="1" applyFill="1" applyAlignment="1" applyProtection="1">
      <alignment vertical="center" wrapText="1"/>
    </xf>
    <xf numFmtId="2" fontId="101" fillId="0" borderId="165" xfId="1" applyNumberFormat="1" applyFont="1" applyBorder="1" applyAlignment="1" applyProtection="1"/>
    <xf numFmtId="2" fontId="101" fillId="0" borderId="162" xfId="1" applyNumberFormat="1" applyFont="1" applyBorder="1" applyAlignment="1" applyProtection="1"/>
    <xf numFmtId="2" fontId="101" fillId="6" borderId="0" xfId="1" applyNumberFormat="1" applyFont="1" applyFill="1" applyAlignment="1" applyProtection="1">
      <protection locked="0"/>
    </xf>
    <xf numFmtId="2" fontId="101" fillId="6" borderId="0" xfId="1" applyNumberFormat="1" applyFont="1" applyFill="1" applyAlignment="1" applyProtection="1"/>
    <xf numFmtId="2" fontId="101" fillId="18" borderId="0" xfId="1" applyNumberFormat="1" applyFont="1" applyFill="1" applyAlignment="1" applyProtection="1">
      <protection locked="0"/>
    </xf>
    <xf numFmtId="2" fontId="107" fillId="6" borderId="154" xfId="1" applyNumberFormat="1" applyFont="1" applyFill="1" applyBorder="1" applyAlignment="1" applyProtection="1">
      <protection locked="0"/>
    </xf>
    <xf numFmtId="2" fontId="101" fillId="0" borderId="0" xfId="1" applyNumberFormat="1" applyFont="1" applyBorder="1" applyAlignment="1" applyProtection="1"/>
    <xf numFmtId="2" fontId="105" fillId="34" borderId="154" xfId="1" applyNumberFormat="1" applyFont="1" applyFill="1" applyBorder="1" applyAlignment="1" applyProtection="1">
      <alignment vertical="center" wrapText="1"/>
    </xf>
    <xf numFmtId="2" fontId="105" fillId="34" borderId="0" xfId="1" applyNumberFormat="1" applyFont="1" applyFill="1" applyAlignment="1" applyProtection="1">
      <alignment vertical="center" wrapText="1"/>
    </xf>
    <xf numFmtId="2" fontId="102" fillId="3" borderId="0" xfId="1" applyNumberFormat="1" applyFont="1" applyFill="1" applyAlignment="1" applyProtection="1"/>
    <xf numFmtId="2" fontId="102" fillId="0" borderId="0" xfId="1" applyNumberFormat="1" applyFont="1" applyAlignment="1" applyProtection="1"/>
    <xf numFmtId="2" fontId="101" fillId="52" borderId="154" xfId="1" applyNumberFormat="1" applyFont="1" applyFill="1" applyBorder="1" applyAlignment="1" applyProtection="1">
      <protection locked="0"/>
    </xf>
    <xf numFmtId="2" fontId="101" fillId="58" borderId="154" xfId="1" applyNumberFormat="1" applyFont="1" applyFill="1" applyBorder="1" applyAlignment="1" applyProtection="1"/>
    <xf numFmtId="2" fontId="106" fillId="38" borderId="161" xfId="1" applyNumberFormat="1" applyFont="1" applyFill="1" applyBorder="1" applyAlignment="1" applyProtection="1">
      <alignment vertical="center" wrapText="1"/>
    </xf>
    <xf numFmtId="2" fontId="101" fillId="0" borderId="0" xfId="1" applyNumberFormat="1" applyFont="1" applyAlignment="1" applyProtection="1">
      <alignment horizontal="center"/>
      <protection locked="0"/>
    </xf>
    <xf numFmtId="2" fontId="72" fillId="0" borderId="0" xfId="1" applyNumberFormat="1" applyFont="1" applyAlignment="1" applyProtection="1">
      <alignment horizontal="center"/>
      <protection locked="0"/>
    </xf>
    <xf numFmtId="2" fontId="0" fillId="0" borderId="0" xfId="1" applyNumberFormat="1" applyFont="1"/>
    <xf numFmtId="2" fontId="101" fillId="18" borderId="154" xfId="1" applyNumberFormat="1" applyFont="1" applyFill="1" applyBorder="1" applyAlignment="1" applyProtection="1"/>
    <xf numFmtId="169" fontId="151" fillId="0" borderId="0" xfId="23" applyNumberFormat="1"/>
    <xf numFmtId="194" fontId="151" fillId="0" borderId="0" xfId="1" applyNumberFormat="1" applyFont="1"/>
    <xf numFmtId="170" fontId="80" fillId="57" borderId="0" xfId="1" applyNumberFormat="1" applyFont="1" applyFill="1" applyAlignment="1" applyProtection="1">
      <alignment horizontal="right"/>
    </xf>
    <xf numFmtId="169" fontId="182" fillId="0" borderId="0" xfId="1" applyFont="1"/>
    <xf numFmtId="170" fontId="182" fillId="0" borderId="0" xfId="1" applyNumberFormat="1" applyFont="1"/>
    <xf numFmtId="0" fontId="182" fillId="0" borderId="0" xfId="0" applyFont="1"/>
    <xf numFmtId="171" fontId="185" fillId="50" borderId="0" xfId="1" applyNumberFormat="1" applyFont="1" applyFill="1"/>
    <xf numFmtId="2" fontId="182" fillId="0" borderId="0" xfId="0" applyNumberFormat="1" applyFont="1"/>
    <xf numFmtId="2" fontId="104" fillId="0" borderId="0" xfId="1" applyNumberFormat="1" applyFont="1" applyAlignment="1" applyProtection="1">
      <alignment horizontal="center"/>
      <protection locked="0"/>
    </xf>
    <xf numFmtId="169" fontId="104" fillId="0" borderId="0" xfId="1" applyFont="1" applyAlignment="1" applyProtection="1">
      <alignment horizontal="center"/>
      <protection locked="0"/>
    </xf>
    <xf numFmtId="170" fontId="104" fillId="0" borderId="0" xfId="1" applyNumberFormat="1" applyFont="1" applyAlignment="1" applyProtection="1">
      <alignment horizontal="center"/>
      <protection locked="0"/>
    </xf>
    <xf numFmtId="0" fontId="104" fillId="30" borderId="0" xfId="0" applyFont="1" applyFill="1" applyProtection="1">
      <protection locked="0"/>
    </xf>
    <xf numFmtId="170" fontId="104" fillId="0" borderId="0" xfId="1" applyNumberFormat="1" applyFont="1" applyAlignment="1" applyProtection="1">
      <alignment horizontal="center"/>
    </xf>
    <xf numFmtId="171" fontId="178" fillId="50" borderId="0" xfId="1" applyNumberFormat="1" applyFont="1" applyFill="1" applyAlignment="1" applyProtection="1">
      <alignment horizontal="center"/>
    </xf>
    <xf numFmtId="171" fontId="0" fillId="17" borderId="0" xfId="18" applyNumberFormat="1" applyFont="1" applyFill="1"/>
    <xf numFmtId="0" fontId="23" fillId="17" borderId="0" xfId="8" applyFill="1"/>
    <xf numFmtId="169" fontId="81" fillId="6" borderId="0" xfId="1" applyFont="1" applyFill="1" applyAlignment="1" applyProtection="1">
      <alignment horizontal="right"/>
      <protection locked="0"/>
    </xf>
    <xf numFmtId="2" fontId="101" fillId="75" borderId="154" xfId="1" applyNumberFormat="1" applyFont="1" applyFill="1" applyBorder="1" applyAlignment="1" applyProtection="1"/>
    <xf numFmtId="2" fontId="177" fillId="75" borderId="0" xfId="1" applyNumberFormat="1" applyFont="1" applyFill="1" applyAlignment="1" applyProtection="1">
      <protection locked="0"/>
    </xf>
    <xf numFmtId="189" fontId="179" fillId="4" borderId="0" xfId="1" applyNumberFormat="1" applyFont="1" applyFill="1" applyAlignment="1" applyProtection="1">
      <alignment horizontal="center"/>
      <protection locked="0"/>
    </xf>
    <xf numFmtId="2" fontId="4" fillId="0" borderId="0" xfId="0" applyNumberFormat="1" applyFont="1"/>
    <xf numFmtId="2" fontId="103" fillId="34" borderId="0" xfId="0" applyNumberFormat="1" applyFont="1" applyFill="1"/>
    <xf numFmtId="2" fontId="103" fillId="34" borderId="0" xfId="0" applyNumberFormat="1" applyFont="1" applyFill="1" applyProtection="1">
      <protection locked="0"/>
    </xf>
    <xf numFmtId="2" fontId="101" fillId="30" borderId="0" xfId="0" applyNumberFormat="1" applyFont="1" applyFill="1"/>
    <xf numFmtId="2" fontId="103" fillId="34" borderId="0" xfId="1" applyNumberFormat="1" applyFont="1" applyFill="1" applyAlignment="1" applyProtection="1"/>
    <xf numFmtId="2" fontId="104" fillId="0" borderId="0" xfId="0" applyNumberFormat="1" applyFont="1" applyAlignment="1">
      <alignment vertical="center" wrapText="1"/>
    </xf>
    <xf numFmtId="2" fontId="177" fillId="50" borderId="0" xfId="1" applyNumberFormat="1" applyFont="1" applyFill="1" applyAlignment="1" applyProtection="1"/>
    <xf numFmtId="2" fontId="4" fillId="0" borderId="0" xfId="0" applyNumberFormat="1" applyFont="1" applyProtection="1">
      <protection locked="0"/>
    </xf>
    <xf numFmtId="170" fontId="101" fillId="18" borderId="0" xfId="1" applyNumberFormat="1" applyFont="1" applyFill="1" applyAlignment="1" applyProtection="1"/>
    <xf numFmtId="183" fontId="80" fillId="48" borderId="0" xfId="1" applyNumberFormat="1" applyFont="1" applyFill="1" applyAlignment="1" applyProtection="1">
      <alignment horizontal="right"/>
    </xf>
    <xf numFmtId="183" fontId="80" fillId="34" borderId="0" xfId="1" applyNumberFormat="1" applyFont="1" applyFill="1" applyAlignment="1" applyProtection="1">
      <alignment horizontal="right"/>
    </xf>
    <xf numFmtId="4" fontId="4" fillId="0" borderId="0" xfId="0" applyNumberFormat="1" applyFont="1"/>
    <xf numFmtId="4" fontId="80" fillId="34" borderId="0" xfId="0" applyNumberFormat="1" applyFont="1" applyFill="1" applyAlignment="1">
      <alignment vertical="center"/>
    </xf>
    <xf numFmtId="4" fontId="80" fillId="34" borderId="0" xfId="0" applyNumberFormat="1" applyFont="1" applyFill="1"/>
    <xf numFmtId="4" fontId="75" fillId="30" borderId="0" xfId="0" applyNumberFormat="1" applyFont="1" applyFill="1" applyProtection="1">
      <protection locked="0"/>
    </xf>
    <xf numFmtId="4" fontId="75" fillId="35" borderId="0" xfId="0" applyNumberFormat="1" applyFont="1" applyFill="1" applyAlignment="1">
      <alignment horizontal="right"/>
    </xf>
    <xf numFmtId="4" fontId="75" fillId="57" borderId="0" xfId="0" applyNumberFormat="1" applyFont="1" applyFill="1" applyAlignment="1" applyProtection="1">
      <alignment horizontal="right"/>
      <protection locked="0"/>
    </xf>
    <xf numFmtId="4" fontId="75" fillId="17" borderId="0" xfId="0" applyNumberFormat="1" applyFont="1" applyFill="1" applyAlignment="1" applyProtection="1">
      <alignment horizontal="right"/>
      <protection locked="0"/>
    </xf>
    <xf numFmtId="4" fontId="0" fillId="0" borderId="0" xfId="1" applyNumberFormat="1" applyFont="1"/>
    <xf numFmtId="4" fontId="183" fillId="0" borderId="0" xfId="0" applyNumberFormat="1" applyFont="1"/>
    <xf numFmtId="4" fontId="0" fillId="0" borderId="0" xfId="0" applyNumberFormat="1"/>
    <xf numFmtId="2" fontId="80" fillId="48" borderId="0" xfId="1" applyNumberFormat="1" applyFont="1" applyFill="1" applyAlignment="1" applyProtection="1">
      <alignment horizontal="right"/>
    </xf>
    <xf numFmtId="183" fontId="80" fillId="12" borderId="0" xfId="1" applyNumberFormat="1" applyFont="1" applyFill="1" applyAlignment="1" applyProtection="1">
      <alignment horizontal="right"/>
    </xf>
    <xf numFmtId="183" fontId="80" fillId="61" borderId="0" xfId="1" applyNumberFormat="1" applyFont="1" applyFill="1" applyAlignment="1" applyProtection="1">
      <alignment horizontal="right"/>
    </xf>
    <xf numFmtId="0" fontId="186" fillId="36" borderId="0" xfId="0" applyFont="1" applyFill="1" applyAlignment="1">
      <alignment horizontal="center"/>
    </xf>
    <xf numFmtId="169" fontId="187" fillId="30" borderId="0" xfId="1" applyFont="1" applyFill="1" applyAlignment="1">
      <alignment horizontal="center"/>
    </xf>
    <xf numFmtId="3" fontId="187" fillId="30" borderId="0" xfId="0" applyNumberFormat="1" applyFont="1" applyFill="1" applyAlignment="1">
      <alignment horizontal="center"/>
    </xf>
    <xf numFmtId="2" fontId="101" fillId="57" borderId="154" xfId="1" applyNumberFormat="1" applyFont="1" applyFill="1" applyBorder="1" applyAlignment="1" applyProtection="1">
      <protection locked="0"/>
    </xf>
    <xf numFmtId="170" fontId="0" fillId="0" borderId="0" xfId="0" applyNumberFormat="1"/>
    <xf numFmtId="192" fontId="182" fillId="0" borderId="0" xfId="1" applyNumberFormat="1" applyFont="1"/>
    <xf numFmtId="192" fontId="182" fillId="57" borderId="0" xfId="1" applyNumberFormat="1" applyFont="1" applyFill="1"/>
    <xf numFmtId="188" fontId="180" fillId="4" borderId="0" xfId="1" applyNumberFormat="1" applyFont="1" applyFill="1" applyAlignment="1" applyProtection="1">
      <alignment horizontal="center"/>
    </xf>
    <xf numFmtId="1" fontId="88" fillId="0" borderId="0" xfId="0" applyNumberFormat="1" applyFont="1"/>
    <xf numFmtId="1" fontId="88" fillId="0" borderId="0" xfId="0" applyNumberFormat="1" applyFont="1" applyAlignment="1">
      <alignment vertical="center"/>
    </xf>
    <xf numFmtId="1" fontId="95" fillId="34" borderId="0" xfId="0" applyNumberFormat="1" applyFont="1" applyFill="1" applyAlignment="1">
      <alignment horizontal="center" vertical="center" wrapText="1"/>
    </xf>
    <xf numFmtId="1" fontId="88" fillId="33" borderId="0" xfId="1" applyNumberFormat="1" applyFont="1" applyFill="1" applyAlignment="1" applyProtection="1">
      <alignment horizontal="right"/>
    </xf>
    <xf numFmtId="1" fontId="88" fillId="0" borderId="0" xfId="0" applyNumberFormat="1" applyFont="1" applyAlignment="1">
      <alignment horizontal="right"/>
    </xf>
    <xf numFmtId="1" fontId="94" fillId="34" borderId="0" xfId="1" applyNumberFormat="1" applyFont="1" applyFill="1" applyAlignment="1" applyProtection="1">
      <alignment horizontal="right"/>
    </xf>
    <xf numFmtId="1" fontId="95" fillId="34" borderId="157" xfId="1" applyNumberFormat="1" applyFont="1" applyFill="1" applyBorder="1" applyAlignment="1" applyProtection="1">
      <alignment horizontal="right" vertical="center"/>
    </xf>
    <xf numFmtId="1" fontId="95" fillId="36" borderId="157" xfId="1" applyNumberFormat="1" applyFont="1" applyFill="1" applyBorder="1" applyAlignment="1" applyProtection="1">
      <alignment horizontal="right" vertical="center"/>
    </xf>
    <xf numFmtId="1" fontId="95" fillId="34" borderId="0" xfId="1" applyNumberFormat="1" applyFont="1" applyFill="1" applyAlignment="1" applyProtection="1">
      <alignment horizontal="right"/>
    </xf>
    <xf numFmtId="1" fontId="100" fillId="36" borderId="0" xfId="1" applyNumberFormat="1" applyFont="1" applyFill="1" applyBorder="1" applyAlignment="1" applyProtection="1">
      <alignment horizontal="right" vertical="center"/>
    </xf>
    <xf numFmtId="1" fontId="89" fillId="4" borderId="167" xfId="0" applyNumberFormat="1" applyFont="1" applyFill="1" applyBorder="1"/>
    <xf numFmtId="169" fontId="94" fillId="34" borderId="0" xfId="1" applyFont="1" applyFill="1" applyAlignment="1" applyProtection="1">
      <alignment horizontal="right"/>
    </xf>
    <xf numFmtId="192" fontId="0" fillId="0" borderId="0" xfId="1" applyNumberFormat="1" applyFont="1"/>
    <xf numFmtId="192" fontId="181" fillId="0" borderId="0" xfId="1" applyNumberFormat="1" applyFont="1"/>
    <xf numFmtId="171" fontId="2" fillId="0" borderId="0" xfId="0" applyNumberFormat="1" applyFont="1"/>
    <xf numFmtId="3" fontId="67" fillId="0" borderId="18" xfId="0" applyNumberFormat="1" applyFont="1" applyBorder="1" applyAlignment="1">
      <alignment horizontal="center"/>
    </xf>
    <xf numFmtId="170" fontId="4" fillId="0" borderId="0" xfId="0" applyNumberFormat="1" applyFont="1"/>
    <xf numFmtId="195" fontId="4" fillId="0" borderId="0" xfId="0" applyNumberFormat="1" applyFont="1"/>
    <xf numFmtId="0" fontId="16" fillId="0" borderId="0" xfId="0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4" fillId="0" borderId="0" xfId="0" applyFont="1" applyAlignment="1">
      <alignment vertical="center"/>
    </xf>
    <xf numFmtId="14" fontId="6" fillId="4" borderId="1" xfId="0" applyNumberFormat="1" applyFont="1" applyFill="1" applyBorder="1" applyAlignment="1">
      <alignment horizontal="left" vertical="center"/>
    </xf>
    <xf numFmtId="14" fontId="6" fillId="4" borderId="3" xfId="0" applyNumberFormat="1" applyFont="1" applyFill="1" applyBorder="1" applyAlignment="1">
      <alignment horizontal="left" vertical="center"/>
    </xf>
    <xf numFmtId="14" fontId="7" fillId="4" borderId="2" xfId="0" applyNumberFormat="1" applyFont="1" applyFill="1" applyBorder="1" applyAlignment="1">
      <alignment horizontal="right" vertical="center"/>
    </xf>
    <xf numFmtId="14" fontId="7" fillId="4" borderId="4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14" fillId="0" borderId="0" xfId="0" quotePrefix="1" applyNumberFormat="1" applyFont="1" applyAlignment="1">
      <alignment horizontal="center" vertical="center"/>
    </xf>
    <xf numFmtId="0" fontId="29" fillId="13" borderId="16" xfId="5" applyFont="1" applyFill="1" applyBorder="1" applyAlignment="1" applyProtection="1">
      <alignment horizontal="center" vertical="center"/>
      <protection locked="0"/>
    </xf>
    <xf numFmtId="0" fontId="28" fillId="29" borderId="20" xfId="9" applyFont="1" applyFill="1" applyBorder="1" applyAlignment="1">
      <alignment horizontal="center" vertical="center"/>
    </xf>
    <xf numFmtId="0" fontId="31" fillId="29" borderId="23" xfId="9" applyFont="1" applyFill="1" applyBorder="1" applyAlignment="1">
      <alignment horizontal="center" vertical="center"/>
    </xf>
    <xf numFmtId="0" fontId="28" fillId="29" borderId="21" xfId="9" applyFont="1" applyFill="1" applyBorder="1" applyAlignment="1">
      <alignment horizontal="center" vertical="center"/>
    </xf>
    <xf numFmtId="0" fontId="28" fillId="29" borderId="24" xfId="9" applyFont="1" applyFill="1" applyBorder="1" applyAlignment="1">
      <alignment horizontal="center" vertical="center"/>
    </xf>
    <xf numFmtId="14" fontId="28" fillId="29" borderId="22" xfId="9" applyNumberFormat="1" applyFont="1" applyFill="1" applyBorder="1" applyAlignment="1">
      <alignment horizontal="center"/>
    </xf>
    <xf numFmtId="0" fontId="28" fillId="29" borderId="22" xfId="9" applyFont="1" applyFill="1" applyBorder="1" applyAlignment="1">
      <alignment horizontal="center"/>
    </xf>
    <xf numFmtId="14" fontId="28" fillId="5" borderId="22" xfId="9" applyNumberFormat="1" applyFont="1" applyFill="1" applyBorder="1" applyAlignment="1">
      <alignment horizontal="center"/>
    </xf>
    <xf numFmtId="0" fontId="28" fillId="5" borderId="22" xfId="9" applyFont="1" applyFill="1" applyBorder="1" applyAlignment="1">
      <alignment horizontal="center"/>
    </xf>
    <xf numFmtId="0" fontId="31" fillId="29" borderId="115" xfId="8" applyFont="1" applyFill="1" applyBorder="1" applyAlignment="1">
      <alignment horizontal="center" vertical="center"/>
    </xf>
    <xf numFmtId="0" fontId="31" fillId="29" borderId="116" xfId="8" applyFont="1" applyFill="1" applyBorder="1" applyAlignment="1">
      <alignment horizontal="center" vertical="center"/>
    </xf>
    <xf numFmtId="0" fontId="28" fillId="29" borderId="115" xfId="8" applyFont="1" applyFill="1" applyBorder="1" applyAlignment="1">
      <alignment vertical="center"/>
    </xf>
    <xf numFmtId="0" fontId="28" fillId="29" borderId="116" xfId="8" applyFont="1" applyFill="1" applyBorder="1" applyAlignment="1">
      <alignment vertical="center"/>
    </xf>
    <xf numFmtId="14" fontId="28" fillId="29" borderId="115" xfId="8" applyNumberFormat="1" applyFont="1" applyFill="1" applyBorder="1" applyAlignment="1">
      <alignment horizontal="center" vertical="center"/>
    </xf>
    <xf numFmtId="0" fontId="28" fillId="29" borderId="116" xfId="8" applyFont="1" applyFill="1" applyBorder="1" applyAlignment="1">
      <alignment horizontal="center" vertical="center"/>
    </xf>
    <xf numFmtId="14" fontId="56" fillId="3" borderId="115" xfId="8" applyNumberFormat="1" applyFont="1" applyFill="1" applyBorder="1" applyAlignment="1">
      <alignment horizontal="center" vertical="center"/>
    </xf>
    <xf numFmtId="0" fontId="56" fillId="3" borderId="116" xfId="8" applyFont="1" applyFill="1" applyBorder="1" applyAlignment="1">
      <alignment horizontal="center" vertical="center"/>
    </xf>
    <xf numFmtId="14" fontId="60" fillId="0" borderId="0" xfId="0" applyNumberFormat="1" applyFont="1" applyAlignment="1" applyProtection="1">
      <alignment horizontal="right" vertical="center" wrapText="1"/>
      <protection locked="0"/>
    </xf>
    <xf numFmtId="0" fontId="60" fillId="0" borderId="0" xfId="0" applyFont="1" applyAlignment="1" applyProtection="1">
      <alignment horizontal="right" vertical="center" wrapText="1"/>
      <protection locked="0"/>
    </xf>
    <xf numFmtId="0" fontId="28" fillId="29" borderId="115" xfId="8" applyFont="1" applyFill="1" applyBorder="1" applyAlignment="1">
      <alignment horizontal="center" vertical="center"/>
    </xf>
    <xf numFmtId="0" fontId="35" fillId="4" borderId="145" xfId="8" applyFont="1" applyFill="1" applyBorder="1" applyAlignment="1">
      <alignment horizontal="left" vertical="center" wrapText="1"/>
    </xf>
    <xf numFmtId="0" fontId="35" fillId="4" borderId="146" xfId="8" applyFont="1" applyFill="1" applyBorder="1" applyAlignment="1">
      <alignment horizontal="left" vertical="center" wrapText="1"/>
    </xf>
    <xf numFmtId="0" fontId="35" fillId="4" borderId="147" xfId="8" applyFont="1" applyFill="1" applyBorder="1" applyAlignment="1">
      <alignment horizontal="left" vertical="center" wrapText="1"/>
    </xf>
    <xf numFmtId="0" fontId="66" fillId="3" borderId="149" xfId="0" applyFont="1" applyFill="1" applyBorder="1" applyAlignment="1" applyProtection="1">
      <alignment horizontal="center" vertical="center"/>
      <protection locked="0"/>
    </xf>
    <xf numFmtId="0" fontId="66" fillId="3" borderId="150" xfId="0" applyFont="1" applyFill="1" applyBorder="1" applyAlignment="1" applyProtection="1">
      <alignment horizontal="center" vertical="center"/>
      <protection locked="0"/>
    </xf>
    <xf numFmtId="0" fontId="66" fillId="3" borderId="151" xfId="0" applyFont="1" applyFill="1" applyBorder="1" applyAlignment="1" applyProtection="1">
      <alignment horizontal="center" vertical="center"/>
      <protection locked="0"/>
    </xf>
    <xf numFmtId="0" fontId="35" fillId="0" borderId="149" xfId="0" applyFont="1" applyBorder="1" applyAlignment="1" applyProtection="1">
      <alignment horizontal="center" vertical="center"/>
      <protection locked="0"/>
    </xf>
    <xf numFmtId="0" fontId="35" fillId="0" borderId="150" xfId="0" applyFont="1" applyBorder="1" applyAlignment="1" applyProtection="1">
      <alignment horizontal="center" vertical="center"/>
      <protection locked="0"/>
    </xf>
    <xf numFmtId="0" fontId="35" fillId="0" borderId="151" xfId="0" applyFont="1" applyBorder="1" applyAlignment="1" applyProtection="1">
      <alignment horizontal="center" vertical="center"/>
      <protection locked="0"/>
    </xf>
    <xf numFmtId="0" fontId="35" fillId="3" borderId="149" xfId="0" applyFont="1" applyFill="1" applyBorder="1" applyAlignment="1" applyProtection="1">
      <alignment horizontal="center" vertical="center"/>
      <protection locked="0"/>
    </xf>
    <xf numFmtId="0" fontId="35" fillId="3" borderId="150" xfId="0" applyFont="1" applyFill="1" applyBorder="1" applyAlignment="1" applyProtection="1">
      <alignment horizontal="center" vertical="center"/>
      <protection locked="0"/>
    </xf>
    <xf numFmtId="0" fontId="35" fillId="3" borderId="151" xfId="0" applyFont="1" applyFill="1" applyBorder="1" applyAlignment="1" applyProtection="1">
      <alignment horizontal="center" vertical="center"/>
      <protection locked="0"/>
    </xf>
    <xf numFmtId="0" fontId="35" fillId="33" borderId="0" xfId="0" applyFont="1" applyFill="1" applyAlignment="1">
      <alignment horizontal="center" vertical="center" wrapText="1"/>
    </xf>
    <xf numFmtId="0" fontId="31" fillId="34" borderId="152" xfId="0" applyFont="1" applyFill="1" applyBorder="1" applyAlignment="1">
      <alignment horizontal="center" vertical="center" wrapText="1"/>
    </xf>
    <xf numFmtId="0" fontId="31" fillId="34" borderId="153" xfId="0" applyFont="1" applyFill="1" applyBorder="1" applyAlignment="1">
      <alignment horizontal="center" vertical="center" wrapText="1"/>
    </xf>
    <xf numFmtId="0" fontId="31" fillId="34" borderId="0" xfId="0" applyFont="1" applyFill="1" applyAlignment="1">
      <alignment horizontal="center" vertical="center" wrapText="1"/>
    </xf>
    <xf numFmtId="0" fontId="31" fillId="34" borderId="154" xfId="0" applyFont="1" applyFill="1" applyBorder="1" applyAlignment="1">
      <alignment horizontal="center" vertical="center" wrapText="1"/>
    </xf>
    <xf numFmtId="0" fontId="90" fillId="54" borderId="221" xfId="0" applyFont="1" applyFill="1" applyBorder="1" applyAlignment="1" applyProtection="1">
      <alignment horizontal="center" vertical="center"/>
      <protection locked="0"/>
    </xf>
    <xf numFmtId="0" fontId="90" fillId="54" borderId="0" xfId="0" applyFont="1" applyFill="1" applyAlignment="1" applyProtection="1">
      <alignment horizontal="center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71" fontId="28" fillId="34" borderId="0" xfId="1" applyNumberFormat="1" applyFont="1" applyFill="1" applyAlignment="1" applyProtection="1">
      <alignment horizontal="center" vertical="center" wrapText="1"/>
    </xf>
    <xf numFmtId="0" fontId="35" fillId="4" borderId="152" xfId="0" applyFont="1" applyFill="1" applyBorder="1" applyAlignment="1" applyProtection="1">
      <alignment horizontal="center" vertical="center"/>
      <protection locked="0"/>
    </xf>
    <xf numFmtId="0" fontId="35" fillId="4" borderId="0" xfId="0" applyFont="1" applyFill="1" applyAlignment="1" applyProtection="1">
      <alignment horizontal="center" vertical="center"/>
      <protection locked="0"/>
    </xf>
    <xf numFmtId="0" fontId="4" fillId="0" borderId="149" xfId="0" applyFont="1" applyBorder="1" applyAlignment="1" applyProtection="1">
      <alignment horizontal="center"/>
      <protection locked="0"/>
    </xf>
    <xf numFmtId="0" fontId="4" fillId="0" borderId="150" xfId="0" applyFont="1" applyBorder="1" applyAlignment="1" applyProtection="1">
      <alignment horizontal="center"/>
      <protection locked="0"/>
    </xf>
    <xf numFmtId="0" fontId="4" fillId="0" borderId="151" xfId="0" applyFont="1" applyBorder="1" applyAlignment="1" applyProtection="1">
      <alignment horizontal="center"/>
      <protection locked="0"/>
    </xf>
    <xf numFmtId="0" fontId="31" fillId="34" borderId="152" xfId="0" applyFont="1" applyFill="1" applyBorder="1" applyAlignment="1" applyProtection="1">
      <alignment horizontal="center" vertical="center" wrapText="1"/>
      <protection locked="0"/>
    </xf>
    <xf numFmtId="0" fontId="31" fillId="34" borderId="153" xfId="0" applyFont="1" applyFill="1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 applyProtection="1">
      <alignment horizontal="center" vertical="center" wrapText="1"/>
      <protection locked="0"/>
    </xf>
    <xf numFmtId="0" fontId="31" fillId="34" borderId="152" xfId="0" applyFont="1" applyFill="1" applyBorder="1" applyAlignment="1" applyProtection="1">
      <alignment horizontal="center" wrapText="1"/>
      <protection locked="0"/>
    </xf>
    <xf numFmtId="0" fontId="31" fillId="34" borderId="169" xfId="0" applyFont="1" applyFill="1" applyBorder="1" applyAlignment="1" applyProtection="1">
      <alignment horizontal="center" wrapText="1"/>
      <protection locked="0"/>
    </xf>
    <xf numFmtId="0" fontId="31" fillId="34" borderId="170" xfId="0" applyFont="1" applyFill="1" applyBorder="1" applyAlignment="1" applyProtection="1">
      <alignment horizontal="center" wrapText="1"/>
      <protection locked="0"/>
    </xf>
    <xf numFmtId="0" fontId="31" fillId="34" borderId="171" xfId="0" applyFont="1" applyFill="1" applyBorder="1" applyAlignment="1" applyProtection="1">
      <alignment horizontal="center" wrapText="1"/>
      <protection locked="0"/>
    </xf>
    <xf numFmtId="0" fontId="28" fillId="34" borderId="0" xfId="0" applyFont="1" applyFill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0" fontId="77" fillId="0" borderId="0" xfId="0" applyFont="1" applyAlignment="1">
      <alignment horizontal="left" vertical="center" wrapText="1"/>
    </xf>
    <xf numFmtId="0" fontId="76" fillId="3" borderId="22" xfId="0" applyFont="1" applyFill="1" applyBorder="1" applyAlignment="1" applyProtection="1">
      <alignment horizontal="center" vertical="center"/>
      <protection locked="0"/>
    </xf>
    <xf numFmtId="0" fontId="91" fillId="0" borderId="0" xfId="0" applyFont="1" applyAlignment="1">
      <alignment horizontal="left" vertical="center" wrapText="1"/>
    </xf>
    <xf numFmtId="169" fontId="90" fillId="3" borderId="22" xfId="1" applyFont="1" applyFill="1" applyBorder="1" applyAlignment="1" applyProtection="1">
      <alignment horizontal="center" vertical="center"/>
      <protection locked="0"/>
    </xf>
    <xf numFmtId="171" fontId="177" fillId="50" borderId="0" xfId="1" applyNumberFormat="1" applyFont="1" applyFill="1" applyAlignment="1" applyProtection="1">
      <alignment horizontal="center" vertical="center" wrapText="1"/>
    </xf>
    <xf numFmtId="2" fontId="103" fillId="34" borderId="154" xfId="1" applyNumberFormat="1" applyFont="1" applyFill="1" applyBorder="1" applyAlignment="1" applyProtection="1">
      <alignment horizontal="center" vertical="center" wrapText="1"/>
      <protection locked="0"/>
    </xf>
    <xf numFmtId="170" fontId="103" fillId="34" borderId="154" xfId="1" applyNumberFormat="1" applyFont="1" applyFill="1" applyBorder="1" applyAlignment="1" applyProtection="1">
      <alignment horizontal="center" vertical="center" wrapText="1"/>
      <protection locked="0"/>
    </xf>
    <xf numFmtId="169" fontId="103" fillId="34" borderId="0" xfId="1" applyFont="1" applyFill="1" applyAlignment="1" applyProtection="1">
      <alignment horizontal="center" vertical="center" wrapText="1"/>
    </xf>
    <xf numFmtId="0" fontId="103" fillId="34" borderId="154" xfId="0" applyFont="1" applyFill="1" applyBorder="1" applyAlignment="1" applyProtection="1">
      <alignment horizontal="center" vertical="center" wrapText="1"/>
      <protection locked="0"/>
    </xf>
    <xf numFmtId="170" fontId="103" fillId="34" borderId="0" xfId="1" applyNumberFormat="1" applyFont="1" applyFill="1" applyAlignment="1" applyProtection="1">
      <alignment horizontal="center" vertical="center" wrapText="1"/>
    </xf>
    <xf numFmtId="2" fontId="103" fillId="34" borderId="0" xfId="1" applyNumberFormat="1" applyFont="1" applyFill="1" applyAlignment="1" applyProtection="1">
      <alignment horizontal="center" vertical="center" wrapText="1"/>
      <protection locked="0"/>
    </xf>
    <xf numFmtId="169" fontId="103" fillId="34" borderId="154" xfId="1" applyFont="1" applyFill="1" applyBorder="1" applyAlignment="1" applyProtection="1">
      <alignment horizontal="center" vertical="center" wrapText="1"/>
      <protection locked="0"/>
    </xf>
    <xf numFmtId="0" fontId="110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40" fillId="13" borderId="0" xfId="5" applyFont="1" applyFill="1" applyAlignment="1" applyProtection="1">
      <alignment horizontal="left" vertical="center"/>
      <protection locked="0"/>
    </xf>
    <xf numFmtId="14" fontId="35" fillId="13" borderId="0" xfId="0" applyNumberFormat="1" applyFont="1" applyFill="1" applyAlignment="1" applyProtection="1">
      <alignment horizontal="left" vertical="center"/>
      <protection locked="0"/>
    </xf>
    <xf numFmtId="176" fontId="28" fillId="34" borderId="0" xfId="13" applyNumberFormat="1" applyFont="1" applyFill="1" applyAlignment="1" applyProtection="1">
      <alignment horizontal="center"/>
      <protection locked="0"/>
    </xf>
    <xf numFmtId="14" fontId="28" fillId="34" borderId="0" xfId="0" applyNumberFormat="1" applyFont="1" applyFill="1" applyAlignment="1" applyProtection="1">
      <alignment horizontal="left" vertical="center" wrapText="1"/>
      <protection locked="0"/>
    </xf>
    <xf numFmtId="176" fontId="60" fillId="4" borderId="0" xfId="13" applyNumberFormat="1" applyFont="1" applyFill="1" applyAlignment="1" applyProtection="1">
      <alignment horizontal="center" vertical="center"/>
      <protection locked="0"/>
    </xf>
    <xf numFmtId="176" fontId="60" fillId="4" borderId="0" xfId="13" applyNumberFormat="1" applyFont="1" applyFill="1" applyAlignment="1">
      <alignment horizontal="left" vertical="center"/>
    </xf>
    <xf numFmtId="14" fontId="31" fillId="34" borderId="16" xfId="0" applyNumberFormat="1" applyFont="1" applyFill="1" applyBorder="1" applyAlignment="1" applyProtection="1">
      <alignment horizontal="center" vertical="center" wrapText="1"/>
      <protection locked="0"/>
    </xf>
    <xf numFmtId="169" fontId="35" fillId="0" borderId="0" xfId="1" applyFont="1" applyAlignment="1" applyProtection="1">
      <alignment horizontal="left" vertical="center" wrapText="1"/>
      <protection locked="0"/>
    </xf>
    <xf numFmtId="0" fontId="168" fillId="13" borderId="0" xfId="5" applyFont="1" applyFill="1" applyAlignment="1">
      <alignment horizontal="left" vertical="center"/>
    </xf>
    <xf numFmtId="0" fontId="168" fillId="30" borderId="0" xfId="5" applyFont="1" applyFill="1" applyAlignment="1">
      <alignment horizontal="left" vertical="center"/>
    </xf>
    <xf numFmtId="14" fontId="47" fillId="13" borderId="0" xfId="0" applyNumberFormat="1" applyFont="1" applyFill="1" applyAlignment="1">
      <alignment horizontal="left" vertical="center"/>
    </xf>
    <xf numFmtId="14" fontId="47" fillId="30" borderId="0" xfId="0" applyNumberFormat="1" applyFont="1" applyFill="1" applyAlignment="1">
      <alignment horizontal="left" vertical="center"/>
    </xf>
    <xf numFmtId="0" fontId="137" fillId="13" borderId="0" xfId="5" applyFont="1" applyFill="1" applyAlignment="1" applyProtection="1">
      <alignment horizontal="left" vertical="center"/>
      <protection locked="0"/>
    </xf>
    <xf numFmtId="0" fontId="138" fillId="13" borderId="0" xfId="5" applyFont="1" applyFill="1" applyAlignment="1" applyProtection="1">
      <alignment horizontal="left" vertical="center"/>
      <protection locked="0"/>
    </xf>
    <xf numFmtId="14" fontId="47" fillId="13" borderId="0" xfId="0" applyNumberFormat="1" applyFont="1" applyFill="1" applyAlignment="1" applyProtection="1">
      <alignment horizontal="left" vertical="center"/>
      <protection locked="0"/>
    </xf>
    <xf numFmtId="0" fontId="46" fillId="30" borderId="0" xfId="0" applyFont="1" applyFill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76" xfId="0" applyBorder="1" applyAlignment="1">
      <alignment horizontal="center"/>
    </xf>
    <xf numFmtId="0" fontId="0" fillId="0" borderId="245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154" fillId="0" borderId="16" xfId="26" applyFont="1" applyBorder="1" applyAlignment="1">
      <alignment horizontal="center"/>
    </xf>
  </cellXfs>
  <cellStyles count="32">
    <cellStyle name="% 2 2 5 2" xfId="6" xr:uid="{00000000-0005-0000-0000-000000000000}"/>
    <cellStyle name="Lien hypertexte" xfId="4" builtinId="8"/>
    <cellStyle name="Milliers" xfId="1" builtinId="3"/>
    <cellStyle name="Milliers [0]" xfId="21" builtinId="6"/>
    <cellStyle name="Milliers [0] 2" xfId="24" xr:uid="{00000000-0005-0000-0000-000004000000}"/>
    <cellStyle name="Milliers [0] 3" xfId="30" xr:uid="{00000000-0005-0000-0000-000005000000}"/>
    <cellStyle name="Milliers 10 2" xfId="7" xr:uid="{00000000-0005-0000-0000-000006000000}"/>
    <cellStyle name="Milliers 2" xfId="25" xr:uid="{00000000-0005-0000-0000-000007000000}"/>
    <cellStyle name="Milliers 2 2" xfId="27" xr:uid="{00000000-0005-0000-0000-000008000000}"/>
    <cellStyle name="Milliers 2 2 2" xfId="29" xr:uid="{00000000-0005-0000-0000-000009000000}"/>
    <cellStyle name="Milliers 21" xfId="20" xr:uid="{00000000-0005-0000-0000-00000A000000}"/>
    <cellStyle name="Milliers 3" xfId="28" xr:uid="{00000000-0005-0000-0000-00000B000000}"/>
    <cellStyle name="Milliers 4 12" xfId="18" xr:uid="{00000000-0005-0000-0000-00000C000000}"/>
    <cellStyle name="Milliers 4 2" xfId="31" xr:uid="{00000000-0005-0000-0000-00000D000000}"/>
    <cellStyle name="Milliers 8 2" xfId="10" xr:uid="{00000000-0005-0000-0000-00000E000000}"/>
    <cellStyle name="Normal" xfId="0" builtinId="0"/>
    <cellStyle name="Normal 10" xfId="8" xr:uid="{00000000-0005-0000-0000-000010000000}"/>
    <cellStyle name="Normal 101" xfId="17" xr:uid="{00000000-0005-0000-0000-000011000000}"/>
    <cellStyle name="Normal 11" xfId="12" xr:uid="{00000000-0005-0000-0000-000012000000}"/>
    <cellStyle name="Normal 12" xfId="11" xr:uid="{00000000-0005-0000-0000-000013000000}"/>
    <cellStyle name="Normal 13 3" xfId="13" xr:uid="{00000000-0005-0000-0000-000014000000}"/>
    <cellStyle name="Normal 2" xfId="22" xr:uid="{00000000-0005-0000-0000-000015000000}"/>
    <cellStyle name="Normal 2 13 2" xfId="15" xr:uid="{00000000-0005-0000-0000-000016000000}"/>
    <cellStyle name="Normal 2 2" xfId="26" xr:uid="{00000000-0005-0000-0000-000017000000}"/>
    <cellStyle name="Normal 3" xfId="19" xr:uid="{00000000-0005-0000-0000-000018000000}"/>
    <cellStyle name="Normal 4" xfId="23" xr:uid="{00000000-0005-0000-0000-000019000000}"/>
    <cellStyle name="Normal 4 2" xfId="9" xr:uid="{00000000-0005-0000-0000-00001A000000}"/>
    <cellStyle name="Normal_Récap Intercos au 31-12" xfId="5" xr:uid="{00000000-0005-0000-0000-00001B000000}"/>
    <cellStyle name="Pourcentage" xfId="2" builtinId="5"/>
    <cellStyle name="Pourcentage 10" xfId="3" xr:uid="{00000000-0005-0000-0000-00001D000000}"/>
    <cellStyle name="Pourcentage 3 3" xfId="16" xr:uid="{00000000-0005-0000-0000-00001E000000}"/>
    <cellStyle name="Pourcentage 7 6" xfId="14" xr:uid="{00000000-0005-0000-0000-00001F000000}"/>
  </cellStyles>
  <dxfs count="0"/>
  <tableStyles count="0" defaultTableStyle="TableStyleMedium2" defaultPivotStyle="PivotStyleLight16"/>
  <colors>
    <mruColors>
      <color rgb="FFFF66FF"/>
      <color rgb="FFF0C2EF"/>
      <color rgb="FF00CC99"/>
      <color rgb="FFCCCC00"/>
      <color rgb="FF00FFFF"/>
      <color rgb="FF3333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80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5.xml"/><Relationship Id="rId63" Type="http://schemas.openxmlformats.org/officeDocument/2006/relationships/externalLink" Target="externalLinks/externalLink26.xml"/><Relationship Id="rId84" Type="http://schemas.openxmlformats.org/officeDocument/2006/relationships/externalLink" Target="externalLinks/externalLink47.xml"/><Relationship Id="rId138" Type="http://schemas.openxmlformats.org/officeDocument/2006/relationships/externalLink" Target="externalLinks/externalLink101.xml"/><Relationship Id="rId159" Type="http://schemas.openxmlformats.org/officeDocument/2006/relationships/externalLink" Target="externalLinks/externalLink122.xml"/><Relationship Id="rId170" Type="http://schemas.openxmlformats.org/officeDocument/2006/relationships/externalLink" Target="externalLinks/externalLink133.xml"/><Relationship Id="rId191" Type="http://schemas.openxmlformats.org/officeDocument/2006/relationships/externalLink" Target="externalLinks/externalLink154.xml"/><Relationship Id="rId196" Type="http://schemas.openxmlformats.org/officeDocument/2006/relationships/externalLink" Target="externalLinks/externalLink159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70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74" Type="http://schemas.openxmlformats.org/officeDocument/2006/relationships/externalLink" Target="externalLinks/externalLink37.xml"/><Relationship Id="rId79" Type="http://schemas.openxmlformats.org/officeDocument/2006/relationships/externalLink" Target="externalLinks/externalLink42.xml"/><Relationship Id="rId102" Type="http://schemas.openxmlformats.org/officeDocument/2006/relationships/externalLink" Target="externalLinks/externalLink65.xml"/><Relationship Id="rId123" Type="http://schemas.openxmlformats.org/officeDocument/2006/relationships/externalLink" Target="externalLinks/externalLink86.xml"/><Relationship Id="rId128" Type="http://schemas.openxmlformats.org/officeDocument/2006/relationships/externalLink" Target="externalLinks/externalLink91.xml"/><Relationship Id="rId144" Type="http://schemas.openxmlformats.org/officeDocument/2006/relationships/externalLink" Target="externalLinks/externalLink107.xml"/><Relationship Id="rId149" Type="http://schemas.openxmlformats.org/officeDocument/2006/relationships/externalLink" Target="externalLinks/externalLink11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53.xml"/><Relationship Id="rId95" Type="http://schemas.openxmlformats.org/officeDocument/2006/relationships/externalLink" Target="externalLinks/externalLink58.xml"/><Relationship Id="rId160" Type="http://schemas.openxmlformats.org/officeDocument/2006/relationships/externalLink" Target="externalLinks/externalLink123.xml"/><Relationship Id="rId165" Type="http://schemas.openxmlformats.org/officeDocument/2006/relationships/externalLink" Target="externalLinks/externalLink128.xml"/><Relationship Id="rId181" Type="http://schemas.openxmlformats.org/officeDocument/2006/relationships/externalLink" Target="externalLinks/externalLink144.xml"/><Relationship Id="rId186" Type="http://schemas.openxmlformats.org/officeDocument/2006/relationships/externalLink" Target="externalLinks/externalLink149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113" Type="http://schemas.openxmlformats.org/officeDocument/2006/relationships/externalLink" Target="externalLinks/externalLink76.xml"/><Relationship Id="rId118" Type="http://schemas.openxmlformats.org/officeDocument/2006/relationships/externalLink" Target="externalLinks/externalLink81.xml"/><Relationship Id="rId134" Type="http://schemas.openxmlformats.org/officeDocument/2006/relationships/externalLink" Target="externalLinks/externalLink97.xml"/><Relationship Id="rId139" Type="http://schemas.openxmlformats.org/officeDocument/2006/relationships/externalLink" Target="externalLinks/externalLink102.xml"/><Relationship Id="rId80" Type="http://schemas.openxmlformats.org/officeDocument/2006/relationships/externalLink" Target="externalLinks/externalLink43.xml"/><Relationship Id="rId85" Type="http://schemas.openxmlformats.org/officeDocument/2006/relationships/externalLink" Target="externalLinks/externalLink48.xml"/><Relationship Id="rId150" Type="http://schemas.openxmlformats.org/officeDocument/2006/relationships/externalLink" Target="externalLinks/externalLink113.xml"/><Relationship Id="rId155" Type="http://schemas.openxmlformats.org/officeDocument/2006/relationships/externalLink" Target="externalLinks/externalLink118.xml"/><Relationship Id="rId171" Type="http://schemas.openxmlformats.org/officeDocument/2006/relationships/externalLink" Target="externalLinks/externalLink134.xml"/><Relationship Id="rId176" Type="http://schemas.openxmlformats.org/officeDocument/2006/relationships/externalLink" Target="externalLinks/externalLink139.xml"/><Relationship Id="rId192" Type="http://schemas.openxmlformats.org/officeDocument/2006/relationships/externalLink" Target="externalLinks/externalLink155.xml"/><Relationship Id="rId197" Type="http://schemas.openxmlformats.org/officeDocument/2006/relationships/externalLink" Target="externalLinks/externalLink160.xml"/><Relationship Id="rId201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59" Type="http://schemas.openxmlformats.org/officeDocument/2006/relationships/externalLink" Target="externalLinks/externalLink22.xml"/><Relationship Id="rId103" Type="http://schemas.openxmlformats.org/officeDocument/2006/relationships/externalLink" Target="externalLinks/externalLink66.xml"/><Relationship Id="rId108" Type="http://schemas.openxmlformats.org/officeDocument/2006/relationships/externalLink" Target="externalLinks/externalLink71.xml"/><Relationship Id="rId124" Type="http://schemas.openxmlformats.org/officeDocument/2006/relationships/externalLink" Target="externalLinks/externalLink87.xml"/><Relationship Id="rId129" Type="http://schemas.openxmlformats.org/officeDocument/2006/relationships/externalLink" Target="externalLinks/externalLink92.xml"/><Relationship Id="rId54" Type="http://schemas.openxmlformats.org/officeDocument/2006/relationships/externalLink" Target="externalLinks/externalLink17.xml"/><Relationship Id="rId70" Type="http://schemas.openxmlformats.org/officeDocument/2006/relationships/externalLink" Target="externalLinks/externalLink33.xml"/><Relationship Id="rId75" Type="http://schemas.openxmlformats.org/officeDocument/2006/relationships/externalLink" Target="externalLinks/externalLink38.xml"/><Relationship Id="rId91" Type="http://schemas.openxmlformats.org/officeDocument/2006/relationships/externalLink" Target="externalLinks/externalLink54.xml"/><Relationship Id="rId96" Type="http://schemas.openxmlformats.org/officeDocument/2006/relationships/externalLink" Target="externalLinks/externalLink59.xml"/><Relationship Id="rId140" Type="http://schemas.openxmlformats.org/officeDocument/2006/relationships/externalLink" Target="externalLinks/externalLink103.xml"/><Relationship Id="rId145" Type="http://schemas.openxmlformats.org/officeDocument/2006/relationships/externalLink" Target="externalLinks/externalLink108.xml"/><Relationship Id="rId161" Type="http://schemas.openxmlformats.org/officeDocument/2006/relationships/externalLink" Target="externalLinks/externalLink124.xml"/><Relationship Id="rId166" Type="http://schemas.openxmlformats.org/officeDocument/2006/relationships/externalLink" Target="externalLinks/externalLink129.xml"/><Relationship Id="rId182" Type="http://schemas.openxmlformats.org/officeDocument/2006/relationships/externalLink" Target="externalLinks/externalLink145.xml"/><Relationship Id="rId187" Type="http://schemas.openxmlformats.org/officeDocument/2006/relationships/externalLink" Target="externalLinks/externalLink15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externalLink" Target="externalLinks/externalLink12.xml"/><Relationship Id="rId114" Type="http://schemas.openxmlformats.org/officeDocument/2006/relationships/externalLink" Target="externalLinks/externalLink77.xml"/><Relationship Id="rId119" Type="http://schemas.openxmlformats.org/officeDocument/2006/relationships/externalLink" Target="externalLinks/externalLink82.xml"/><Relationship Id="rId44" Type="http://schemas.openxmlformats.org/officeDocument/2006/relationships/externalLink" Target="externalLinks/externalLink7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81" Type="http://schemas.openxmlformats.org/officeDocument/2006/relationships/externalLink" Target="externalLinks/externalLink44.xml"/><Relationship Id="rId86" Type="http://schemas.openxmlformats.org/officeDocument/2006/relationships/externalLink" Target="externalLinks/externalLink49.xml"/><Relationship Id="rId130" Type="http://schemas.openxmlformats.org/officeDocument/2006/relationships/externalLink" Target="externalLinks/externalLink93.xml"/><Relationship Id="rId135" Type="http://schemas.openxmlformats.org/officeDocument/2006/relationships/externalLink" Target="externalLinks/externalLink98.xml"/><Relationship Id="rId151" Type="http://schemas.openxmlformats.org/officeDocument/2006/relationships/externalLink" Target="externalLinks/externalLink114.xml"/><Relationship Id="rId156" Type="http://schemas.openxmlformats.org/officeDocument/2006/relationships/externalLink" Target="externalLinks/externalLink119.xml"/><Relationship Id="rId177" Type="http://schemas.openxmlformats.org/officeDocument/2006/relationships/externalLink" Target="externalLinks/externalLink140.xml"/><Relationship Id="rId198" Type="http://schemas.openxmlformats.org/officeDocument/2006/relationships/theme" Target="theme/theme1.xml"/><Relationship Id="rId172" Type="http://schemas.openxmlformats.org/officeDocument/2006/relationships/externalLink" Target="externalLinks/externalLink135.xml"/><Relationship Id="rId193" Type="http://schemas.openxmlformats.org/officeDocument/2006/relationships/externalLink" Target="externalLinks/externalLink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Relationship Id="rId109" Type="http://schemas.openxmlformats.org/officeDocument/2006/relationships/externalLink" Target="externalLinks/externalLink72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76" Type="http://schemas.openxmlformats.org/officeDocument/2006/relationships/externalLink" Target="externalLinks/externalLink39.xml"/><Relationship Id="rId97" Type="http://schemas.openxmlformats.org/officeDocument/2006/relationships/externalLink" Target="externalLinks/externalLink60.xml"/><Relationship Id="rId104" Type="http://schemas.openxmlformats.org/officeDocument/2006/relationships/externalLink" Target="externalLinks/externalLink67.xml"/><Relationship Id="rId120" Type="http://schemas.openxmlformats.org/officeDocument/2006/relationships/externalLink" Target="externalLinks/externalLink83.xml"/><Relationship Id="rId125" Type="http://schemas.openxmlformats.org/officeDocument/2006/relationships/externalLink" Target="externalLinks/externalLink88.xml"/><Relationship Id="rId141" Type="http://schemas.openxmlformats.org/officeDocument/2006/relationships/externalLink" Target="externalLinks/externalLink104.xml"/><Relationship Id="rId146" Type="http://schemas.openxmlformats.org/officeDocument/2006/relationships/externalLink" Target="externalLinks/externalLink109.xml"/><Relationship Id="rId167" Type="http://schemas.openxmlformats.org/officeDocument/2006/relationships/externalLink" Target="externalLinks/externalLink130.xml"/><Relationship Id="rId188" Type="http://schemas.openxmlformats.org/officeDocument/2006/relationships/externalLink" Target="externalLinks/externalLink15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4.xml"/><Relationship Id="rId92" Type="http://schemas.openxmlformats.org/officeDocument/2006/relationships/externalLink" Target="externalLinks/externalLink55.xml"/><Relationship Id="rId162" Type="http://schemas.openxmlformats.org/officeDocument/2006/relationships/externalLink" Target="externalLinks/externalLink125.xml"/><Relationship Id="rId183" Type="http://schemas.openxmlformats.org/officeDocument/2006/relationships/externalLink" Target="externalLinks/externalLink146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66" Type="http://schemas.openxmlformats.org/officeDocument/2006/relationships/externalLink" Target="externalLinks/externalLink29.xml"/><Relationship Id="rId87" Type="http://schemas.openxmlformats.org/officeDocument/2006/relationships/externalLink" Target="externalLinks/externalLink50.xml"/><Relationship Id="rId110" Type="http://schemas.openxmlformats.org/officeDocument/2006/relationships/externalLink" Target="externalLinks/externalLink73.xml"/><Relationship Id="rId115" Type="http://schemas.openxmlformats.org/officeDocument/2006/relationships/externalLink" Target="externalLinks/externalLink78.xml"/><Relationship Id="rId131" Type="http://schemas.openxmlformats.org/officeDocument/2006/relationships/externalLink" Target="externalLinks/externalLink94.xml"/><Relationship Id="rId136" Type="http://schemas.openxmlformats.org/officeDocument/2006/relationships/externalLink" Target="externalLinks/externalLink99.xml"/><Relationship Id="rId157" Type="http://schemas.openxmlformats.org/officeDocument/2006/relationships/externalLink" Target="externalLinks/externalLink120.xml"/><Relationship Id="rId178" Type="http://schemas.openxmlformats.org/officeDocument/2006/relationships/externalLink" Target="externalLinks/externalLink141.xml"/><Relationship Id="rId61" Type="http://schemas.openxmlformats.org/officeDocument/2006/relationships/externalLink" Target="externalLinks/externalLink24.xml"/><Relationship Id="rId82" Type="http://schemas.openxmlformats.org/officeDocument/2006/relationships/externalLink" Target="externalLinks/externalLink45.xml"/><Relationship Id="rId152" Type="http://schemas.openxmlformats.org/officeDocument/2006/relationships/externalLink" Target="externalLinks/externalLink115.xml"/><Relationship Id="rId173" Type="http://schemas.openxmlformats.org/officeDocument/2006/relationships/externalLink" Target="externalLinks/externalLink136.xml"/><Relationship Id="rId194" Type="http://schemas.openxmlformats.org/officeDocument/2006/relationships/externalLink" Target="externalLinks/externalLink157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19.xml"/><Relationship Id="rId77" Type="http://schemas.openxmlformats.org/officeDocument/2006/relationships/externalLink" Target="externalLinks/externalLink40.xml"/><Relationship Id="rId100" Type="http://schemas.openxmlformats.org/officeDocument/2006/relationships/externalLink" Target="externalLinks/externalLink63.xml"/><Relationship Id="rId105" Type="http://schemas.openxmlformats.org/officeDocument/2006/relationships/externalLink" Target="externalLinks/externalLink68.xml"/><Relationship Id="rId126" Type="http://schemas.openxmlformats.org/officeDocument/2006/relationships/externalLink" Target="externalLinks/externalLink89.xml"/><Relationship Id="rId147" Type="http://schemas.openxmlformats.org/officeDocument/2006/relationships/externalLink" Target="externalLinks/externalLink110.xml"/><Relationship Id="rId168" Type="http://schemas.openxmlformats.org/officeDocument/2006/relationships/externalLink" Target="externalLinks/externalLink13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externalLink" Target="externalLinks/externalLink35.xml"/><Relationship Id="rId93" Type="http://schemas.openxmlformats.org/officeDocument/2006/relationships/externalLink" Target="externalLinks/externalLink56.xml"/><Relationship Id="rId98" Type="http://schemas.openxmlformats.org/officeDocument/2006/relationships/externalLink" Target="externalLinks/externalLink61.xml"/><Relationship Id="rId121" Type="http://schemas.openxmlformats.org/officeDocument/2006/relationships/externalLink" Target="externalLinks/externalLink84.xml"/><Relationship Id="rId142" Type="http://schemas.openxmlformats.org/officeDocument/2006/relationships/externalLink" Target="externalLinks/externalLink105.xml"/><Relationship Id="rId163" Type="http://schemas.openxmlformats.org/officeDocument/2006/relationships/externalLink" Target="externalLinks/externalLink126.xml"/><Relationship Id="rId184" Type="http://schemas.openxmlformats.org/officeDocument/2006/relationships/externalLink" Target="externalLinks/externalLink147.xml"/><Relationship Id="rId189" Type="http://schemas.openxmlformats.org/officeDocument/2006/relationships/externalLink" Target="externalLinks/externalLink15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9.xml"/><Relationship Id="rId67" Type="http://schemas.openxmlformats.org/officeDocument/2006/relationships/externalLink" Target="externalLinks/externalLink30.xml"/><Relationship Id="rId116" Type="http://schemas.openxmlformats.org/officeDocument/2006/relationships/externalLink" Target="externalLinks/externalLink79.xml"/><Relationship Id="rId137" Type="http://schemas.openxmlformats.org/officeDocument/2006/relationships/externalLink" Target="externalLinks/externalLink100.xml"/><Relationship Id="rId158" Type="http://schemas.openxmlformats.org/officeDocument/2006/relationships/externalLink" Target="externalLinks/externalLink12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62" Type="http://schemas.openxmlformats.org/officeDocument/2006/relationships/externalLink" Target="externalLinks/externalLink25.xml"/><Relationship Id="rId83" Type="http://schemas.openxmlformats.org/officeDocument/2006/relationships/externalLink" Target="externalLinks/externalLink46.xml"/><Relationship Id="rId88" Type="http://schemas.openxmlformats.org/officeDocument/2006/relationships/externalLink" Target="externalLinks/externalLink51.xml"/><Relationship Id="rId111" Type="http://schemas.openxmlformats.org/officeDocument/2006/relationships/externalLink" Target="externalLinks/externalLink74.xml"/><Relationship Id="rId132" Type="http://schemas.openxmlformats.org/officeDocument/2006/relationships/externalLink" Target="externalLinks/externalLink95.xml"/><Relationship Id="rId153" Type="http://schemas.openxmlformats.org/officeDocument/2006/relationships/externalLink" Target="externalLinks/externalLink116.xml"/><Relationship Id="rId174" Type="http://schemas.openxmlformats.org/officeDocument/2006/relationships/externalLink" Target="externalLinks/externalLink137.xml"/><Relationship Id="rId179" Type="http://schemas.openxmlformats.org/officeDocument/2006/relationships/externalLink" Target="externalLinks/externalLink142.xml"/><Relationship Id="rId195" Type="http://schemas.openxmlformats.org/officeDocument/2006/relationships/externalLink" Target="externalLinks/externalLink158.xml"/><Relationship Id="rId190" Type="http://schemas.openxmlformats.org/officeDocument/2006/relationships/externalLink" Target="externalLinks/externalLink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externalLink" Target="externalLinks/externalLink20.xml"/><Relationship Id="rId106" Type="http://schemas.openxmlformats.org/officeDocument/2006/relationships/externalLink" Target="externalLinks/externalLink69.xml"/><Relationship Id="rId127" Type="http://schemas.openxmlformats.org/officeDocument/2006/relationships/externalLink" Target="externalLinks/externalLink9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externalLink" Target="externalLinks/externalLink15.xml"/><Relationship Id="rId73" Type="http://schemas.openxmlformats.org/officeDocument/2006/relationships/externalLink" Target="externalLinks/externalLink36.xml"/><Relationship Id="rId78" Type="http://schemas.openxmlformats.org/officeDocument/2006/relationships/externalLink" Target="externalLinks/externalLink41.xml"/><Relationship Id="rId94" Type="http://schemas.openxmlformats.org/officeDocument/2006/relationships/externalLink" Target="externalLinks/externalLink57.xml"/><Relationship Id="rId99" Type="http://schemas.openxmlformats.org/officeDocument/2006/relationships/externalLink" Target="externalLinks/externalLink62.xml"/><Relationship Id="rId101" Type="http://schemas.openxmlformats.org/officeDocument/2006/relationships/externalLink" Target="externalLinks/externalLink64.xml"/><Relationship Id="rId122" Type="http://schemas.openxmlformats.org/officeDocument/2006/relationships/externalLink" Target="externalLinks/externalLink85.xml"/><Relationship Id="rId143" Type="http://schemas.openxmlformats.org/officeDocument/2006/relationships/externalLink" Target="externalLinks/externalLink106.xml"/><Relationship Id="rId148" Type="http://schemas.openxmlformats.org/officeDocument/2006/relationships/externalLink" Target="externalLinks/externalLink111.xml"/><Relationship Id="rId164" Type="http://schemas.openxmlformats.org/officeDocument/2006/relationships/externalLink" Target="externalLinks/externalLink127.xml"/><Relationship Id="rId169" Type="http://schemas.openxmlformats.org/officeDocument/2006/relationships/externalLink" Target="externalLinks/externalLink132.xml"/><Relationship Id="rId185" Type="http://schemas.openxmlformats.org/officeDocument/2006/relationships/externalLink" Target="externalLinks/externalLink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43.xml"/><Relationship Id="rId26" Type="http://schemas.openxmlformats.org/officeDocument/2006/relationships/worksheet" Target="worksheets/sheet26.xml"/><Relationship Id="rId47" Type="http://schemas.openxmlformats.org/officeDocument/2006/relationships/externalLink" Target="externalLinks/externalLink10.xml"/><Relationship Id="rId68" Type="http://schemas.openxmlformats.org/officeDocument/2006/relationships/externalLink" Target="externalLinks/externalLink31.xml"/><Relationship Id="rId89" Type="http://schemas.openxmlformats.org/officeDocument/2006/relationships/externalLink" Target="externalLinks/externalLink52.xml"/><Relationship Id="rId112" Type="http://schemas.openxmlformats.org/officeDocument/2006/relationships/externalLink" Target="externalLinks/externalLink75.xml"/><Relationship Id="rId133" Type="http://schemas.openxmlformats.org/officeDocument/2006/relationships/externalLink" Target="externalLinks/externalLink96.xml"/><Relationship Id="rId154" Type="http://schemas.openxmlformats.org/officeDocument/2006/relationships/externalLink" Target="externalLinks/externalLink117.xml"/><Relationship Id="rId175" Type="http://schemas.openxmlformats.org/officeDocument/2006/relationships/externalLink" Target="externalLinks/externalLink1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78004</xdr:colOff>
      <xdr:row>2</xdr:row>
      <xdr:rowOff>63499</xdr:rowOff>
    </xdr:from>
    <xdr:to>
      <xdr:col>3</xdr:col>
      <xdr:colOff>765417</xdr:colOff>
      <xdr:row>10</xdr:row>
      <xdr:rowOff>2332</xdr:rowOff>
    </xdr:to>
    <xdr:pic>
      <xdr:nvPicPr>
        <xdr:cNvPr id="2" name="Image 3" descr="logo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25654" y="387349"/>
          <a:ext cx="1106513" cy="1119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654096</xdr:colOff>
      <xdr:row>21</xdr:row>
      <xdr:rowOff>151868</xdr:rowOff>
    </xdr:from>
    <xdr:to>
      <xdr:col>10</xdr:col>
      <xdr:colOff>818509</xdr:colOff>
      <xdr:row>29</xdr:row>
      <xdr:rowOff>52710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1746" y="5190593"/>
          <a:ext cx="2707588" cy="2599592"/>
        </a:xfrm>
        <a:prstGeom prst="rect">
          <a:avLst/>
        </a:prstGeom>
      </xdr:spPr>
    </xdr:pic>
    <xdr:clientData/>
  </xdr:twoCellAnchor>
  <xdr:twoCellAnchor editAs="oneCell">
    <xdr:from>
      <xdr:col>13</xdr:col>
      <xdr:colOff>580161</xdr:colOff>
      <xdr:row>2</xdr:row>
      <xdr:rowOff>66387</xdr:rowOff>
    </xdr:from>
    <xdr:to>
      <xdr:col>17</xdr:col>
      <xdr:colOff>163748</xdr:colOff>
      <xdr:row>9</xdr:row>
      <xdr:rowOff>161455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4161" y="390237"/>
          <a:ext cx="2079137" cy="108566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166688</xdr:colOff>
      <xdr:row>2</xdr:row>
      <xdr:rowOff>0</xdr:rowOff>
    </xdr:from>
    <xdr:to>
      <xdr:col>0</xdr:col>
      <xdr:colOff>533400</xdr:colOff>
      <xdr:row>2</xdr:row>
      <xdr:rowOff>285750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166688" y="361950"/>
          <a:ext cx="366712" cy="28575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654096</xdr:colOff>
      <xdr:row>18</xdr:row>
      <xdr:rowOff>151868</xdr:rowOff>
    </xdr:from>
    <xdr:to>
      <xdr:col>11</xdr:col>
      <xdr:colOff>504184</xdr:colOff>
      <xdr:row>30</xdr:row>
      <xdr:rowOff>106685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8021" y="4276193"/>
          <a:ext cx="2393263" cy="2523392"/>
        </a:xfrm>
        <a:prstGeom prst="rect">
          <a:avLst/>
        </a:prstGeom>
      </xdr:spPr>
    </xdr:pic>
    <xdr:clientData/>
  </xdr:twoCellAnchor>
  <xdr:twoCellAnchor editAs="oneCell">
    <xdr:from>
      <xdr:col>14</xdr:col>
      <xdr:colOff>580161</xdr:colOff>
      <xdr:row>2</xdr:row>
      <xdr:rowOff>66387</xdr:rowOff>
    </xdr:from>
    <xdr:to>
      <xdr:col>18</xdr:col>
      <xdr:colOff>163748</xdr:colOff>
      <xdr:row>7</xdr:row>
      <xdr:rowOff>174155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0436" y="428337"/>
          <a:ext cx="2079137" cy="109836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1314450</xdr:colOff>
      <xdr:row>33</xdr:row>
      <xdr:rowOff>152400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876550" y="6486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1</xdr:col>
      <xdr:colOff>281668</xdr:colOff>
      <xdr:row>1</xdr:row>
      <xdr:rowOff>4082</xdr:rowOff>
    </xdr:from>
    <xdr:to>
      <xdr:col>1</xdr:col>
      <xdr:colOff>650422</xdr:colOff>
      <xdr:row>1</xdr:row>
      <xdr:rowOff>329292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100818" y="261257"/>
          <a:ext cx="368754" cy="32521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1314450</xdr:colOff>
      <xdr:row>32</xdr:row>
      <xdr:rowOff>152400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876550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1</xdr:col>
      <xdr:colOff>281668</xdr:colOff>
      <xdr:row>1</xdr:row>
      <xdr:rowOff>4082</xdr:rowOff>
    </xdr:from>
    <xdr:to>
      <xdr:col>1</xdr:col>
      <xdr:colOff>650422</xdr:colOff>
      <xdr:row>1</xdr:row>
      <xdr:rowOff>329292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100818" y="261257"/>
          <a:ext cx="368754" cy="32521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392906</xdr:colOff>
      <xdr:row>1</xdr:row>
      <xdr:rowOff>142875</xdr:rowOff>
    </xdr:from>
    <xdr:to>
      <xdr:col>1</xdr:col>
      <xdr:colOff>13947</xdr:colOff>
      <xdr:row>2</xdr:row>
      <xdr:rowOff>229960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392906" y="323850"/>
          <a:ext cx="297316" cy="32521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0</xdr:row>
      <xdr:rowOff>200025</xdr:rowOff>
    </xdr:from>
    <xdr:to>
      <xdr:col>1</xdr:col>
      <xdr:colOff>854529</xdr:colOff>
      <xdr:row>1</xdr:row>
      <xdr:rowOff>239485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304925" y="200025"/>
          <a:ext cx="368754" cy="32521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485775</xdr:colOff>
      <xdr:row>0</xdr:row>
      <xdr:rowOff>200025</xdr:rowOff>
    </xdr:from>
    <xdr:to>
      <xdr:col>1</xdr:col>
      <xdr:colOff>854529</xdr:colOff>
      <xdr:row>1</xdr:row>
      <xdr:rowOff>239485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304925" y="200025"/>
          <a:ext cx="368754" cy="32521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654096</xdr:colOff>
      <xdr:row>18</xdr:row>
      <xdr:rowOff>151868</xdr:rowOff>
    </xdr:from>
    <xdr:to>
      <xdr:col>10</xdr:col>
      <xdr:colOff>247009</xdr:colOff>
      <xdr:row>30</xdr:row>
      <xdr:rowOff>106685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1746" y="4276193"/>
          <a:ext cx="2136088" cy="2523392"/>
        </a:xfrm>
        <a:prstGeom prst="rect">
          <a:avLst/>
        </a:prstGeom>
      </xdr:spPr>
    </xdr:pic>
    <xdr:clientData/>
  </xdr:twoCellAnchor>
  <xdr:twoCellAnchor editAs="oneCell">
    <xdr:from>
      <xdr:col>13</xdr:col>
      <xdr:colOff>580161</xdr:colOff>
      <xdr:row>2</xdr:row>
      <xdr:rowOff>66387</xdr:rowOff>
    </xdr:from>
    <xdr:to>
      <xdr:col>17</xdr:col>
      <xdr:colOff>163748</xdr:colOff>
      <xdr:row>7</xdr:row>
      <xdr:rowOff>174155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4161" y="428337"/>
          <a:ext cx="2079137" cy="109836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462643</xdr:colOff>
      <xdr:row>1</xdr:row>
      <xdr:rowOff>204107</xdr:rowOff>
    </xdr:from>
    <xdr:to>
      <xdr:col>1</xdr:col>
      <xdr:colOff>831397</xdr:colOff>
      <xdr:row>2</xdr:row>
      <xdr:rowOff>272142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48368" y="1632857"/>
          <a:ext cx="368754" cy="268060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503465</xdr:colOff>
      <xdr:row>2</xdr:row>
      <xdr:rowOff>54428</xdr:rowOff>
    </xdr:from>
    <xdr:to>
      <xdr:col>1</xdr:col>
      <xdr:colOff>843644</xdr:colOff>
      <xdr:row>3</xdr:row>
      <xdr:rowOff>318406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60615" y="416378"/>
          <a:ext cx="130629" cy="349703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440529</xdr:colOff>
      <xdr:row>1</xdr:row>
      <xdr:rowOff>71436</xdr:rowOff>
    </xdr:from>
    <xdr:to>
      <xdr:col>1</xdr:col>
      <xdr:colOff>706549</xdr:colOff>
      <xdr:row>2</xdr:row>
      <xdr:rowOff>67354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497679" y="738186"/>
          <a:ext cx="266020" cy="376918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273842</xdr:colOff>
      <xdr:row>1</xdr:row>
      <xdr:rowOff>83343</xdr:rowOff>
    </xdr:from>
    <xdr:to>
      <xdr:col>1</xdr:col>
      <xdr:colOff>539862</xdr:colOff>
      <xdr:row>2</xdr:row>
      <xdr:rowOff>79261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330992" y="2674143"/>
          <a:ext cx="266020" cy="443593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369094</xdr:colOff>
      <xdr:row>2</xdr:row>
      <xdr:rowOff>71438</xdr:rowOff>
    </xdr:from>
    <xdr:to>
      <xdr:col>1</xdr:col>
      <xdr:colOff>724241</xdr:colOff>
      <xdr:row>2</xdr:row>
      <xdr:rowOff>343580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445294" y="1747838"/>
          <a:ext cx="355147" cy="272142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654096</xdr:colOff>
      <xdr:row>18</xdr:row>
      <xdr:rowOff>151868</xdr:rowOff>
    </xdr:from>
    <xdr:to>
      <xdr:col>9</xdr:col>
      <xdr:colOff>837559</xdr:colOff>
      <xdr:row>30</xdr:row>
      <xdr:rowOff>106685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1746" y="4276193"/>
          <a:ext cx="1878913" cy="2523392"/>
        </a:xfrm>
        <a:prstGeom prst="rect">
          <a:avLst/>
        </a:prstGeom>
      </xdr:spPr>
    </xdr:pic>
    <xdr:clientData/>
  </xdr:twoCellAnchor>
  <xdr:twoCellAnchor editAs="oneCell">
    <xdr:from>
      <xdr:col>13</xdr:col>
      <xdr:colOff>596036</xdr:colOff>
      <xdr:row>2</xdr:row>
      <xdr:rowOff>66387</xdr:rowOff>
    </xdr:from>
    <xdr:to>
      <xdr:col>17</xdr:col>
      <xdr:colOff>179623</xdr:colOff>
      <xdr:row>7</xdr:row>
      <xdr:rowOff>174155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0036" y="428337"/>
          <a:ext cx="2079137" cy="109836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2</xdr:row>
      <xdr:rowOff>107157</xdr:rowOff>
    </xdr:from>
    <xdr:to>
      <xdr:col>1</xdr:col>
      <xdr:colOff>688522</xdr:colOff>
      <xdr:row>2</xdr:row>
      <xdr:rowOff>379299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1524000" y="592932"/>
          <a:ext cx="355147" cy="272142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440529</xdr:colOff>
      <xdr:row>1</xdr:row>
      <xdr:rowOff>71436</xdr:rowOff>
    </xdr:from>
    <xdr:to>
      <xdr:col>1</xdr:col>
      <xdr:colOff>706549</xdr:colOff>
      <xdr:row>2</xdr:row>
      <xdr:rowOff>67354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412079" y="252411"/>
          <a:ext cx="266020" cy="348343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273842</xdr:colOff>
      <xdr:row>1</xdr:row>
      <xdr:rowOff>83343</xdr:rowOff>
    </xdr:from>
    <xdr:to>
      <xdr:col>1</xdr:col>
      <xdr:colOff>539862</xdr:colOff>
      <xdr:row>2</xdr:row>
      <xdr:rowOff>79261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359692" y="264318"/>
          <a:ext cx="266020" cy="348343"/>
        </a:xfrm>
        <a:prstGeom prst="straightConnector1">
          <a:avLst/>
        </a:prstGeom>
        <a:ln w="63500">
          <a:solidFill>
            <a:schemeClr val="accent1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654096</xdr:colOff>
      <xdr:row>18</xdr:row>
      <xdr:rowOff>151868</xdr:rowOff>
    </xdr:from>
    <xdr:to>
      <xdr:col>10</xdr:col>
      <xdr:colOff>247009</xdr:colOff>
      <xdr:row>30</xdr:row>
      <xdr:rowOff>106685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1746" y="4276193"/>
          <a:ext cx="2136088" cy="2523392"/>
        </a:xfrm>
        <a:prstGeom prst="rect">
          <a:avLst/>
        </a:prstGeom>
      </xdr:spPr>
    </xdr:pic>
    <xdr:clientData/>
  </xdr:twoCellAnchor>
  <xdr:twoCellAnchor editAs="oneCell">
    <xdr:from>
      <xdr:col>13</xdr:col>
      <xdr:colOff>580161</xdr:colOff>
      <xdr:row>2</xdr:row>
      <xdr:rowOff>66387</xdr:rowOff>
    </xdr:from>
    <xdr:to>
      <xdr:col>17</xdr:col>
      <xdr:colOff>163748</xdr:colOff>
      <xdr:row>7</xdr:row>
      <xdr:rowOff>174155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4161" y="428337"/>
          <a:ext cx="2079137" cy="109836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kleind\Local%20Settings\Temporary%20Internet%20Files\OLK36\net-02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Documents%20and%20Settings\kleind\Local%20Settings\Temporary%20Internet%20Files\OLK36\net-02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DOCUME~1\CONS\LOCALS~1\Temp\Rar$DI00.906\TEMP\LA%20Submission%20Acq%20Schedule%20-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onisankara\Local%20Settings\Temporary%20Internet%20Files\Content.Outlook\2XPXR8CP\TEMP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3-%20Consolidation\1-Dossier_Annuel\2019\12\1-Pr&#233;-cl&#244;ture\2-%20Package%20%20des%20%20annexes%20obligatoires\R&#233;cap%20IG\50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an.radi\Desktop\MRP%20AT%20CI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.Khadim\Desktop\ID%20AT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Users\an.radi\Desktop\MRP%20AT%20CI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rappro\Flux99\Rapp_r&#233;gional\CENTR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Documents%20and%20Settings\k.khajjou\Bureau\WINDOWS\TEMP\MODELE\REEL\oldiesR2000ss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Documents%20and%20Settings\kriem\Local%20Settings\Temporary%20Internet%20Files\OLK6\Charges%20(OPEX)%2020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onisankara\Local%20Settings\Temporary%20Internet%20Files\Content.Outlook\2XPXR8CP\TEMP\LA%20Submission%20Acq%20Schedule%20-%20July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lnekhili\Local%20Settings\Temporary%20Internet%20Files\Content.Outlook\YB8L9B66\TEMP\LA%20Submission%20Acq%20Schedule%20-%20July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onisankara\Local%20Settings\Temporary%20Internet%20Files\Content.Outlook\2XPXR8CP\EVERYONE\CBA%20Revisions%205_97\SourcingTeam\Market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riouattara\Local%20Settings\Temporary%20Internet%20Files\Content.Outlook\Z0Q9T2BE\TEMP\LA%20Submission%20Acq%20Schedule%20-%20July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windows\TEMP\EXCEL\BUDGET99\CP99EXLP\CP99NA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windows\TEMP\ANCIEN\EXCEL\BUD98FON\PERSON9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QI\TAB\Production%20TdBOS\TdB%20OS%202000\mise%20&#224;%20jour%20mensuelle%202000\TdB%2005%2000\p32%20Pr&#233;s&#233;lec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lnekhili\Local%20Settings\Temporary%20Internet%20Files\Content.Outlook\YB8L9B66\EVERYONE\CBA%20Revisions%205_97\SourcingTeam\Marketing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onisankara\Local%20Settings\Temporary%20Internet%20Files\Content.Outlook\2XPXR8CP\EVERYONE\CBA%20Revisions%205_97\SourcingTeam\Marketi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lnekhili\Local%20Settings\Temporary%20Internet%20Files\Content.Outlook\YB8L9B66\Documents%20and%20Settings\hmamed\Local%20Settings\Temporary%20Internet%20Files\OLK16A\Cl&#244;ture%2011%2003\estimation%20CA%20pr&#233;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Users\Malitel\Documents\ADOUVENTCHIC\PROFESSION\MALITEL\CHEF%20SCE%20VI-GC\SECTION%20VI\Rapport%20journalier%20Ventes\Ventes%20%20Analyse%20Ver%201%2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riouattara\Local%20Settings\Temporary%20Internet%20Files\Content.Outlook\Z0Q9T2BE\EVERYONE\CBA%20Revisions%205_97\SourcingTeam\Market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u-nt1\ibf\Blankomodelle%20f&#252;r%20Anthony\Tout-et-Rien\CO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onisankara\Local%20Settings\Temporary%20Internet%20Files\Content.Outlook\2XPXR8CP\Documents%20and%20Settings\hmamed\Local%20Settings\Temporary%20Internet%20Files\OLK16A\Cl&#244;ture%2011%2003\estimation%20CA%20pr&#233;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pnasv02\planstrat\Documents%20and%20Settings\onisankara\Local%20Settings\Temporary%20Internet%20Files\Content.Outlook\2XPXR8CP\Documents%20and%20Settings\hmamed\Local%20Settings\Temporary%20Internet%20Files\OLK16A\Cl&#244;ture%2011%2003\estimation%20CA%20pr&#233;p.xls?91D8B2E5" TargetMode="External"/><Relationship Id="rId1" Type="http://schemas.openxmlformats.org/officeDocument/2006/relationships/externalLinkPath" Target="file:///\\91D8B2E5\estimation%20CA%20pr&#233;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TEMP\Desktop\MT%20Turnkey%20400%20-750%20sites\IAM%20600%20Sites%20Rev%20%232%20Mode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DOCUME~1\CONS\LOCALS~1\Temp\Rar$DI00.906\EVERYONE\CBA%20Revisions%205_97\SourcingTeam\Market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riouattara\Local%20Settings\Temporary%20Internet%20Files\Content.Outlook\Z0Q9T2BE\Documents%20and%20Settings\hmamed\Local%20Settings\Temporary%20Internet%20Files\OLK16A\Cl&#244;ture%2011%2003\estimation%20CA%20pr&#233;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EVERYONE\CBA%20Revisions%205_97\SourcingTeam\Market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EVERYONE\CBA%20Revisions%205_97\SourcingTeam\Marketing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WINDOWS\TEMP\cap%20budget-9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WINDOWS\TEMP\cap%20budget-9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rdun\ple-ro\EVERYONE\CBA%20Revisions%205_97\SourcingTeam\Marketin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rde_sankara_ouss&#233;ni\dossiers%202008\TBG%202008\TBG%20NOVEMBRE%202008\EVERYONE\CBA%20Revisions%205_97\SourcingTeam\Marketing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Juin%2007\Dossier%20Cl&#244;ture%20Juin2007\BALANCES%20AGGEES%20AU%2030-06-0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chetouan\Local%20Settings\Temporary%20Internet%20Files\OLK4A\CIP%20%20%20NOVEMVRE%202006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f.gastinel\Local%20Settings\Temporary%20Internet%20Files\Content.Outlook\59BTPEV4\BFR1109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TEMP\LA%20Submission%20Acq%20Schedule%20-%20July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TEMP\LA%20Submission%20Acq%20Schedule%20-%20July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arde_sankara_ouss&#233;ni\dossiers%202008\TBG%202008\TBG%20NOVEMBRE%202008\Documents%20and%20Settings\Sanfo\Mes%20documents\2008\budget2008%20de%20la%20DS\TdB%20et%20Objectifs%20Data%20et%20Interne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windows\TEMP\MODELE\REEL\oldiesR2000sst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M.ElMenzhi\Bureau\R&#233;sultat%20net%20part%20du%20groupe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Documents%20and%20Settings\M.ElMenzhi\Bureau\R&#233;sultat%20net%20part%20du%20groupe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windows\TEMP\MODELE\REEL\icnewoldie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Documents%20and%20Settings\m.ouarhzani\Bureau\patrimoine%202003\WINDOWS\BUREAU\patrimoine%202000\Flux99\Rapp_r&#233;gional\CENTRA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TRESORERIE\AAASTRI3.xlw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NATEL\SIB\2006\BUDGET%202006\Documents%20and%20Settings\USER\Mes%20documents\DEMANDES%20DE%20MOYEN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windows\TEMP\Documents%20and%20Settings\castille.IAM-DG\Local%20Settings\Temporary%20Internet%20Files\OLK7\Doss%20Analyt\Classeur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jadhmamed\Local%20Settings\Temporary%20Internet%20Files\Content.Outlook\IVYLRIHG\DOSSIER%20ARCE%202010\Balance_TELMOB%2020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FEGPlanning\99%20PLAN\WriteDown%20Prov%20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2000Actuals\zSlate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Documents%20and%20Settings\b.gaulandeau.IAM-DG\Local%20Settings\Temporary%20Internet%20Files\OLK34\Proj_Budg_DR20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l.sebbata\Local%20Settings\Temporary%20Internet%20Files\OLK4\ACTU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NATEL\SIB\2006\RAPPORTS%20BUDGETAIRES\Rapport%20Budgetaire%2030-09-06\ENGAGEMENTS%20au%2009_0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Documents%20and%20Settings\moftaqir\Local%20Settings\Temporary%20Internet%20Files\OLK52\Arr&#234;t&#233;s%20Janvier%202005\Masse%20Salariale%20janvier%200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SITJTRE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ocuments%20and%20Settings\castille.IAM-DG\Local%20Settings\Temporary%20Internet%20Files\OLK7\windows\TEMP\IMMO\RME%20-%20flux%202002\MSB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ityakoub\Local%20Settings\Temporary%20Internet%20Files\OLK7\CIP%20%20%20NOVEMVRE%202006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t_IAM98\cdr98%20hors%20c.n.c\sortie_appl%2098_fixe%20hors%20c.n.c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mo.chakir\Local%20Settings\Temporary%20Internet%20Files\OLKB1\D&#233;l&#233;gations%20O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Sleona\Temporary%20Internet%20Files\OLK1C6\Debt%20analysis\04%20VU%20Liquidity%2011090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CDG\budget2005\budget2005_VD_mensual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onisankara\Local%20Settings\Temporary%20Internet%20Files\Content.Outlook\V4B57BM5\LODOCS1\FGODET\Ownership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Flux99\Rapp_r&#233;gional\CENTRAL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Users\Malitel\Documents\ADOUVENTCHIC\PROFESSION\MALITEL\CHEF%20SCE%20VI-GC\SECTION%20VI\Rapport%20journalier%20Ventes\Mai%202009\Rapport%2022-05-2009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Users\bennani\Desktop\TBG%20JUILLET\Documents%20and%20Settings\elayadi\Local%20Settings\Temporary%20Internet%20Files\OLK39\Cour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NATEL\RECAP%20Budget%202007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Mes%20documents\IMPOT\COD-COM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WINDOWS\Bureau\IMPOT\COD-COM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onisankara\Local%20Settings\Temporary%20Internet%20Files\Content.Outlook\V4B57BM5\Mina%20dokument\Budget%20Utfors%20group\270CpCBuild%20-%20All%20Sheet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ngildas\Bureau\DOSSIERS%20ETISALAT%20BENIN\EXERCICE%202017\Mars%202017\Package\TBG%20B&#233;nin%20Mars%202017_DF%20V1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NJOU21\DF_VE\Controle,%20Budget,%20Plan\hotline\Interfv2u\Documentation%20param&#233;trage%20-%20utilisation\Mapping%20CARAT%20Venus%20-%20V2U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ocuments%20and%20Settings\castille.IAM-DG\Local%20Settings\Temporary%20Internet%20Files\OLK7\windows\TEMP\Flux99\Rapp_r&#233;gional\CENTR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Mes%20documents\Consol_PFE\Suivi_consol%2003\donn&#233;es_reporting_capex_pour_acces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WIN95\TEMP\First%20Run%20Amortization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WIN95\TEMP\First%20Run%20Amortization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HOME\JB3\Excel\Amortization\1996%20Sci-Fi%20Inventory\Movie%20Amortization%20Analysi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HOME\JB3\Excel\Amortization\1996%20Sci-Fi%20Inventory\Movie%20Amortization%20Analysis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windows\TEMP\busness_plan_JPM\Model_IAM_BP_290500%20deliver%20MT3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Users\bennani\Desktop\TBG%20JUILLET\DOCUME~1\B3023~1.BEN\LOCALS~1\Temp\emeaTelval2305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SHARE\PRODACCT\Cash%20Reports\Cash%20Reports\Forecasts\2001%20Forecasts\July%202001\Forecast%20JULY%2028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SHARE\PRODACCT\Cash%20Reports\Cash%20Reports\Forecasts\2001%20Forecasts\July%202001\Forecast%20JULY%2028a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User\Local%20Settings\Temporary%20Internet%20Files\OLK1C\Rapport%20journallier%20VI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o.bensad.IAM-DG\Desktop\Cl&#244;ture%20annuelle%202014\FND\12.2014\FND%20ONATEL%2012%202014-BOFC%20VF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Users\o.bensad.IAM-DG\Desktop\Cl&#244;ture%20annuelle%202014\FND\12.2014\FND%20ONATEL%2012%202014-BOFC%20VF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Arr&#234;t&#233;%20Septbre\Arr&#234;t&#233;%20Mai\Cl&#244;ture%20Fin%20Mai\CloturFP_Mai04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1995\OCTFCST\MEL\EXEC\REC-FIN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1995\OCTFCST\MEL\EXEC\REC-FIN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Mes%20documents\Kh00iam\Kh00iam\Kh00iam\KRIAM99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ONISAN~1\LOCALS~1\Temp\Documents%20and%20Settings\Bertali\Bureau\Oct%2009\SERVICE%20IMMOBILISATIONS\IMPOT\COD-COM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windows\TEMP\Mes%20documents\Doss%20Analyt\Classeur1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GROUPE\CONSO\Conso2003\vivendi\cs%20062003\documents%20re&#231;us\Supplementary%20Schedules%20%20June%202003%20J+25%20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Ndando\Temporary%20Internet%20Files\OLKFD\Supplementary%20Schedules%20%20June%202003%20J25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N2C90~1.ARN\LOCALS~1\Temp\TD_80\6c262030\Attach\BUG2243\OPEX%202009%20reporting%20TBG%2008-2009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Localfiles\Ndando\Temporary%20Internet%20Files\OLKF\NC002%20-%20Base%20NY%2012.2004%20v3%2013.01.2004%20v3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4\DGAF-CDG-Consolidation\Localfiles\Ndando\Temporary%20Internet%20Files\OLKF\NC002%20-%20Base%20NY%2012.2004%20v3%2013.01.2004%20v3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florent\Mes%20Documents\Bureau\copie%20E%20destop\Ann&#233;e%202009\Cloture%202023\ETATS%20FINANCIERS%20CONSOLIDES%20(Moov%20Africa%20&amp;%20%20Moov%20Money)%2030%20D&#233;cembre%202023%20(V5)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ngildas\Bureau\DOSSIERS%20ETISALAT%20BENIN\EXERCICE%202018\Sept%202018\Package%20stand%20alone%20Etisalat%20B&#233;nin%20Septembre%202018'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florent\Mes%20Documents\Bureau\copie%20E%20destop\Ann&#233;e%202009\cloture%202022\R&#233;capitulatif%20Dotation%20et%20Amortissement%20au%2031%20D&#233;cembre%202022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ngildas\Bureau\DOSSIERS%20ETISALAT%20BENIN\EXERCICE%202020\Mars%202020\Copie%20de%20ETAT%20ZEXTRACT_BG%20MARS%202020%20IFR16%20MARS%2020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ngildas\Bureau\DOSSIERS%20ETISALAT%20BENIN\EXERCICE%202019\Mars%202019\Impact%20Droit%20Locatives%20BENIN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ngildas\Bureau\DOSSIERS%20ETISALAT%20BENIN\EXERCICE%202022\CA%202022\Delta%202022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ngildas\Bureau\DOSSIERS%20ETISALAT%20BENIN\EXERCICE%202020\Mars%202020\Package%20stand%20alone%20Etisalat%20B&#233;nin%20Mars%202020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e.maliji\Desktop\Cloture\2020\Cloture%206\IFRS%2016\Input\ZEXTRACT\EB%2006.2020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florent\Mes%20Documents\Bureau\copie%20E%20destop\Ann&#233;e%202009\PROJET%20SAP%20CLM\Reporting%202020\ETAT%20RECESH%20au%2031%20D&#233;cembre%202020%20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 Q v Pla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 Q v Plan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LA Submission Acq Schedule - J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 intercos"/>
      <sheetName val="Feuil1"/>
      <sheetName val="508"/>
    </sheetNames>
    <definedNames>
      <definedName name="Nb_de_paiements_par_an" refersTo="#REF!"/>
      <definedName name="Tx_intérêt_par_an" refersTo="#REF!"/>
    </definedNames>
    <sheetDataSet>
      <sheetData sheetId="0"/>
      <sheetData sheetId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MRP AT CIV"/>
    </sheetNames>
    <definedNames>
      <definedName name="___________eng3"/>
      <definedName name="__________eng3"/>
      <definedName name="_________eng3"/>
      <definedName name="________eng3"/>
      <definedName name="_______eng3"/>
      <definedName name="______eng3"/>
      <definedName name="_____eng3"/>
      <definedName name="____eng3"/>
      <definedName name="_eng3"/>
      <definedName name="aaba"/>
      <definedName name="aeaze"/>
      <definedName name="azertyu"/>
      <definedName name="BBBBBBBB"/>
      <definedName name="bcvgdhjdfhhjfev"/>
      <definedName name="bnbbb"/>
      <definedName name="Calibration"/>
      <definedName name="carte"/>
      <definedName name="CompRange1Main"/>
      <definedName name="CompRange3Main"/>
      <definedName name="DateRangeCompMain"/>
      <definedName name="DDDDDDDD"/>
      <definedName name="DDDDDDDDDD"/>
      <definedName name="dgjhgjhgjghhg"/>
      <definedName name="DJFGNSKLDH"/>
      <definedName name="dkyuk"/>
      <definedName name="dsfgsb"/>
      <definedName name="dsfsg"/>
      <definedName name="dtyiuèi"/>
      <definedName name="dtyjdtk"/>
      <definedName name="dukdtu"/>
      <definedName name="dukdu"/>
      <definedName name="dyhj"/>
      <definedName name="ededed"/>
      <definedName name="EEEEEEEEE"/>
      <definedName name="efgtyhjkoi"/>
      <definedName name="erer"/>
      <definedName name="erqt"/>
      <definedName name="EX"/>
      <definedName name="ExpandOutputs"/>
      <definedName name="ExpandVPeriods"/>
      <definedName name="ExportFile"/>
      <definedName name="fdd"/>
      <definedName name="fddr"/>
      <definedName name="fdggh"/>
      <definedName name="FDGHS"/>
      <definedName name="fdgqsjsbc"/>
      <definedName name="fdhedtbfc"/>
      <definedName name="fegc"/>
      <definedName name="fevruer"/>
      <definedName name="FG"/>
      <definedName name="fpaout"/>
      <definedName name="fzrs"/>
      <definedName name="GDFH"/>
      <definedName name="gdfjfg"/>
      <definedName name="gdhdj"/>
      <definedName name="gdsh"/>
      <definedName name="gfdgfdfhfgh"/>
      <definedName name="gfhfdl"/>
      <definedName name="gfhfj"/>
      <definedName name="gg"/>
      <definedName name="GGDHK"/>
      <definedName name="GH"/>
      <definedName name="GHFBD"/>
      <definedName name="ghfjd"/>
      <definedName name="hegch"/>
      <definedName name="hfdgdt"/>
      <definedName name="hfgjd"/>
      <definedName name="hfgjdhb"/>
      <definedName name="hfgjdk"/>
      <definedName name="hfjhfk"/>
      <definedName name="HFJHGN"/>
      <definedName name="hgchdb"/>
      <definedName name="HGDF?"/>
      <definedName name="hgdsj"/>
      <definedName name="hgfjfjfv"/>
      <definedName name="HGFJNB"/>
      <definedName name="hjkdhfgj"/>
      <definedName name="hoi"/>
      <definedName name="HSFRZ"/>
      <definedName name="IM"/>
      <definedName name="ImportFile"/>
      <definedName name="JDJY"/>
      <definedName name="jfhjkfv"/>
      <definedName name="jfhkfn"/>
      <definedName name="JFHKG"/>
      <definedName name="jhgjhgjhh"/>
      <definedName name="jhgjuy"/>
      <definedName name="JHYGB"/>
      <definedName name="jj"/>
      <definedName name="JJJJJJ"/>
      <definedName name="JNBGHVC"/>
      <definedName name="jnijk"/>
      <definedName name="JTYJKYTK"/>
      <definedName name="JYDTJKTK"/>
      <definedName name="jzrdsf"/>
      <definedName name="kdnhfg"/>
      <definedName name="kfhgdj"/>
      <definedName name="knl"/>
      <definedName name="ldgy"/>
      <definedName name="MMMMM"/>
      <definedName name="Nb_de_paiements_par_an"/>
      <definedName name="NHFGJ"/>
      <definedName name="nvbidf"/>
      <definedName name="okj"/>
      <definedName name="opex3"/>
      <definedName name="PAM"/>
      <definedName name="pr"/>
      <definedName name="ProImportExport.ImportFile"/>
      <definedName name="ProImportExport.SaveNewFile"/>
      <definedName name="PY"/>
      <definedName name="qergh"/>
      <definedName name="qethte"/>
      <definedName name="qger"/>
      <definedName name="qheh"/>
      <definedName name="qqqq"/>
      <definedName name="qqtrrt"/>
      <definedName name="qth"/>
      <definedName name="QTHRSJ"/>
      <definedName name="qtqy"/>
      <definedName name="qyqyqery"/>
      <definedName name="qzetqt"/>
      <definedName name="qztze"/>
      <definedName name="rqerger"/>
      <definedName name="save"/>
      <definedName name="SaveNewFile"/>
      <definedName name="scdv"/>
      <definedName name="SD"/>
      <definedName name="sfdff"/>
      <definedName name="sfgjhsf"/>
      <definedName name="sfgjsf"/>
      <definedName name="sfsfc"/>
      <definedName name="sh"/>
      <definedName name="shdrhjrt"/>
      <definedName name="shst"/>
      <definedName name="sjg"/>
      <definedName name="Tx_intérêt_par_an"/>
      <definedName name="uykfu"/>
      <definedName name="V"/>
      <definedName name="yyyy"/>
    </defined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ID ATN"/>
    </sheetNames>
    <definedNames>
      <definedName name="___________eng3"/>
      <definedName name="__________eng3"/>
      <definedName name="_________eng3"/>
      <definedName name="________eng3"/>
      <definedName name="_______eng3"/>
      <definedName name="______eng3"/>
      <definedName name="_____eng3"/>
      <definedName name="____eng3"/>
      <definedName name="_eng3"/>
      <definedName name="aaba"/>
      <definedName name="aeaze"/>
      <definedName name="azertyu"/>
      <definedName name="BBBBBBBB"/>
      <definedName name="bcvgdhjdfhhjfev"/>
      <definedName name="bnbbb"/>
      <definedName name="Calibration"/>
      <definedName name="carte"/>
      <definedName name="CompRange1Main"/>
      <definedName name="CompRange3Main"/>
      <definedName name="DateRangeCompMain"/>
      <definedName name="DDDDDDDD"/>
      <definedName name="DDDDDDDDDD"/>
      <definedName name="dgjhgjhgjghhg"/>
      <definedName name="DJFGNSKLDH"/>
      <definedName name="dkyuk"/>
      <definedName name="dsfgsb"/>
      <definedName name="dsfsg"/>
      <definedName name="dtyiuèi"/>
      <definedName name="dtyjdtk"/>
      <definedName name="dukdtu"/>
      <definedName name="dukdu"/>
      <definedName name="dyhj"/>
      <definedName name="ededed"/>
      <definedName name="EEEEEEEEE"/>
      <definedName name="efgtyhjkoi"/>
      <definedName name="erer"/>
      <definedName name="erqt"/>
      <definedName name="EX"/>
      <definedName name="ExpandOutputs"/>
      <definedName name="ExpandVPeriods"/>
      <definedName name="ExportFile"/>
      <definedName name="fdd"/>
      <definedName name="fddr"/>
      <definedName name="fdggh"/>
      <definedName name="FDGHS"/>
      <definedName name="fdgqsjsbc"/>
      <definedName name="fdhedtbfc"/>
      <definedName name="fegc"/>
      <definedName name="fevruer"/>
      <definedName name="FG"/>
      <definedName name="fpaout"/>
      <definedName name="fzrs"/>
      <definedName name="GDFH"/>
      <definedName name="gdfjfg"/>
      <definedName name="gdhdj"/>
      <definedName name="gdsh"/>
      <definedName name="gfdgfdfhfgh"/>
      <definedName name="gfhfdl"/>
      <definedName name="gfhfj"/>
      <definedName name="gg"/>
      <definedName name="GGDHK"/>
      <definedName name="GH"/>
      <definedName name="GHFBD"/>
      <definedName name="ghfjd"/>
      <definedName name="hegch"/>
      <definedName name="hfdgdt"/>
      <definedName name="hfgjd"/>
      <definedName name="hfgjdhb"/>
      <definedName name="hfgjdk"/>
      <definedName name="hfjhfk"/>
      <definedName name="HFJHGN"/>
      <definedName name="hgchdb"/>
      <definedName name="HGDF?"/>
      <definedName name="hgdsj"/>
      <definedName name="hgfjfjfv"/>
      <definedName name="HGFJNB"/>
      <definedName name="hjkdhfgj"/>
      <definedName name="hoi"/>
      <definedName name="HSFRZ"/>
      <definedName name="IM"/>
      <definedName name="ImportFile"/>
      <definedName name="JDJY"/>
      <definedName name="jfhjkfv"/>
      <definedName name="jfhkfn"/>
      <definedName name="JFHKG"/>
      <definedName name="jhgjhgjhh"/>
      <definedName name="jhgjuy"/>
      <definedName name="JHYGB"/>
      <definedName name="jj"/>
      <definedName name="JJJJJJ"/>
      <definedName name="JNBGHVC"/>
      <definedName name="jnijk"/>
      <definedName name="JTYJKYTK"/>
      <definedName name="JYDTJKTK"/>
      <definedName name="jzrdsf"/>
      <definedName name="kdnhfg"/>
      <definedName name="kfhgdj"/>
      <definedName name="knl"/>
      <definedName name="ldgy"/>
      <definedName name="MMMMM"/>
      <definedName name="Nb_de_paiements_par_an"/>
      <definedName name="NHFGJ"/>
      <definedName name="nvbidf"/>
      <definedName name="okj"/>
      <definedName name="opex3"/>
      <definedName name="PAM"/>
      <definedName name="pr"/>
      <definedName name="ProImportExport.ImportFile"/>
      <definedName name="ProImportExport.SaveNewFile"/>
      <definedName name="PY"/>
      <definedName name="qergh"/>
      <definedName name="qethte"/>
      <definedName name="qger"/>
      <definedName name="qheh"/>
      <definedName name="qqqq"/>
      <definedName name="qqtrrt"/>
      <definedName name="qth"/>
      <definedName name="QTHRSJ"/>
      <definedName name="qtqy"/>
      <definedName name="qyqyqery"/>
      <definedName name="qzetqt"/>
      <definedName name="qztze"/>
      <definedName name="rqerger"/>
      <definedName name="save"/>
      <definedName name="SaveNewFile"/>
      <definedName name="scdv"/>
      <definedName name="SD"/>
      <definedName name="sfdff"/>
      <definedName name="sfgjhsf"/>
      <definedName name="sfgjsf"/>
      <definedName name="sfsfc"/>
      <definedName name="sh"/>
      <definedName name="shdrhjrt"/>
      <definedName name="shst"/>
      <definedName name="sjg"/>
      <definedName name="Tx_intérêt_par_an"/>
      <definedName name="uykfu"/>
      <definedName name="V"/>
      <definedName name="yyyy"/>
    </defined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MRP AT CIV"/>
    </sheetNames>
    <definedNames>
      <definedName name="___________eng3"/>
      <definedName name="__________eng3"/>
      <definedName name="_________eng3"/>
      <definedName name="________eng3"/>
      <definedName name="_______eng3"/>
      <definedName name="______eng3"/>
      <definedName name="_____eng3"/>
      <definedName name="____eng3"/>
      <definedName name="_eng3"/>
      <definedName name="aaba"/>
      <definedName name="aeaze"/>
      <definedName name="azertyu"/>
      <definedName name="BBBBBBBB"/>
      <definedName name="bcvgdhjdfhhjfev"/>
      <definedName name="bnbbb"/>
      <definedName name="Calibration"/>
      <definedName name="carte"/>
      <definedName name="CompRange1Main"/>
      <definedName name="CompRange3Main"/>
      <definedName name="DateRangeCompMain"/>
      <definedName name="DDDDDDDD"/>
      <definedName name="DDDDDDDDDD"/>
      <definedName name="dgjhgjhgjghhg"/>
      <definedName name="DJFGNSKLDH"/>
      <definedName name="dkyuk"/>
      <definedName name="dsfgsb"/>
      <definedName name="dsfsg"/>
      <definedName name="dtyiuèi"/>
      <definedName name="dtyjdtk"/>
      <definedName name="dukdtu"/>
      <definedName name="dukdu"/>
      <definedName name="dyhj"/>
      <definedName name="ededed"/>
      <definedName name="EEEEEEEEE"/>
      <definedName name="efgtyhjkoi"/>
      <definedName name="erer"/>
      <definedName name="erqt"/>
      <definedName name="EX"/>
      <definedName name="ExpandOutputs"/>
      <definedName name="ExpandVPeriods"/>
      <definedName name="ExportFile"/>
      <definedName name="fdd"/>
      <definedName name="fddr"/>
      <definedName name="fdggh"/>
      <definedName name="FDGHS"/>
      <definedName name="fdgqsjsbc"/>
      <definedName name="fdhedtbfc"/>
      <definedName name="fegc"/>
      <definedName name="fevruer"/>
      <definedName name="FG"/>
      <definedName name="fpaout"/>
      <definedName name="fzrs"/>
      <definedName name="GDFH"/>
      <definedName name="gdfjfg"/>
      <definedName name="gdhdj"/>
      <definedName name="gdsh"/>
      <definedName name="gfdgfdfhfgh"/>
      <definedName name="gfhfdl"/>
      <definedName name="gfhfj"/>
      <definedName name="gg"/>
      <definedName name="GGDHK"/>
      <definedName name="GH"/>
      <definedName name="GHFBD"/>
      <definedName name="ghfjd"/>
      <definedName name="hegch"/>
      <definedName name="hfdgdt"/>
      <definedName name="hfgjd"/>
      <definedName name="hfgjdhb"/>
      <definedName name="hfgjdk"/>
      <definedName name="hfjhfk"/>
      <definedName name="HFJHGN"/>
      <definedName name="hgchdb"/>
      <definedName name="HGDF?"/>
      <definedName name="hgdsj"/>
      <definedName name="hgfjfjfv"/>
      <definedName name="HGFJNB"/>
      <definedName name="hjkdhfgj"/>
      <definedName name="hoi"/>
      <definedName name="HSFRZ"/>
      <definedName name="IM"/>
      <definedName name="ImportFile"/>
      <definedName name="JDJY"/>
      <definedName name="jfhjkfv"/>
      <definedName name="jfhkfn"/>
      <definedName name="JFHKG"/>
      <definedName name="jhgjhgjhh"/>
      <definedName name="jhgjuy"/>
      <definedName name="JHYGB"/>
      <definedName name="jj"/>
      <definedName name="JJJJJJ"/>
      <definedName name="JNBGHVC"/>
      <definedName name="jnijk"/>
      <definedName name="JTYJKYTK"/>
      <definedName name="JYDTJKTK"/>
      <definedName name="jzrdsf"/>
      <definedName name="kdnhfg"/>
      <definedName name="kfhgdj"/>
      <definedName name="knl"/>
      <definedName name="ldgy"/>
      <definedName name="MMMMM"/>
      <definedName name="Nb_de_paiements_par_an"/>
      <definedName name="NHFGJ"/>
      <definedName name="nvbidf"/>
      <definedName name="okj"/>
      <definedName name="opex3"/>
      <definedName name="PAM"/>
      <definedName name="pr"/>
      <definedName name="ProImportExport.ImportFile"/>
      <definedName name="ProImportExport.SaveNewFile"/>
      <definedName name="PY"/>
      <definedName name="qergh"/>
      <definedName name="qethte"/>
      <definedName name="qger"/>
      <definedName name="qheh"/>
      <definedName name="qqqq"/>
      <definedName name="qqtrrt"/>
      <definedName name="qth"/>
      <definedName name="QTHRSJ"/>
      <definedName name="qtqy"/>
      <definedName name="qyqyqery"/>
      <definedName name="qzetqt"/>
      <definedName name="qztze"/>
      <definedName name="rqerger"/>
      <definedName name="save"/>
      <definedName name="SaveNewFile"/>
      <definedName name="scdv"/>
      <definedName name="SD"/>
      <definedName name="sfdff"/>
      <definedName name="sfgjhsf"/>
      <definedName name="sfgjsf"/>
      <definedName name="sfsfc"/>
      <definedName name="sh"/>
      <definedName name="shdrhjrt"/>
      <definedName name="shst"/>
      <definedName name="sjg"/>
      <definedName name="Tx_intérêt_par_an"/>
      <definedName name="uykfu"/>
      <definedName name="V"/>
      <definedName name="yyyy"/>
    </defined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CENT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4">
          <cell r="C4">
            <v>2007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  <sheetName val="data"/>
      <sheetName val="datastream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SC - Marke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  <sheetName val="FX Rates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dir99"/>
      <sheetName val="Nég99"/>
      <sheetName val="6135-1"/>
      <sheetName val="7 DR Source"/>
      <sheetName val="Réal_Sc+Soc"/>
      <sheetName val="Réal_Prév98"/>
      <sheetName val="PDTS_IAM 99"/>
      <sheetName val="Social99"/>
      <sheetName val="verdal99"/>
      <sheetName val="Ver99dir"/>
      <sheetName val="Total_IAM 99"/>
      <sheetName val="Ent_IAM99"/>
      <sheetName val="Imp_DRT_99"/>
      <sheetName val="%DRT98IAM"/>
      <sheetName val="DCT_IAM98 "/>
      <sheetName val="Rend98_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  <sheetName val="aga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>
        <row r="202">
          <cell r="Q202">
            <v>0</v>
          </cell>
        </row>
      </sheetData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>
        <row r="202">
          <cell r="Q202">
            <v>0</v>
          </cell>
        </row>
      </sheetData>
      <sheetData sheetId="50">
        <row r="202">
          <cell r="Q202">
            <v>0</v>
          </cell>
        </row>
      </sheetData>
      <sheetData sheetId="51">
        <row r="202">
          <cell r="Q202">
            <v>0</v>
          </cell>
        </row>
      </sheetData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T_Exist98"/>
      <sheetName val="DCT_créa98"/>
      <sheetName val="DCT_Calcul98"/>
      <sheetName val="DCT_transp98"/>
      <sheetName val="DCT_titu98+Ren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brutes QS PRESELECTION"/>
      <sheetName val="TdB PRESELECTION"/>
      <sheetName val="Detail mensuel"/>
      <sheetName val="Cumul"/>
      <sheetName val="F-Présélection"/>
      <sheetName val="ARRIVEE"/>
      <sheetName val="Data"/>
      <sheetName val="DCT_titu98+Rend"/>
      <sheetName val="Assum"/>
      <sheetName val="Rend98_99"/>
      <sheetName val="MOB"/>
      <sheetName val="A"/>
      <sheetName val="Listes"/>
      <sheetName val="Donnees_brutes_QS_PRESELECTION"/>
      <sheetName val="TdB_PRESELECTION"/>
      <sheetName val="Detail_mensuel"/>
      <sheetName val="Donnees_brutes_QS_PRESELECTION1"/>
      <sheetName val="TdB_PRESELECTION1"/>
      <sheetName val="Detail_mensuel1"/>
      <sheetName val="P.EQUIPEMENT99"/>
      <sheetName val="A300"/>
      <sheetName val="人员定义"/>
      <sheetName val="revenus hors intercomp."/>
      <sheetName val="Project_Summary"/>
      <sheetName val="Donnees_brutes_QS_PRESELECTION3"/>
      <sheetName val="TdB_PRESELECTION3"/>
      <sheetName val="Detail_mensuel3"/>
      <sheetName val="Donnees_brutes_QS_PRESELECTION2"/>
      <sheetName val="TdB_PRESELECTION2"/>
      <sheetName val="Detail_mensuel2"/>
      <sheetName val="Donnees_brutes_QS_PRESELECTION4"/>
      <sheetName val="TdB_PRESELECTION4"/>
      <sheetName val="Detail_mensuel4"/>
      <sheetName val="Donnees_brutes_QS_PRESELECTION6"/>
      <sheetName val="TdB_PRESELECTION6"/>
      <sheetName val="Detail_mensuel6"/>
      <sheetName val="Donnees_brutes_QS_PRESELECTION5"/>
      <sheetName val="TdB_PRESELECTION5"/>
      <sheetName val="Detail_mensuel5"/>
      <sheetName val="G"/>
      <sheetName val="Donnees_brutes_QS_PRESELECTION7"/>
      <sheetName val="TdB_PRESELECTION7"/>
      <sheetName val="Detail_mensuel7"/>
      <sheetName val="P_EQUIPEMENT99"/>
      <sheetName val="revenus_hors_intercomp_"/>
      <sheetName val="CH95"/>
      <sheetName val="SUMMARY"/>
      <sheetName val="EPE&amp;DC"/>
      <sheetName val="Donnees_brutes_QS_PRESELECTION9"/>
      <sheetName val="TdB_PRESELECTION9"/>
      <sheetName val="Detail_mensuel9"/>
      <sheetName val="P_EQUIPEMENT992"/>
      <sheetName val="revenus_hors_intercomp_2"/>
      <sheetName val="Donnees_brutes_QS_PRESELECTION8"/>
      <sheetName val="TdB_PRESELECTION8"/>
      <sheetName val="Detail_mensuel8"/>
      <sheetName val="P_EQUIPEMENT991"/>
      <sheetName val="revenus_hors_intercomp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  <sheetName val="A"/>
      <sheetName val="CA Internet"/>
      <sheetName val="Detail mensuel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  <sheetName val="FX Rates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on CA prép"/>
      <sheetName val="#REF"/>
      <sheetName val="SC - Market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s"/>
      <sheetName val="Vente recharges"/>
      <sheetName val="Rapport Période"/>
      <sheetName val="Suivi Mensuel"/>
      <sheetName val="Vente Annuelle"/>
      <sheetName val="Suivi Annuel"/>
      <sheetName val="Vente Mensuelle Master"/>
      <sheetName val="Vente Annuel Master"/>
      <sheetName val="Suivi Stocks"/>
      <sheetName val="Evènements"/>
      <sheetName val="Liste des Partenaires"/>
      <sheetName val="#REF"/>
      <sheetName val="SC - Marketing"/>
      <sheetName val="ALSK"/>
      <sheetName val="Issues"/>
      <sheetName val="AT"/>
      <sheetName val="VZ"/>
      <sheetName val="BLS"/>
      <sheetName val="CTL"/>
      <sheetName val="A.I.A"/>
      <sheetName val="BATIMENT"/>
      <sheetName val="Vente_recharges"/>
      <sheetName val="Rapport_Période"/>
      <sheetName val="Suivi_Mensuel"/>
      <sheetName val="Vente_Annuelle"/>
      <sheetName val="Suivi_Annuel"/>
      <sheetName val="Vente_Mensuelle_Master"/>
      <sheetName val="Vente_Annuel_Master"/>
      <sheetName val="Suivi_Stocks"/>
      <sheetName val="Liste_des_Partenaires"/>
      <sheetName val="SC_-_Marketing"/>
      <sheetName val="data"/>
      <sheetName val="datastream"/>
      <sheetName val="Vente_recharges1"/>
      <sheetName val="Rapport_Période1"/>
      <sheetName val="Suivi_Mensuel1"/>
      <sheetName val="Vente_Annuelle1"/>
      <sheetName val="Suivi_Annuel1"/>
      <sheetName val="Vente_Mensuelle_Master1"/>
      <sheetName val="Vente_Annuel_Master1"/>
      <sheetName val="Suivi_Stocks1"/>
      <sheetName val="Liste_des_Partenaires1"/>
      <sheetName val="SC_-_Marketing1"/>
      <sheetName val="A_I_A"/>
    </sheetNames>
    <sheetDataSet>
      <sheetData sheetId="0" refreshError="1">
        <row r="2">
          <cell r="I2">
            <v>2007</v>
          </cell>
          <cell r="J2" t="str">
            <v>STS GAMBY &amp; FRERES (SOGAF) SarlScratch 1 000</v>
          </cell>
          <cell r="L2">
            <v>1</v>
          </cell>
          <cell r="M2" t="str">
            <v>1STS GAMBY &amp; FRERES (SOGAF) Sarl</v>
          </cell>
          <cell r="N2" t="str">
            <v>STS GAMBY &amp; FRERES (SOGAF) SarlScratch 1 000</v>
          </cell>
          <cell r="O2" t="str">
            <v>STS GAMBY &amp; FRERES (SOGAF) Sarl</v>
          </cell>
          <cell r="P2" t="str">
            <v>Scratch 1 000</v>
          </cell>
          <cell r="Q2" t="str">
            <v>12007</v>
          </cell>
          <cell r="R2" t="str">
            <v>12007Scratch 1 000</v>
          </cell>
          <cell r="S2" t="str">
            <v>2007Scratch 1 000</v>
          </cell>
          <cell r="T2" t="str">
            <v>12007STS GAMBY &amp; FRERES (SOGAF) Sarl</v>
          </cell>
          <cell r="U2" t="str">
            <v>12007STS GAMBY &amp; FRERES (SOGAF) SarlScratch 1 000</v>
          </cell>
          <cell r="V2" t="str">
            <v>39084Scratch 1 000</v>
          </cell>
          <cell r="W2" t="str">
            <v>2007STS GAMBY &amp; FRERES (SOGAF) Sarl</v>
          </cell>
          <cell r="X2" t="str">
            <v>2007STS GAMBY &amp; FRERES (SOGAF) SarlScratch 1 000</v>
          </cell>
        </row>
        <row r="3">
          <cell r="I3">
            <v>2007</v>
          </cell>
          <cell r="J3" t="str">
            <v>STS GAMBY &amp; FRERES (SOGAF) SarlScratch 2 500</v>
          </cell>
          <cell r="L3">
            <v>0</v>
          </cell>
          <cell r="M3" t="str">
            <v>STS GAMBY &amp; FRERES (SOGAF) Sarl</v>
          </cell>
          <cell r="N3" t="str">
            <v>STS GAMBY &amp; FRERES (SOGAF) SarlScratch 2 500</v>
          </cell>
          <cell r="O3" t="str">
            <v>STS GAMBY &amp; FRERES (SOGAF) Sarl</v>
          </cell>
          <cell r="P3" t="str">
            <v>Scratch 2 500</v>
          </cell>
          <cell r="Q3" t="str">
            <v>12007</v>
          </cell>
          <cell r="R3" t="str">
            <v>12007Scratch 2 500</v>
          </cell>
          <cell r="S3" t="str">
            <v>2007Scratch 2 500</v>
          </cell>
          <cell r="T3" t="str">
            <v>12007STS GAMBY &amp; FRERES (SOGAF) Sarl</v>
          </cell>
          <cell r="U3" t="str">
            <v>12007STS GAMBY &amp; FRERES (SOGAF) SarlScratch 2 500</v>
          </cell>
          <cell r="V3" t="str">
            <v>39084Scratch 2 500</v>
          </cell>
          <cell r="W3" t="str">
            <v>2007STS GAMBY &amp; FRERES (SOGAF) Sarl</v>
          </cell>
          <cell r="X3" t="str">
            <v>2007STS GAMBY &amp; FRERES (SOGAF) SarlScratch 2 500</v>
          </cell>
        </row>
        <row r="4">
          <cell r="I4">
            <v>2007</v>
          </cell>
          <cell r="J4" t="str">
            <v>STS GAMBY &amp; FRERES (SOGAF) SarlScratch 5 000</v>
          </cell>
          <cell r="L4">
            <v>0</v>
          </cell>
          <cell r="M4" t="str">
            <v>STS GAMBY &amp; FRERES (SOGAF) Sarl</v>
          </cell>
          <cell r="N4" t="str">
            <v>STS GAMBY &amp; FRERES (SOGAF) SarlScratch 5 000</v>
          </cell>
          <cell r="O4" t="str">
            <v>STS GAMBY &amp; FRERES (SOGAF) Sarl</v>
          </cell>
          <cell r="P4" t="str">
            <v>Scratch 5 000</v>
          </cell>
          <cell r="Q4" t="str">
            <v>12007</v>
          </cell>
          <cell r="R4" t="str">
            <v>12007Scratch 5 000</v>
          </cell>
          <cell r="S4" t="str">
            <v>2007Scratch 5 000</v>
          </cell>
          <cell r="T4" t="str">
            <v>12007STS GAMBY &amp; FRERES (SOGAF) Sarl</v>
          </cell>
          <cell r="U4" t="str">
            <v>12007STS GAMBY &amp; FRERES (SOGAF) SarlScratch 5 000</v>
          </cell>
          <cell r="V4" t="str">
            <v>39084Scratch 5 000</v>
          </cell>
          <cell r="W4" t="str">
            <v>2007STS GAMBY &amp; FRERES (SOGAF) Sarl</v>
          </cell>
          <cell r="X4" t="str">
            <v>2007STS GAMBY &amp; FRERES (SOGAF) SarlScratch 5 000</v>
          </cell>
        </row>
        <row r="5">
          <cell r="I5">
            <v>2007</v>
          </cell>
          <cell r="J5" t="str">
            <v>MALI COM SarlScratch 1 000</v>
          </cell>
          <cell r="L5">
            <v>1</v>
          </cell>
          <cell r="M5" t="str">
            <v>1MALI COM Sarl</v>
          </cell>
          <cell r="N5" t="str">
            <v>MALI COM SarlScratch 1 000</v>
          </cell>
          <cell r="O5" t="str">
            <v>MALI COM Sarl</v>
          </cell>
          <cell r="P5" t="str">
            <v>Scratch 1 000</v>
          </cell>
          <cell r="Q5" t="str">
            <v>12007</v>
          </cell>
          <cell r="R5" t="str">
            <v>12007Scratch 1 000</v>
          </cell>
          <cell r="S5" t="str">
            <v>2007Scratch 1 000</v>
          </cell>
          <cell r="T5" t="str">
            <v>12007MALI COM Sarl</v>
          </cell>
          <cell r="U5" t="str">
            <v>12007MALI COM SarlScratch 1 000</v>
          </cell>
          <cell r="V5" t="str">
            <v>39084Scratch 1 000</v>
          </cell>
          <cell r="W5" t="str">
            <v>2007MALI COM Sarl</v>
          </cell>
          <cell r="X5" t="str">
            <v>2007MALI COM SarlScratch 1 000</v>
          </cell>
        </row>
        <row r="6">
          <cell r="I6">
            <v>2007</v>
          </cell>
          <cell r="J6" t="str">
            <v>MALI COM SarlScratch 2 500</v>
          </cell>
          <cell r="L6">
            <v>0</v>
          </cell>
          <cell r="M6" t="str">
            <v>MALI COM Sarl</v>
          </cell>
          <cell r="N6" t="str">
            <v>MALI COM SarlScratch 2 500</v>
          </cell>
          <cell r="O6" t="str">
            <v>MALI COM Sarl</v>
          </cell>
          <cell r="P6" t="str">
            <v>Scratch 2 500</v>
          </cell>
          <cell r="Q6" t="str">
            <v>12007</v>
          </cell>
          <cell r="R6" t="str">
            <v>12007Scratch 2 500</v>
          </cell>
          <cell r="S6" t="str">
            <v>2007Scratch 2 500</v>
          </cell>
          <cell r="T6" t="str">
            <v>12007MALI COM Sarl</v>
          </cell>
          <cell r="U6" t="str">
            <v>12007MALI COM SarlScratch 2 500</v>
          </cell>
          <cell r="V6" t="str">
            <v>39084Scratch 2 500</v>
          </cell>
          <cell r="W6" t="str">
            <v>2007MALI COM Sarl</v>
          </cell>
          <cell r="X6" t="str">
            <v>2007MALI COM SarlScratch 2 500</v>
          </cell>
        </row>
        <row r="7">
          <cell r="I7">
            <v>2007</v>
          </cell>
          <cell r="J7" t="str">
            <v>MALI COM SarlScratch 5 000</v>
          </cell>
          <cell r="L7">
            <v>0</v>
          </cell>
          <cell r="M7" t="str">
            <v>MALI COM Sarl</v>
          </cell>
          <cell r="N7" t="str">
            <v>MALI COM SarlScratch 5 000</v>
          </cell>
          <cell r="O7" t="str">
            <v>MALI COM Sarl</v>
          </cell>
          <cell r="P7" t="str">
            <v>Scratch 5 000</v>
          </cell>
          <cell r="Q7" t="str">
            <v>12007</v>
          </cell>
          <cell r="R7" t="str">
            <v>12007Scratch 5 000</v>
          </cell>
          <cell r="S7" t="str">
            <v>2007Scratch 5 000</v>
          </cell>
          <cell r="T7" t="str">
            <v>12007MALI COM Sarl</v>
          </cell>
          <cell r="U7" t="str">
            <v>12007MALI COM SarlScratch 5 000</v>
          </cell>
          <cell r="V7" t="str">
            <v>39084Scratch 5 000</v>
          </cell>
          <cell r="W7" t="str">
            <v>2007MALI COM Sarl</v>
          </cell>
          <cell r="X7" t="str">
            <v>2007MALI COM SarlScratch 5 000</v>
          </cell>
        </row>
        <row r="8">
          <cell r="I8">
            <v>2007</v>
          </cell>
          <cell r="J8" t="str">
            <v>MALI COM SarlScratch 10 000</v>
          </cell>
          <cell r="L8">
            <v>0</v>
          </cell>
          <cell r="M8" t="str">
            <v>MALI COM Sarl</v>
          </cell>
          <cell r="N8" t="str">
            <v>MALI COM SarlScratch 10 000</v>
          </cell>
          <cell r="O8" t="str">
            <v>MALI COM Sarl</v>
          </cell>
          <cell r="P8" t="str">
            <v>Scratch 10 000</v>
          </cell>
          <cell r="Q8" t="str">
            <v>12007</v>
          </cell>
          <cell r="R8" t="str">
            <v>12007Scratch 10 000</v>
          </cell>
          <cell r="S8" t="str">
            <v>2007Scratch 10 000</v>
          </cell>
          <cell r="T8" t="str">
            <v>12007MALI COM Sarl</v>
          </cell>
          <cell r="U8" t="str">
            <v>12007MALI COM SarlScratch 10 000</v>
          </cell>
          <cell r="V8" t="str">
            <v>39084Scratch 10 000</v>
          </cell>
          <cell r="W8" t="str">
            <v>2007MALI COM Sarl</v>
          </cell>
          <cell r="X8" t="str">
            <v>2007MALI COM SarlScratch 10 000</v>
          </cell>
        </row>
        <row r="9">
          <cell r="I9">
            <v>2007</v>
          </cell>
          <cell r="J9" t="str">
            <v>MALI COM SarlScratch 20 000</v>
          </cell>
          <cell r="L9">
            <v>0</v>
          </cell>
          <cell r="M9" t="str">
            <v>MALI COM Sarl</v>
          </cell>
          <cell r="N9" t="str">
            <v>MALI COM SarlScratch 20 000</v>
          </cell>
          <cell r="O9" t="str">
            <v>MALI COM Sarl</v>
          </cell>
          <cell r="P9" t="str">
            <v>Scratch 20 000</v>
          </cell>
          <cell r="Q9" t="str">
            <v>12007</v>
          </cell>
          <cell r="R9" t="str">
            <v>12007Scratch 20 000</v>
          </cell>
          <cell r="S9" t="str">
            <v>2007Scratch 20 000</v>
          </cell>
          <cell r="T9" t="str">
            <v>12007MALI COM Sarl</v>
          </cell>
          <cell r="U9" t="str">
            <v>12007MALI COM SarlScratch 20 000</v>
          </cell>
          <cell r="V9" t="str">
            <v>39084Scratch 20 000</v>
          </cell>
          <cell r="W9" t="str">
            <v>2007MALI COM Sarl</v>
          </cell>
          <cell r="X9" t="str">
            <v>2007MALI COM SarlScratch 20 000</v>
          </cell>
        </row>
        <row r="10">
          <cell r="I10">
            <v>2007</v>
          </cell>
          <cell r="J10" t="str">
            <v>Compagnie Internationale de NegoceScratch 1 000</v>
          </cell>
          <cell r="L10">
            <v>1</v>
          </cell>
          <cell r="M10" t="str">
            <v>1Compagnie Internationale de Negoce</v>
          </cell>
          <cell r="N10" t="str">
            <v>Compagnie Internationale de NegoceScratch 1 000</v>
          </cell>
          <cell r="O10" t="str">
            <v>Compagnie Internationale de Negoce</v>
          </cell>
          <cell r="P10" t="str">
            <v>Scratch 1 000</v>
          </cell>
          <cell r="Q10" t="str">
            <v>12007</v>
          </cell>
          <cell r="R10" t="str">
            <v>12007Scratch 1 000</v>
          </cell>
          <cell r="S10" t="str">
            <v>2007Scratch 1 000</v>
          </cell>
          <cell r="T10" t="str">
            <v>12007Compagnie Internationale de Negoce</v>
          </cell>
          <cell r="U10" t="str">
            <v>12007Compagnie Internationale de NegoceScratch 1 000</v>
          </cell>
          <cell r="V10" t="str">
            <v>39084Scratch 1 000</v>
          </cell>
          <cell r="W10" t="str">
            <v>2007Compagnie Internationale de Negoce</v>
          </cell>
          <cell r="X10" t="str">
            <v>2007Compagnie Internationale de NegoceScratch 1 000</v>
          </cell>
        </row>
        <row r="11">
          <cell r="I11">
            <v>2007</v>
          </cell>
          <cell r="J11" t="str">
            <v>Compagnie Internationale de NegoceScratch 2 500</v>
          </cell>
          <cell r="L11">
            <v>0</v>
          </cell>
          <cell r="M11" t="str">
            <v>Compagnie Internationale de Negoce</v>
          </cell>
          <cell r="N11" t="str">
            <v>Compagnie Internationale de NegoceScratch 2 500</v>
          </cell>
          <cell r="O11" t="str">
            <v>Compagnie Internationale de Negoce</v>
          </cell>
          <cell r="P11" t="str">
            <v>Scratch 2 500</v>
          </cell>
          <cell r="Q11" t="str">
            <v>12007</v>
          </cell>
          <cell r="R11" t="str">
            <v>12007Scratch 2 500</v>
          </cell>
          <cell r="S11" t="str">
            <v>2007Scratch 2 500</v>
          </cell>
          <cell r="T11" t="str">
            <v>12007Compagnie Internationale de Negoce</v>
          </cell>
          <cell r="U11" t="str">
            <v>12007Compagnie Internationale de NegoceScratch 2 500</v>
          </cell>
          <cell r="V11" t="str">
            <v>39084Scratch 2 500</v>
          </cell>
          <cell r="W11" t="str">
            <v>2007Compagnie Internationale de Negoce</v>
          </cell>
          <cell r="X11" t="str">
            <v>2007Compagnie Internationale de NegoceScratch 2 500</v>
          </cell>
        </row>
        <row r="12">
          <cell r="I12">
            <v>2007</v>
          </cell>
          <cell r="J12" t="str">
            <v>Compagnie Internationale de NegoceScratch 5 000</v>
          </cell>
          <cell r="L12">
            <v>0</v>
          </cell>
          <cell r="M12" t="str">
            <v>Compagnie Internationale de Negoce</v>
          </cell>
          <cell r="N12" t="str">
            <v>Compagnie Internationale de NegoceScratch 5 000</v>
          </cell>
          <cell r="O12" t="str">
            <v>Compagnie Internationale de Negoce</v>
          </cell>
          <cell r="P12" t="str">
            <v>Scratch 5 000</v>
          </cell>
          <cell r="Q12" t="str">
            <v>12007</v>
          </cell>
          <cell r="R12" t="str">
            <v>12007Scratch 5 000</v>
          </cell>
          <cell r="S12" t="str">
            <v>2007Scratch 5 000</v>
          </cell>
          <cell r="T12" t="str">
            <v>12007Compagnie Internationale de Negoce</v>
          </cell>
          <cell r="U12" t="str">
            <v>12007Compagnie Internationale de NegoceScratch 5 000</v>
          </cell>
          <cell r="V12" t="str">
            <v>39084Scratch 5 000</v>
          </cell>
          <cell r="W12" t="str">
            <v>2007Compagnie Internationale de Negoce</v>
          </cell>
          <cell r="X12" t="str">
            <v>2007Compagnie Internationale de NegoceScratch 5 000</v>
          </cell>
        </row>
        <row r="13">
          <cell r="I13">
            <v>2007</v>
          </cell>
          <cell r="J13" t="str">
            <v>GEMATELScratch 1 000</v>
          </cell>
          <cell r="L13">
            <v>1</v>
          </cell>
          <cell r="M13" t="str">
            <v>1GEMATEL</v>
          </cell>
          <cell r="N13" t="str">
            <v>GEMATELScratch 1 000</v>
          </cell>
          <cell r="O13" t="str">
            <v>GEMATEL</v>
          </cell>
          <cell r="P13" t="str">
            <v>Scratch 1 000</v>
          </cell>
          <cell r="Q13" t="str">
            <v>12007</v>
          </cell>
          <cell r="R13" t="str">
            <v>12007Scratch 1 000</v>
          </cell>
          <cell r="S13" t="str">
            <v>2007Scratch 1 000</v>
          </cell>
          <cell r="T13" t="str">
            <v>12007GEMATEL</v>
          </cell>
          <cell r="U13" t="str">
            <v>12007GEMATELScratch 1 000</v>
          </cell>
          <cell r="V13" t="str">
            <v>39085Scratch 1 000</v>
          </cell>
          <cell r="W13" t="str">
            <v>2007GEMATEL</v>
          </cell>
          <cell r="X13" t="str">
            <v>2007GEMATELScratch 1 000</v>
          </cell>
        </row>
        <row r="14">
          <cell r="I14">
            <v>2007</v>
          </cell>
          <cell r="J14" t="str">
            <v>GEMATELScratch 5 000</v>
          </cell>
          <cell r="L14">
            <v>0</v>
          </cell>
          <cell r="M14" t="str">
            <v>GEMATEL</v>
          </cell>
          <cell r="N14" t="str">
            <v>GEMATELScratch 5 000</v>
          </cell>
          <cell r="O14" t="str">
            <v>GEMATEL</v>
          </cell>
          <cell r="P14" t="str">
            <v>Scratch 5 000</v>
          </cell>
          <cell r="Q14" t="str">
            <v>12007</v>
          </cell>
          <cell r="R14" t="str">
            <v>12007Scratch 5 000</v>
          </cell>
          <cell r="S14" t="str">
            <v>2007Scratch 5 000</v>
          </cell>
          <cell r="T14" t="str">
            <v>12007GEMATEL</v>
          </cell>
          <cell r="U14" t="str">
            <v>12007GEMATELScratch 5 000</v>
          </cell>
          <cell r="V14" t="str">
            <v>39085Scratch 5 000</v>
          </cell>
          <cell r="W14" t="str">
            <v>2007GEMATEL</v>
          </cell>
          <cell r="X14" t="str">
            <v>2007GEMATELScratch 5 000</v>
          </cell>
        </row>
        <row r="15">
          <cell r="I15">
            <v>2007</v>
          </cell>
          <cell r="J15" t="str">
            <v>GEMATELScratch 10 000</v>
          </cell>
          <cell r="L15">
            <v>0</v>
          </cell>
          <cell r="M15" t="str">
            <v>GEMATEL</v>
          </cell>
          <cell r="N15" t="str">
            <v>GEMATELScratch 10 000</v>
          </cell>
          <cell r="O15" t="str">
            <v>GEMATEL</v>
          </cell>
          <cell r="P15" t="str">
            <v>Scratch 10 000</v>
          </cell>
          <cell r="Q15" t="str">
            <v>12007</v>
          </cell>
          <cell r="R15" t="str">
            <v>12007Scratch 10 000</v>
          </cell>
          <cell r="S15" t="str">
            <v>2007Scratch 10 000</v>
          </cell>
          <cell r="T15" t="str">
            <v>12007GEMATEL</v>
          </cell>
          <cell r="U15" t="str">
            <v>12007GEMATELScratch 10 000</v>
          </cell>
          <cell r="V15" t="str">
            <v>39085Scratch 10 000</v>
          </cell>
          <cell r="W15" t="str">
            <v>2007GEMATEL</v>
          </cell>
          <cell r="X15" t="str">
            <v>2007GEMATELScratch 10 000</v>
          </cell>
        </row>
        <row r="16">
          <cell r="I16">
            <v>2007</v>
          </cell>
          <cell r="J16" t="str">
            <v>GEMATELScratch 20 000</v>
          </cell>
          <cell r="L16">
            <v>0</v>
          </cell>
          <cell r="M16" t="str">
            <v>GEMATEL</v>
          </cell>
          <cell r="N16" t="str">
            <v>GEMATELScratch 20 000</v>
          </cell>
          <cell r="O16" t="str">
            <v>GEMATEL</v>
          </cell>
          <cell r="P16" t="str">
            <v>Scratch 20 000</v>
          </cell>
          <cell r="Q16" t="str">
            <v>12007</v>
          </cell>
          <cell r="R16" t="str">
            <v>12007Scratch 20 000</v>
          </cell>
          <cell r="S16" t="str">
            <v>2007Scratch 20 000</v>
          </cell>
          <cell r="T16" t="str">
            <v>12007GEMATEL</v>
          </cell>
          <cell r="U16" t="str">
            <v>12007GEMATELScratch 20 000</v>
          </cell>
          <cell r="V16" t="str">
            <v>39085Scratch 20 000</v>
          </cell>
          <cell r="W16" t="str">
            <v>2007GEMATEL</v>
          </cell>
          <cell r="X16" t="str">
            <v>2007GEMATELScratch 20 000</v>
          </cell>
        </row>
        <row r="17">
          <cell r="I17">
            <v>2007</v>
          </cell>
          <cell r="J17" t="str">
            <v>STS GAMBY &amp; FRERES (SOGAF) SarlScratch 1 000</v>
          </cell>
          <cell r="L17">
            <v>1</v>
          </cell>
          <cell r="M17" t="str">
            <v>1STS GAMBY &amp; FRERES (SOGAF) Sarl</v>
          </cell>
          <cell r="N17" t="str">
            <v>STS GAMBY &amp; FRERES (SOGAF) SarlScratch 1 000</v>
          </cell>
          <cell r="O17" t="str">
            <v>STS GAMBY &amp; FRERES (SOGAF) Sarl</v>
          </cell>
          <cell r="P17" t="str">
            <v>Scratch 1 000</v>
          </cell>
          <cell r="Q17" t="str">
            <v>12007</v>
          </cell>
          <cell r="R17" t="str">
            <v>12007Scratch 1 000</v>
          </cell>
          <cell r="S17" t="str">
            <v>2007Scratch 1 000</v>
          </cell>
          <cell r="T17" t="str">
            <v>12007STS GAMBY &amp; FRERES (SOGAF) Sarl</v>
          </cell>
          <cell r="U17" t="str">
            <v>12007STS GAMBY &amp; FRERES (SOGAF) SarlScratch 1 000</v>
          </cell>
          <cell r="V17" t="str">
            <v>39086Scratch 1 000</v>
          </cell>
          <cell r="W17" t="str">
            <v>2007STS GAMBY &amp; FRERES (SOGAF) Sarl</v>
          </cell>
          <cell r="X17" t="str">
            <v>2007STS GAMBY &amp; FRERES (SOGAF) SarlScratch 1 000</v>
          </cell>
        </row>
        <row r="18">
          <cell r="I18">
            <v>2007</v>
          </cell>
          <cell r="J18" t="str">
            <v>STS GAMBY &amp; FRERES (SOGAF) SarlScratch 2 500</v>
          </cell>
          <cell r="L18">
            <v>0</v>
          </cell>
          <cell r="M18" t="str">
            <v>STS GAMBY &amp; FRERES (SOGAF) Sarl</v>
          </cell>
          <cell r="N18" t="str">
            <v>STS GAMBY &amp; FRERES (SOGAF) SarlScratch 2 500</v>
          </cell>
          <cell r="O18" t="str">
            <v>STS GAMBY &amp; FRERES (SOGAF) Sarl</v>
          </cell>
          <cell r="P18" t="str">
            <v>Scratch 2 500</v>
          </cell>
          <cell r="Q18" t="str">
            <v>12007</v>
          </cell>
          <cell r="R18" t="str">
            <v>12007Scratch 2 500</v>
          </cell>
          <cell r="S18" t="str">
            <v>2007Scratch 2 500</v>
          </cell>
          <cell r="T18" t="str">
            <v>12007STS GAMBY &amp; FRERES (SOGAF) Sarl</v>
          </cell>
          <cell r="U18" t="str">
            <v>12007STS GAMBY &amp; FRERES (SOGAF) SarlScratch 2 500</v>
          </cell>
          <cell r="V18" t="str">
            <v>39086Scratch 2 500</v>
          </cell>
          <cell r="W18" t="str">
            <v>2007STS GAMBY &amp; FRERES (SOGAF) Sarl</v>
          </cell>
          <cell r="X18" t="str">
            <v>2007STS GAMBY &amp; FRERES (SOGAF) SarlScratch 2 500</v>
          </cell>
        </row>
        <row r="19">
          <cell r="I19">
            <v>2007</v>
          </cell>
          <cell r="J19" t="str">
            <v>STS GAMBY &amp; FRERES (SOGAF) SarlScratch 5 000</v>
          </cell>
          <cell r="L19">
            <v>0</v>
          </cell>
          <cell r="M19" t="str">
            <v>STS GAMBY &amp; FRERES (SOGAF) Sarl</v>
          </cell>
          <cell r="N19" t="str">
            <v>STS GAMBY &amp; FRERES (SOGAF) SarlScratch 5 000</v>
          </cell>
          <cell r="O19" t="str">
            <v>STS GAMBY &amp; FRERES (SOGAF) Sarl</v>
          </cell>
          <cell r="P19" t="str">
            <v>Scratch 5 000</v>
          </cell>
          <cell r="Q19" t="str">
            <v>12007</v>
          </cell>
          <cell r="R19" t="str">
            <v>12007Scratch 5 000</v>
          </cell>
          <cell r="S19" t="str">
            <v>2007Scratch 5 000</v>
          </cell>
          <cell r="T19" t="str">
            <v>12007STS GAMBY &amp; FRERES (SOGAF) Sarl</v>
          </cell>
          <cell r="U19" t="str">
            <v>12007STS GAMBY &amp; FRERES (SOGAF) SarlScratch 5 000</v>
          </cell>
          <cell r="V19" t="str">
            <v>39086Scratch 5 000</v>
          </cell>
          <cell r="W19" t="str">
            <v>2007STS GAMBY &amp; FRERES (SOGAF) Sarl</v>
          </cell>
          <cell r="X19" t="str">
            <v>2007STS GAMBY &amp; FRERES (SOGAF) SarlScratch 5 000</v>
          </cell>
        </row>
        <row r="20">
          <cell r="I20">
            <v>2007</v>
          </cell>
          <cell r="J20" t="str">
            <v>SOLEIL LEVANTScratch 1 000</v>
          </cell>
          <cell r="L20">
            <v>1</v>
          </cell>
          <cell r="M20" t="str">
            <v>1SOLEIL LEVANT</v>
          </cell>
          <cell r="N20" t="str">
            <v>SOLEIL LEVANTScratch 1 000</v>
          </cell>
          <cell r="O20" t="str">
            <v>SOLEIL LEVANT</v>
          </cell>
          <cell r="P20" t="str">
            <v>Scratch 1 000</v>
          </cell>
          <cell r="Q20" t="str">
            <v>12007</v>
          </cell>
          <cell r="R20" t="str">
            <v>12007Scratch 1 000</v>
          </cell>
          <cell r="S20" t="str">
            <v>2007Scratch 1 000</v>
          </cell>
          <cell r="T20" t="str">
            <v>12007SOLEIL LEVANT</v>
          </cell>
          <cell r="U20" t="str">
            <v>12007SOLEIL LEVANTScratch 1 000</v>
          </cell>
          <cell r="V20" t="str">
            <v>39086Scratch 1 000</v>
          </cell>
          <cell r="W20" t="str">
            <v>2007SOLEIL LEVANT</v>
          </cell>
          <cell r="X20" t="str">
            <v>2007SOLEIL LEVANTScratch 1 000</v>
          </cell>
        </row>
        <row r="21">
          <cell r="I21">
            <v>2007</v>
          </cell>
          <cell r="J21" t="str">
            <v>SOLEIL LEVANTScratch 2 500</v>
          </cell>
          <cell r="L21">
            <v>0</v>
          </cell>
          <cell r="M21" t="str">
            <v>SOLEIL LEVANT</v>
          </cell>
          <cell r="N21" t="str">
            <v>SOLEIL LEVANTScratch 2 500</v>
          </cell>
          <cell r="O21" t="str">
            <v>SOLEIL LEVANT</v>
          </cell>
          <cell r="P21" t="str">
            <v>Scratch 2 500</v>
          </cell>
          <cell r="Q21" t="str">
            <v>12007</v>
          </cell>
          <cell r="R21" t="str">
            <v>12007Scratch 2 500</v>
          </cell>
          <cell r="S21" t="str">
            <v>2007Scratch 2 500</v>
          </cell>
          <cell r="T21" t="str">
            <v>12007SOLEIL LEVANT</v>
          </cell>
          <cell r="U21" t="str">
            <v>12007SOLEIL LEVANTScratch 2 500</v>
          </cell>
          <cell r="V21" t="str">
            <v>39086Scratch 2 500</v>
          </cell>
          <cell r="W21" t="str">
            <v>2007SOLEIL LEVANT</v>
          </cell>
          <cell r="X21" t="str">
            <v>2007SOLEIL LEVANTScratch 2 500</v>
          </cell>
        </row>
        <row r="22">
          <cell r="I22">
            <v>2007</v>
          </cell>
          <cell r="J22" t="str">
            <v>SOLEIL LEVANTScratch 5 000</v>
          </cell>
          <cell r="L22">
            <v>0</v>
          </cell>
          <cell r="M22" t="str">
            <v>SOLEIL LEVANT</v>
          </cell>
          <cell r="N22" t="str">
            <v>SOLEIL LEVANTScratch 5 000</v>
          </cell>
          <cell r="O22" t="str">
            <v>SOLEIL LEVANT</v>
          </cell>
          <cell r="P22" t="str">
            <v>Scratch 5 000</v>
          </cell>
          <cell r="Q22" t="str">
            <v>12007</v>
          </cell>
          <cell r="R22" t="str">
            <v>12007Scratch 5 000</v>
          </cell>
          <cell r="S22" t="str">
            <v>2007Scratch 5 000</v>
          </cell>
          <cell r="T22" t="str">
            <v>12007SOLEIL LEVANT</v>
          </cell>
          <cell r="U22" t="str">
            <v>12007SOLEIL LEVANTScratch 5 000</v>
          </cell>
          <cell r="V22" t="str">
            <v>39086Scratch 5 000</v>
          </cell>
          <cell r="W22" t="str">
            <v>2007SOLEIL LEVANT</v>
          </cell>
          <cell r="X22" t="str">
            <v>2007SOLEIL LEVANTScratch 5 000</v>
          </cell>
        </row>
        <row r="23">
          <cell r="I23">
            <v>2007</v>
          </cell>
          <cell r="J23" t="str">
            <v>SOLEIL LEVANTScratch 10 000</v>
          </cell>
          <cell r="L23">
            <v>0</v>
          </cell>
          <cell r="M23" t="str">
            <v>SOLEIL LEVANT</v>
          </cell>
          <cell r="N23" t="str">
            <v>SOLEIL LEVANTScratch 10 000</v>
          </cell>
          <cell r="O23" t="str">
            <v>SOLEIL LEVANT</v>
          </cell>
          <cell r="P23" t="str">
            <v>Scratch 10 000</v>
          </cell>
          <cell r="Q23" t="str">
            <v>12007</v>
          </cell>
          <cell r="R23" t="str">
            <v>12007Scratch 10 000</v>
          </cell>
          <cell r="S23" t="str">
            <v>2007Scratch 10 000</v>
          </cell>
          <cell r="T23" t="str">
            <v>12007SOLEIL LEVANT</v>
          </cell>
          <cell r="U23" t="str">
            <v>12007SOLEIL LEVANTScratch 10 000</v>
          </cell>
          <cell r="V23" t="str">
            <v>39086Scratch 10 000</v>
          </cell>
          <cell r="W23" t="str">
            <v>2007SOLEIL LEVANT</v>
          </cell>
          <cell r="X23" t="str">
            <v>2007SOLEIL LEVANTScratch 10 000</v>
          </cell>
        </row>
        <row r="24">
          <cell r="I24">
            <v>2007</v>
          </cell>
          <cell r="J24" t="str">
            <v>SOLEIL LEVANTScratch 20 000</v>
          </cell>
          <cell r="L24">
            <v>0</v>
          </cell>
          <cell r="M24" t="str">
            <v>SOLEIL LEVANT</v>
          </cell>
          <cell r="N24" t="str">
            <v>SOLEIL LEVANTScratch 20 000</v>
          </cell>
          <cell r="O24" t="str">
            <v>SOLEIL LEVANT</v>
          </cell>
          <cell r="P24" t="str">
            <v>Scratch 20 000</v>
          </cell>
          <cell r="Q24" t="str">
            <v>12007</v>
          </cell>
          <cell r="R24" t="str">
            <v>12007Scratch 20 000</v>
          </cell>
          <cell r="S24" t="str">
            <v>2007Scratch 20 000</v>
          </cell>
          <cell r="T24" t="str">
            <v>12007SOLEIL LEVANT</v>
          </cell>
          <cell r="U24" t="str">
            <v>12007SOLEIL LEVANTScratch 20 000</v>
          </cell>
          <cell r="V24" t="str">
            <v>39086Scratch 20 000</v>
          </cell>
          <cell r="W24" t="str">
            <v>2007SOLEIL LEVANT</v>
          </cell>
          <cell r="X24" t="str">
            <v>2007SOLEIL LEVANTScratch 20 000</v>
          </cell>
        </row>
        <row r="25">
          <cell r="I25">
            <v>2007</v>
          </cell>
          <cell r="J25" t="str">
            <v>Bonneterie Nouvelle TelecomScratch 1 000</v>
          </cell>
          <cell r="L25">
            <v>1</v>
          </cell>
          <cell r="M25" t="str">
            <v>1Bonneterie Nouvelle Telecom</v>
          </cell>
          <cell r="N25" t="str">
            <v>Bonneterie Nouvelle TelecomScratch 1 000</v>
          </cell>
          <cell r="O25" t="str">
            <v>Bonneterie Nouvelle Telecom</v>
          </cell>
          <cell r="P25" t="str">
            <v>Scratch 1 000</v>
          </cell>
          <cell r="Q25" t="str">
            <v>12007</v>
          </cell>
          <cell r="R25" t="str">
            <v>12007Scratch 1 000</v>
          </cell>
          <cell r="S25" t="str">
            <v>2007Scratch 1 000</v>
          </cell>
          <cell r="T25" t="str">
            <v>12007Bonneterie Nouvelle Telecom</v>
          </cell>
          <cell r="U25" t="str">
            <v>12007Bonneterie Nouvelle TelecomScratch 1 000</v>
          </cell>
          <cell r="V25" t="str">
            <v>39086Scratch 1 000</v>
          </cell>
          <cell r="W25" t="str">
            <v>2007Bonneterie Nouvelle Telecom</v>
          </cell>
          <cell r="X25" t="str">
            <v>2007Bonneterie Nouvelle TelecomScratch 1 000</v>
          </cell>
        </row>
        <row r="26">
          <cell r="I26">
            <v>2007</v>
          </cell>
          <cell r="J26" t="str">
            <v>Bonneterie Nouvelle TelecomScratch 2 500</v>
          </cell>
          <cell r="L26">
            <v>0</v>
          </cell>
          <cell r="M26" t="str">
            <v>Bonneterie Nouvelle Telecom</v>
          </cell>
          <cell r="N26" t="str">
            <v>Bonneterie Nouvelle TelecomScratch 2 500</v>
          </cell>
          <cell r="O26" t="str">
            <v>Bonneterie Nouvelle Telecom</v>
          </cell>
          <cell r="P26" t="str">
            <v>Scratch 2 500</v>
          </cell>
          <cell r="Q26" t="str">
            <v>12007</v>
          </cell>
          <cell r="R26" t="str">
            <v>12007Scratch 2 500</v>
          </cell>
          <cell r="S26" t="str">
            <v>2007Scratch 2 500</v>
          </cell>
          <cell r="T26" t="str">
            <v>12007Bonneterie Nouvelle Telecom</v>
          </cell>
          <cell r="U26" t="str">
            <v>12007Bonneterie Nouvelle TelecomScratch 2 500</v>
          </cell>
          <cell r="V26" t="str">
            <v>39086Scratch 2 500</v>
          </cell>
          <cell r="W26" t="str">
            <v>2007Bonneterie Nouvelle Telecom</v>
          </cell>
          <cell r="X26" t="str">
            <v>2007Bonneterie Nouvelle TelecomScratch 2 500</v>
          </cell>
        </row>
        <row r="27">
          <cell r="I27">
            <v>2007</v>
          </cell>
          <cell r="J27" t="str">
            <v>Bonneterie Nouvelle TelecomScratch 5 000</v>
          </cell>
          <cell r="L27">
            <v>0</v>
          </cell>
          <cell r="M27" t="str">
            <v>Bonneterie Nouvelle Telecom</v>
          </cell>
          <cell r="N27" t="str">
            <v>Bonneterie Nouvelle TelecomScratch 5 000</v>
          </cell>
          <cell r="O27" t="str">
            <v>Bonneterie Nouvelle Telecom</v>
          </cell>
          <cell r="P27" t="str">
            <v>Scratch 5 000</v>
          </cell>
          <cell r="Q27" t="str">
            <v>12007</v>
          </cell>
          <cell r="R27" t="str">
            <v>12007Scratch 5 000</v>
          </cell>
          <cell r="S27" t="str">
            <v>2007Scratch 5 000</v>
          </cell>
          <cell r="T27" t="str">
            <v>12007Bonneterie Nouvelle Telecom</v>
          </cell>
          <cell r="U27" t="str">
            <v>12007Bonneterie Nouvelle TelecomScratch 5 000</v>
          </cell>
          <cell r="V27" t="str">
            <v>39086Scratch 5 000</v>
          </cell>
          <cell r="W27" t="str">
            <v>2007Bonneterie Nouvelle Telecom</v>
          </cell>
          <cell r="X27" t="str">
            <v>2007Bonneterie Nouvelle TelecomScratch 5 000</v>
          </cell>
        </row>
        <row r="28">
          <cell r="I28">
            <v>2007</v>
          </cell>
          <cell r="J28" t="str">
            <v>Bonneterie Nouvelle TelecomScratch 10 000</v>
          </cell>
          <cell r="L28">
            <v>0</v>
          </cell>
          <cell r="M28" t="str">
            <v>Bonneterie Nouvelle Telecom</v>
          </cell>
          <cell r="N28" t="str">
            <v>Bonneterie Nouvelle TelecomScratch 10 000</v>
          </cell>
          <cell r="O28" t="str">
            <v>Bonneterie Nouvelle Telecom</v>
          </cell>
          <cell r="P28" t="str">
            <v>Scratch 10 000</v>
          </cell>
          <cell r="Q28" t="str">
            <v>12007</v>
          </cell>
          <cell r="R28" t="str">
            <v>12007Scratch 10 000</v>
          </cell>
          <cell r="S28" t="str">
            <v>2007Scratch 10 000</v>
          </cell>
          <cell r="T28" t="str">
            <v>12007Bonneterie Nouvelle Telecom</v>
          </cell>
          <cell r="U28" t="str">
            <v>12007Bonneterie Nouvelle TelecomScratch 10 000</v>
          </cell>
          <cell r="V28" t="str">
            <v>39086Scratch 10 000</v>
          </cell>
          <cell r="W28" t="str">
            <v>2007Bonneterie Nouvelle Telecom</v>
          </cell>
          <cell r="X28" t="str">
            <v>2007Bonneterie Nouvelle TelecomScratch 10 000</v>
          </cell>
        </row>
        <row r="29">
          <cell r="I29">
            <v>2007</v>
          </cell>
          <cell r="J29" t="str">
            <v>Bonneterie Nouvelle TelecomScratch 20 000</v>
          </cell>
          <cell r="L29">
            <v>0</v>
          </cell>
          <cell r="M29" t="str">
            <v>Bonneterie Nouvelle Telecom</v>
          </cell>
          <cell r="N29" t="str">
            <v>Bonneterie Nouvelle TelecomScratch 20 000</v>
          </cell>
          <cell r="O29" t="str">
            <v>Bonneterie Nouvelle Telecom</v>
          </cell>
          <cell r="P29" t="str">
            <v>Scratch 20 000</v>
          </cell>
          <cell r="Q29" t="str">
            <v>12007</v>
          </cell>
          <cell r="R29" t="str">
            <v>12007Scratch 20 000</v>
          </cell>
          <cell r="S29" t="str">
            <v>2007Scratch 20 000</v>
          </cell>
          <cell r="T29" t="str">
            <v>12007Bonneterie Nouvelle Telecom</v>
          </cell>
          <cell r="U29" t="str">
            <v>12007Bonneterie Nouvelle TelecomScratch 20 000</v>
          </cell>
          <cell r="V29" t="str">
            <v>39086Scratch 20 000</v>
          </cell>
          <cell r="W29" t="str">
            <v>2007Bonneterie Nouvelle Telecom</v>
          </cell>
          <cell r="X29" t="str">
            <v>2007Bonneterie Nouvelle TelecomScratch 20 000</v>
          </cell>
        </row>
        <row r="30">
          <cell r="I30">
            <v>2007</v>
          </cell>
          <cell r="J30" t="str">
            <v>ANKA ServicesScratch 1 000</v>
          </cell>
          <cell r="L30">
            <v>1</v>
          </cell>
          <cell r="M30" t="str">
            <v>1ANKA Services</v>
          </cell>
          <cell r="N30" t="str">
            <v>ANKA ServicesScratch 1 000</v>
          </cell>
          <cell r="O30" t="str">
            <v>ANKA Services</v>
          </cell>
          <cell r="P30" t="str">
            <v>Scratch 1 000</v>
          </cell>
          <cell r="Q30" t="str">
            <v>12007</v>
          </cell>
          <cell r="R30" t="str">
            <v>12007Scratch 1 000</v>
          </cell>
          <cell r="S30" t="str">
            <v>2007Scratch 1 000</v>
          </cell>
          <cell r="T30" t="str">
            <v>12007ANKA Services</v>
          </cell>
          <cell r="U30" t="str">
            <v>12007ANKA ServicesScratch 1 000</v>
          </cell>
          <cell r="V30" t="str">
            <v>39086Scratch 1 000</v>
          </cell>
          <cell r="W30" t="str">
            <v>2007ANKA Services</v>
          </cell>
          <cell r="X30" t="str">
            <v>2007ANKA ServicesScratch 1 000</v>
          </cell>
        </row>
        <row r="31">
          <cell r="I31">
            <v>2007</v>
          </cell>
          <cell r="J31" t="str">
            <v>ANKA ServicesScratch 2 500</v>
          </cell>
          <cell r="L31">
            <v>0</v>
          </cell>
          <cell r="M31" t="str">
            <v>ANKA Services</v>
          </cell>
          <cell r="N31" t="str">
            <v>ANKA ServicesScratch 2 500</v>
          </cell>
          <cell r="O31" t="str">
            <v>ANKA Services</v>
          </cell>
          <cell r="P31" t="str">
            <v>Scratch 2 500</v>
          </cell>
          <cell r="Q31" t="str">
            <v>12007</v>
          </cell>
          <cell r="R31" t="str">
            <v>12007Scratch 2 500</v>
          </cell>
          <cell r="S31" t="str">
            <v>2007Scratch 2 500</v>
          </cell>
          <cell r="T31" t="str">
            <v>12007ANKA Services</v>
          </cell>
          <cell r="U31" t="str">
            <v>12007ANKA ServicesScratch 2 500</v>
          </cell>
          <cell r="V31" t="str">
            <v>39086Scratch 2 500</v>
          </cell>
          <cell r="W31" t="str">
            <v>2007ANKA Services</v>
          </cell>
          <cell r="X31" t="str">
            <v>2007ANKA ServicesScratch 2 500</v>
          </cell>
        </row>
        <row r="32">
          <cell r="I32">
            <v>2007</v>
          </cell>
          <cell r="J32" t="str">
            <v>ANKA ServicesScratch 5 000</v>
          </cell>
          <cell r="L32">
            <v>0</v>
          </cell>
          <cell r="M32" t="str">
            <v>ANKA Services</v>
          </cell>
          <cell r="N32" t="str">
            <v>ANKA ServicesScratch 5 000</v>
          </cell>
          <cell r="O32" t="str">
            <v>ANKA Services</v>
          </cell>
          <cell r="P32" t="str">
            <v>Scratch 5 000</v>
          </cell>
          <cell r="Q32" t="str">
            <v>12007</v>
          </cell>
          <cell r="R32" t="str">
            <v>12007Scratch 5 000</v>
          </cell>
          <cell r="S32" t="str">
            <v>2007Scratch 5 000</v>
          </cell>
          <cell r="T32" t="str">
            <v>12007ANKA Services</v>
          </cell>
          <cell r="U32" t="str">
            <v>12007ANKA ServicesScratch 5 000</v>
          </cell>
          <cell r="V32" t="str">
            <v>39086Scratch 5 000</v>
          </cell>
          <cell r="W32" t="str">
            <v>2007ANKA Services</v>
          </cell>
          <cell r="X32" t="str">
            <v>2007ANKA ServicesScratch 5 000</v>
          </cell>
        </row>
        <row r="33">
          <cell r="I33">
            <v>2007</v>
          </cell>
          <cell r="J33" t="str">
            <v>Burtel MacsymScratch 1 000</v>
          </cell>
          <cell r="L33">
            <v>1</v>
          </cell>
          <cell r="M33" t="str">
            <v>1Burtel Macsym</v>
          </cell>
          <cell r="N33" t="str">
            <v>Burtel MacsymScratch 1 000</v>
          </cell>
          <cell r="O33" t="str">
            <v>Burtel Macsym</v>
          </cell>
          <cell r="P33" t="str">
            <v>Scratch 1 000</v>
          </cell>
          <cell r="Q33" t="str">
            <v>12007</v>
          </cell>
          <cell r="R33" t="str">
            <v>12007Scratch 1 000</v>
          </cell>
          <cell r="S33" t="str">
            <v>2007Scratch 1 000</v>
          </cell>
          <cell r="T33" t="str">
            <v>12007Burtel Macsym</v>
          </cell>
          <cell r="U33" t="str">
            <v>12007Burtel MacsymScratch 1 000</v>
          </cell>
          <cell r="V33" t="str">
            <v>39086Scratch 1 000</v>
          </cell>
          <cell r="W33" t="str">
            <v>2007Burtel Macsym</v>
          </cell>
          <cell r="X33" t="str">
            <v>2007Burtel MacsymScratch 1 000</v>
          </cell>
        </row>
        <row r="34">
          <cell r="I34">
            <v>2007</v>
          </cell>
          <cell r="J34" t="str">
            <v>Burtel MacsymScratch 2 500</v>
          </cell>
          <cell r="L34">
            <v>0</v>
          </cell>
          <cell r="M34" t="str">
            <v>Burtel Macsym</v>
          </cell>
          <cell r="N34" t="str">
            <v>Burtel MacsymScratch 2 500</v>
          </cell>
          <cell r="O34" t="str">
            <v>Burtel Macsym</v>
          </cell>
          <cell r="P34" t="str">
            <v>Scratch 2 500</v>
          </cell>
          <cell r="Q34" t="str">
            <v>12007</v>
          </cell>
          <cell r="R34" t="str">
            <v>12007Scratch 2 500</v>
          </cell>
          <cell r="S34" t="str">
            <v>2007Scratch 2 500</v>
          </cell>
          <cell r="T34" t="str">
            <v>12007Burtel Macsym</v>
          </cell>
          <cell r="U34" t="str">
            <v>12007Burtel MacsymScratch 2 500</v>
          </cell>
          <cell r="V34" t="str">
            <v>39086Scratch 2 500</v>
          </cell>
          <cell r="W34" t="str">
            <v>2007Burtel Macsym</v>
          </cell>
          <cell r="X34" t="str">
            <v>2007Burtel MacsymScratch 2 500</v>
          </cell>
        </row>
        <row r="35">
          <cell r="I35">
            <v>2007</v>
          </cell>
          <cell r="J35" t="str">
            <v>Burtel MacsymScratch 5 000</v>
          </cell>
          <cell r="L35">
            <v>0</v>
          </cell>
          <cell r="M35" t="str">
            <v>Burtel Macsym</v>
          </cell>
          <cell r="N35" t="str">
            <v>Burtel MacsymScratch 5 000</v>
          </cell>
          <cell r="O35" t="str">
            <v>Burtel Macsym</v>
          </cell>
          <cell r="P35" t="str">
            <v>Scratch 5 000</v>
          </cell>
          <cell r="Q35" t="str">
            <v>12007</v>
          </cell>
          <cell r="R35" t="str">
            <v>12007Scratch 5 000</v>
          </cell>
          <cell r="S35" t="str">
            <v>2007Scratch 5 000</v>
          </cell>
          <cell r="T35" t="str">
            <v>12007Burtel Macsym</v>
          </cell>
          <cell r="U35" t="str">
            <v>12007Burtel MacsymScratch 5 000</v>
          </cell>
          <cell r="V35" t="str">
            <v>39086Scratch 5 000</v>
          </cell>
          <cell r="W35" t="str">
            <v>2007Burtel Macsym</v>
          </cell>
          <cell r="X35" t="str">
            <v>2007Burtel MacsymScratch 5 000</v>
          </cell>
        </row>
        <row r="36">
          <cell r="I36">
            <v>2007</v>
          </cell>
          <cell r="J36" t="str">
            <v>ETS Boubacar TANDIAScratch 1 000</v>
          </cell>
          <cell r="L36">
            <v>1</v>
          </cell>
          <cell r="M36" t="str">
            <v>1ETS Boubacar TANDIA</v>
          </cell>
          <cell r="N36" t="str">
            <v>ETS Boubacar TANDIAScratch 1 000</v>
          </cell>
          <cell r="O36" t="str">
            <v>ETS Boubacar TANDIA</v>
          </cell>
          <cell r="P36" t="str">
            <v>Scratch 1 000</v>
          </cell>
          <cell r="Q36" t="str">
            <v>12007</v>
          </cell>
          <cell r="R36" t="str">
            <v>12007Scratch 1 000</v>
          </cell>
          <cell r="S36" t="str">
            <v>2007Scratch 1 000</v>
          </cell>
          <cell r="T36" t="str">
            <v>12007ETS Boubacar TANDIA</v>
          </cell>
          <cell r="U36" t="str">
            <v>12007ETS Boubacar TANDIAScratch 1 000</v>
          </cell>
          <cell r="V36" t="str">
            <v>39087Scratch 1 000</v>
          </cell>
          <cell r="W36" t="str">
            <v>2007ETS Boubacar TANDIA</v>
          </cell>
          <cell r="X36" t="str">
            <v>2007ETS Boubacar TANDIAScratch 1 000</v>
          </cell>
        </row>
        <row r="37">
          <cell r="I37">
            <v>2007</v>
          </cell>
          <cell r="J37" t="str">
            <v>ETS Boubacar TANDIAScratch 2 500</v>
          </cell>
          <cell r="L37">
            <v>0</v>
          </cell>
          <cell r="M37" t="str">
            <v>ETS Boubacar TANDIA</v>
          </cell>
          <cell r="N37" t="str">
            <v>ETS Boubacar TANDIAScratch 2 500</v>
          </cell>
          <cell r="O37" t="str">
            <v>ETS Boubacar TANDIA</v>
          </cell>
          <cell r="P37" t="str">
            <v>Scratch 2 500</v>
          </cell>
          <cell r="Q37" t="str">
            <v>12007</v>
          </cell>
          <cell r="R37" t="str">
            <v>12007Scratch 2 500</v>
          </cell>
          <cell r="S37" t="str">
            <v>2007Scratch 2 500</v>
          </cell>
          <cell r="T37" t="str">
            <v>12007ETS Boubacar TANDIA</v>
          </cell>
          <cell r="U37" t="str">
            <v>12007ETS Boubacar TANDIAScratch 2 500</v>
          </cell>
          <cell r="V37" t="str">
            <v>39087Scratch 2 500</v>
          </cell>
          <cell r="W37" t="str">
            <v>2007ETS Boubacar TANDIA</v>
          </cell>
          <cell r="X37" t="str">
            <v>2007ETS Boubacar TANDIAScratch 2 500</v>
          </cell>
        </row>
        <row r="38">
          <cell r="I38">
            <v>2007</v>
          </cell>
          <cell r="J38" t="str">
            <v>ETS Boubacar TANDIAScratch 5 000</v>
          </cell>
          <cell r="L38">
            <v>0</v>
          </cell>
          <cell r="M38" t="str">
            <v>ETS Boubacar TANDIA</v>
          </cell>
          <cell r="N38" t="str">
            <v>ETS Boubacar TANDIAScratch 5 000</v>
          </cell>
          <cell r="O38" t="str">
            <v>ETS Boubacar TANDIA</v>
          </cell>
          <cell r="P38" t="str">
            <v>Scratch 5 000</v>
          </cell>
          <cell r="Q38" t="str">
            <v>12007</v>
          </cell>
          <cell r="R38" t="str">
            <v>12007Scratch 5 000</v>
          </cell>
          <cell r="S38" t="str">
            <v>2007Scratch 5 000</v>
          </cell>
          <cell r="T38" t="str">
            <v>12007ETS Boubacar TANDIA</v>
          </cell>
          <cell r="U38" t="str">
            <v>12007ETS Boubacar TANDIAScratch 5 000</v>
          </cell>
          <cell r="V38" t="str">
            <v>39087Scratch 5 000</v>
          </cell>
          <cell r="W38" t="str">
            <v>2007ETS Boubacar TANDIA</v>
          </cell>
          <cell r="X38" t="str">
            <v>2007ETS Boubacar TANDIAScratch 5 000</v>
          </cell>
        </row>
        <row r="39">
          <cell r="I39">
            <v>2007</v>
          </cell>
          <cell r="J39" t="str">
            <v>ETS Boubacar TANDIAScratch 10 000</v>
          </cell>
          <cell r="L39">
            <v>0</v>
          </cell>
          <cell r="M39" t="str">
            <v>ETS Boubacar TANDIA</v>
          </cell>
          <cell r="N39" t="str">
            <v>ETS Boubacar TANDIAScratch 10 000</v>
          </cell>
          <cell r="O39" t="str">
            <v>ETS Boubacar TANDIA</v>
          </cell>
          <cell r="P39" t="str">
            <v>Scratch 10 000</v>
          </cell>
          <cell r="Q39" t="str">
            <v>12007</v>
          </cell>
          <cell r="R39" t="str">
            <v>12007Scratch 10 000</v>
          </cell>
          <cell r="S39" t="str">
            <v>2007Scratch 10 000</v>
          </cell>
          <cell r="T39" t="str">
            <v>12007ETS Boubacar TANDIA</v>
          </cell>
          <cell r="U39" t="str">
            <v>12007ETS Boubacar TANDIAScratch 10 000</v>
          </cell>
          <cell r="V39" t="str">
            <v>39087Scratch 10 000</v>
          </cell>
          <cell r="W39" t="str">
            <v>2007ETS Boubacar TANDIA</v>
          </cell>
          <cell r="X39" t="str">
            <v>2007ETS Boubacar TANDIAScratch 10 000</v>
          </cell>
        </row>
        <row r="40">
          <cell r="I40">
            <v>2007</v>
          </cell>
          <cell r="J40" t="str">
            <v>ETS Boubacar TANDIAScratch 20 000</v>
          </cell>
          <cell r="L40">
            <v>0</v>
          </cell>
          <cell r="M40" t="str">
            <v>ETS Boubacar TANDIA</v>
          </cell>
          <cell r="N40" t="str">
            <v>ETS Boubacar TANDIAScratch 20 000</v>
          </cell>
          <cell r="O40" t="str">
            <v>ETS Boubacar TANDIA</v>
          </cell>
          <cell r="P40" t="str">
            <v>Scratch 20 000</v>
          </cell>
          <cell r="Q40" t="str">
            <v>12007</v>
          </cell>
          <cell r="R40" t="str">
            <v>12007Scratch 20 000</v>
          </cell>
          <cell r="S40" t="str">
            <v>2007Scratch 20 000</v>
          </cell>
          <cell r="T40" t="str">
            <v>12007ETS Boubacar TANDIA</v>
          </cell>
          <cell r="U40" t="str">
            <v>12007ETS Boubacar TANDIAScratch 20 000</v>
          </cell>
          <cell r="V40" t="str">
            <v>39087Scratch 20 000</v>
          </cell>
          <cell r="W40" t="str">
            <v>2007ETS Boubacar TANDIA</v>
          </cell>
          <cell r="X40" t="str">
            <v>2007ETS Boubacar TANDIAScratch 20 000</v>
          </cell>
        </row>
        <row r="41">
          <cell r="I41">
            <v>2007</v>
          </cell>
          <cell r="J41" t="str">
            <v>MALI COM SarlScratch 1 000</v>
          </cell>
          <cell r="L41">
            <v>1</v>
          </cell>
          <cell r="M41" t="str">
            <v>1MALI COM Sarl</v>
          </cell>
          <cell r="N41" t="str">
            <v>MALI COM SarlScratch 1 000</v>
          </cell>
          <cell r="O41" t="str">
            <v>MALI COM Sarl</v>
          </cell>
          <cell r="P41" t="str">
            <v>Scratch 1 000</v>
          </cell>
          <cell r="Q41" t="str">
            <v>12007</v>
          </cell>
          <cell r="R41" t="str">
            <v>12007Scratch 1 000</v>
          </cell>
          <cell r="S41" t="str">
            <v>2007Scratch 1 000</v>
          </cell>
          <cell r="T41" t="str">
            <v>12007MALI COM Sarl</v>
          </cell>
          <cell r="U41" t="str">
            <v>12007MALI COM SarlScratch 1 000</v>
          </cell>
          <cell r="V41" t="str">
            <v>39087Scratch 1 000</v>
          </cell>
          <cell r="W41" t="str">
            <v>2007MALI COM Sarl</v>
          </cell>
          <cell r="X41" t="str">
            <v>2007MALI COM SarlScratch 1 000</v>
          </cell>
        </row>
        <row r="42">
          <cell r="I42">
            <v>2007</v>
          </cell>
          <cell r="J42" t="str">
            <v>MALI COM SarlScratch 2 500</v>
          </cell>
          <cell r="L42">
            <v>0</v>
          </cell>
          <cell r="M42" t="str">
            <v>MALI COM Sarl</v>
          </cell>
          <cell r="N42" t="str">
            <v>MALI COM SarlScratch 2 500</v>
          </cell>
          <cell r="O42" t="str">
            <v>MALI COM Sarl</v>
          </cell>
          <cell r="P42" t="str">
            <v>Scratch 2 500</v>
          </cell>
          <cell r="Q42" t="str">
            <v>12007</v>
          </cell>
          <cell r="R42" t="str">
            <v>12007Scratch 2 500</v>
          </cell>
          <cell r="S42" t="str">
            <v>2007Scratch 2 500</v>
          </cell>
          <cell r="T42" t="str">
            <v>12007MALI COM Sarl</v>
          </cell>
          <cell r="U42" t="str">
            <v>12007MALI COM SarlScratch 2 500</v>
          </cell>
          <cell r="V42" t="str">
            <v>39087Scratch 2 500</v>
          </cell>
          <cell r="W42" t="str">
            <v>2007MALI COM Sarl</v>
          </cell>
          <cell r="X42" t="str">
            <v>2007MALI COM SarlScratch 2 500</v>
          </cell>
        </row>
        <row r="43">
          <cell r="I43">
            <v>2007</v>
          </cell>
          <cell r="J43" t="str">
            <v>MALI COM SarlScratch 5 000</v>
          </cell>
          <cell r="L43">
            <v>0</v>
          </cell>
          <cell r="M43" t="str">
            <v>MALI COM Sarl</v>
          </cell>
          <cell r="N43" t="str">
            <v>MALI COM SarlScratch 5 000</v>
          </cell>
          <cell r="O43" t="str">
            <v>MALI COM Sarl</v>
          </cell>
          <cell r="P43" t="str">
            <v>Scratch 5 000</v>
          </cell>
          <cell r="Q43" t="str">
            <v>12007</v>
          </cell>
          <cell r="R43" t="str">
            <v>12007Scratch 5 000</v>
          </cell>
          <cell r="S43" t="str">
            <v>2007Scratch 5 000</v>
          </cell>
          <cell r="T43" t="str">
            <v>12007MALI COM Sarl</v>
          </cell>
          <cell r="U43" t="str">
            <v>12007MALI COM SarlScratch 5 000</v>
          </cell>
          <cell r="V43" t="str">
            <v>39087Scratch 5 000</v>
          </cell>
          <cell r="W43" t="str">
            <v>2007MALI COM Sarl</v>
          </cell>
          <cell r="X43" t="str">
            <v>2007MALI COM SarlScratch 5 000</v>
          </cell>
        </row>
        <row r="44">
          <cell r="I44">
            <v>2007</v>
          </cell>
          <cell r="J44" t="str">
            <v>GEMATELScratch 1 000</v>
          </cell>
          <cell r="L44">
            <v>1</v>
          </cell>
          <cell r="M44" t="str">
            <v>1GEMATEL</v>
          </cell>
          <cell r="N44" t="str">
            <v>GEMATELScratch 1 000</v>
          </cell>
          <cell r="O44" t="str">
            <v>GEMATEL</v>
          </cell>
          <cell r="P44" t="str">
            <v>Scratch 1 000</v>
          </cell>
          <cell r="Q44" t="str">
            <v>12007</v>
          </cell>
          <cell r="R44" t="str">
            <v>12007Scratch 1 000</v>
          </cell>
          <cell r="S44" t="str">
            <v>2007Scratch 1 000</v>
          </cell>
          <cell r="T44" t="str">
            <v>12007GEMATEL</v>
          </cell>
          <cell r="U44" t="str">
            <v>12007GEMATELScratch 1 000</v>
          </cell>
          <cell r="V44" t="str">
            <v>39087Scratch 1 000</v>
          </cell>
          <cell r="W44" t="str">
            <v>2007GEMATEL</v>
          </cell>
          <cell r="X44" t="str">
            <v>2007GEMATELScratch 1 000</v>
          </cell>
        </row>
        <row r="45">
          <cell r="I45">
            <v>2007</v>
          </cell>
          <cell r="J45" t="str">
            <v>GEMATELScratch 2 500</v>
          </cell>
          <cell r="L45">
            <v>0</v>
          </cell>
          <cell r="M45" t="str">
            <v>GEMATEL</v>
          </cell>
          <cell r="N45" t="str">
            <v>GEMATELScratch 2 500</v>
          </cell>
          <cell r="O45" t="str">
            <v>GEMATEL</v>
          </cell>
          <cell r="P45" t="str">
            <v>Scratch 2 500</v>
          </cell>
          <cell r="Q45" t="str">
            <v>12007</v>
          </cell>
          <cell r="R45" t="str">
            <v>12007Scratch 2 500</v>
          </cell>
          <cell r="S45" t="str">
            <v>2007Scratch 2 500</v>
          </cell>
          <cell r="T45" t="str">
            <v>12007GEMATEL</v>
          </cell>
          <cell r="U45" t="str">
            <v>12007GEMATELScratch 2 500</v>
          </cell>
          <cell r="V45" t="str">
            <v>39087Scratch 2 500</v>
          </cell>
          <cell r="W45" t="str">
            <v>2007GEMATEL</v>
          </cell>
          <cell r="X45" t="str">
            <v>2007GEMATELScratch 2 500</v>
          </cell>
        </row>
        <row r="46">
          <cell r="I46">
            <v>2007</v>
          </cell>
          <cell r="J46" t="str">
            <v>GEMATELScratch 5 000</v>
          </cell>
          <cell r="L46">
            <v>0</v>
          </cell>
          <cell r="M46" t="str">
            <v>GEMATEL</v>
          </cell>
          <cell r="N46" t="str">
            <v>GEMATELScratch 5 000</v>
          </cell>
          <cell r="O46" t="str">
            <v>GEMATEL</v>
          </cell>
          <cell r="P46" t="str">
            <v>Scratch 5 000</v>
          </cell>
          <cell r="Q46" t="str">
            <v>12007</v>
          </cell>
          <cell r="R46" t="str">
            <v>12007Scratch 5 000</v>
          </cell>
          <cell r="S46" t="str">
            <v>2007Scratch 5 000</v>
          </cell>
          <cell r="T46" t="str">
            <v>12007GEMATEL</v>
          </cell>
          <cell r="U46" t="str">
            <v>12007GEMATELScratch 5 000</v>
          </cell>
          <cell r="V46" t="str">
            <v>39087Scratch 5 000</v>
          </cell>
          <cell r="W46" t="str">
            <v>2007GEMATEL</v>
          </cell>
          <cell r="X46" t="str">
            <v>2007GEMATELScratch 5 000</v>
          </cell>
        </row>
        <row r="47">
          <cell r="I47">
            <v>2007</v>
          </cell>
          <cell r="J47" t="str">
            <v>GEMATELScratch 10 000</v>
          </cell>
          <cell r="L47">
            <v>0</v>
          </cell>
          <cell r="M47" t="str">
            <v>GEMATEL</v>
          </cell>
          <cell r="N47" t="str">
            <v>GEMATELScratch 10 000</v>
          </cell>
          <cell r="O47" t="str">
            <v>GEMATEL</v>
          </cell>
          <cell r="P47" t="str">
            <v>Scratch 10 000</v>
          </cell>
          <cell r="Q47" t="str">
            <v>12007</v>
          </cell>
          <cell r="R47" t="str">
            <v>12007Scratch 10 000</v>
          </cell>
          <cell r="S47" t="str">
            <v>2007Scratch 10 000</v>
          </cell>
          <cell r="T47" t="str">
            <v>12007GEMATEL</v>
          </cell>
          <cell r="U47" t="str">
            <v>12007GEMATELScratch 10 000</v>
          </cell>
          <cell r="V47" t="str">
            <v>39087Scratch 10 000</v>
          </cell>
          <cell r="W47" t="str">
            <v>2007GEMATEL</v>
          </cell>
          <cell r="X47" t="str">
            <v>2007GEMATELScratch 10 000</v>
          </cell>
        </row>
        <row r="48">
          <cell r="I48">
            <v>2007</v>
          </cell>
          <cell r="J48" t="str">
            <v>GEMATELScratch 20 000</v>
          </cell>
          <cell r="L48">
            <v>0</v>
          </cell>
          <cell r="M48" t="str">
            <v>GEMATEL</v>
          </cell>
          <cell r="N48" t="str">
            <v>GEMATELScratch 20 000</v>
          </cell>
          <cell r="O48" t="str">
            <v>GEMATEL</v>
          </cell>
          <cell r="P48" t="str">
            <v>Scratch 20 000</v>
          </cell>
          <cell r="Q48" t="str">
            <v>12007</v>
          </cell>
          <cell r="R48" t="str">
            <v>12007Scratch 20 000</v>
          </cell>
          <cell r="S48" t="str">
            <v>2007Scratch 20 000</v>
          </cell>
          <cell r="T48" t="str">
            <v>12007GEMATEL</v>
          </cell>
          <cell r="U48" t="str">
            <v>12007GEMATELScratch 20 000</v>
          </cell>
          <cell r="V48" t="str">
            <v>39087Scratch 20 000</v>
          </cell>
          <cell r="W48" t="str">
            <v>2007GEMATEL</v>
          </cell>
          <cell r="X48" t="str">
            <v>2007GEMATELScratch 20 000</v>
          </cell>
        </row>
        <row r="49">
          <cell r="I49">
            <v>2007</v>
          </cell>
          <cell r="J49" t="str">
            <v>Compagnie Internationale de NegoceScratch 1 000</v>
          </cell>
          <cell r="L49">
            <v>1</v>
          </cell>
          <cell r="M49" t="str">
            <v>1Compagnie Internationale de Negoce</v>
          </cell>
          <cell r="N49" t="str">
            <v>Compagnie Internationale de NegoceScratch 1 000</v>
          </cell>
          <cell r="O49" t="str">
            <v>Compagnie Internationale de Negoce</v>
          </cell>
          <cell r="P49" t="str">
            <v>Scratch 1 000</v>
          </cell>
          <cell r="Q49" t="str">
            <v>12007</v>
          </cell>
          <cell r="R49" t="str">
            <v>12007Scratch 1 000</v>
          </cell>
          <cell r="S49" t="str">
            <v>2007Scratch 1 000</v>
          </cell>
          <cell r="T49" t="str">
            <v>12007Compagnie Internationale de Negoce</v>
          </cell>
          <cell r="U49" t="str">
            <v>12007Compagnie Internationale de NegoceScratch 1 000</v>
          </cell>
          <cell r="V49" t="str">
            <v>39087Scratch 1 000</v>
          </cell>
          <cell r="W49" t="str">
            <v>2007Compagnie Internationale de Negoce</v>
          </cell>
          <cell r="X49" t="str">
            <v>2007Compagnie Internationale de NegoceScratch 1 000</v>
          </cell>
        </row>
        <row r="50">
          <cell r="I50">
            <v>2007</v>
          </cell>
          <cell r="J50" t="str">
            <v>Compagnie Internationale de NegoceScratch 2 500</v>
          </cell>
          <cell r="L50">
            <v>0</v>
          </cell>
          <cell r="M50" t="str">
            <v>Compagnie Internationale de Negoce</v>
          </cell>
          <cell r="N50" t="str">
            <v>Compagnie Internationale de NegoceScratch 2 500</v>
          </cell>
          <cell r="O50" t="str">
            <v>Compagnie Internationale de Negoce</v>
          </cell>
          <cell r="P50" t="str">
            <v>Scratch 2 500</v>
          </cell>
          <cell r="Q50" t="str">
            <v>12007</v>
          </cell>
          <cell r="R50" t="str">
            <v>12007Scratch 2 500</v>
          </cell>
          <cell r="S50" t="str">
            <v>2007Scratch 2 500</v>
          </cell>
          <cell r="T50" t="str">
            <v>12007Compagnie Internationale de Negoce</v>
          </cell>
          <cell r="U50" t="str">
            <v>12007Compagnie Internationale de NegoceScratch 2 500</v>
          </cell>
          <cell r="V50" t="str">
            <v>39087Scratch 2 500</v>
          </cell>
          <cell r="W50" t="str">
            <v>2007Compagnie Internationale de Negoce</v>
          </cell>
          <cell r="X50" t="str">
            <v>2007Compagnie Internationale de NegoceScratch 2 500</v>
          </cell>
        </row>
        <row r="51">
          <cell r="I51">
            <v>2007</v>
          </cell>
          <cell r="J51" t="str">
            <v>Compagnie Internationale de NegoceScratch 5 000</v>
          </cell>
          <cell r="L51">
            <v>0</v>
          </cell>
          <cell r="M51" t="str">
            <v>Compagnie Internationale de Negoce</v>
          </cell>
          <cell r="N51" t="str">
            <v>Compagnie Internationale de NegoceScratch 5 000</v>
          </cell>
          <cell r="O51" t="str">
            <v>Compagnie Internationale de Negoce</v>
          </cell>
          <cell r="P51" t="str">
            <v>Scratch 5 000</v>
          </cell>
          <cell r="Q51" t="str">
            <v>12007</v>
          </cell>
          <cell r="R51" t="str">
            <v>12007Scratch 5 000</v>
          </cell>
          <cell r="S51" t="str">
            <v>2007Scratch 5 000</v>
          </cell>
          <cell r="T51" t="str">
            <v>12007Compagnie Internationale de Negoce</v>
          </cell>
          <cell r="U51" t="str">
            <v>12007Compagnie Internationale de NegoceScratch 5 000</v>
          </cell>
          <cell r="V51" t="str">
            <v>39087Scratch 5 000</v>
          </cell>
          <cell r="W51" t="str">
            <v>2007Compagnie Internationale de Negoce</v>
          </cell>
          <cell r="X51" t="str">
            <v>2007Compagnie Internationale de NegoceScratch 5 000</v>
          </cell>
        </row>
        <row r="52">
          <cell r="I52">
            <v>2007</v>
          </cell>
          <cell r="J52" t="str">
            <v>GEMATELScratch 1 000</v>
          </cell>
          <cell r="L52">
            <v>1</v>
          </cell>
          <cell r="M52" t="str">
            <v>1GEMATEL</v>
          </cell>
          <cell r="N52" t="str">
            <v>GEMATELScratch 1 000</v>
          </cell>
          <cell r="O52" t="str">
            <v>GEMATEL</v>
          </cell>
          <cell r="P52" t="str">
            <v>Scratch 1 000</v>
          </cell>
          <cell r="Q52" t="str">
            <v>12007</v>
          </cell>
          <cell r="R52" t="str">
            <v>12007Scratch 1 000</v>
          </cell>
          <cell r="S52" t="str">
            <v>2007Scratch 1 000</v>
          </cell>
          <cell r="T52" t="str">
            <v>12007GEMATEL</v>
          </cell>
          <cell r="U52" t="str">
            <v>12007GEMATELScratch 1 000</v>
          </cell>
          <cell r="V52" t="str">
            <v>39090Scratch 1 000</v>
          </cell>
          <cell r="W52" t="str">
            <v>2007GEMATEL</v>
          </cell>
          <cell r="X52" t="str">
            <v>2007GEMATELScratch 1 000</v>
          </cell>
        </row>
        <row r="53">
          <cell r="I53">
            <v>2007</v>
          </cell>
          <cell r="J53" t="str">
            <v>GEMATELScratch 2 500</v>
          </cell>
          <cell r="L53">
            <v>0</v>
          </cell>
          <cell r="M53" t="str">
            <v>GEMATEL</v>
          </cell>
          <cell r="N53" t="str">
            <v>GEMATELScratch 2 500</v>
          </cell>
          <cell r="O53" t="str">
            <v>GEMATEL</v>
          </cell>
          <cell r="P53" t="str">
            <v>Scratch 2 500</v>
          </cell>
          <cell r="Q53" t="str">
            <v>12007</v>
          </cell>
          <cell r="R53" t="str">
            <v>12007Scratch 2 500</v>
          </cell>
          <cell r="S53" t="str">
            <v>2007Scratch 2 500</v>
          </cell>
          <cell r="T53" t="str">
            <v>12007GEMATEL</v>
          </cell>
          <cell r="U53" t="str">
            <v>12007GEMATELScratch 2 500</v>
          </cell>
          <cell r="V53" t="str">
            <v>39090Scratch 2 500</v>
          </cell>
          <cell r="W53" t="str">
            <v>2007GEMATEL</v>
          </cell>
          <cell r="X53" t="str">
            <v>2007GEMATELScratch 2 500</v>
          </cell>
        </row>
        <row r="54">
          <cell r="I54">
            <v>2007</v>
          </cell>
          <cell r="J54" t="str">
            <v>GEMATELScratch 5 000</v>
          </cell>
          <cell r="L54">
            <v>0</v>
          </cell>
          <cell r="M54" t="str">
            <v>GEMATEL</v>
          </cell>
          <cell r="N54" t="str">
            <v>GEMATELScratch 5 000</v>
          </cell>
          <cell r="O54" t="str">
            <v>GEMATEL</v>
          </cell>
          <cell r="P54" t="str">
            <v>Scratch 5 000</v>
          </cell>
          <cell r="Q54" t="str">
            <v>12007</v>
          </cell>
          <cell r="R54" t="str">
            <v>12007Scratch 5 000</v>
          </cell>
          <cell r="S54" t="str">
            <v>2007Scratch 5 000</v>
          </cell>
          <cell r="T54" t="str">
            <v>12007GEMATEL</v>
          </cell>
          <cell r="U54" t="str">
            <v>12007GEMATELScratch 5 000</v>
          </cell>
          <cell r="V54" t="str">
            <v>39090Scratch 5 000</v>
          </cell>
          <cell r="W54" t="str">
            <v>2007GEMATEL</v>
          </cell>
          <cell r="X54" t="str">
            <v>2007GEMATELScratch 5 000</v>
          </cell>
        </row>
        <row r="55">
          <cell r="I55">
            <v>2007</v>
          </cell>
          <cell r="J55" t="str">
            <v>Ets Mamadou GAMBYScratch 1 000</v>
          </cell>
          <cell r="L55">
            <v>1</v>
          </cell>
          <cell r="M55" t="str">
            <v>1Ets Mamadou GAMBY</v>
          </cell>
          <cell r="N55" t="str">
            <v>Ets Mamadou GAMBYScratch 1 000</v>
          </cell>
          <cell r="O55" t="str">
            <v>Ets Mamadou GAMBY</v>
          </cell>
          <cell r="P55" t="str">
            <v>Scratch 1 000</v>
          </cell>
          <cell r="Q55" t="str">
            <v>12007</v>
          </cell>
          <cell r="R55" t="str">
            <v>12007Scratch 1 000</v>
          </cell>
          <cell r="S55" t="str">
            <v>2007Scratch 1 000</v>
          </cell>
          <cell r="T55" t="str">
            <v>12007Ets Mamadou GAMBY</v>
          </cell>
          <cell r="U55" t="str">
            <v>12007Ets Mamadou GAMBYScratch 1 000</v>
          </cell>
          <cell r="V55" t="str">
            <v>39090Scratch 1 000</v>
          </cell>
          <cell r="W55" t="str">
            <v>2007Ets Mamadou GAMBY</v>
          </cell>
          <cell r="X55" t="str">
            <v>2007Ets Mamadou GAMBYScratch 1 000</v>
          </cell>
        </row>
        <row r="56">
          <cell r="I56">
            <v>2007</v>
          </cell>
          <cell r="J56" t="str">
            <v>Ets Mamadou GAMBYScratch 2 500</v>
          </cell>
          <cell r="L56">
            <v>0</v>
          </cell>
          <cell r="M56" t="str">
            <v>Ets Mamadou GAMBY</v>
          </cell>
          <cell r="N56" t="str">
            <v>Ets Mamadou GAMBYScratch 2 500</v>
          </cell>
          <cell r="O56" t="str">
            <v>Ets Mamadou GAMBY</v>
          </cell>
          <cell r="P56" t="str">
            <v>Scratch 2 500</v>
          </cell>
          <cell r="Q56" t="str">
            <v>12007</v>
          </cell>
          <cell r="R56" t="str">
            <v>12007Scratch 2 500</v>
          </cell>
          <cell r="S56" t="str">
            <v>2007Scratch 2 500</v>
          </cell>
          <cell r="T56" t="str">
            <v>12007Ets Mamadou GAMBY</v>
          </cell>
          <cell r="U56" t="str">
            <v>12007Ets Mamadou GAMBYScratch 2 500</v>
          </cell>
          <cell r="V56" t="str">
            <v>39090Scratch 2 500</v>
          </cell>
          <cell r="W56" t="str">
            <v>2007Ets Mamadou GAMBY</v>
          </cell>
          <cell r="X56" t="str">
            <v>2007Ets Mamadou GAMBYScratch 2 500</v>
          </cell>
        </row>
        <row r="57">
          <cell r="I57">
            <v>2007</v>
          </cell>
          <cell r="J57" t="str">
            <v>Ets Mamadou GAMBYScratch 5 000</v>
          </cell>
          <cell r="L57">
            <v>0</v>
          </cell>
          <cell r="M57" t="str">
            <v>Ets Mamadou GAMBY</v>
          </cell>
          <cell r="N57" t="str">
            <v>Ets Mamadou GAMBYScratch 5 000</v>
          </cell>
          <cell r="O57" t="str">
            <v>Ets Mamadou GAMBY</v>
          </cell>
          <cell r="P57" t="str">
            <v>Scratch 5 000</v>
          </cell>
          <cell r="Q57" t="str">
            <v>12007</v>
          </cell>
          <cell r="R57" t="str">
            <v>12007Scratch 5 000</v>
          </cell>
          <cell r="S57" t="str">
            <v>2007Scratch 5 000</v>
          </cell>
          <cell r="T57" t="str">
            <v>12007Ets Mamadou GAMBY</v>
          </cell>
          <cell r="U57" t="str">
            <v>12007Ets Mamadou GAMBYScratch 5 000</v>
          </cell>
          <cell r="V57" t="str">
            <v>39090Scratch 5 000</v>
          </cell>
          <cell r="W57" t="str">
            <v>2007Ets Mamadou GAMBY</v>
          </cell>
          <cell r="X57" t="str">
            <v>2007Ets Mamadou GAMBYScratch 5 000</v>
          </cell>
        </row>
        <row r="58">
          <cell r="I58">
            <v>2007</v>
          </cell>
          <cell r="J58" t="str">
            <v>Compagnie Internationale de NegoceScratch 1 000</v>
          </cell>
          <cell r="L58">
            <v>1</v>
          </cell>
          <cell r="M58" t="str">
            <v>1Compagnie Internationale de Negoce</v>
          </cell>
          <cell r="N58" t="str">
            <v>Compagnie Internationale de NegoceScratch 1 000</v>
          </cell>
          <cell r="O58" t="str">
            <v>Compagnie Internationale de Negoce</v>
          </cell>
          <cell r="P58" t="str">
            <v>Scratch 1 000</v>
          </cell>
          <cell r="Q58" t="str">
            <v>12007</v>
          </cell>
          <cell r="R58" t="str">
            <v>12007Scratch 1 000</v>
          </cell>
          <cell r="S58" t="str">
            <v>2007Scratch 1 000</v>
          </cell>
          <cell r="T58" t="str">
            <v>12007Compagnie Internationale de Negoce</v>
          </cell>
          <cell r="U58" t="str">
            <v>12007Compagnie Internationale de NegoceScratch 1 000</v>
          </cell>
          <cell r="V58" t="str">
            <v>39090Scratch 1 000</v>
          </cell>
          <cell r="W58" t="str">
            <v>2007Compagnie Internationale de Negoce</v>
          </cell>
          <cell r="X58" t="str">
            <v>2007Compagnie Internationale de NegoceScratch 1 000</v>
          </cell>
        </row>
        <row r="59">
          <cell r="I59">
            <v>2007</v>
          </cell>
          <cell r="J59" t="str">
            <v>Compagnie Internationale de NegoceScratch 2 500</v>
          </cell>
          <cell r="L59">
            <v>0</v>
          </cell>
          <cell r="M59" t="str">
            <v>Compagnie Internationale de Negoce</v>
          </cell>
          <cell r="N59" t="str">
            <v>Compagnie Internationale de NegoceScratch 2 500</v>
          </cell>
          <cell r="O59" t="str">
            <v>Compagnie Internationale de Negoce</v>
          </cell>
          <cell r="P59" t="str">
            <v>Scratch 2 500</v>
          </cell>
          <cell r="Q59" t="str">
            <v>12007</v>
          </cell>
          <cell r="R59" t="str">
            <v>12007Scratch 2 500</v>
          </cell>
          <cell r="S59" t="str">
            <v>2007Scratch 2 500</v>
          </cell>
          <cell r="T59" t="str">
            <v>12007Compagnie Internationale de Negoce</v>
          </cell>
          <cell r="U59" t="str">
            <v>12007Compagnie Internationale de NegoceScratch 2 500</v>
          </cell>
          <cell r="V59" t="str">
            <v>39090Scratch 2 500</v>
          </cell>
          <cell r="W59" t="str">
            <v>2007Compagnie Internationale de Negoce</v>
          </cell>
          <cell r="X59" t="str">
            <v>2007Compagnie Internationale de NegoceScratch 2 500</v>
          </cell>
        </row>
        <row r="60">
          <cell r="I60">
            <v>2007</v>
          </cell>
          <cell r="J60" t="str">
            <v>Compagnie Internationale de NegoceScratch 5 000</v>
          </cell>
          <cell r="L60">
            <v>0</v>
          </cell>
          <cell r="M60" t="str">
            <v>Compagnie Internationale de Negoce</v>
          </cell>
          <cell r="N60" t="str">
            <v>Compagnie Internationale de NegoceScratch 5 000</v>
          </cell>
          <cell r="O60" t="str">
            <v>Compagnie Internationale de Negoce</v>
          </cell>
          <cell r="P60" t="str">
            <v>Scratch 5 000</v>
          </cell>
          <cell r="Q60" t="str">
            <v>12007</v>
          </cell>
          <cell r="R60" t="str">
            <v>12007Scratch 5 000</v>
          </cell>
          <cell r="S60" t="str">
            <v>2007Scratch 5 000</v>
          </cell>
          <cell r="T60" t="str">
            <v>12007Compagnie Internationale de Negoce</v>
          </cell>
          <cell r="U60" t="str">
            <v>12007Compagnie Internationale de NegoceScratch 5 000</v>
          </cell>
          <cell r="V60" t="str">
            <v>39090Scratch 5 000</v>
          </cell>
          <cell r="W60" t="str">
            <v>2007Compagnie Internationale de Negoce</v>
          </cell>
          <cell r="X60" t="str">
            <v>2007Compagnie Internationale de NegoceScratch 5 000</v>
          </cell>
        </row>
        <row r="61">
          <cell r="I61">
            <v>2007</v>
          </cell>
          <cell r="J61" t="str">
            <v>MALI COM SarlScratch 1 000</v>
          </cell>
          <cell r="L61">
            <v>1</v>
          </cell>
          <cell r="M61" t="str">
            <v>1MALI COM Sarl</v>
          </cell>
          <cell r="N61" t="str">
            <v>MALI COM SarlScratch 1 000</v>
          </cell>
          <cell r="O61" t="str">
            <v>MALI COM Sarl</v>
          </cell>
          <cell r="P61" t="str">
            <v>Scratch 1 000</v>
          </cell>
          <cell r="Q61" t="str">
            <v>12007</v>
          </cell>
          <cell r="R61" t="str">
            <v>12007Scratch 1 000</v>
          </cell>
          <cell r="S61" t="str">
            <v>2007Scratch 1 000</v>
          </cell>
          <cell r="T61" t="str">
            <v>12007MALI COM Sarl</v>
          </cell>
          <cell r="U61" t="str">
            <v>12007MALI COM SarlScratch 1 000</v>
          </cell>
          <cell r="V61" t="str">
            <v>39090Scratch 1 000</v>
          </cell>
          <cell r="W61" t="str">
            <v>2007MALI COM Sarl</v>
          </cell>
          <cell r="X61" t="str">
            <v>2007MALI COM SarlScratch 1 000</v>
          </cell>
        </row>
        <row r="62">
          <cell r="I62">
            <v>2007</v>
          </cell>
          <cell r="J62" t="str">
            <v>MALI COM SarlScratch 2 500</v>
          </cell>
          <cell r="L62">
            <v>0</v>
          </cell>
          <cell r="M62" t="str">
            <v>MALI COM Sarl</v>
          </cell>
          <cell r="N62" t="str">
            <v>MALI COM SarlScratch 2 500</v>
          </cell>
          <cell r="O62" t="str">
            <v>MALI COM Sarl</v>
          </cell>
          <cell r="P62" t="str">
            <v>Scratch 2 500</v>
          </cell>
          <cell r="Q62" t="str">
            <v>12007</v>
          </cell>
          <cell r="R62" t="str">
            <v>12007Scratch 2 500</v>
          </cell>
          <cell r="S62" t="str">
            <v>2007Scratch 2 500</v>
          </cell>
          <cell r="T62" t="str">
            <v>12007MALI COM Sarl</v>
          </cell>
          <cell r="U62" t="str">
            <v>12007MALI COM SarlScratch 2 500</v>
          </cell>
          <cell r="V62" t="str">
            <v>39090Scratch 2 500</v>
          </cell>
          <cell r="W62" t="str">
            <v>2007MALI COM Sarl</v>
          </cell>
          <cell r="X62" t="str">
            <v>2007MALI COM SarlScratch 2 500</v>
          </cell>
        </row>
        <row r="63">
          <cell r="I63">
            <v>2007</v>
          </cell>
          <cell r="J63" t="str">
            <v>MALI COM SarlScratch 5 000</v>
          </cell>
          <cell r="L63">
            <v>0</v>
          </cell>
          <cell r="M63" t="str">
            <v>MALI COM Sarl</v>
          </cell>
          <cell r="N63" t="str">
            <v>MALI COM SarlScratch 5 000</v>
          </cell>
          <cell r="O63" t="str">
            <v>MALI COM Sarl</v>
          </cell>
          <cell r="P63" t="str">
            <v>Scratch 5 000</v>
          </cell>
          <cell r="Q63" t="str">
            <v>12007</v>
          </cell>
          <cell r="R63" t="str">
            <v>12007Scratch 5 000</v>
          </cell>
          <cell r="S63" t="str">
            <v>2007Scratch 5 000</v>
          </cell>
          <cell r="T63" t="str">
            <v>12007MALI COM Sarl</v>
          </cell>
          <cell r="U63" t="str">
            <v>12007MALI COM SarlScratch 5 000</v>
          </cell>
          <cell r="V63" t="str">
            <v>39090Scratch 5 000</v>
          </cell>
          <cell r="W63" t="str">
            <v>2007MALI COM Sarl</v>
          </cell>
          <cell r="X63" t="str">
            <v>2007MALI COM SarlScratch 5 000</v>
          </cell>
        </row>
        <row r="64">
          <cell r="I64">
            <v>2007</v>
          </cell>
          <cell r="J64" t="str">
            <v>Burtel MacsymScratch 1 000</v>
          </cell>
          <cell r="L64">
            <v>1</v>
          </cell>
          <cell r="M64" t="str">
            <v>1Burtel Macsym</v>
          </cell>
          <cell r="N64" t="str">
            <v>Burtel MacsymScratch 1 000</v>
          </cell>
          <cell r="O64" t="str">
            <v>Burtel Macsym</v>
          </cell>
          <cell r="P64" t="str">
            <v>Scratch 1 000</v>
          </cell>
          <cell r="Q64" t="str">
            <v>12007</v>
          </cell>
          <cell r="R64" t="str">
            <v>12007Scratch 1 000</v>
          </cell>
          <cell r="S64" t="str">
            <v>2007Scratch 1 000</v>
          </cell>
          <cell r="T64" t="str">
            <v>12007Burtel Macsym</v>
          </cell>
          <cell r="U64" t="str">
            <v>12007Burtel MacsymScratch 1 000</v>
          </cell>
          <cell r="V64" t="str">
            <v>39091Scratch 1 000</v>
          </cell>
          <cell r="W64" t="str">
            <v>2007Burtel Macsym</v>
          </cell>
          <cell r="X64" t="str">
            <v>2007Burtel MacsymScratch 1 000</v>
          </cell>
        </row>
        <row r="65">
          <cell r="I65">
            <v>2007</v>
          </cell>
          <cell r="J65" t="str">
            <v>Burtel MacsymScratch 2 500</v>
          </cell>
          <cell r="L65">
            <v>0</v>
          </cell>
          <cell r="M65" t="str">
            <v>Burtel Macsym</v>
          </cell>
          <cell r="N65" t="str">
            <v>Burtel MacsymScratch 2 500</v>
          </cell>
          <cell r="O65" t="str">
            <v>Burtel Macsym</v>
          </cell>
          <cell r="P65" t="str">
            <v>Scratch 2 500</v>
          </cell>
          <cell r="Q65" t="str">
            <v>12007</v>
          </cell>
          <cell r="R65" t="str">
            <v>12007Scratch 2 500</v>
          </cell>
          <cell r="S65" t="str">
            <v>2007Scratch 2 500</v>
          </cell>
          <cell r="T65" t="str">
            <v>12007Burtel Macsym</v>
          </cell>
          <cell r="U65" t="str">
            <v>12007Burtel MacsymScratch 2 500</v>
          </cell>
          <cell r="V65" t="str">
            <v>39091Scratch 2 500</v>
          </cell>
          <cell r="W65" t="str">
            <v>2007Burtel Macsym</v>
          </cell>
          <cell r="X65" t="str">
            <v>2007Burtel MacsymScratch 2 500</v>
          </cell>
        </row>
        <row r="66">
          <cell r="I66">
            <v>2007</v>
          </cell>
          <cell r="J66" t="str">
            <v>Burtel MacsymScratch 5 000</v>
          </cell>
          <cell r="L66">
            <v>0</v>
          </cell>
          <cell r="M66" t="str">
            <v>Burtel Macsym</v>
          </cell>
          <cell r="N66" t="str">
            <v>Burtel MacsymScratch 5 000</v>
          </cell>
          <cell r="O66" t="str">
            <v>Burtel Macsym</v>
          </cell>
          <cell r="P66" t="str">
            <v>Scratch 5 000</v>
          </cell>
          <cell r="Q66" t="str">
            <v>12007</v>
          </cell>
          <cell r="R66" t="str">
            <v>12007Scratch 5 000</v>
          </cell>
          <cell r="S66" t="str">
            <v>2007Scratch 5 000</v>
          </cell>
          <cell r="T66" t="str">
            <v>12007Burtel Macsym</v>
          </cell>
          <cell r="U66" t="str">
            <v>12007Burtel MacsymScratch 5 000</v>
          </cell>
          <cell r="V66" t="str">
            <v>39091Scratch 5 000</v>
          </cell>
          <cell r="W66" t="str">
            <v>2007Burtel Macsym</v>
          </cell>
          <cell r="X66" t="str">
            <v>2007Burtel MacsymScratch 5 000</v>
          </cell>
        </row>
        <row r="67">
          <cell r="I67">
            <v>2007</v>
          </cell>
          <cell r="J67" t="str">
            <v>GEMATELScratch 1 000</v>
          </cell>
          <cell r="L67">
            <v>1</v>
          </cell>
          <cell r="M67" t="str">
            <v>1GEMATEL</v>
          </cell>
          <cell r="N67" t="str">
            <v>GEMATELScratch 1 000</v>
          </cell>
          <cell r="O67" t="str">
            <v>GEMATEL</v>
          </cell>
          <cell r="P67" t="str">
            <v>Scratch 1 000</v>
          </cell>
          <cell r="Q67" t="str">
            <v>12007</v>
          </cell>
          <cell r="R67" t="str">
            <v>12007Scratch 1 000</v>
          </cell>
          <cell r="S67" t="str">
            <v>2007Scratch 1 000</v>
          </cell>
          <cell r="T67" t="str">
            <v>12007GEMATEL</v>
          </cell>
          <cell r="U67" t="str">
            <v>12007GEMATELScratch 1 000</v>
          </cell>
          <cell r="V67" t="str">
            <v>39091Scratch 1 000</v>
          </cell>
          <cell r="W67" t="str">
            <v>2007GEMATEL</v>
          </cell>
          <cell r="X67" t="str">
            <v>2007GEMATELScratch 1 000</v>
          </cell>
        </row>
        <row r="68">
          <cell r="I68">
            <v>2007</v>
          </cell>
          <cell r="J68" t="str">
            <v>GEMATELScratch 2 500</v>
          </cell>
          <cell r="L68">
            <v>0</v>
          </cell>
          <cell r="M68" t="str">
            <v>GEMATEL</v>
          </cell>
          <cell r="N68" t="str">
            <v>GEMATELScratch 2 500</v>
          </cell>
          <cell r="O68" t="str">
            <v>GEMATEL</v>
          </cell>
          <cell r="P68" t="str">
            <v>Scratch 2 500</v>
          </cell>
          <cell r="Q68" t="str">
            <v>12007</v>
          </cell>
          <cell r="R68" t="str">
            <v>12007Scratch 2 500</v>
          </cell>
          <cell r="S68" t="str">
            <v>2007Scratch 2 500</v>
          </cell>
          <cell r="T68" t="str">
            <v>12007GEMATEL</v>
          </cell>
          <cell r="U68" t="str">
            <v>12007GEMATELScratch 2 500</v>
          </cell>
          <cell r="V68" t="str">
            <v>39091Scratch 2 500</v>
          </cell>
          <cell r="W68" t="str">
            <v>2007GEMATEL</v>
          </cell>
          <cell r="X68" t="str">
            <v>2007GEMATELScratch 2 500</v>
          </cell>
        </row>
        <row r="69">
          <cell r="I69">
            <v>2007</v>
          </cell>
          <cell r="J69" t="str">
            <v>GEMATELScratch 10 000</v>
          </cell>
          <cell r="L69">
            <v>0</v>
          </cell>
          <cell r="M69" t="str">
            <v>GEMATEL</v>
          </cell>
          <cell r="N69" t="str">
            <v>GEMATELScratch 10 000</v>
          </cell>
          <cell r="O69" t="str">
            <v>GEMATEL</v>
          </cell>
          <cell r="P69" t="str">
            <v>Scratch 10 000</v>
          </cell>
          <cell r="Q69" t="str">
            <v>12007</v>
          </cell>
          <cell r="R69" t="str">
            <v>12007Scratch 10 000</v>
          </cell>
          <cell r="S69" t="str">
            <v>2007Scratch 10 000</v>
          </cell>
          <cell r="T69" t="str">
            <v>12007GEMATEL</v>
          </cell>
          <cell r="U69" t="str">
            <v>12007GEMATELScratch 10 000</v>
          </cell>
          <cell r="V69" t="str">
            <v>39091Scratch 10 000</v>
          </cell>
          <cell r="W69" t="str">
            <v>2007GEMATEL</v>
          </cell>
          <cell r="X69" t="str">
            <v>2007GEMATELScratch 10 000</v>
          </cell>
        </row>
        <row r="70">
          <cell r="I70">
            <v>2007</v>
          </cell>
          <cell r="J70" t="str">
            <v>GEMATELScratch 20 000</v>
          </cell>
          <cell r="L70">
            <v>0</v>
          </cell>
          <cell r="M70" t="str">
            <v>GEMATEL</v>
          </cell>
          <cell r="N70" t="str">
            <v>GEMATELScratch 20 000</v>
          </cell>
          <cell r="O70" t="str">
            <v>GEMATEL</v>
          </cell>
          <cell r="P70" t="str">
            <v>Scratch 20 000</v>
          </cell>
          <cell r="Q70" t="str">
            <v>12007</v>
          </cell>
          <cell r="R70" t="str">
            <v>12007Scratch 20 000</v>
          </cell>
          <cell r="S70" t="str">
            <v>2007Scratch 20 000</v>
          </cell>
          <cell r="T70" t="str">
            <v>12007GEMATEL</v>
          </cell>
          <cell r="U70" t="str">
            <v>12007GEMATELScratch 20 000</v>
          </cell>
          <cell r="V70" t="str">
            <v>39091Scratch 20 000</v>
          </cell>
          <cell r="W70" t="str">
            <v>2007GEMATEL</v>
          </cell>
          <cell r="X70" t="str">
            <v>2007GEMATELScratch 20 000</v>
          </cell>
        </row>
        <row r="71">
          <cell r="I71">
            <v>2007</v>
          </cell>
          <cell r="J71" t="str">
            <v>ANKA ServicesScratch 1 000</v>
          </cell>
          <cell r="L71">
            <v>1</v>
          </cell>
          <cell r="M71" t="str">
            <v>1ANKA Services</v>
          </cell>
          <cell r="N71" t="str">
            <v>ANKA ServicesScratch 1 000</v>
          </cell>
          <cell r="O71" t="str">
            <v>ANKA Services</v>
          </cell>
          <cell r="P71" t="str">
            <v>Scratch 1 000</v>
          </cell>
          <cell r="Q71" t="str">
            <v>12007</v>
          </cell>
          <cell r="R71" t="str">
            <v>12007Scratch 1 000</v>
          </cell>
          <cell r="S71" t="str">
            <v>2007Scratch 1 000</v>
          </cell>
          <cell r="T71" t="str">
            <v>12007ANKA Services</v>
          </cell>
          <cell r="U71" t="str">
            <v>12007ANKA ServicesScratch 1 000</v>
          </cell>
          <cell r="V71" t="str">
            <v>39091Scratch 1 000</v>
          </cell>
          <cell r="W71" t="str">
            <v>2007ANKA Services</v>
          </cell>
          <cell r="X71" t="str">
            <v>2007ANKA ServicesScratch 1 000</v>
          </cell>
        </row>
        <row r="72">
          <cell r="I72">
            <v>2007</v>
          </cell>
          <cell r="J72" t="str">
            <v>ANKA ServicesScratch 2 500</v>
          </cell>
          <cell r="L72">
            <v>0</v>
          </cell>
          <cell r="M72" t="str">
            <v>ANKA Services</v>
          </cell>
          <cell r="N72" t="str">
            <v>ANKA ServicesScratch 2 500</v>
          </cell>
          <cell r="O72" t="str">
            <v>ANKA Services</v>
          </cell>
          <cell r="P72" t="str">
            <v>Scratch 2 500</v>
          </cell>
          <cell r="Q72" t="str">
            <v>12007</v>
          </cell>
          <cell r="R72" t="str">
            <v>12007Scratch 2 500</v>
          </cell>
          <cell r="S72" t="str">
            <v>2007Scratch 2 500</v>
          </cell>
          <cell r="T72" t="str">
            <v>12007ANKA Services</v>
          </cell>
          <cell r="U72" t="str">
            <v>12007ANKA ServicesScratch 2 500</v>
          </cell>
          <cell r="V72" t="str">
            <v>39091Scratch 2 500</v>
          </cell>
          <cell r="W72" t="str">
            <v>2007ANKA Services</v>
          </cell>
          <cell r="X72" t="str">
            <v>2007ANKA ServicesScratch 2 500</v>
          </cell>
        </row>
        <row r="73">
          <cell r="I73">
            <v>2007</v>
          </cell>
          <cell r="J73" t="str">
            <v>ANKA ServicesScratch 5 000</v>
          </cell>
          <cell r="L73">
            <v>0</v>
          </cell>
          <cell r="M73" t="str">
            <v>ANKA Services</v>
          </cell>
          <cell r="N73" t="str">
            <v>ANKA ServicesScratch 5 000</v>
          </cell>
          <cell r="O73" t="str">
            <v>ANKA Services</v>
          </cell>
          <cell r="P73" t="str">
            <v>Scratch 5 000</v>
          </cell>
          <cell r="Q73" t="str">
            <v>12007</v>
          </cell>
          <cell r="R73" t="str">
            <v>12007Scratch 5 000</v>
          </cell>
          <cell r="S73" t="str">
            <v>2007Scratch 5 000</v>
          </cell>
          <cell r="T73" t="str">
            <v>12007ANKA Services</v>
          </cell>
          <cell r="U73" t="str">
            <v>12007ANKA ServicesScratch 5 000</v>
          </cell>
          <cell r="V73" t="str">
            <v>39091Scratch 5 000</v>
          </cell>
          <cell r="W73" t="str">
            <v>2007ANKA Services</v>
          </cell>
          <cell r="X73" t="str">
            <v>2007ANKA ServicesScratch 5 000</v>
          </cell>
        </row>
        <row r="74">
          <cell r="I74">
            <v>2007</v>
          </cell>
          <cell r="J74" t="str">
            <v>Compagnie Internationale de NegoceScratch 1 000</v>
          </cell>
          <cell r="L74">
            <v>1</v>
          </cell>
          <cell r="M74" t="str">
            <v>1Compagnie Internationale de Negoce</v>
          </cell>
          <cell r="N74" t="str">
            <v>Compagnie Internationale de NegoceScratch 1 000</v>
          </cell>
          <cell r="O74" t="str">
            <v>Compagnie Internationale de Negoce</v>
          </cell>
          <cell r="P74" t="str">
            <v>Scratch 1 000</v>
          </cell>
          <cell r="Q74" t="str">
            <v>12007</v>
          </cell>
          <cell r="R74" t="str">
            <v>12007Scratch 1 000</v>
          </cell>
          <cell r="S74" t="str">
            <v>2007Scratch 1 000</v>
          </cell>
          <cell r="T74" t="str">
            <v>12007Compagnie Internationale de Negoce</v>
          </cell>
          <cell r="U74" t="str">
            <v>12007Compagnie Internationale de NegoceScratch 1 000</v>
          </cell>
          <cell r="V74" t="str">
            <v>39092Scratch 1 000</v>
          </cell>
          <cell r="W74" t="str">
            <v>2007Compagnie Internationale de Negoce</v>
          </cell>
          <cell r="X74" t="str">
            <v>2007Compagnie Internationale de NegoceScratch 1 000</v>
          </cell>
        </row>
        <row r="75">
          <cell r="I75">
            <v>2007</v>
          </cell>
          <cell r="J75" t="str">
            <v>Compagnie Internationale de NegoceScratch 2 500</v>
          </cell>
          <cell r="L75">
            <v>0</v>
          </cell>
          <cell r="M75" t="str">
            <v>Compagnie Internationale de Negoce</v>
          </cell>
          <cell r="N75" t="str">
            <v>Compagnie Internationale de NegoceScratch 2 500</v>
          </cell>
          <cell r="O75" t="str">
            <v>Compagnie Internationale de Negoce</v>
          </cell>
          <cell r="P75" t="str">
            <v>Scratch 2 500</v>
          </cell>
          <cell r="Q75" t="str">
            <v>12007</v>
          </cell>
          <cell r="R75" t="str">
            <v>12007Scratch 2 500</v>
          </cell>
          <cell r="S75" t="str">
            <v>2007Scratch 2 500</v>
          </cell>
          <cell r="T75" t="str">
            <v>12007Compagnie Internationale de Negoce</v>
          </cell>
          <cell r="U75" t="str">
            <v>12007Compagnie Internationale de NegoceScratch 2 500</v>
          </cell>
          <cell r="V75" t="str">
            <v>39092Scratch 2 500</v>
          </cell>
          <cell r="W75" t="str">
            <v>2007Compagnie Internationale de Negoce</v>
          </cell>
          <cell r="X75" t="str">
            <v>2007Compagnie Internationale de NegoceScratch 2 500</v>
          </cell>
        </row>
        <row r="76">
          <cell r="I76">
            <v>2007</v>
          </cell>
          <cell r="J76" t="str">
            <v>Compagnie Internationale de NegoceScratch 5 000</v>
          </cell>
          <cell r="L76">
            <v>0</v>
          </cell>
          <cell r="M76" t="str">
            <v>Compagnie Internationale de Negoce</v>
          </cell>
          <cell r="N76" t="str">
            <v>Compagnie Internationale de NegoceScratch 5 000</v>
          </cell>
          <cell r="O76" t="str">
            <v>Compagnie Internationale de Negoce</v>
          </cell>
          <cell r="P76" t="str">
            <v>Scratch 5 000</v>
          </cell>
          <cell r="Q76" t="str">
            <v>12007</v>
          </cell>
          <cell r="R76" t="str">
            <v>12007Scratch 5 000</v>
          </cell>
          <cell r="S76" t="str">
            <v>2007Scratch 5 000</v>
          </cell>
          <cell r="T76" t="str">
            <v>12007Compagnie Internationale de Negoce</v>
          </cell>
          <cell r="U76" t="str">
            <v>12007Compagnie Internationale de NegoceScratch 5 000</v>
          </cell>
          <cell r="V76" t="str">
            <v>39092Scratch 5 000</v>
          </cell>
          <cell r="W76" t="str">
            <v>2007Compagnie Internationale de Negoce</v>
          </cell>
          <cell r="X76" t="str">
            <v>2007Compagnie Internationale de NegoceScratch 5 000</v>
          </cell>
        </row>
        <row r="77">
          <cell r="I77">
            <v>2007</v>
          </cell>
          <cell r="J77" t="str">
            <v>SOLEIL LEVANTScratch 1 000</v>
          </cell>
          <cell r="L77">
            <v>1</v>
          </cell>
          <cell r="M77" t="str">
            <v>1SOLEIL LEVANT</v>
          </cell>
          <cell r="N77" t="str">
            <v>SOLEIL LEVANTScratch 1 000</v>
          </cell>
          <cell r="O77" t="str">
            <v>SOLEIL LEVANT</v>
          </cell>
          <cell r="P77" t="str">
            <v>Scratch 1 000</v>
          </cell>
          <cell r="Q77" t="str">
            <v>12007</v>
          </cell>
          <cell r="R77" t="str">
            <v>12007Scratch 1 000</v>
          </cell>
          <cell r="S77" t="str">
            <v>2007Scratch 1 000</v>
          </cell>
          <cell r="T77" t="str">
            <v>12007SOLEIL LEVANT</v>
          </cell>
          <cell r="U77" t="str">
            <v>12007SOLEIL LEVANTScratch 1 000</v>
          </cell>
          <cell r="V77" t="str">
            <v>39093Scratch 1 000</v>
          </cell>
          <cell r="W77" t="str">
            <v>2007SOLEIL LEVANT</v>
          </cell>
          <cell r="X77" t="str">
            <v>2007SOLEIL LEVANTScratch 1 000</v>
          </cell>
        </row>
        <row r="78">
          <cell r="I78">
            <v>2007</v>
          </cell>
          <cell r="J78" t="str">
            <v>SOLEIL LEVANTScratch 2 500</v>
          </cell>
          <cell r="L78">
            <v>0</v>
          </cell>
          <cell r="M78" t="str">
            <v>SOLEIL LEVANT</v>
          </cell>
          <cell r="N78" t="str">
            <v>SOLEIL LEVANTScratch 2 500</v>
          </cell>
          <cell r="O78" t="str">
            <v>SOLEIL LEVANT</v>
          </cell>
          <cell r="P78" t="str">
            <v>Scratch 2 500</v>
          </cell>
          <cell r="Q78" t="str">
            <v>12007</v>
          </cell>
          <cell r="R78" t="str">
            <v>12007Scratch 2 500</v>
          </cell>
          <cell r="S78" t="str">
            <v>2007Scratch 2 500</v>
          </cell>
          <cell r="T78" t="str">
            <v>12007SOLEIL LEVANT</v>
          </cell>
          <cell r="U78" t="str">
            <v>12007SOLEIL LEVANTScratch 2 500</v>
          </cell>
          <cell r="V78" t="str">
            <v>39093Scratch 2 500</v>
          </cell>
          <cell r="W78" t="str">
            <v>2007SOLEIL LEVANT</v>
          </cell>
          <cell r="X78" t="str">
            <v>2007SOLEIL LEVANTScratch 2 500</v>
          </cell>
        </row>
        <row r="79">
          <cell r="I79">
            <v>2007</v>
          </cell>
          <cell r="J79" t="str">
            <v>SOLEIL LEVANTScratch 5 000</v>
          </cell>
          <cell r="L79">
            <v>0</v>
          </cell>
          <cell r="M79" t="str">
            <v>SOLEIL LEVANT</v>
          </cell>
          <cell r="N79" t="str">
            <v>SOLEIL LEVANTScratch 5 000</v>
          </cell>
          <cell r="O79" t="str">
            <v>SOLEIL LEVANT</v>
          </cell>
          <cell r="P79" t="str">
            <v>Scratch 5 000</v>
          </cell>
          <cell r="Q79" t="str">
            <v>12007</v>
          </cell>
          <cell r="R79" t="str">
            <v>12007Scratch 5 000</v>
          </cell>
          <cell r="S79" t="str">
            <v>2007Scratch 5 000</v>
          </cell>
          <cell r="T79" t="str">
            <v>12007SOLEIL LEVANT</v>
          </cell>
          <cell r="U79" t="str">
            <v>12007SOLEIL LEVANTScratch 5 000</v>
          </cell>
          <cell r="V79" t="str">
            <v>39093Scratch 5 000</v>
          </cell>
          <cell r="W79" t="str">
            <v>2007SOLEIL LEVANT</v>
          </cell>
          <cell r="X79" t="str">
            <v>2007SOLEIL LEVANTScratch 5 000</v>
          </cell>
        </row>
        <row r="80">
          <cell r="I80">
            <v>2007</v>
          </cell>
          <cell r="J80" t="str">
            <v>STS GAMBY &amp; FRERES (SOGAF) SarlScratch 1 000</v>
          </cell>
          <cell r="L80">
            <v>1</v>
          </cell>
          <cell r="M80" t="str">
            <v>1STS GAMBY &amp; FRERES (SOGAF) Sarl</v>
          </cell>
          <cell r="N80" t="str">
            <v>STS GAMBY &amp; FRERES (SOGAF) SarlScratch 1 000</v>
          </cell>
          <cell r="O80" t="str">
            <v>STS GAMBY &amp; FRERES (SOGAF) Sarl</v>
          </cell>
          <cell r="P80" t="str">
            <v>Scratch 1 000</v>
          </cell>
          <cell r="Q80" t="str">
            <v>12007</v>
          </cell>
          <cell r="R80" t="str">
            <v>12007Scratch 1 000</v>
          </cell>
          <cell r="S80" t="str">
            <v>2007Scratch 1 000</v>
          </cell>
          <cell r="T80" t="str">
            <v>12007STS GAMBY &amp; FRERES (SOGAF) Sarl</v>
          </cell>
          <cell r="U80" t="str">
            <v>12007STS GAMBY &amp; FRERES (SOGAF) SarlScratch 1 000</v>
          </cell>
          <cell r="V80" t="str">
            <v>39093Scratch 1 000</v>
          </cell>
          <cell r="W80" t="str">
            <v>2007STS GAMBY &amp; FRERES (SOGAF) Sarl</v>
          </cell>
          <cell r="X80" t="str">
            <v>2007STS GAMBY &amp; FRERES (SOGAF) SarlScratch 1 000</v>
          </cell>
        </row>
        <row r="81">
          <cell r="I81">
            <v>2007</v>
          </cell>
          <cell r="J81" t="str">
            <v>STS GAMBY &amp; FRERES (SOGAF) SarlScratch 2 500</v>
          </cell>
          <cell r="L81">
            <v>0</v>
          </cell>
          <cell r="M81" t="str">
            <v>STS GAMBY &amp; FRERES (SOGAF) Sarl</v>
          </cell>
          <cell r="N81" t="str">
            <v>STS GAMBY &amp; FRERES (SOGAF) SarlScratch 2 500</v>
          </cell>
          <cell r="O81" t="str">
            <v>STS GAMBY &amp; FRERES (SOGAF) Sarl</v>
          </cell>
          <cell r="P81" t="str">
            <v>Scratch 2 500</v>
          </cell>
          <cell r="Q81" t="str">
            <v>12007</v>
          </cell>
          <cell r="R81" t="str">
            <v>12007Scratch 2 500</v>
          </cell>
          <cell r="S81" t="str">
            <v>2007Scratch 2 500</v>
          </cell>
          <cell r="T81" t="str">
            <v>12007STS GAMBY &amp; FRERES (SOGAF) Sarl</v>
          </cell>
          <cell r="U81" t="str">
            <v>12007STS GAMBY &amp; FRERES (SOGAF) SarlScratch 2 500</v>
          </cell>
          <cell r="V81" t="str">
            <v>39093Scratch 2 500</v>
          </cell>
          <cell r="W81" t="str">
            <v>2007STS GAMBY &amp; FRERES (SOGAF) Sarl</v>
          </cell>
          <cell r="X81" t="str">
            <v>2007STS GAMBY &amp; FRERES (SOGAF) SarlScratch 2 500</v>
          </cell>
        </row>
        <row r="82">
          <cell r="I82">
            <v>2007</v>
          </cell>
          <cell r="J82" t="str">
            <v>STS GAMBY &amp; FRERES (SOGAF) SarlScratch 5 000</v>
          </cell>
          <cell r="L82">
            <v>0</v>
          </cell>
          <cell r="M82" t="str">
            <v>STS GAMBY &amp; FRERES (SOGAF) Sarl</v>
          </cell>
          <cell r="N82" t="str">
            <v>STS GAMBY &amp; FRERES (SOGAF) SarlScratch 5 000</v>
          </cell>
          <cell r="O82" t="str">
            <v>STS GAMBY &amp; FRERES (SOGAF) Sarl</v>
          </cell>
          <cell r="P82" t="str">
            <v>Scratch 5 000</v>
          </cell>
          <cell r="Q82" t="str">
            <v>12007</v>
          </cell>
          <cell r="R82" t="str">
            <v>12007Scratch 5 000</v>
          </cell>
          <cell r="S82" t="str">
            <v>2007Scratch 5 000</v>
          </cell>
          <cell r="T82" t="str">
            <v>12007STS GAMBY &amp; FRERES (SOGAF) Sarl</v>
          </cell>
          <cell r="U82" t="str">
            <v>12007STS GAMBY &amp; FRERES (SOGAF) SarlScratch 5 000</v>
          </cell>
          <cell r="V82" t="str">
            <v>39093Scratch 5 000</v>
          </cell>
          <cell r="W82" t="str">
            <v>2007STS GAMBY &amp; FRERES (SOGAF) Sarl</v>
          </cell>
          <cell r="X82" t="str">
            <v>2007STS GAMBY &amp; FRERES (SOGAF) SarlScratch 5 000</v>
          </cell>
        </row>
        <row r="83">
          <cell r="I83">
            <v>2007</v>
          </cell>
          <cell r="J83" t="str">
            <v>ETS Boubacar TANDIAScratch 1 000</v>
          </cell>
          <cell r="L83">
            <v>1</v>
          </cell>
          <cell r="M83" t="str">
            <v>1ETS Boubacar TANDIA</v>
          </cell>
          <cell r="N83" t="str">
            <v>ETS Boubacar TANDIAScratch 1 000</v>
          </cell>
          <cell r="O83" t="str">
            <v>ETS Boubacar TANDIA</v>
          </cell>
          <cell r="P83" t="str">
            <v>Scratch 1 000</v>
          </cell>
          <cell r="Q83" t="str">
            <v>12007</v>
          </cell>
          <cell r="R83" t="str">
            <v>12007Scratch 1 000</v>
          </cell>
          <cell r="S83" t="str">
            <v>2007Scratch 1 000</v>
          </cell>
          <cell r="T83" t="str">
            <v>12007ETS Boubacar TANDIA</v>
          </cell>
          <cell r="U83" t="str">
            <v>12007ETS Boubacar TANDIAScratch 1 000</v>
          </cell>
          <cell r="V83" t="str">
            <v>39093Scratch 1 000</v>
          </cell>
          <cell r="W83" t="str">
            <v>2007ETS Boubacar TANDIA</v>
          </cell>
          <cell r="X83" t="str">
            <v>2007ETS Boubacar TANDIAScratch 1 000</v>
          </cell>
        </row>
        <row r="84">
          <cell r="I84">
            <v>2007</v>
          </cell>
          <cell r="J84" t="str">
            <v>ETS Boubacar TANDIAScratch 2 500</v>
          </cell>
          <cell r="L84">
            <v>0</v>
          </cell>
          <cell r="M84" t="str">
            <v>ETS Boubacar TANDIA</v>
          </cell>
          <cell r="N84" t="str">
            <v>ETS Boubacar TANDIAScratch 2 500</v>
          </cell>
          <cell r="O84" t="str">
            <v>ETS Boubacar TANDIA</v>
          </cell>
          <cell r="P84" t="str">
            <v>Scratch 2 500</v>
          </cell>
          <cell r="Q84" t="str">
            <v>12007</v>
          </cell>
          <cell r="R84" t="str">
            <v>12007Scratch 2 500</v>
          </cell>
          <cell r="S84" t="str">
            <v>2007Scratch 2 500</v>
          </cell>
          <cell r="T84" t="str">
            <v>12007ETS Boubacar TANDIA</v>
          </cell>
          <cell r="U84" t="str">
            <v>12007ETS Boubacar TANDIAScratch 2 500</v>
          </cell>
          <cell r="V84" t="str">
            <v>39093Scratch 2 500</v>
          </cell>
          <cell r="W84" t="str">
            <v>2007ETS Boubacar TANDIA</v>
          </cell>
          <cell r="X84" t="str">
            <v>2007ETS Boubacar TANDIAScratch 2 500</v>
          </cell>
        </row>
        <row r="85">
          <cell r="I85">
            <v>2007</v>
          </cell>
          <cell r="J85" t="str">
            <v>ETS Boubacar TANDIAScratch 20 000</v>
          </cell>
          <cell r="L85">
            <v>0</v>
          </cell>
          <cell r="M85" t="str">
            <v>ETS Boubacar TANDIA</v>
          </cell>
          <cell r="N85" t="str">
            <v>ETS Boubacar TANDIAScratch 20 000</v>
          </cell>
          <cell r="O85" t="str">
            <v>ETS Boubacar TANDIA</v>
          </cell>
          <cell r="P85" t="str">
            <v>Scratch 20 000</v>
          </cell>
          <cell r="Q85" t="str">
            <v>12007</v>
          </cell>
          <cell r="R85" t="str">
            <v>12007Scratch 20 000</v>
          </cell>
          <cell r="S85" t="str">
            <v>2007Scratch 20 000</v>
          </cell>
          <cell r="T85" t="str">
            <v>12007ETS Boubacar TANDIA</v>
          </cell>
          <cell r="U85" t="str">
            <v>12007ETS Boubacar TANDIAScratch 20 000</v>
          </cell>
          <cell r="V85" t="str">
            <v>39093Scratch 20 000</v>
          </cell>
          <cell r="W85" t="str">
            <v>2007ETS Boubacar TANDIA</v>
          </cell>
          <cell r="X85" t="str">
            <v>2007ETS Boubacar TANDIAScratch 20 000</v>
          </cell>
        </row>
        <row r="86">
          <cell r="I86">
            <v>2007</v>
          </cell>
          <cell r="J86" t="str">
            <v>ETS Boubacar TANDIAScratch 1 000</v>
          </cell>
          <cell r="L86">
            <v>1</v>
          </cell>
          <cell r="M86" t="str">
            <v>1ETS Boubacar TANDIA</v>
          </cell>
          <cell r="N86" t="str">
            <v>ETS Boubacar TANDIAScratch 1 000</v>
          </cell>
          <cell r="O86" t="str">
            <v>ETS Boubacar TANDIA</v>
          </cell>
          <cell r="P86" t="str">
            <v>Scratch 1 000</v>
          </cell>
          <cell r="Q86" t="str">
            <v>12007</v>
          </cell>
          <cell r="R86" t="str">
            <v>12007Scratch 1 000</v>
          </cell>
          <cell r="S86" t="str">
            <v>2007Scratch 1 000</v>
          </cell>
          <cell r="T86" t="str">
            <v>12007ETS Boubacar TANDIA</v>
          </cell>
          <cell r="U86" t="str">
            <v>12007ETS Boubacar TANDIAScratch 1 000</v>
          </cell>
          <cell r="V86" t="str">
            <v>39094Scratch 1 000</v>
          </cell>
          <cell r="W86" t="str">
            <v>2007ETS Boubacar TANDIA</v>
          </cell>
          <cell r="X86" t="str">
            <v>2007ETS Boubacar TANDIAScratch 1 000</v>
          </cell>
        </row>
        <row r="87">
          <cell r="I87">
            <v>2007</v>
          </cell>
          <cell r="J87" t="str">
            <v>ETS Boubacar TANDIAScratch 2 500</v>
          </cell>
          <cell r="L87">
            <v>0</v>
          </cell>
          <cell r="M87" t="str">
            <v>ETS Boubacar TANDIA</v>
          </cell>
          <cell r="N87" t="str">
            <v>ETS Boubacar TANDIAScratch 2 500</v>
          </cell>
          <cell r="O87" t="str">
            <v>ETS Boubacar TANDIA</v>
          </cell>
          <cell r="P87" t="str">
            <v>Scratch 2 500</v>
          </cell>
          <cell r="Q87" t="str">
            <v>12007</v>
          </cell>
          <cell r="R87" t="str">
            <v>12007Scratch 2 500</v>
          </cell>
          <cell r="S87" t="str">
            <v>2007Scratch 2 500</v>
          </cell>
          <cell r="T87" t="str">
            <v>12007ETS Boubacar TANDIA</v>
          </cell>
          <cell r="U87" t="str">
            <v>12007ETS Boubacar TANDIAScratch 2 500</v>
          </cell>
          <cell r="V87" t="str">
            <v>39094Scratch 2 500</v>
          </cell>
          <cell r="W87" t="str">
            <v>2007ETS Boubacar TANDIA</v>
          </cell>
          <cell r="X87" t="str">
            <v>2007ETS Boubacar TANDIAScratch 2 500</v>
          </cell>
        </row>
        <row r="88">
          <cell r="I88">
            <v>2007</v>
          </cell>
          <cell r="J88" t="str">
            <v>ETS Boubacar TANDIAScratch 5 000</v>
          </cell>
          <cell r="L88">
            <v>0</v>
          </cell>
          <cell r="M88" t="str">
            <v>ETS Boubacar TANDIA</v>
          </cell>
          <cell r="N88" t="str">
            <v>ETS Boubacar TANDIAScratch 5 000</v>
          </cell>
          <cell r="O88" t="str">
            <v>ETS Boubacar TANDIA</v>
          </cell>
          <cell r="P88" t="str">
            <v>Scratch 5 000</v>
          </cell>
          <cell r="Q88" t="str">
            <v>12007</v>
          </cell>
          <cell r="R88" t="str">
            <v>12007Scratch 5 000</v>
          </cell>
          <cell r="S88" t="str">
            <v>2007Scratch 5 000</v>
          </cell>
          <cell r="T88" t="str">
            <v>12007ETS Boubacar TANDIA</v>
          </cell>
          <cell r="U88" t="str">
            <v>12007ETS Boubacar TANDIAScratch 5 000</v>
          </cell>
          <cell r="V88" t="str">
            <v>39094Scratch 5 000</v>
          </cell>
          <cell r="W88" t="str">
            <v>2007ETS Boubacar TANDIA</v>
          </cell>
          <cell r="X88" t="str">
            <v>2007ETS Boubacar TANDIAScratch 5 000</v>
          </cell>
        </row>
        <row r="89">
          <cell r="I89">
            <v>2007</v>
          </cell>
          <cell r="J89" t="str">
            <v>GEMATELScratch 1 000</v>
          </cell>
          <cell r="L89">
            <v>1</v>
          </cell>
          <cell r="M89" t="str">
            <v>1GEMATEL</v>
          </cell>
          <cell r="N89" t="str">
            <v>GEMATELScratch 1 000</v>
          </cell>
          <cell r="O89" t="str">
            <v>GEMATEL</v>
          </cell>
          <cell r="P89" t="str">
            <v>Scratch 1 000</v>
          </cell>
          <cell r="Q89" t="str">
            <v>12007</v>
          </cell>
          <cell r="R89" t="str">
            <v>12007Scratch 1 000</v>
          </cell>
          <cell r="S89" t="str">
            <v>2007Scratch 1 000</v>
          </cell>
          <cell r="T89" t="str">
            <v>12007GEMATEL</v>
          </cell>
          <cell r="U89" t="str">
            <v>12007GEMATELScratch 1 000</v>
          </cell>
          <cell r="V89" t="str">
            <v>39094Scratch 1 000</v>
          </cell>
          <cell r="W89" t="str">
            <v>2007GEMATEL</v>
          </cell>
          <cell r="X89" t="str">
            <v>2007GEMATELScratch 1 000</v>
          </cell>
        </row>
        <row r="90">
          <cell r="I90">
            <v>2007</v>
          </cell>
          <cell r="J90" t="str">
            <v>GEMATELScratch 2 500</v>
          </cell>
          <cell r="L90">
            <v>0</v>
          </cell>
          <cell r="M90" t="str">
            <v>GEMATEL</v>
          </cell>
          <cell r="N90" t="str">
            <v>GEMATELScratch 2 500</v>
          </cell>
          <cell r="O90" t="str">
            <v>GEMATEL</v>
          </cell>
          <cell r="P90" t="str">
            <v>Scratch 2 500</v>
          </cell>
          <cell r="Q90" t="str">
            <v>12007</v>
          </cell>
          <cell r="R90" t="str">
            <v>12007Scratch 2 500</v>
          </cell>
          <cell r="S90" t="str">
            <v>2007Scratch 2 500</v>
          </cell>
          <cell r="T90" t="str">
            <v>12007GEMATEL</v>
          </cell>
          <cell r="U90" t="str">
            <v>12007GEMATELScratch 2 500</v>
          </cell>
          <cell r="V90" t="str">
            <v>39094Scratch 2 500</v>
          </cell>
          <cell r="W90" t="str">
            <v>2007GEMATEL</v>
          </cell>
          <cell r="X90" t="str">
            <v>2007GEMATELScratch 2 500</v>
          </cell>
        </row>
        <row r="91">
          <cell r="I91">
            <v>2007</v>
          </cell>
          <cell r="J91" t="str">
            <v>GEMATELScratch 5 000</v>
          </cell>
          <cell r="L91">
            <v>0</v>
          </cell>
          <cell r="M91" t="str">
            <v>GEMATEL</v>
          </cell>
          <cell r="N91" t="str">
            <v>GEMATELScratch 5 000</v>
          </cell>
          <cell r="O91" t="str">
            <v>GEMATEL</v>
          </cell>
          <cell r="P91" t="str">
            <v>Scratch 5 000</v>
          </cell>
          <cell r="Q91" t="str">
            <v>12007</v>
          </cell>
          <cell r="R91" t="str">
            <v>12007Scratch 5 000</v>
          </cell>
          <cell r="S91" t="str">
            <v>2007Scratch 5 000</v>
          </cell>
          <cell r="T91" t="str">
            <v>12007GEMATEL</v>
          </cell>
          <cell r="U91" t="str">
            <v>12007GEMATELScratch 5 000</v>
          </cell>
          <cell r="V91" t="str">
            <v>39094Scratch 5 000</v>
          </cell>
          <cell r="W91" t="str">
            <v>2007GEMATEL</v>
          </cell>
          <cell r="X91" t="str">
            <v>2007GEMATELScratch 5 000</v>
          </cell>
        </row>
        <row r="92">
          <cell r="I92">
            <v>2007</v>
          </cell>
          <cell r="J92" t="str">
            <v>GEMATELScratch 10 000</v>
          </cell>
          <cell r="L92">
            <v>0</v>
          </cell>
          <cell r="M92" t="str">
            <v>GEMATEL</v>
          </cell>
          <cell r="N92" t="str">
            <v>GEMATELScratch 10 000</v>
          </cell>
          <cell r="O92" t="str">
            <v>GEMATEL</v>
          </cell>
          <cell r="P92" t="str">
            <v>Scratch 10 000</v>
          </cell>
          <cell r="Q92" t="str">
            <v>12007</v>
          </cell>
          <cell r="R92" t="str">
            <v>12007Scratch 10 000</v>
          </cell>
          <cell r="S92" t="str">
            <v>2007Scratch 10 000</v>
          </cell>
          <cell r="T92" t="str">
            <v>12007GEMATEL</v>
          </cell>
          <cell r="U92" t="str">
            <v>12007GEMATELScratch 10 000</v>
          </cell>
          <cell r="V92" t="str">
            <v>39094Scratch 10 000</v>
          </cell>
          <cell r="W92" t="str">
            <v>2007GEMATEL</v>
          </cell>
          <cell r="X92" t="str">
            <v>2007GEMATELScratch 10 000</v>
          </cell>
        </row>
        <row r="93">
          <cell r="I93">
            <v>2007</v>
          </cell>
          <cell r="J93" t="str">
            <v>GEMATELScratch 20 000</v>
          </cell>
          <cell r="L93">
            <v>0</v>
          </cell>
          <cell r="M93" t="str">
            <v>GEMATEL</v>
          </cell>
          <cell r="N93" t="str">
            <v>GEMATELScratch 20 000</v>
          </cell>
          <cell r="O93" t="str">
            <v>GEMATEL</v>
          </cell>
          <cell r="P93" t="str">
            <v>Scratch 20 000</v>
          </cell>
          <cell r="Q93" t="str">
            <v>12007</v>
          </cell>
          <cell r="R93" t="str">
            <v>12007Scratch 20 000</v>
          </cell>
          <cell r="S93" t="str">
            <v>2007Scratch 20 000</v>
          </cell>
          <cell r="T93" t="str">
            <v>12007GEMATEL</v>
          </cell>
          <cell r="U93" t="str">
            <v>12007GEMATELScratch 20 000</v>
          </cell>
          <cell r="V93" t="str">
            <v>39094Scratch 20 000</v>
          </cell>
          <cell r="W93" t="str">
            <v>2007GEMATEL</v>
          </cell>
          <cell r="X93" t="str">
            <v>2007GEMATELScratch 20 000</v>
          </cell>
        </row>
        <row r="94">
          <cell r="I94">
            <v>2007</v>
          </cell>
          <cell r="J94" t="str">
            <v>Compagnie Internationale de NegoceScratch 1 000</v>
          </cell>
          <cell r="L94">
            <v>1</v>
          </cell>
          <cell r="M94" t="str">
            <v>1Compagnie Internationale de Negoce</v>
          </cell>
          <cell r="N94" t="str">
            <v>Compagnie Internationale de NegoceScratch 1 000</v>
          </cell>
          <cell r="O94" t="str">
            <v>Compagnie Internationale de Negoce</v>
          </cell>
          <cell r="P94" t="str">
            <v>Scratch 1 000</v>
          </cell>
          <cell r="Q94" t="str">
            <v>12007</v>
          </cell>
          <cell r="R94" t="str">
            <v>12007Scratch 1 000</v>
          </cell>
          <cell r="S94" t="str">
            <v>2007Scratch 1 000</v>
          </cell>
          <cell r="T94" t="str">
            <v>12007Compagnie Internationale de Negoce</v>
          </cell>
          <cell r="U94" t="str">
            <v>12007Compagnie Internationale de NegoceScratch 1 000</v>
          </cell>
          <cell r="V94" t="str">
            <v>39094Scratch 1 000</v>
          </cell>
          <cell r="W94" t="str">
            <v>2007Compagnie Internationale de Negoce</v>
          </cell>
          <cell r="X94" t="str">
            <v>2007Compagnie Internationale de NegoceScratch 1 000</v>
          </cell>
        </row>
        <row r="95">
          <cell r="I95">
            <v>2007</v>
          </cell>
          <cell r="J95" t="str">
            <v>Compagnie Internationale de NegoceScratch 2 500</v>
          </cell>
          <cell r="L95">
            <v>0</v>
          </cell>
          <cell r="M95" t="str">
            <v>Compagnie Internationale de Negoce</v>
          </cell>
          <cell r="N95" t="str">
            <v>Compagnie Internationale de NegoceScratch 2 500</v>
          </cell>
          <cell r="O95" t="str">
            <v>Compagnie Internationale de Negoce</v>
          </cell>
          <cell r="P95" t="str">
            <v>Scratch 2 500</v>
          </cell>
          <cell r="Q95" t="str">
            <v>12007</v>
          </cell>
          <cell r="R95" t="str">
            <v>12007Scratch 2 500</v>
          </cell>
          <cell r="S95" t="str">
            <v>2007Scratch 2 500</v>
          </cell>
          <cell r="T95" t="str">
            <v>12007Compagnie Internationale de Negoce</v>
          </cell>
          <cell r="U95" t="str">
            <v>12007Compagnie Internationale de NegoceScratch 2 500</v>
          </cell>
          <cell r="V95" t="str">
            <v>39094Scratch 2 500</v>
          </cell>
          <cell r="W95" t="str">
            <v>2007Compagnie Internationale de Negoce</v>
          </cell>
          <cell r="X95" t="str">
            <v>2007Compagnie Internationale de NegoceScratch 2 500</v>
          </cell>
        </row>
        <row r="96">
          <cell r="I96">
            <v>2007</v>
          </cell>
          <cell r="J96" t="str">
            <v>Compagnie Internationale de NegoceScratch 5 000</v>
          </cell>
          <cell r="L96">
            <v>0</v>
          </cell>
          <cell r="M96" t="str">
            <v>Compagnie Internationale de Negoce</v>
          </cell>
          <cell r="N96" t="str">
            <v>Compagnie Internationale de NegoceScratch 5 000</v>
          </cell>
          <cell r="O96" t="str">
            <v>Compagnie Internationale de Negoce</v>
          </cell>
          <cell r="P96" t="str">
            <v>Scratch 5 000</v>
          </cell>
          <cell r="Q96" t="str">
            <v>12007</v>
          </cell>
          <cell r="R96" t="str">
            <v>12007Scratch 5 000</v>
          </cell>
          <cell r="S96" t="str">
            <v>2007Scratch 5 000</v>
          </cell>
          <cell r="T96" t="str">
            <v>12007Compagnie Internationale de Negoce</v>
          </cell>
          <cell r="U96" t="str">
            <v>12007Compagnie Internationale de NegoceScratch 5 000</v>
          </cell>
          <cell r="V96" t="str">
            <v>39094Scratch 5 000</v>
          </cell>
          <cell r="W96" t="str">
            <v>2007Compagnie Internationale de Negoce</v>
          </cell>
          <cell r="X96" t="str">
            <v>2007Compagnie Internationale de NegoceScratch 5 000</v>
          </cell>
        </row>
        <row r="97">
          <cell r="I97">
            <v>2007</v>
          </cell>
          <cell r="J97" t="str">
            <v>MALI COM SarlScratch 1 000</v>
          </cell>
          <cell r="L97">
            <v>1</v>
          </cell>
          <cell r="M97" t="str">
            <v>1MALI COM Sarl</v>
          </cell>
          <cell r="N97" t="str">
            <v>MALI COM SarlScratch 1 000</v>
          </cell>
          <cell r="O97" t="str">
            <v>MALI COM Sarl</v>
          </cell>
          <cell r="P97" t="str">
            <v>Scratch 1 000</v>
          </cell>
          <cell r="Q97" t="str">
            <v>12007</v>
          </cell>
          <cell r="R97" t="str">
            <v>12007Scratch 1 000</v>
          </cell>
          <cell r="S97" t="str">
            <v>2007Scratch 1 000</v>
          </cell>
          <cell r="T97" t="str">
            <v>12007MALI COM Sarl</v>
          </cell>
          <cell r="U97" t="str">
            <v>12007MALI COM SarlScratch 1 000</v>
          </cell>
          <cell r="V97" t="str">
            <v>39094Scratch 1 000</v>
          </cell>
          <cell r="W97" t="str">
            <v>2007MALI COM Sarl</v>
          </cell>
          <cell r="X97" t="str">
            <v>2007MALI COM SarlScratch 1 000</v>
          </cell>
        </row>
        <row r="98">
          <cell r="I98">
            <v>2007</v>
          </cell>
          <cell r="J98" t="str">
            <v>MALI COM SarlScratch 2 500</v>
          </cell>
          <cell r="L98">
            <v>0</v>
          </cell>
          <cell r="M98" t="str">
            <v>MALI COM Sarl</v>
          </cell>
          <cell r="N98" t="str">
            <v>MALI COM SarlScratch 2 500</v>
          </cell>
          <cell r="O98" t="str">
            <v>MALI COM Sarl</v>
          </cell>
          <cell r="P98" t="str">
            <v>Scratch 2 500</v>
          </cell>
          <cell r="Q98" t="str">
            <v>12007</v>
          </cell>
          <cell r="R98" t="str">
            <v>12007Scratch 2 500</v>
          </cell>
          <cell r="S98" t="str">
            <v>2007Scratch 2 500</v>
          </cell>
          <cell r="T98" t="str">
            <v>12007MALI COM Sarl</v>
          </cell>
          <cell r="U98" t="str">
            <v>12007MALI COM SarlScratch 2 500</v>
          </cell>
          <cell r="V98" t="str">
            <v>39094Scratch 2 500</v>
          </cell>
          <cell r="W98" t="str">
            <v>2007MALI COM Sarl</v>
          </cell>
          <cell r="X98" t="str">
            <v>2007MALI COM SarlScratch 2 500</v>
          </cell>
        </row>
        <row r="99">
          <cell r="I99">
            <v>2007</v>
          </cell>
          <cell r="J99" t="str">
            <v>MALI COM SarlScratch 5 000</v>
          </cell>
          <cell r="L99">
            <v>0</v>
          </cell>
          <cell r="M99" t="str">
            <v>MALI COM Sarl</v>
          </cell>
          <cell r="N99" t="str">
            <v>MALI COM SarlScratch 5 000</v>
          </cell>
          <cell r="O99" t="str">
            <v>MALI COM Sarl</v>
          </cell>
          <cell r="P99" t="str">
            <v>Scratch 5 000</v>
          </cell>
          <cell r="Q99" t="str">
            <v>12007</v>
          </cell>
          <cell r="R99" t="str">
            <v>12007Scratch 5 000</v>
          </cell>
          <cell r="S99" t="str">
            <v>2007Scratch 5 000</v>
          </cell>
          <cell r="T99" t="str">
            <v>12007MALI COM Sarl</v>
          </cell>
          <cell r="U99" t="str">
            <v>12007MALI COM SarlScratch 5 000</v>
          </cell>
          <cell r="V99" t="str">
            <v>39094Scratch 5 000</v>
          </cell>
          <cell r="W99" t="str">
            <v>2007MALI COM Sarl</v>
          </cell>
          <cell r="X99" t="str">
            <v>2007MALI COM SarlScratch 5 000</v>
          </cell>
        </row>
        <row r="100">
          <cell r="I100">
            <v>2007</v>
          </cell>
          <cell r="J100" t="str">
            <v>GEMATELScratch 1 000</v>
          </cell>
          <cell r="L100">
            <v>1</v>
          </cell>
          <cell r="M100" t="str">
            <v>1GEMATEL</v>
          </cell>
          <cell r="N100" t="str">
            <v>GEMATELScratch 1 000</v>
          </cell>
          <cell r="O100" t="str">
            <v>GEMATEL</v>
          </cell>
          <cell r="P100" t="str">
            <v>Scratch 1 000</v>
          </cell>
          <cell r="Q100" t="str">
            <v>12007</v>
          </cell>
          <cell r="R100" t="str">
            <v>12007Scratch 1 000</v>
          </cell>
          <cell r="S100" t="str">
            <v>2007Scratch 1 000</v>
          </cell>
          <cell r="T100" t="str">
            <v>12007GEMATEL</v>
          </cell>
          <cell r="U100" t="str">
            <v>12007GEMATELScratch 1 000</v>
          </cell>
          <cell r="V100" t="str">
            <v>39097Scratch 1 000</v>
          </cell>
          <cell r="W100" t="str">
            <v>2007GEMATEL</v>
          </cell>
          <cell r="X100" t="str">
            <v>2007GEMATELScratch 1 000</v>
          </cell>
        </row>
        <row r="101">
          <cell r="I101">
            <v>2007</v>
          </cell>
          <cell r="J101" t="str">
            <v>GEMATELScratch 2 500</v>
          </cell>
          <cell r="L101">
            <v>0</v>
          </cell>
          <cell r="M101" t="str">
            <v>GEMATEL</v>
          </cell>
          <cell r="N101" t="str">
            <v>GEMATELScratch 2 500</v>
          </cell>
          <cell r="O101" t="str">
            <v>GEMATEL</v>
          </cell>
          <cell r="P101" t="str">
            <v>Scratch 2 500</v>
          </cell>
          <cell r="Q101" t="str">
            <v>12007</v>
          </cell>
          <cell r="R101" t="str">
            <v>12007Scratch 2 500</v>
          </cell>
          <cell r="S101" t="str">
            <v>2007Scratch 2 500</v>
          </cell>
          <cell r="T101" t="str">
            <v>12007GEMATEL</v>
          </cell>
          <cell r="U101" t="str">
            <v>12007GEMATELScratch 2 500</v>
          </cell>
          <cell r="V101" t="str">
            <v>39097Scratch 2 500</v>
          </cell>
          <cell r="W101" t="str">
            <v>2007GEMATEL</v>
          </cell>
          <cell r="X101" t="str">
            <v>2007GEMATELScratch 2 500</v>
          </cell>
        </row>
        <row r="102">
          <cell r="I102">
            <v>2007</v>
          </cell>
          <cell r="J102" t="str">
            <v>GEMATELScratch 5 000</v>
          </cell>
          <cell r="L102">
            <v>0</v>
          </cell>
          <cell r="M102" t="str">
            <v>GEMATEL</v>
          </cell>
          <cell r="N102" t="str">
            <v>GEMATELScratch 5 000</v>
          </cell>
          <cell r="O102" t="str">
            <v>GEMATEL</v>
          </cell>
          <cell r="P102" t="str">
            <v>Scratch 5 000</v>
          </cell>
          <cell r="Q102" t="str">
            <v>12007</v>
          </cell>
          <cell r="R102" t="str">
            <v>12007Scratch 5 000</v>
          </cell>
          <cell r="S102" t="str">
            <v>2007Scratch 5 000</v>
          </cell>
          <cell r="T102" t="str">
            <v>12007GEMATEL</v>
          </cell>
          <cell r="U102" t="str">
            <v>12007GEMATELScratch 5 000</v>
          </cell>
          <cell r="V102" t="str">
            <v>39097Scratch 5 000</v>
          </cell>
          <cell r="W102" t="str">
            <v>2007GEMATEL</v>
          </cell>
          <cell r="X102" t="str">
            <v>2007GEMATELScratch 5 000</v>
          </cell>
        </row>
        <row r="103">
          <cell r="I103">
            <v>2007</v>
          </cell>
          <cell r="J103" t="str">
            <v>GEMATELScratch 10 000</v>
          </cell>
          <cell r="L103">
            <v>0</v>
          </cell>
          <cell r="M103" t="str">
            <v>GEMATEL</v>
          </cell>
          <cell r="N103" t="str">
            <v>GEMATELScratch 10 000</v>
          </cell>
          <cell r="O103" t="str">
            <v>GEMATEL</v>
          </cell>
          <cell r="P103" t="str">
            <v>Scratch 10 000</v>
          </cell>
          <cell r="Q103" t="str">
            <v>12007</v>
          </cell>
          <cell r="R103" t="str">
            <v>12007Scratch 10 000</v>
          </cell>
          <cell r="S103" t="str">
            <v>2007Scratch 10 000</v>
          </cell>
          <cell r="T103" t="str">
            <v>12007GEMATEL</v>
          </cell>
          <cell r="U103" t="str">
            <v>12007GEMATELScratch 10 000</v>
          </cell>
          <cell r="V103" t="str">
            <v>39097Scratch 10 000</v>
          </cell>
          <cell r="W103" t="str">
            <v>2007GEMATEL</v>
          </cell>
          <cell r="X103" t="str">
            <v>2007GEMATELScratch 10 000</v>
          </cell>
        </row>
        <row r="104">
          <cell r="I104">
            <v>2007</v>
          </cell>
          <cell r="J104" t="str">
            <v>STS GAMBY &amp; FRERES (SOGAF) SarlScratch 1 000</v>
          </cell>
          <cell r="L104">
            <v>1</v>
          </cell>
          <cell r="M104" t="str">
            <v>1STS GAMBY &amp; FRERES (SOGAF) Sarl</v>
          </cell>
          <cell r="N104" t="str">
            <v>STS GAMBY &amp; FRERES (SOGAF) SarlScratch 1 000</v>
          </cell>
          <cell r="O104" t="str">
            <v>STS GAMBY &amp; FRERES (SOGAF) Sarl</v>
          </cell>
          <cell r="P104" t="str">
            <v>Scratch 1 000</v>
          </cell>
          <cell r="Q104" t="str">
            <v>12007</v>
          </cell>
          <cell r="R104" t="str">
            <v>12007Scratch 1 000</v>
          </cell>
          <cell r="S104" t="str">
            <v>2007Scratch 1 000</v>
          </cell>
          <cell r="T104" t="str">
            <v>12007STS GAMBY &amp; FRERES (SOGAF) Sarl</v>
          </cell>
          <cell r="U104" t="str">
            <v>12007STS GAMBY &amp; FRERES (SOGAF) SarlScratch 1 000</v>
          </cell>
          <cell r="V104" t="str">
            <v>39097Scratch 1 000</v>
          </cell>
          <cell r="W104" t="str">
            <v>2007STS GAMBY &amp; FRERES (SOGAF) Sarl</v>
          </cell>
          <cell r="X104" t="str">
            <v>2007STS GAMBY &amp; FRERES (SOGAF) SarlScratch 1 000</v>
          </cell>
        </row>
        <row r="105">
          <cell r="I105">
            <v>2007</v>
          </cell>
          <cell r="J105" t="str">
            <v>STS GAMBY &amp; FRERES (SOGAF) SarlScratch 2 500</v>
          </cell>
          <cell r="L105">
            <v>0</v>
          </cell>
          <cell r="M105" t="str">
            <v>STS GAMBY &amp; FRERES (SOGAF) Sarl</v>
          </cell>
          <cell r="N105" t="str">
            <v>STS GAMBY &amp; FRERES (SOGAF) SarlScratch 2 500</v>
          </cell>
          <cell r="O105" t="str">
            <v>STS GAMBY &amp; FRERES (SOGAF) Sarl</v>
          </cell>
          <cell r="P105" t="str">
            <v>Scratch 2 500</v>
          </cell>
          <cell r="Q105" t="str">
            <v>12007</v>
          </cell>
          <cell r="R105" t="str">
            <v>12007Scratch 2 500</v>
          </cell>
          <cell r="S105" t="str">
            <v>2007Scratch 2 500</v>
          </cell>
          <cell r="T105" t="str">
            <v>12007STS GAMBY &amp; FRERES (SOGAF) Sarl</v>
          </cell>
          <cell r="U105" t="str">
            <v>12007STS GAMBY &amp; FRERES (SOGAF) SarlScratch 2 500</v>
          </cell>
          <cell r="V105" t="str">
            <v>39097Scratch 2 500</v>
          </cell>
          <cell r="W105" t="str">
            <v>2007STS GAMBY &amp; FRERES (SOGAF) Sarl</v>
          </cell>
          <cell r="X105" t="str">
            <v>2007STS GAMBY &amp; FRERES (SOGAF) SarlScratch 2 500</v>
          </cell>
        </row>
        <row r="106">
          <cell r="I106">
            <v>2007</v>
          </cell>
          <cell r="J106" t="str">
            <v>STS GAMBY &amp; FRERES (SOGAF) SarlScratch 5 000</v>
          </cell>
          <cell r="L106">
            <v>0</v>
          </cell>
          <cell r="M106" t="str">
            <v>STS GAMBY &amp; FRERES (SOGAF) Sarl</v>
          </cell>
          <cell r="N106" t="str">
            <v>STS GAMBY &amp; FRERES (SOGAF) SarlScratch 5 000</v>
          </cell>
          <cell r="O106" t="str">
            <v>STS GAMBY &amp; FRERES (SOGAF) Sarl</v>
          </cell>
          <cell r="P106" t="str">
            <v>Scratch 5 000</v>
          </cell>
          <cell r="Q106" t="str">
            <v>12007</v>
          </cell>
          <cell r="R106" t="str">
            <v>12007Scratch 5 000</v>
          </cell>
          <cell r="S106" t="str">
            <v>2007Scratch 5 000</v>
          </cell>
          <cell r="T106" t="str">
            <v>12007STS GAMBY &amp; FRERES (SOGAF) Sarl</v>
          </cell>
          <cell r="U106" t="str">
            <v>12007STS GAMBY &amp; FRERES (SOGAF) SarlScratch 5 000</v>
          </cell>
          <cell r="V106" t="str">
            <v>39097Scratch 5 000</v>
          </cell>
          <cell r="W106" t="str">
            <v>2007STS GAMBY &amp; FRERES (SOGAF) Sarl</v>
          </cell>
          <cell r="X106" t="str">
            <v>2007STS GAMBY &amp; FRERES (SOGAF) SarlScratch 5 000</v>
          </cell>
        </row>
        <row r="107">
          <cell r="I107">
            <v>2007</v>
          </cell>
          <cell r="J107" t="str">
            <v>Compagnie Internationale de NegoceScratch 1 000</v>
          </cell>
          <cell r="L107">
            <v>1</v>
          </cell>
          <cell r="M107" t="str">
            <v>1Compagnie Internationale de Negoce</v>
          </cell>
          <cell r="N107" t="str">
            <v>Compagnie Internationale de NegoceScratch 1 000</v>
          </cell>
          <cell r="O107" t="str">
            <v>Compagnie Internationale de Negoce</v>
          </cell>
          <cell r="P107" t="str">
            <v>Scratch 1 000</v>
          </cell>
          <cell r="Q107" t="str">
            <v>12007</v>
          </cell>
          <cell r="R107" t="str">
            <v>12007Scratch 1 000</v>
          </cell>
          <cell r="S107" t="str">
            <v>2007Scratch 1 000</v>
          </cell>
          <cell r="T107" t="str">
            <v>12007Compagnie Internationale de Negoce</v>
          </cell>
          <cell r="U107" t="str">
            <v>12007Compagnie Internationale de NegoceScratch 1 000</v>
          </cell>
          <cell r="V107" t="str">
            <v>39097Scratch 1 000</v>
          </cell>
          <cell r="W107" t="str">
            <v>2007Compagnie Internationale de Negoce</v>
          </cell>
          <cell r="X107" t="str">
            <v>2007Compagnie Internationale de NegoceScratch 1 000</v>
          </cell>
        </row>
        <row r="108">
          <cell r="I108">
            <v>2007</v>
          </cell>
          <cell r="J108" t="str">
            <v>Compagnie Internationale de NegoceScratch 2 500</v>
          </cell>
          <cell r="L108">
            <v>0</v>
          </cell>
          <cell r="M108" t="str">
            <v>Compagnie Internationale de Negoce</v>
          </cell>
          <cell r="N108" t="str">
            <v>Compagnie Internationale de NegoceScratch 2 500</v>
          </cell>
          <cell r="O108" t="str">
            <v>Compagnie Internationale de Negoce</v>
          </cell>
          <cell r="P108" t="str">
            <v>Scratch 2 500</v>
          </cell>
          <cell r="Q108" t="str">
            <v>12007</v>
          </cell>
          <cell r="R108" t="str">
            <v>12007Scratch 2 500</v>
          </cell>
          <cell r="S108" t="str">
            <v>2007Scratch 2 500</v>
          </cell>
          <cell r="T108" t="str">
            <v>12007Compagnie Internationale de Negoce</v>
          </cell>
          <cell r="U108" t="str">
            <v>12007Compagnie Internationale de NegoceScratch 2 500</v>
          </cell>
          <cell r="V108" t="str">
            <v>39097Scratch 2 500</v>
          </cell>
          <cell r="W108" t="str">
            <v>2007Compagnie Internationale de Negoce</v>
          </cell>
          <cell r="X108" t="str">
            <v>2007Compagnie Internationale de NegoceScratch 2 500</v>
          </cell>
        </row>
        <row r="109">
          <cell r="I109">
            <v>2007</v>
          </cell>
          <cell r="J109" t="str">
            <v>Compagnie Internationale de NegoceScratch 5 000</v>
          </cell>
          <cell r="L109">
            <v>0</v>
          </cell>
          <cell r="M109" t="str">
            <v>Compagnie Internationale de Negoce</v>
          </cell>
          <cell r="N109" t="str">
            <v>Compagnie Internationale de NegoceScratch 5 000</v>
          </cell>
          <cell r="O109" t="str">
            <v>Compagnie Internationale de Negoce</v>
          </cell>
          <cell r="P109" t="str">
            <v>Scratch 5 000</v>
          </cell>
          <cell r="Q109" t="str">
            <v>12007</v>
          </cell>
          <cell r="R109" t="str">
            <v>12007Scratch 5 000</v>
          </cell>
          <cell r="S109" t="str">
            <v>2007Scratch 5 000</v>
          </cell>
          <cell r="T109" t="str">
            <v>12007Compagnie Internationale de Negoce</v>
          </cell>
          <cell r="U109" t="str">
            <v>12007Compagnie Internationale de NegoceScratch 5 000</v>
          </cell>
          <cell r="V109" t="str">
            <v>39097Scratch 5 000</v>
          </cell>
          <cell r="W109" t="str">
            <v>2007Compagnie Internationale de Negoce</v>
          </cell>
          <cell r="X109" t="str">
            <v>2007Compagnie Internationale de NegoceScratch 5 000</v>
          </cell>
        </row>
        <row r="110">
          <cell r="I110">
            <v>2007</v>
          </cell>
          <cell r="J110" t="str">
            <v>ANKA ServicesScratch 1 000</v>
          </cell>
          <cell r="L110">
            <v>1</v>
          </cell>
          <cell r="M110" t="str">
            <v>1ANKA Services</v>
          </cell>
          <cell r="N110" t="str">
            <v>ANKA ServicesScratch 1 000</v>
          </cell>
          <cell r="O110" t="str">
            <v>ANKA Services</v>
          </cell>
          <cell r="P110" t="str">
            <v>Scratch 1 000</v>
          </cell>
          <cell r="Q110" t="str">
            <v>12007</v>
          </cell>
          <cell r="R110" t="str">
            <v>12007Scratch 1 000</v>
          </cell>
          <cell r="S110" t="str">
            <v>2007Scratch 1 000</v>
          </cell>
          <cell r="T110" t="str">
            <v>12007ANKA Services</v>
          </cell>
          <cell r="U110" t="str">
            <v>12007ANKA ServicesScratch 1 000</v>
          </cell>
          <cell r="V110" t="str">
            <v>39097Scratch 1 000</v>
          </cell>
          <cell r="W110" t="str">
            <v>2007ANKA Services</v>
          </cell>
          <cell r="X110" t="str">
            <v>2007ANKA ServicesScratch 1 000</v>
          </cell>
        </row>
        <row r="111">
          <cell r="I111">
            <v>2007</v>
          </cell>
          <cell r="J111" t="str">
            <v>ANKA ServicesScratch 2 500</v>
          </cell>
          <cell r="L111">
            <v>0</v>
          </cell>
          <cell r="M111" t="str">
            <v>ANKA Services</v>
          </cell>
          <cell r="N111" t="str">
            <v>ANKA ServicesScratch 2 500</v>
          </cell>
          <cell r="O111" t="str">
            <v>ANKA Services</v>
          </cell>
          <cell r="P111" t="str">
            <v>Scratch 2 500</v>
          </cell>
          <cell r="Q111" t="str">
            <v>12007</v>
          </cell>
          <cell r="R111" t="str">
            <v>12007Scratch 2 500</v>
          </cell>
          <cell r="S111" t="str">
            <v>2007Scratch 2 500</v>
          </cell>
          <cell r="T111" t="str">
            <v>12007ANKA Services</v>
          </cell>
          <cell r="U111" t="str">
            <v>12007ANKA ServicesScratch 2 500</v>
          </cell>
          <cell r="V111" t="str">
            <v>39097Scratch 2 500</v>
          </cell>
          <cell r="W111" t="str">
            <v>2007ANKA Services</v>
          </cell>
          <cell r="X111" t="str">
            <v>2007ANKA ServicesScratch 2 500</v>
          </cell>
        </row>
        <row r="112">
          <cell r="I112">
            <v>2007</v>
          </cell>
          <cell r="J112" t="str">
            <v>ANKA ServicesScratch 5 000</v>
          </cell>
          <cell r="L112">
            <v>0</v>
          </cell>
          <cell r="M112" t="str">
            <v>ANKA Services</v>
          </cell>
          <cell r="N112" t="str">
            <v>ANKA ServicesScratch 5 000</v>
          </cell>
          <cell r="O112" t="str">
            <v>ANKA Services</v>
          </cell>
          <cell r="P112" t="str">
            <v>Scratch 5 000</v>
          </cell>
          <cell r="Q112" t="str">
            <v>12007</v>
          </cell>
          <cell r="R112" t="str">
            <v>12007Scratch 5 000</v>
          </cell>
          <cell r="S112" t="str">
            <v>2007Scratch 5 000</v>
          </cell>
          <cell r="T112" t="str">
            <v>12007ANKA Services</v>
          </cell>
          <cell r="U112" t="str">
            <v>12007ANKA ServicesScratch 5 000</v>
          </cell>
          <cell r="V112" t="str">
            <v>39097Scratch 5 000</v>
          </cell>
          <cell r="W112" t="str">
            <v>2007ANKA Services</v>
          </cell>
          <cell r="X112" t="str">
            <v>2007ANKA ServicesScratch 5 000</v>
          </cell>
        </row>
        <row r="113">
          <cell r="I113">
            <v>2007</v>
          </cell>
          <cell r="J113" t="str">
            <v>MALI COM SarlScratch 1 000</v>
          </cell>
          <cell r="L113">
            <v>1</v>
          </cell>
          <cell r="M113" t="str">
            <v>1MALI COM Sarl</v>
          </cell>
          <cell r="N113" t="str">
            <v>MALI COM SarlScratch 1 000</v>
          </cell>
          <cell r="O113" t="str">
            <v>MALI COM Sarl</v>
          </cell>
          <cell r="P113" t="str">
            <v>Scratch 1 000</v>
          </cell>
          <cell r="Q113" t="str">
            <v>12007</v>
          </cell>
          <cell r="R113" t="str">
            <v>12007Scratch 1 000</v>
          </cell>
          <cell r="S113" t="str">
            <v>2007Scratch 1 000</v>
          </cell>
          <cell r="T113" t="str">
            <v>12007MALI COM Sarl</v>
          </cell>
          <cell r="U113" t="str">
            <v>12007MALI COM SarlScratch 1 000</v>
          </cell>
          <cell r="V113" t="str">
            <v>39098Scratch 1 000</v>
          </cell>
          <cell r="W113" t="str">
            <v>2007MALI COM Sarl</v>
          </cell>
          <cell r="X113" t="str">
            <v>2007MALI COM SarlScratch 1 000</v>
          </cell>
        </row>
        <row r="114">
          <cell r="I114">
            <v>2007</v>
          </cell>
          <cell r="J114" t="str">
            <v>MALI COM SarlScratch 2 500</v>
          </cell>
          <cell r="L114">
            <v>0</v>
          </cell>
          <cell r="M114" t="str">
            <v>MALI COM Sarl</v>
          </cell>
          <cell r="N114" t="str">
            <v>MALI COM SarlScratch 2 500</v>
          </cell>
          <cell r="O114" t="str">
            <v>MALI COM Sarl</v>
          </cell>
          <cell r="P114" t="str">
            <v>Scratch 2 500</v>
          </cell>
          <cell r="Q114" t="str">
            <v>12007</v>
          </cell>
          <cell r="R114" t="str">
            <v>12007Scratch 2 500</v>
          </cell>
          <cell r="S114" t="str">
            <v>2007Scratch 2 500</v>
          </cell>
          <cell r="T114" t="str">
            <v>12007MALI COM Sarl</v>
          </cell>
          <cell r="U114" t="str">
            <v>12007MALI COM SarlScratch 2 500</v>
          </cell>
          <cell r="V114" t="str">
            <v>39098Scratch 2 500</v>
          </cell>
          <cell r="W114" t="str">
            <v>2007MALI COM Sarl</v>
          </cell>
          <cell r="X114" t="str">
            <v>2007MALI COM SarlScratch 2 500</v>
          </cell>
        </row>
        <row r="115">
          <cell r="I115">
            <v>2007</v>
          </cell>
          <cell r="J115" t="str">
            <v>MALI COM SarlScratch 5 000</v>
          </cell>
          <cell r="L115">
            <v>0</v>
          </cell>
          <cell r="M115" t="str">
            <v>MALI COM Sarl</v>
          </cell>
          <cell r="N115" t="str">
            <v>MALI COM SarlScratch 5 000</v>
          </cell>
          <cell r="O115" t="str">
            <v>MALI COM Sarl</v>
          </cell>
          <cell r="P115" t="str">
            <v>Scratch 5 000</v>
          </cell>
          <cell r="Q115" t="str">
            <v>12007</v>
          </cell>
          <cell r="R115" t="str">
            <v>12007Scratch 5 000</v>
          </cell>
          <cell r="S115" t="str">
            <v>2007Scratch 5 000</v>
          </cell>
          <cell r="T115" t="str">
            <v>12007MALI COM Sarl</v>
          </cell>
          <cell r="U115" t="str">
            <v>12007MALI COM SarlScratch 5 000</v>
          </cell>
          <cell r="V115" t="str">
            <v>39098Scratch 5 000</v>
          </cell>
          <cell r="W115" t="str">
            <v>2007MALI COM Sarl</v>
          </cell>
          <cell r="X115" t="str">
            <v>2007MALI COM SarlScratch 5 000</v>
          </cell>
        </row>
        <row r="116">
          <cell r="I116">
            <v>2007</v>
          </cell>
          <cell r="J116" t="str">
            <v>Bonneterie Nouvelle TelecomScratch 1 000</v>
          </cell>
          <cell r="L116">
            <v>1</v>
          </cell>
          <cell r="M116" t="str">
            <v>1Bonneterie Nouvelle Telecom</v>
          </cell>
          <cell r="N116" t="str">
            <v>Bonneterie Nouvelle TelecomScratch 1 000</v>
          </cell>
          <cell r="O116" t="str">
            <v>Bonneterie Nouvelle Telecom</v>
          </cell>
          <cell r="P116" t="str">
            <v>Scratch 1 000</v>
          </cell>
          <cell r="Q116" t="str">
            <v>12007</v>
          </cell>
          <cell r="R116" t="str">
            <v>12007Scratch 1 000</v>
          </cell>
          <cell r="S116" t="str">
            <v>2007Scratch 1 000</v>
          </cell>
          <cell r="T116" t="str">
            <v>12007Bonneterie Nouvelle Telecom</v>
          </cell>
          <cell r="U116" t="str">
            <v>12007Bonneterie Nouvelle TelecomScratch 1 000</v>
          </cell>
          <cell r="V116" t="str">
            <v>39098Scratch 1 000</v>
          </cell>
          <cell r="W116" t="str">
            <v>2007Bonneterie Nouvelle Telecom</v>
          </cell>
          <cell r="X116" t="str">
            <v>2007Bonneterie Nouvelle TelecomScratch 1 000</v>
          </cell>
        </row>
        <row r="117">
          <cell r="I117">
            <v>2007</v>
          </cell>
          <cell r="J117" t="str">
            <v>Bonneterie Nouvelle TelecomScratch 2 500</v>
          </cell>
          <cell r="L117">
            <v>0</v>
          </cell>
          <cell r="M117" t="str">
            <v>Bonneterie Nouvelle Telecom</v>
          </cell>
          <cell r="N117" t="str">
            <v>Bonneterie Nouvelle TelecomScratch 2 500</v>
          </cell>
          <cell r="O117" t="str">
            <v>Bonneterie Nouvelle Telecom</v>
          </cell>
          <cell r="P117" t="str">
            <v>Scratch 2 500</v>
          </cell>
          <cell r="Q117" t="str">
            <v>12007</v>
          </cell>
          <cell r="R117" t="str">
            <v>12007Scratch 2 500</v>
          </cell>
          <cell r="S117" t="str">
            <v>2007Scratch 2 500</v>
          </cell>
          <cell r="T117" t="str">
            <v>12007Bonneterie Nouvelle Telecom</v>
          </cell>
          <cell r="U117" t="str">
            <v>12007Bonneterie Nouvelle TelecomScratch 2 500</v>
          </cell>
          <cell r="V117" t="str">
            <v>39098Scratch 2 500</v>
          </cell>
          <cell r="W117" t="str">
            <v>2007Bonneterie Nouvelle Telecom</v>
          </cell>
          <cell r="X117" t="str">
            <v>2007Bonneterie Nouvelle TelecomScratch 2 500</v>
          </cell>
        </row>
        <row r="118">
          <cell r="I118">
            <v>2007</v>
          </cell>
          <cell r="J118" t="str">
            <v>Bonneterie Nouvelle TelecomScratch 5 000</v>
          </cell>
          <cell r="L118">
            <v>0</v>
          </cell>
          <cell r="M118" t="str">
            <v>Bonneterie Nouvelle Telecom</v>
          </cell>
          <cell r="N118" t="str">
            <v>Bonneterie Nouvelle TelecomScratch 5 000</v>
          </cell>
          <cell r="O118" t="str">
            <v>Bonneterie Nouvelle Telecom</v>
          </cell>
          <cell r="P118" t="str">
            <v>Scratch 5 000</v>
          </cell>
          <cell r="Q118" t="str">
            <v>12007</v>
          </cell>
          <cell r="R118" t="str">
            <v>12007Scratch 5 000</v>
          </cell>
          <cell r="S118" t="str">
            <v>2007Scratch 5 000</v>
          </cell>
          <cell r="T118" t="str">
            <v>12007Bonneterie Nouvelle Telecom</v>
          </cell>
          <cell r="U118" t="str">
            <v>12007Bonneterie Nouvelle TelecomScratch 5 000</v>
          </cell>
          <cell r="V118" t="str">
            <v>39098Scratch 5 000</v>
          </cell>
          <cell r="W118" t="str">
            <v>2007Bonneterie Nouvelle Telecom</v>
          </cell>
          <cell r="X118" t="str">
            <v>2007Bonneterie Nouvelle TelecomScratch 5 000</v>
          </cell>
        </row>
        <row r="119">
          <cell r="I119">
            <v>2007</v>
          </cell>
          <cell r="J119" t="str">
            <v>Burtel MacsymScratch 1 000</v>
          </cell>
          <cell r="L119">
            <v>1</v>
          </cell>
          <cell r="M119" t="str">
            <v>1Burtel Macsym</v>
          </cell>
          <cell r="N119" t="str">
            <v>Burtel MacsymScratch 1 000</v>
          </cell>
          <cell r="O119" t="str">
            <v>Burtel Macsym</v>
          </cell>
          <cell r="P119" t="str">
            <v>Scratch 1 000</v>
          </cell>
          <cell r="Q119" t="str">
            <v>12007</v>
          </cell>
          <cell r="R119" t="str">
            <v>12007Scratch 1 000</v>
          </cell>
          <cell r="S119" t="str">
            <v>2007Scratch 1 000</v>
          </cell>
          <cell r="T119" t="str">
            <v>12007Burtel Macsym</v>
          </cell>
          <cell r="U119" t="str">
            <v>12007Burtel MacsymScratch 1 000</v>
          </cell>
          <cell r="V119" t="str">
            <v>39098Scratch 1 000</v>
          </cell>
          <cell r="W119" t="str">
            <v>2007Burtel Macsym</v>
          </cell>
          <cell r="X119" t="str">
            <v>2007Burtel MacsymScratch 1 000</v>
          </cell>
        </row>
        <row r="120">
          <cell r="I120">
            <v>2007</v>
          </cell>
          <cell r="J120" t="str">
            <v>Burtel MacsymScratch 2 500</v>
          </cell>
          <cell r="L120">
            <v>0</v>
          </cell>
          <cell r="M120" t="str">
            <v>Burtel Macsym</v>
          </cell>
          <cell r="N120" t="str">
            <v>Burtel MacsymScratch 2 500</v>
          </cell>
          <cell r="O120" t="str">
            <v>Burtel Macsym</v>
          </cell>
          <cell r="P120" t="str">
            <v>Scratch 2 500</v>
          </cell>
          <cell r="Q120" t="str">
            <v>12007</v>
          </cell>
          <cell r="R120" t="str">
            <v>12007Scratch 2 500</v>
          </cell>
          <cell r="S120" t="str">
            <v>2007Scratch 2 500</v>
          </cell>
          <cell r="T120" t="str">
            <v>12007Burtel Macsym</v>
          </cell>
          <cell r="U120" t="str">
            <v>12007Burtel MacsymScratch 2 500</v>
          </cell>
          <cell r="V120" t="str">
            <v>39098Scratch 2 500</v>
          </cell>
          <cell r="W120" t="str">
            <v>2007Burtel Macsym</v>
          </cell>
          <cell r="X120" t="str">
            <v>2007Burtel MacsymScratch 2 500</v>
          </cell>
        </row>
        <row r="121">
          <cell r="I121">
            <v>2007</v>
          </cell>
          <cell r="J121" t="str">
            <v>Burtel MacsymScratch 5 000</v>
          </cell>
          <cell r="L121">
            <v>0</v>
          </cell>
          <cell r="M121" t="str">
            <v>Burtel Macsym</v>
          </cell>
          <cell r="N121" t="str">
            <v>Burtel MacsymScratch 5 000</v>
          </cell>
          <cell r="O121" t="str">
            <v>Burtel Macsym</v>
          </cell>
          <cell r="P121" t="str">
            <v>Scratch 5 000</v>
          </cell>
          <cell r="Q121" t="str">
            <v>12007</v>
          </cell>
          <cell r="R121" t="str">
            <v>12007Scratch 5 000</v>
          </cell>
          <cell r="S121" t="str">
            <v>2007Scratch 5 000</v>
          </cell>
          <cell r="T121" t="str">
            <v>12007Burtel Macsym</v>
          </cell>
          <cell r="U121" t="str">
            <v>12007Burtel MacsymScratch 5 000</v>
          </cell>
          <cell r="V121" t="str">
            <v>39098Scratch 5 000</v>
          </cell>
          <cell r="W121" t="str">
            <v>2007Burtel Macsym</v>
          </cell>
          <cell r="X121" t="str">
            <v>2007Burtel MacsymScratch 5 000</v>
          </cell>
        </row>
        <row r="122">
          <cell r="I122">
            <v>2007</v>
          </cell>
          <cell r="J122" t="str">
            <v>GEMATELScratch 1 000</v>
          </cell>
          <cell r="L122">
            <v>1</v>
          </cell>
          <cell r="M122" t="str">
            <v>1GEMATEL</v>
          </cell>
          <cell r="N122" t="str">
            <v>GEMATELScratch 1 000</v>
          </cell>
          <cell r="O122" t="str">
            <v>GEMATEL</v>
          </cell>
          <cell r="P122" t="str">
            <v>Scratch 1 000</v>
          </cell>
          <cell r="Q122" t="str">
            <v>12007</v>
          </cell>
          <cell r="R122" t="str">
            <v>12007Scratch 1 000</v>
          </cell>
          <cell r="S122" t="str">
            <v>2007Scratch 1 000</v>
          </cell>
          <cell r="T122" t="str">
            <v>12007GEMATEL</v>
          </cell>
          <cell r="U122" t="str">
            <v>12007GEMATELScratch 1 000</v>
          </cell>
          <cell r="V122" t="str">
            <v>39100Scratch 1 000</v>
          </cell>
          <cell r="W122" t="str">
            <v>2007GEMATEL</v>
          </cell>
          <cell r="X122" t="str">
            <v>2007GEMATELScratch 1 000</v>
          </cell>
        </row>
        <row r="123">
          <cell r="I123">
            <v>2007</v>
          </cell>
          <cell r="J123" t="str">
            <v>GEMATELScratch 2 500</v>
          </cell>
          <cell r="L123">
            <v>0</v>
          </cell>
          <cell r="M123" t="str">
            <v>GEMATEL</v>
          </cell>
          <cell r="N123" t="str">
            <v>GEMATELScratch 2 500</v>
          </cell>
          <cell r="O123" t="str">
            <v>GEMATEL</v>
          </cell>
          <cell r="P123" t="str">
            <v>Scratch 2 500</v>
          </cell>
          <cell r="Q123" t="str">
            <v>12007</v>
          </cell>
          <cell r="R123" t="str">
            <v>12007Scratch 2 500</v>
          </cell>
          <cell r="S123" t="str">
            <v>2007Scratch 2 500</v>
          </cell>
          <cell r="T123" t="str">
            <v>12007GEMATEL</v>
          </cell>
          <cell r="U123" t="str">
            <v>12007GEMATELScratch 2 500</v>
          </cell>
          <cell r="V123" t="str">
            <v>39100Scratch 2 500</v>
          </cell>
          <cell r="W123" t="str">
            <v>2007GEMATEL</v>
          </cell>
          <cell r="X123" t="str">
            <v>2007GEMATELScratch 2 500</v>
          </cell>
        </row>
        <row r="124">
          <cell r="I124">
            <v>2007</v>
          </cell>
          <cell r="J124" t="str">
            <v>GEMATELScratch 5 000</v>
          </cell>
          <cell r="L124">
            <v>0</v>
          </cell>
          <cell r="M124" t="str">
            <v>GEMATEL</v>
          </cell>
          <cell r="N124" t="str">
            <v>GEMATELScratch 5 000</v>
          </cell>
          <cell r="O124" t="str">
            <v>GEMATEL</v>
          </cell>
          <cell r="P124" t="str">
            <v>Scratch 5 000</v>
          </cell>
          <cell r="Q124" t="str">
            <v>12007</v>
          </cell>
          <cell r="R124" t="str">
            <v>12007Scratch 5 000</v>
          </cell>
          <cell r="S124" t="str">
            <v>2007Scratch 5 000</v>
          </cell>
          <cell r="T124" t="str">
            <v>12007GEMATEL</v>
          </cell>
          <cell r="U124" t="str">
            <v>12007GEMATELScratch 5 000</v>
          </cell>
          <cell r="V124" t="str">
            <v>39100Scratch 5 000</v>
          </cell>
          <cell r="W124" t="str">
            <v>2007GEMATEL</v>
          </cell>
          <cell r="X124" t="str">
            <v>2007GEMATELScratch 5 000</v>
          </cell>
        </row>
        <row r="125">
          <cell r="I125">
            <v>2007</v>
          </cell>
          <cell r="J125" t="str">
            <v>GEMATELScratch 10 000</v>
          </cell>
          <cell r="L125">
            <v>0</v>
          </cell>
          <cell r="M125" t="str">
            <v>GEMATEL</v>
          </cell>
          <cell r="N125" t="str">
            <v>GEMATELScratch 10 000</v>
          </cell>
          <cell r="O125" t="str">
            <v>GEMATEL</v>
          </cell>
          <cell r="P125" t="str">
            <v>Scratch 10 000</v>
          </cell>
          <cell r="Q125" t="str">
            <v>12007</v>
          </cell>
          <cell r="R125" t="str">
            <v>12007Scratch 10 000</v>
          </cell>
          <cell r="S125" t="str">
            <v>2007Scratch 10 000</v>
          </cell>
          <cell r="T125" t="str">
            <v>12007GEMATEL</v>
          </cell>
          <cell r="U125" t="str">
            <v>12007GEMATELScratch 10 000</v>
          </cell>
          <cell r="V125" t="str">
            <v>39100Scratch 10 000</v>
          </cell>
          <cell r="W125" t="str">
            <v>2007GEMATEL</v>
          </cell>
          <cell r="X125" t="str">
            <v>2007GEMATELScratch 10 000</v>
          </cell>
        </row>
        <row r="126">
          <cell r="I126">
            <v>2007</v>
          </cell>
          <cell r="J126" t="str">
            <v>Compagnie Internationale de NegoceScratch 1 000</v>
          </cell>
          <cell r="L126">
            <v>1</v>
          </cell>
          <cell r="M126" t="str">
            <v>1Compagnie Internationale de Negoce</v>
          </cell>
          <cell r="N126" t="str">
            <v>Compagnie Internationale de NegoceScratch 1 000</v>
          </cell>
          <cell r="O126" t="str">
            <v>Compagnie Internationale de Negoce</v>
          </cell>
          <cell r="P126" t="str">
            <v>Scratch 1 000</v>
          </cell>
          <cell r="Q126" t="str">
            <v>12007</v>
          </cell>
          <cell r="R126" t="str">
            <v>12007Scratch 1 000</v>
          </cell>
          <cell r="S126" t="str">
            <v>2007Scratch 1 000</v>
          </cell>
          <cell r="T126" t="str">
            <v>12007Compagnie Internationale de Negoce</v>
          </cell>
          <cell r="U126" t="str">
            <v>12007Compagnie Internationale de NegoceScratch 1 000</v>
          </cell>
          <cell r="V126" t="str">
            <v>39100Scratch 1 000</v>
          </cell>
          <cell r="W126" t="str">
            <v>2007Compagnie Internationale de Negoce</v>
          </cell>
          <cell r="X126" t="str">
            <v>2007Compagnie Internationale de NegoceScratch 1 000</v>
          </cell>
        </row>
        <row r="127">
          <cell r="I127">
            <v>2007</v>
          </cell>
          <cell r="J127" t="str">
            <v>Compagnie Internationale de NegoceScratch 2 500</v>
          </cell>
          <cell r="L127">
            <v>0</v>
          </cell>
          <cell r="M127" t="str">
            <v>Compagnie Internationale de Negoce</v>
          </cell>
          <cell r="N127" t="str">
            <v>Compagnie Internationale de NegoceScratch 2 500</v>
          </cell>
          <cell r="O127" t="str">
            <v>Compagnie Internationale de Negoce</v>
          </cell>
          <cell r="P127" t="str">
            <v>Scratch 2 500</v>
          </cell>
          <cell r="Q127" t="str">
            <v>12007</v>
          </cell>
          <cell r="R127" t="str">
            <v>12007Scratch 2 500</v>
          </cell>
          <cell r="S127" t="str">
            <v>2007Scratch 2 500</v>
          </cell>
          <cell r="T127" t="str">
            <v>12007Compagnie Internationale de Negoce</v>
          </cell>
          <cell r="U127" t="str">
            <v>12007Compagnie Internationale de NegoceScratch 2 500</v>
          </cell>
          <cell r="V127" t="str">
            <v>39100Scratch 2 500</v>
          </cell>
          <cell r="W127" t="str">
            <v>2007Compagnie Internationale de Negoce</v>
          </cell>
          <cell r="X127" t="str">
            <v>2007Compagnie Internationale de NegoceScratch 2 500</v>
          </cell>
        </row>
        <row r="128">
          <cell r="I128">
            <v>2007</v>
          </cell>
          <cell r="J128" t="str">
            <v>Compagnie Internationale de NegoceScratch 5 000</v>
          </cell>
          <cell r="L128">
            <v>0</v>
          </cell>
          <cell r="M128" t="str">
            <v>Compagnie Internationale de Negoce</v>
          </cell>
          <cell r="N128" t="str">
            <v>Compagnie Internationale de NegoceScratch 5 000</v>
          </cell>
          <cell r="O128" t="str">
            <v>Compagnie Internationale de Negoce</v>
          </cell>
          <cell r="P128" t="str">
            <v>Scratch 5 000</v>
          </cell>
          <cell r="Q128" t="str">
            <v>12007</v>
          </cell>
          <cell r="R128" t="str">
            <v>12007Scratch 5 000</v>
          </cell>
          <cell r="S128" t="str">
            <v>2007Scratch 5 000</v>
          </cell>
          <cell r="T128" t="str">
            <v>12007Compagnie Internationale de Negoce</v>
          </cell>
          <cell r="U128" t="str">
            <v>12007Compagnie Internationale de NegoceScratch 5 000</v>
          </cell>
          <cell r="V128" t="str">
            <v>39100Scratch 5 000</v>
          </cell>
          <cell r="W128" t="str">
            <v>2007Compagnie Internationale de Negoce</v>
          </cell>
          <cell r="X128" t="str">
            <v>2007Compagnie Internationale de NegoceScratch 5 000</v>
          </cell>
        </row>
        <row r="129">
          <cell r="I129">
            <v>2007</v>
          </cell>
          <cell r="J129" t="str">
            <v>MALI COM SarlScratch 1 000</v>
          </cell>
          <cell r="L129">
            <v>1</v>
          </cell>
          <cell r="M129" t="str">
            <v>1MALI COM Sarl</v>
          </cell>
          <cell r="N129" t="str">
            <v>MALI COM SarlScratch 1 000</v>
          </cell>
          <cell r="O129" t="str">
            <v>MALI COM Sarl</v>
          </cell>
          <cell r="P129" t="str">
            <v>Scratch 1 000</v>
          </cell>
          <cell r="Q129" t="str">
            <v>12007</v>
          </cell>
          <cell r="R129" t="str">
            <v>12007Scratch 1 000</v>
          </cell>
          <cell r="S129" t="str">
            <v>2007Scratch 1 000</v>
          </cell>
          <cell r="T129" t="str">
            <v>12007MALI COM Sarl</v>
          </cell>
          <cell r="U129" t="str">
            <v>12007MALI COM SarlScratch 1 000</v>
          </cell>
          <cell r="V129" t="str">
            <v>39100Scratch 1 000</v>
          </cell>
          <cell r="W129" t="str">
            <v>2007MALI COM Sarl</v>
          </cell>
          <cell r="X129" t="str">
            <v>2007MALI COM SarlScratch 1 000</v>
          </cell>
        </row>
        <row r="130">
          <cell r="I130">
            <v>2007</v>
          </cell>
          <cell r="J130" t="str">
            <v>MALI COM SarlScratch 2 500</v>
          </cell>
          <cell r="L130">
            <v>1</v>
          </cell>
          <cell r="M130" t="str">
            <v>1MALI COM Sarl</v>
          </cell>
          <cell r="N130" t="str">
            <v>MALI COM SarlScratch 2 500</v>
          </cell>
          <cell r="O130" t="str">
            <v>MALI COM Sarl</v>
          </cell>
          <cell r="P130" t="str">
            <v>Scratch 2 500</v>
          </cell>
          <cell r="Q130" t="str">
            <v>12007</v>
          </cell>
          <cell r="R130" t="str">
            <v>12007Scratch 2 500</v>
          </cell>
          <cell r="S130" t="str">
            <v>2007Scratch 2 500</v>
          </cell>
          <cell r="T130" t="str">
            <v>12007MALI COM Sarl</v>
          </cell>
          <cell r="U130" t="str">
            <v>12007MALI COM SarlScratch 2 500</v>
          </cell>
          <cell r="V130" t="str">
            <v>39100Scratch 2 500</v>
          </cell>
          <cell r="W130" t="str">
            <v>2007MALI COM Sarl</v>
          </cell>
          <cell r="X130" t="str">
            <v>2007MALI COM SarlScratch 2 500</v>
          </cell>
        </row>
        <row r="131">
          <cell r="I131">
            <v>2007</v>
          </cell>
          <cell r="J131" t="str">
            <v>MALI COM SarlScratch 5 000</v>
          </cell>
          <cell r="L131">
            <v>0</v>
          </cell>
          <cell r="M131" t="str">
            <v>MALI COM Sarl</v>
          </cell>
          <cell r="N131" t="str">
            <v>MALI COM SarlScratch 5 000</v>
          </cell>
          <cell r="O131" t="str">
            <v>MALI COM Sarl</v>
          </cell>
          <cell r="P131" t="str">
            <v>Scratch 5 000</v>
          </cell>
          <cell r="Q131" t="str">
            <v>12007</v>
          </cell>
          <cell r="R131" t="str">
            <v>12007Scratch 5 000</v>
          </cell>
          <cell r="S131" t="str">
            <v>2007Scratch 5 000</v>
          </cell>
          <cell r="T131" t="str">
            <v>12007MALI COM Sarl</v>
          </cell>
          <cell r="U131" t="str">
            <v>12007MALI COM SarlScratch 5 000</v>
          </cell>
          <cell r="V131" t="str">
            <v>39100Scratch 5 000</v>
          </cell>
          <cell r="W131" t="str">
            <v>2007MALI COM Sarl</v>
          </cell>
          <cell r="X131" t="str">
            <v>2007MALI COM SarlScratch 5 000</v>
          </cell>
        </row>
        <row r="132">
          <cell r="I132">
            <v>2007</v>
          </cell>
          <cell r="J132" t="str">
            <v>MALI COM SarlScratch 10 000</v>
          </cell>
          <cell r="L132">
            <v>1</v>
          </cell>
          <cell r="M132" t="str">
            <v>1MALI COM Sarl</v>
          </cell>
          <cell r="N132" t="str">
            <v>MALI COM SarlScratch 10 000</v>
          </cell>
          <cell r="O132" t="str">
            <v>MALI COM Sarl</v>
          </cell>
          <cell r="P132" t="str">
            <v>Scratch 10 000</v>
          </cell>
          <cell r="Q132" t="str">
            <v>12007</v>
          </cell>
          <cell r="R132" t="str">
            <v>12007Scratch 10 000</v>
          </cell>
          <cell r="S132" t="str">
            <v>2007Scratch 10 000</v>
          </cell>
          <cell r="T132" t="str">
            <v>12007MALI COM Sarl</v>
          </cell>
          <cell r="U132" t="str">
            <v>12007MALI COM SarlScratch 10 000</v>
          </cell>
          <cell r="V132" t="str">
            <v>39100Scratch 10 000</v>
          </cell>
          <cell r="W132" t="str">
            <v>2007MALI COM Sarl</v>
          </cell>
          <cell r="X132" t="str">
            <v>2007MALI COM SarlScratch 10 000</v>
          </cell>
        </row>
        <row r="133">
          <cell r="I133">
            <v>2007</v>
          </cell>
          <cell r="J133" t="str">
            <v>ANKA ServicesScratch 1 000</v>
          </cell>
          <cell r="L133">
            <v>1</v>
          </cell>
          <cell r="M133" t="str">
            <v>1ANKA Services</v>
          </cell>
          <cell r="N133" t="str">
            <v>ANKA ServicesScratch 1 000</v>
          </cell>
          <cell r="O133" t="str">
            <v>ANKA Services</v>
          </cell>
          <cell r="P133" t="str">
            <v>Scratch 1 000</v>
          </cell>
          <cell r="Q133" t="str">
            <v>12007</v>
          </cell>
          <cell r="R133" t="str">
            <v>12007Scratch 1 000</v>
          </cell>
          <cell r="S133" t="str">
            <v>2007Scratch 1 000</v>
          </cell>
          <cell r="T133" t="str">
            <v>12007ANKA Services</v>
          </cell>
          <cell r="U133" t="str">
            <v>12007ANKA ServicesScratch 1 000</v>
          </cell>
          <cell r="V133" t="str">
            <v>39100Scratch 1 000</v>
          </cell>
          <cell r="W133" t="str">
            <v>2007ANKA Services</v>
          </cell>
          <cell r="X133" t="str">
            <v>2007ANKA ServicesScratch 1 000</v>
          </cell>
        </row>
        <row r="134">
          <cell r="I134">
            <v>2007</v>
          </cell>
          <cell r="J134" t="str">
            <v>ANKA ServicesScratch 2 500</v>
          </cell>
          <cell r="L134">
            <v>0</v>
          </cell>
          <cell r="M134" t="str">
            <v>ANKA Services</v>
          </cell>
          <cell r="N134" t="str">
            <v>ANKA ServicesScratch 2 500</v>
          </cell>
          <cell r="O134" t="str">
            <v>ANKA Services</v>
          </cell>
          <cell r="P134" t="str">
            <v>Scratch 2 500</v>
          </cell>
          <cell r="Q134" t="str">
            <v>12007</v>
          </cell>
          <cell r="R134" t="str">
            <v>12007Scratch 2 500</v>
          </cell>
          <cell r="S134" t="str">
            <v>2007Scratch 2 500</v>
          </cell>
          <cell r="T134" t="str">
            <v>12007ANKA Services</v>
          </cell>
          <cell r="U134" t="str">
            <v>12007ANKA ServicesScratch 2 500</v>
          </cell>
          <cell r="V134" t="str">
            <v>39100Scratch 2 500</v>
          </cell>
          <cell r="W134" t="str">
            <v>2007ANKA Services</v>
          </cell>
          <cell r="X134" t="str">
            <v>2007ANKA ServicesScratch 2 500</v>
          </cell>
        </row>
        <row r="135">
          <cell r="I135">
            <v>2007</v>
          </cell>
          <cell r="J135" t="str">
            <v>ANKA ServicesScratch 5 000</v>
          </cell>
          <cell r="L135">
            <v>0</v>
          </cell>
          <cell r="M135" t="str">
            <v>ANKA Services</v>
          </cell>
          <cell r="N135" t="str">
            <v>ANKA ServicesScratch 5 000</v>
          </cell>
          <cell r="O135" t="str">
            <v>ANKA Services</v>
          </cell>
          <cell r="P135" t="str">
            <v>Scratch 5 000</v>
          </cell>
          <cell r="Q135" t="str">
            <v>12007</v>
          </cell>
          <cell r="R135" t="str">
            <v>12007Scratch 5 000</v>
          </cell>
          <cell r="S135" t="str">
            <v>2007Scratch 5 000</v>
          </cell>
          <cell r="T135" t="str">
            <v>12007ANKA Services</v>
          </cell>
          <cell r="U135" t="str">
            <v>12007ANKA ServicesScratch 5 000</v>
          </cell>
          <cell r="V135" t="str">
            <v>39100Scratch 5 000</v>
          </cell>
          <cell r="W135" t="str">
            <v>2007ANKA Services</v>
          </cell>
          <cell r="X135" t="str">
            <v>2007ANKA ServicesScratch 5 000</v>
          </cell>
        </row>
        <row r="136">
          <cell r="I136">
            <v>2007</v>
          </cell>
          <cell r="J136" t="str">
            <v>GEMATELScratch 1 000</v>
          </cell>
          <cell r="L136">
            <v>1</v>
          </cell>
          <cell r="M136" t="str">
            <v>1GEMATEL</v>
          </cell>
          <cell r="N136" t="str">
            <v>GEMATELScratch 1 000</v>
          </cell>
          <cell r="O136" t="str">
            <v>GEMATEL</v>
          </cell>
          <cell r="P136" t="str">
            <v>Scratch 1 000</v>
          </cell>
          <cell r="Q136" t="str">
            <v>12007</v>
          </cell>
          <cell r="R136" t="str">
            <v>12007Scratch 1 000</v>
          </cell>
          <cell r="S136" t="str">
            <v>2007Scratch 1 000</v>
          </cell>
          <cell r="T136" t="str">
            <v>12007GEMATEL</v>
          </cell>
          <cell r="U136" t="str">
            <v>12007GEMATELScratch 1 000</v>
          </cell>
          <cell r="V136" t="str">
            <v>39101Scratch 1 000</v>
          </cell>
          <cell r="W136" t="str">
            <v>2007GEMATEL</v>
          </cell>
          <cell r="X136" t="str">
            <v>2007GEMATELScratch 1 000</v>
          </cell>
        </row>
        <row r="137">
          <cell r="I137">
            <v>2007</v>
          </cell>
          <cell r="J137" t="str">
            <v>GEMATELScratch 2 500</v>
          </cell>
          <cell r="L137">
            <v>0</v>
          </cell>
          <cell r="M137" t="str">
            <v>GEMATEL</v>
          </cell>
          <cell r="N137" t="str">
            <v>GEMATELScratch 2 500</v>
          </cell>
          <cell r="O137" t="str">
            <v>GEMATEL</v>
          </cell>
          <cell r="P137" t="str">
            <v>Scratch 2 500</v>
          </cell>
          <cell r="Q137" t="str">
            <v>12007</v>
          </cell>
          <cell r="R137" t="str">
            <v>12007Scratch 2 500</v>
          </cell>
          <cell r="S137" t="str">
            <v>2007Scratch 2 500</v>
          </cell>
          <cell r="T137" t="str">
            <v>12007GEMATEL</v>
          </cell>
          <cell r="U137" t="str">
            <v>12007GEMATELScratch 2 500</v>
          </cell>
          <cell r="V137" t="str">
            <v>39101Scratch 2 500</v>
          </cell>
          <cell r="W137" t="str">
            <v>2007GEMATEL</v>
          </cell>
          <cell r="X137" t="str">
            <v>2007GEMATELScratch 2 500</v>
          </cell>
        </row>
        <row r="138">
          <cell r="I138">
            <v>2007</v>
          </cell>
          <cell r="J138" t="str">
            <v>GEMATELScratch 5 000</v>
          </cell>
          <cell r="L138">
            <v>0</v>
          </cell>
          <cell r="M138" t="str">
            <v>GEMATEL</v>
          </cell>
          <cell r="N138" t="str">
            <v>GEMATELScratch 5 000</v>
          </cell>
          <cell r="O138" t="str">
            <v>GEMATEL</v>
          </cell>
          <cell r="P138" t="str">
            <v>Scratch 5 000</v>
          </cell>
          <cell r="Q138" t="str">
            <v>12007</v>
          </cell>
          <cell r="R138" t="str">
            <v>12007Scratch 5 000</v>
          </cell>
          <cell r="S138" t="str">
            <v>2007Scratch 5 000</v>
          </cell>
          <cell r="T138" t="str">
            <v>12007GEMATEL</v>
          </cell>
          <cell r="U138" t="str">
            <v>12007GEMATELScratch 5 000</v>
          </cell>
          <cell r="V138" t="str">
            <v>39101Scratch 5 000</v>
          </cell>
          <cell r="W138" t="str">
            <v>2007GEMATEL</v>
          </cell>
          <cell r="X138" t="str">
            <v>2007GEMATELScratch 5 000</v>
          </cell>
        </row>
        <row r="139">
          <cell r="I139">
            <v>2007</v>
          </cell>
          <cell r="J139" t="str">
            <v>GEMATELScratch 10 000</v>
          </cell>
          <cell r="L139">
            <v>0</v>
          </cell>
          <cell r="M139" t="str">
            <v>GEMATEL</v>
          </cell>
          <cell r="N139" t="str">
            <v>GEMATELScratch 10 000</v>
          </cell>
          <cell r="O139" t="str">
            <v>GEMATEL</v>
          </cell>
          <cell r="P139" t="str">
            <v>Scratch 10 000</v>
          </cell>
          <cell r="Q139" t="str">
            <v>12007</v>
          </cell>
          <cell r="R139" t="str">
            <v>12007Scratch 10 000</v>
          </cell>
          <cell r="S139" t="str">
            <v>2007Scratch 10 000</v>
          </cell>
          <cell r="T139" t="str">
            <v>12007GEMATEL</v>
          </cell>
          <cell r="U139" t="str">
            <v>12007GEMATELScratch 10 000</v>
          </cell>
          <cell r="V139" t="str">
            <v>39101Scratch 10 000</v>
          </cell>
          <cell r="W139" t="str">
            <v>2007GEMATEL</v>
          </cell>
          <cell r="X139" t="str">
            <v>2007GEMATELScratch 10 000</v>
          </cell>
        </row>
        <row r="140">
          <cell r="I140">
            <v>2007</v>
          </cell>
          <cell r="J140" t="str">
            <v>Ets Mamadou GAMBYScratch 1 000</v>
          </cell>
          <cell r="L140">
            <v>1</v>
          </cell>
          <cell r="M140" t="str">
            <v>1Ets Mamadou GAMBY</v>
          </cell>
          <cell r="N140" t="str">
            <v>Ets Mamadou GAMBYScratch 1 000</v>
          </cell>
          <cell r="O140" t="str">
            <v>Ets Mamadou GAMBY</v>
          </cell>
          <cell r="P140" t="str">
            <v>Scratch 1 000</v>
          </cell>
          <cell r="Q140" t="str">
            <v>12007</v>
          </cell>
          <cell r="R140" t="str">
            <v>12007Scratch 1 000</v>
          </cell>
          <cell r="S140" t="str">
            <v>2007Scratch 1 000</v>
          </cell>
          <cell r="T140" t="str">
            <v>12007Ets Mamadou GAMBY</v>
          </cell>
          <cell r="U140" t="str">
            <v>12007Ets Mamadou GAMBYScratch 1 000</v>
          </cell>
          <cell r="V140" t="str">
            <v>39101Scratch 1 000</v>
          </cell>
          <cell r="W140" t="str">
            <v>2007Ets Mamadou GAMBY</v>
          </cell>
          <cell r="X140" t="str">
            <v>2007Ets Mamadou GAMBYScratch 1 000</v>
          </cell>
        </row>
        <row r="141">
          <cell r="I141">
            <v>2007</v>
          </cell>
          <cell r="J141" t="str">
            <v>Ets Mamadou GAMBYScratch 2 500</v>
          </cell>
          <cell r="L141">
            <v>0</v>
          </cell>
          <cell r="M141" t="str">
            <v>Ets Mamadou GAMBY</v>
          </cell>
          <cell r="N141" t="str">
            <v>Ets Mamadou GAMBYScratch 2 500</v>
          </cell>
          <cell r="O141" t="str">
            <v>Ets Mamadou GAMBY</v>
          </cell>
          <cell r="P141" t="str">
            <v>Scratch 2 500</v>
          </cell>
          <cell r="Q141" t="str">
            <v>12007</v>
          </cell>
          <cell r="R141" t="str">
            <v>12007Scratch 2 500</v>
          </cell>
          <cell r="S141" t="str">
            <v>2007Scratch 2 500</v>
          </cell>
          <cell r="T141" t="str">
            <v>12007Ets Mamadou GAMBY</v>
          </cell>
          <cell r="U141" t="str">
            <v>12007Ets Mamadou GAMBYScratch 2 500</v>
          </cell>
          <cell r="V141" t="str">
            <v>39101Scratch 2 500</v>
          </cell>
          <cell r="W141" t="str">
            <v>2007Ets Mamadou GAMBY</v>
          </cell>
          <cell r="X141" t="str">
            <v>2007Ets Mamadou GAMBYScratch 2 500</v>
          </cell>
        </row>
        <row r="142">
          <cell r="I142">
            <v>2007</v>
          </cell>
          <cell r="J142" t="str">
            <v>Ets Mamadou GAMBYScratch 5 000</v>
          </cell>
          <cell r="L142">
            <v>0</v>
          </cell>
          <cell r="M142" t="str">
            <v>Ets Mamadou GAMBY</v>
          </cell>
          <cell r="N142" t="str">
            <v>Ets Mamadou GAMBYScratch 5 000</v>
          </cell>
          <cell r="O142" t="str">
            <v>Ets Mamadou GAMBY</v>
          </cell>
          <cell r="P142" t="str">
            <v>Scratch 5 000</v>
          </cell>
          <cell r="Q142" t="str">
            <v>12007</v>
          </cell>
          <cell r="R142" t="str">
            <v>12007Scratch 5 000</v>
          </cell>
          <cell r="S142" t="str">
            <v>2007Scratch 5 000</v>
          </cell>
          <cell r="T142" t="str">
            <v>12007Ets Mamadou GAMBY</v>
          </cell>
          <cell r="U142" t="str">
            <v>12007Ets Mamadou GAMBYScratch 5 000</v>
          </cell>
          <cell r="V142" t="str">
            <v>39101Scratch 5 000</v>
          </cell>
          <cell r="W142" t="str">
            <v>2007Ets Mamadou GAMBY</v>
          </cell>
          <cell r="X142" t="str">
            <v>2007Ets Mamadou GAMBYScratch 5 000</v>
          </cell>
        </row>
        <row r="143">
          <cell r="I143">
            <v>2007</v>
          </cell>
          <cell r="J143" t="str">
            <v>CellNets MaliScratch 1 000</v>
          </cell>
          <cell r="L143">
            <v>1</v>
          </cell>
          <cell r="M143" t="str">
            <v>1CellNets Mali</v>
          </cell>
          <cell r="N143" t="str">
            <v>CellNets MaliScratch 1 000</v>
          </cell>
          <cell r="O143" t="str">
            <v>CellNets Mali</v>
          </cell>
          <cell r="P143" t="str">
            <v>Scratch 1 000</v>
          </cell>
          <cell r="Q143" t="str">
            <v>12007</v>
          </cell>
          <cell r="R143" t="str">
            <v>12007Scratch 1 000</v>
          </cell>
          <cell r="S143" t="str">
            <v>2007Scratch 1 000</v>
          </cell>
          <cell r="T143" t="str">
            <v>12007CellNets Mali</v>
          </cell>
          <cell r="U143" t="str">
            <v>12007CellNets MaliScratch 1 000</v>
          </cell>
          <cell r="V143" t="str">
            <v>39101Scratch 1 000</v>
          </cell>
          <cell r="W143" t="str">
            <v>2007CellNets Mali</v>
          </cell>
          <cell r="X143" t="str">
            <v>2007CellNets MaliScratch 1 000</v>
          </cell>
        </row>
        <row r="144">
          <cell r="I144">
            <v>2007</v>
          </cell>
          <cell r="J144" t="str">
            <v>CellNets MaliScratch 2 500</v>
          </cell>
          <cell r="L144">
            <v>0</v>
          </cell>
          <cell r="M144" t="str">
            <v>CellNets Mali</v>
          </cell>
          <cell r="N144" t="str">
            <v>CellNets MaliScratch 2 500</v>
          </cell>
          <cell r="O144" t="str">
            <v>CellNets Mali</v>
          </cell>
          <cell r="P144" t="str">
            <v>Scratch 2 500</v>
          </cell>
          <cell r="Q144" t="str">
            <v>12007</v>
          </cell>
          <cell r="R144" t="str">
            <v>12007Scratch 2 500</v>
          </cell>
          <cell r="S144" t="str">
            <v>2007Scratch 2 500</v>
          </cell>
          <cell r="T144" t="str">
            <v>12007CellNets Mali</v>
          </cell>
          <cell r="U144" t="str">
            <v>12007CellNets MaliScratch 2 500</v>
          </cell>
          <cell r="V144" t="str">
            <v>39101Scratch 2 500</v>
          </cell>
          <cell r="W144" t="str">
            <v>2007CellNets Mali</v>
          </cell>
          <cell r="X144" t="str">
            <v>2007CellNets MaliScratch 2 500</v>
          </cell>
        </row>
        <row r="145">
          <cell r="I145">
            <v>2007</v>
          </cell>
          <cell r="J145" t="str">
            <v>CellNets MaliScratch 5 000</v>
          </cell>
          <cell r="L145">
            <v>0</v>
          </cell>
          <cell r="M145" t="str">
            <v>CellNets Mali</v>
          </cell>
          <cell r="N145" t="str">
            <v>CellNets MaliScratch 5 000</v>
          </cell>
          <cell r="O145" t="str">
            <v>CellNets Mali</v>
          </cell>
          <cell r="P145" t="str">
            <v>Scratch 5 000</v>
          </cell>
          <cell r="Q145" t="str">
            <v>12007</v>
          </cell>
          <cell r="R145" t="str">
            <v>12007Scratch 5 000</v>
          </cell>
          <cell r="S145" t="str">
            <v>2007Scratch 5 000</v>
          </cell>
          <cell r="T145" t="str">
            <v>12007CellNets Mali</v>
          </cell>
          <cell r="U145" t="str">
            <v>12007CellNets MaliScratch 5 000</v>
          </cell>
          <cell r="V145" t="str">
            <v>39101Scratch 5 000</v>
          </cell>
          <cell r="W145" t="str">
            <v>2007CellNets Mali</v>
          </cell>
          <cell r="X145" t="str">
            <v>2007CellNets MaliScratch 5 000</v>
          </cell>
        </row>
        <row r="146">
          <cell r="I146">
            <v>2007</v>
          </cell>
          <cell r="J146" t="str">
            <v>CellNets MaliScratch 10 000</v>
          </cell>
          <cell r="L146">
            <v>0</v>
          </cell>
          <cell r="M146" t="str">
            <v>CellNets Mali</v>
          </cell>
          <cell r="N146" t="str">
            <v>CellNets MaliScratch 10 000</v>
          </cell>
          <cell r="O146" t="str">
            <v>CellNets Mali</v>
          </cell>
          <cell r="P146" t="str">
            <v>Scratch 10 000</v>
          </cell>
          <cell r="Q146" t="str">
            <v>12007</v>
          </cell>
          <cell r="R146" t="str">
            <v>12007Scratch 10 000</v>
          </cell>
          <cell r="S146" t="str">
            <v>2007Scratch 10 000</v>
          </cell>
          <cell r="T146" t="str">
            <v>12007CellNets Mali</v>
          </cell>
          <cell r="U146" t="str">
            <v>12007CellNets MaliScratch 10 000</v>
          </cell>
          <cell r="V146" t="str">
            <v>39101Scratch 10 000</v>
          </cell>
          <cell r="W146" t="str">
            <v>2007CellNets Mali</v>
          </cell>
          <cell r="X146" t="str">
            <v>2007CellNets MaliScratch 10 000</v>
          </cell>
        </row>
        <row r="147">
          <cell r="I147">
            <v>2007</v>
          </cell>
          <cell r="J147" t="str">
            <v>CellNets MaliScratch 20 000</v>
          </cell>
          <cell r="L147">
            <v>0</v>
          </cell>
          <cell r="M147" t="str">
            <v>CellNets Mali</v>
          </cell>
          <cell r="N147" t="str">
            <v>CellNets MaliScratch 20 000</v>
          </cell>
          <cell r="O147" t="str">
            <v>CellNets Mali</v>
          </cell>
          <cell r="P147" t="str">
            <v>Scratch 20 000</v>
          </cell>
          <cell r="Q147" t="str">
            <v>12007</v>
          </cell>
          <cell r="R147" t="str">
            <v>12007Scratch 20 000</v>
          </cell>
          <cell r="S147" t="str">
            <v>2007Scratch 20 000</v>
          </cell>
          <cell r="T147" t="str">
            <v>12007CellNets Mali</v>
          </cell>
          <cell r="U147" t="str">
            <v>12007CellNets MaliScratch 20 000</v>
          </cell>
          <cell r="V147" t="str">
            <v>39101Scratch 20 000</v>
          </cell>
          <cell r="W147" t="str">
            <v>2007CellNets Mali</v>
          </cell>
          <cell r="X147" t="str">
            <v>2007CellNets MaliScratch 20 000</v>
          </cell>
        </row>
        <row r="148">
          <cell r="I148">
            <v>2007</v>
          </cell>
          <cell r="J148" t="str">
            <v>GEMATELScratch 1 000</v>
          </cell>
          <cell r="L148">
            <v>1</v>
          </cell>
          <cell r="M148" t="str">
            <v>1GEMATEL</v>
          </cell>
          <cell r="N148" t="str">
            <v>GEMATELScratch 1 000</v>
          </cell>
          <cell r="O148" t="str">
            <v>GEMATEL</v>
          </cell>
          <cell r="P148" t="str">
            <v>Scratch 1 000</v>
          </cell>
          <cell r="Q148" t="str">
            <v>12007</v>
          </cell>
          <cell r="R148" t="str">
            <v>12007Scratch 1 000</v>
          </cell>
          <cell r="S148" t="str">
            <v>2007Scratch 1 000</v>
          </cell>
          <cell r="T148" t="str">
            <v>12007GEMATEL</v>
          </cell>
          <cell r="U148" t="str">
            <v>12007GEMATELScratch 1 000</v>
          </cell>
          <cell r="V148" t="str">
            <v>39104Scratch 1 000</v>
          </cell>
          <cell r="W148" t="str">
            <v>2007GEMATEL</v>
          </cell>
          <cell r="X148" t="str">
            <v>2007GEMATELScratch 1 000</v>
          </cell>
        </row>
        <row r="149">
          <cell r="I149">
            <v>2007</v>
          </cell>
          <cell r="J149" t="str">
            <v>GEMATELScratch 2 500</v>
          </cell>
          <cell r="L149">
            <v>0</v>
          </cell>
          <cell r="M149" t="str">
            <v>GEMATEL</v>
          </cell>
          <cell r="N149" t="str">
            <v>GEMATELScratch 2 500</v>
          </cell>
          <cell r="O149" t="str">
            <v>GEMATEL</v>
          </cell>
          <cell r="P149" t="str">
            <v>Scratch 2 500</v>
          </cell>
          <cell r="Q149" t="str">
            <v>12007</v>
          </cell>
          <cell r="R149" t="str">
            <v>12007Scratch 2 500</v>
          </cell>
          <cell r="S149" t="str">
            <v>2007Scratch 2 500</v>
          </cell>
          <cell r="T149" t="str">
            <v>12007GEMATEL</v>
          </cell>
          <cell r="U149" t="str">
            <v>12007GEMATELScratch 2 500</v>
          </cell>
          <cell r="V149" t="str">
            <v>39104Scratch 2 500</v>
          </cell>
          <cell r="W149" t="str">
            <v>2007GEMATEL</v>
          </cell>
          <cell r="X149" t="str">
            <v>2007GEMATELScratch 2 500</v>
          </cell>
        </row>
        <row r="150">
          <cell r="I150">
            <v>2007</v>
          </cell>
          <cell r="J150" t="str">
            <v>GEMATELScratch 5 000</v>
          </cell>
          <cell r="L150">
            <v>0</v>
          </cell>
          <cell r="M150" t="str">
            <v>GEMATEL</v>
          </cell>
          <cell r="N150" t="str">
            <v>GEMATELScratch 5 000</v>
          </cell>
          <cell r="O150" t="str">
            <v>GEMATEL</v>
          </cell>
          <cell r="P150" t="str">
            <v>Scratch 5 000</v>
          </cell>
          <cell r="Q150" t="str">
            <v>12007</v>
          </cell>
          <cell r="R150" t="str">
            <v>12007Scratch 5 000</v>
          </cell>
          <cell r="S150" t="str">
            <v>2007Scratch 5 000</v>
          </cell>
          <cell r="T150" t="str">
            <v>12007GEMATEL</v>
          </cell>
          <cell r="U150" t="str">
            <v>12007GEMATELScratch 5 000</v>
          </cell>
          <cell r="V150" t="str">
            <v>39104Scratch 5 000</v>
          </cell>
          <cell r="W150" t="str">
            <v>2007GEMATEL</v>
          </cell>
          <cell r="X150" t="str">
            <v>2007GEMATELScratch 5 000</v>
          </cell>
        </row>
        <row r="151">
          <cell r="I151">
            <v>2007</v>
          </cell>
          <cell r="J151" t="str">
            <v>GEMATELScratch 10 000</v>
          </cell>
          <cell r="L151">
            <v>0</v>
          </cell>
          <cell r="M151" t="str">
            <v>GEMATEL</v>
          </cell>
          <cell r="N151" t="str">
            <v>GEMATELScratch 10 000</v>
          </cell>
          <cell r="O151" t="str">
            <v>GEMATEL</v>
          </cell>
          <cell r="P151" t="str">
            <v>Scratch 10 000</v>
          </cell>
          <cell r="Q151" t="str">
            <v>12007</v>
          </cell>
          <cell r="R151" t="str">
            <v>12007Scratch 10 000</v>
          </cell>
          <cell r="S151" t="str">
            <v>2007Scratch 10 000</v>
          </cell>
          <cell r="T151" t="str">
            <v>12007GEMATEL</v>
          </cell>
          <cell r="U151" t="str">
            <v>12007GEMATELScratch 10 000</v>
          </cell>
          <cell r="V151" t="str">
            <v>39104Scratch 10 000</v>
          </cell>
          <cell r="W151" t="str">
            <v>2007GEMATEL</v>
          </cell>
          <cell r="X151" t="str">
            <v>2007GEMATELScratch 10 000</v>
          </cell>
        </row>
        <row r="152">
          <cell r="I152">
            <v>2007</v>
          </cell>
          <cell r="J152" t="str">
            <v>GEMATELScratch 20 000</v>
          </cell>
          <cell r="L152">
            <v>0</v>
          </cell>
          <cell r="M152" t="str">
            <v>GEMATEL</v>
          </cell>
          <cell r="N152" t="str">
            <v>GEMATELScratch 20 000</v>
          </cell>
          <cell r="O152" t="str">
            <v>GEMATEL</v>
          </cell>
          <cell r="P152" t="str">
            <v>Scratch 20 000</v>
          </cell>
          <cell r="Q152" t="str">
            <v>12007</v>
          </cell>
          <cell r="R152" t="str">
            <v>12007Scratch 20 000</v>
          </cell>
          <cell r="S152" t="str">
            <v>2007Scratch 20 000</v>
          </cell>
          <cell r="T152" t="str">
            <v>12007GEMATEL</v>
          </cell>
          <cell r="U152" t="str">
            <v>12007GEMATELScratch 20 000</v>
          </cell>
          <cell r="V152" t="str">
            <v>39104Scratch 20 000</v>
          </cell>
          <cell r="W152" t="str">
            <v>2007GEMATEL</v>
          </cell>
          <cell r="X152" t="str">
            <v>2007GEMATELScratch 20 000</v>
          </cell>
        </row>
        <row r="153">
          <cell r="I153">
            <v>2007</v>
          </cell>
          <cell r="J153" t="str">
            <v>Compagnie Internationale de NegoceScratch 1 000</v>
          </cell>
          <cell r="L153">
            <v>1</v>
          </cell>
          <cell r="M153" t="str">
            <v>1Compagnie Internationale de Negoce</v>
          </cell>
          <cell r="N153" t="str">
            <v>Compagnie Internationale de NegoceScratch 1 000</v>
          </cell>
          <cell r="O153" t="str">
            <v>Compagnie Internationale de Negoce</v>
          </cell>
          <cell r="P153" t="str">
            <v>Scratch 1 000</v>
          </cell>
          <cell r="Q153" t="str">
            <v>12007</v>
          </cell>
          <cell r="R153" t="str">
            <v>12007Scratch 1 000</v>
          </cell>
          <cell r="S153" t="str">
            <v>2007Scratch 1 000</v>
          </cell>
          <cell r="T153" t="str">
            <v>12007Compagnie Internationale de Negoce</v>
          </cell>
          <cell r="U153" t="str">
            <v>12007Compagnie Internationale de NegoceScratch 1 000</v>
          </cell>
          <cell r="V153" t="str">
            <v>39104Scratch 1 000</v>
          </cell>
          <cell r="W153" t="str">
            <v>2007Compagnie Internationale de Negoce</v>
          </cell>
          <cell r="X153" t="str">
            <v>2007Compagnie Internationale de NegoceScratch 1 000</v>
          </cell>
        </row>
        <row r="154">
          <cell r="I154">
            <v>2007</v>
          </cell>
          <cell r="J154" t="str">
            <v>Compagnie Internationale de NegoceScratch 2 500</v>
          </cell>
          <cell r="L154">
            <v>0</v>
          </cell>
          <cell r="M154" t="str">
            <v>Compagnie Internationale de Negoce</v>
          </cell>
          <cell r="N154" t="str">
            <v>Compagnie Internationale de NegoceScratch 2 500</v>
          </cell>
          <cell r="O154" t="str">
            <v>Compagnie Internationale de Negoce</v>
          </cell>
          <cell r="P154" t="str">
            <v>Scratch 2 500</v>
          </cell>
          <cell r="Q154" t="str">
            <v>12007</v>
          </cell>
          <cell r="R154" t="str">
            <v>12007Scratch 2 500</v>
          </cell>
          <cell r="S154" t="str">
            <v>2007Scratch 2 500</v>
          </cell>
          <cell r="T154" t="str">
            <v>12007Compagnie Internationale de Negoce</v>
          </cell>
          <cell r="U154" t="str">
            <v>12007Compagnie Internationale de NegoceScratch 2 500</v>
          </cell>
          <cell r="V154" t="str">
            <v>39104Scratch 2 500</v>
          </cell>
          <cell r="W154" t="str">
            <v>2007Compagnie Internationale de Negoce</v>
          </cell>
          <cell r="X154" t="str">
            <v>2007Compagnie Internationale de NegoceScratch 2 500</v>
          </cell>
        </row>
        <row r="155">
          <cell r="I155">
            <v>2007</v>
          </cell>
          <cell r="J155" t="str">
            <v>Compagnie Internationale de NegoceScratch 5 000</v>
          </cell>
          <cell r="L155">
            <v>0</v>
          </cell>
          <cell r="M155" t="str">
            <v>Compagnie Internationale de Negoce</v>
          </cell>
          <cell r="N155" t="str">
            <v>Compagnie Internationale de NegoceScratch 5 000</v>
          </cell>
          <cell r="O155" t="str">
            <v>Compagnie Internationale de Negoce</v>
          </cell>
          <cell r="P155" t="str">
            <v>Scratch 5 000</v>
          </cell>
          <cell r="Q155" t="str">
            <v>12007</v>
          </cell>
          <cell r="R155" t="str">
            <v>12007Scratch 5 000</v>
          </cell>
          <cell r="S155" t="str">
            <v>2007Scratch 5 000</v>
          </cell>
          <cell r="T155" t="str">
            <v>12007Compagnie Internationale de Negoce</v>
          </cell>
          <cell r="U155" t="str">
            <v>12007Compagnie Internationale de NegoceScratch 5 000</v>
          </cell>
          <cell r="V155" t="str">
            <v>39104Scratch 5 000</v>
          </cell>
          <cell r="W155" t="str">
            <v>2007Compagnie Internationale de Negoce</v>
          </cell>
          <cell r="X155" t="str">
            <v>2007Compagnie Internationale de NegoceScratch 5 000</v>
          </cell>
        </row>
        <row r="156">
          <cell r="I156">
            <v>2007</v>
          </cell>
          <cell r="J156" t="str">
            <v>ANKA ServicesScratch 1 000</v>
          </cell>
          <cell r="L156">
            <v>1</v>
          </cell>
          <cell r="M156" t="str">
            <v>1ANKA Services</v>
          </cell>
          <cell r="N156" t="str">
            <v>ANKA ServicesScratch 1 000</v>
          </cell>
          <cell r="O156" t="str">
            <v>ANKA Services</v>
          </cell>
          <cell r="P156" t="str">
            <v>Scratch 1 000</v>
          </cell>
          <cell r="Q156" t="str">
            <v>12007</v>
          </cell>
          <cell r="R156" t="str">
            <v>12007Scratch 1 000</v>
          </cell>
          <cell r="S156" t="str">
            <v>2007Scratch 1 000</v>
          </cell>
          <cell r="T156" t="str">
            <v>12007ANKA Services</v>
          </cell>
          <cell r="U156" t="str">
            <v>12007ANKA ServicesScratch 1 000</v>
          </cell>
          <cell r="V156" t="str">
            <v>39104Scratch 1 000</v>
          </cell>
          <cell r="W156" t="str">
            <v>2007ANKA Services</v>
          </cell>
          <cell r="X156" t="str">
            <v>2007ANKA ServicesScratch 1 000</v>
          </cell>
        </row>
        <row r="157">
          <cell r="I157">
            <v>2007</v>
          </cell>
          <cell r="J157" t="str">
            <v>ANKA ServicesScratch 2 500</v>
          </cell>
          <cell r="L157">
            <v>0</v>
          </cell>
          <cell r="M157" t="str">
            <v>ANKA Services</v>
          </cell>
          <cell r="N157" t="str">
            <v>ANKA ServicesScratch 2 500</v>
          </cell>
          <cell r="O157" t="str">
            <v>ANKA Services</v>
          </cell>
          <cell r="P157" t="str">
            <v>Scratch 2 500</v>
          </cell>
          <cell r="Q157" t="str">
            <v>12007</v>
          </cell>
          <cell r="R157" t="str">
            <v>12007Scratch 2 500</v>
          </cell>
          <cell r="S157" t="str">
            <v>2007Scratch 2 500</v>
          </cell>
          <cell r="T157" t="str">
            <v>12007ANKA Services</v>
          </cell>
          <cell r="U157" t="str">
            <v>12007ANKA ServicesScratch 2 500</v>
          </cell>
          <cell r="V157" t="str">
            <v>39104Scratch 2 500</v>
          </cell>
          <cell r="W157" t="str">
            <v>2007ANKA Services</v>
          </cell>
          <cell r="X157" t="str">
            <v>2007ANKA ServicesScratch 2 500</v>
          </cell>
        </row>
        <row r="158">
          <cell r="I158">
            <v>2007</v>
          </cell>
          <cell r="J158" t="str">
            <v>ANKA ServicesScratch 5 000</v>
          </cell>
          <cell r="L158">
            <v>0</v>
          </cell>
          <cell r="M158" t="str">
            <v>ANKA Services</v>
          </cell>
          <cell r="N158" t="str">
            <v>ANKA ServicesScratch 5 000</v>
          </cell>
          <cell r="O158" t="str">
            <v>ANKA Services</v>
          </cell>
          <cell r="P158" t="str">
            <v>Scratch 5 000</v>
          </cell>
          <cell r="Q158" t="str">
            <v>12007</v>
          </cell>
          <cell r="R158" t="str">
            <v>12007Scratch 5 000</v>
          </cell>
          <cell r="S158" t="str">
            <v>2007Scratch 5 000</v>
          </cell>
          <cell r="T158" t="str">
            <v>12007ANKA Services</v>
          </cell>
          <cell r="U158" t="str">
            <v>12007ANKA ServicesScratch 5 000</v>
          </cell>
          <cell r="V158" t="str">
            <v>39104Scratch 5 000</v>
          </cell>
          <cell r="W158" t="str">
            <v>2007ANKA Services</v>
          </cell>
          <cell r="X158" t="str">
            <v>2007ANKA ServicesScratch 5 000</v>
          </cell>
        </row>
        <row r="159">
          <cell r="I159">
            <v>2007</v>
          </cell>
          <cell r="J159" t="str">
            <v>Bonneterie Nouvelle TelecomKit</v>
          </cell>
          <cell r="L159">
            <v>1</v>
          </cell>
          <cell r="M159" t="str">
            <v>1Bonneterie Nouvelle Telecom</v>
          </cell>
          <cell r="N159" t="str">
            <v>Bonneterie Nouvelle TelecomKit</v>
          </cell>
          <cell r="O159" t="str">
            <v>Bonneterie Nouvelle Telecom</v>
          </cell>
          <cell r="P159" t="str">
            <v>Kit</v>
          </cell>
          <cell r="Q159" t="str">
            <v>12007</v>
          </cell>
          <cell r="R159" t="str">
            <v>12007Kit</v>
          </cell>
          <cell r="S159" t="str">
            <v>2007Kit</v>
          </cell>
          <cell r="T159" t="str">
            <v>12007Bonneterie Nouvelle Telecom</v>
          </cell>
          <cell r="U159" t="str">
            <v>12007Bonneterie Nouvelle TelecomKit</v>
          </cell>
          <cell r="V159" t="str">
            <v>39105Kit</v>
          </cell>
          <cell r="W159" t="str">
            <v>2007Bonneterie Nouvelle Telecom</v>
          </cell>
          <cell r="X159" t="str">
            <v>2007Bonneterie Nouvelle TelecomKit</v>
          </cell>
        </row>
        <row r="160">
          <cell r="I160">
            <v>2007</v>
          </cell>
          <cell r="J160" t="str">
            <v>Ets Mamadou GAMBYKit</v>
          </cell>
          <cell r="L160">
            <v>0</v>
          </cell>
          <cell r="M160" t="str">
            <v>Ets Mamadou GAMBY</v>
          </cell>
          <cell r="N160" t="str">
            <v>Ets Mamadou GAMBYKit</v>
          </cell>
          <cell r="O160" t="str">
            <v>Ets Mamadou GAMBY</v>
          </cell>
          <cell r="P160" t="str">
            <v>Kit</v>
          </cell>
          <cell r="Q160" t="str">
            <v>12007</v>
          </cell>
          <cell r="R160" t="str">
            <v>12007Kit</v>
          </cell>
          <cell r="S160" t="str">
            <v>2007Kit</v>
          </cell>
          <cell r="T160" t="str">
            <v>12007Ets Mamadou GAMBY</v>
          </cell>
          <cell r="U160" t="str">
            <v>12007Ets Mamadou GAMBYKit</v>
          </cell>
          <cell r="V160" t="str">
            <v>39105Kit</v>
          </cell>
          <cell r="W160" t="str">
            <v>2007Ets Mamadou GAMBY</v>
          </cell>
          <cell r="X160" t="str">
            <v>2007Ets Mamadou GAMBYKit</v>
          </cell>
        </row>
        <row r="161">
          <cell r="I161">
            <v>2007</v>
          </cell>
          <cell r="J161" t="str">
            <v>Sté NIANGADOUKit</v>
          </cell>
          <cell r="L161">
            <v>0</v>
          </cell>
          <cell r="M161" t="str">
            <v>Sté NIANGADOU</v>
          </cell>
          <cell r="N161" t="str">
            <v>Sté NIANGADOUKit</v>
          </cell>
          <cell r="O161" t="str">
            <v>Sté NIANGADOU</v>
          </cell>
          <cell r="P161" t="str">
            <v>Kit</v>
          </cell>
          <cell r="Q161" t="str">
            <v>12007</v>
          </cell>
          <cell r="R161" t="str">
            <v>12007Kit</v>
          </cell>
          <cell r="S161" t="str">
            <v>2007Kit</v>
          </cell>
          <cell r="T161" t="str">
            <v>12007Sté NIANGADOU</v>
          </cell>
          <cell r="U161" t="str">
            <v>12007Sté NIANGADOUKit</v>
          </cell>
          <cell r="V161" t="str">
            <v>39105Kit</v>
          </cell>
          <cell r="W161" t="str">
            <v>2007Sté NIANGADOU</v>
          </cell>
          <cell r="X161" t="str">
            <v>2007Sté NIANGADOUKit</v>
          </cell>
        </row>
        <row r="162">
          <cell r="I162">
            <v>2007</v>
          </cell>
          <cell r="J162" t="str">
            <v>ANKA ServicesKit</v>
          </cell>
          <cell r="L162">
            <v>0</v>
          </cell>
          <cell r="M162" t="str">
            <v>ANKA Services</v>
          </cell>
          <cell r="N162" t="str">
            <v>ANKA ServicesKit</v>
          </cell>
          <cell r="O162" t="str">
            <v>ANKA Services</v>
          </cell>
          <cell r="P162" t="str">
            <v>Kit</v>
          </cell>
          <cell r="Q162" t="str">
            <v>12007</v>
          </cell>
          <cell r="R162" t="str">
            <v>12007Kit</v>
          </cell>
          <cell r="S162" t="str">
            <v>2007Kit</v>
          </cell>
          <cell r="T162" t="str">
            <v>12007ANKA Services</v>
          </cell>
          <cell r="U162" t="str">
            <v>12007ANKA ServicesKit</v>
          </cell>
          <cell r="V162" t="str">
            <v>39105Kit</v>
          </cell>
          <cell r="W162" t="str">
            <v>2007ANKA Services</v>
          </cell>
          <cell r="X162" t="str">
            <v>2007ANKA ServicesKit</v>
          </cell>
        </row>
        <row r="163">
          <cell r="I163">
            <v>2007</v>
          </cell>
          <cell r="J163" t="str">
            <v>MALI COM SarlScratch 1 000</v>
          </cell>
          <cell r="L163">
            <v>1</v>
          </cell>
          <cell r="M163" t="str">
            <v>1MALI COM Sarl</v>
          </cell>
          <cell r="N163" t="str">
            <v>MALI COM SarlScratch 1 000</v>
          </cell>
          <cell r="O163" t="str">
            <v>MALI COM Sarl</v>
          </cell>
          <cell r="P163" t="str">
            <v>Scratch 1 000</v>
          </cell>
          <cell r="Q163" t="str">
            <v>12007</v>
          </cell>
          <cell r="R163" t="str">
            <v>12007Scratch 1 000</v>
          </cell>
          <cell r="S163" t="str">
            <v>2007Scratch 1 000</v>
          </cell>
          <cell r="T163" t="str">
            <v>12007MALI COM Sarl</v>
          </cell>
          <cell r="U163" t="str">
            <v>12007MALI COM SarlScratch 1 000</v>
          </cell>
          <cell r="V163" t="str">
            <v>39105Scratch 1 000</v>
          </cell>
          <cell r="W163" t="str">
            <v>2007MALI COM Sarl</v>
          </cell>
          <cell r="X163" t="str">
            <v>2007MALI COM SarlScratch 1 000</v>
          </cell>
        </row>
        <row r="164">
          <cell r="I164">
            <v>2007</v>
          </cell>
          <cell r="J164" t="str">
            <v>MALI COM SarlScratch 2 500</v>
          </cell>
          <cell r="L164">
            <v>0</v>
          </cell>
          <cell r="M164" t="str">
            <v>MALI COM Sarl</v>
          </cell>
          <cell r="N164" t="str">
            <v>MALI COM SarlScratch 2 500</v>
          </cell>
          <cell r="O164" t="str">
            <v>MALI COM Sarl</v>
          </cell>
          <cell r="P164" t="str">
            <v>Scratch 2 500</v>
          </cell>
          <cell r="Q164" t="str">
            <v>12007</v>
          </cell>
          <cell r="R164" t="str">
            <v>12007Scratch 2 500</v>
          </cell>
          <cell r="S164" t="str">
            <v>2007Scratch 2 500</v>
          </cell>
          <cell r="T164" t="str">
            <v>12007MALI COM Sarl</v>
          </cell>
          <cell r="U164" t="str">
            <v>12007MALI COM SarlScratch 2 500</v>
          </cell>
          <cell r="V164" t="str">
            <v>39105Scratch 2 500</v>
          </cell>
          <cell r="W164" t="str">
            <v>2007MALI COM Sarl</v>
          </cell>
          <cell r="X164" t="str">
            <v>2007MALI COM SarlScratch 2 500</v>
          </cell>
        </row>
        <row r="165">
          <cell r="I165">
            <v>2007</v>
          </cell>
          <cell r="J165" t="str">
            <v>MALI COM SarlScratch 5 000</v>
          </cell>
          <cell r="L165">
            <v>0</v>
          </cell>
          <cell r="M165" t="str">
            <v>MALI COM Sarl</v>
          </cell>
          <cell r="N165" t="str">
            <v>MALI COM SarlScratch 5 000</v>
          </cell>
          <cell r="O165" t="str">
            <v>MALI COM Sarl</v>
          </cell>
          <cell r="P165" t="str">
            <v>Scratch 5 000</v>
          </cell>
          <cell r="Q165" t="str">
            <v>12007</v>
          </cell>
          <cell r="R165" t="str">
            <v>12007Scratch 5 000</v>
          </cell>
          <cell r="S165" t="str">
            <v>2007Scratch 5 000</v>
          </cell>
          <cell r="T165" t="str">
            <v>12007MALI COM Sarl</v>
          </cell>
          <cell r="U165" t="str">
            <v>12007MALI COM SarlScratch 5 000</v>
          </cell>
          <cell r="V165" t="str">
            <v>39105Scratch 5 000</v>
          </cell>
          <cell r="W165" t="str">
            <v>2007MALI COM Sarl</v>
          </cell>
          <cell r="X165" t="str">
            <v>2007MALI COM SarlScratch 5 000</v>
          </cell>
        </row>
        <row r="166">
          <cell r="I166">
            <v>2007</v>
          </cell>
          <cell r="J166" t="str">
            <v>ETS Boubacar TANDIAScratch 1 000</v>
          </cell>
          <cell r="L166">
            <v>1</v>
          </cell>
          <cell r="M166" t="str">
            <v>1ETS Boubacar TANDIA</v>
          </cell>
          <cell r="N166" t="str">
            <v>ETS Boubacar TANDIAScratch 1 000</v>
          </cell>
          <cell r="O166" t="str">
            <v>ETS Boubacar TANDIA</v>
          </cell>
          <cell r="P166" t="str">
            <v>Scratch 1 000</v>
          </cell>
          <cell r="Q166" t="str">
            <v>12007</v>
          </cell>
          <cell r="R166" t="str">
            <v>12007Scratch 1 000</v>
          </cell>
          <cell r="S166" t="str">
            <v>2007Scratch 1 000</v>
          </cell>
          <cell r="T166" t="str">
            <v>12007ETS Boubacar TANDIA</v>
          </cell>
          <cell r="U166" t="str">
            <v>12007ETS Boubacar TANDIAScratch 1 000</v>
          </cell>
          <cell r="V166" t="str">
            <v>39105Scratch 1 000</v>
          </cell>
          <cell r="W166" t="str">
            <v>2007ETS Boubacar TANDIA</v>
          </cell>
          <cell r="X166" t="str">
            <v>2007ETS Boubacar TANDIAScratch 1 000</v>
          </cell>
        </row>
        <row r="167">
          <cell r="I167">
            <v>2007</v>
          </cell>
          <cell r="J167" t="str">
            <v>ETS Boubacar TANDIAScratch 2 500</v>
          </cell>
          <cell r="L167">
            <v>0</v>
          </cell>
          <cell r="M167" t="str">
            <v>ETS Boubacar TANDIA</v>
          </cell>
          <cell r="N167" t="str">
            <v>ETS Boubacar TANDIAScratch 2 500</v>
          </cell>
          <cell r="O167" t="str">
            <v>ETS Boubacar TANDIA</v>
          </cell>
          <cell r="P167" t="str">
            <v>Scratch 2 500</v>
          </cell>
          <cell r="Q167" t="str">
            <v>12007</v>
          </cell>
          <cell r="R167" t="str">
            <v>12007Scratch 2 500</v>
          </cell>
          <cell r="S167" t="str">
            <v>2007Scratch 2 500</v>
          </cell>
          <cell r="T167" t="str">
            <v>12007ETS Boubacar TANDIA</v>
          </cell>
          <cell r="U167" t="str">
            <v>12007ETS Boubacar TANDIAScratch 2 500</v>
          </cell>
          <cell r="V167" t="str">
            <v>39105Scratch 2 500</v>
          </cell>
          <cell r="W167" t="str">
            <v>2007ETS Boubacar TANDIA</v>
          </cell>
          <cell r="X167" t="str">
            <v>2007ETS Boubacar TANDIAScratch 2 500</v>
          </cell>
        </row>
        <row r="168">
          <cell r="I168">
            <v>2007</v>
          </cell>
          <cell r="J168" t="str">
            <v>ETS Boubacar TANDIAScratch 5 000</v>
          </cell>
          <cell r="L168">
            <v>0</v>
          </cell>
          <cell r="M168" t="str">
            <v>ETS Boubacar TANDIA</v>
          </cell>
          <cell r="N168" t="str">
            <v>ETS Boubacar TANDIAScratch 5 000</v>
          </cell>
          <cell r="O168" t="str">
            <v>ETS Boubacar TANDIA</v>
          </cell>
          <cell r="P168" t="str">
            <v>Scratch 5 000</v>
          </cell>
          <cell r="Q168" t="str">
            <v>12007</v>
          </cell>
          <cell r="R168" t="str">
            <v>12007Scratch 5 000</v>
          </cell>
          <cell r="S168" t="str">
            <v>2007Scratch 5 000</v>
          </cell>
          <cell r="T168" t="str">
            <v>12007ETS Boubacar TANDIA</v>
          </cell>
          <cell r="U168" t="str">
            <v>12007ETS Boubacar TANDIAScratch 5 000</v>
          </cell>
          <cell r="V168" t="str">
            <v>39105Scratch 5 000</v>
          </cell>
          <cell r="W168" t="str">
            <v>2007ETS Boubacar TANDIA</v>
          </cell>
          <cell r="X168" t="str">
            <v>2007ETS Boubacar TANDIAScratch 5 000</v>
          </cell>
        </row>
        <row r="169">
          <cell r="I169">
            <v>2007</v>
          </cell>
          <cell r="J169" t="str">
            <v>ETS Boubacar TANDIAScratch 10 000</v>
          </cell>
          <cell r="L169">
            <v>0</v>
          </cell>
          <cell r="M169" t="str">
            <v>ETS Boubacar TANDIA</v>
          </cell>
          <cell r="N169" t="str">
            <v>ETS Boubacar TANDIAScratch 10 000</v>
          </cell>
          <cell r="O169" t="str">
            <v>ETS Boubacar TANDIA</v>
          </cell>
          <cell r="P169" t="str">
            <v>Scratch 10 000</v>
          </cell>
          <cell r="Q169" t="str">
            <v>12007</v>
          </cell>
          <cell r="R169" t="str">
            <v>12007Scratch 10 000</v>
          </cell>
          <cell r="S169" t="str">
            <v>2007Scratch 10 000</v>
          </cell>
          <cell r="T169" t="str">
            <v>12007ETS Boubacar TANDIA</v>
          </cell>
          <cell r="U169" t="str">
            <v>12007ETS Boubacar TANDIAScratch 10 000</v>
          </cell>
          <cell r="V169" t="str">
            <v>39105Scratch 10 000</v>
          </cell>
          <cell r="W169" t="str">
            <v>2007ETS Boubacar TANDIA</v>
          </cell>
          <cell r="X169" t="str">
            <v>2007ETS Boubacar TANDIAScratch 10 000</v>
          </cell>
        </row>
        <row r="170">
          <cell r="I170">
            <v>2007</v>
          </cell>
          <cell r="J170" t="str">
            <v>Burtel MacsymScratch 1 000</v>
          </cell>
          <cell r="L170">
            <v>1</v>
          </cell>
          <cell r="M170" t="str">
            <v>1Burtel Macsym</v>
          </cell>
          <cell r="N170" t="str">
            <v>Burtel MacsymScratch 1 000</v>
          </cell>
          <cell r="O170" t="str">
            <v>Burtel Macsym</v>
          </cell>
          <cell r="P170" t="str">
            <v>Scratch 1 000</v>
          </cell>
          <cell r="Q170" t="str">
            <v>12007</v>
          </cell>
          <cell r="R170" t="str">
            <v>12007Scratch 1 000</v>
          </cell>
          <cell r="S170" t="str">
            <v>2007Scratch 1 000</v>
          </cell>
          <cell r="T170" t="str">
            <v>12007Burtel Macsym</v>
          </cell>
          <cell r="U170" t="str">
            <v>12007Burtel MacsymScratch 1 000</v>
          </cell>
          <cell r="V170" t="str">
            <v>39105Scratch 1 000</v>
          </cell>
          <cell r="W170" t="str">
            <v>2007Burtel Macsym</v>
          </cell>
          <cell r="X170" t="str">
            <v>2007Burtel MacsymScratch 1 000</v>
          </cell>
        </row>
        <row r="171">
          <cell r="I171">
            <v>2007</v>
          </cell>
          <cell r="J171" t="str">
            <v>Burtel MacsymScratch 2 500</v>
          </cell>
          <cell r="L171">
            <v>0</v>
          </cell>
          <cell r="M171" t="str">
            <v>Burtel Macsym</v>
          </cell>
          <cell r="N171" t="str">
            <v>Burtel MacsymScratch 2 500</v>
          </cell>
          <cell r="O171" t="str">
            <v>Burtel Macsym</v>
          </cell>
          <cell r="P171" t="str">
            <v>Scratch 2 500</v>
          </cell>
          <cell r="Q171" t="str">
            <v>12007</v>
          </cell>
          <cell r="R171" t="str">
            <v>12007Scratch 2 500</v>
          </cell>
          <cell r="S171" t="str">
            <v>2007Scratch 2 500</v>
          </cell>
          <cell r="T171" t="str">
            <v>12007Burtel Macsym</v>
          </cell>
          <cell r="U171" t="str">
            <v>12007Burtel MacsymScratch 2 500</v>
          </cell>
          <cell r="V171" t="str">
            <v>39105Scratch 2 500</v>
          </cell>
          <cell r="W171" t="str">
            <v>2007Burtel Macsym</v>
          </cell>
          <cell r="X171" t="str">
            <v>2007Burtel MacsymScratch 2 500</v>
          </cell>
        </row>
        <row r="172">
          <cell r="I172">
            <v>2007</v>
          </cell>
          <cell r="J172" t="str">
            <v>Burtel MacsymScratch 5 000</v>
          </cell>
          <cell r="L172">
            <v>0</v>
          </cell>
          <cell r="M172" t="str">
            <v>Burtel Macsym</v>
          </cell>
          <cell r="N172" t="str">
            <v>Burtel MacsymScratch 5 000</v>
          </cell>
          <cell r="O172" t="str">
            <v>Burtel Macsym</v>
          </cell>
          <cell r="P172" t="str">
            <v>Scratch 5 000</v>
          </cell>
          <cell r="Q172" t="str">
            <v>12007</v>
          </cell>
          <cell r="R172" t="str">
            <v>12007Scratch 5 000</v>
          </cell>
          <cell r="S172" t="str">
            <v>2007Scratch 5 000</v>
          </cell>
          <cell r="T172" t="str">
            <v>12007Burtel Macsym</v>
          </cell>
          <cell r="U172" t="str">
            <v>12007Burtel MacsymScratch 5 000</v>
          </cell>
          <cell r="V172" t="str">
            <v>39105Scratch 5 000</v>
          </cell>
          <cell r="W172" t="str">
            <v>2007Burtel Macsym</v>
          </cell>
          <cell r="X172" t="str">
            <v>2007Burtel MacsymScratch 5 000</v>
          </cell>
        </row>
        <row r="173">
          <cell r="I173">
            <v>2007</v>
          </cell>
          <cell r="J173" t="str">
            <v>GEMATELScratch 1 000</v>
          </cell>
          <cell r="L173">
            <v>1</v>
          </cell>
          <cell r="M173" t="str">
            <v>1GEMATEL</v>
          </cell>
          <cell r="N173" t="str">
            <v>GEMATELScratch 1 000</v>
          </cell>
          <cell r="O173" t="str">
            <v>GEMATEL</v>
          </cell>
          <cell r="P173" t="str">
            <v>Scratch 1 000</v>
          </cell>
          <cell r="Q173" t="str">
            <v>12007</v>
          </cell>
          <cell r="R173" t="str">
            <v>12007Scratch 1 000</v>
          </cell>
          <cell r="S173" t="str">
            <v>2007Scratch 1 000</v>
          </cell>
          <cell r="T173" t="str">
            <v>12007GEMATEL</v>
          </cell>
          <cell r="U173" t="str">
            <v>12007GEMATELScratch 1 000</v>
          </cell>
          <cell r="V173" t="str">
            <v>39105Scratch 1 000</v>
          </cell>
          <cell r="W173" t="str">
            <v>2007GEMATEL</v>
          </cell>
          <cell r="X173" t="str">
            <v>2007GEMATELScratch 1 000</v>
          </cell>
        </row>
        <row r="174">
          <cell r="I174">
            <v>2007</v>
          </cell>
          <cell r="J174" t="str">
            <v>GEMATELScratch 2 500</v>
          </cell>
          <cell r="L174">
            <v>0</v>
          </cell>
          <cell r="M174" t="str">
            <v>GEMATEL</v>
          </cell>
          <cell r="N174" t="str">
            <v>GEMATELScratch 2 500</v>
          </cell>
          <cell r="O174" t="str">
            <v>GEMATEL</v>
          </cell>
          <cell r="P174" t="str">
            <v>Scratch 2 500</v>
          </cell>
          <cell r="Q174" t="str">
            <v>12007</v>
          </cell>
          <cell r="R174" t="str">
            <v>12007Scratch 2 500</v>
          </cell>
          <cell r="S174" t="str">
            <v>2007Scratch 2 500</v>
          </cell>
          <cell r="T174" t="str">
            <v>12007GEMATEL</v>
          </cell>
          <cell r="U174" t="str">
            <v>12007GEMATELScratch 2 500</v>
          </cell>
          <cell r="V174" t="str">
            <v>39105Scratch 2 500</v>
          </cell>
          <cell r="W174" t="str">
            <v>2007GEMATEL</v>
          </cell>
          <cell r="X174" t="str">
            <v>2007GEMATELScratch 2 500</v>
          </cell>
        </row>
        <row r="175">
          <cell r="I175">
            <v>2007</v>
          </cell>
          <cell r="J175" t="str">
            <v>GEMATELScratch 2 500</v>
          </cell>
          <cell r="L175">
            <v>1</v>
          </cell>
          <cell r="M175" t="str">
            <v>1GEMATEL</v>
          </cell>
          <cell r="N175" t="str">
            <v>GEMATELScratch 2 500</v>
          </cell>
          <cell r="O175" t="str">
            <v>GEMATEL</v>
          </cell>
          <cell r="P175" t="str">
            <v>Scratch 2 500</v>
          </cell>
          <cell r="Q175" t="str">
            <v>12007</v>
          </cell>
          <cell r="R175" t="str">
            <v>12007Scratch 2 500</v>
          </cell>
          <cell r="S175" t="str">
            <v>2007Scratch 2 500</v>
          </cell>
          <cell r="T175" t="str">
            <v>12007GEMATEL</v>
          </cell>
          <cell r="U175" t="str">
            <v>12007GEMATELScratch 2 500</v>
          </cell>
          <cell r="V175" t="str">
            <v>39106Scratch 2 500</v>
          </cell>
          <cell r="W175" t="str">
            <v>2007GEMATEL</v>
          </cell>
          <cell r="X175" t="str">
            <v>2007GEMATELScratch 2 500</v>
          </cell>
        </row>
        <row r="176">
          <cell r="I176">
            <v>2007</v>
          </cell>
          <cell r="J176" t="str">
            <v>GEMATELScratch 5 000</v>
          </cell>
          <cell r="L176">
            <v>0</v>
          </cell>
          <cell r="M176" t="str">
            <v>GEMATEL</v>
          </cell>
          <cell r="N176" t="str">
            <v>GEMATELScratch 5 000</v>
          </cell>
          <cell r="O176" t="str">
            <v>GEMATEL</v>
          </cell>
          <cell r="P176" t="str">
            <v>Scratch 5 000</v>
          </cell>
          <cell r="Q176" t="str">
            <v>12007</v>
          </cell>
          <cell r="R176" t="str">
            <v>12007Scratch 5 000</v>
          </cell>
          <cell r="S176" t="str">
            <v>2007Scratch 5 000</v>
          </cell>
          <cell r="T176" t="str">
            <v>12007GEMATEL</v>
          </cell>
          <cell r="U176" t="str">
            <v>12007GEMATELScratch 5 000</v>
          </cell>
          <cell r="V176" t="str">
            <v>39106Scratch 5 000</v>
          </cell>
          <cell r="W176" t="str">
            <v>2007GEMATEL</v>
          </cell>
          <cell r="X176" t="str">
            <v>2007GEMATELScratch 5 000</v>
          </cell>
        </row>
        <row r="177">
          <cell r="I177">
            <v>2007</v>
          </cell>
          <cell r="J177" t="str">
            <v>GEMATELScratch 10 000</v>
          </cell>
          <cell r="L177">
            <v>0</v>
          </cell>
          <cell r="M177" t="str">
            <v>GEMATEL</v>
          </cell>
          <cell r="N177" t="str">
            <v>GEMATELScratch 10 000</v>
          </cell>
          <cell r="O177" t="str">
            <v>GEMATEL</v>
          </cell>
          <cell r="P177" t="str">
            <v>Scratch 10 000</v>
          </cell>
          <cell r="Q177" t="str">
            <v>12007</v>
          </cell>
          <cell r="R177" t="str">
            <v>12007Scratch 10 000</v>
          </cell>
          <cell r="S177" t="str">
            <v>2007Scratch 10 000</v>
          </cell>
          <cell r="T177" t="str">
            <v>12007GEMATEL</v>
          </cell>
          <cell r="U177" t="str">
            <v>12007GEMATELScratch 10 000</v>
          </cell>
          <cell r="V177" t="str">
            <v>39106Scratch 10 000</v>
          </cell>
          <cell r="W177" t="str">
            <v>2007GEMATEL</v>
          </cell>
          <cell r="X177" t="str">
            <v>2007GEMATELScratch 10 000</v>
          </cell>
        </row>
        <row r="178">
          <cell r="I178">
            <v>2007</v>
          </cell>
          <cell r="J178" t="str">
            <v>GEMATELScratch 20 000</v>
          </cell>
          <cell r="L178">
            <v>0</v>
          </cell>
          <cell r="M178" t="str">
            <v>GEMATEL</v>
          </cell>
          <cell r="N178" t="str">
            <v>GEMATELScratch 20 000</v>
          </cell>
          <cell r="O178" t="str">
            <v>GEMATEL</v>
          </cell>
          <cell r="P178" t="str">
            <v>Scratch 20 000</v>
          </cell>
          <cell r="Q178" t="str">
            <v>12007</v>
          </cell>
          <cell r="R178" t="str">
            <v>12007Scratch 20 000</v>
          </cell>
          <cell r="S178" t="str">
            <v>2007Scratch 20 000</v>
          </cell>
          <cell r="T178" t="str">
            <v>12007GEMATEL</v>
          </cell>
          <cell r="U178" t="str">
            <v>12007GEMATELScratch 20 000</v>
          </cell>
          <cell r="V178" t="str">
            <v>39106Scratch 20 000</v>
          </cell>
          <cell r="W178" t="str">
            <v>2007GEMATEL</v>
          </cell>
          <cell r="X178" t="str">
            <v>2007GEMATELScratch 20 000</v>
          </cell>
        </row>
        <row r="179">
          <cell r="I179">
            <v>2007</v>
          </cell>
          <cell r="J179" t="str">
            <v>Compagnie Internationale de NegoceScratch 1 000</v>
          </cell>
          <cell r="L179">
            <v>1</v>
          </cell>
          <cell r="M179" t="str">
            <v>1Compagnie Internationale de Negoce</v>
          </cell>
          <cell r="N179" t="str">
            <v>Compagnie Internationale de NegoceScratch 1 000</v>
          </cell>
          <cell r="O179" t="str">
            <v>Compagnie Internationale de Negoce</v>
          </cell>
          <cell r="P179" t="str">
            <v>Scratch 1 000</v>
          </cell>
          <cell r="Q179" t="str">
            <v>12007</v>
          </cell>
          <cell r="R179" t="str">
            <v>12007Scratch 1 000</v>
          </cell>
          <cell r="S179" t="str">
            <v>2007Scratch 1 000</v>
          </cell>
          <cell r="T179" t="str">
            <v>12007Compagnie Internationale de Negoce</v>
          </cell>
          <cell r="U179" t="str">
            <v>12007Compagnie Internationale de NegoceScratch 1 000</v>
          </cell>
          <cell r="V179" t="str">
            <v>39106Scratch 1 000</v>
          </cell>
          <cell r="W179" t="str">
            <v>2007Compagnie Internationale de Negoce</v>
          </cell>
          <cell r="X179" t="str">
            <v>2007Compagnie Internationale de NegoceScratch 1 000</v>
          </cell>
        </row>
        <row r="180">
          <cell r="I180">
            <v>2007</v>
          </cell>
          <cell r="J180" t="str">
            <v>Compagnie Internationale de NegoceScratch 2 500</v>
          </cell>
          <cell r="L180">
            <v>0</v>
          </cell>
          <cell r="M180" t="str">
            <v>Compagnie Internationale de Negoce</v>
          </cell>
          <cell r="N180" t="str">
            <v>Compagnie Internationale de NegoceScratch 2 500</v>
          </cell>
          <cell r="O180" t="str">
            <v>Compagnie Internationale de Negoce</v>
          </cell>
          <cell r="P180" t="str">
            <v>Scratch 2 500</v>
          </cell>
          <cell r="Q180" t="str">
            <v>12007</v>
          </cell>
          <cell r="R180" t="str">
            <v>12007Scratch 2 500</v>
          </cell>
          <cell r="S180" t="str">
            <v>2007Scratch 2 500</v>
          </cell>
          <cell r="T180" t="str">
            <v>12007Compagnie Internationale de Negoce</v>
          </cell>
          <cell r="U180" t="str">
            <v>12007Compagnie Internationale de NegoceScratch 2 500</v>
          </cell>
          <cell r="V180" t="str">
            <v>39106Scratch 2 500</v>
          </cell>
          <cell r="W180" t="str">
            <v>2007Compagnie Internationale de Negoce</v>
          </cell>
          <cell r="X180" t="str">
            <v>2007Compagnie Internationale de NegoceScratch 2 500</v>
          </cell>
        </row>
        <row r="181">
          <cell r="I181">
            <v>2007</v>
          </cell>
          <cell r="J181" t="str">
            <v>Compagnie Internationale de NegoceScratch 5 000</v>
          </cell>
          <cell r="L181">
            <v>0</v>
          </cell>
          <cell r="M181" t="str">
            <v>Compagnie Internationale de Negoce</v>
          </cell>
          <cell r="N181" t="str">
            <v>Compagnie Internationale de NegoceScratch 5 000</v>
          </cell>
          <cell r="O181" t="str">
            <v>Compagnie Internationale de Negoce</v>
          </cell>
          <cell r="P181" t="str">
            <v>Scratch 5 000</v>
          </cell>
          <cell r="Q181" t="str">
            <v>12007</v>
          </cell>
          <cell r="R181" t="str">
            <v>12007Scratch 5 000</v>
          </cell>
          <cell r="S181" t="str">
            <v>2007Scratch 5 000</v>
          </cell>
          <cell r="T181" t="str">
            <v>12007Compagnie Internationale de Negoce</v>
          </cell>
          <cell r="U181" t="str">
            <v>12007Compagnie Internationale de NegoceScratch 5 000</v>
          </cell>
          <cell r="V181" t="str">
            <v>39106Scratch 5 000</v>
          </cell>
          <cell r="W181" t="str">
            <v>2007Compagnie Internationale de Negoce</v>
          </cell>
          <cell r="X181" t="str">
            <v>2007Compagnie Internationale de NegoceScratch 5 000</v>
          </cell>
        </row>
        <row r="182">
          <cell r="I182">
            <v>2007</v>
          </cell>
          <cell r="J182" t="str">
            <v>Compagnie Internationale de NegoceScratch 10 000</v>
          </cell>
          <cell r="L182">
            <v>0</v>
          </cell>
          <cell r="M182" t="str">
            <v>Compagnie Internationale de Negoce</v>
          </cell>
          <cell r="N182" t="str">
            <v>Compagnie Internationale de NegoceScratch 10 000</v>
          </cell>
          <cell r="O182" t="str">
            <v>Compagnie Internationale de Negoce</v>
          </cell>
          <cell r="P182" t="str">
            <v>Scratch 10 000</v>
          </cell>
          <cell r="Q182" t="str">
            <v>12007</v>
          </cell>
          <cell r="R182" t="str">
            <v>12007Scratch 10 000</v>
          </cell>
          <cell r="S182" t="str">
            <v>2007Scratch 10 000</v>
          </cell>
          <cell r="T182" t="str">
            <v>12007Compagnie Internationale de Negoce</v>
          </cell>
          <cell r="U182" t="str">
            <v>12007Compagnie Internationale de NegoceScratch 10 000</v>
          </cell>
          <cell r="V182" t="str">
            <v>39106Scratch 10 000</v>
          </cell>
          <cell r="W182" t="str">
            <v>2007Compagnie Internationale de Negoce</v>
          </cell>
          <cell r="X182" t="str">
            <v>2007Compagnie Internationale de NegoceScratch 10 000</v>
          </cell>
        </row>
        <row r="183">
          <cell r="I183">
            <v>2007</v>
          </cell>
          <cell r="J183" t="str">
            <v>STS GAMBY &amp; FRERES (SOGAF) SarlScratch 1 000</v>
          </cell>
          <cell r="L183">
            <v>1</v>
          </cell>
          <cell r="M183" t="str">
            <v>1STS GAMBY &amp; FRERES (SOGAF) Sarl</v>
          </cell>
          <cell r="N183" t="str">
            <v>STS GAMBY &amp; FRERES (SOGAF) SarlScratch 1 000</v>
          </cell>
          <cell r="O183" t="str">
            <v>STS GAMBY &amp; FRERES (SOGAF) Sarl</v>
          </cell>
          <cell r="P183" t="str">
            <v>Scratch 1 000</v>
          </cell>
          <cell r="Q183" t="str">
            <v>12007</v>
          </cell>
          <cell r="R183" t="str">
            <v>12007Scratch 1 000</v>
          </cell>
          <cell r="S183" t="str">
            <v>2007Scratch 1 000</v>
          </cell>
          <cell r="T183" t="str">
            <v>12007STS GAMBY &amp; FRERES (SOGAF) Sarl</v>
          </cell>
          <cell r="U183" t="str">
            <v>12007STS GAMBY &amp; FRERES (SOGAF) SarlScratch 1 000</v>
          </cell>
          <cell r="V183" t="str">
            <v>39107Scratch 1 000</v>
          </cell>
          <cell r="W183" t="str">
            <v>2007STS GAMBY &amp; FRERES (SOGAF) Sarl</v>
          </cell>
          <cell r="X183" t="str">
            <v>2007STS GAMBY &amp; FRERES (SOGAF) SarlScratch 1 000</v>
          </cell>
        </row>
        <row r="184">
          <cell r="I184">
            <v>2007</v>
          </cell>
          <cell r="J184" t="str">
            <v>STS GAMBY &amp; FRERES (SOGAF) SarlScratch 2 500</v>
          </cell>
          <cell r="L184">
            <v>0</v>
          </cell>
          <cell r="M184" t="str">
            <v>STS GAMBY &amp; FRERES (SOGAF) Sarl</v>
          </cell>
          <cell r="N184" t="str">
            <v>STS GAMBY &amp; FRERES (SOGAF) SarlScratch 2 500</v>
          </cell>
          <cell r="O184" t="str">
            <v>STS GAMBY &amp; FRERES (SOGAF) Sarl</v>
          </cell>
          <cell r="P184" t="str">
            <v>Scratch 2 500</v>
          </cell>
          <cell r="Q184" t="str">
            <v>12007</v>
          </cell>
          <cell r="R184" t="str">
            <v>12007Scratch 2 500</v>
          </cell>
          <cell r="S184" t="str">
            <v>2007Scratch 2 500</v>
          </cell>
          <cell r="T184" t="str">
            <v>12007STS GAMBY &amp; FRERES (SOGAF) Sarl</v>
          </cell>
          <cell r="U184" t="str">
            <v>12007STS GAMBY &amp; FRERES (SOGAF) SarlScratch 2 500</v>
          </cell>
          <cell r="V184" t="str">
            <v>39107Scratch 2 500</v>
          </cell>
          <cell r="W184" t="str">
            <v>2007STS GAMBY &amp; FRERES (SOGAF) Sarl</v>
          </cell>
          <cell r="X184" t="str">
            <v>2007STS GAMBY &amp; FRERES (SOGAF) SarlScratch 2 500</v>
          </cell>
        </row>
        <row r="185">
          <cell r="I185">
            <v>2007</v>
          </cell>
          <cell r="J185" t="str">
            <v>STS GAMBY &amp; FRERES (SOGAF) SarlScratch 5 000</v>
          </cell>
          <cell r="L185">
            <v>0</v>
          </cell>
          <cell r="M185" t="str">
            <v>STS GAMBY &amp; FRERES (SOGAF) Sarl</v>
          </cell>
          <cell r="N185" t="str">
            <v>STS GAMBY &amp; FRERES (SOGAF) SarlScratch 5 000</v>
          </cell>
          <cell r="O185" t="str">
            <v>STS GAMBY &amp; FRERES (SOGAF) Sarl</v>
          </cell>
          <cell r="P185" t="str">
            <v>Scratch 5 000</v>
          </cell>
          <cell r="Q185" t="str">
            <v>12007</v>
          </cell>
          <cell r="R185" t="str">
            <v>12007Scratch 5 000</v>
          </cell>
          <cell r="S185" t="str">
            <v>2007Scratch 5 000</v>
          </cell>
          <cell r="T185" t="str">
            <v>12007STS GAMBY &amp; FRERES (SOGAF) Sarl</v>
          </cell>
          <cell r="U185" t="str">
            <v>12007STS GAMBY &amp; FRERES (SOGAF) SarlScratch 5 000</v>
          </cell>
          <cell r="V185" t="str">
            <v>39107Scratch 5 000</v>
          </cell>
          <cell r="W185" t="str">
            <v>2007STS GAMBY &amp; FRERES (SOGAF) Sarl</v>
          </cell>
          <cell r="X185" t="str">
            <v>2007STS GAMBY &amp; FRERES (SOGAF) SarlScratch 5 000</v>
          </cell>
        </row>
        <row r="186">
          <cell r="I186">
            <v>2007</v>
          </cell>
          <cell r="J186" t="str">
            <v>ANKA ServicesScratch 1 000</v>
          </cell>
          <cell r="L186">
            <v>1</v>
          </cell>
          <cell r="M186" t="str">
            <v>1ANKA Services</v>
          </cell>
          <cell r="N186" t="str">
            <v>ANKA ServicesScratch 1 000</v>
          </cell>
          <cell r="O186" t="str">
            <v>ANKA Services</v>
          </cell>
          <cell r="P186" t="str">
            <v>Scratch 1 000</v>
          </cell>
          <cell r="Q186" t="str">
            <v>12007</v>
          </cell>
          <cell r="R186" t="str">
            <v>12007Scratch 1 000</v>
          </cell>
          <cell r="S186" t="str">
            <v>2007Scratch 1 000</v>
          </cell>
          <cell r="T186" t="str">
            <v>12007ANKA Services</v>
          </cell>
          <cell r="U186" t="str">
            <v>12007ANKA ServicesScratch 1 000</v>
          </cell>
          <cell r="V186" t="str">
            <v>39107Scratch 1 000</v>
          </cell>
          <cell r="W186" t="str">
            <v>2007ANKA Services</v>
          </cell>
          <cell r="X186" t="str">
            <v>2007ANKA ServicesScratch 1 000</v>
          </cell>
        </row>
        <row r="187">
          <cell r="I187">
            <v>2007</v>
          </cell>
          <cell r="J187" t="str">
            <v>ANKA ServicesScratch 2 500</v>
          </cell>
          <cell r="L187">
            <v>0</v>
          </cell>
          <cell r="M187" t="str">
            <v>ANKA Services</v>
          </cell>
          <cell r="N187" t="str">
            <v>ANKA ServicesScratch 2 500</v>
          </cell>
          <cell r="O187" t="str">
            <v>ANKA Services</v>
          </cell>
          <cell r="P187" t="str">
            <v>Scratch 2 500</v>
          </cell>
          <cell r="Q187" t="str">
            <v>12007</v>
          </cell>
          <cell r="R187" t="str">
            <v>12007Scratch 2 500</v>
          </cell>
          <cell r="S187" t="str">
            <v>2007Scratch 2 500</v>
          </cell>
          <cell r="T187" t="str">
            <v>12007ANKA Services</v>
          </cell>
          <cell r="U187" t="str">
            <v>12007ANKA ServicesScratch 2 500</v>
          </cell>
          <cell r="V187" t="str">
            <v>39107Scratch 2 500</v>
          </cell>
          <cell r="W187" t="str">
            <v>2007ANKA Services</v>
          </cell>
          <cell r="X187" t="str">
            <v>2007ANKA ServicesScratch 2 500</v>
          </cell>
        </row>
        <row r="188">
          <cell r="I188">
            <v>2007</v>
          </cell>
          <cell r="J188" t="str">
            <v>ANKA ServicesScratch 5 000</v>
          </cell>
          <cell r="L188">
            <v>0</v>
          </cell>
          <cell r="M188" t="str">
            <v>ANKA Services</v>
          </cell>
          <cell r="N188" t="str">
            <v>ANKA ServicesScratch 5 000</v>
          </cell>
          <cell r="O188" t="str">
            <v>ANKA Services</v>
          </cell>
          <cell r="P188" t="str">
            <v>Scratch 5 000</v>
          </cell>
          <cell r="Q188" t="str">
            <v>12007</v>
          </cell>
          <cell r="R188" t="str">
            <v>12007Scratch 5 000</v>
          </cell>
          <cell r="S188" t="str">
            <v>2007Scratch 5 000</v>
          </cell>
          <cell r="T188" t="str">
            <v>12007ANKA Services</v>
          </cell>
          <cell r="U188" t="str">
            <v>12007ANKA ServicesScratch 5 000</v>
          </cell>
          <cell r="V188" t="str">
            <v>39107Scratch 5 000</v>
          </cell>
          <cell r="W188" t="str">
            <v>2007ANKA Services</v>
          </cell>
          <cell r="X188" t="str">
            <v>2007ANKA ServicesScratch 5 000</v>
          </cell>
        </row>
        <row r="189">
          <cell r="I189">
            <v>2007</v>
          </cell>
          <cell r="J189" t="str">
            <v>MALI COM SarlScratch 1 000</v>
          </cell>
          <cell r="L189">
            <v>1</v>
          </cell>
          <cell r="M189" t="str">
            <v>1MALI COM Sarl</v>
          </cell>
          <cell r="N189" t="str">
            <v>MALI COM SarlScratch 1 000</v>
          </cell>
          <cell r="O189" t="str">
            <v>MALI COM Sarl</v>
          </cell>
          <cell r="P189" t="str">
            <v>Scratch 1 000</v>
          </cell>
          <cell r="Q189" t="str">
            <v>12007</v>
          </cell>
          <cell r="R189" t="str">
            <v>12007Scratch 1 000</v>
          </cell>
          <cell r="S189" t="str">
            <v>2007Scratch 1 000</v>
          </cell>
          <cell r="T189" t="str">
            <v>12007MALI COM Sarl</v>
          </cell>
          <cell r="U189" t="str">
            <v>12007MALI COM SarlScratch 1 000</v>
          </cell>
          <cell r="V189" t="str">
            <v>39108Scratch 1 000</v>
          </cell>
          <cell r="W189" t="str">
            <v>2007MALI COM Sarl</v>
          </cell>
          <cell r="X189" t="str">
            <v>2007MALI COM SarlScratch 1 000</v>
          </cell>
        </row>
        <row r="190">
          <cell r="I190">
            <v>2007</v>
          </cell>
          <cell r="J190" t="str">
            <v>MALI COM SarlScratch 2 500</v>
          </cell>
          <cell r="L190">
            <v>0</v>
          </cell>
          <cell r="M190" t="str">
            <v>MALI COM Sarl</v>
          </cell>
          <cell r="N190" t="str">
            <v>MALI COM SarlScratch 2 500</v>
          </cell>
          <cell r="O190" t="str">
            <v>MALI COM Sarl</v>
          </cell>
          <cell r="P190" t="str">
            <v>Scratch 2 500</v>
          </cell>
          <cell r="Q190" t="str">
            <v>12007</v>
          </cell>
          <cell r="R190" t="str">
            <v>12007Scratch 2 500</v>
          </cell>
          <cell r="S190" t="str">
            <v>2007Scratch 2 500</v>
          </cell>
          <cell r="T190" t="str">
            <v>12007MALI COM Sarl</v>
          </cell>
          <cell r="U190" t="str">
            <v>12007MALI COM SarlScratch 2 500</v>
          </cell>
          <cell r="V190" t="str">
            <v>39108Scratch 2 500</v>
          </cell>
          <cell r="W190" t="str">
            <v>2007MALI COM Sarl</v>
          </cell>
          <cell r="X190" t="str">
            <v>2007MALI COM SarlScratch 2 500</v>
          </cell>
        </row>
        <row r="191">
          <cell r="I191">
            <v>2007</v>
          </cell>
          <cell r="J191" t="str">
            <v>MALI COM SarlScratch 5 000</v>
          </cell>
          <cell r="L191">
            <v>0</v>
          </cell>
          <cell r="M191" t="str">
            <v>MALI COM Sarl</v>
          </cell>
          <cell r="N191" t="str">
            <v>MALI COM SarlScratch 5 000</v>
          </cell>
          <cell r="O191" t="str">
            <v>MALI COM Sarl</v>
          </cell>
          <cell r="P191" t="str">
            <v>Scratch 5 000</v>
          </cell>
          <cell r="Q191" t="str">
            <v>12007</v>
          </cell>
          <cell r="R191" t="str">
            <v>12007Scratch 5 000</v>
          </cell>
          <cell r="S191" t="str">
            <v>2007Scratch 5 000</v>
          </cell>
          <cell r="T191" t="str">
            <v>12007MALI COM Sarl</v>
          </cell>
          <cell r="U191" t="str">
            <v>12007MALI COM SarlScratch 5 000</v>
          </cell>
          <cell r="V191" t="str">
            <v>39108Scratch 5 000</v>
          </cell>
          <cell r="W191" t="str">
            <v>2007MALI COM Sarl</v>
          </cell>
          <cell r="X191" t="str">
            <v>2007MALI COM SarlScratch 5 000</v>
          </cell>
        </row>
        <row r="192">
          <cell r="I192">
            <v>2007</v>
          </cell>
          <cell r="J192" t="str">
            <v>MALI COM SarlScratch 20 000</v>
          </cell>
          <cell r="L192">
            <v>0</v>
          </cell>
          <cell r="M192" t="str">
            <v>MALI COM Sarl</v>
          </cell>
          <cell r="N192" t="str">
            <v>MALI COM SarlScratch 20 000</v>
          </cell>
          <cell r="O192" t="str">
            <v>MALI COM Sarl</v>
          </cell>
          <cell r="P192" t="str">
            <v>Scratch 20 000</v>
          </cell>
          <cell r="Q192" t="str">
            <v>12007</v>
          </cell>
          <cell r="R192" t="str">
            <v>12007Scratch 20 000</v>
          </cell>
          <cell r="S192" t="str">
            <v>2007Scratch 20 000</v>
          </cell>
          <cell r="T192" t="str">
            <v>12007MALI COM Sarl</v>
          </cell>
          <cell r="U192" t="str">
            <v>12007MALI COM SarlScratch 20 000</v>
          </cell>
          <cell r="V192" t="str">
            <v>39108Scratch 20 000</v>
          </cell>
          <cell r="W192" t="str">
            <v>2007MALI COM Sarl</v>
          </cell>
          <cell r="X192" t="str">
            <v>2007MALI COM SarlScratch 20 000</v>
          </cell>
        </row>
        <row r="193">
          <cell r="I193">
            <v>2007</v>
          </cell>
          <cell r="J193" t="str">
            <v>GEMATELScratch 1 000</v>
          </cell>
          <cell r="L193">
            <v>1</v>
          </cell>
          <cell r="M193" t="str">
            <v>1GEMATEL</v>
          </cell>
          <cell r="N193" t="str">
            <v>GEMATELScratch 1 000</v>
          </cell>
          <cell r="O193" t="str">
            <v>GEMATEL</v>
          </cell>
          <cell r="P193" t="str">
            <v>Scratch 1 000</v>
          </cell>
          <cell r="Q193" t="str">
            <v>12007</v>
          </cell>
          <cell r="R193" t="str">
            <v>12007Scratch 1 000</v>
          </cell>
          <cell r="S193" t="str">
            <v>2007Scratch 1 000</v>
          </cell>
          <cell r="T193" t="str">
            <v>12007GEMATEL</v>
          </cell>
          <cell r="U193" t="str">
            <v>12007GEMATELScratch 1 000</v>
          </cell>
          <cell r="V193" t="str">
            <v>39108Scratch 1 000</v>
          </cell>
          <cell r="W193" t="str">
            <v>2007GEMATEL</v>
          </cell>
          <cell r="X193" t="str">
            <v>2007GEMATELScratch 1 000</v>
          </cell>
        </row>
        <row r="194">
          <cell r="I194">
            <v>2007</v>
          </cell>
          <cell r="J194" t="str">
            <v>GEMATELScratch 2 500</v>
          </cell>
          <cell r="L194">
            <v>0</v>
          </cell>
          <cell r="M194" t="str">
            <v>GEMATEL</v>
          </cell>
          <cell r="N194" t="str">
            <v>GEMATELScratch 2 500</v>
          </cell>
          <cell r="O194" t="str">
            <v>GEMATEL</v>
          </cell>
          <cell r="P194" t="str">
            <v>Scratch 2 500</v>
          </cell>
          <cell r="Q194" t="str">
            <v>12007</v>
          </cell>
          <cell r="R194" t="str">
            <v>12007Scratch 2 500</v>
          </cell>
          <cell r="S194" t="str">
            <v>2007Scratch 2 500</v>
          </cell>
          <cell r="T194" t="str">
            <v>12007GEMATEL</v>
          </cell>
          <cell r="U194" t="str">
            <v>12007GEMATELScratch 2 500</v>
          </cell>
          <cell r="V194" t="str">
            <v>39108Scratch 2 500</v>
          </cell>
          <cell r="W194" t="str">
            <v>2007GEMATEL</v>
          </cell>
          <cell r="X194" t="str">
            <v>2007GEMATELScratch 2 500</v>
          </cell>
        </row>
        <row r="195">
          <cell r="I195">
            <v>2007</v>
          </cell>
          <cell r="J195" t="str">
            <v>GEMATELScratch 5 000</v>
          </cell>
          <cell r="L195">
            <v>0</v>
          </cell>
          <cell r="M195" t="str">
            <v>GEMATEL</v>
          </cell>
          <cell r="N195" t="str">
            <v>GEMATELScratch 5 000</v>
          </cell>
          <cell r="O195" t="str">
            <v>GEMATEL</v>
          </cell>
          <cell r="P195" t="str">
            <v>Scratch 5 000</v>
          </cell>
          <cell r="Q195" t="str">
            <v>12007</v>
          </cell>
          <cell r="R195" t="str">
            <v>12007Scratch 5 000</v>
          </cell>
          <cell r="S195" t="str">
            <v>2007Scratch 5 000</v>
          </cell>
          <cell r="T195" t="str">
            <v>12007GEMATEL</v>
          </cell>
          <cell r="U195" t="str">
            <v>12007GEMATELScratch 5 000</v>
          </cell>
          <cell r="V195" t="str">
            <v>39108Scratch 5 000</v>
          </cell>
          <cell r="W195" t="str">
            <v>2007GEMATEL</v>
          </cell>
          <cell r="X195" t="str">
            <v>2007GEMATELScratch 5 000</v>
          </cell>
        </row>
        <row r="196">
          <cell r="I196">
            <v>2007</v>
          </cell>
          <cell r="J196" t="str">
            <v>GEMATELScratch 10 000</v>
          </cell>
          <cell r="L196">
            <v>0</v>
          </cell>
          <cell r="M196" t="str">
            <v>GEMATEL</v>
          </cell>
          <cell r="N196" t="str">
            <v>GEMATELScratch 10 000</v>
          </cell>
          <cell r="O196" t="str">
            <v>GEMATEL</v>
          </cell>
          <cell r="P196" t="str">
            <v>Scratch 10 000</v>
          </cell>
          <cell r="Q196" t="str">
            <v>12007</v>
          </cell>
          <cell r="R196" t="str">
            <v>12007Scratch 10 000</v>
          </cell>
          <cell r="S196" t="str">
            <v>2007Scratch 10 000</v>
          </cell>
          <cell r="T196" t="str">
            <v>12007GEMATEL</v>
          </cell>
          <cell r="U196" t="str">
            <v>12007GEMATELScratch 10 000</v>
          </cell>
          <cell r="V196" t="str">
            <v>39108Scratch 10 000</v>
          </cell>
          <cell r="W196" t="str">
            <v>2007GEMATEL</v>
          </cell>
          <cell r="X196" t="str">
            <v>2007GEMATELScratch 10 000</v>
          </cell>
        </row>
        <row r="197">
          <cell r="I197">
            <v>2007</v>
          </cell>
          <cell r="J197" t="str">
            <v>GEMATELScratch 20 000</v>
          </cell>
          <cell r="L197">
            <v>0</v>
          </cell>
          <cell r="M197" t="str">
            <v>GEMATEL</v>
          </cell>
          <cell r="N197" t="str">
            <v>GEMATELScratch 20 000</v>
          </cell>
          <cell r="O197" t="str">
            <v>GEMATEL</v>
          </cell>
          <cell r="P197" t="str">
            <v>Scratch 20 000</v>
          </cell>
          <cell r="Q197" t="str">
            <v>12007</v>
          </cell>
          <cell r="R197" t="str">
            <v>12007Scratch 20 000</v>
          </cell>
          <cell r="S197" t="str">
            <v>2007Scratch 20 000</v>
          </cell>
          <cell r="T197" t="str">
            <v>12007GEMATEL</v>
          </cell>
          <cell r="U197" t="str">
            <v>12007GEMATELScratch 20 000</v>
          </cell>
          <cell r="V197" t="str">
            <v>39108Scratch 20 000</v>
          </cell>
          <cell r="W197" t="str">
            <v>2007GEMATEL</v>
          </cell>
          <cell r="X197" t="str">
            <v>2007GEMATELScratch 20 000</v>
          </cell>
        </row>
        <row r="198">
          <cell r="I198">
            <v>2007</v>
          </cell>
          <cell r="J198" t="str">
            <v>STS GAMBY &amp; FRERES (SOGAF) SarlScratch 1 000</v>
          </cell>
          <cell r="L198">
            <v>1</v>
          </cell>
          <cell r="M198" t="str">
            <v>1STS GAMBY &amp; FRERES (SOGAF) Sarl</v>
          </cell>
          <cell r="N198" t="str">
            <v>STS GAMBY &amp; FRERES (SOGAF) SarlScratch 1 000</v>
          </cell>
          <cell r="O198" t="str">
            <v>STS GAMBY &amp; FRERES (SOGAF) Sarl</v>
          </cell>
          <cell r="P198" t="str">
            <v>Scratch 1 000</v>
          </cell>
          <cell r="Q198" t="str">
            <v>12007</v>
          </cell>
          <cell r="R198" t="str">
            <v>12007Scratch 1 000</v>
          </cell>
          <cell r="S198" t="str">
            <v>2007Scratch 1 000</v>
          </cell>
          <cell r="T198" t="str">
            <v>12007STS GAMBY &amp; FRERES (SOGAF) Sarl</v>
          </cell>
          <cell r="U198" t="str">
            <v>12007STS GAMBY &amp; FRERES (SOGAF) SarlScratch 1 000</v>
          </cell>
          <cell r="V198" t="str">
            <v>39113Scratch 1 000</v>
          </cell>
          <cell r="W198" t="str">
            <v>2007STS GAMBY &amp; FRERES (SOGAF) Sarl</v>
          </cell>
          <cell r="X198" t="str">
            <v>2007STS GAMBY &amp; FRERES (SOGAF) SarlScratch 1 000</v>
          </cell>
        </row>
        <row r="199">
          <cell r="I199">
            <v>2007</v>
          </cell>
          <cell r="J199" t="str">
            <v>STS GAMBY &amp; FRERES (SOGAF) SarlScratch 5 000</v>
          </cell>
          <cell r="L199">
            <v>0</v>
          </cell>
          <cell r="M199" t="str">
            <v>STS GAMBY &amp; FRERES (SOGAF) Sarl</v>
          </cell>
          <cell r="N199" t="str">
            <v>STS GAMBY &amp; FRERES (SOGAF) SarlScratch 5 000</v>
          </cell>
          <cell r="O199" t="str">
            <v>STS GAMBY &amp; FRERES (SOGAF) Sarl</v>
          </cell>
          <cell r="P199" t="str">
            <v>Scratch 5 000</v>
          </cell>
          <cell r="Q199" t="str">
            <v>12007</v>
          </cell>
          <cell r="R199" t="str">
            <v>12007Scratch 5 000</v>
          </cell>
          <cell r="S199" t="str">
            <v>2007Scratch 5 000</v>
          </cell>
          <cell r="T199" t="str">
            <v>12007STS GAMBY &amp; FRERES (SOGAF) Sarl</v>
          </cell>
          <cell r="U199" t="str">
            <v>12007STS GAMBY &amp; FRERES (SOGAF) SarlScratch 5 000</v>
          </cell>
          <cell r="V199" t="str">
            <v>39113Scratch 5 000</v>
          </cell>
          <cell r="W199" t="str">
            <v>2007STS GAMBY &amp; FRERES (SOGAF) Sarl</v>
          </cell>
          <cell r="X199" t="str">
            <v>2007STS GAMBY &amp; FRERES (SOGAF) SarlScratch 5 000</v>
          </cell>
        </row>
        <row r="200">
          <cell r="I200">
            <v>2007</v>
          </cell>
          <cell r="J200" t="str">
            <v>ANKA ServicesScratch 1 000</v>
          </cell>
          <cell r="L200">
            <v>1</v>
          </cell>
          <cell r="M200" t="str">
            <v>1ANKA Services</v>
          </cell>
          <cell r="N200" t="str">
            <v>ANKA ServicesScratch 1 000</v>
          </cell>
          <cell r="O200" t="str">
            <v>ANKA Services</v>
          </cell>
          <cell r="P200" t="str">
            <v>Scratch 1 000</v>
          </cell>
          <cell r="Q200" t="str">
            <v>12007</v>
          </cell>
          <cell r="R200" t="str">
            <v>12007Scratch 1 000</v>
          </cell>
          <cell r="S200" t="str">
            <v>2007Scratch 1 000</v>
          </cell>
          <cell r="T200" t="str">
            <v>12007ANKA Services</v>
          </cell>
          <cell r="U200" t="str">
            <v>12007ANKA ServicesScratch 1 000</v>
          </cell>
          <cell r="V200" t="str">
            <v>39113Scratch 1 000</v>
          </cell>
          <cell r="W200" t="str">
            <v>2007ANKA Services</v>
          </cell>
          <cell r="X200" t="str">
            <v>2007ANKA ServicesScratch 1 000</v>
          </cell>
        </row>
        <row r="201">
          <cell r="I201">
            <v>2007</v>
          </cell>
          <cell r="J201" t="str">
            <v>ANKA ServicesScratch 5 000</v>
          </cell>
          <cell r="L201">
            <v>0</v>
          </cell>
          <cell r="M201" t="str">
            <v>ANKA Services</v>
          </cell>
          <cell r="N201" t="str">
            <v>ANKA ServicesScratch 5 000</v>
          </cell>
          <cell r="O201" t="str">
            <v>ANKA Services</v>
          </cell>
          <cell r="P201" t="str">
            <v>Scratch 5 000</v>
          </cell>
          <cell r="Q201" t="str">
            <v>12007</v>
          </cell>
          <cell r="R201" t="str">
            <v>12007Scratch 5 000</v>
          </cell>
          <cell r="S201" t="str">
            <v>2007Scratch 5 000</v>
          </cell>
          <cell r="T201" t="str">
            <v>12007ANKA Services</v>
          </cell>
          <cell r="U201" t="str">
            <v>12007ANKA ServicesScratch 5 000</v>
          </cell>
          <cell r="V201" t="str">
            <v>39113Scratch 5 000</v>
          </cell>
          <cell r="W201" t="str">
            <v>2007ANKA Services</v>
          </cell>
          <cell r="X201" t="str">
            <v>2007ANKA ServicesScratch 5 000</v>
          </cell>
        </row>
        <row r="202">
          <cell r="I202">
            <v>2007</v>
          </cell>
          <cell r="J202" t="str">
            <v>MALI COM SarlScratch 1 000</v>
          </cell>
          <cell r="L202">
            <v>1</v>
          </cell>
          <cell r="M202" t="str">
            <v>1MALI COM Sarl</v>
          </cell>
          <cell r="N202" t="str">
            <v>MALI COM SarlScratch 1 000</v>
          </cell>
          <cell r="O202" t="str">
            <v>MALI COM Sarl</v>
          </cell>
          <cell r="P202" t="str">
            <v>Scratch 1 000</v>
          </cell>
          <cell r="Q202" t="str">
            <v>12007</v>
          </cell>
          <cell r="R202" t="str">
            <v>12007Scratch 1 000</v>
          </cell>
          <cell r="S202" t="str">
            <v>2007Scratch 1 000</v>
          </cell>
          <cell r="T202" t="str">
            <v>12007MALI COM Sarl</v>
          </cell>
          <cell r="U202" t="str">
            <v>12007MALI COM SarlScratch 1 000</v>
          </cell>
          <cell r="V202" t="str">
            <v>39113Scratch 1 000</v>
          </cell>
          <cell r="W202" t="str">
            <v>2007MALI COM Sarl</v>
          </cell>
          <cell r="X202" t="str">
            <v>2007MALI COM SarlScratch 1 000</v>
          </cell>
        </row>
        <row r="203">
          <cell r="I203">
            <v>2007</v>
          </cell>
          <cell r="J203" t="str">
            <v>MALI COM SarlScratch 5 000</v>
          </cell>
          <cell r="L203">
            <v>0</v>
          </cell>
          <cell r="M203" t="str">
            <v>MALI COM Sarl</v>
          </cell>
          <cell r="N203" t="str">
            <v>MALI COM SarlScratch 5 000</v>
          </cell>
          <cell r="O203" t="str">
            <v>MALI COM Sarl</v>
          </cell>
          <cell r="P203" t="str">
            <v>Scratch 5 000</v>
          </cell>
          <cell r="Q203" t="str">
            <v>12007</v>
          </cell>
          <cell r="R203" t="str">
            <v>12007Scratch 5 000</v>
          </cell>
          <cell r="S203" t="str">
            <v>2007Scratch 5 000</v>
          </cell>
          <cell r="T203" t="str">
            <v>12007MALI COM Sarl</v>
          </cell>
          <cell r="U203" t="str">
            <v>12007MALI COM SarlScratch 5 000</v>
          </cell>
          <cell r="V203" t="str">
            <v>39113Scratch 5 000</v>
          </cell>
          <cell r="W203" t="str">
            <v>2007MALI COM Sarl</v>
          </cell>
          <cell r="X203" t="str">
            <v>2007MALI COM SarlScratch 5 000</v>
          </cell>
        </row>
        <row r="204">
          <cell r="I204">
            <v>2007</v>
          </cell>
          <cell r="J204" t="str">
            <v>MALI COM SarlScratch 10 000</v>
          </cell>
          <cell r="L204">
            <v>0</v>
          </cell>
          <cell r="M204" t="str">
            <v>MALI COM Sarl</v>
          </cell>
          <cell r="N204" t="str">
            <v>MALI COM SarlScratch 10 000</v>
          </cell>
          <cell r="O204" t="str">
            <v>MALI COM Sarl</v>
          </cell>
          <cell r="P204" t="str">
            <v>Scratch 10 000</v>
          </cell>
          <cell r="Q204" t="str">
            <v>12007</v>
          </cell>
          <cell r="R204" t="str">
            <v>12007Scratch 10 000</v>
          </cell>
          <cell r="S204" t="str">
            <v>2007Scratch 10 000</v>
          </cell>
          <cell r="T204" t="str">
            <v>12007MALI COM Sarl</v>
          </cell>
          <cell r="U204" t="str">
            <v>12007MALI COM SarlScratch 10 000</v>
          </cell>
          <cell r="V204" t="str">
            <v>39113Scratch 10 000</v>
          </cell>
          <cell r="W204" t="str">
            <v>2007MALI COM Sarl</v>
          </cell>
          <cell r="X204" t="str">
            <v>2007MALI COM SarlScratch 10 000</v>
          </cell>
        </row>
        <row r="205">
          <cell r="I205">
            <v>2007</v>
          </cell>
          <cell r="J205" t="str">
            <v>Compagnie Internationale de NegoceScratch 1 000</v>
          </cell>
          <cell r="L205">
            <v>1</v>
          </cell>
          <cell r="M205" t="str">
            <v>1Compagnie Internationale de Negoce</v>
          </cell>
          <cell r="N205" t="str">
            <v>Compagnie Internationale de NegoceScratch 1 000</v>
          </cell>
          <cell r="O205" t="str">
            <v>Compagnie Internationale de Negoce</v>
          </cell>
          <cell r="P205" t="str">
            <v>Scratch 1 000</v>
          </cell>
          <cell r="Q205" t="str">
            <v>12007</v>
          </cell>
          <cell r="R205" t="str">
            <v>12007Scratch 1 000</v>
          </cell>
          <cell r="S205" t="str">
            <v>2007Scratch 1 000</v>
          </cell>
          <cell r="T205" t="str">
            <v>12007Compagnie Internationale de Negoce</v>
          </cell>
          <cell r="U205" t="str">
            <v>12007Compagnie Internationale de NegoceScratch 1 000</v>
          </cell>
          <cell r="V205" t="str">
            <v>39113Scratch 1 000</v>
          </cell>
          <cell r="W205" t="str">
            <v>2007Compagnie Internationale de Negoce</v>
          </cell>
          <cell r="X205" t="str">
            <v>2007Compagnie Internationale de NegoceScratch 1 000</v>
          </cell>
        </row>
        <row r="206">
          <cell r="I206">
            <v>2007</v>
          </cell>
          <cell r="J206" t="str">
            <v>Compagnie Internationale de NegoceScratch 5 000</v>
          </cell>
          <cell r="L206">
            <v>0</v>
          </cell>
          <cell r="M206" t="str">
            <v>Compagnie Internationale de Negoce</v>
          </cell>
          <cell r="N206" t="str">
            <v>Compagnie Internationale de NegoceScratch 5 000</v>
          </cell>
          <cell r="O206" t="str">
            <v>Compagnie Internationale de Negoce</v>
          </cell>
          <cell r="P206" t="str">
            <v>Scratch 5 000</v>
          </cell>
          <cell r="Q206" t="str">
            <v>12007</v>
          </cell>
          <cell r="R206" t="str">
            <v>12007Scratch 5 000</v>
          </cell>
          <cell r="S206" t="str">
            <v>2007Scratch 5 000</v>
          </cell>
          <cell r="T206" t="str">
            <v>12007Compagnie Internationale de Negoce</v>
          </cell>
          <cell r="U206" t="str">
            <v>12007Compagnie Internationale de NegoceScratch 5 000</v>
          </cell>
          <cell r="V206" t="str">
            <v>39113Scratch 5 000</v>
          </cell>
          <cell r="W206" t="str">
            <v>2007Compagnie Internationale de Negoce</v>
          </cell>
          <cell r="X206" t="str">
            <v>2007Compagnie Internationale de NegoceScratch 5 000</v>
          </cell>
        </row>
        <row r="207">
          <cell r="I207">
            <v>2007</v>
          </cell>
          <cell r="J207" t="str">
            <v>Compagnie Internationale de NegoceScratch 10 000</v>
          </cell>
          <cell r="L207">
            <v>0</v>
          </cell>
          <cell r="M207" t="str">
            <v>Compagnie Internationale de Negoce</v>
          </cell>
          <cell r="N207" t="str">
            <v>Compagnie Internationale de NegoceScratch 10 000</v>
          </cell>
          <cell r="O207" t="str">
            <v>Compagnie Internationale de Negoce</v>
          </cell>
          <cell r="P207" t="str">
            <v>Scratch 10 000</v>
          </cell>
          <cell r="Q207" t="str">
            <v>12007</v>
          </cell>
          <cell r="R207" t="str">
            <v>12007Scratch 10 000</v>
          </cell>
          <cell r="S207" t="str">
            <v>2007Scratch 10 000</v>
          </cell>
          <cell r="T207" t="str">
            <v>12007Compagnie Internationale de Negoce</v>
          </cell>
          <cell r="U207" t="str">
            <v>12007Compagnie Internationale de NegoceScratch 10 000</v>
          </cell>
          <cell r="V207" t="str">
            <v>39113Scratch 10 000</v>
          </cell>
          <cell r="W207" t="str">
            <v>2007Compagnie Internationale de Negoce</v>
          </cell>
          <cell r="X207" t="str">
            <v>2007Compagnie Internationale de NegoceScratch 10 000</v>
          </cell>
        </row>
        <row r="208">
          <cell r="I208">
            <v>2007</v>
          </cell>
          <cell r="J208" t="str">
            <v>Compagnie Internationale de NegoceScratch 20 000</v>
          </cell>
          <cell r="L208">
            <v>0</v>
          </cell>
          <cell r="M208" t="str">
            <v>Compagnie Internationale de Negoce</v>
          </cell>
          <cell r="N208" t="str">
            <v>Compagnie Internationale de NegoceScratch 20 000</v>
          </cell>
          <cell r="O208" t="str">
            <v>Compagnie Internationale de Negoce</v>
          </cell>
          <cell r="P208" t="str">
            <v>Scratch 20 000</v>
          </cell>
          <cell r="Q208" t="str">
            <v>12007</v>
          </cell>
          <cell r="R208" t="str">
            <v>12007Scratch 20 000</v>
          </cell>
          <cell r="S208" t="str">
            <v>2007Scratch 20 000</v>
          </cell>
          <cell r="T208" t="str">
            <v>12007Compagnie Internationale de Negoce</v>
          </cell>
          <cell r="U208" t="str">
            <v>12007Compagnie Internationale de NegoceScratch 20 000</v>
          </cell>
          <cell r="V208" t="str">
            <v>39113Scratch 20 000</v>
          </cell>
          <cell r="W208" t="str">
            <v>2007Compagnie Internationale de Negoce</v>
          </cell>
          <cell r="X208" t="str">
            <v>2007Compagnie Internationale de NegoceScratch 20 000</v>
          </cell>
        </row>
        <row r="209">
          <cell r="I209">
            <v>2007</v>
          </cell>
          <cell r="J209" t="str">
            <v>GEMATELScratch 1 000</v>
          </cell>
          <cell r="L209">
            <v>1</v>
          </cell>
          <cell r="M209" t="str">
            <v>1GEMATEL</v>
          </cell>
          <cell r="N209" t="str">
            <v>GEMATELScratch 1 000</v>
          </cell>
          <cell r="O209" t="str">
            <v>GEMATEL</v>
          </cell>
          <cell r="P209" t="str">
            <v>Scratch 1 000</v>
          </cell>
          <cell r="Q209" t="str">
            <v>12007</v>
          </cell>
          <cell r="R209" t="str">
            <v>12007Scratch 1 000</v>
          </cell>
          <cell r="S209" t="str">
            <v>2007Scratch 1 000</v>
          </cell>
          <cell r="T209" t="str">
            <v>12007GEMATEL</v>
          </cell>
          <cell r="U209" t="str">
            <v>12007GEMATELScratch 1 000</v>
          </cell>
          <cell r="V209" t="str">
            <v>39113Scratch 1 000</v>
          </cell>
          <cell r="W209" t="str">
            <v>2007GEMATEL</v>
          </cell>
          <cell r="X209" t="str">
            <v>2007GEMATELScratch 1 000</v>
          </cell>
        </row>
        <row r="210">
          <cell r="I210">
            <v>2007</v>
          </cell>
          <cell r="J210" t="str">
            <v>GEMATELScratch 5 000</v>
          </cell>
          <cell r="L210">
            <v>0</v>
          </cell>
          <cell r="M210" t="str">
            <v>GEMATEL</v>
          </cell>
          <cell r="N210" t="str">
            <v>GEMATELScratch 5 000</v>
          </cell>
          <cell r="O210" t="str">
            <v>GEMATEL</v>
          </cell>
          <cell r="P210" t="str">
            <v>Scratch 5 000</v>
          </cell>
          <cell r="Q210" t="str">
            <v>12007</v>
          </cell>
          <cell r="R210" t="str">
            <v>12007Scratch 5 000</v>
          </cell>
          <cell r="S210" t="str">
            <v>2007Scratch 5 000</v>
          </cell>
          <cell r="T210" t="str">
            <v>12007GEMATEL</v>
          </cell>
          <cell r="U210" t="str">
            <v>12007GEMATELScratch 5 000</v>
          </cell>
          <cell r="V210" t="str">
            <v>39113Scratch 5 000</v>
          </cell>
          <cell r="W210" t="str">
            <v>2007GEMATEL</v>
          </cell>
          <cell r="X210" t="str">
            <v>2007GEMATELScratch 5 000</v>
          </cell>
        </row>
        <row r="211">
          <cell r="I211">
            <v>2007</v>
          </cell>
          <cell r="J211" t="str">
            <v>GEMATELScratch 10 000</v>
          </cell>
          <cell r="L211">
            <v>0</v>
          </cell>
          <cell r="M211" t="str">
            <v>GEMATEL</v>
          </cell>
          <cell r="N211" t="str">
            <v>GEMATELScratch 10 000</v>
          </cell>
          <cell r="O211" t="str">
            <v>GEMATEL</v>
          </cell>
          <cell r="P211" t="str">
            <v>Scratch 10 000</v>
          </cell>
          <cell r="Q211" t="str">
            <v>12007</v>
          </cell>
          <cell r="R211" t="str">
            <v>12007Scratch 10 000</v>
          </cell>
          <cell r="S211" t="str">
            <v>2007Scratch 10 000</v>
          </cell>
          <cell r="T211" t="str">
            <v>12007GEMATEL</v>
          </cell>
          <cell r="U211" t="str">
            <v>12007GEMATELScratch 10 000</v>
          </cell>
          <cell r="V211" t="str">
            <v>39113Scratch 10 000</v>
          </cell>
          <cell r="W211" t="str">
            <v>2007GEMATEL</v>
          </cell>
          <cell r="X211" t="str">
            <v>2007GEMATELScratch 10 000</v>
          </cell>
        </row>
        <row r="212">
          <cell r="I212">
            <v>2007</v>
          </cell>
          <cell r="J212" t="str">
            <v>GEMATELScratch 20 000</v>
          </cell>
          <cell r="L212">
            <v>0</v>
          </cell>
          <cell r="M212" t="str">
            <v>GEMATEL</v>
          </cell>
          <cell r="N212" t="str">
            <v>GEMATELScratch 20 000</v>
          </cell>
          <cell r="O212" t="str">
            <v>GEMATEL</v>
          </cell>
          <cell r="P212" t="str">
            <v>Scratch 20 000</v>
          </cell>
          <cell r="Q212" t="str">
            <v>12007</v>
          </cell>
          <cell r="R212" t="str">
            <v>12007Scratch 20 000</v>
          </cell>
          <cell r="S212" t="str">
            <v>2007Scratch 20 000</v>
          </cell>
          <cell r="T212" t="str">
            <v>12007GEMATEL</v>
          </cell>
          <cell r="U212" t="str">
            <v>12007GEMATELScratch 20 000</v>
          </cell>
          <cell r="V212" t="str">
            <v>39113Scratch 20 000</v>
          </cell>
          <cell r="W212" t="str">
            <v>2007GEMATEL</v>
          </cell>
          <cell r="X212" t="str">
            <v>2007GEMATELScratch 20 000</v>
          </cell>
        </row>
        <row r="213">
          <cell r="I213">
            <v>2007</v>
          </cell>
          <cell r="J213" t="str">
            <v>CellNets MaliMinutes</v>
          </cell>
          <cell r="L213">
            <v>1</v>
          </cell>
          <cell r="M213" t="str">
            <v>1CellNets Mali</v>
          </cell>
          <cell r="N213" t="str">
            <v>CellNets MaliMinutes</v>
          </cell>
          <cell r="O213" t="str">
            <v>CellNets Mali</v>
          </cell>
          <cell r="P213" t="str">
            <v>Minutes</v>
          </cell>
          <cell r="Q213" t="str">
            <v>12007</v>
          </cell>
          <cell r="R213" t="str">
            <v>12007Minutes</v>
          </cell>
          <cell r="S213" t="str">
            <v>2007Minutes</v>
          </cell>
          <cell r="T213" t="str">
            <v>12007CellNets Mali</v>
          </cell>
          <cell r="U213" t="str">
            <v>12007CellNets MaliMinutes</v>
          </cell>
          <cell r="V213" t="str">
            <v>39090Minutes</v>
          </cell>
          <cell r="W213" t="str">
            <v>2007CellNets Mali</v>
          </cell>
          <cell r="X213" t="str">
            <v>2007CellNets MaliMinutes</v>
          </cell>
        </row>
        <row r="214">
          <cell r="I214">
            <v>2007</v>
          </cell>
          <cell r="J214" t="str">
            <v>CellNets MaliMinutes</v>
          </cell>
          <cell r="L214">
            <v>1</v>
          </cell>
          <cell r="M214" t="str">
            <v>1CellNets Mali</v>
          </cell>
          <cell r="N214" t="str">
            <v>CellNets MaliMinutes</v>
          </cell>
          <cell r="O214" t="str">
            <v>CellNets Mali</v>
          </cell>
          <cell r="P214" t="str">
            <v>Minutes</v>
          </cell>
          <cell r="Q214" t="str">
            <v>12007</v>
          </cell>
          <cell r="R214" t="str">
            <v>12007Minutes</v>
          </cell>
          <cell r="S214" t="str">
            <v>2007Minutes</v>
          </cell>
          <cell r="T214" t="str">
            <v>12007CellNets Mali</v>
          </cell>
          <cell r="U214" t="str">
            <v>12007CellNets MaliMinutes</v>
          </cell>
          <cell r="V214" t="str">
            <v>39099Minutes</v>
          </cell>
          <cell r="W214" t="str">
            <v>2007CellNets Mali</v>
          </cell>
          <cell r="X214" t="str">
            <v>2007CellNets MaliMinutes</v>
          </cell>
        </row>
        <row r="215">
          <cell r="I215">
            <v>2007</v>
          </cell>
          <cell r="J215" t="str">
            <v>CellNets MaliMinutes</v>
          </cell>
          <cell r="L215">
            <v>1</v>
          </cell>
          <cell r="M215" t="str">
            <v>1CellNets Mali</v>
          </cell>
          <cell r="N215" t="str">
            <v>CellNets MaliMinutes</v>
          </cell>
          <cell r="O215" t="str">
            <v>CellNets Mali</v>
          </cell>
          <cell r="P215" t="str">
            <v>Minutes</v>
          </cell>
          <cell r="Q215" t="str">
            <v>12007</v>
          </cell>
          <cell r="R215" t="str">
            <v>12007Minutes</v>
          </cell>
          <cell r="S215" t="str">
            <v>2007Minutes</v>
          </cell>
          <cell r="T215" t="str">
            <v>12007CellNets Mali</v>
          </cell>
          <cell r="U215" t="str">
            <v>12007CellNets MaliMinutes</v>
          </cell>
          <cell r="V215" t="str">
            <v>39104Minutes</v>
          </cell>
          <cell r="W215" t="str">
            <v>2007CellNets Mali</v>
          </cell>
          <cell r="X215" t="str">
            <v>2007CellNets MaliMinutes</v>
          </cell>
        </row>
        <row r="216">
          <cell r="I216">
            <v>2007</v>
          </cell>
          <cell r="J216" t="str">
            <v>CellNets MaliMinutes</v>
          </cell>
          <cell r="L216">
            <v>1</v>
          </cell>
          <cell r="M216" t="str">
            <v>1CellNets Mali</v>
          </cell>
          <cell r="N216" t="str">
            <v>CellNets MaliMinutes</v>
          </cell>
          <cell r="O216" t="str">
            <v>CellNets Mali</v>
          </cell>
          <cell r="P216" t="str">
            <v>Minutes</v>
          </cell>
          <cell r="Q216" t="str">
            <v>12007</v>
          </cell>
          <cell r="R216" t="str">
            <v>12007Minutes</v>
          </cell>
          <cell r="S216" t="str">
            <v>2007Minutes</v>
          </cell>
          <cell r="T216" t="str">
            <v>12007CellNets Mali</v>
          </cell>
          <cell r="U216" t="str">
            <v>12007CellNets MaliMinutes</v>
          </cell>
          <cell r="V216" t="str">
            <v>39107Minutes</v>
          </cell>
          <cell r="W216" t="str">
            <v>2007CellNets Mali</v>
          </cell>
          <cell r="X216" t="str">
            <v>2007CellNets MaliMinutes</v>
          </cell>
        </row>
        <row r="217">
          <cell r="I217">
            <v>2007</v>
          </cell>
          <cell r="J217" t="str">
            <v>CellNets MaliMinutes</v>
          </cell>
          <cell r="L217">
            <v>1</v>
          </cell>
          <cell r="M217" t="str">
            <v>1CellNets Mali</v>
          </cell>
          <cell r="N217" t="str">
            <v>CellNets MaliMinutes</v>
          </cell>
          <cell r="O217" t="str">
            <v>CellNets Mali</v>
          </cell>
          <cell r="P217" t="str">
            <v>Minutes</v>
          </cell>
          <cell r="Q217" t="str">
            <v>12007</v>
          </cell>
          <cell r="R217" t="str">
            <v>12007Minutes</v>
          </cell>
          <cell r="S217" t="str">
            <v>2007Minutes</v>
          </cell>
          <cell r="T217" t="str">
            <v>12007CellNets Mali</v>
          </cell>
          <cell r="U217" t="str">
            <v>12007CellNets MaliMinutes</v>
          </cell>
          <cell r="V217" t="str">
            <v>39113Minutes</v>
          </cell>
          <cell r="W217" t="str">
            <v>2007CellNets Mali</v>
          </cell>
          <cell r="X217" t="str">
            <v>2007CellNets MaliMinutes</v>
          </cell>
        </row>
        <row r="218">
          <cell r="I218">
            <v>2007</v>
          </cell>
          <cell r="J218" t="str">
            <v>GEMATELScratch 1 000</v>
          </cell>
          <cell r="L218">
            <v>1</v>
          </cell>
          <cell r="M218" t="str">
            <v>1GEMATEL</v>
          </cell>
          <cell r="N218" t="str">
            <v>GEMATELScratch 1 000</v>
          </cell>
          <cell r="O218" t="str">
            <v>GEMATEL</v>
          </cell>
          <cell r="P218" t="str">
            <v>Scratch 1 000</v>
          </cell>
          <cell r="Q218" t="str">
            <v>22007</v>
          </cell>
          <cell r="R218" t="str">
            <v>22007Scratch 1 000</v>
          </cell>
          <cell r="S218" t="str">
            <v>2007Scratch 1 000</v>
          </cell>
          <cell r="T218" t="str">
            <v>22007GEMATEL</v>
          </cell>
          <cell r="U218" t="str">
            <v>22007GEMATELScratch 1 000</v>
          </cell>
          <cell r="V218" t="str">
            <v>39114Scratch 1 000</v>
          </cell>
          <cell r="W218" t="str">
            <v>2007GEMATEL</v>
          </cell>
          <cell r="X218" t="str">
            <v>2007GEMATELScratch 1 000</v>
          </cell>
        </row>
        <row r="219">
          <cell r="I219">
            <v>2007</v>
          </cell>
          <cell r="J219" t="str">
            <v>GEMATELScratch 5 000</v>
          </cell>
          <cell r="L219">
            <v>0</v>
          </cell>
          <cell r="M219" t="str">
            <v>GEMATEL</v>
          </cell>
          <cell r="N219" t="str">
            <v>GEMATELScratch 5 000</v>
          </cell>
          <cell r="O219" t="str">
            <v>GEMATEL</v>
          </cell>
          <cell r="P219" t="str">
            <v>Scratch 5 000</v>
          </cell>
          <cell r="Q219" t="str">
            <v>22007</v>
          </cell>
          <cell r="R219" t="str">
            <v>22007Scratch 5 000</v>
          </cell>
          <cell r="S219" t="str">
            <v>2007Scratch 5 000</v>
          </cell>
          <cell r="T219" t="str">
            <v>22007GEMATEL</v>
          </cell>
          <cell r="U219" t="str">
            <v>22007GEMATELScratch 5 000</v>
          </cell>
          <cell r="V219" t="str">
            <v>39114Scratch 5 000</v>
          </cell>
          <cell r="W219" t="str">
            <v>2007GEMATEL</v>
          </cell>
          <cell r="X219" t="str">
            <v>2007GEMATELScratch 5 000</v>
          </cell>
        </row>
        <row r="220">
          <cell r="I220">
            <v>2007</v>
          </cell>
          <cell r="J220" t="str">
            <v>GEMATELScratch 10 000</v>
          </cell>
          <cell r="L220">
            <v>0</v>
          </cell>
          <cell r="M220" t="str">
            <v>GEMATEL</v>
          </cell>
          <cell r="N220" t="str">
            <v>GEMATELScratch 10 000</v>
          </cell>
          <cell r="O220" t="str">
            <v>GEMATEL</v>
          </cell>
          <cell r="P220" t="str">
            <v>Scratch 10 000</v>
          </cell>
          <cell r="Q220" t="str">
            <v>22007</v>
          </cell>
          <cell r="R220" t="str">
            <v>22007Scratch 10 000</v>
          </cell>
          <cell r="S220" t="str">
            <v>2007Scratch 10 000</v>
          </cell>
          <cell r="T220" t="str">
            <v>22007GEMATEL</v>
          </cell>
          <cell r="U220" t="str">
            <v>22007GEMATELScratch 10 000</v>
          </cell>
          <cell r="V220" t="str">
            <v>39114Scratch 10 000</v>
          </cell>
          <cell r="W220" t="str">
            <v>2007GEMATEL</v>
          </cell>
          <cell r="X220" t="str">
            <v>2007GEMATELScratch 10 000</v>
          </cell>
        </row>
        <row r="221">
          <cell r="I221">
            <v>2007</v>
          </cell>
          <cell r="J221" t="str">
            <v>GEMATELScratch 20 000</v>
          </cell>
          <cell r="L221">
            <v>0</v>
          </cell>
          <cell r="M221" t="str">
            <v>GEMATEL</v>
          </cell>
          <cell r="N221" t="str">
            <v>GEMATELScratch 20 000</v>
          </cell>
          <cell r="O221" t="str">
            <v>GEMATEL</v>
          </cell>
          <cell r="P221" t="str">
            <v>Scratch 20 000</v>
          </cell>
          <cell r="Q221" t="str">
            <v>22007</v>
          </cell>
          <cell r="R221" t="str">
            <v>22007Scratch 20 000</v>
          </cell>
          <cell r="S221" t="str">
            <v>2007Scratch 20 000</v>
          </cell>
          <cell r="T221" t="str">
            <v>22007GEMATEL</v>
          </cell>
          <cell r="U221" t="str">
            <v>22007GEMATELScratch 20 000</v>
          </cell>
          <cell r="V221" t="str">
            <v>39114Scratch 20 000</v>
          </cell>
          <cell r="W221" t="str">
            <v>2007GEMATEL</v>
          </cell>
          <cell r="X221" t="str">
            <v>2007GEMATELScratch 20 000</v>
          </cell>
        </row>
        <row r="222">
          <cell r="I222">
            <v>2007</v>
          </cell>
          <cell r="J222" t="str">
            <v>Ets Mamadou GAMBYScratch 1 000</v>
          </cell>
          <cell r="L222">
            <v>1</v>
          </cell>
          <cell r="M222" t="str">
            <v>1Ets Mamadou GAMBY</v>
          </cell>
          <cell r="N222" t="str">
            <v>Ets Mamadou GAMBYScratch 1 000</v>
          </cell>
          <cell r="O222" t="str">
            <v>Ets Mamadou GAMBY</v>
          </cell>
          <cell r="P222" t="str">
            <v>Scratch 1 000</v>
          </cell>
          <cell r="Q222" t="str">
            <v>22007</v>
          </cell>
          <cell r="R222" t="str">
            <v>22007Scratch 1 000</v>
          </cell>
          <cell r="S222" t="str">
            <v>2007Scratch 1 000</v>
          </cell>
          <cell r="T222" t="str">
            <v>22007Ets Mamadou GAMBY</v>
          </cell>
          <cell r="U222" t="str">
            <v>22007Ets Mamadou GAMBYScratch 1 000</v>
          </cell>
          <cell r="V222" t="str">
            <v>39114Scratch 1 000</v>
          </cell>
          <cell r="W222" t="str">
            <v>2007Ets Mamadou GAMBY</v>
          </cell>
          <cell r="X222" t="str">
            <v>2007Ets Mamadou GAMBYScratch 1 000</v>
          </cell>
        </row>
        <row r="223">
          <cell r="I223">
            <v>2007</v>
          </cell>
          <cell r="J223" t="str">
            <v>Ets Mamadou GAMBYScratch 5 000</v>
          </cell>
          <cell r="L223">
            <v>0</v>
          </cell>
          <cell r="M223" t="str">
            <v>Ets Mamadou GAMBY</v>
          </cell>
          <cell r="N223" t="str">
            <v>Ets Mamadou GAMBYScratch 5 000</v>
          </cell>
          <cell r="O223" t="str">
            <v>Ets Mamadou GAMBY</v>
          </cell>
          <cell r="P223" t="str">
            <v>Scratch 5 000</v>
          </cell>
          <cell r="Q223" t="str">
            <v>22007</v>
          </cell>
          <cell r="R223" t="str">
            <v>22007Scratch 5 000</v>
          </cell>
          <cell r="S223" t="str">
            <v>2007Scratch 5 000</v>
          </cell>
          <cell r="T223" t="str">
            <v>22007Ets Mamadou GAMBY</v>
          </cell>
          <cell r="U223" t="str">
            <v>22007Ets Mamadou GAMBYScratch 5 000</v>
          </cell>
          <cell r="V223" t="str">
            <v>39114Scratch 5 000</v>
          </cell>
          <cell r="W223" t="str">
            <v>2007Ets Mamadou GAMBY</v>
          </cell>
          <cell r="X223" t="str">
            <v>2007Ets Mamadou GAMBYScratch 5 000</v>
          </cell>
        </row>
        <row r="224">
          <cell r="I224">
            <v>2007</v>
          </cell>
          <cell r="J224" t="str">
            <v>Ets Mamadou GAMBYScratch 20 000</v>
          </cell>
          <cell r="L224">
            <v>0</v>
          </cell>
          <cell r="M224" t="str">
            <v>Ets Mamadou GAMBY</v>
          </cell>
          <cell r="N224" t="str">
            <v>Ets Mamadou GAMBYScratch 20 000</v>
          </cell>
          <cell r="O224" t="str">
            <v>Ets Mamadou GAMBY</v>
          </cell>
          <cell r="P224" t="str">
            <v>Scratch 20 000</v>
          </cell>
          <cell r="Q224" t="str">
            <v>22007</v>
          </cell>
          <cell r="R224" t="str">
            <v>22007Scratch 20 000</v>
          </cell>
          <cell r="S224" t="str">
            <v>2007Scratch 20 000</v>
          </cell>
          <cell r="T224" t="str">
            <v>22007Ets Mamadou GAMBY</v>
          </cell>
          <cell r="U224" t="str">
            <v>22007Ets Mamadou GAMBYScratch 20 000</v>
          </cell>
          <cell r="V224" t="str">
            <v>39114Scratch 20 000</v>
          </cell>
          <cell r="W224" t="str">
            <v>2007Ets Mamadou GAMBY</v>
          </cell>
          <cell r="X224" t="str">
            <v>2007Ets Mamadou GAMBYScratch 20 000</v>
          </cell>
        </row>
        <row r="225">
          <cell r="I225">
            <v>2007</v>
          </cell>
          <cell r="J225" t="str">
            <v>Burtel MacsymScratch 1 000</v>
          </cell>
          <cell r="L225">
            <v>1</v>
          </cell>
          <cell r="M225" t="str">
            <v>1Burtel Macsym</v>
          </cell>
          <cell r="N225" t="str">
            <v>Burtel MacsymScratch 1 000</v>
          </cell>
          <cell r="O225" t="str">
            <v>Burtel Macsym</v>
          </cell>
          <cell r="P225" t="str">
            <v>Scratch 1 000</v>
          </cell>
          <cell r="Q225" t="str">
            <v>22007</v>
          </cell>
          <cell r="R225" t="str">
            <v>22007Scratch 1 000</v>
          </cell>
          <cell r="S225" t="str">
            <v>2007Scratch 1 000</v>
          </cell>
          <cell r="T225" t="str">
            <v>22007Burtel Macsym</v>
          </cell>
          <cell r="U225" t="str">
            <v>22007Burtel MacsymScratch 1 000</v>
          </cell>
          <cell r="V225" t="str">
            <v>39114Scratch 1 000</v>
          </cell>
          <cell r="W225" t="str">
            <v>2007Burtel Macsym</v>
          </cell>
          <cell r="X225" t="str">
            <v>2007Burtel MacsymScratch 1 000</v>
          </cell>
        </row>
        <row r="226">
          <cell r="I226">
            <v>2007</v>
          </cell>
          <cell r="J226" t="str">
            <v>Burtel MacsymScratch 5 000</v>
          </cell>
          <cell r="L226">
            <v>0</v>
          </cell>
          <cell r="M226" t="str">
            <v>Burtel Macsym</v>
          </cell>
          <cell r="N226" t="str">
            <v>Burtel MacsymScratch 5 000</v>
          </cell>
          <cell r="O226" t="str">
            <v>Burtel Macsym</v>
          </cell>
          <cell r="P226" t="str">
            <v>Scratch 5 000</v>
          </cell>
          <cell r="Q226" t="str">
            <v>22007</v>
          </cell>
          <cell r="R226" t="str">
            <v>22007Scratch 5 000</v>
          </cell>
          <cell r="S226" t="str">
            <v>2007Scratch 5 000</v>
          </cell>
          <cell r="T226" t="str">
            <v>22007Burtel Macsym</v>
          </cell>
          <cell r="U226" t="str">
            <v>22007Burtel MacsymScratch 5 000</v>
          </cell>
          <cell r="V226" t="str">
            <v>39114Scratch 5 000</v>
          </cell>
          <cell r="W226" t="str">
            <v>2007Burtel Macsym</v>
          </cell>
          <cell r="X226" t="str">
            <v>2007Burtel MacsymScratch 5 000</v>
          </cell>
        </row>
        <row r="227">
          <cell r="I227">
            <v>2007</v>
          </cell>
          <cell r="J227" t="str">
            <v>Compagnie Internationale de NegoceScratch 1 000</v>
          </cell>
          <cell r="L227">
            <v>1</v>
          </cell>
          <cell r="M227" t="str">
            <v>1Compagnie Internationale de Negoce</v>
          </cell>
          <cell r="N227" t="str">
            <v>Compagnie Internationale de NegoceScratch 1 000</v>
          </cell>
          <cell r="O227" t="str">
            <v>Compagnie Internationale de Negoce</v>
          </cell>
          <cell r="P227" t="str">
            <v>Scratch 1 000</v>
          </cell>
          <cell r="Q227" t="str">
            <v>22007</v>
          </cell>
          <cell r="R227" t="str">
            <v>22007Scratch 1 000</v>
          </cell>
          <cell r="S227" t="str">
            <v>2007Scratch 1 000</v>
          </cell>
          <cell r="T227" t="str">
            <v>22007Compagnie Internationale de Negoce</v>
          </cell>
          <cell r="U227" t="str">
            <v>22007Compagnie Internationale de NegoceScratch 1 000</v>
          </cell>
          <cell r="V227" t="str">
            <v>39114Scratch 1 000</v>
          </cell>
          <cell r="W227" t="str">
            <v>2007Compagnie Internationale de Negoce</v>
          </cell>
          <cell r="X227" t="str">
            <v>2007Compagnie Internationale de NegoceScratch 1 000</v>
          </cell>
        </row>
        <row r="228">
          <cell r="I228">
            <v>2007</v>
          </cell>
          <cell r="J228" t="str">
            <v>Compagnie Internationale de NegoceScratch 5 000</v>
          </cell>
          <cell r="L228">
            <v>0</v>
          </cell>
          <cell r="M228" t="str">
            <v>Compagnie Internationale de Negoce</v>
          </cell>
          <cell r="N228" t="str">
            <v>Compagnie Internationale de NegoceScratch 5 000</v>
          </cell>
          <cell r="O228" t="str">
            <v>Compagnie Internationale de Negoce</v>
          </cell>
          <cell r="P228" t="str">
            <v>Scratch 5 000</v>
          </cell>
          <cell r="Q228" t="str">
            <v>22007</v>
          </cell>
          <cell r="R228" t="str">
            <v>22007Scratch 5 000</v>
          </cell>
          <cell r="S228" t="str">
            <v>2007Scratch 5 000</v>
          </cell>
          <cell r="T228" t="str">
            <v>22007Compagnie Internationale de Negoce</v>
          </cell>
          <cell r="U228" t="str">
            <v>22007Compagnie Internationale de NegoceScratch 5 000</v>
          </cell>
          <cell r="V228" t="str">
            <v>39114Scratch 5 000</v>
          </cell>
          <cell r="W228" t="str">
            <v>2007Compagnie Internationale de Negoce</v>
          </cell>
          <cell r="X228" t="str">
            <v>2007Compagnie Internationale de NegoceScratch 5 000</v>
          </cell>
        </row>
        <row r="229">
          <cell r="I229">
            <v>2007</v>
          </cell>
          <cell r="J229" t="str">
            <v>Compagnie Internationale de NegoceScratch 10 000</v>
          </cell>
          <cell r="L229">
            <v>0</v>
          </cell>
          <cell r="M229" t="str">
            <v>Compagnie Internationale de Negoce</v>
          </cell>
          <cell r="N229" t="str">
            <v>Compagnie Internationale de NegoceScratch 10 000</v>
          </cell>
          <cell r="O229" t="str">
            <v>Compagnie Internationale de Negoce</v>
          </cell>
          <cell r="P229" t="str">
            <v>Scratch 10 000</v>
          </cell>
          <cell r="Q229" t="str">
            <v>22007</v>
          </cell>
          <cell r="R229" t="str">
            <v>22007Scratch 10 000</v>
          </cell>
          <cell r="S229" t="str">
            <v>2007Scratch 10 000</v>
          </cell>
          <cell r="T229" t="str">
            <v>22007Compagnie Internationale de Negoce</v>
          </cell>
          <cell r="U229" t="str">
            <v>22007Compagnie Internationale de NegoceScratch 10 000</v>
          </cell>
          <cell r="V229" t="str">
            <v>39114Scratch 10 000</v>
          </cell>
          <cell r="W229" t="str">
            <v>2007Compagnie Internationale de Negoce</v>
          </cell>
          <cell r="X229" t="str">
            <v>2007Compagnie Internationale de NegoceScratch 10 000</v>
          </cell>
        </row>
        <row r="230">
          <cell r="I230">
            <v>2007</v>
          </cell>
          <cell r="J230" t="str">
            <v>GEMATELScratch 1 000</v>
          </cell>
          <cell r="L230">
            <v>1</v>
          </cell>
          <cell r="M230" t="str">
            <v>1GEMATEL</v>
          </cell>
          <cell r="N230" t="str">
            <v>GEMATELScratch 1 000</v>
          </cell>
          <cell r="O230" t="str">
            <v>GEMATEL</v>
          </cell>
          <cell r="P230" t="str">
            <v>Scratch 1 000</v>
          </cell>
          <cell r="Q230" t="str">
            <v>22007</v>
          </cell>
          <cell r="R230" t="str">
            <v>22007Scratch 1 000</v>
          </cell>
          <cell r="S230" t="str">
            <v>2007Scratch 1 000</v>
          </cell>
          <cell r="T230" t="str">
            <v>22007GEMATEL</v>
          </cell>
          <cell r="U230" t="str">
            <v>22007GEMATELScratch 1 000</v>
          </cell>
          <cell r="V230" t="str">
            <v>39116Scratch 1 000</v>
          </cell>
          <cell r="W230" t="str">
            <v>2007GEMATEL</v>
          </cell>
          <cell r="X230" t="str">
            <v>2007GEMATELScratch 1 000</v>
          </cell>
        </row>
        <row r="231">
          <cell r="I231">
            <v>2007</v>
          </cell>
          <cell r="J231" t="str">
            <v>GEMATELScratch 5 000</v>
          </cell>
          <cell r="L231">
            <v>0</v>
          </cell>
          <cell r="M231" t="str">
            <v>GEMATEL</v>
          </cell>
          <cell r="N231" t="str">
            <v>GEMATELScratch 5 000</v>
          </cell>
          <cell r="O231" t="str">
            <v>GEMATEL</v>
          </cell>
          <cell r="P231" t="str">
            <v>Scratch 5 000</v>
          </cell>
          <cell r="Q231" t="str">
            <v>22007</v>
          </cell>
          <cell r="R231" t="str">
            <v>22007Scratch 5 000</v>
          </cell>
          <cell r="S231" t="str">
            <v>2007Scratch 5 000</v>
          </cell>
          <cell r="T231" t="str">
            <v>22007GEMATEL</v>
          </cell>
          <cell r="U231" t="str">
            <v>22007GEMATELScratch 5 000</v>
          </cell>
          <cell r="V231" t="str">
            <v>39116Scratch 5 000</v>
          </cell>
          <cell r="W231" t="str">
            <v>2007GEMATEL</v>
          </cell>
          <cell r="X231" t="str">
            <v>2007GEMATELScratch 5 000</v>
          </cell>
        </row>
        <row r="232">
          <cell r="I232">
            <v>2007</v>
          </cell>
          <cell r="J232" t="str">
            <v>GEMATELScratch 10 000</v>
          </cell>
          <cell r="L232">
            <v>0</v>
          </cell>
          <cell r="M232" t="str">
            <v>GEMATEL</v>
          </cell>
          <cell r="N232" t="str">
            <v>GEMATELScratch 10 000</v>
          </cell>
          <cell r="O232" t="str">
            <v>GEMATEL</v>
          </cell>
          <cell r="P232" t="str">
            <v>Scratch 10 000</v>
          </cell>
          <cell r="Q232" t="str">
            <v>22007</v>
          </cell>
          <cell r="R232" t="str">
            <v>22007Scratch 10 000</v>
          </cell>
          <cell r="S232" t="str">
            <v>2007Scratch 10 000</v>
          </cell>
          <cell r="T232" t="str">
            <v>22007GEMATEL</v>
          </cell>
          <cell r="U232" t="str">
            <v>22007GEMATELScratch 10 000</v>
          </cell>
          <cell r="V232" t="str">
            <v>39116Scratch 10 000</v>
          </cell>
          <cell r="W232" t="str">
            <v>2007GEMATEL</v>
          </cell>
          <cell r="X232" t="str">
            <v>2007GEMATELScratch 10 000</v>
          </cell>
        </row>
        <row r="233">
          <cell r="I233">
            <v>2007</v>
          </cell>
          <cell r="J233" t="str">
            <v>GEMATELScratch 20 000</v>
          </cell>
          <cell r="L233">
            <v>0</v>
          </cell>
          <cell r="M233" t="str">
            <v>GEMATEL</v>
          </cell>
          <cell r="N233" t="str">
            <v>GEMATELScratch 20 000</v>
          </cell>
          <cell r="O233" t="str">
            <v>GEMATEL</v>
          </cell>
          <cell r="P233" t="str">
            <v>Scratch 20 000</v>
          </cell>
          <cell r="Q233" t="str">
            <v>22007</v>
          </cell>
          <cell r="R233" t="str">
            <v>22007Scratch 20 000</v>
          </cell>
          <cell r="S233" t="str">
            <v>2007Scratch 20 000</v>
          </cell>
          <cell r="T233" t="str">
            <v>22007GEMATEL</v>
          </cell>
          <cell r="U233" t="str">
            <v>22007GEMATELScratch 20 000</v>
          </cell>
          <cell r="V233" t="str">
            <v>39116Scratch 20 000</v>
          </cell>
          <cell r="W233" t="str">
            <v>2007GEMATEL</v>
          </cell>
          <cell r="X233" t="str">
            <v>2007GEMATELScratch 20 000</v>
          </cell>
        </row>
        <row r="234">
          <cell r="I234">
            <v>2007</v>
          </cell>
          <cell r="J234" t="str">
            <v>ETS Boubacar TANDIAScratch 1 000</v>
          </cell>
          <cell r="L234">
            <v>1</v>
          </cell>
          <cell r="M234" t="str">
            <v>1ETS Boubacar TANDIA</v>
          </cell>
          <cell r="N234" t="str">
            <v>ETS Boubacar TANDIAScratch 1 000</v>
          </cell>
          <cell r="O234" t="str">
            <v>ETS Boubacar TANDIA</v>
          </cell>
          <cell r="P234" t="str">
            <v>Scratch 1 000</v>
          </cell>
          <cell r="Q234" t="str">
            <v>22007</v>
          </cell>
          <cell r="R234" t="str">
            <v>22007Scratch 1 000</v>
          </cell>
          <cell r="S234" t="str">
            <v>2007Scratch 1 000</v>
          </cell>
          <cell r="T234" t="str">
            <v>22007ETS Boubacar TANDIA</v>
          </cell>
          <cell r="U234" t="str">
            <v>22007ETS Boubacar TANDIAScratch 1 000</v>
          </cell>
          <cell r="V234" t="str">
            <v>39116Scratch 1 000</v>
          </cell>
          <cell r="W234" t="str">
            <v>2007ETS Boubacar TANDIA</v>
          </cell>
          <cell r="X234" t="str">
            <v>2007ETS Boubacar TANDIAScratch 1 000</v>
          </cell>
        </row>
        <row r="235">
          <cell r="I235">
            <v>2007</v>
          </cell>
          <cell r="J235" t="str">
            <v>ETS Boubacar TANDIAScratch 2 000</v>
          </cell>
          <cell r="L235">
            <v>1</v>
          </cell>
          <cell r="M235" t="str">
            <v>1ETS Boubacar TANDIA</v>
          </cell>
          <cell r="N235" t="str">
            <v>ETS Boubacar TANDIAScratch 2 000</v>
          </cell>
          <cell r="O235" t="str">
            <v>ETS Boubacar TANDIA</v>
          </cell>
          <cell r="P235" t="str">
            <v>Scratch 2 000</v>
          </cell>
          <cell r="Q235" t="str">
            <v>22007</v>
          </cell>
          <cell r="R235" t="str">
            <v>22007Scratch 2 000</v>
          </cell>
          <cell r="S235" t="str">
            <v>2007Scratch 2 000</v>
          </cell>
          <cell r="T235" t="str">
            <v>22007ETS Boubacar TANDIA</v>
          </cell>
          <cell r="U235" t="str">
            <v>22007ETS Boubacar TANDIAScratch 2 000</v>
          </cell>
          <cell r="V235" t="str">
            <v>39116Scratch 2 000</v>
          </cell>
          <cell r="W235" t="str">
            <v>2007ETS Boubacar TANDIA</v>
          </cell>
          <cell r="X235" t="str">
            <v>2007ETS Boubacar TANDIAScratch 2 000</v>
          </cell>
        </row>
        <row r="236">
          <cell r="I236">
            <v>2007</v>
          </cell>
          <cell r="J236" t="str">
            <v>ETS Boubacar TANDIAScratch 5 000</v>
          </cell>
          <cell r="L236">
            <v>1</v>
          </cell>
          <cell r="M236" t="str">
            <v>1ETS Boubacar TANDIA</v>
          </cell>
          <cell r="N236" t="str">
            <v>ETS Boubacar TANDIAScratch 5 000</v>
          </cell>
          <cell r="O236" t="str">
            <v>ETS Boubacar TANDIA</v>
          </cell>
          <cell r="P236" t="str">
            <v>Scratch 5 000</v>
          </cell>
          <cell r="Q236" t="str">
            <v>22007</v>
          </cell>
          <cell r="R236" t="str">
            <v>22007Scratch 5 000</v>
          </cell>
          <cell r="S236" t="str">
            <v>2007Scratch 5 000</v>
          </cell>
          <cell r="T236" t="str">
            <v>22007ETS Boubacar TANDIA</v>
          </cell>
          <cell r="U236" t="str">
            <v>22007ETS Boubacar TANDIAScratch 5 000</v>
          </cell>
          <cell r="V236" t="str">
            <v>39116Scratch 5 000</v>
          </cell>
          <cell r="W236" t="str">
            <v>2007ETS Boubacar TANDIA</v>
          </cell>
          <cell r="X236" t="str">
            <v>2007ETS Boubacar TANDIAScratch 5 000</v>
          </cell>
        </row>
        <row r="237">
          <cell r="I237">
            <v>2007</v>
          </cell>
          <cell r="J237" t="str">
            <v>ETS Boubacar TANDIAScratch 20 000</v>
          </cell>
          <cell r="L237">
            <v>0</v>
          </cell>
          <cell r="M237" t="str">
            <v>ETS Boubacar TANDIA</v>
          </cell>
          <cell r="N237" t="str">
            <v>ETS Boubacar TANDIAScratch 20 000</v>
          </cell>
          <cell r="O237" t="str">
            <v>ETS Boubacar TANDIA</v>
          </cell>
          <cell r="P237" t="str">
            <v>Scratch 20 000</v>
          </cell>
          <cell r="Q237" t="str">
            <v>22007</v>
          </cell>
          <cell r="R237" t="str">
            <v>22007Scratch 20 000</v>
          </cell>
          <cell r="S237" t="str">
            <v>2007Scratch 20 000</v>
          </cell>
          <cell r="T237" t="str">
            <v>22007ETS Boubacar TANDIA</v>
          </cell>
          <cell r="U237" t="str">
            <v>22007ETS Boubacar TANDIAScratch 20 000</v>
          </cell>
          <cell r="V237" t="str">
            <v>39116Scratch 20 000</v>
          </cell>
          <cell r="W237" t="str">
            <v>2007ETS Boubacar TANDIA</v>
          </cell>
          <cell r="X237" t="str">
            <v>2007ETS Boubacar TANDIAScratch 20 000</v>
          </cell>
        </row>
        <row r="238">
          <cell r="I238">
            <v>2007</v>
          </cell>
          <cell r="J238" t="str">
            <v>MALI COM SarlScratch 1 000</v>
          </cell>
          <cell r="L238">
            <v>1</v>
          </cell>
          <cell r="M238" t="str">
            <v>1MALI COM Sarl</v>
          </cell>
          <cell r="N238" t="str">
            <v>MALI COM SarlScratch 1 000</v>
          </cell>
          <cell r="O238" t="str">
            <v>MALI COM Sarl</v>
          </cell>
          <cell r="P238" t="str">
            <v>Scratch 1 000</v>
          </cell>
          <cell r="Q238" t="str">
            <v>22007</v>
          </cell>
          <cell r="R238" t="str">
            <v>22007Scratch 1 000</v>
          </cell>
          <cell r="S238" t="str">
            <v>2007Scratch 1 000</v>
          </cell>
          <cell r="T238" t="str">
            <v>22007MALI COM Sarl</v>
          </cell>
          <cell r="U238" t="str">
            <v>22007MALI COM SarlScratch 1 000</v>
          </cell>
          <cell r="V238" t="str">
            <v>39116Scratch 1 000</v>
          </cell>
          <cell r="W238" t="str">
            <v>2007MALI COM Sarl</v>
          </cell>
          <cell r="X238" t="str">
            <v>2007MALI COM SarlScratch 1 000</v>
          </cell>
        </row>
        <row r="239">
          <cell r="I239">
            <v>2007</v>
          </cell>
          <cell r="J239" t="str">
            <v>MALI COM SarlScratch 2 000</v>
          </cell>
          <cell r="L239">
            <v>0</v>
          </cell>
          <cell r="M239" t="str">
            <v>MALI COM Sarl</v>
          </cell>
          <cell r="N239" t="str">
            <v>MALI COM SarlScratch 2 000</v>
          </cell>
          <cell r="O239" t="str">
            <v>MALI COM Sarl</v>
          </cell>
          <cell r="P239" t="str">
            <v>Scratch 2 000</v>
          </cell>
          <cell r="Q239" t="str">
            <v>22007</v>
          </cell>
          <cell r="R239" t="str">
            <v>22007Scratch 2 000</v>
          </cell>
          <cell r="S239" t="str">
            <v>2007Scratch 2 000</v>
          </cell>
          <cell r="T239" t="str">
            <v>22007MALI COM Sarl</v>
          </cell>
          <cell r="U239" t="str">
            <v>22007MALI COM SarlScratch 2 000</v>
          </cell>
          <cell r="V239" t="str">
            <v>39116Scratch 2 000</v>
          </cell>
          <cell r="W239" t="str">
            <v>2007MALI COM Sarl</v>
          </cell>
          <cell r="X239" t="str">
            <v>2007MALI COM SarlScratch 2 000</v>
          </cell>
        </row>
        <row r="240">
          <cell r="I240">
            <v>2007</v>
          </cell>
          <cell r="J240" t="str">
            <v>MALI COM SarlScratch 5 000</v>
          </cell>
          <cell r="L240">
            <v>0</v>
          </cell>
          <cell r="M240" t="str">
            <v>MALI COM Sarl</v>
          </cell>
          <cell r="N240" t="str">
            <v>MALI COM SarlScratch 5 000</v>
          </cell>
          <cell r="O240" t="str">
            <v>MALI COM Sarl</v>
          </cell>
          <cell r="P240" t="str">
            <v>Scratch 5 000</v>
          </cell>
          <cell r="Q240" t="str">
            <v>22007</v>
          </cell>
          <cell r="R240" t="str">
            <v>22007Scratch 5 000</v>
          </cell>
          <cell r="S240" t="str">
            <v>2007Scratch 5 000</v>
          </cell>
          <cell r="T240" t="str">
            <v>22007MALI COM Sarl</v>
          </cell>
          <cell r="U240" t="str">
            <v>22007MALI COM SarlScratch 5 000</v>
          </cell>
          <cell r="V240" t="str">
            <v>39116Scratch 5 000</v>
          </cell>
          <cell r="W240" t="str">
            <v>2007MALI COM Sarl</v>
          </cell>
          <cell r="X240" t="str">
            <v>2007MALI COM SarlScratch 5 000</v>
          </cell>
        </row>
        <row r="241">
          <cell r="I241">
            <v>2007</v>
          </cell>
          <cell r="J241" t="str">
            <v>MALI COM SarlScratch 20 000</v>
          </cell>
          <cell r="L241">
            <v>0</v>
          </cell>
          <cell r="M241" t="str">
            <v>MALI COM Sarl</v>
          </cell>
          <cell r="N241" t="str">
            <v>MALI COM SarlScratch 20 000</v>
          </cell>
          <cell r="O241" t="str">
            <v>MALI COM Sarl</v>
          </cell>
          <cell r="P241" t="str">
            <v>Scratch 20 000</v>
          </cell>
          <cell r="Q241" t="str">
            <v>22007</v>
          </cell>
          <cell r="R241" t="str">
            <v>22007Scratch 20 000</v>
          </cell>
          <cell r="S241" t="str">
            <v>2007Scratch 20 000</v>
          </cell>
          <cell r="T241" t="str">
            <v>22007MALI COM Sarl</v>
          </cell>
          <cell r="U241" t="str">
            <v>22007MALI COM SarlScratch 20 000</v>
          </cell>
          <cell r="V241" t="str">
            <v>39116Scratch 20 000</v>
          </cell>
          <cell r="W241" t="str">
            <v>2007MALI COM Sarl</v>
          </cell>
          <cell r="X241" t="str">
            <v>2007MALI COM SarlScratch 20 000</v>
          </cell>
        </row>
        <row r="242">
          <cell r="I242">
            <v>2007</v>
          </cell>
          <cell r="J242" t="str">
            <v>SOLEIL LEVANTScratch 1 000</v>
          </cell>
          <cell r="L242">
            <v>1</v>
          </cell>
          <cell r="M242" t="str">
            <v>1SOLEIL LEVANT</v>
          </cell>
          <cell r="N242" t="str">
            <v>SOLEIL LEVANTScratch 1 000</v>
          </cell>
          <cell r="O242" t="str">
            <v>SOLEIL LEVANT</v>
          </cell>
          <cell r="P242" t="str">
            <v>Scratch 1 000</v>
          </cell>
          <cell r="Q242" t="str">
            <v>22007</v>
          </cell>
          <cell r="R242" t="str">
            <v>22007Scratch 1 000</v>
          </cell>
          <cell r="S242" t="str">
            <v>2007Scratch 1 000</v>
          </cell>
          <cell r="T242" t="str">
            <v>22007SOLEIL LEVANT</v>
          </cell>
          <cell r="U242" t="str">
            <v>22007SOLEIL LEVANTScratch 1 000</v>
          </cell>
          <cell r="V242" t="str">
            <v>39116Scratch 1 000</v>
          </cell>
          <cell r="W242" t="str">
            <v>2007SOLEIL LEVANT</v>
          </cell>
          <cell r="X242" t="str">
            <v>2007SOLEIL LEVANTScratch 1 000</v>
          </cell>
        </row>
        <row r="243">
          <cell r="I243">
            <v>2007</v>
          </cell>
          <cell r="J243" t="str">
            <v>SOLEIL LEVANTScratch 2 000</v>
          </cell>
          <cell r="L243">
            <v>0</v>
          </cell>
          <cell r="M243" t="str">
            <v>SOLEIL LEVANT</v>
          </cell>
          <cell r="N243" t="str">
            <v>SOLEIL LEVANTScratch 2 000</v>
          </cell>
          <cell r="O243" t="str">
            <v>SOLEIL LEVANT</v>
          </cell>
          <cell r="P243" t="str">
            <v>Scratch 2 000</v>
          </cell>
          <cell r="Q243" t="str">
            <v>22007</v>
          </cell>
          <cell r="R243" t="str">
            <v>22007Scratch 2 000</v>
          </cell>
          <cell r="S243" t="str">
            <v>2007Scratch 2 000</v>
          </cell>
          <cell r="T243" t="str">
            <v>22007SOLEIL LEVANT</v>
          </cell>
          <cell r="U243" t="str">
            <v>22007SOLEIL LEVANTScratch 2 000</v>
          </cell>
          <cell r="V243" t="str">
            <v>39116Scratch 2 000</v>
          </cell>
          <cell r="W243" t="str">
            <v>2007SOLEIL LEVANT</v>
          </cell>
          <cell r="X243" t="str">
            <v>2007SOLEIL LEVANTScratch 2 000</v>
          </cell>
        </row>
        <row r="244">
          <cell r="I244">
            <v>2007</v>
          </cell>
          <cell r="J244" t="str">
            <v>SOLEIL LEVANTScratch 5 000</v>
          </cell>
          <cell r="L244">
            <v>0</v>
          </cell>
          <cell r="M244" t="str">
            <v>SOLEIL LEVANT</v>
          </cell>
          <cell r="N244" t="str">
            <v>SOLEIL LEVANTScratch 5 000</v>
          </cell>
          <cell r="O244" t="str">
            <v>SOLEIL LEVANT</v>
          </cell>
          <cell r="P244" t="str">
            <v>Scratch 5 000</v>
          </cell>
          <cell r="Q244" t="str">
            <v>22007</v>
          </cell>
          <cell r="R244" t="str">
            <v>22007Scratch 5 000</v>
          </cell>
          <cell r="S244" t="str">
            <v>2007Scratch 5 000</v>
          </cell>
          <cell r="T244" t="str">
            <v>22007SOLEIL LEVANT</v>
          </cell>
          <cell r="U244" t="str">
            <v>22007SOLEIL LEVANTScratch 5 000</v>
          </cell>
          <cell r="V244" t="str">
            <v>39116Scratch 5 000</v>
          </cell>
          <cell r="W244" t="str">
            <v>2007SOLEIL LEVANT</v>
          </cell>
          <cell r="X244" t="str">
            <v>2007SOLEIL LEVANTScratch 5 000</v>
          </cell>
        </row>
        <row r="245">
          <cell r="I245">
            <v>2007</v>
          </cell>
          <cell r="J245" t="str">
            <v>SOLEIL LEVANTScratch 20 000</v>
          </cell>
          <cell r="L245">
            <v>0</v>
          </cell>
          <cell r="M245" t="str">
            <v>SOLEIL LEVANT</v>
          </cell>
          <cell r="N245" t="str">
            <v>SOLEIL LEVANTScratch 20 000</v>
          </cell>
          <cell r="O245" t="str">
            <v>SOLEIL LEVANT</v>
          </cell>
          <cell r="P245" t="str">
            <v>Scratch 20 000</v>
          </cell>
          <cell r="Q245" t="str">
            <v>22007</v>
          </cell>
          <cell r="R245" t="str">
            <v>22007Scratch 20 000</v>
          </cell>
          <cell r="S245" t="str">
            <v>2007Scratch 20 000</v>
          </cell>
          <cell r="T245" t="str">
            <v>22007SOLEIL LEVANT</v>
          </cell>
          <cell r="U245" t="str">
            <v>22007SOLEIL LEVANTScratch 20 000</v>
          </cell>
          <cell r="V245" t="str">
            <v>39116Scratch 20 000</v>
          </cell>
          <cell r="W245" t="str">
            <v>2007SOLEIL LEVANT</v>
          </cell>
          <cell r="X245" t="str">
            <v>2007SOLEIL LEVANTScratch 20 000</v>
          </cell>
        </row>
        <row r="246">
          <cell r="I246">
            <v>2007</v>
          </cell>
          <cell r="J246" t="str">
            <v>Bonneterie Nouvelle TelecomScratch 1 000</v>
          </cell>
          <cell r="L246">
            <v>1</v>
          </cell>
          <cell r="M246" t="str">
            <v>1Bonneterie Nouvelle Telecom</v>
          </cell>
          <cell r="N246" t="str">
            <v>Bonneterie Nouvelle TelecomScratch 1 000</v>
          </cell>
          <cell r="O246" t="str">
            <v>Bonneterie Nouvelle Telecom</v>
          </cell>
          <cell r="P246" t="str">
            <v>Scratch 1 000</v>
          </cell>
          <cell r="Q246" t="str">
            <v>22007</v>
          </cell>
          <cell r="R246" t="str">
            <v>22007Scratch 1 000</v>
          </cell>
          <cell r="S246" t="str">
            <v>2007Scratch 1 000</v>
          </cell>
          <cell r="T246" t="str">
            <v>22007Bonneterie Nouvelle Telecom</v>
          </cell>
          <cell r="U246" t="str">
            <v>22007Bonneterie Nouvelle TelecomScratch 1 000</v>
          </cell>
          <cell r="V246" t="str">
            <v>39116Scratch 1 000</v>
          </cell>
          <cell r="W246" t="str">
            <v>2007Bonneterie Nouvelle Telecom</v>
          </cell>
          <cell r="X246" t="str">
            <v>2007Bonneterie Nouvelle TelecomScratch 1 000</v>
          </cell>
        </row>
        <row r="247">
          <cell r="I247">
            <v>2007</v>
          </cell>
          <cell r="J247" t="str">
            <v>Bonneterie Nouvelle TelecomScratch 2 000</v>
          </cell>
          <cell r="L247">
            <v>0</v>
          </cell>
          <cell r="M247" t="str">
            <v>Bonneterie Nouvelle Telecom</v>
          </cell>
          <cell r="N247" t="str">
            <v>Bonneterie Nouvelle TelecomScratch 2 000</v>
          </cell>
          <cell r="O247" t="str">
            <v>Bonneterie Nouvelle Telecom</v>
          </cell>
          <cell r="P247" t="str">
            <v>Scratch 2 000</v>
          </cell>
          <cell r="Q247" t="str">
            <v>22007</v>
          </cell>
          <cell r="R247" t="str">
            <v>22007Scratch 2 000</v>
          </cell>
          <cell r="S247" t="str">
            <v>2007Scratch 2 000</v>
          </cell>
          <cell r="T247" t="str">
            <v>22007Bonneterie Nouvelle Telecom</v>
          </cell>
          <cell r="U247" t="str">
            <v>22007Bonneterie Nouvelle TelecomScratch 2 000</v>
          </cell>
          <cell r="V247" t="str">
            <v>39116Scratch 2 000</v>
          </cell>
          <cell r="W247" t="str">
            <v>2007Bonneterie Nouvelle Telecom</v>
          </cell>
          <cell r="X247" t="str">
            <v>2007Bonneterie Nouvelle TelecomScratch 2 000</v>
          </cell>
        </row>
        <row r="248">
          <cell r="I248">
            <v>2007</v>
          </cell>
          <cell r="J248" t="str">
            <v>Bonneterie Nouvelle TelecomScratch 5 000</v>
          </cell>
          <cell r="L248">
            <v>0</v>
          </cell>
          <cell r="M248" t="str">
            <v>Bonneterie Nouvelle Telecom</v>
          </cell>
          <cell r="N248" t="str">
            <v>Bonneterie Nouvelle TelecomScratch 5 000</v>
          </cell>
          <cell r="O248" t="str">
            <v>Bonneterie Nouvelle Telecom</v>
          </cell>
          <cell r="P248" t="str">
            <v>Scratch 5 000</v>
          </cell>
          <cell r="Q248" t="str">
            <v>22007</v>
          </cell>
          <cell r="R248" t="str">
            <v>22007Scratch 5 000</v>
          </cell>
          <cell r="S248" t="str">
            <v>2007Scratch 5 000</v>
          </cell>
          <cell r="T248" t="str">
            <v>22007Bonneterie Nouvelle Telecom</v>
          </cell>
          <cell r="U248" t="str">
            <v>22007Bonneterie Nouvelle TelecomScratch 5 000</v>
          </cell>
          <cell r="V248" t="str">
            <v>39116Scratch 5 000</v>
          </cell>
          <cell r="W248" t="str">
            <v>2007Bonneterie Nouvelle Telecom</v>
          </cell>
          <cell r="X248" t="str">
            <v>2007Bonneterie Nouvelle TelecomScratch 5 000</v>
          </cell>
        </row>
        <row r="249">
          <cell r="I249">
            <v>2007</v>
          </cell>
          <cell r="J249" t="str">
            <v>Bonneterie Nouvelle TelecomScratch 10 000</v>
          </cell>
          <cell r="L249">
            <v>0</v>
          </cell>
          <cell r="M249" t="str">
            <v>Bonneterie Nouvelle Telecom</v>
          </cell>
          <cell r="N249" t="str">
            <v>Bonneterie Nouvelle TelecomScratch 10 000</v>
          </cell>
          <cell r="O249" t="str">
            <v>Bonneterie Nouvelle Telecom</v>
          </cell>
          <cell r="P249" t="str">
            <v>Scratch 10 000</v>
          </cell>
          <cell r="Q249" t="str">
            <v>22007</v>
          </cell>
          <cell r="R249" t="str">
            <v>22007Scratch 10 000</v>
          </cell>
          <cell r="S249" t="str">
            <v>2007Scratch 10 000</v>
          </cell>
          <cell r="T249" t="str">
            <v>22007Bonneterie Nouvelle Telecom</v>
          </cell>
          <cell r="U249" t="str">
            <v>22007Bonneterie Nouvelle TelecomScratch 10 000</v>
          </cell>
          <cell r="V249" t="str">
            <v>39116Scratch 10 000</v>
          </cell>
          <cell r="W249" t="str">
            <v>2007Bonneterie Nouvelle Telecom</v>
          </cell>
          <cell r="X249" t="str">
            <v>2007Bonneterie Nouvelle TelecomScratch 10 000</v>
          </cell>
        </row>
        <row r="250">
          <cell r="I250">
            <v>2007</v>
          </cell>
          <cell r="J250" t="str">
            <v>GEMATELScratch 2 000</v>
          </cell>
          <cell r="L250">
            <v>1</v>
          </cell>
          <cell r="M250" t="str">
            <v>1GEMATEL</v>
          </cell>
          <cell r="N250" t="str">
            <v>GEMATELScratch 2 000</v>
          </cell>
          <cell r="O250" t="str">
            <v>GEMATEL</v>
          </cell>
          <cell r="P250" t="str">
            <v>Scratch 2 000</v>
          </cell>
          <cell r="Q250" t="str">
            <v>22007</v>
          </cell>
          <cell r="R250" t="str">
            <v>22007Scratch 2 000</v>
          </cell>
          <cell r="S250" t="str">
            <v>2007Scratch 2 000</v>
          </cell>
          <cell r="T250" t="str">
            <v>22007GEMATEL</v>
          </cell>
          <cell r="U250" t="str">
            <v>22007GEMATELScratch 2 000</v>
          </cell>
          <cell r="V250" t="str">
            <v>39116Scratch 2 000</v>
          </cell>
          <cell r="W250" t="str">
            <v>2007GEMATEL</v>
          </cell>
          <cell r="X250" t="str">
            <v>2007GEMATELScratch 2 000</v>
          </cell>
        </row>
        <row r="251">
          <cell r="I251">
            <v>2007</v>
          </cell>
          <cell r="J251" t="str">
            <v>STS GAMBY &amp; FRERES (SOGAF) SarlScratch 1 000</v>
          </cell>
          <cell r="L251">
            <v>1</v>
          </cell>
          <cell r="M251" t="str">
            <v>1STS GAMBY &amp; FRERES (SOGAF) Sarl</v>
          </cell>
          <cell r="N251" t="str">
            <v>STS GAMBY &amp; FRERES (SOGAF) SarlScratch 1 000</v>
          </cell>
          <cell r="O251" t="str">
            <v>STS GAMBY &amp; FRERES (SOGAF) Sarl</v>
          </cell>
          <cell r="P251" t="str">
            <v>Scratch 1 000</v>
          </cell>
          <cell r="Q251" t="str">
            <v>22007</v>
          </cell>
          <cell r="R251" t="str">
            <v>22007Scratch 1 000</v>
          </cell>
          <cell r="S251" t="str">
            <v>2007Scratch 1 000</v>
          </cell>
          <cell r="T251" t="str">
            <v>22007STS GAMBY &amp; FRERES (SOGAF) Sarl</v>
          </cell>
          <cell r="U251" t="str">
            <v>22007STS GAMBY &amp; FRERES (SOGAF) SarlScratch 1 000</v>
          </cell>
          <cell r="V251" t="str">
            <v>39116Scratch 1 000</v>
          </cell>
          <cell r="W251" t="str">
            <v>2007STS GAMBY &amp; FRERES (SOGAF) Sarl</v>
          </cell>
          <cell r="X251" t="str">
            <v>2007STS GAMBY &amp; FRERES (SOGAF) SarlScratch 1 000</v>
          </cell>
        </row>
        <row r="252">
          <cell r="I252">
            <v>2007</v>
          </cell>
          <cell r="J252" t="str">
            <v>STS GAMBY &amp; FRERES (SOGAF) SarlScratch 2 000</v>
          </cell>
          <cell r="L252">
            <v>0</v>
          </cell>
          <cell r="M252" t="str">
            <v>STS GAMBY &amp; FRERES (SOGAF) Sarl</v>
          </cell>
          <cell r="N252" t="str">
            <v>STS GAMBY &amp; FRERES (SOGAF) SarlScratch 2 000</v>
          </cell>
          <cell r="O252" t="str">
            <v>STS GAMBY &amp; FRERES (SOGAF) Sarl</v>
          </cell>
          <cell r="P252" t="str">
            <v>Scratch 2 000</v>
          </cell>
          <cell r="Q252" t="str">
            <v>22007</v>
          </cell>
          <cell r="R252" t="str">
            <v>22007Scratch 2 000</v>
          </cell>
          <cell r="S252" t="str">
            <v>2007Scratch 2 000</v>
          </cell>
          <cell r="T252" t="str">
            <v>22007STS GAMBY &amp; FRERES (SOGAF) Sarl</v>
          </cell>
          <cell r="U252" t="str">
            <v>22007STS GAMBY &amp; FRERES (SOGAF) SarlScratch 2 000</v>
          </cell>
          <cell r="V252" t="str">
            <v>39116Scratch 2 000</v>
          </cell>
          <cell r="W252" t="str">
            <v>2007STS GAMBY &amp; FRERES (SOGAF) Sarl</v>
          </cell>
          <cell r="X252" t="str">
            <v>2007STS GAMBY &amp; FRERES (SOGAF) SarlScratch 2 000</v>
          </cell>
        </row>
        <row r="253">
          <cell r="I253">
            <v>2007</v>
          </cell>
          <cell r="J253" t="str">
            <v>SOLEIL LEVANTScratch 2 000</v>
          </cell>
          <cell r="L253">
            <v>1</v>
          </cell>
          <cell r="M253" t="str">
            <v>1SOLEIL LEVANT</v>
          </cell>
          <cell r="N253" t="str">
            <v>SOLEIL LEVANTScratch 2 000</v>
          </cell>
          <cell r="O253" t="str">
            <v>SOLEIL LEVANT</v>
          </cell>
          <cell r="P253" t="str">
            <v>Scratch 2 000</v>
          </cell>
          <cell r="Q253" t="str">
            <v>22007</v>
          </cell>
          <cell r="R253" t="str">
            <v>22007Scratch 2 000</v>
          </cell>
          <cell r="S253" t="str">
            <v>2007Scratch 2 000</v>
          </cell>
          <cell r="T253" t="str">
            <v>22007SOLEIL LEVANT</v>
          </cell>
          <cell r="U253" t="str">
            <v>22007SOLEIL LEVANTScratch 2 000</v>
          </cell>
          <cell r="V253" t="str">
            <v>39116Scratch 2 000</v>
          </cell>
          <cell r="W253" t="str">
            <v>2007SOLEIL LEVANT</v>
          </cell>
          <cell r="X253" t="str">
            <v>2007SOLEIL LEVANTScratch 2 000</v>
          </cell>
        </row>
        <row r="254">
          <cell r="I254">
            <v>2007</v>
          </cell>
          <cell r="J254" t="str">
            <v>ANKA ServicesScratch 2 000</v>
          </cell>
          <cell r="L254">
            <v>1</v>
          </cell>
          <cell r="M254" t="str">
            <v>1ANKA Services</v>
          </cell>
          <cell r="N254" t="str">
            <v>ANKA ServicesScratch 2 000</v>
          </cell>
          <cell r="O254" t="str">
            <v>ANKA Services</v>
          </cell>
          <cell r="P254" t="str">
            <v>Scratch 2 000</v>
          </cell>
          <cell r="Q254" t="str">
            <v>22007</v>
          </cell>
          <cell r="R254" t="str">
            <v>22007Scratch 2 000</v>
          </cell>
          <cell r="S254" t="str">
            <v>2007Scratch 2 000</v>
          </cell>
          <cell r="T254" t="str">
            <v>22007ANKA Services</v>
          </cell>
          <cell r="U254" t="str">
            <v>22007ANKA ServicesScratch 2 000</v>
          </cell>
          <cell r="V254" t="str">
            <v>39116Scratch 2 000</v>
          </cell>
          <cell r="W254" t="str">
            <v>2007ANKA Services</v>
          </cell>
          <cell r="X254" t="str">
            <v>2007ANKA ServicesScratch 2 000</v>
          </cell>
        </row>
        <row r="255">
          <cell r="I255">
            <v>2007</v>
          </cell>
          <cell r="J255" t="str">
            <v>Compagnie Internationale de NegoceScratch 2 000</v>
          </cell>
          <cell r="L255">
            <v>1</v>
          </cell>
          <cell r="M255" t="str">
            <v>1Compagnie Internationale de Negoce</v>
          </cell>
          <cell r="N255" t="str">
            <v>Compagnie Internationale de NegoceScratch 2 000</v>
          </cell>
          <cell r="O255" t="str">
            <v>Compagnie Internationale de Negoce</v>
          </cell>
          <cell r="P255" t="str">
            <v>Scratch 2 000</v>
          </cell>
          <cell r="Q255" t="str">
            <v>22007</v>
          </cell>
          <cell r="R255" t="str">
            <v>22007Scratch 2 000</v>
          </cell>
          <cell r="S255" t="str">
            <v>2007Scratch 2 000</v>
          </cell>
          <cell r="T255" t="str">
            <v>22007Compagnie Internationale de Negoce</v>
          </cell>
          <cell r="U255" t="str">
            <v>22007Compagnie Internationale de NegoceScratch 2 000</v>
          </cell>
          <cell r="V255" t="str">
            <v>39116Scratch 2 000</v>
          </cell>
          <cell r="W255" t="str">
            <v>2007Compagnie Internationale de Negoce</v>
          </cell>
          <cell r="X255" t="str">
            <v>2007Compagnie Internationale de NegoceScratch 2 000</v>
          </cell>
        </row>
        <row r="256">
          <cell r="I256">
            <v>2007</v>
          </cell>
          <cell r="J256" t="str">
            <v>ANKA ServicesScratch 1 000</v>
          </cell>
          <cell r="L256">
            <v>1</v>
          </cell>
          <cell r="M256" t="str">
            <v>1ANKA Services</v>
          </cell>
          <cell r="N256" t="str">
            <v>ANKA ServicesScratch 1 000</v>
          </cell>
          <cell r="O256" t="str">
            <v>ANKA Services</v>
          </cell>
          <cell r="P256" t="str">
            <v>Scratch 1 000</v>
          </cell>
          <cell r="Q256" t="str">
            <v>22007</v>
          </cell>
          <cell r="R256" t="str">
            <v>22007Scratch 1 000</v>
          </cell>
          <cell r="S256" t="str">
            <v>2007Scratch 1 000</v>
          </cell>
          <cell r="T256" t="str">
            <v>22007ANKA Services</v>
          </cell>
          <cell r="U256" t="str">
            <v>22007ANKA ServicesScratch 1 000</v>
          </cell>
          <cell r="V256" t="str">
            <v>39118Scratch 1 000</v>
          </cell>
          <cell r="W256" t="str">
            <v>2007ANKA Services</v>
          </cell>
          <cell r="X256" t="str">
            <v>2007ANKA ServicesScratch 1 000</v>
          </cell>
        </row>
        <row r="257">
          <cell r="I257">
            <v>2007</v>
          </cell>
          <cell r="J257" t="str">
            <v>ANKA ServicesScratch 5 000</v>
          </cell>
          <cell r="L257">
            <v>0</v>
          </cell>
          <cell r="M257" t="str">
            <v>ANKA Services</v>
          </cell>
          <cell r="N257" t="str">
            <v>ANKA ServicesScratch 5 000</v>
          </cell>
          <cell r="O257" t="str">
            <v>ANKA Services</v>
          </cell>
          <cell r="P257" t="str">
            <v>Scratch 5 000</v>
          </cell>
          <cell r="Q257" t="str">
            <v>22007</v>
          </cell>
          <cell r="R257" t="str">
            <v>22007Scratch 5 000</v>
          </cell>
          <cell r="S257" t="str">
            <v>2007Scratch 5 000</v>
          </cell>
          <cell r="T257" t="str">
            <v>22007ANKA Services</v>
          </cell>
          <cell r="U257" t="str">
            <v>22007ANKA ServicesScratch 5 000</v>
          </cell>
          <cell r="V257" t="str">
            <v>39118Scratch 5 000</v>
          </cell>
          <cell r="W257" t="str">
            <v>2007ANKA Services</v>
          </cell>
          <cell r="X257" t="str">
            <v>2007ANKA ServicesScratch 5 000</v>
          </cell>
        </row>
        <row r="258">
          <cell r="I258">
            <v>2007</v>
          </cell>
          <cell r="J258" t="str">
            <v>STS GAMBY &amp; FRERES (SOGAF) SarlScratch 1 000</v>
          </cell>
          <cell r="L258">
            <v>1</v>
          </cell>
          <cell r="M258" t="str">
            <v>1STS GAMBY &amp; FRERES (SOGAF) Sarl</v>
          </cell>
          <cell r="N258" t="str">
            <v>STS GAMBY &amp; FRERES (SOGAF) SarlScratch 1 000</v>
          </cell>
          <cell r="O258" t="str">
            <v>STS GAMBY &amp; FRERES (SOGAF) Sarl</v>
          </cell>
          <cell r="P258" t="str">
            <v>Scratch 1 000</v>
          </cell>
          <cell r="Q258" t="str">
            <v>22007</v>
          </cell>
          <cell r="R258" t="str">
            <v>22007Scratch 1 000</v>
          </cell>
          <cell r="S258" t="str">
            <v>2007Scratch 1 000</v>
          </cell>
          <cell r="T258" t="str">
            <v>22007STS GAMBY &amp; FRERES (SOGAF) Sarl</v>
          </cell>
          <cell r="U258" t="str">
            <v>22007STS GAMBY &amp; FRERES (SOGAF) SarlScratch 1 000</v>
          </cell>
          <cell r="V258" t="str">
            <v>39118Scratch 1 000</v>
          </cell>
          <cell r="W258" t="str">
            <v>2007STS GAMBY &amp; FRERES (SOGAF) Sarl</v>
          </cell>
          <cell r="X258" t="str">
            <v>2007STS GAMBY &amp; FRERES (SOGAF) SarlScratch 1 000</v>
          </cell>
        </row>
        <row r="259">
          <cell r="I259">
            <v>2007</v>
          </cell>
          <cell r="J259" t="str">
            <v>STS GAMBY &amp; FRERES (SOGAF) SarlScratch 2 000</v>
          </cell>
          <cell r="L259">
            <v>0</v>
          </cell>
          <cell r="M259" t="str">
            <v>STS GAMBY &amp; FRERES (SOGAF) Sarl</v>
          </cell>
          <cell r="N259" t="str">
            <v>STS GAMBY &amp; FRERES (SOGAF) SarlScratch 2 000</v>
          </cell>
          <cell r="O259" t="str">
            <v>STS GAMBY &amp; FRERES (SOGAF) Sarl</v>
          </cell>
          <cell r="P259" t="str">
            <v>Scratch 2 000</v>
          </cell>
          <cell r="Q259" t="str">
            <v>22007</v>
          </cell>
          <cell r="R259" t="str">
            <v>22007Scratch 2 000</v>
          </cell>
          <cell r="S259" t="str">
            <v>2007Scratch 2 000</v>
          </cell>
          <cell r="T259" t="str">
            <v>22007STS GAMBY &amp; FRERES (SOGAF) Sarl</v>
          </cell>
          <cell r="U259" t="str">
            <v>22007STS GAMBY &amp; FRERES (SOGAF) SarlScratch 2 000</v>
          </cell>
          <cell r="V259" t="str">
            <v>39118Scratch 2 000</v>
          </cell>
          <cell r="W259" t="str">
            <v>2007STS GAMBY &amp; FRERES (SOGAF) Sarl</v>
          </cell>
          <cell r="X259" t="str">
            <v>2007STS GAMBY &amp; FRERES (SOGAF) SarlScratch 2 000</v>
          </cell>
        </row>
        <row r="260">
          <cell r="I260">
            <v>2007</v>
          </cell>
          <cell r="J260" t="str">
            <v>STS GAMBY &amp; FRERES (SOGAF) SarlScratch 5 000</v>
          </cell>
          <cell r="L260">
            <v>0</v>
          </cell>
          <cell r="M260" t="str">
            <v>STS GAMBY &amp; FRERES (SOGAF) Sarl</v>
          </cell>
          <cell r="N260" t="str">
            <v>STS GAMBY &amp; FRERES (SOGAF) SarlScratch 5 000</v>
          </cell>
          <cell r="O260" t="str">
            <v>STS GAMBY &amp; FRERES (SOGAF) Sarl</v>
          </cell>
          <cell r="P260" t="str">
            <v>Scratch 5 000</v>
          </cell>
          <cell r="Q260" t="str">
            <v>22007</v>
          </cell>
          <cell r="R260" t="str">
            <v>22007Scratch 5 000</v>
          </cell>
          <cell r="S260" t="str">
            <v>2007Scratch 5 000</v>
          </cell>
          <cell r="T260" t="str">
            <v>22007STS GAMBY &amp; FRERES (SOGAF) Sarl</v>
          </cell>
          <cell r="U260" t="str">
            <v>22007STS GAMBY &amp; FRERES (SOGAF) SarlScratch 5 000</v>
          </cell>
          <cell r="V260" t="str">
            <v>39118Scratch 5 000</v>
          </cell>
          <cell r="W260" t="str">
            <v>2007STS GAMBY &amp; FRERES (SOGAF) Sarl</v>
          </cell>
          <cell r="X260" t="str">
            <v>2007STS GAMBY &amp; FRERES (SOGAF) SarlScratch 5 000</v>
          </cell>
        </row>
        <row r="261">
          <cell r="I261">
            <v>2007</v>
          </cell>
          <cell r="J261" t="str">
            <v>STS GAMBY &amp; FRERES (SOGAF) SarlScratch 20 000</v>
          </cell>
          <cell r="L261">
            <v>0</v>
          </cell>
          <cell r="M261" t="str">
            <v>STS GAMBY &amp; FRERES (SOGAF) Sarl</v>
          </cell>
          <cell r="N261" t="str">
            <v>STS GAMBY &amp; FRERES (SOGAF) SarlScratch 20 000</v>
          </cell>
          <cell r="O261" t="str">
            <v>STS GAMBY &amp; FRERES (SOGAF) Sarl</v>
          </cell>
          <cell r="P261" t="str">
            <v>Scratch 20 000</v>
          </cell>
          <cell r="Q261" t="str">
            <v>22007</v>
          </cell>
          <cell r="R261" t="str">
            <v>22007Scratch 20 000</v>
          </cell>
          <cell r="S261" t="str">
            <v>2007Scratch 20 000</v>
          </cell>
          <cell r="T261" t="str">
            <v>22007STS GAMBY &amp; FRERES (SOGAF) Sarl</v>
          </cell>
          <cell r="U261" t="str">
            <v>22007STS GAMBY &amp; FRERES (SOGAF) SarlScratch 20 000</v>
          </cell>
          <cell r="V261" t="str">
            <v>39118Scratch 20 000</v>
          </cell>
          <cell r="W261" t="str">
            <v>2007STS GAMBY &amp; FRERES (SOGAF) Sarl</v>
          </cell>
          <cell r="X261" t="str">
            <v>2007STS GAMBY &amp; FRERES (SOGAF) SarlScratch 20 000</v>
          </cell>
        </row>
        <row r="262">
          <cell r="I262">
            <v>2007</v>
          </cell>
          <cell r="J262" t="str">
            <v>GEMATELScratch 2 000</v>
          </cell>
          <cell r="L262">
            <v>1</v>
          </cell>
          <cell r="M262" t="str">
            <v>1GEMATEL</v>
          </cell>
          <cell r="N262" t="str">
            <v>GEMATELScratch 2 000</v>
          </cell>
          <cell r="O262" t="str">
            <v>GEMATEL</v>
          </cell>
          <cell r="P262" t="str">
            <v>Scratch 2 000</v>
          </cell>
          <cell r="Q262" t="str">
            <v>22007</v>
          </cell>
          <cell r="R262" t="str">
            <v>22007Scratch 2 000</v>
          </cell>
          <cell r="S262" t="str">
            <v>2007Scratch 2 000</v>
          </cell>
          <cell r="T262" t="str">
            <v>22007GEMATEL</v>
          </cell>
          <cell r="U262" t="str">
            <v>22007GEMATELScratch 2 000</v>
          </cell>
          <cell r="V262" t="str">
            <v>39118Scratch 2 000</v>
          </cell>
          <cell r="W262" t="str">
            <v>2007GEMATEL</v>
          </cell>
          <cell r="X262" t="str">
            <v>2007GEMATELScratch 2 000</v>
          </cell>
        </row>
        <row r="263">
          <cell r="I263">
            <v>2007</v>
          </cell>
          <cell r="J263" t="str">
            <v>GEMATELScratch 5 000</v>
          </cell>
          <cell r="L263">
            <v>0</v>
          </cell>
          <cell r="M263" t="str">
            <v>GEMATEL</v>
          </cell>
          <cell r="N263" t="str">
            <v>GEMATELScratch 5 000</v>
          </cell>
          <cell r="O263" t="str">
            <v>GEMATEL</v>
          </cell>
          <cell r="P263" t="str">
            <v>Scratch 5 000</v>
          </cell>
          <cell r="Q263" t="str">
            <v>22007</v>
          </cell>
          <cell r="R263" t="str">
            <v>22007Scratch 5 000</v>
          </cell>
          <cell r="S263" t="str">
            <v>2007Scratch 5 000</v>
          </cell>
          <cell r="T263" t="str">
            <v>22007GEMATEL</v>
          </cell>
          <cell r="U263" t="str">
            <v>22007GEMATELScratch 5 000</v>
          </cell>
          <cell r="V263" t="str">
            <v>39118Scratch 5 000</v>
          </cell>
          <cell r="W263" t="str">
            <v>2007GEMATEL</v>
          </cell>
          <cell r="X263" t="str">
            <v>2007GEMATELScratch 5 000</v>
          </cell>
        </row>
        <row r="264">
          <cell r="I264">
            <v>2007</v>
          </cell>
          <cell r="J264" t="str">
            <v>Compagnie Internationale de NegoceScratch 1 000</v>
          </cell>
          <cell r="L264">
            <v>1</v>
          </cell>
          <cell r="M264" t="str">
            <v>1Compagnie Internationale de Negoce</v>
          </cell>
          <cell r="N264" t="str">
            <v>Compagnie Internationale de NegoceScratch 1 000</v>
          </cell>
          <cell r="O264" t="str">
            <v>Compagnie Internationale de Negoce</v>
          </cell>
          <cell r="P264" t="str">
            <v>Scratch 1 000</v>
          </cell>
          <cell r="Q264" t="str">
            <v>22007</v>
          </cell>
          <cell r="R264" t="str">
            <v>22007Scratch 1 000</v>
          </cell>
          <cell r="S264" t="str">
            <v>2007Scratch 1 000</v>
          </cell>
          <cell r="T264" t="str">
            <v>22007Compagnie Internationale de Negoce</v>
          </cell>
          <cell r="U264" t="str">
            <v>22007Compagnie Internationale de NegoceScratch 1 000</v>
          </cell>
          <cell r="V264" t="str">
            <v>39118Scratch 1 000</v>
          </cell>
          <cell r="W264" t="str">
            <v>2007Compagnie Internationale de Negoce</v>
          </cell>
          <cell r="X264" t="str">
            <v>2007Compagnie Internationale de NegoceScratch 1 000</v>
          </cell>
        </row>
        <row r="265">
          <cell r="I265">
            <v>2007</v>
          </cell>
          <cell r="J265" t="str">
            <v>Compagnie Internationale de NegoceScratch 2 000</v>
          </cell>
          <cell r="L265">
            <v>0</v>
          </cell>
          <cell r="M265" t="str">
            <v>Compagnie Internationale de Negoce</v>
          </cell>
          <cell r="N265" t="str">
            <v>Compagnie Internationale de NegoceScratch 2 000</v>
          </cell>
          <cell r="O265" t="str">
            <v>Compagnie Internationale de Negoce</v>
          </cell>
          <cell r="P265" t="str">
            <v>Scratch 2 000</v>
          </cell>
          <cell r="Q265" t="str">
            <v>22007</v>
          </cell>
          <cell r="R265" t="str">
            <v>22007Scratch 2 000</v>
          </cell>
          <cell r="S265" t="str">
            <v>2007Scratch 2 000</v>
          </cell>
          <cell r="T265" t="str">
            <v>22007Compagnie Internationale de Negoce</v>
          </cell>
          <cell r="U265" t="str">
            <v>22007Compagnie Internationale de NegoceScratch 2 000</v>
          </cell>
          <cell r="V265" t="str">
            <v>39118Scratch 2 000</v>
          </cell>
          <cell r="W265" t="str">
            <v>2007Compagnie Internationale de Negoce</v>
          </cell>
          <cell r="X265" t="str">
            <v>2007Compagnie Internationale de NegoceScratch 2 000</v>
          </cell>
        </row>
        <row r="266">
          <cell r="I266">
            <v>2007</v>
          </cell>
          <cell r="J266" t="str">
            <v>Compagnie Internationale de NegoceScratch 5 000</v>
          </cell>
          <cell r="L266">
            <v>0</v>
          </cell>
          <cell r="M266" t="str">
            <v>Compagnie Internationale de Negoce</v>
          </cell>
          <cell r="N266" t="str">
            <v>Compagnie Internationale de NegoceScratch 5 000</v>
          </cell>
          <cell r="O266" t="str">
            <v>Compagnie Internationale de Negoce</v>
          </cell>
          <cell r="P266" t="str">
            <v>Scratch 5 000</v>
          </cell>
          <cell r="Q266" t="str">
            <v>22007</v>
          </cell>
          <cell r="R266" t="str">
            <v>22007Scratch 5 000</v>
          </cell>
          <cell r="S266" t="str">
            <v>2007Scratch 5 000</v>
          </cell>
          <cell r="T266" t="str">
            <v>22007Compagnie Internationale de Negoce</v>
          </cell>
          <cell r="U266" t="str">
            <v>22007Compagnie Internationale de NegoceScratch 5 000</v>
          </cell>
          <cell r="V266" t="str">
            <v>39118Scratch 5 000</v>
          </cell>
          <cell r="W266" t="str">
            <v>2007Compagnie Internationale de Negoce</v>
          </cell>
          <cell r="X266" t="str">
            <v>2007Compagnie Internationale de NegoceScratch 5 000</v>
          </cell>
        </row>
        <row r="267">
          <cell r="I267">
            <v>2007</v>
          </cell>
          <cell r="J267" t="str">
            <v>Compagnie Internationale de NegoceScratch 10 000</v>
          </cell>
          <cell r="L267">
            <v>0</v>
          </cell>
          <cell r="M267" t="str">
            <v>Compagnie Internationale de Negoce</v>
          </cell>
          <cell r="N267" t="str">
            <v>Compagnie Internationale de NegoceScratch 10 000</v>
          </cell>
          <cell r="O267" t="str">
            <v>Compagnie Internationale de Negoce</v>
          </cell>
          <cell r="P267" t="str">
            <v>Scratch 10 000</v>
          </cell>
          <cell r="Q267" t="str">
            <v>22007</v>
          </cell>
          <cell r="R267" t="str">
            <v>22007Scratch 10 000</v>
          </cell>
          <cell r="S267" t="str">
            <v>2007Scratch 10 000</v>
          </cell>
          <cell r="T267" t="str">
            <v>22007Compagnie Internationale de Negoce</v>
          </cell>
          <cell r="U267" t="str">
            <v>22007Compagnie Internationale de NegoceScratch 10 000</v>
          </cell>
          <cell r="V267" t="str">
            <v>39118Scratch 10 000</v>
          </cell>
          <cell r="W267" t="str">
            <v>2007Compagnie Internationale de Negoce</v>
          </cell>
          <cell r="X267" t="str">
            <v>2007Compagnie Internationale de NegoceScratch 10 000</v>
          </cell>
        </row>
        <row r="268">
          <cell r="I268">
            <v>2007</v>
          </cell>
          <cell r="J268" t="str">
            <v>Compagnie Internationale de NegoceScratch 20 000</v>
          </cell>
          <cell r="L268">
            <v>0</v>
          </cell>
          <cell r="M268" t="str">
            <v>Compagnie Internationale de Negoce</v>
          </cell>
          <cell r="N268" t="str">
            <v>Compagnie Internationale de NegoceScratch 20 000</v>
          </cell>
          <cell r="O268" t="str">
            <v>Compagnie Internationale de Negoce</v>
          </cell>
          <cell r="P268" t="str">
            <v>Scratch 20 000</v>
          </cell>
          <cell r="Q268" t="str">
            <v>22007</v>
          </cell>
          <cell r="R268" t="str">
            <v>22007Scratch 20 000</v>
          </cell>
          <cell r="S268" t="str">
            <v>2007Scratch 20 000</v>
          </cell>
          <cell r="T268" t="str">
            <v>22007Compagnie Internationale de Negoce</v>
          </cell>
          <cell r="U268" t="str">
            <v>22007Compagnie Internationale de NegoceScratch 20 000</v>
          </cell>
          <cell r="V268" t="str">
            <v>39118Scratch 20 000</v>
          </cell>
          <cell r="W268" t="str">
            <v>2007Compagnie Internationale de Negoce</v>
          </cell>
          <cell r="X268" t="str">
            <v>2007Compagnie Internationale de NegoceScratch 20 000</v>
          </cell>
        </row>
        <row r="269">
          <cell r="I269">
            <v>2007</v>
          </cell>
          <cell r="J269" t="str">
            <v>MALI COM SarlScratch 1 000</v>
          </cell>
          <cell r="L269">
            <v>1</v>
          </cell>
          <cell r="M269" t="str">
            <v>1MALI COM Sarl</v>
          </cell>
          <cell r="N269" t="str">
            <v>MALI COM SarlScratch 1 000</v>
          </cell>
          <cell r="O269" t="str">
            <v>MALI COM Sarl</v>
          </cell>
          <cell r="P269" t="str">
            <v>Scratch 1 000</v>
          </cell>
          <cell r="Q269" t="str">
            <v>22007</v>
          </cell>
          <cell r="R269" t="str">
            <v>22007Scratch 1 000</v>
          </cell>
          <cell r="S269" t="str">
            <v>2007Scratch 1 000</v>
          </cell>
          <cell r="T269" t="str">
            <v>22007MALI COM Sarl</v>
          </cell>
          <cell r="U269" t="str">
            <v>22007MALI COM SarlScratch 1 000</v>
          </cell>
          <cell r="V269" t="str">
            <v>39118Scratch 1 000</v>
          </cell>
          <cell r="W269" t="str">
            <v>2007MALI COM Sarl</v>
          </cell>
          <cell r="X269" t="str">
            <v>2007MALI COM SarlScratch 1 000</v>
          </cell>
        </row>
        <row r="270">
          <cell r="I270">
            <v>2007</v>
          </cell>
          <cell r="J270" t="str">
            <v>MALI COM SarlScratch 2 000</v>
          </cell>
          <cell r="L270">
            <v>0</v>
          </cell>
          <cell r="M270" t="str">
            <v>MALI COM Sarl</v>
          </cell>
          <cell r="N270" t="str">
            <v>MALI COM SarlScratch 2 000</v>
          </cell>
          <cell r="O270" t="str">
            <v>MALI COM Sarl</v>
          </cell>
          <cell r="P270" t="str">
            <v>Scratch 2 000</v>
          </cell>
          <cell r="Q270" t="str">
            <v>22007</v>
          </cell>
          <cell r="R270" t="str">
            <v>22007Scratch 2 000</v>
          </cell>
          <cell r="S270" t="str">
            <v>2007Scratch 2 000</v>
          </cell>
          <cell r="T270" t="str">
            <v>22007MALI COM Sarl</v>
          </cell>
          <cell r="U270" t="str">
            <v>22007MALI COM SarlScratch 2 000</v>
          </cell>
          <cell r="V270" t="str">
            <v>39118Scratch 2 000</v>
          </cell>
          <cell r="W270" t="str">
            <v>2007MALI COM Sarl</v>
          </cell>
          <cell r="X270" t="str">
            <v>2007MALI COM SarlScratch 2 000</v>
          </cell>
        </row>
        <row r="271">
          <cell r="I271">
            <v>2007</v>
          </cell>
          <cell r="J271" t="str">
            <v>MALI COM SarlScratch 5 000</v>
          </cell>
          <cell r="L271">
            <v>0</v>
          </cell>
          <cell r="M271" t="str">
            <v>MALI COM Sarl</v>
          </cell>
          <cell r="N271" t="str">
            <v>MALI COM SarlScratch 5 000</v>
          </cell>
          <cell r="O271" t="str">
            <v>MALI COM Sarl</v>
          </cell>
          <cell r="P271" t="str">
            <v>Scratch 5 000</v>
          </cell>
          <cell r="Q271" t="str">
            <v>22007</v>
          </cell>
          <cell r="R271" t="str">
            <v>22007Scratch 5 000</v>
          </cell>
          <cell r="S271" t="str">
            <v>2007Scratch 5 000</v>
          </cell>
          <cell r="T271" t="str">
            <v>22007MALI COM Sarl</v>
          </cell>
          <cell r="U271" t="str">
            <v>22007MALI COM SarlScratch 5 000</v>
          </cell>
          <cell r="V271" t="str">
            <v>39118Scratch 5 000</v>
          </cell>
          <cell r="W271" t="str">
            <v>2007MALI COM Sarl</v>
          </cell>
          <cell r="X271" t="str">
            <v>2007MALI COM SarlScratch 5 000</v>
          </cell>
        </row>
        <row r="272">
          <cell r="I272">
            <v>2007</v>
          </cell>
          <cell r="J272" t="str">
            <v>ETS Boubacar TANDIAScratch 1 000</v>
          </cell>
          <cell r="L272">
            <v>1</v>
          </cell>
          <cell r="M272" t="str">
            <v>1ETS Boubacar TANDIA</v>
          </cell>
          <cell r="N272" t="str">
            <v>ETS Boubacar TANDIAScratch 1 000</v>
          </cell>
          <cell r="O272" t="str">
            <v>ETS Boubacar TANDIA</v>
          </cell>
          <cell r="P272" t="str">
            <v>Scratch 1 000</v>
          </cell>
          <cell r="Q272" t="str">
            <v>22007</v>
          </cell>
          <cell r="R272" t="str">
            <v>22007Scratch 1 000</v>
          </cell>
          <cell r="S272" t="str">
            <v>2007Scratch 1 000</v>
          </cell>
          <cell r="T272" t="str">
            <v>22007ETS Boubacar TANDIA</v>
          </cell>
          <cell r="U272" t="str">
            <v>22007ETS Boubacar TANDIAScratch 1 000</v>
          </cell>
          <cell r="V272" t="str">
            <v>39118Scratch 1 000</v>
          </cell>
          <cell r="W272" t="str">
            <v>2007ETS Boubacar TANDIA</v>
          </cell>
          <cell r="X272" t="str">
            <v>2007ETS Boubacar TANDIAScratch 1 000</v>
          </cell>
        </row>
        <row r="273">
          <cell r="I273">
            <v>2007</v>
          </cell>
          <cell r="J273" t="str">
            <v>ETS Boubacar TANDIAScratch 2 000</v>
          </cell>
          <cell r="L273">
            <v>0</v>
          </cell>
          <cell r="M273" t="str">
            <v>ETS Boubacar TANDIA</v>
          </cell>
          <cell r="N273" t="str">
            <v>ETS Boubacar TANDIAScratch 2 000</v>
          </cell>
          <cell r="O273" t="str">
            <v>ETS Boubacar TANDIA</v>
          </cell>
          <cell r="P273" t="str">
            <v>Scratch 2 000</v>
          </cell>
          <cell r="Q273" t="str">
            <v>22007</v>
          </cell>
          <cell r="R273" t="str">
            <v>22007Scratch 2 000</v>
          </cell>
          <cell r="S273" t="str">
            <v>2007Scratch 2 000</v>
          </cell>
          <cell r="T273" t="str">
            <v>22007ETS Boubacar TANDIA</v>
          </cell>
          <cell r="U273" t="str">
            <v>22007ETS Boubacar TANDIAScratch 2 000</v>
          </cell>
          <cell r="V273" t="str">
            <v>39118Scratch 2 000</v>
          </cell>
          <cell r="W273" t="str">
            <v>2007ETS Boubacar TANDIA</v>
          </cell>
          <cell r="X273" t="str">
            <v>2007ETS Boubacar TANDIAScratch 2 000</v>
          </cell>
        </row>
        <row r="274">
          <cell r="I274">
            <v>2007</v>
          </cell>
          <cell r="J274" t="str">
            <v>MALI COM SarlScratch 10 000</v>
          </cell>
          <cell r="L274">
            <v>1</v>
          </cell>
          <cell r="M274" t="str">
            <v>1MALI COM Sarl</v>
          </cell>
          <cell r="N274" t="str">
            <v>MALI COM SarlScratch 10 000</v>
          </cell>
          <cell r="O274" t="str">
            <v>MALI COM Sarl</v>
          </cell>
          <cell r="P274" t="str">
            <v>Scratch 10 000</v>
          </cell>
          <cell r="Q274" t="str">
            <v>22007</v>
          </cell>
          <cell r="R274" t="str">
            <v>22007Scratch 10 000</v>
          </cell>
          <cell r="S274" t="str">
            <v>2007Scratch 10 000</v>
          </cell>
          <cell r="T274" t="str">
            <v>22007MALI COM Sarl</v>
          </cell>
          <cell r="U274" t="str">
            <v>22007MALI COM SarlScratch 10 000</v>
          </cell>
          <cell r="V274" t="str">
            <v>39119Scratch 10 000</v>
          </cell>
          <cell r="W274" t="str">
            <v>2007MALI COM Sarl</v>
          </cell>
          <cell r="X274" t="str">
            <v>2007MALI COM SarlScratch 10 000</v>
          </cell>
        </row>
        <row r="275">
          <cell r="I275">
            <v>2007</v>
          </cell>
          <cell r="J275" t="str">
            <v>ETS Boubacar TANDIAScratch 5 000</v>
          </cell>
          <cell r="L275">
            <v>1</v>
          </cell>
          <cell r="M275" t="str">
            <v>1ETS Boubacar TANDIA</v>
          </cell>
          <cell r="N275" t="str">
            <v>ETS Boubacar TANDIAScratch 5 000</v>
          </cell>
          <cell r="O275" t="str">
            <v>ETS Boubacar TANDIA</v>
          </cell>
          <cell r="P275" t="str">
            <v>Scratch 5 000</v>
          </cell>
          <cell r="Q275" t="str">
            <v>22007</v>
          </cell>
          <cell r="R275" t="str">
            <v>22007Scratch 5 000</v>
          </cell>
          <cell r="S275" t="str">
            <v>2007Scratch 5 000</v>
          </cell>
          <cell r="T275" t="str">
            <v>22007ETS Boubacar TANDIA</v>
          </cell>
          <cell r="U275" t="str">
            <v>22007ETS Boubacar TANDIAScratch 5 000</v>
          </cell>
          <cell r="V275" t="str">
            <v>39119Scratch 5 000</v>
          </cell>
          <cell r="W275" t="str">
            <v>2007ETS Boubacar TANDIA</v>
          </cell>
          <cell r="X275" t="str">
            <v>2007ETS Boubacar TANDIAScratch 5 000</v>
          </cell>
        </row>
        <row r="276">
          <cell r="I276">
            <v>2007</v>
          </cell>
          <cell r="J276" t="str">
            <v>ETS Boubacar TANDIAScratch 10 000</v>
          </cell>
          <cell r="L276">
            <v>0</v>
          </cell>
          <cell r="M276" t="str">
            <v>ETS Boubacar TANDIA</v>
          </cell>
          <cell r="N276" t="str">
            <v>ETS Boubacar TANDIAScratch 10 000</v>
          </cell>
          <cell r="O276" t="str">
            <v>ETS Boubacar TANDIA</v>
          </cell>
          <cell r="P276" t="str">
            <v>Scratch 10 000</v>
          </cell>
          <cell r="Q276" t="str">
            <v>22007</v>
          </cell>
          <cell r="R276" t="str">
            <v>22007Scratch 10 000</v>
          </cell>
          <cell r="S276" t="str">
            <v>2007Scratch 10 000</v>
          </cell>
          <cell r="T276" t="str">
            <v>22007ETS Boubacar TANDIA</v>
          </cell>
          <cell r="U276" t="str">
            <v>22007ETS Boubacar TANDIAScratch 10 000</v>
          </cell>
          <cell r="V276" t="str">
            <v>39119Scratch 10 000</v>
          </cell>
          <cell r="W276" t="str">
            <v>2007ETS Boubacar TANDIA</v>
          </cell>
          <cell r="X276" t="str">
            <v>2007ETS Boubacar TANDIAScratch 10 000</v>
          </cell>
        </row>
        <row r="277">
          <cell r="I277">
            <v>2007</v>
          </cell>
          <cell r="J277" t="str">
            <v>ETS Boubacar TANDIAScratch 20 000</v>
          </cell>
          <cell r="L277">
            <v>0</v>
          </cell>
          <cell r="M277" t="str">
            <v>ETS Boubacar TANDIA</v>
          </cell>
          <cell r="N277" t="str">
            <v>ETS Boubacar TANDIAScratch 20 000</v>
          </cell>
          <cell r="O277" t="str">
            <v>ETS Boubacar TANDIA</v>
          </cell>
          <cell r="P277" t="str">
            <v>Scratch 20 000</v>
          </cell>
          <cell r="Q277" t="str">
            <v>22007</v>
          </cell>
          <cell r="R277" t="str">
            <v>22007Scratch 20 000</v>
          </cell>
          <cell r="S277" t="str">
            <v>2007Scratch 20 000</v>
          </cell>
          <cell r="T277" t="str">
            <v>22007ETS Boubacar TANDIA</v>
          </cell>
          <cell r="U277" t="str">
            <v>22007ETS Boubacar TANDIAScratch 20 000</v>
          </cell>
          <cell r="V277" t="str">
            <v>39119Scratch 20 000</v>
          </cell>
          <cell r="W277" t="str">
            <v>2007ETS Boubacar TANDIA</v>
          </cell>
          <cell r="X277" t="str">
            <v>2007ETS Boubacar TANDIAScratch 20 000</v>
          </cell>
        </row>
        <row r="278">
          <cell r="I278">
            <v>2007</v>
          </cell>
          <cell r="J278" t="str">
            <v>ANKA ServicesScratch 1 000</v>
          </cell>
          <cell r="L278">
            <v>1</v>
          </cell>
          <cell r="M278" t="str">
            <v>1ANKA Services</v>
          </cell>
          <cell r="N278" t="str">
            <v>ANKA ServicesScratch 1 000</v>
          </cell>
          <cell r="O278" t="str">
            <v>ANKA Services</v>
          </cell>
          <cell r="P278" t="str">
            <v>Scratch 1 000</v>
          </cell>
          <cell r="Q278" t="str">
            <v>22007</v>
          </cell>
          <cell r="R278" t="str">
            <v>22007Scratch 1 000</v>
          </cell>
          <cell r="S278" t="str">
            <v>2007Scratch 1 000</v>
          </cell>
          <cell r="T278" t="str">
            <v>22007ANKA Services</v>
          </cell>
          <cell r="U278" t="str">
            <v>22007ANKA ServicesScratch 1 000</v>
          </cell>
          <cell r="V278" t="str">
            <v>39119Scratch 1 000</v>
          </cell>
          <cell r="W278" t="str">
            <v>2007ANKA Services</v>
          </cell>
          <cell r="X278" t="str">
            <v>2007ANKA ServicesScratch 1 000</v>
          </cell>
        </row>
        <row r="279">
          <cell r="I279">
            <v>2007</v>
          </cell>
          <cell r="J279" t="str">
            <v>ANKA ServicesScratch 2 000</v>
          </cell>
          <cell r="L279">
            <v>0</v>
          </cell>
          <cell r="M279" t="str">
            <v>ANKA Services</v>
          </cell>
          <cell r="N279" t="str">
            <v>ANKA ServicesScratch 2 000</v>
          </cell>
          <cell r="O279" t="str">
            <v>ANKA Services</v>
          </cell>
          <cell r="P279" t="str">
            <v>Scratch 2 000</v>
          </cell>
          <cell r="Q279" t="str">
            <v>22007</v>
          </cell>
          <cell r="R279" t="str">
            <v>22007Scratch 2 000</v>
          </cell>
          <cell r="S279" t="str">
            <v>2007Scratch 2 000</v>
          </cell>
          <cell r="T279" t="str">
            <v>22007ANKA Services</v>
          </cell>
          <cell r="U279" t="str">
            <v>22007ANKA ServicesScratch 2 000</v>
          </cell>
          <cell r="V279" t="str">
            <v>39119Scratch 2 000</v>
          </cell>
          <cell r="W279" t="str">
            <v>2007ANKA Services</v>
          </cell>
          <cell r="X279" t="str">
            <v>2007ANKA ServicesScratch 2 000</v>
          </cell>
        </row>
        <row r="280">
          <cell r="I280">
            <v>2007</v>
          </cell>
          <cell r="J280" t="str">
            <v>ANKA ServicesScratch 5 000</v>
          </cell>
          <cell r="L280">
            <v>0</v>
          </cell>
          <cell r="M280" t="str">
            <v>ANKA Services</v>
          </cell>
          <cell r="N280" t="str">
            <v>ANKA ServicesScratch 5 000</v>
          </cell>
          <cell r="O280" t="str">
            <v>ANKA Services</v>
          </cell>
          <cell r="P280" t="str">
            <v>Scratch 5 000</v>
          </cell>
          <cell r="Q280" t="str">
            <v>22007</v>
          </cell>
          <cell r="R280" t="str">
            <v>22007Scratch 5 000</v>
          </cell>
          <cell r="S280" t="str">
            <v>2007Scratch 5 000</v>
          </cell>
          <cell r="T280" t="str">
            <v>22007ANKA Services</v>
          </cell>
          <cell r="U280" t="str">
            <v>22007ANKA ServicesScratch 5 000</v>
          </cell>
          <cell r="V280" t="str">
            <v>39119Scratch 5 000</v>
          </cell>
          <cell r="W280" t="str">
            <v>2007ANKA Services</v>
          </cell>
          <cell r="X280" t="str">
            <v>2007ANKA ServicesScratch 5 000</v>
          </cell>
        </row>
        <row r="281">
          <cell r="I281">
            <v>2007</v>
          </cell>
          <cell r="J281" t="str">
            <v>GEMATELScratch 1 000</v>
          </cell>
          <cell r="L281">
            <v>1</v>
          </cell>
          <cell r="M281" t="str">
            <v>1GEMATEL</v>
          </cell>
          <cell r="N281" t="str">
            <v>GEMATELScratch 1 000</v>
          </cell>
          <cell r="O281" t="str">
            <v>GEMATEL</v>
          </cell>
          <cell r="P281" t="str">
            <v>Scratch 1 000</v>
          </cell>
          <cell r="Q281" t="str">
            <v>22007</v>
          </cell>
          <cell r="R281" t="str">
            <v>22007Scratch 1 000</v>
          </cell>
          <cell r="S281" t="str">
            <v>2007Scratch 1 000</v>
          </cell>
          <cell r="T281" t="str">
            <v>22007GEMATEL</v>
          </cell>
          <cell r="U281" t="str">
            <v>22007GEMATELScratch 1 000</v>
          </cell>
          <cell r="V281" t="str">
            <v>39119Scratch 1 000</v>
          </cell>
          <cell r="W281" t="str">
            <v>2007GEMATEL</v>
          </cell>
          <cell r="X281" t="str">
            <v>2007GEMATELScratch 1 000</v>
          </cell>
        </row>
        <row r="282">
          <cell r="I282">
            <v>2007</v>
          </cell>
          <cell r="J282" t="str">
            <v>GEMATELScratch 2 000</v>
          </cell>
          <cell r="L282">
            <v>0</v>
          </cell>
          <cell r="M282" t="str">
            <v>GEMATEL</v>
          </cell>
          <cell r="N282" t="str">
            <v>GEMATELScratch 2 000</v>
          </cell>
          <cell r="O282" t="str">
            <v>GEMATEL</v>
          </cell>
          <cell r="P282" t="str">
            <v>Scratch 2 000</v>
          </cell>
          <cell r="Q282" t="str">
            <v>22007</v>
          </cell>
          <cell r="R282" t="str">
            <v>22007Scratch 2 000</v>
          </cell>
          <cell r="S282" t="str">
            <v>2007Scratch 2 000</v>
          </cell>
          <cell r="T282" t="str">
            <v>22007GEMATEL</v>
          </cell>
          <cell r="U282" t="str">
            <v>22007GEMATELScratch 2 000</v>
          </cell>
          <cell r="V282" t="str">
            <v>39119Scratch 2 000</v>
          </cell>
          <cell r="W282" t="str">
            <v>2007GEMATEL</v>
          </cell>
          <cell r="X282" t="str">
            <v>2007GEMATELScratch 2 000</v>
          </cell>
        </row>
        <row r="283">
          <cell r="I283">
            <v>2007</v>
          </cell>
          <cell r="J283" t="str">
            <v>GEMATELScratch 5 000</v>
          </cell>
          <cell r="L283">
            <v>0</v>
          </cell>
          <cell r="M283" t="str">
            <v>GEMATEL</v>
          </cell>
          <cell r="N283" t="str">
            <v>GEMATELScratch 5 000</v>
          </cell>
          <cell r="O283" t="str">
            <v>GEMATEL</v>
          </cell>
          <cell r="P283" t="str">
            <v>Scratch 5 000</v>
          </cell>
          <cell r="Q283" t="str">
            <v>22007</v>
          </cell>
          <cell r="R283" t="str">
            <v>22007Scratch 5 000</v>
          </cell>
          <cell r="S283" t="str">
            <v>2007Scratch 5 000</v>
          </cell>
          <cell r="T283" t="str">
            <v>22007GEMATEL</v>
          </cell>
          <cell r="U283" t="str">
            <v>22007GEMATELScratch 5 000</v>
          </cell>
          <cell r="V283" t="str">
            <v>39119Scratch 5 000</v>
          </cell>
          <cell r="W283" t="str">
            <v>2007GEMATEL</v>
          </cell>
          <cell r="X283" t="str">
            <v>2007GEMATELScratch 5 000</v>
          </cell>
        </row>
        <row r="284">
          <cell r="I284">
            <v>2007</v>
          </cell>
          <cell r="J284" t="str">
            <v>GEMATELScratch 10 000</v>
          </cell>
          <cell r="L284">
            <v>0</v>
          </cell>
          <cell r="M284" t="str">
            <v>GEMATEL</v>
          </cell>
          <cell r="N284" t="str">
            <v>GEMATELScratch 10 000</v>
          </cell>
          <cell r="O284" t="str">
            <v>GEMATEL</v>
          </cell>
          <cell r="P284" t="str">
            <v>Scratch 10 000</v>
          </cell>
          <cell r="Q284" t="str">
            <v>22007</v>
          </cell>
          <cell r="R284" t="str">
            <v>22007Scratch 10 000</v>
          </cell>
          <cell r="S284" t="str">
            <v>2007Scratch 10 000</v>
          </cell>
          <cell r="T284" t="str">
            <v>22007GEMATEL</v>
          </cell>
          <cell r="U284" t="str">
            <v>22007GEMATELScratch 10 000</v>
          </cell>
          <cell r="V284" t="str">
            <v>39119Scratch 10 000</v>
          </cell>
          <cell r="W284" t="str">
            <v>2007GEMATEL</v>
          </cell>
          <cell r="X284" t="str">
            <v>2007GEMATELScratch 10 000</v>
          </cell>
        </row>
        <row r="285">
          <cell r="I285">
            <v>2007</v>
          </cell>
          <cell r="J285" t="str">
            <v>GEMATELScratch 20 000</v>
          </cell>
          <cell r="L285">
            <v>0</v>
          </cell>
          <cell r="M285" t="str">
            <v>GEMATEL</v>
          </cell>
          <cell r="N285" t="str">
            <v>GEMATELScratch 20 000</v>
          </cell>
          <cell r="O285" t="str">
            <v>GEMATEL</v>
          </cell>
          <cell r="P285" t="str">
            <v>Scratch 20 000</v>
          </cell>
          <cell r="Q285" t="str">
            <v>22007</v>
          </cell>
          <cell r="R285" t="str">
            <v>22007Scratch 20 000</v>
          </cell>
          <cell r="S285" t="str">
            <v>2007Scratch 20 000</v>
          </cell>
          <cell r="T285" t="str">
            <v>22007GEMATEL</v>
          </cell>
          <cell r="U285" t="str">
            <v>22007GEMATELScratch 20 000</v>
          </cell>
          <cell r="V285" t="str">
            <v>39119Scratch 20 000</v>
          </cell>
          <cell r="W285" t="str">
            <v>2007GEMATEL</v>
          </cell>
          <cell r="X285" t="str">
            <v>2007GEMATELScratch 20 000</v>
          </cell>
        </row>
        <row r="286">
          <cell r="I286">
            <v>2007</v>
          </cell>
          <cell r="J286" t="str">
            <v>STS GAMBY &amp; FRERES (SOGAF) SarlScratch 1 000</v>
          </cell>
          <cell r="L286">
            <v>1</v>
          </cell>
          <cell r="M286" t="str">
            <v>1STS GAMBY &amp; FRERES (SOGAF) Sarl</v>
          </cell>
          <cell r="N286" t="str">
            <v>STS GAMBY &amp; FRERES (SOGAF) SarlScratch 1 000</v>
          </cell>
          <cell r="O286" t="str">
            <v>STS GAMBY &amp; FRERES (SOGAF) Sarl</v>
          </cell>
          <cell r="P286" t="str">
            <v>Scratch 1 000</v>
          </cell>
          <cell r="Q286" t="str">
            <v>22007</v>
          </cell>
          <cell r="R286" t="str">
            <v>22007Scratch 1 000</v>
          </cell>
          <cell r="S286" t="str">
            <v>2007Scratch 1 000</v>
          </cell>
          <cell r="T286" t="str">
            <v>22007STS GAMBY &amp; FRERES (SOGAF) Sarl</v>
          </cell>
          <cell r="U286" t="str">
            <v>22007STS GAMBY &amp; FRERES (SOGAF) SarlScratch 1 000</v>
          </cell>
          <cell r="V286" t="str">
            <v>39119Scratch 1 000</v>
          </cell>
          <cell r="W286" t="str">
            <v>2007STS GAMBY &amp; FRERES (SOGAF) Sarl</v>
          </cell>
          <cell r="X286" t="str">
            <v>2007STS GAMBY &amp; FRERES (SOGAF) SarlScratch 1 000</v>
          </cell>
        </row>
        <row r="287">
          <cell r="I287">
            <v>2007</v>
          </cell>
          <cell r="J287" t="str">
            <v>STS GAMBY &amp; FRERES (SOGAF) SarlScratch 2 000</v>
          </cell>
          <cell r="L287">
            <v>0</v>
          </cell>
          <cell r="M287" t="str">
            <v>STS GAMBY &amp; FRERES (SOGAF) Sarl</v>
          </cell>
          <cell r="N287" t="str">
            <v>STS GAMBY &amp; FRERES (SOGAF) SarlScratch 2 000</v>
          </cell>
          <cell r="O287" t="str">
            <v>STS GAMBY &amp; FRERES (SOGAF) Sarl</v>
          </cell>
          <cell r="P287" t="str">
            <v>Scratch 2 000</v>
          </cell>
          <cell r="Q287" t="str">
            <v>22007</v>
          </cell>
          <cell r="R287" t="str">
            <v>22007Scratch 2 000</v>
          </cell>
          <cell r="S287" t="str">
            <v>2007Scratch 2 000</v>
          </cell>
          <cell r="T287" t="str">
            <v>22007STS GAMBY &amp; FRERES (SOGAF) Sarl</v>
          </cell>
          <cell r="U287" t="str">
            <v>22007STS GAMBY &amp; FRERES (SOGAF) SarlScratch 2 000</v>
          </cell>
          <cell r="V287" t="str">
            <v>39119Scratch 2 000</v>
          </cell>
          <cell r="W287" t="str">
            <v>2007STS GAMBY &amp; FRERES (SOGAF) Sarl</v>
          </cell>
          <cell r="X287" t="str">
            <v>2007STS GAMBY &amp; FRERES (SOGAF) SarlScratch 2 000</v>
          </cell>
        </row>
        <row r="288">
          <cell r="I288">
            <v>2007</v>
          </cell>
          <cell r="J288" t="str">
            <v>STS GAMBY &amp; FRERES (SOGAF) SarlScratch 5 000</v>
          </cell>
          <cell r="L288">
            <v>0</v>
          </cell>
          <cell r="M288" t="str">
            <v>STS GAMBY &amp; FRERES (SOGAF) Sarl</v>
          </cell>
          <cell r="N288" t="str">
            <v>STS GAMBY &amp; FRERES (SOGAF) SarlScratch 5 000</v>
          </cell>
          <cell r="O288" t="str">
            <v>STS GAMBY &amp; FRERES (SOGAF) Sarl</v>
          </cell>
          <cell r="P288" t="str">
            <v>Scratch 5 000</v>
          </cell>
          <cell r="Q288" t="str">
            <v>22007</v>
          </cell>
          <cell r="R288" t="str">
            <v>22007Scratch 5 000</v>
          </cell>
          <cell r="S288" t="str">
            <v>2007Scratch 5 000</v>
          </cell>
          <cell r="T288" t="str">
            <v>22007STS GAMBY &amp; FRERES (SOGAF) Sarl</v>
          </cell>
          <cell r="U288" t="str">
            <v>22007STS GAMBY &amp; FRERES (SOGAF) SarlScratch 5 000</v>
          </cell>
          <cell r="V288" t="str">
            <v>39119Scratch 5 000</v>
          </cell>
          <cell r="W288" t="str">
            <v>2007STS GAMBY &amp; FRERES (SOGAF) Sarl</v>
          </cell>
          <cell r="X288" t="str">
            <v>2007STS GAMBY &amp; FRERES (SOGAF) SarlScratch 5 000</v>
          </cell>
        </row>
        <row r="289">
          <cell r="I289">
            <v>2007</v>
          </cell>
          <cell r="J289" t="str">
            <v>Compagnie Internationale de NegoceScratch 1 000</v>
          </cell>
          <cell r="L289">
            <v>1</v>
          </cell>
          <cell r="M289" t="str">
            <v>1Compagnie Internationale de Negoce</v>
          </cell>
          <cell r="N289" t="str">
            <v>Compagnie Internationale de NegoceScratch 1 000</v>
          </cell>
          <cell r="O289" t="str">
            <v>Compagnie Internationale de Negoce</v>
          </cell>
          <cell r="P289" t="str">
            <v>Scratch 1 000</v>
          </cell>
          <cell r="Q289" t="str">
            <v>22007</v>
          </cell>
          <cell r="R289" t="str">
            <v>22007Scratch 1 000</v>
          </cell>
          <cell r="S289" t="str">
            <v>2007Scratch 1 000</v>
          </cell>
          <cell r="T289" t="str">
            <v>22007Compagnie Internationale de Negoce</v>
          </cell>
          <cell r="U289" t="str">
            <v>22007Compagnie Internationale de NegoceScratch 1 000</v>
          </cell>
          <cell r="V289" t="str">
            <v>39120Scratch 1 000</v>
          </cell>
          <cell r="W289" t="str">
            <v>2007Compagnie Internationale de Negoce</v>
          </cell>
          <cell r="X289" t="str">
            <v>2007Compagnie Internationale de NegoceScratch 1 000</v>
          </cell>
        </row>
        <row r="290">
          <cell r="I290">
            <v>2007</v>
          </cell>
          <cell r="J290" t="str">
            <v>Compagnie Internationale de NegoceScratch 2 000</v>
          </cell>
          <cell r="L290">
            <v>0</v>
          </cell>
          <cell r="M290" t="str">
            <v>Compagnie Internationale de Negoce</v>
          </cell>
          <cell r="N290" t="str">
            <v>Compagnie Internationale de NegoceScratch 2 000</v>
          </cell>
          <cell r="O290" t="str">
            <v>Compagnie Internationale de Negoce</v>
          </cell>
          <cell r="P290" t="str">
            <v>Scratch 2 000</v>
          </cell>
          <cell r="Q290" t="str">
            <v>22007</v>
          </cell>
          <cell r="R290" t="str">
            <v>22007Scratch 2 000</v>
          </cell>
          <cell r="S290" t="str">
            <v>2007Scratch 2 000</v>
          </cell>
          <cell r="T290" t="str">
            <v>22007Compagnie Internationale de Negoce</v>
          </cell>
          <cell r="U290" t="str">
            <v>22007Compagnie Internationale de NegoceScratch 2 000</v>
          </cell>
          <cell r="V290" t="str">
            <v>39120Scratch 2 000</v>
          </cell>
          <cell r="W290" t="str">
            <v>2007Compagnie Internationale de Negoce</v>
          </cell>
          <cell r="X290" t="str">
            <v>2007Compagnie Internationale de NegoceScratch 2 000</v>
          </cell>
        </row>
        <row r="291">
          <cell r="I291">
            <v>2007</v>
          </cell>
          <cell r="J291" t="str">
            <v>Compagnie Internationale de NegoceScratch 5 000</v>
          </cell>
          <cell r="L291">
            <v>0</v>
          </cell>
          <cell r="M291" t="str">
            <v>Compagnie Internationale de Negoce</v>
          </cell>
          <cell r="N291" t="str">
            <v>Compagnie Internationale de NegoceScratch 5 000</v>
          </cell>
          <cell r="O291" t="str">
            <v>Compagnie Internationale de Negoce</v>
          </cell>
          <cell r="P291" t="str">
            <v>Scratch 5 000</v>
          </cell>
          <cell r="Q291" t="str">
            <v>22007</v>
          </cell>
          <cell r="R291" t="str">
            <v>22007Scratch 5 000</v>
          </cell>
          <cell r="S291" t="str">
            <v>2007Scratch 5 000</v>
          </cell>
          <cell r="T291" t="str">
            <v>22007Compagnie Internationale de Negoce</v>
          </cell>
          <cell r="U291" t="str">
            <v>22007Compagnie Internationale de NegoceScratch 5 000</v>
          </cell>
          <cell r="V291" t="str">
            <v>39120Scratch 5 000</v>
          </cell>
          <cell r="W291" t="str">
            <v>2007Compagnie Internationale de Negoce</v>
          </cell>
          <cell r="X291" t="str">
            <v>2007Compagnie Internationale de NegoceScratch 5 000</v>
          </cell>
        </row>
        <row r="292">
          <cell r="I292">
            <v>2007</v>
          </cell>
          <cell r="J292" t="str">
            <v>Compagnie Internationale de NegoceScratch 20 000</v>
          </cell>
          <cell r="L292">
            <v>0</v>
          </cell>
          <cell r="M292" t="str">
            <v>Compagnie Internationale de Negoce</v>
          </cell>
          <cell r="N292" t="str">
            <v>Compagnie Internationale de NegoceScratch 20 000</v>
          </cell>
          <cell r="O292" t="str">
            <v>Compagnie Internationale de Negoce</v>
          </cell>
          <cell r="P292" t="str">
            <v>Scratch 20 000</v>
          </cell>
          <cell r="Q292" t="str">
            <v>22007</v>
          </cell>
          <cell r="R292" t="str">
            <v>22007Scratch 20 000</v>
          </cell>
          <cell r="S292" t="str">
            <v>2007Scratch 20 000</v>
          </cell>
          <cell r="T292" t="str">
            <v>22007Compagnie Internationale de Negoce</v>
          </cell>
          <cell r="U292" t="str">
            <v>22007Compagnie Internationale de NegoceScratch 20 000</v>
          </cell>
          <cell r="V292" t="str">
            <v>39120Scratch 20 000</v>
          </cell>
          <cell r="W292" t="str">
            <v>2007Compagnie Internationale de Negoce</v>
          </cell>
          <cell r="X292" t="str">
            <v>2007Compagnie Internationale de NegoceScratch 20 000</v>
          </cell>
        </row>
        <row r="293">
          <cell r="I293">
            <v>2007</v>
          </cell>
          <cell r="J293" t="str">
            <v>Burtel MacsymScratch 1 000</v>
          </cell>
          <cell r="L293">
            <v>1</v>
          </cell>
          <cell r="M293" t="str">
            <v>1Burtel Macsym</v>
          </cell>
          <cell r="N293" t="str">
            <v>Burtel MacsymScratch 1 000</v>
          </cell>
          <cell r="O293" t="str">
            <v>Burtel Macsym</v>
          </cell>
          <cell r="P293" t="str">
            <v>Scratch 1 000</v>
          </cell>
          <cell r="Q293" t="str">
            <v>22007</v>
          </cell>
          <cell r="R293" t="str">
            <v>22007Scratch 1 000</v>
          </cell>
          <cell r="S293" t="str">
            <v>2007Scratch 1 000</v>
          </cell>
          <cell r="T293" t="str">
            <v>22007Burtel Macsym</v>
          </cell>
          <cell r="U293" t="str">
            <v>22007Burtel MacsymScratch 1 000</v>
          </cell>
          <cell r="V293" t="str">
            <v>39120Scratch 1 000</v>
          </cell>
          <cell r="W293" t="str">
            <v>2007Burtel Macsym</v>
          </cell>
          <cell r="X293" t="str">
            <v>2007Burtel MacsymScratch 1 000</v>
          </cell>
        </row>
        <row r="294">
          <cell r="I294">
            <v>2007</v>
          </cell>
          <cell r="J294" t="str">
            <v>Burtel MacsymScratch 2 000</v>
          </cell>
          <cell r="L294">
            <v>0</v>
          </cell>
          <cell r="M294" t="str">
            <v>Burtel Macsym</v>
          </cell>
          <cell r="N294" t="str">
            <v>Burtel MacsymScratch 2 000</v>
          </cell>
          <cell r="O294" t="str">
            <v>Burtel Macsym</v>
          </cell>
          <cell r="P294" t="str">
            <v>Scratch 2 000</v>
          </cell>
          <cell r="Q294" t="str">
            <v>22007</v>
          </cell>
          <cell r="R294" t="str">
            <v>22007Scratch 2 000</v>
          </cell>
          <cell r="S294" t="str">
            <v>2007Scratch 2 000</v>
          </cell>
          <cell r="T294" t="str">
            <v>22007Burtel Macsym</v>
          </cell>
          <cell r="U294" t="str">
            <v>22007Burtel MacsymScratch 2 000</v>
          </cell>
          <cell r="V294" t="str">
            <v>39120Scratch 2 000</v>
          </cell>
          <cell r="W294" t="str">
            <v>2007Burtel Macsym</v>
          </cell>
          <cell r="X294" t="str">
            <v>2007Burtel MacsymScratch 2 000</v>
          </cell>
        </row>
        <row r="295">
          <cell r="I295">
            <v>2007</v>
          </cell>
          <cell r="J295" t="str">
            <v>Burtel MacsymScratch 5 000</v>
          </cell>
          <cell r="L295">
            <v>0</v>
          </cell>
          <cell r="M295" t="str">
            <v>Burtel Macsym</v>
          </cell>
          <cell r="N295" t="str">
            <v>Burtel MacsymScratch 5 000</v>
          </cell>
          <cell r="O295" t="str">
            <v>Burtel Macsym</v>
          </cell>
          <cell r="P295" t="str">
            <v>Scratch 5 000</v>
          </cell>
          <cell r="Q295" t="str">
            <v>22007</v>
          </cell>
          <cell r="R295" t="str">
            <v>22007Scratch 5 000</v>
          </cell>
          <cell r="S295" t="str">
            <v>2007Scratch 5 000</v>
          </cell>
          <cell r="T295" t="str">
            <v>22007Burtel Macsym</v>
          </cell>
          <cell r="U295" t="str">
            <v>22007Burtel MacsymScratch 5 000</v>
          </cell>
          <cell r="V295" t="str">
            <v>39120Scratch 5 000</v>
          </cell>
          <cell r="W295" t="str">
            <v>2007Burtel Macsym</v>
          </cell>
          <cell r="X295" t="str">
            <v>2007Burtel MacsymScratch 5 000</v>
          </cell>
        </row>
        <row r="296">
          <cell r="I296">
            <v>2007</v>
          </cell>
          <cell r="J296" t="str">
            <v>GEMATELScratch 1 000</v>
          </cell>
          <cell r="L296">
            <v>1</v>
          </cell>
          <cell r="M296" t="str">
            <v>1GEMATEL</v>
          </cell>
          <cell r="N296" t="str">
            <v>GEMATELScratch 1 000</v>
          </cell>
          <cell r="O296" t="str">
            <v>GEMATEL</v>
          </cell>
          <cell r="P296" t="str">
            <v>Scratch 1 000</v>
          </cell>
          <cell r="Q296" t="str">
            <v>22007</v>
          </cell>
          <cell r="R296" t="str">
            <v>22007Scratch 1 000</v>
          </cell>
          <cell r="S296" t="str">
            <v>2007Scratch 1 000</v>
          </cell>
          <cell r="T296" t="str">
            <v>22007GEMATEL</v>
          </cell>
          <cell r="U296" t="str">
            <v>22007GEMATELScratch 1 000</v>
          </cell>
          <cell r="V296" t="str">
            <v>39120Scratch 1 000</v>
          </cell>
          <cell r="W296" t="str">
            <v>2007GEMATEL</v>
          </cell>
          <cell r="X296" t="str">
            <v>2007GEMATELScratch 1 000</v>
          </cell>
        </row>
        <row r="297">
          <cell r="I297">
            <v>2007</v>
          </cell>
          <cell r="J297" t="str">
            <v>GEMATELScratch 2 000</v>
          </cell>
          <cell r="L297">
            <v>0</v>
          </cell>
          <cell r="M297" t="str">
            <v>GEMATEL</v>
          </cell>
          <cell r="N297" t="str">
            <v>GEMATELScratch 2 000</v>
          </cell>
          <cell r="O297" t="str">
            <v>GEMATEL</v>
          </cell>
          <cell r="P297" t="str">
            <v>Scratch 2 000</v>
          </cell>
          <cell r="Q297" t="str">
            <v>22007</v>
          </cell>
          <cell r="R297" t="str">
            <v>22007Scratch 2 000</v>
          </cell>
          <cell r="S297" t="str">
            <v>2007Scratch 2 000</v>
          </cell>
          <cell r="T297" t="str">
            <v>22007GEMATEL</v>
          </cell>
          <cell r="U297" t="str">
            <v>22007GEMATELScratch 2 000</v>
          </cell>
          <cell r="V297" t="str">
            <v>39120Scratch 2 000</v>
          </cell>
          <cell r="W297" t="str">
            <v>2007GEMATEL</v>
          </cell>
          <cell r="X297" t="str">
            <v>2007GEMATELScratch 2 000</v>
          </cell>
        </row>
        <row r="298">
          <cell r="I298">
            <v>2007</v>
          </cell>
          <cell r="J298" t="str">
            <v>GEMATELScratch 5 000</v>
          </cell>
          <cell r="L298">
            <v>0</v>
          </cell>
          <cell r="M298" t="str">
            <v>GEMATEL</v>
          </cell>
          <cell r="N298" t="str">
            <v>GEMATELScratch 5 000</v>
          </cell>
          <cell r="O298" t="str">
            <v>GEMATEL</v>
          </cell>
          <cell r="P298" t="str">
            <v>Scratch 5 000</v>
          </cell>
          <cell r="Q298" t="str">
            <v>22007</v>
          </cell>
          <cell r="R298" t="str">
            <v>22007Scratch 5 000</v>
          </cell>
          <cell r="S298" t="str">
            <v>2007Scratch 5 000</v>
          </cell>
          <cell r="T298" t="str">
            <v>22007GEMATEL</v>
          </cell>
          <cell r="U298" t="str">
            <v>22007GEMATELScratch 5 000</v>
          </cell>
          <cell r="V298" t="str">
            <v>39120Scratch 5 000</v>
          </cell>
          <cell r="W298" t="str">
            <v>2007GEMATEL</v>
          </cell>
          <cell r="X298" t="str">
            <v>2007GEMATELScratch 5 000</v>
          </cell>
        </row>
        <row r="299">
          <cell r="I299">
            <v>2007</v>
          </cell>
          <cell r="J299" t="str">
            <v>ANKA ServicesScratch 1 000</v>
          </cell>
          <cell r="L299">
            <v>1</v>
          </cell>
          <cell r="M299" t="str">
            <v>1ANKA Services</v>
          </cell>
          <cell r="N299" t="str">
            <v>ANKA ServicesScratch 1 000</v>
          </cell>
          <cell r="O299" t="str">
            <v>ANKA Services</v>
          </cell>
          <cell r="P299" t="str">
            <v>Scratch 1 000</v>
          </cell>
          <cell r="Q299" t="str">
            <v>22007</v>
          </cell>
          <cell r="R299" t="str">
            <v>22007Scratch 1 000</v>
          </cell>
          <cell r="S299" t="str">
            <v>2007Scratch 1 000</v>
          </cell>
          <cell r="T299" t="str">
            <v>22007ANKA Services</v>
          </cell>
          <cell r="U299" t="str">
            <v>22007ANKA ServicesScratch 1 000</v>
          </cell>
          <cell r="V299" t="str">
            <v>39120Scratch 1 000</v>
          </cell>
          <cell r="W299" t="str">
            <v>2007ANKA Services</v>
          </cell>
          <cell r="X299" t="str">
            <v>2007ANKA ServicesScratch 1 000</v>
          </cell>
        </row>
        <row r="300">
          <cell r="I300">
            <v>2007</v>
          </cell>
          <cell r="J300" t="str">
            <v>ANKA ServicesScratch 2 000</v>
          </cell>
          <cell r="L300">
            <v>0</v>
          </cell>
          <cell r="M300" t="str">
            <v>ANKA Services</v>
          </cell>
          <cell r="N300" t="str">
            <v>ANKA ServicesScratch 2 000</v>
          </cell>
          <cell r="O300" t="str">
            <v>ANKA Services</v>
          </cell>
          <cell r="P300" t="str">
            <v>Scratch 2 000</v>
          </cell>
          <cell r="Q300" t="str">
            <v>22007</v>
          </cell>
          <cell r="R300" t="str">
            <v>22007Scratch 2 000</v>
          </cell>
          <cell r="S300" t="str">
            <v>2007Scratch 2 000</v>
          </cell>
          <cell r="T300" t="str">
            <v>22007ANKA Services</v>
          </cell>
          <cell r="U300" t="str">
            <v>22007ANKA ServicesScratch 2 000</v>
          </cell>
          <cell r="V300" t="str">
            <v>39120Scratch 2 000</v>
          </cell>
          <cell r="W300" t="str">
            <v>2007ANKA Services</v>
          </cell>
          <cell r="X300" t="str">
            <v>2007ANKA ServicesScratch 2 000</v>
          </cell>
        </row>
        <row r="301">
          <cell r="I301">
            <v>2007</v>
          </cell>
          <cell r="J301" t="str">
            <v>ANKA ServicesScratch 5 000</v>
          </cell>
          <cell r="L301">
            <v>0</v>
          </cell>
          <cell r="M301" t="str">
            <v>ANKA Services</v>
          </cell>
          <cell r="N301" t="str">
            <v>ANKA ServicesScratch 5 000</v>
          </cell>
          <cell r="O301" t="str">
            <v>ANKA Services</v>
          </cell>
          <cell r="P301" t="str">
            <v>Scratch 5 000</v>
          </cell>
          <cell r="Q301" t="str">
            <v>22007</v>
          </cell>
          <cell r="R301" t="str">
            <v>22007Scratch 5 000</v>
          </cell>
          <cell r="S301" t="str">
            <v>2007Scratch 5 000</v>
          </cell>
          <cell r="T301" t="str">
            <v>22007ANKA Services</v>
          </cell>
          <cell r="U301" t="str">
            <v>22007ANKA ServicesScratch 5 000</v>
          </cell>
          <cell r="V301" t="str">
            <v>39120Scratch 5 000</v>
          </cell>
          <cell r="W301" t="str">
            <v>2007ANKA Services</v>
          </cell>
          <cell r="X301" t="str">
            <v>2007ANKA ServicesScratch 5 000</v>
          </cell>
        </row>
        <row r="302">
          <cell r="I302">
            <v>2007</v>
          </cell>
          <cell r="J302" t="str">
            <v>MALI COM SarlScratch 1 000</v>
          </cell>
          <cell r="L302">
            <v>1</v>
          </cell>
          <cell r="M302" t="str">
            <v>1MALI COM Sarl</v>
          </cell>
          <cell r="N302" t="str">
            <v>MALI COM SarlScratch 1 000</v>
          </cell>
          <cell r="O302" t="str">
            <v>MALI COM Sarl</v>
          </cell>
          <cell r="P302" t="str">
            <v>Scratch 1 000</v>
          </cell>
          <cell r="Q302" t="str">
            <v>22007</v>
          </cell>
          <cell r="R302" t="str">
            <v>22007Scratch 1 000</v>
          </cell>
          <cell r="S302" t="str">
            <v>2007Scratch 1 000</v>
          </cell>
          <cell r="T302" t="str">
            <v>22007MALI COM Sarl</v>
          </cell>
          <cell r="U302" t="str">
            <v>22007MALI COM SarlScratch 1 000</v>
          </cell>
          <cell r="V302" t="str">
            <v>39120Scratch 1 000</v>
          </cell>
          <cell r="W302" t="str">
            <v>2007MALI COM Sarl</v>
          </cell>
          <cell r="X302" t="str">
            <v>2007MALI COM SarlScratch 1 000</v>
          </cell>
        </row>
        <row r="303">
          <cell r="I303">
            <v>2007</v>
          </cell>
          <cell r="J303" t="str">
            <v>MALI COM SarlScratch 2 000</v>
          </cell>
          <cell r="L303">
            <v>0</v>
          </cell>
          <cell r="M303" t="str">
            <v>MALI COM Sarl</v>
          </cell>
          <cell r="N303" t="str">
            <v>MALI COM SarlScratch 2 000</v>
          </cell>
          <cell r="O303" t="str">
            <v>MALI COM Sarl</v>
          </cell>
          <cell r="P303" t="str">
            <v>Scratch 2 000</v>
          </cell>
          <cell r="Q303" t="str">
            <v>22007</v>
          </cell>
          <cell r="R303" t="str">
            <v>22007Scratch 2 000</v>
          </cell>
          <cell r="S303" t="str">
            <v>2007Scratch 2 000</v>
          </cell>
          <cell r="T303" t="str">
            <v>22007MALI COM Sarl</v>
          </cell>
          <cell r="U303" t="str">
            <v>22007MALI COM SarlScratch 2 000</v>
          </cell>
          <cell r="V303" t="str">
            <v>39120Scratch 2 000</v>
          </cell>
          <cell r="W303" t="str">
            <v>2007MALI COM Sarl</v>
          </cell>
          <cell r="X303" t="str">
            <v>2007MALI COM SarlScratch 2 000</v>
          </cell>
        </row>
        <row r="304">
          <cell r="I304">
            <v>2007</v>
          </cell>
          <cell r="J304" t="str">
            <v>MALI COM SarlScratch 5 000</v>
          </cell>
          <cell r="L304">
            <v>0</v>
          </cell>
          <cell r="M304" t="str">
            <v>MALI COM Sarl</v>
          </cell>
          <cell r="N304" t="str">
            <v>MALI COM SarlScratch 5 000</v>
          </cell>
          <cell r="O304" t="str">
            <v>MALI COM Sarl</v>
          </cell>
          <cell r="P304" t="str">
            <v>Scratch 5 000</v>
          </cell>
          <cell r="Q304" t="str">
            <v>22007</v>
          </cell>
          <cell r="R304" t="str">
            <v>22007Scratch 5 000</v>
          </cell>
          <cell r="S304" t="str">
            <v>2007Scratch 5 000</v>
          </cell>
          <cell r="T304" t="str">
            <v>22007MALI COM Sarl</v>
          </cell>
          <cell r="U304" t="str">
            <v>22007MALI COM SarlScratch 5 000</v>
          </cell>
          <cell r="V304" t="str">
            <v>39120Scratch 5 000</v>
          </cell>
          <cell r="W304" t="str">
            <v>2007MALI COM Sarl</v>
          </cell>
          <cell r="X304" t="str">
            <v>2007MALI COM SarlScratch 5 000</v>
          </cell>
        </row>
        <row r="305">
          <cell r="I305">
            <v>2007</v>
          </cell>
          <cell r="J305" t="str">
            <v>Bonneterie Nouvelle TelecomScratch 1 000</v>
          </cell>
          <cell r="L305">
            <v>1</v>
          </cell>
          <cell r="M305" t="str">
            <v>1Bonneterie Nouvelle Telecom</v>
          </cell>
          <cell r="N305" t="str">
            <v>Bonneterie Nouvelle TelecomScratch 1 000</v>
          </cell>
          <cell r="O305" t="str">
            <v>Bonneterie Nouvelle Telecom</v>
          </cell>
          <cell r="P305" t="str">
            <v>Scratch 1 000</v>
          </cell>
          <cell r="Q305" t="str">
            <v>22007</v>
          </cell>
          <cell r="R305" t="str">
            <v>22007Scratch 1 000</v>
          </cell>
          <cell r="S305" t="str">
            <v>2007Scratch 1 000</v>
          </cell>
          <cell r="T305" t="str">
            <v>22007Bonneterie Nouvelle Telecom</v>
          </cell>
          <cell r="U305" t="str">
            <v>22007Bonneterie Nouvelle TelecomScratch 1 000</v>
          </cell>
          <cell r="V305" t="str">
            <v>39121Scratch 1 000</v>
          </cell>
          <cell r="W305" t="str">
            <v>2007Bonneterie Nouvelle Telecom</v>
          </cell>
          <cell r="X305" t="str">
            <v>2007Bonneterie Nouvelle TelecomScratch 1 000</v>
          </cell>
        </row>
        <row r="306">
          <cell r="I306">
            <v>2007</v>
          </cell>
          <cell r="J306" t="str">
            <v>Bonneterie Nouvelle TelecomScratch 2 000</v>
          </cell>
          <cell r="L306">
            <v>0</v>
          </cell>
          <cell r="M306" t="str">
            <v>Bonneterie Nouvelle Telecom</v>
          </cell>
          <cell r="N306" t="str">
            <v>Bonneterie Nouvelle TelecomScratch 2 000</v>
          </cell>
          <cell r="O306" t="str">
            <v>Bonneterie Nouvelle Telecom</v>
          </cell>
          <cell r="P306" t="str">
            <v>Scratch 2 000</v>
          </cell>
          <cell r="Q306" t="str">
            <v>22007</v>
          </cell>
          <cell r="R306" t="str">
            <v>22007Scratch 2 000</v>
          </cell>
          <cell r="S306" t="str">
            <v>2007Scratch 2 000</v>
          </cell>
          <cell r="T306" t="str">
            <v>22007Bonneterie Nouvelle Telecom</v>
          </cell>
          <cell r="U306" t="str">
            <v>22007Bonneterie Nouvelle TelecomScratch 2 000</v>
          </cell>
          <cell r="V306" t="str">
            <v>39121Scratch 2 000</v>
          </cell>
          <cell r="W306" t="str">
            <v>2007Bonneterie Nouvelle Telecom</v>
          </cell>
          <cell r="X306" t="str">
            <v>2007Bonneterie Nouvelle TelecomScratch 2 000</v>
          </cell>
        </row>
        <row r="307">
          <cell r="I307">
            <v>2007</v>
          </cell>
          <cell r="J307" t="str">
            <v>Bonneterie Nouvelle TelecomScratch 5 000</v>
          </cell>
          <cell r="L307">
            <v>0</v>
          </cell>
          <cell r="M307" t="str">
            <v>Bonneterie Nouvelle Telecom</v>
          </cell>
          <cell r="N307" t="str">
            <v>Bonneterie Nouvelle TelecomScratch 5 000</v>
          </cell>
          <cell r="O307" t="str">
            <v>Bonneterie Nouvelle Telecom</v>
          </cell>
          <cell r="P307" t="str">
            <v>Scratch 5 000</v>
          </cell>
          <cell r="Q307" t="str">
            <v>22007</v>
          </cell>
          <cell r="R307" t="str">
            <v>22007Scratch 5 000</v>
          </cell>
          <cell r="S307" t="str">
            <v>2007Scratch 5 000</v>
          </cell>
          <cell r="T307" t="str">
            <v>22007Bonneterie Nouvelle Telecom</v>
          </cell>
          <cell r="U307" t="str">
            <v>22007Bonneterie Nouvelle TelecomScratch 5 000</v>
          </cell>
          <cell r="V307" t="str">
            <v>39121Scratch 5 000</v>
          </cell>
          <cell r="W307" t="str">
            <v>2007Bonneterie Nouvelle Telecom</v>
          </cell>
          <cell r="X307" t="str">
            <v>2007Bonneterie Nouvelle TelecomScratch 5 000</v>
          </cell>
        </row>
        <row r="308">
          <cell r="I308">
            <v>2007</v>
          </cell>
          <cell r="J308" t="str">
            <v>Bonneterie Nouvelle TelecomScratch 20 000</v>
          </cell>
          <cell r="L308">
            <v>0</v>
          </cell>
          <cell r="M308" t="str">
            <v>Bonneterie Nouvelle Telecom</v>
          </cell>
          <cell r="N308" t="str">
            <v>Bonneterie Nouvelle TelecomScratch 20 000</v>
          </cell>
          <cell r="O308" t="str">
            <v>Bonneterie Nouvelle Telecom</v>
          </cell>
          <cell r="P308" t="str">
            <v>Scratch 20 000</v>
          </cell>
          <cell r="Q308" t="str">
            <v>22007</v>
          </cell>
          <cell r="R308" t="str">
            <v>22007Scratch 20 000</v>
          </cell>
          <cell r="S308" t="str">
            <v>2007Scratch 20 000</v>
          </cell>
          <cell r="T308" t="str">
            <v>22007Bonneterie Nouvelle Telecom</v>
          </cell>
          <cell r="U308" t="str">
            <v>22007Bonneterie Nouvelle TelecomScratch 20 000</v>
          </cell>
          <cell r="V308" t="str">
            <v>39121Scratch 20 000</v>
          </cell>
          <cell r="W308" t="str">
            <v>2007Bonneterie Nouvelle Telecom</v>
          </cell>
          <cell r="X308" t="str">
            <v>2007Bonneterie Nouvelle TelecomScratch 20 000</v>
          </cell>
        </row>
        <row r="309">
          <cell r="I309">
            <v>2007</v>
          </cell>
          <cell r="J309" t="str">
            <v>Ets Mamadou GAMBYScratch 1 000</v>
          </cell>
          <cell r="L309">
            <v>1</v>
          </cell>
          <cell r="M309" t="str">
            <v>1Ets Mamadou GAMBY</v>
          </cell>
          <cell r="N309" t="str">
            <v>Ets Mamadou GAMBYScratch 1 000</v>
          </cell>
          <cell r="O309" t="str">
            <v>Ets Mamadou GAMBY</v>
          </cell>
          <cell r="P309" t="str">
            <v>Scratch 1 000</v>
          </cell>
          <cell r="Q309" t="str">
            <v>22007</v>
          </cell>
          <cell r="R309" t="str">
            <v>22007Scratch 1 000</v>
          </cell>
          <cell r="S309" t="str">
            <v>2007Scratch 1 000</v>
          </cell>
          <cell r="T309" t="str">
            <v>22007Ets Mamadou GAMBY</v>
          </cell>
          <cell r="U309" t="str">
            <v>22007Ets Mamadou GAMBYScratch 1 000</v>
          </cell>
          <cell r="V309" t="str">
            <v>39121Scratch 1 000</v>
          </cell>
          <cell r="W309" t="str">
            <v>2007Ets Mamadou GAMBY</v>
          </cell>
          <cell r="X309" t="str">
            <v>2007Ets Mamadou GAMBYScratch 1 000</v>
          </cell>
        </row>
        <row r="310">
          <cell r="I310">
            <v>2007</v>
          </cell>
          <cell r="J310" t="str">
            <v>Ets Mamadou GAMBYScratch 2 000</v>
          </cell>
          <cell r="L310">
            <v>0</v>
          </cell>
          <cell r="M310" t="str">
            <v>Ets Mamadou GAMBY</v>
          </cell>
          <cell r="N310" t="str">
            <v>Ets Mamadou GAMBYScratch 2 000</v>
          </cell>
          <cell r="O310" t="str">
            <v>Ets Mamadou GAMBY</v>
          </cell>
          <cell r="P310" t="str">
            <v>Scratch 2 000</v>
          </cell>
          <cell r="Q310" t="str">
            <v>22007</v>
          </cell>
          <cell r="R310" t="str">
            <v>22007Scratch 2 000</v>
          </cell>
          <cell r="S310" t="str">
            <v>2007Scratch 2 000</v>
          </cell>
          <cell r="T310" t="str">
            <v>22007Ets Mamadou GAMBY</v>
          </cell>
          <cell r="U310" t="str">
            <v>22007Ets Mamadou GAMBYScratch 2 000</v>
          </cell>
          <cell r="V310" t="str">
            <v>39121Scratch 2 000</v>
          </cell>
          <cell r="W310" t="str">
            <v>2007Ets Mamadou GAMBY</v>
          </cell>
          <cell r="X310" t="str">
            <v>2007Ets Mamadou GAMBYScratch 2 000</v>
          </cell>
        </row>
        <row r="311">
          <cell r="I311">
            <v>2007</v>
          </cell>
          <cell r="J311" t="str">
            <v>Ets Mamadou GAMBYScratch 5 000</v>
          </cell>
          <cell r="L311">
            <v>0</v>
          </cell>
          <cell r="M311" t="str">
            <v>Ets Mamadou GAMBY</v>
          </cell>
          <cell r="N311" t="str">
            <v>Ets Mamadou GAMBYScratch 5 000</v>
          </cell>
          <cell r="O311" t="str">
            <v>Ets Mamadou GAMBY</v>
          </cell>
          <cell r="P311" t="str">
            <v>Scratch 5 000</v>
          </cell>
          <cell r="Q311" t="str">
            <v>22007</v>
          </cell>
          <cell r="R311" t="str">
            <v>22007Scratch 5 000</v>
          </cell>
          <cell r="S311" t="str">
            <v>2007Scratch 5 000</v>
          </cell>
          <cell r="T311" t="str">
            <v>22007Ets Mamadou GAMBY</v>
          </cell>
          <cell r="U311" t="str">
            <v>22007Ets Mamadou GAMBYScratch 5 000</v>
          </cell>
          <cell r="V311" t="str">
            <v>39121Scratch 5 000</v>
          </cell>
          <cell r="W311" t="str">
            <v>2007Ets Mamadou GAMBY</v>
          </cell>
          <cell r="X311" t="str">
            <v>2007Ets Mamadou GAMBYScratch 5 000</v>
          </cell>
        </row>
        <row r="312">
          <cell r="I312">
            <v>2007</v>
          </cell>
          <cell r="J312" t="str">
            <v>GEMATELScratch 1 000</v>
          </cell>
          <cell r="L312">
            <v>1</v>
          </cell>
          <cell r="M312" t="str">
            <v>1GEMATEL</v>
          </cell>
          <cell r="N312" t="str">
            <v>GEMATELScratch 1 000</v>
          </cell>
          <cell r="O312" t="str">
            <v>GEMATEL</v>
          </cell>
          <cell r="P312" t="str">
            <v>Scratch 1 000</v>
          </cell>
          <cell r="Q312" t="str">
            <v>22007</v>
          </cell>
          <cell r="R312" t="str">
            <v>22007Scratch 1 000</v>
          </cell>
          <cell r="S312" t="str">
            <v>2007Scratch 1 000</v>
          </cell>
          <cell r="T312" t="str">
            <v>22007GEMATEL</v>
          </cell>
          <cell r="U312" t="str">
            <v>22007GEMATELScratch 1 000</v>
          </cell>
          <cell r="V312" t="str">
            <v>39122Scratch 1 000</v>
          </cell>
          <cell r="W312" t="str">
            <v>2007GEMATEL</v>
          </cell>
          <cell r="X312" t="str">
            <v>2007GEMATELScratch 1 000</v>
          </cell>
        </row>
        <row r="313">
          <cell r="I313">
            <v>2007</v>
          </cell>
          <cell r="J313" t="str">
            <v>GEMATELScratch 2 000</v>
          </cell>
          <cell r="L313">
            <v>0</v>
          </cell>
          <cell r="M313" t="str">
            <v>GEMATEL</v>
          </cell>
          <cell r="N313" t="str">
            <v>GEMATELScratch 2 000</v>
          </cell>
          <cell r="O313" t="str">
            <v>GEMATEL</v>
          </cell>
          <cell r="P313" t="str">
            <v>Scratch 2 000</v>
          </cell>
          <cell r="Q313" t="str">
            <v>22007</v>
          </cell>
          <cell r="R313" t="str">
            <v>22007Scratch 2 000</v>
          </cell>
          <cell r="S313" t="str">
            <v>2007Scratch 2 000</v>
          </cell>
          <cell r="T313" t="str">
            <v>22007GEMATEL</v>
          </cell>
          <cell r="U313" t="str">
            <v>22007GEMATELScratch 2 000</v>
          </cell>
          <cell r="V313" t="str">
            <v>39122Scratch 2 000</v>
          </cell>
          <cell r="W313" t="str">
            <v>2007GEMATEL</v>
          </cell>
          <cell r="X313" t="str">
            <v>2007GEMATELScratch 2 000</v>
          </cell>
        </row>
        <row r="314">
          <cell r="I314">
            <v>2007</v>
          </cell>
          <cell r="J314" t="str">
            <v>GEMATELScratch 5 000</v>
          </cell>
          <cell r="L314">
            <v>0</v>
          </cell>
          <cell r="M314" t="str">
            <v>GEMATEL</v>
          </cell>
          <cell r="N314" t="str">
            <v>GEMATELScratch 5 000</v>
          </cell>
          <cell r="O314" t="str">
            <v>GEMATEL</v>
          </cell>
          <cell r="P314" t="str">
            <v>Scratch 5 000</v>
          </cell>
          <cell r="Q314" t="str">
            <v>22007</v>
          </cell>
          <cell r="R314" t="str">
            <v>22007Scratch 5 000</v>
          </cell>
          <cell r="S314" t="str">
            <v>2007Scratch 5 000</v>
          </cell>
          <cell r="T314" t="str">
            <v>22007GEMATEL</v>
          </cell>
          <cell r="U314" t="str">
            <v>22007GEMATELScratch 5 000</v>
          </cell>
          <cell r="V314" t="str">
            <v>39122Scratch 5 000</v>
          </cell>
          <cell r="W314" t="str">
            <v>2007GEMATEL</v>
          </cell>
          <cell r="X314" t="str">
            <v>2007GEMATELScratch 5 000</v>
          </cell>
        </row>
        <row r="315">
          <cell r="I315">
            <v>2007</v>
          </cell>
          <cell r="J315" t="str">
            <v>GEMATELScratch 10 000</v>
          </cell>
          <cell r="L315">
            <v>0</v>
          </cell>
          <cell r="M315" t="str">
            <v>GEMATEL</v>
          </cell>
          <cell r="N315" t="str">
            <v>GEMATELScratch 10 000</v>
          </cell>
          <cell r="O315" t="str">
            <v>GEMATEL</v>
          </cell>
          <cell r="P315" t="str">
            <v>Scratch 10 000</v>
          </cell>
          <cell r="Q315" t="str">
            <v>22007</v>
          </cell>
          <cell r="R315" t="str">
            <v>22007Scratch 10 000</v>
          </cell>
          <cell r="S315" t="str">
            <v>2007Scratch 10 000</v>
          </cell>
          <cell r="T315" t="str">
            <v>22007GEMATEL</v>
          </cell>
          <cell r="U315" t="str">
            <v>22007GEMATELScratch 10 000</v>
          </cell>
          <cell r="V315" t="str">
            <v>39122Scratch 10 000</v>
          </cell>
          <cell r="W315" t="str">
            <v>2007GEMATEL</v>
          </cell>
          <cell r="X315" t="str">
            <v>2007GEMATELScratch 10 000</v>
          </cell>
        </row>
        <row r="316">
          <cell r="I316">
            <v>2007</v>
          </cell>
          <cell r="J316" t="str">
            <v>GEMATELScratch 20 000</v>
          </cell>
          <cell r="L316">
            <v>0</v>
          </cell>
          <cell r="M316" t="str">
            <v>GEMATEL</v>
          </cell>
          <cell r="N316" t="str">
            <v>GEMATELScratch 20 000</v>
          </cell>
          <cell r="O316" t="str">
            <v>GEMATEL</v>
          </cell>
          <cell r="P316" t="str">
            <v>Scratch 20 000</v>
          </cell>
          <cell r="Q316" t="str">
            <v>22007</v>
          </cell>
          <cell r="R316" t="str">
            <v>22007Scratch 20 000</v>
          </cell>
          <cell r="S316" t="str">
            <v>2007Scratch 20 000</v>
          </cell>
          <cell r="T316" t="str">
            <v>22007GEMATEL</v>
          </cell>
          <cell r="U316" t="str">
            <v>22007GEMATELScratch 20 000</v>
          </cell>
          <cell r="V316" t="str">
            <v>39122Scratch 20 000</v>
          </cell>
          <cell r="W316" t="str">
            <v>2007GEMATEL</v>
          </cell>
          <cell r="X316" t="str">
            <v>2007GEMATELScratch 20 000</v>
          </cell>
        </row>
        <row r="317">
          <cell r="I317">
            <v>2007</v>
          </cell>
          <cell r="J317" t="str">
            <v>ETS Boubacar TANDIAScratch 1 000</v>
          </cell>
          <cell r="L317">
            <v>1</v>
          </cell>
          <cell r="M317" t="str">
            <v>1ETS Boubacar TANDIA</v>
          </cell>
          <cell r="N317" t="str">
            <v>ETS Boubacar TANDIAScratch 1 000</v>
          </cell>
          <cell r="O317" t="str">
            <v>ETS Boubacar TANDIA</v>
          </cell>
          <cell r="P317" t="str">
            <v>Scratch 1 000</v>
          </cell>
          <cell r="Q317" t="str">
            <v>22007</v>
          </cell>
          <cell r="R317" t="str">
            <v>22007Scratch 1 000</v>
          </cell>
          <cell r="S317" t="str">
            <v>2007Scratch 1 000</v>
          </cell>
          <cell r="T317" t="str">
            <v>22007ETS Boubacar TANDIA</v>
          </cell>
          <cell r="U317" t="str">
            <v>22007ETS Boubacar TANDIAScratch 1 000</v>
          </cell>
          <cell r="V317" t="str">
            <v>39122Scratch 1 000</v>
          </cell>
          <cell r="W317" t="str">
            <v>2007ETS Boubacar TANDIA</v>
          </cell>
          <cell r="X317" t="str">
            <v>2007ETS Boubacar TANDIAScratch 1 000</v>
          </cell>
        </row>
        <row r="318">
          <cell r="I318">
            <v>2007</v>
          </cell>
          <cell r="J318" t="str">
            <v>ETS Boubacar TANDIAScratch 2 000</v>
          </cell>
          <cell r="L318">
            <v>0</v>
          </cell>
          <cell r="M318" t="str">
            <v>ETS Boubacar TANDIA</v>
          </cell>
          <cell r="N318" t="str">
            <v>ETS Boubacar TANDIAScratch 2 000</v>
          </cell>
          <cell r="O318" t="str">
            <v>ETS Boubacar TANDIA</v>
          </cell>
          <cell r="P318" t="str">
            <v>Scratch 2 000</v>
          </cell>
          <cell r="Q318" t="str">
            <v>22007</v>
          </cell>
          <cell r="R318" t="str">
            <v>22007Scratch 2 000</v>
          </cell>
          <cell r="S318" t="str">
            <v>2007Scratch 2 000</v>
          </cell>
          <cell r="T318" t="str">
            <v>22007ETS Boubacar TANDIA</v>
          </cell>
          <cell r="U318" t="str">
            <v>22007ETS Boubacar TANDIAScratch 2 000</v>
          </cell>
          <cell r="V318" t="str">
            <v>39122Scratch 2 000</v>
          </cell>
          <cell r="W318" t="str">
            <v>2007ETS Boubacar TANDIA</v>
          </cell>
          <cell r="X318" t="str">
            <v>2007ETS Boubacar TANDIAScratch 2 000</v>
          </cell>
        </row>
        <row r="319">
          <cell r="I319">
            <v>2007</v>
          </cell>
          <cell r="J319" t="str">
            <v>ETS Boubacar TANDIAScratch 5 000</v>
          </cell>
          <cell r="L319">
            <v>0</v>
          </cell>
          <cell r="M319" t="str">
            <v>ETS Boubacar TANDIA</v>
          </cell>
          <cell r="N319" t="str">
            <v>ETS Boubacar TANDIAScratch 5 000</v>
          </cell>
          <cell r="O319" t="str">
            <v>ETS Boubacar TANDIA</v>
          </cell>
          <cell r="P319" t="str">
            <v>Scratch 5 000</v>
          </cell>
          <cell r="Q319" t="str">
            <v>22007</v>
          </cell>
          <cell r="R319" t="str">
            <v>22007Scratch 5 000</v>
          </cell>
          <cell r="S319" t="str">
            <v>2007Scratch 5 000</v>
          </cell>
          <cell r="T319" t="str">
            <v>22007ETS Boubacar TANDIA</v>
          </cell>
          <cell r="U319" t="str">
            <v>22007ETS Boubacar TANDIAScratch 5 000</v>
          </cell>
          <cell r="V319" t="str">
            <v>39122Scratch 5 000</v>
          </cell>
          <cell r="W319" t="str">
            <v>2007ETS Boubacar TANDIA</v>
          </cell>
          <cell r="X319" t="str">
            <v>2007ETS Boubacar TANDIAScratch 5 000</v>
          </cell>
        </row>
        <row r="320">
          <cell r="I320">
            <v>2007</v>
          </cell>
          <cell r="J320" t="str">
            <v>ETS Boubacar TANDIAScratch 20 000</v>
          </cell>
          <cell r="L320">
            <v>0</v>
          </cell>
          <cell r="M320" t="str">
            <v>ETS Boubacar TANDIA</v>
          </cell>
          <cell r="N320" t="str">
            <v>ETS Boubacar TANDIAScratch 20 000</v>
          </cell>
          <cell r="O320" t="str">
            <v>ETS Boubacar TANDIA</v>
          </cell>
          <cell r="P320" t="str">
            <v>Scratch 20 000</v>
          </cell>
          <cell r="Q320" t="str">
            <v>22007</v>
          </cell>
          <cell r="R320" t="str">
            <v>22007Scratch 20 000</v>
          </cell>
          <cell r="S320" t="str">
            <v>2007Scratch 20 000</v>
          </cell>
          <cell r="T320" t="str">
            <v>22007ETS Boubacar TANDIA</v>
          </cell>
          <cell r="U320" t="str">
            <v>22007ETS Boubacar TANDIAScratch 20 000</v>
          </cell>
          <cell r="V320" t="str">
            <v>39122Scratch 20 000</v>
          </cell>
          <cell r="W320" t="str">
            <v>2007ETS Boubacar TANDIA</v>
          </cell>
          <cell r="X320" t="str">
            <v>2007ETS Boubacar TANDIAScratch 20 000</v>
          </cell>
        </row>
        <row r="321">
          <cell r="I321">
            <v>2007</v>
          </cell>
          <cell r="J321" t="str">
            <v>STS GAMBY &amp; FRERES (SOGAF) SarlScratch 1 000</v>
          </cell>
          <cell r="L321">
            <v>1</v>
          </cell>
          <cell r="M321" t="str">
            <v>1STS GAMBY &amp; FRERES (SOGAF) Sarl</v>
          </cell>
          <cell r="N321" t="str">
            <v>STS GAMBY &amp; FRERES (SOGAF) SarlScratch 1 000</v>
          </cell>
          <cell r="O321" t="str">
            <v>STS GAMBY &amp; FRERES (SOGAF) Sarl</v>
          </cell>
          <cell r="P321" t="str">
            <v>Scratch 1 000</v>
          </cell>
          <cell r="Q321" t="str">
            <v>22007</v>
          </cell>
          <cell r="R321" t="str">
            <v>22007Scratch 1 000</v>
          </cell>
          <cell r="S321" t="str">
            <v>2007Scratch 1 000</v>
          </cell>
          <cell r="T321" t="str">
            <v>22007STS GAMBY &amp; FRERES (SOGAF) Sarl</v>
          </cell>
          <cell r="U321" t="str">
            <v>22007STS GAMBY &amp; FRERES (SOGAF) SarlScratch 1 000</v>
          </cell>
          <cell r="V321" t="str">
            <v>39122Scratch 1 000</v>
          </cell>
          <cell r="W321" t="str">
            <v>2007STS GAMBY &amp; FRERES (SOGAF) Sarl</v>
          </cell>
          <cell r="X321" t="str">
            <v>2007STS GAMBY &amp; FRERES (SOGAF) SarlScratch 1 000</v>
          </cell>
        </row>
        <row r="322">
          <cell r="I322">
            <v>2007</v>
          </cell>
          <cell r="J322" t="str">
            <v>STS GAMBY &amp; FRERES (SOGAF) SarlScratch 2 000</v>
          </cell>
          <cell r="L322">
            <v>0</v>
          </cell>
          <cell r="M322" t="str">
            <v>STS GAMBY &amp; FRERES (SOGAF) Sarl</v>
          </cell>
          <cell r="N322" t="str">
            <v>STS GAMBY &amp; FRERES (SOGAF) SarlScratch 2 000</v>
          </cell>
          <cell r="O322" t="str">
            <v>STS GAMBY &amp; FRERES (SOGAF) Sarl</v>
          </cell>
          <cell r="P322" t="str">
            <v>Scratch 2 000</v>
          </cell>
          <cell r="Q322" t="str">
            <v>22007</v>
          </cell>
          <cell r="R322" t="str">
            <v>22007Scratch 2 000</v>
          </cell>
          <cell r="S322" t="str">
            <v>2007Scratch 2 000</v>
          </cell>
          <cell r="T322" t="str">
            <v>22007STS GAMBY &amp; FRERES (SOGAF) Sarl</v>
          </cell>
          <cell r="U322" t="str">
            <v>22007STS GAMBY &amp; FRERES (SOGAF) SarlScratch 2 000</v>
          </cell>
          <cell r="V322" t="str">
            <v>39122Scratch 2 000</v>
          </cell>
          <cell r="W322" t="str">
            <v>2007STS GAMBY &amp; FRERES (SOGAF) Sarl</v>
          </cell>
          <cell r="X322" t="str">
            <v>2007STS GAMBY &amp; FRERES (SOGAF) SarlScratch 2 000</v>
          </cell>
        </row>
        <row r="323">
          <cell r="I323">
            <v>2007</v>
          </cell>
          <cell r="J323" t="str">
            <v>STS GAMBY &amp; FRERES (SOGAF) SarlScratch 5 000</v>
          </cell>
          <cell r="L323">
            <v>0</v>
          </cell>
          <cell r="M323" t="str">
            <v>STS GAMBY &amp; FRERES (SOGAF) Sarl</v>
          </cell>
          <cell r="N323" t="str">
            <v>STS GAMBY &amp; FRERES (SOGAF) SarlScratch 5 000</v>
          </cell>
          <cell r="O323" t="str">
            <v>STS GAMBY &amp; FRERES (SOGAF) Sarl</v>
          </cell>
          <cell r="P323" t="str">
            <v>Scratch 5 000</v>
          </cell>
          <cell r="Q323" t="str">
            <v>22007</v>
          </cell>
          <cell r="R323" t="str">
            <v>22007Scratch 5 000</v>
          </cell>
          <cell r="S323" t="str">
            <v>2007Scratch 5 000</v>
          </cell>
          <cell r="T323" t="str">
            <v>22007STS GAMBY &amp; FRERES (SOGAF) Sarl</v>
          </cell>
          <cell r="U323" t="str">
            <v>22007STS GAMBY &amp; FRERES (SOGAF) SarlScratch 5 000</v>
          </cell>
          <cell r="V323" t="str">
            <v>39122Scratch 5 000</v>
          </cell>
          <cell r="W323" t="str">
            <v>2007STS GAMBY &amp; FRERES (SOGAF) Sarl</v>
          </cell>
          <cell r="X323" t="str">
            <v>2007STS GAMBY &amp; FRERES (SOGAF) SarlScratch 5 000</v>
          </cell>
        </row>
        <row r="324">
          <cell r="I324">
            <v>2007</v>
          </cell>
          <cell r="J324" t="str">
            <v>ANKA ServicesScratch 1 000</v>
          </cell>
          <cell r="L324">
            <v>1</v>
          </cell>
          <cell r="M324" t="str">
            <v>1ANKA Services</v>
          </cell>
          <cell r="N324" t="str">
            <v>ANKA ServicesScratch 1 000</v>
          </cell>
          <cell r="O324" t="str">
            <v>ANKA Services</v>
          </cell>
          <cell r="P324" t="str">
            <v>Scratch 1 000</v>
          </cell>
          <cell r="Q324" t="str">
            <v>22007</v>
          </cell>
          <cell r="R324" t="str">
            <v>22007Scratch 1 000</v>
          </cell>
          <cell r="S324" t="str">
            <v>2007Scratch 1 000</v>
          </cell>
          <cell r="T324" t="str">
            <v>22007ANKA Services</v>
          </cell>
          <cell r="U324" t="str">
            <v>22007ANKA ServicesScratch 1 000</v>
          </cell>
          <cell r="V324" t="str">
            <v>39122Scratch 1 000</v>
          </cell>
          <cell r="W324" t="str">
            <v>2007ANKA Services</v>
          </cell>
          <cell r="X324" t="str">
            <v>2007ANKA ServicesScratch 1 000</v>
          </cell>
        </row>
        <row r="325">
          <cell r="I325">
            <v>2007</v>
          </cell>
          <cell r="J325" t="str">
            <v>ANKA ServicesScratch 2 000</v>
          </cell>
          <cell r="L325">
            <v>0</v>
          </cell>
          <cell r="M325" t="str">
            <v>ANKA Services</v>
          </cell>
          <cell r="N325" t="str">
            <v>ANKA ServicesScratch 2 000</v>
          </cell>
          <cell r="O325" t="str">
            <v>ANKA Services</v>
          </cell>
          <cell r="P325" t="str">
            <v>Scratch 2 000</v>
          </cell>
          <cell r="Q325" t="str">
            <v>22007</v>
          </cell>
          <cell r="R325" t="str">
            <v>22007Scratch 2 000</v>
          </cell>
          <cell r="S325" t="str">
            <v>2007Scratch 2 000</v>
          </cell>
          <cell r="T325" t="str">
            <v>22007ANKA Services</v>
          </cell>
          <cell r="U325" t="str">
            <v>22007ANKA ServicesScratch 2 000</v>
          </cell>
          <cell r="V325" t="str">
            <v>39122Scratch 2 000</v>
          </cell>
          <cell r="W325" t="str">
            <v>2007ANKA Services</v>
          </cell>
          <cell r="X325" t="str">
            <v>2007ANKA ServicesScratch 2 000</v>
          </cell>
        </row>
        <row r="326">
          <cell r="I326">
            <v>2007</v>
          </cell>
          <cell r="J326" t="str">
            <v>ANKA ServicesScratch 5 000</v>
          </cell>
          <cell r="L326">
            <v>0</v>
          </cell>
          <cell r="M326" t="str">
            <v>ANKA Services</v>
          </cell>
          <cell r="N326" t="str">
            <v>ANKA ServicesScratch 5 000</v>
          </cell>
          <cell r="O326" t="str">
            <v>ANKA Services</v>
          </cell>
          <cell r="P326" t="str">
            <v>Scratch 5 000</v>
          </cell>
          <cell r="Q326" t="str">
            <v>22007</v>
          </cell>
          <cell r="R326" t="str">
            <v>22007Scratch 5 000</v>
          </cell>
          <cell r="S326" t="str">
            <v>2007Scratch 5 000</v>
          </cell>
          <cell r="T326" t="str">
            <v>22007ANKA Services</v>
          </cell>
          <cell r="U326" t="str">
            <v>22007ANKA ServicesScratch 5 000</v>
          </cell>
          <cell r="V326" t="str">
            <v>39122Scratch 5 000</v>
          </cell>
          <cell r="W326" t="str">
            <v>2007ANKA Services</v>
          </cell>
          <cell r="X326" t="str">
            <v>2007ANKA ServicesScratch 5 000</v>
          </cell>
        </row>
        <row r="327">
          <cell r="I327">
            <v>2007</v>
          </cell>
          <cell r="J327" t="str">
            <v>Compagnie Internationale de NegoceScratch 1 000</v>
          </cell>
          <cell r="L327">
            <v>1</v>
          </cell>
          <cell r="M327" t="str">
            <v>1Compagnie Internationale de Negoce</v>
          </cell>
          <cell r="N327" t="str">
            <v>Compagnie Internationale de NegoceScratch 1 000</v>
          </cell>
          <cell r="O327" t="str">
            <v>Compagnie Internationale de Negoce</v>
          </cell>
          <cell r="P327" t="str">
            <v>Scratch 1 000</v>
          </cell>
          <cell r="Q327" t="str">
            <v>22007</v>
          </cell>
          <cell r="R327" t="str">
            <v>22007Scratch 1 000</v>
          </cell>
          <cell r="S327" t="str">
            <v>2007Scratch 1 000</v>
          </cell>
          <cell r="T327" t="str">
            <v>22007Compagnie Internationale de Negoce</v>
          </cell>
          <cell r="U327" t="str">
            <v>22007Compagnie Internationale de NegoceScratch 1 000</v>
          </cell>
          <cell r="V327" t="str">
            <v>39122Scratch 1 000</v>
          </cell>
          <cell r="W327" t="str">
            <v>2007Compagnie Internationale de Negoce</v>
          </cell>
          <cell r="X327" t="str">
            <v>2007Compagnie Internationale de NegoceScratch 1 000</v>
          </cell>
        </row>
        <row r="328">
          <cell r="I328">
            <v>2007</v>
          </cell>
          <cell r="J328" t="str">
            <v>Compagnie Internationale de NegoceScratch 2 000</v>
          </cell>
          <cell r="L328">
            <v>0</v>
          </cell>
          <cell r="M328" t="str">
            <v>Compagnie Internationale de Negoce</v>
          </cell>
          <cell r="N328" t="str">
            <v>Compagnie Internationale de NegoceScratch 2 000</v>
          </cell>
          <cell r="O328" t="str">
            <v>Compagnie Internationale de Negoce</v>
          </cell>
          <cell r="P328" t="str">
            <v>Scratch 2 000</v>
          </cell>
          <cell r="Q328" t="str">
            <v>22007</v>
          </cell>
          <cell r="R328" t="str">
            <v>22007Scratch 2 000</v>
          </cell>
          <cell r="S328" t="str">
            <v>2007Scratch 2 000</v>
          </cell>
          <cell r="T328" t="str">
            <v>22007Compagnie Internationale de Negoce</v>
          </cell>
          <cell r="U328" t="str">
            <v>22007Compagnie Internationale de NegoceScratch 2 000</v>
          </cell>
          <cell r="V328" t="str">
            <v>39122Scratch 2 000</v>
          </cell>
          <cell r="W328" t="str">
            <v>2007Compagnie Internationale de Negoce</v>
          </cell>
          <cell r="X328" t="str">
            <v>2007Compagnie Internationale de NegoceScratch 2 000</v>
          </cell>
        </row>
        <row r="329">
          <cell r="I329">
            <v>2007</v>
          </cell>
          <cell r="J329" t="str">
            <v>Compagnie Internationale de NegoceScratch 5 000</v>
          </cell>
          <cell r="L329">
            <v>0</v>
          </cell>
          <cell r="M329" t="str">
            <v>Compagnie Internationale de Negoce</v>
          </cell>
          <cell r="N329" t="str">
            <v>Compagnie Internationale de NegoceScratch 5 000</v>
          </cell>
          <cell r="O329" t="str">
            <v>Compagnie Internationale de Negoce</v>
          </cell>
          <cell r="P329" t="str">
            <v>Scratch 5 000</v>
          </cell>
          <cell r="Q329" t="str">
            <v>22007</v>
          </cell>
          <cell r="R329" t="str">
            <v>22007Scratch 5 000</v>
          </cell>
          <cell r="S329" t="str">
            <v>2007Scratch 5 000</v>
          </cell>
          <cell r="T329" t="str">
            <v>22007Compagnie Internationale de Negoce</v>
          </cell>
          <cell r="U329" t="str">
            <v>22007Compagnie Internationale de NegoceScratch 5 000</v>
          </cell>
          <cell r="V329" t="str">
            <v>39122Scratch 5 000</v>
          </cell>
          <cell r="W329" t="str">
            <v>2007Compagnie Internationale de Negoce</v>
          </cell>
          <cell r="X329" t="str">
            <v>2007Compagnie Internationale de NegoceScratch 5 000</v>
          </cell>
        </row>
        <row r="330">
          <cell r="I330">
            <v>2007</v>
          </cell>
          <cell r="J330" t="str">
            <v>STS GAMBY &amp; FRERES (SOGAF) SarlScratch 1 000</v>
          </cell>
          <cell r="L330">
            <v>1</v>
          </cell>
          <cell r="M330" t="str">
            <v>1STS GAMBY &amp; FRERES (SOGAF) Sarl</v>
          </cell>
          <cell r="N330" t="str">
            <v>STS GAMBY &amp; FRERES (SOGAF) SarlScratch 1 000</v>
          </cell>
          <cell r="O330" t="str">
            <v>STS GAMBY &amp; FRERES (SOGAF) Sarl</v>
          </cell>
          <cell r="P330" t="str">
            <v>Scratch 1 000</v>
          </cell>
          <cell r="Q330" t="str">
            <v>22007</v>
          </cell>
          <cell r="R330" t="str">
            <v>22007Scratch 1 000</v>
          </cell>
          <cell r="S330" t="str">
            <v>2007Scratch 1 000</v>
          </cell>
          <cell r="T330" t="str">
            <v>22007STS GAMBY &amp; FRERES (SOGAF) Sarl</v>
          </cell>
          <cell r="U330" t="str">
            <v>22007STS GAMBY &amp; FRERES (SOGAF) SarlScratch 1 000</v>
          </cell>
          <cell r="V330" t="str">
            <v>39125Scratch 1 000</v>
          </cell>
          <cell r="W330" t="str">
            <v>2007STS GAMBY &amp; FRERES (SOGAF) Sarl</v>
          </cell>
          <cell r="X330" t="str">
            <v>2007STS GAMBY &amp; FRERES (SOGAF) SarlScratch 1 000</v>
          </cell>
        </row>
        <row r="331">
          <cell r="I331">
            <v>2007</v>
          </cell>
          <cell r="J331" t="str">
            <v>STS GAMBY &amp; FRERES (SOGAF) SarlScratch 2 000</v>
          </cell>
          <cell r="L331">
            <v>0</v>
          </cell>
          <cell r="M331" t="str">
            <v>STS GAMBY &amp; FRERES (SOGAF) Sarl</v>
          </cell>
          <cell r="N331" t="str">
            <v>STS GAMBY &amp; FRERES (SOGAF) SarlScratch 2 000</v>
          </cell>
          <cell r="O331" t="str">
            <v>STS GAMBY &amp; FRERES (SOGAF) Sarl</v>
          </cell>
          <cell r="P331" t="str">
            <v>Scratch 2 000</v>
          </cell>
          <cell r="Q331" t="str">
            <v>22007</v>
          </cell>
          <cell r="R331" t="str">
            <v>22007Scratch 2 000</v>
          </cell>
          <cell r="S331" t="str">
            <v>2007Scratch 2 000</v>
          </cell>
          <cell r="T331" t="str">
            <v>22007STS GAMBY &amp; FRERES (SOGAF) Sarl</v>
          </cell>
          <cell r="U331" t="str">
            <v>22007STS GAMBY &amp; FRERES (SOGAF) SarlScratch 2 000</v>
          </cell>
          <cell r="V331" t="str">
            <v>39125Scratch 2 000</v>
          </cell>
          <cell r="W331" t="str">
            <v>2007STS GAMBY &amp; FRERES (SOGAF) Sarl</v>
          </cell>
          <cell r="X331" t="str">
            <v>2007STS GAMBY &amp; FRERES (SOGAF) SarlScratch 2 000</v>
          </cell>
        </row>
        <row r="332">
          <cell r="I332">
            <v>2007</v>
          </cell>
          <cell r="J332" t="str">
            <v>STS GAMBY &amp; FRERES (SOGAF) SarlScratch 5 000</v>
          </cell>
          <cell r="L332">
            <v>0</v>
          </cell>
          <cell r="M332" t="str">
            <v>STS GAMBY &amp; FRERES (SOGAF) Sarl</v>
          </cell>
          <cell r="N332" t="str">
            <v>STS GAMBY &amp; FRERES (SOGAF) SarlScratch 5 000</v>
          </cell>
          <cell r="O332" t="str">
            <v>STS GAMBY &amp; FRERES (SOGAF) Sarl</v>
          </cell>
          <cell r="P332" t="str">
            <v>Scratch 5 000</v>
          </cell>
          <cell r="Q332" t="str">
            <v>22007</v>
          </cell>
          <cell r="R332" t="str">
            <v>22007Scratch 5 000</v>
          </cell>
          <cell r="S332" t="str">
            <v>2007Scratch 5 000</v>
          </cell>
          <cell r="T332" t="str">
            <v>22007STS GAMBY &amp; FRERES (SOGAF) Sarl</v>
          </cell>
          <cell r="U332" t="str">
            <v>22007STS GAMBY &amp; FRERES (SOGAF) SarlScratch 5 000</v>
          </cell>
          <cell r="V332" t="str">
            <v>39125Scratch 5 000</v>
          </cell>
          <cell r="W332" t="str">
            <v>2007STS GAMBY &amp; FRERES (SOGAF) Sarl</v>
          </cell>
          <cell r="X332" t="str">
            <v>2007STS GAMBY &amp; FRERES (SOGAF) SarlScratch 5 000</v>
          </cell>
        </row>
        <row r="333">
          <cell r="I333">
            <v>2007</v>
          </cell>
          <cell r="J333" t="str">
            <v>STS GAMBY &amp; FRERES (SOGAF) SarlScratch 20 000</v>
          </cell>
          <cell r="L333">
            <v>0</v>
          </cell>
          <cell r="M333" t="str">
            <v>STS GAMBY &amp; FRERES (SOGAF) Sarl</v>
          </cell>
          <cell r="N333" t="str">
            <v>STS GAMBY &amp; FRERES (SOGAF) SarlScratch 20 000</v>
          </cell>
          <cell r="O333" t="str">
            <v>STS GAMBY &amp; FRERES (SOGAF) Sarl</v>
          </cell>
          <cell r="P333" t="str">
            <v>Scratch 20 000</v>
          </cell>
          <cell r="Q333" t="str">
            <v>22007</v>
          </cell>
          <cell r="R333" t="str">
            <v>22007Scratch 20 000</v>
          </cell>
          <cell r="S333" t="str">
            <v>2007Scratch 20 000</v>
          </cell>
          <cell r="T333" t="str">
            <v>22007STS GAMBY &amp; FRERES (SOGAF) Sarl</v>
          </cell>
          <cell r="U333" t="str">
            <v>22007STS GAMBY &amp; FRERES (SOGAF) SarlScratch 20 000</v>
          </cell>
          <cell r="V333" t="str">
            <v>39125Scratch 20 000</v>
          </cell>
          <cell r="W333" t="str">
            <v>2007STS GAMBY &amp; FRERES (SOGAF) Sarl</v>
          </cell>
          <cell r="X333" t="str">
            <v>2007STS GAMBY &amp; FRERES (SOGAF) SarlScratch 20 000</v>
          </cell>
        </row>
        <row r="334">
          <cell r="I334">
            <v>2007</v>
          </cell>
          <cell r="J334" t="str">
            <v>GEMATELScratch 1 000</v>
          </cell>
          <cell r="L334">
            <v>1</v>
          </cell>
          <cell r="M334" t="str">
            <v>1GEMATEL</v>
          </cell>
          <cell r="N334" t="str">
            <v>GEMATELScratch 1 000</v>
          </cell>
          <cell r="O334" t="str">
            <v>GEMATEL</v>
          </cell>
          <cell r="P334" t="str">
            <v>Scratch 1 000</v>
          </cell>
          <cell r="Q334" t="str">
            <v>22007</v>
          </cell>
          <cell r="R334" t="str">
            <v>22007Scratch 1 000</v>
          </cell>
          <cell r="S334" t="str">
            <v>2007Scratch 1 000</v>
          </cell>
          <cell r="T334" t="str">
            <v>22007GEMATEL</v>
          </cell>
          <cell r="U334" t="str">
            <v>22007GEMATELScratch 1 000</v>
          </cell>
          <cell r="V334" t="str">
            <v>39125Scratch 1 000</v>
          </cell>
          <cell r="W334" t="str">
            <v>2007GEMATEL</v>
          </cell>
          <cell r="X334" t="str">
            <v>2007GEMATELScratch 1 000</v>
          </cell>
        </row>
        <row r="335">
          <cell r="I335">
            <v>2007</v>
          </cell>
          <cell r="J335" t="str">
            <v>GEMATELScratch 5 000</v>
          </cell>
          <cell r="L335">
            <v>0</v>
          </cell>
          <cell r="M335" t="str">
            <v>GEMATEL</v>
          </cell>
          <cell r="N335" t="str">
            <v>GEMATELScratch 5 000</v>
          </cell>
          <cell r="O335" t="str">
            <v>GEMATEL</v>
          </cell>
          <cell r="P335" t="str">
            <v>Scratch 5 000</v>
          </cell>
          <cell r="Q335" t="str">
            <v>22007</v>
          </cell>
          <cell r="R335" t="str">
            <v>22007Scratch 5 000</v>
          </cell>
          <cell r="S335" t="str">
            <v>2007Scratch 5 000</v>
          </cell>
          <cell r="T335" t="str">
            <v>22007GEMATEL</v>
          </cell>
          <cell r="U335" t="str">
            <v>22007GEMATELScratch 5 000</v>
          </cell>
          <cell r="V335" t="str">
            <v>39125Scratch 5 000</v>
          </cell>
          <cell r="W335" t="str">
            <v>2007GEMATEL</v>
          </cell>
          <cell r="X335" t="str">
            <v>2007GEMATELScratch 5 000</v>
          </cell>
        </row>
        <row r="336">
          <cell r="I336">
            <v>2007</v>
          </cell>
          <cell r="J336" t="str">
            <v>Compagnie Internationale de NegoceScratch 1 000</v>
          </cell>
          <cell r="L336">
            <v>1</v>
          </cell>
          <cell r="M336" t="str">
            <v>1Compagnie Internationale de Negoce</v>
          </cell>
          <cell r="N336" t="str">
            <v>Compagnie Internationale de NegoceScratch 1 000</v>
          </cell>
          <cell r="O336" t="str">
            <v>Compagnie Internationale de Negoce</v>
          </cell>
          <cell r="P336" t="str">
            <v>Scratch 1 000</v>
          </cell>
          <cell r="Q336" t="str">
            <v>22007</v>
          </cell>
          <cell r="R336" t="str">
            <v>22007Scratch 1 000</v>
          </cell>
          <cell r="S336" t="str">
            <v>2007Scratch 1 000</v>
          </cell>
          <cell r="T336" t="str">
            <v>22007Compagnie Internationale de Negoce</v>
          </cell>
          <cell r="U336" t="str">
            <v>22007Compagnie Internationale de NegoceScratch 1 000</v>
          </cell>
          <cell r="V336" t="str">
            <v>39125Scratch 1 000</v>
          </cell>
          <cell r="W336" t="str">
            <v>2007Compagnie Internationale de Negoce</v>
          </cell>
          <cell r="X336" t="str">
            <v>2007Compagnie Internationale de NegoceScratch 1 000</v>
          </cell>
        </row>
        <row r="337">
          <cell r="I337">
            <v>2007</v>
          </cell>
          <cell r="J337" t="str">
            <v>Compagnie Internationale de NegoceScratch 2 000</v>
          </cell>
          <cell r="L337">
            <v>0</v>
          </cell>
          <cell r="M337" t="str">
            <v>Compagnie Internationale de Negoce</v>
          </cell>
          <cell r="N337" t="str">
            <v>Compagnie Internationale de NegoceScratch 2 000</v>
          </cell>
          <cell r="O337" t="str">
            <v>Compagnie Internationale de Negoce</v>
          </cell>
          <cell r="P337" t="str">
            <v>Scratch 2 000</v>
          </cell>
          <cell r="Q337" t="str">
            <v>22007</v>
          </cell>
          <cell r="R337" t="str">
            <v>22007Scratch 2 000</v>
          </cell>
          <cell r="S337" t="str">
            <v>2007Scratch 2 000</v>
          </cell>
          <cell r="T337" t="str">
            <v>22007Compagnie Internationale de Negoce</v>
          </cell>
          <cell r="U337" t="str">
            <v>22007Compagnie Internationale de NegoceScratch 2 000</v>
          </cell>
          <cell r="V337" t="str">
            <v>39125Scratch 2 000</v>
          </cell>
          <cell r="W337" t="str">
            <v>2007Compagnie Internationale de Negoce</v>
          </cell>
          <cell r="X337" t="str">
            <v>2007Compagnie Internationale de NegoceScratch 2 000</v>
          </cell>
        </row>
        <row r="338">
          <cell r="I338">
            <v>2007</v>
          </cell>
          <cell r="J338" t="str">
            <v>Compagnie Internationale de NegoceScratch 5 000</v>
          </cell>
          <cell r="L338">
            <v>0</v>
          </cell>
          <cell r="M338" t="str">
            <v>Compagnie Internationale de Negoce</v>
          </cell>
          <cell r="N338" t="str">
            <v>Compagnie Internationale de NegoceScratch 5 000</v>
          </cell>
          <cell r="O338" t="str">
            <v>Compagnie Internationale de Negoce</v>
          </cell>
          <cell r="P338" t="str">
            <v>Scratch 5 000</v>
          </cell>
          <cell r="Q338" t="str">
            <v>22007</v>
          </cell>
          <cell r="R338" t="str">
            <v>22007Scratch 5 000</v>
          </cell>
          <cell r="S338" t="str">
            <v>2007Scratch 5 000</v>
          </cell>
          <cell r="T338" t="str">
            <v>22007Compagnie Internationale de Negoce</v>
          </cell>
          <cell r="U338" t="str">
            <v>22007Compagnie Internationale de NegoceScratch 5 000</v>
          </cell>
          <cell r="V338" t="str">
            <v>39125Scratch 5 000</v>
          </cell>
          <cell r="W338" t="str">
            <v>2007Compagnie Internationale de Negoce</v>
          </cell>
          <cell r="X338" t="str">
            <v>2007Compagnie Internationale de NegoceScratch 5 000</v>
          </cell>
        </row>
        <row r="339">
          <cell r="I339">
            <v>2007</v>
          </cell>
          <cell r="J339" t="str">
            <v>Compagnie Internationale de NegoceScratch 20 000</v>
          </cell>
          <cell r="L339">
            <v>0</v>
          </cell>
          <cell r="M339" t="str">
            <v>Compagnie Internationale de Negoce</v>
          </cell>
          <cell r="N339" t="str">
            <v>Compagnie Internationale de NegoceScratch 20 000</v>
          </cell>
          <cell r="O339" t="str">
            <v>Compagnie Internationale de Negoce</v>
          </cell>
          <cell r="P339" t="str">
            <v>Scratch 20 000</v>
          </cell>
          <cell r="Q339" t="str">
            <v>22007</v>
          </cell>
          <cell r="R339" t="str">
            <v>22007Scratch 20 000</v>
          </cell>
          <cell r="S339" t="str">
            <v>2007Scratch 20 000</v>
          </cell>
          <cell r="T339" t="str">
            <v>22007Compagnie Internationale de Negoce</v>
          </cell>
          <cell r="U339" t="str">
            <v>22007Compagnie Internationale de NegoceScratch 20 000</v>
          </cell>
          <cell r="V339" t="str">
            <v>39125Scratch 20 000</v>
          </cell>
          <cell r="W339" t="str">
            <v>2007Compagnie Internationale de Negoce</v>
          </cell>
          <cell r="X339" t="str">
            <v>2007Compagnie Internationale de NegoceScratch 20 000</v>
          </cell>
        </row>
        <row r="340">
          <cell r="I340">
            <v>2007</v>
          </cell>
          <cell r="J340" t="str">
            <v>MALI COM SarlScratch 1 000</v>
          </cell>
          <cell r="L340">
            <v>1</v>
          </cell>
          <cell r="M340" t="str">
            <v>1MALI COM Sarl</v>
          </cell>
          <cell r="N340" t="str">
            <v>MALI COM SarlScratch 1 000</v>
          </cell>
          <cell r="O340" t="str">
            <v>MALI COM Sarl</v>
          </cell>
          <cell r="P340" t="str">
            <v>Scratch 1 000</v>
          </cell>
          <cell r="Q340" t="str">
            <v>22007</v>
          </cell>
          <cell r="R340" t="str">
            <v>22007Scratch 1 000</v>
          </cell>
          <cell r="S340" t="str">
            <v>2007Scratch 1 000</v>
          </cell>
          <cell r="T340" t="str">
            <v>22007MALI COM Sarl</v>
          </cell>
          <cell r="U340" t="str">
            <v>22007MALI COM SarlScratch 1 000</v>
          </cell>
          <cell r="V340" t="str">
            <v>39125Scratch 1 000</v>
          </cell>
          <cell r="W340" t="str">
            <v>2007MALI COM Sarl</v>
          </cell>
          <cell r="X340" t="str">
            <v>2007MALI COM SarlScratch 1 000</v>
          </cell>
        </row>
        <row r="341">
          <cell r="I341">
            <v>2007</v>
          </cell>
          <cell r="J341" t="str">
            <v>MALI COM SarlScratch 2 000</v>
          </cell>
          <cell r="L341">
            <v>0</v>
          </cell>
          <cell r="M341" t="str">
            <v>MALI COM Sarl</v>
          </cell>
          <cell r="N341" t="str">
            <v>MALI COM SarlScratch 2 000</v>
          </cell>
          <cell r="O341" t="str">
            <v>MALI COM Sarl</v>
          </cell>
          <cell r="P341" t="str">
            <v>Scratch 2 000</v>
          </cell>
          <cell r="Q341" t="str">
            <v>22007</v>
          </cell>
          <cell r="R341" t="str">
            <v>22007Scratch 2 000</v>
          </cell>
          <cell r="S341" t="str">
            <v>2007Scratch 2 000</v>
          </cell>
          <cell r="T341" t="str">
            <v>22007MALI COM Sarl</v>
          </cell>
          <cell r="U341" t="str">
            <v>22007MALI COM SarlScratch 2 000</v>
          </cell>
          <cell r="V341" t="str">
            <v>39125Scratch 2 000</v>
          </cell>
          <cell r="W341" t="str">
            <v>2007MALI COM Sarl</v>
          </cell>
          <cell r="X341" t="str">
            <v>2007MALI COM SarlScratch 2 000</v>
          </cell>
        </row>
        <row r="342">
          <cell r="I342">
            <v>2007</v>
          </cell>
          <cell r="J342" t="str">
            <v>MALI COM SarlScratch 5 000</v>
          </cell>
          <cell r="L342">
            <v>0</v>
          </cell>
          <cell r="M342" t="str">
            <v>MALI COM Sarl</v>
          </cell>
          <cell r="N342" t="str">
            <v>MALI COM SarlScratch 5 000</v>
          </cell>
          <cell r="O342" t="str">
            <v>MALI COM Sarl</v>
          </cell>
          <cell r="P342" t="str">
            <v>Scratch 5 000</v>
          </cell>
          <cell r="Q342" t="str">
            <v>22007</v>
          </cell>
          <cell r="R342" t="str">
            <v>22007Scratch 5 000</v>
          </cell>
          <cell r="S342" t="str">
            <v>2007Scratch 5 000</v>
          </cell>
          <cell r="T342" t="str">
            <v>22007MALI COM Sarl</v>
          </cell>
          <cell r="U342" t="str">
            <v>22007MALI COM SarlScratch 5 000</v>
          </cell>
          <cell r="V342" t="str">
            <v>39125Scratch 5 000</v>
          </cell>
          <cell r="W342" t="str">
            <v>2007MALI COM Sarl</v>
          </cell>
          <cell r="X342" t="str">
            <v>2007MALI COM SarlScratch 5 000</v>
          </cell>
        </row>
        <row r="343">
          <cell r="I343">
            <v>2007</v>
          </cell>
          <cell r="J343" t="str">
            <v>ANKA ServicesScratch 1 000</v>
          </cell>
          <cell r="L343">
            <v>1</v>
          </cell>
          <cell r="M343" t="str">
            <v>1ANKA Services</v>
          </cell>
          <cell r="N343" t="str">
            <v>ANKA ServicesScratch 1 000</v>
          </cell>
          <cell r="O343" t="str">
            <v>ANKA Services</v>
          </cell>
          <cell r="P343" t="str">
            <v>Scratch 1 000</v>
          </cell>
          <cell r="Q343" t="str">
            <v>22007</v>
          </cell>
          <cell r="R343" t="str">
            <v>22007Scratch 1 000</v>
          </cell>
          <cell r="S343" t="str">
            <v>2007Scratch 1 000</v>
          </cell>
          <cell r="T343" t="str">
            <v>22007ANKA Services</v>
          </cell>
          <cell r="U343" t="str">
            <v>22007ANKA ServicesScratch 1 000</v>
          </cell>
          <cell r="V343" t="str">
            <v>39125Scratch 1 000</v>
          </cell>
          <cell r="W343" t="str">
            <v>2007ANKA Services</v>
          </cell>
          <cell r="X343" t="str">
            <v>2007ANKA ServicesScratch 1 000</v>
          </cell>
        </row>
        <row r="344">
          <cell r="I344">
            <v>2007</v>
          </cell>
          <cell r="J344" t="str">
            <v>ANKA ServicesScratch 2 000</v>
          </cell>
          <cell r="L344">
            <v>0</v>
          </cell>
          <cell r="M344" t="str">
            <v>ANKA Services</v>
          </cell>
          <cell r="N344" t="str">
            <v>ANKA ServicesScratch 2 000</v>
          </cell>
          <cell r="O344" t="str">
            <v>ANKA Services</v>
          </cell>
          <cell r="P344" t="str">
            <v>Scratch 2 000</v>
          </cell>
          <cell r="Q344" t="str">
            <v>22007</v>
          </cell>
          <cell r="R344" t="str">
            <v>22007Scratch 2 000</v>
          </cell>
          <cell r="S344" t="str">
            <v>2007Scratch 2 000</v>
          </cell>
          <cell r="T344" t="str">
            <v>22007ANKA Services</v>
          </cell>
          <cell r="U344" t="str">
            <v>22007ANKA ServicesScratch 2 000</v>
          </cell>
          <cell r="V344" t="str">
            <v>39125Scratch 2 000</v>
          </cell>
          <cell r="W344" t="str">
            <v>2007ANKA Services</v>
          </cell>
          <cell r="X344" t="str">
            <v>2007ANKA ServicesScratch 2 000</v>
          </cell>
        </row>
        <row r="345">
          <cell r="I345">
            <v>2007</v>
          </cell>
          <cell r="J345" t="str">
            <v>ANKA ServicesScratch 5 000</v>
          </cell>
          <cell r="L345">
            <v>0</v>
          </cell>
          <cell r="M345" t="str">
            <v>ANKA Services</v>
          </cell>
          <cell r="N345" t="str">
            <v>ANKA ServicesScratch 5 000</v>
          </cell>
          <cell r="O345" t="str">
            <v>ANKA Services</v>
          </cell>
          <cell r="P345" t="str">
            <v>Scratch 5 000</v>
          </cell>
          <cell r="Q345" t="str">
            <v>22007</v>
          </cell>
          <cell r="R345" t="str">
            <v>22007Scratch 5 000</v>
          </cell>
          <cell r="S345" t="str">
            <v>2007Scratch 5 000</v>
          </cell>
          <cell r="T345" t="str">
            <v>22007ANKA Services</v>
          </cell>
          <cell r="U345" t="str">
            <v>22007ANKA ServicesScratch 5 000</v>
          </cell>
          <cell r="V345" t="str">
            <v>39125Scratch 5 000</v>
          </cell>
          <cell r="W345" t="str">
            <v>2007ANKA Services</v>
          </cell>
          <cell r="X345" t="str">
            <v>2007ANKA ServicesScratch 5 000</v>
          </cell>
        </row>
        <row r="346">
          <cell r="I346">
            <v>2007</v>
          </cell>
          <cell r="J346" t="str">
            <v>SOLEIL LEVANTScratch 1 000</v>
          </cell>
          <cell r="L346">
            <v>1</v>
          </cell>
          <cell r="M346" t="str">
            <v>1SOLEIL LEVANT</v>
          </cell>
          <cell r="N346" t="str">
            <v>SOLEIL LEVANTScratch 1 000</v>
          </cell>
          <cell r="O346" t="str">
            <v>SOLEIL LEVANT</v>
          </cell>
          <cell r="P346" t="str">
            <v>Scratch 1 000</v>
          </cell>
          <cell r="Q346" t="str">
            <v>22007</v>
          </cell>
          <cell r="R346" t="str">
            <v>22007Scratch 1 000</v>
          </cell>
          <cell r="S346" t="str">
            <v>2007Scratch 1 000</v>
          </cell>
          <cell r="T346" t="str">
            <v>22007SOLEIL LEVANT</v>
          </cell>
          <cell r="U346" t="str">
            <v>22007SOLEIL LEVANTScratch 1 000</v>
          </cell>
          <cell r="V346" t="str">
            <v>39126Scratch 1 000</v>
          </cell>
          <cell r="W346" t="str">
            <v>2007SOLEIL LEVANT</v>
          </cell>
          <cell r="X346" t="str">
            <v>2007SOLEIL LEVANTScratch 1 000</v>
          </cell>
        </row>
        <row r="347">
          <cell r="I347">
            <v>2007</v>
          </cell>
          <cell r="J347" t="str">
            <v>SOLEIL LEVANTScratch 2 000</v>
          </cell>
          <cell r="L347">
            <v>0</v>
          </cell>
          <cell r="M347" t="str">
            <v>SOLEIL LEVANT</v>
          </cell>
          <cell r="N347" t="str">
            <v>SOLEIL LEVANTScratch 2 000</v>
          </cell>
          <cell r="O347" t="str">
            <v>SOLEIL LEVANT</v>
          </cell>
          <cell r="P347" t="str">
            <v>Scratch 2 000</v>
          </cell>
          <cell r="Q347" t="str">
            <v>22007</v>
          </cell>
          <cell r="R347" t="str">
            <v>22007Scratch 2 000</v>
          </cell>
          <cell r="S347" t="str">
            <v>2007Scratch 2 000</v>
          </cell>
          <cell r="T347" t="str">
            <v>22007SOLEIL LEVANT</v>
          </cell>
          <cell r="U347" t="str">
            <v>22007SOLEIL LEVANTScratch 2 000</v>
          </cell>
          <cell r="V347" t="str">
            <v>39126Scratch 2 000</v>
          </cell>
          <cell r="W347" t="str">
            <v>2007SOLEIL LEVANT</v>
          </cell>
          <cell r="X347" t="str">
            <v>2007SOLEIL LEVANTScratch 2 000</v>
          </cell>
        </row>
        <row r="348">
          <cell r="I348">
            <v>2007</v>
          </cell>
          <cell r="J348" t="str">
            <v>SOLEIL LEVANTScratch 5 000</v>
          </cell>
          <cell r="L348">
            <v>0</v>
          </cell>
          <cell r="M348" t="str">
            <v>SOLEIL LEVANT</v>
          </cell>
          <cell r="N348" t="str">
            <v>SOLEIL LEVANTScratch 5 000</v>
          </cell>
          <cell r="O348" t="str">
            <v>SOLEIL LEVANT</v>
          </cell>
          <cell r="P348" t="str">
            <v>Scratch 5 000</v>
          </cell>
          <cell r="Q348" t="str">
            <v>22007</v>
          </cell>
          <cell r="R348" t="str">
            <v>22007Scratch 5 000</v>
          </cell>
          <cell r="S348" t="str">
            <v>2007Scratch 5 000</v>
          </cell>
          <cell r="T348" t="str">
            <v>22007SOLEIL LEVANT</v>
          </cell>
          <cell r="U348" t="str">
            <v>22007SOLEIL LEVANTScratch 5 000</v>
          </cell>
          <cell r="V348" t="str">
            <v>39126Scratch 5 000</v>
          </cell>
          <cell r="W348" t="str">
            <v>2007SOLEIL LEVANT</v>
          </cell>
          <cell r="X348" t="str">
            <v>2007SOLEIL LEVANTScratch 5 000</v>
          </cell>
        </row>
        <row r="349">
          <cell r="I349">
            <v>2007</v>
          </cell>
          <cell r="J349" t="str">
            <v>GEMATELScratch 1 000</v>
          </cell>
          <cell r="L349">
            <v>1</v>
          </cell>
          <cell r="M349" t="str">
            <v>1GEMATEL</v>
          </cell>
          <cell r="N349" t="str">
            <v>GEMATELScratch 1 000</v>
          </cell>
          <cell r="O349" t="str">
            <v>GEMATEL</v>
          </cell>
          <cell r="P349" t="str">
            <v>Scratch 1 000</v>
          </cell>
          <cell r="Q349" t="str">
            <v>22007</v>
          </cell>
          <cell r="R349" t="str">
            <v>22007Scratch 1 000</v>
          </cell>
          <cell r="S349" t="str">
            <v>2007Scratch 1 000</v>
          </cell>
          <cell r="T349" t="str">
            <v>22007GEMATEL</v>
          </cell>
          <cell r="U349" t="str">
            <v>22007GEMATELScratch 1 000</v>
          </cell>
          <cell r="V349" t="str">
            <v>39126Scratch 1 000</v>
          </cell>
          <cell r="W349" t="str">
            <v>2007GEMATEL</v>
          </cell>
          <cell r="X349" t="str">
            <v>2007GEMATELScratch 1 000</v>
          </cell>
        </row>
        <row r="350">
          <cell r="I350">
            <v>2007</v>
          </cell>
          <cell r="J350" t="str">
            <v>GEMATELScratch 2 000</v>
          </cell>
          <cell r="L350">
            <v>0</v>
          </cell>
          <cell r="M350" t="str">
            <v>GEMATEL</v>
          </cell>
          <cell r="N350" t="str">
            <v>GEMATELScratch 2 000</v>
          </cell>
          <cell r="O350" t="str">
            <v>GEMATEL</v>
          </cell>
          <cell r="P350" t="str">
            <v>Scratch 2 000</v>
          </cell>
          <cell r="Q350" t="str">
            <v>22007</v>
          </cell>
          <cell r="R350" t="str">
            <v>22007Scratch 2 000</v>
          </cell>
          <cell r="S350" t="str">
            <v>2007Scratch 2 000</v>
          </cell>
          <cell r="T350" t="str">
            <v>22007GEMATEL</v>
          </cell>
          <cell r="U350" t="str">
            <v>22007GEMATELScratch 2 000</v>
          </cell>
          <cell r="V350" t="str">
            <v>39126Scratch 2 000</v>
          </cell>
          <cell r="W350" t="str">
            <v>2007GEMATEL</v>
          </cell>
          <cell r="X350" t="str">
            <v>2007GEMATELScratch 2 000</v>
          </cell>
        </row>
        <row r="351">
          <cell r="I351">
            <v>2007</v>
          </cell>
          <cell r="J351" t="str">
            <v>GEMATELScratch 5 000</v>
          </cell>
          <cell r="L351">
            <v>0</v>
          </cell>
          <cell r="M351" t="str">
            <v>GEMATEL</v>
          </cell>
          <cell r="N351" t="str">
            <v>GEMATELScratch 5 000</v>
          </cell>
          <cell r="O351" t="str">
            <v>GEMATEL</v>
          </cell>
          <cell r="P351" t="str">
            <v>Scratch 5 000</v>
          </cell>
          <cell r="Q351" t="str">
            <v>22007</v>
          </cell>
          <cell r="R351" t="str">
            <v>22007Scratch 5 000</v>
          </cell>
          <cell r="S351" t="str">
            <v>2007Scratch 5 000</v>
          </cell>
          <cell r="T351" t="str">
            <v>22007GEMATEL</v>
          </cell>
          <cell r="U351" t="str">
            <v>22007GEMATELScratch 5 000</v>
          </cell>
          <cell r="V351" t="str">
            <v>39126Scratch 5 000</v>
          </cell>
          <cell r="W351" t="str">
            <v>2007GEMATEL</v>
          </cell>
          <cell r="X351" t="str">
            <v>2007GEMATELScratch 5 000</v>
          </cell>
        </row>
        <row r="352">
          <cell r="I352">
            <v>2007</v>
          </cell>
          <cell r="J352" t="str">
            <v>STS GAMBY &amp; FRERES (SOGAF) SarlScratch 1 000</v>
          </cell>
          <cell r="L352">
            <v>1</v>
          </cell>
          <cell r="M352" t="str">
            <v>1STS GAMBY &amp; FRERES (SOGAF) Sarl</v>
          </cell>
          <cell r="N352" t="str">
            <v>STS GAMBY &amp; FRERES (SOGAF) SarlScratch 1 000</v>
          </cell>
          <cell r="O352" t="str">
            <v>STS GAMBY &amp; FRERES (SOGAF) Sarl</v>
          </cell>
          <cell r="P352" t="str">
            <v>Scratch 1 000</v>
          </cell>
          <cell r="Q352" t="str">
            <v>22007</v>
          </cell>
          <cell r="R352" t="str">
            <v>22007Scratch 1 000</v>
          </cell>
          <cell r="S352" t="str">
            <v>2007Scratch 1 000</v>
          </cell>
          <cell r="T352" t="str">
            <v>22007STS GAMBY &amp; FRERES (SOGAF) Sarl</v>
          </cell>
          <cell r="U352" t="str">
            <v>22007STS GAMBY &amp; FRERES (SOGAF) SarlScratch 1 000</v>
          </cell>
          <cell r="V352" t="str">
            <v>39127Scratch 1 000</v>
          </cell>
          <cell r="W352" t="str">
            <v>2007STS GAMBY &amp; FRERES (SOGAF) Sarl</v>
          </cell>
          <cell r="X352" t="str">
            <v>2007STS GAMBY &amp; FRERES (SOGAF) SarlScratch 1 000</v>
          </cell>
        </row>
        <row r="353">
          <cell r="I353">
            <v>2007</v>
          </cell>
          <cell r="J353" t="str">
            <v>STS GAMBY &amp; FRERES (SOGAF) SarlScratch 2 000</v>
          </cell>
          <cell r="L353">
            <v>0</v>
          </cell>
          <cell r="M353" t="str">
            <v>STS GAMBY &amp; FRERES (SOGAF) Sarl</v>
          </cell>
          <cell r="N353" t="str">
            <v>STS GAMBY &amp; FRERES (SOGAF) SarlScratch 2 000</v>
          </cell>
          <cell r="O353" t="str">
            <v>STS GAMBY &amp; FRERES (SOGAF) Sarl</v>
          </cell>
          <cell r="P353" t="str">
            <v>Scratch 2 000</v>
          </cell>
          <cell r="Q353" t="str">
            <v>22007</v>
          </cell>
          <cell r="R353" t="str">
            <v>22007Scratch 2 000</v>
          </cell>
          <cell r="S353" t="str">
            <v>2007Scratch 2 000</v>
          </cell>
          <cell r="T353" t="str">
            <v>22007STS GAMBY &amp; FRERES (SOGAF) Sarl</v>
          </cell>
          <cell r="U353" t="str">
            <v>22007STS GAMBY &amp; FRERES (SOGAF) SarlScratch 2 000</v>
          </cell>
          <cell r="V353" t="str">
            <v>39127Scratch 2 000</v>
          </cell>
          <cell r="W353" t="str">
            <v>2007STS GAMBY &amp; FRERES (SOGAF) Sarl</v>
          </cell>
          <cell r="X353" t="str">
            <v>2007STS GAMBY &amp; FRERES (SOGAF) SarlScratch 2 000</v>
          </cell>
        </row>
        <row r="354">
          <cell r="I354">
            <v>2007</v>
          </cell>
          <cell r="J354" t="str">
            <v>STS GAMBY &amp; FRERES (SOGAF) SarlScratch 5 000</v>
          </cell>
          <cell r="L354">
            <v>0</v>
          </cell>
          <cell r="M354" t="str">
            <v>STS GAMBY &amp; FRERES (SOGAF) Sarl</v>
          </cell>
          <cell r="N354" t="str">
            <v>STS GAMBY &amp; FRERES (SOGAF) SarlScratch 5 000</v>
          </cell>
          <cell r="O354" t="str">
            <v>STS GAMBY &amp; FRERES (SOGAF) Sarl</v>
          </cell>
          <cell r="P354" t="str">
            <v>Scratch 5 000</v>
          </cell>
          <cell r="Q354" t="str">
            <v>22007</v>
          </cell>
          <cell r="R354" t="str">
            <v>22007Scratch 5 000</v>
          </cell>
          <cell r="S354" t="str">
            <v>2007Scratch 5 000</v>
          </cell>
          <cell r="T354" t="str">
            <v>22007STS GAMBY &amp; FRERES (SOGAF) Sarl</v>
          </cell>
          <cell r="U354" t="str">
            <v>22007STS GAMBY &amp; FRERES (SOGAF) SarlScratch 5 000</v>
          </cell>
          <cell r="V354" t="str">
            <v>39127Scratch 5 000</v>
          </cell>
          <cell r="W354" t="str">
            <v>2007STS GAMBY &amp; FRERES (SOGAF) Sarl</v>
          </cell>
          <cell r="X354" t="str">
            <v>2007STS GAMBY &amp; FRERES (SOGAF) SarlScratch 5 000</v>
          </cell>
        </row>
        <row r="355">
          <cell r="I355">
            <v>2007</v>
          </cell>
          <cell r="J355" t="str">
            <v>STS GAMBY &amp; FRERES (SOGAF) SarlScratch 20 000</v>
          </cell>
          <cell r="L355">
            <v>0</v>
          </cell>
          <cell r="M355" t="str">
            <v>STS GAMBY &amp; FRERES (SOGAF) Sarl</v>
          </cell>
          <cell r="N355" t="str">
            <v>STS GAMBY &amp; FRERES (SOGAF) SarlScratch 20 000</v>
          </cell>
          <cell r="O355" t="str">
            <v>STS GAMBY &amp; FRERES (SOGAF) Sarl</v>
          </cell>
          <cell r="P355" t="str">
            <v>Scratch 20 000</v>
          </cell>
          <cell r="Q355" t="str">
            <v>22007</v>
          </cell>
          <cell r="R355" t="str">
            <v>22007Scratch 20 000</v>
          </cell>
          <cell r="S355" t="str">
            <v>2007Scratch 20 000</v>
          </cell>
          <cell r="T355" t="str">
            <v>22007STS GAMBY &amp; FRERES (SOGAF) Sarl</v>
          </cell>
          <cell r="U355" t="str">
            <v>22007STS GAMBY &amp; FRERES (SOGAF) SarlScratch 20 000</v>
          </cell>
          <cell r="V355" t="str">
            <v>39127Scratch 20 000</v>
          </cell>
          <cell r="W355" t="str">
            <v>2007STS GAMBY &amp; FRERES (SOGAF) Sarl</v>
          </cell>
          <cell r="X355" t="str">
            <v>2007STS GAMBY &amp; FRERES (SOGAF) SarlScratch 20 000</v>
          </cell>
        </row>
        <row r="356">
          <cell r="I356">
            <v>2007</v>
          </cell>
          <cell r="J356" t="str">
            <v>GEMATELScratch 1 000</v>
          </cell>
          <cell r="L356">
            <v>1</v>
          </cell>
          <cell r="M356" t="str">
            <v>1GEMATEL</v>
          </cell>
          <cell r="N356" t="str">
            <v>GEMATELScratch 1 000</v>
          </cell>
          <cell r="O356" t="str">
            <v>GEMATEL</v>
          </cell>
          <cell r="P356" t="str">
            <v>Scratch 1 000</v>
          </cell>
          <cell r="Q356" t="str">
            <v>22007</v>
          </cell>
          <cell r="R356" t="str">
            <v>22007Scratch 1 000</v>
          </cell>
          <cell r="S356" t="str">
            <v>2007Scratch 1 000</v>
          </cell>
          <cell r="T356" t="str">
            <v>22007GEMATEL</v>
          </cell>
          <cell r="U356" t="str">
            <v>22007GEMATELScratch 1 000</v>
          </cell>
          <cell r="V356" t="str">
            <v>39127Scratch 1 000</v>
          </cell>
          <cell r="W356" t="str">
            <v>2007GEMATEL</v>
          </cell>
          <cell r="X356" t="str">
            <v>2007GEMATELScratch 1 000</v>
          </cell>
        </row>
        <row r="357">
          <cell r="I357">
            <v>2007</v>
          </cell>
          <cell r="J357" t="str">
            <v>GEMATELScratch 2 000</v>
          </cell>
          <cell r="L357">
            <v>0</v>
          </cell>
          <cell r="M357" t="str">
            <v>GEMATEL</v>
          </cell>
          <cell r="N357" t="str">
            <v>GEMATELScratch 2 000</v>
          </cell>
          <cell r="O357" t="str">
            <v>GEMATEL</v>
          </cell>
          <cell r="P357" t="str">
            <v>Scratch 2 000</v>
          </cell>
          <cell r="Q357" t="str">
            <v>22007</v>
          </cell>
          <cell r="R357" t="str">
            <v>22007Scratch 2 000</v>
          </cell>
          <cell r="S357" t="str">
            <v>2007Scratch 2 000</v>
          </cell>
          <cell r="T357" t="str">
            <v>22007GEMATEL</v>
          </cell>
          <cell r="U357" t="str">
            <v>22007GEMATELScratch 2 000</v>
          </cell>
          <cell r="V357" t="str">
            <v>39127Scratch 2 000</v>
          </cell>
          <cell r="W357" t="str">
            <v>2007GEMATEL</v>
          </cell>
          <cell r="X357" t="str">
            <v>2007GEMATELScratch 2 000</v>
          </cell>
        </row>
        <row r="358">
          <cell r="I358">
            <v>2007</v>
          </cell>
          <cell r="J358" t="str">
            <v>GEMATELScratch 5 000</v>
          </cell>
          <cell r="L358">
            <v>0</v>
          </cell>
          <cell r="M358" t="str">
            <v>GEMATEL</v>
          </cell>
          <cell r="N358" t="str">
            <v>GEMATELScratch 5 000</v>
          </cell>
          <cell r="O358" t="str">
            <v>GEMATEL</v>
          </cell>
          <cell r="P358" t="str">
            <v>Scratch 5 000</v>
          </cell>
          <cell r="Q358" t="str">
            <v>22007</v>
          </cell>
          <cell r="R358" t="str">
            <v>22007Scratch 5 000</v>
          </cell>
          <cell r="S358" t="str">
            <v>2007Scratch 5 000</v>
          </cell>
          <cell r="T358" t="str">
            <v>22007GEMATEL</v>
          </cell>
          <cell r="U358" t="str">
            <v>22007GEMATELScratch 5 000</v>
          </cell>
          <cell r="V358" t="str">
            <v>39127Scratch 5 000</v>
          </cell>
          <cell r="W358" t="str">
            <v>2007GEMATEL</v>
          </cell>
          <cell r="X358" t="str">
            <v>2007GEMATELScratch 5 000</v>
          </cell>
        </row>
        <row r="359">
          <cell r="I359">
            <v>2007</v>
          </cell>
          <cell r="J359" t="str">
            <v>GEMATELScratch 20 000</v>
          </cell>
          <cell r="L359">
            <v>0</v>
          </cell>
          <cell r="M359" t="str">
            <v>GEMATEL</v>
          </cell>
          <cell r="N359" t="str">
            <v>GEMATELScratch 20 000</v>
          </cell>
          <cell r="O359" t="str">
            <v>GEMATEL</v>
          </cell>
          <cell r="P359" t="str">
            <v>Scratch 20 000</v>
          </cell>
          <cell r="Q359" t="str">
            <v>22007</v>
          </cell>
          <cell r="R359" t="str">
            <v>22007Scratch 20 000</v>
          </cell>
          <cell r="S359" t="str">
            <v>2007Scratch 20 000</v>
          </cell>
          <cell r="T359" t="str">
            <v>22007GEMATEL</v>
          </cell>
          <cell r="U359" t="str">
            <v>22007GEMATELScratch 20 000</v>
          </cell>
          <cell r="V359" t="str">
            <v>39127Scratch 20 000</v>
          </cell>
          <cell r="W359" t="str">
            <v>2007GEMATEL</v>
          </cell>
          <cell r="X359" t="str">
            <v>2007GEMATELScratch 20 000</v>
          </cell>
        </row>
        <row r="360">
          <cell r="I360">
            <v>2007</v>
          </cell>
          <cell r="J360" t="str">
            <v>MALI COM SarlScratch 1 000</v>
          </cell>
          <cell r="L360">
            <v>1</v>
          </cell>
          <cell r="M360" t="str">
            <v>1MALI COM Sarl</v>
          </cell>
          <cell r="N360" t="str">
            <v>MALI COM SarlScratch 1 000</v>
          </cell>
          <cell r="O360" t="str">
            <v>MALI COM Sarl</v>
          </cell>
          <cell r="P360" t="str">
            <v>Scratch 1 000</v>
          </cell>
          <cell r="Q360" t="str">
            <v>22007</v>
          </cell>
          <cell r="R360" t="str">
            <v>22007Scratch 1 000</v>
          </cell>
          <cell r="S360" t="str">
            <v>2007Scratch 1 000</v>
          </cell>
          <cell r="T360" t="str">
            <v>22007MALI COM Sarl</v>
          </cell>
          <cell r="U360" t="str">
            <v>22007MALI COM SarlScratch 1 000</v>
          </cell>
          <cell r="V360" t="str">
            <v>39127Scratch 1 000</v>
          </cell>
          <cell r="W360" t="str">
            <v>2007MALI COM Sarl</v>
          </cell>
          <cell r="X360" t="str">
            <v>2007MALI COM SarlScratch 1 000</v>
          </cell>
        </row>
        <row r="361">
          <cell r="I361">
            <v>2007</v>
          </cell>
          <cell r="J361" t="str">
            <v>MALI COM SarlScratch 5 000</v>
          </cell>
          <cell r="L361">
            <v>0</v>
          </cell>
          <cell r="M361" t="str">
            <v>MALI COM Sarl</v>
          </cell>
          <cell r="N361" t="str">
            <v>MALI COM SarlScratch 5 000</v>
          </cell>
          <cell r="O361" t="str">
            <v>MALI COM Sarl</v>
          </cell>
          <cell r="P361" t="str">
            <v>Scratch 5 000</v>
          </cell>
          <cell r="Q361" t="str">
            <v>22007</v>
          </cell>
          <cell r="R361" t="str">
            <v>22007Scratch 5 000</v>
          </cell>
          <cell r="S361" t="str">
            <v>2007Scratch 5 000</v>
          </cell>
          <cell r="T361" t="str">
            <v>22007MALI COM Sarl</v>
          </cell>
          <cell r="U361" t="str">
            <v>22007MALI COM SarlScratch 5 000</v>
          </cell>
          <cell r="V361" t="str">
            <v>39127Scratch 5 000</v>
          </cell>
          <cell r="W361" t="str">
            <v>2007MALI COM Sarl</v>
          </cell>
          <cell r="X361" t="str">
            <v>2007MALI COM SarlScratch 5 000</v>
          </cell>
        </row>
        <row r="362">
          <cell r="I362">
            <v>2007</v>
          </cell>
          <cell r="J362" t="str">
            <v>MALI COM SarlScratch 20 000</v>
          </cell>
          <cell r="L362">
            <v>0</v>
          </cell>
          <cell r="M362" t="str">
            <v>MALI COM Sarl</v>
          </cell>
          <cell r="N362" t="str">
            <v>MALI COM SarlScratch 20 000</v>
          </cell>
          <cell r="O362" t="str">
            <v>MALI COM Sarl</v>
          </cell>
          <cell r="P362" t="str">
            <v>Scratch 20 000</v>
          </cell>
          <cell r="Q362" t="str">
            <v>22007</v>
          </cell>
          <cell r="R362" t="str">
            <v>22007Scratch 20 000</v>
          </cell>
          <cell r="S362" t="str">
            <v>2007Scratch 20 000</v>
          </cell>
          <cell r="T362" t="str">
            <v>22007MALI COM Sarl</v>
          </cell>
          <cell r="U362" t="str">
            <v>22007MALI COM SarlScratch 20 000</v>
          </cell>
          <cell r="V362" t="str">
            <v>39127Scratch 20 000</v>
          </cell>
          <cell r="W362" t="str">
            <v>2007MALI COM Sarl</v>
          </cell>
          <cell r="X362" t="str">
            <v>2007MALI COM SarlScratch 20 000</v>
          </cell>
        </row>
        <row r="363">
          <cell r="I363">
            <v>2007</v>
          </cell>
          <cell r="J363" t="str">
            <v>Compagnie Internationale de NegoceScratch 1 000</v>
          </cell>
          <cell r="L363">
            <v>1</v>
          </cell>
          <cell r="M363" t="str">
            <v>1Compagnie Internationale de Negoce</v>
          </cell>
          <cell r="N363" t="str">
            <v>Compagnie Internationale de NegoceScratch 1 000</v>
          </cell>
          <cell r="O363" t="str">
            <v>Compagnie Internationale de Negoce</v>
          </cell>
          <cell r="P363" t="str">
            <v>Scratch 1 000</v>
          </cell>
          <cell r="Q363" t="str">
            <v>22007</v>
          </cell>
          <cell r="R363" t="str">
            <v>22007Scratch 1 000</v>
          </cell>
          <cell r="S363" t="str">
            <v>2007Scratch 1 000</v>
          </cell>
          <cell r="T363" t="str">
            <v>22007Compagnie Internationale de Negoce</v>
          </cell>
          <cell r="U363" t="str">
            <v>22007Compagnie Internationale de NegoceScratch 1 000</v>
          </cell>
          <cell r="V363" t="str">
            <v>39127Scratch 1 000</v>
          </cell>
          <cell r="W363" t="str">
            <v>2007Compagnie Internationale de Negoce</v>
          </cell>
          <cell r="X363" t="str">
            <v>2007Compagnie Internationale de NegoceScratch 1 000</v>
          </cell>
        </row>
        <row r="364">
          <cell r="I364">
            <v>2007</v>
          </cell>
          <cell r="J364" t="str">
            <v>Compagnie Internationale de NegoceScratch 2 000</v>
          </cell>
          <cell r="L364">
            <v>0</v>
          </cell>
          <cell r="M364" t="str">
            <v>Compagnie Internationale de Negoce</v>
          </cell>
          <cell r="N364" t="str">
            <v>Compagnie Internationale de NegoceScratch 2 000</v>
          </cell>
          <cell r="O364" t="str">
            <v>Compagnie Internationale de Negoce</v>
          </cell>
          <cell r="P364" t="str">
            <v>Scratch 2 000</v>
          </cell>
          <cell r="Q364" t="str">
            <v>22007</v>
          </cell>
          <cell r="R364" t="str">
            <v>22007Scratch 2 000</v>
          </cell>
          <cell r="S364" t="str">
            <v>2007Scratch 2 000</v>
          </cell>
          <cell r="T364" t="str">
            <v>22007Compagnie Internationale de Negoce</v>
          </cell>
          <cell r="U364" t="str">
            <v>22007Compagnie Internationale de NegoceScratch 2 000</v>
          </cell>
          <cell r="V364" t="str">
            <v>39127Scratch 2 000</v>
          </cell>
          <cell r="W364" t="str">
            <v>2007Compagnie Internationale de Negoce</v>
          </cell>
          <cell r="X364" t="str">
            <v>2007Compagnie Internationale de NegoceScratch 2 000</v>
          </cell>
        </row>
        <row r="365">
          <cell r="I365">
            <v>2007</v>
          </cell>
          <cell r="J365" t="str">
            <v>Compagnie Internationale de NegoceScratch 5 000</v>
          </cell>
          <cell r="L365">
            <v>0</v>
          </cell>
          <cell r="M365" t="str">
            <v>Compagnie Internationale de Negoce</v>
          </cell>
          <cell r="N365" t="str">
            <v>Compagnie Internationale de NegoceScratch 5 000</v>
          </cell>
          <cell r="O365" t="str">
            <v>Compagnie Internationale de Negoce</v>
          </cell>
          <cell r="P365" t="str">
            <v>Scratch 5 000</v>
          </cell>
          <cell r="Q365" t="str">
            <v>22007</v>
          </cell>
          <cell r="R365" t="str">
            <v>22007Scratch 5 000</v>
          </cell>
          <cell r="S365" t="str">
            <v>2007Scratch 5 000</v>
          </cell>
          <cell r="T365" t="str">
            <v>22007Compagnie Internationale de Negoce</v>
          </cell>
          <cell r="U365" t="str">
            <v>22007Compagnie Internationale de NegoceScratch 5 000</v>
          </cell>
          <cell r="V365" t="str">
            <v>39127Scratch 5 000</v>
          </cell>
          <cell r="W365" t="str">
            <v>2007Compagnie Internationale de Negoce</v>
          </cell>
          <cell r="X365" t="str">
            <v>2007Compagnie Internationale de NegoceScratch 5 000</v>
          </cell>
        </row>
        <row r="366">
          <cell r="I366">
            <v>2007</v>
          </cell>
          <cell r="J366" t="str">
            <v>Compagnie Internationale de NegoceScratch 20 000</v>
          </cell>
          <cell r="L366">
            <v>0</v>
          </cell>
          <cell r="M366" t="str">
            <v>Compagnie Internationale de Negoce</v>
          </cell>
          <cell r="N366" t="str">
            <v>Compagnie Internationale de NegoceScratch 20 000</v>
          </cell>
          <cell r="O366" t="str">
            <v>Compagnie Internationale de Negoce</v>
          </cell>
          <cell r="P366" t="str">
            <v>Scratch 20 000</v>
          </cell>
          <cell r="Q366" t="str">
            <v>22007</v>
          </cell>
          <cell r="R366" t="str">
            <v>22007Scratch 20 000</v>
          </cell>
          <cell r="S366" t="str">
            <v>2007Scratch 20 000</v>
          </cell>
          <cell r="T366" t="str">
            <v>22007Compagnie Internationale de Negoce</v>
          </cell>
          <cell r="U366" t="str">
            <v>22007Compagnie Internationale de NegoceScratch 20 000</v>
          </cell>
          <cell r="V366" t="str">
            <v>39127Scratch 20 000</v>
          </cell>
          <cell r="W366" t="str">
            <v>2007Compagnie Internationale de Negoce</v>
          </cell>
          <cell r="X366" t="str">
            <v>2007Compagnie Internationale de NegoceScratch 20 000</v>
          </cell>
        </row>
        <row r="367">
          <cell r="I367">
            <v>2007</v>
          </cell>
          <cell r="J367" t="str">
            <v>ANKA ServicesScratch 1 000</v>
          </cell>
          <cell r="L367">
            <v>1</v>
          </cell>
          <cell r="M367" t="str">
            <v>1ANKA Services</v>
          </cell>
          <cell r="N367" t="str">
            <v>ANKA ServicesScratch 1 000</v>
          </cell>
          <cell r="O367" t="str">
            <v>ANKA Services</v>
          </cell>
          <cell r="P367" t="str">
            <v>Scratch 1 000</v>
          </cell>
          <cell r="Q367" t="str">
            <v>22007</v>
          </cell>
          <cell r="R367" t="str">
            <v>22007Scratch 1 000</v>
          </cell>
          <cell r="S367" t="str">
            <v>2007Scratch 1 000</v>
          </cell>
          <cell r="T367" t="str">
            <v>22007ANKA Services</v>
          </cell>
          <cell r="U367" t="str">
            <v>22007ANKA ServicesScratch 1 000</v>
          </cell>
          <cell r="V367" t="str">
            <v>39127Scratch 1 000</v>
          </cell>
          <cell r="W367" t="str">
            <v>2007ANKA Services</v>
          </cell>
          <cell r="X367" t="str">
            <v>2007ANKA ServicesScratch 1 000</v>
          </cell>
        </row>
        <row r="368">
          <cell r="I368">
            <v>2007</v>
          </cell>
          <cell r="J368" t="str">
            <v>ANKA ServicesScratch 2 000</v>
          </cell>
          <cell r="L368">
            <v>0</v>
          </cell>
          <cell r="M368" t="str">
            <v>ANKA Services</v>
          </cell>
          <cell r="N368" t="str">
            <v>ANKA ServicesScratch 2 000</v>
          </cell>
          <cell r="O368" t="str">
            <v>ANKA Services</v>
          </cell>
          <cell r="P368" t="str">
            <v>Scratch 2 000</v>
          </cell>
          <cell r="Q368" t="str">
            <v>22007</v>
          </cell>
          <cell r="R368" t="str">
            <v>22007Scratch 2 000</v>
          </cell>
          <cell r="S368" t="str">
            <v>2007Scratch 2 000</v>
          </cell>
          <cell r="T368" t="str">
            <v>22007ANKA Services</v>
          </cell>
          <cell r="U368" t="str">
            <v>22007ANKA ServicesScratch 2 000</v>
          </cell>
          <cell r="V368" t="str">
            <v>39127Scratch 2 000</v>
          </cell>
          <cell r="W368" t="str">
            <v>2007ANKA Services</v>
          </cell>
          <cell r="X368" t="str">
            <v>2007ANKA ServicesScratch 2 000</v>
          </cell>
        </row>
        <row r="369">
          <cell r="I369">
            <v>2007</v>
          </cell>
          <cell r="J369" t="str">
            <v>ANKA ServicesScratch 5 000</v>
          </cell>
          <cell r="L369">
            <v>0</v>
          </cell>
          <cell r="M369" t="str">
            <v>ANKA Services</v>
          </cell>
          <cell r="N369" t="str">
            <v>ANKA ServicesScratch 5 000</v>
          </cell>
          <cell r="O369" t="str">
            <v>ANKA Services</v>
          </cell>
          <cell r="P369" t="str">
            <v>Scratch 5 000</v>
          </cell>
          <cell r="Q369" t="str">
            <v>22007</v>
          </cell>
          <cell r="R369" t="str">
            <v>22007Scratch 5 000</v>
          </cell>
          <cell r="S369" t="str">
            <v>2007Scratch 5 000</v>
          </cell>
          <cell r="T369" t="str">
            <v>22007ANKA Services</v>
          </cell>
          <cell r="U369" t="str">
            <v>22007ANKA ServicesScratch 5 000</v>
          </cell>
          <cell r="V369" t="str">
            <v>39127Scratch 5 000</v>
          </cell>
          <cell r="W369" t="str">
            <v>2007ANKA Services</v>
          </cell>
          <cell r="X369" t="str">
            <v>2007ANKA ServicesScratch 5 000</v>
          </cell>
        </row>
        <row r="370">
          <cell r="I370">
            <v>2007</v>
          </cell>
          <cell r="J370" t="str">
            <v>ANKA ServicesScratch 20 000</v>
          </cell>
          <cell r="L370">
            <v>0</v>
          </cell>
          <cell r="M370" t="str">
            <v>ANKA Services</v>
          </cell>
          <cell r="N370" t="str">
            <v>ANKA ServicesScratch 20 000</v>
          </cell>
          <cell r="O370" t="str">
            <v>ANKA Services</v>
          </cell>
          <cell r="P370" t="str">
            <v>Scratch 20 000</v>
          </cell>
          <cell r="Q370" t="str">
            <v>22007</v>
          </cell>
          <cell r="R370" t="str">
            <v>22007Scratch 20 000</v>
          </cell>
          <cell r="S370" t="str">
            <v>2007Scratch 20 000</v>
          </cell>
          <cell r="T370" t="str">
            <v>22007ANKA Services</v>
          </cell>
          <cell r="U370" t="str">
            <v>22007ANKA ServicesScratch 20 000</v>
          </cell>
          <cell r="V370" t="str">
            <v>39127Scratch 20 000</v>
          </cell>
          <cell r="W370" t="str">
            <v>2007ANKA Services</v>
          </cell>
          <cell r="X370" t="str">
            <v>2007ANKA ServicesScratch 20 000</v>
          </cell>
        </row>
        <row r="371">
          <cell r="I371">
            <v>2007</v>
          </cell>
          <cell r="J371" t="str">
            <v>GEMATELScratch 1 000</v>
          </cell>
          <cell r="L371">
            <v>1</v>
          </cell>
          <cell r="M371" t="str">
            <v>1GEMATEL</v>
          </cell>
          <cell r="N371" t="str">
            <v>GEMATELScratch 1 000</v>
          </cell>
          <cell r="O371" t="str">
            <v>GEMATEL</v>
          </cell>
          <cell r="P371" t="str">
            <v>Scratch 1 000</v>
          </cell>
          <cell r="Q371" t="str">
            <v>22007</v>
          </cell>
          <cell r="R371" t="str">
            <v>22007Scratch 1 000</v>
          </cell>
          <cell r="S371" t="str">
            <v>2007Scratch 1 000</v>
          </cell>
          <cell r="T371" t="str">
            <v>22007GEMATEL</v>
          </cell>
          <cell r="U371" t="str">
            <v>22007GEMATELScratch 1 000</v>
          </cell>
          <cell r="V371" t="str">
            <v>39128Scratch 1 000</v>
          </cell>
          <cell r="W371" t="str">
            <v>2007GEMATEL</v>
          </cell>
          <cell r="X371" t="str">
            <v>2007GEMATELScratch 1 000</v>
          </cell>
        </row>
        <row r="372">
          <cell r="I372">
            <v>2007</v>
          </cell>
          <cell r="J372" t="str">
            <v>GEMATELScratch 2 000</v>
          </cell>
          <cell r="L372">
            <v>0</v>
          </cell>
          <cell r="M372" t="str">
            <v>GEMATEL</v>
          </cell>
          <cell r="N372" t="str">
            <v>GEMATELScratch 2 000</v>
          </cell>
          <cell r="O372" t="str">
            <v>GEMATEL</v>
          </cell>
          <cell r="P372" t="str">
            <v>Scratch 2 000</v>
          </cell>
          <cell r="Q372" t="str">
            <v>22007</v>
          </cell>
          <cell r="R372" t="str">
            <v>22007Scratch 2 000</v>
          </cell>
          <cell r="S372" t="str">
            <v>2007Scratch 2 000</v>
          </cell>
          <cell r="T372" t="str">
            <v>22007GEMATEL</v>
          </cell>
          <cell r="U372" t="str">
            <v>22007GEMATELScratch 2 000</v>
          </cell>
          <cell r="V372" t="str">
            <v>39128Scratch 2 000</v>
          </cell>
          <cell r="W372" t="str">
            <v>2007GEMATEL</v>
          </cell>
          <cell r="X372" t="str">
            <v>2007GEMATELScratch 2 000</v>
          </cell>
        </row>
        <row r="373">
          <cell r="I373">
            <v>2007</v>
          </cell>
          <cell r="J373" t="str">
            <v>GEMATELScratch 5 000</v>
          </cell>
          <cell r="L373">
            <v>0</v>
          </cell>
          <cell r="M373" t="str">
            <v>GEMATEL</v>
          </cell>
          <cell r="N373" t="str">
            <v>GEMATELScratch 5 000</v>
          </cell>
          <cell r="O373" t="str">
            <v>GEMATEL</v>
          </cell>
          <cell r="P373" t="str">
            <v>Scratch 5 000</v>
          </cell>
          <cell r="Q373" t="str">
            <v>22007</v>
          </cell>
          <cell r="R373" t="str">
            <v>22007Scratch 5 000</v>
          </cell>
          <cell r="S373" t="str">
            <v>2007Scratch 5 000</v>
          </cell>
          <cell r="T373" t="str">
            <v>22007GEMATEL</v>
          </cell>
          <cell r="U373" t="str">
            <v>22007GEMATELScratch 5 000</v>
          </cell>
          <cell r="V373" t="str">
            <v>39128Scratch 5 000</v>
          </cell>
          <cell r="W373" t="str">
            <v>2007GEMATEL</v>
          </cell>
          <cell r="X373" t="str">
            <v>2007GEMATELScratch 5 000</v>
          </cell>
        </row>
        <row r="374">
          <cell r="I374">
            <v>2007</v>
          </cell>
          <cell r="J374" t="str">
            <v>GEMATELScratch 20 000</v>
          </cell>
          <cell r="L374">
            <v>0</v>
          </cell>
          <cell r="M374" t="str">
            <v>GEMATEL</v>
          </cell>
          <cell r="N374" t="str">
            <v>GEMATELScratch 20 000</v>
          </cell>
          <cell r="O374" t="str">
            <v>GEMATEL</v>
          </cell>
          <cell r="P374" t="str">
            <v>Scratch 20 000</v>
          </cell>
          <cell r="Q374" t="str">
            <v>22007</v>
          </cell>
          <cell r="R374" t="str">
            <v>22007Scratch 20 000</v>
          </cell>
          <cell r="S374" t="str">
            <v>2007Scratch 20 000</v>
          </cell>
          <cell r="T374" t="str">
            <v>22007GEMATEL</v>
          </cell>
          <cell r="U374" t="str">
            <v>22007GEMATELScratch 20 000</v>
          </cell>
          <cell r="V374" t="str">
            <v>39128Scratch 20 000</v>
          </cell>
          <cell r="W374" t="str">
            <v>2007GEMATEL</v>
          </cell>
          <cell r="X374" t="str">
            <v>2007GEMATELScratch 20 000</v>
          </cell>
        </row>
        <row r="375">
          <cell r="I375">
            <v>2007</v>
          </cell>
          <cell r="J375" t="str">
            <v>Ets Mamadou GAMBYScratch 1 000</v>
          </cell>
          <cell r="L375">
            <v>1</v>
          </cell>
          <cell r="M375" t="str">
            <v>1Ets Mamadou GAMBY</v>
          </cell>
          <cell r="N375" t="str">
            <v>Ets Mamadou GAMBYScratch 1 000</v>
          </cell>
          <cell r="O375" t="str">
            <v>Ets Mamadou GAMBY</v>
          </cell>
          <cell r="P375" t="str">
            <v>Scratch 1 000</v>
          </cell>
          <cell r="Q375" t="str">
            <v>22007</v>
          </cell>
          <cell r="R375" t="str">
            <v>22007Scratch 1 000</v>
          </cell>
          <cell r="S375" t="str">
            <v>2007Scratch 1 000</v>
          </cell>
          <cell r="T375" t="str">
            <v>22007Ets Mamadou GAMBY</v>
          </cell>
          <cell r="U375" t="str">
            <v>22007Ets Mamadou GAMBYScratch 1 000</v>
          </cell>
          <cell r="V375" t="str">
            <v>39128Scratch 1 000</v>
          </cell>
          <cell r="W375" t="str">
            <v>2007Ets Mamadou GAMBY</v>
          </cell>
          <cell r="X375" t="str">
            <v>2007Ets Mamadou GAMBYScratch 1 000</v>
          </cell>
        </row>
        <row r="376">
          <cell r="I376">
            <v>2007</v>
          </cell>
          <cell r="J376" t="str">
            <v>Ets Mamadou GAMBYScratch 2 000</v>
          </cell>
          <cell r="L376">
            <v>0</v>
          </cell>
          <cell r="M376" t="str">
            <v>Ets Mamadou GAMBY</v>
          </cell>
          <cell r="N376" t="str">
            <v>Ets Mamadou GAMBYScratch 2 000</v>
          </cell>
          <cell r="O376" t="str">
            <v>Ets Mamadou GAMBY</v>
          </cell>
          <cell r="P376" t="str">
            <v>Scratch 2 000</v>
          </cell>
          <cell r="Q376" t="str">
            <v>22007</v>
          </cell>
          <cell r="R376" t="str">
            <v>22007Scratch 2 000</v>
          </cell>
          <cell r="S376" t="str">
            <v>2007Scratch 2 000</v>
          </cell>
          <cell r="T376" t="str">
            <v>22007Ets Mamadou GAMBY</v>
          </cell>
          <cell r="U376" t="str">
            <v>22007Ets Mamadou GAMBYScratch 2 000</v>
          </cell>
          <cell r="V376" t="str">
            <v>39128Scratch 2 000</v>
          </cell>
          <cell r="W376" t="str">
            <v>2007Ets Mamadou GAMBY</v>
          </cell>
          <cell r="X376" t="str">
            <v>2007Ets Mamadou GAMBYScratch 2 000</v>
          </cell>
        </row>
        <row r="377">
          <cell r="I377">
            <v>2007</v>
          </cell>
          <cell r="J377" t="str">
            <v>Ets Mamadou GAMBYScratch 5 000</v>
          </cell>
          <cell r="L377">
            <v>0</v>
          </cell>
          <cell r="M377" t="str">
            <v>Ets Mamadou GAMBY</v>
          </cell>
          <cell r="N377" t="str">
            <v>Ets Mamadou GAMBYScratch 5 000</v>
          </cell>
          <cell r="O377" t="str">
            <v>Ets Mamadou GAMBY</v>
          </cell>
          <cell r="P377" t="str">
            <v>Scratch 5 000</v>
          </cell>
          <cell r="Q377" t="str">
            <v>22007</v>
          </cell>
          <cell r="R377" t="str">
            <v>22007Scratch 5 000</v>
          </cell>
          <cell r="S377" t="str">
            <v>2007Scratch 5 000</v>
          </cell>
          <cell r="T377" t="str">
            <v>22007Ets Mamadou GAMBY</v>
          </cell>
          <cell r="U377" t="str">
            <v>22007Ets Mamadou GAMBYScratch 5 000</v>
          </cell>
          <cell r="V377" t="str">
            <v>39128Scratch 5 000</v>
          </cell>
          <cell r="W377" t="str">
            <v>2007Ets Mamadou GAMBY</v>
          </cell>
          <cell r="X377" t="str">
            <v>2007Ets Mamadou GAMBYScratch 5 000</v>
          </cell>
        </row>
        <row r="378">
          <cell r="I378">
            <v>2007</v>
          </cell>
          <cell r="J378" t="str">
            <v>Ets Mamadou GAMBYScratch 20 000</v>
          </cell>
          <cell r="L378">
            <v>0</v>
          </cell>
          <cell r="M378" t="str">
            <v>Ets Mamadou GAMBY</v>
          </cell>
          <cell r="N378" t="str">
            <v>Ets Mamadou GAMBYScratch 20 000</v>
          </cell>
          <cell r="O378" t="str">
            <v>Ets Mamadou GAMBY</v>
          </cell>
          <cell r="P378" t="str">
            <v>Scratch 20 000</v>
          </cell>
          <cell r="Q378" t="str">
            <v>22007</v>
          </cell>
          <cell r="R378" t="str">
            <v>22007Scratch 20 000</v>
          </cell>
          <cell r="S378" t="str">
            <v>2007Scratch 20 000</v>
          </cell>
          <cell r="T378" t="str">
            <v>22007Ets Mamadou GAMBY</v>
          </cell>
          <cell r="U378" t="str">
            <v>22007Ets Mamadou GAMBYScratch 20 000</v>
          </cell>
          <cell r="V378" t="str">
            <v>39128Scratch 20 000</v>
          </cell>
          <cell r="W378" t="str">
            <v>2007Ets Mamadou GAMBY</v>
          </cell>
          <cell r="X378" t="str">
            <v>2007Ets Mamadou GAMBYScratch 20 000</v>
          </cell>
        </row>
        <row r="379">
          <cell r="I379">
            <v>2007</v>
          </cell>
          <cell r="J379" t="str">
            <v>CellNets MaliScratch 1 000</v>
          </cell>
          <cell r="L379">
            <v>1</v>
          </cell>
          <cell r="M379" t="str">
            <v>1CellNets Mali</v>
          </cell>
          <cell r="N379" t="str">
            <v>CellNets MaliScratch 1 000</v>
          </cell>
          <cell r="O379" t="str">
            <v>CellNets Mali</v>
          </cell>
          <cell r="P379" t="str">
            <v>Scratch 1 000</v>
          </cell>
          <cell r="Q379" t="str">
            <v>22007</v>
          </cell>
          <cell r="R379" t="str">
            <v>22007Scratch 1 000</v>
          </cell>
          <cell r="S379" t="str">
            <v>2007Scratch 1 000</v>
          </cell>
          <cell r="T379" t="str">
            <v>22007CellNets Mali</v>
          </cell>
          <cell r="U379" t="str">
            <v>22007CellNets MaliScratch 1 000</v>
          </cell>
          <cell r="V379" t="str">
            <v>39128Scratch 1 000</v>
          </cell>
          <cell r="W379" t="str">
            <v>2007CellNets Mali</v>
          </cell>
          <cell r="X379" t="str">
            <v>2007CellNets MaliScratch 1 000</v>
          </cell>
        </row>
        <row r="380">
          <cell r="I380">
            <v>2007</v>
          </cell>
          <cell r="J380" t="str">
            <v>CellNets MaliScratch 2 000</v>
          </cell>
          <cell r="L380">
            <v>0</v>
          </cell>
          <cell r="M380" t="str">
            <v>CellNets Mali</v>
          </cell>
          <cell r="N380" t="str">
            <v>CellNets MaliScratch 2 000</v>
          </cell>
          <cell r="O380" t="str">
            <v>CellNets Mali</v>
          </cell>
          <cell r="P380" t="str">
            <v>Scratch 2 000</v>
          </cell>
          <cell r="Q380" t="str">
            <v>22007</v>
          </cell>
          <cell r="R380" t="str">
            <v>22007Scratch 2 000</v>
          </cell>
          <cell r="S380" t="str">
            <v>2007Scratch 2 000</v>
          </cell>
          <cell r="T380" t="str">
            <v>22007CellNets Mali</v>
          </cell>
          <cell r="U380" t="str">
            <v>22007CellNets MaliScratch 2 000</v>
          </cell>
          <cell r="V380" t="str">
            <v>39128Scratch 2 000</v>
          </cell>
          <cell r="W380" t="str">
            <v>2007CellNets Mali</v>
          </cell>
          <cell r="X380" t="str">
            <v>2007CellNets MaliScratch 2 000</v>
          </cell>
        </row>
        <row r="381">
          <cell r="I381">
            <v>2007</v>
          </cell>
          <cell r="J381" t="str">
            <v>CellNets MaliScratch 5 000</v>
          </cell>
          <cell r="L381">
            <v>0</v>
          </cell>
          <cell r="M381" t="str">
            <v>CellNets Mali</v>
          </cell>
          <cell r="N381" t="str">
            <v>CellNets MaliScratch 5 000</v>
          </cell>
          <cell r="O381" t="str">
            <v>CellNets Mali</v>
          </cell>
          <cell r="P381" t="str">
            <v>Scratch 5 000</v>
          </cell>
          <cell r="Q381" t="str">
            <v>22007</v>
          </cell>
          <cell r="R381" t="str">
            <v>22007Scratch 5 000</v>
          </cell>
          <cell r="S381" t="str">
            <v>2007Scratch 5 000</v>
          </cell>
          <cell r="T381" t="str">
            <v>22007CellNets Mali</v>
          </cell>
          <cell r="U381" t="str">
            <v>22007CellNets MaliScratch 5 000</v>
          </cell>
          <cell r="V381" t="str">
            <v>39128Scratch 5 000</v>
          </cell>
          <cell r="W381" t="str">
            <v>2007CellNets Mali</v>
          </cell>
          <cell r="X381" t="str">
            <v>2007CellNets MaliScratch 5 000</v>
          </cell>
        </row>
        <row r="382">
          <cell r="I382">
            <v>2007</v>
          </cell>
          <cell r="J382" t="str">
            <v>CellNets MaliScratch 20 000</v>
          </cell>
          <cell r="L382">
            <v>0</v>
          </cell>
          <cell r="M382" t="str">
            <v>CellNets Mali</v>
          </cell>
          <cell r="N382" t="str">
            <v>CellNets MaliScratch 20 000</v>
          </cell>
          <cell r="O382" t="str">
            <v>CellNets Mali</v>
          </cell>
          <cell r="P382" t="str">
            <v>Scratch 20 000</v>
          </cell>
          <cell r="Q382" t="str">
            <v>22007</v>
          </cell>
          <cell r="R382" t="str">
            <v>22007Scratch 20 000</v>
          </cell>
          <cell r="S382" t="str">
            <v>2007Scratch 20 000</v>
          </cell>
          <cell r="T382" t="str">
            <v>22007CellNets Mali</v>
          </cell>
          <cell r="U382" t="str">
            <v>22007CellNets MaliScratch 20 000</v>
          </cell>
          <cell r="V382" t="str">
            <v>39128Scratch 20 000</v>
          </cell>
          <cell r="W382" t="str">
            <v>2007CellNets Mali</v>
          </cell>
          <cell r="X382" t="str">
            <v>2007CellNets MaliScratch 20 000</v>
          </cell>
        </row>
        <row r="383">
          <cell r="I383">
            <v>2007</v>
          </cell>
          <cell r="J383" t="str">
            <v>Compagnie Internationale de NegoceScratch 1 000</v>
          </cell>
          <cell r="L383">
            <v>1</v>
          </cell>
          <cell r="M383" t="str">
            <v>1Compagnie Internationale de Negoce</v>
          </cell>
          <cell r="N383" t="str">
            <v>Compagnie Internationale de NegoceScratch 1 000</v>
          </cell>
          <cell r="O383" t="str">
            <v>Compagnie Internationale de Negoce</v>
          </cell>
          <cell r="P383" t="str">
            <v>Scratch 1 000</v>
          </cell>
          <cell r="Q383" t="str">
            <v>22007</v>
          </cell>
          <cell r="R383" t="str">
            <v>22007Scratch 1 000</v>
          </cell>
          <cell r="S383" t="str">
            <v>2007Scratch 1 000</v>
          </cell>
          <cell r="T383" t="str">
            <v>22007Compagnie Internationale de Negoce</v>
          </cell>
          <cell r="U383" t="str">
            <v>22007Compagnie Internationale de NegoceScratch 1 000</v>
          </cell>
          <cell r="V383" t="str">
            <v>39132Scratch 1 000</v>
          </cell>
          <cell r="W383" t="str">
            <v>2007Compagnie Internationale de Negoce</v>
          </cell>
          <cell r="X383" t="str">
            <v>2007Compagnie Internationale de NegoceScratch 1 000</v>
          </cell>
        </row>
        <row r="384">
          <cell r="I384">
            <v>2007</v>
          </cell>
          <cell r="J384" t="str">
            <v>Compagnie Internationale de NegoceScratch 2 000</v>
          </cell>
          <cell r="L384">
            <v>0</v>
          </cell>
          <cell r="M384" t="str">
            <v>Compagnie Internationale de Negoce</v>
          </cell>
          <cell r="N384" t="str">
            <v>Compagnie Internationale de NegoceScratch 2 000</v>
          </cell>
          <cell r="O384" t="str">
            <v>Compagnie Internationale de Negoce</v>
          </cell>
          <cell r="P384" t="str">
            <v>Scratch 2 000</v>
          </cell>
          <cell r="Q384" t="str">
            <v>22007</v>
          </cell>
          <cell r="R384" t="str">
            <v>22007Scratch 2 000</v>
          </cell>
          <cell r="S384" t="str">
            <v>2007Scratch 2 000</v>
          </cell>
          <cell r="T384" t="str">
            <v>22007Compagnie Internationale de Negoce</v>
          </cell>
          <cell r="U384" t="str">
            <v>22007Compagnie Internationale de NegoceScratch 2 000</v>
          </cell>
          <cell r="V384" t="str">
            <v>39132Scratch 2 000</v>
          </cell>
          <cell r="W384" t="str">
            <v>2007Compagnie Internationale de Negoce</v>
          </cell>
          <cell r="X384" t="str">
            <v>2007Compagnie Internationale de NegoceScratch 2 000</v>
          </cell>
        </row>
        <row r="385">
          <cell r="I385">
            <v>2007</v>
          </cell>
          <cell r="J385" t="str">
            <v>Compagnie Internationale de NegoceScratch 5 000</v>
          </cell>
          <cell r="L385">
            <v>0</v>
          </cell>
          <cell r="M385" t="str">
            <v>Compagnie Internationale de Negoce</v>
          </cell>
          <cell r="N385" t="str">
            <v>Compagnie Internationale de NegoceScratch 5 000</v>
          </cell>
          <cell r="O385" t="str">
            <v>Compagnie Internationale de Negoce</v>
          </cell>
          <cell r="P385" t="str">
            <v>Scratch 5 000</v>
          </cell>
          <cell r="Q385" t="str">
            <v>22007</v>
          </cell>
          <cell r="R385" t="str">
            <v>22007Scratch 5 000</v>
          </cell>
          <cell r="S385" t="str">
            <v>2007Scratch 5 000</v>
          </cell>
          <cell r="T385" t="str">
            <v>22007Compagnie Internationale de Negoce</v>
          </cell>
          <cell r="U385" t="str">
            <v>22007Compagnie Internationale de NegoceScratch 5 000</v>
          </cell>
          <cell r="V385" t="str">
            <v>39132Scratch 5 000</v>
          </cell>
          <cell r="W385" t="str">
            <v>2007Compagnie Internationale de Negoce</v>
          </cell>
          <cell r="X385" t="str">
            <v>2007Compagnie Internationale de NegoceScratch 5 000</v>
          </cell>
        </row>
        <row r="386">
          <cell r="I386">
            <v>2007</v>
          </cell>
          <cell r="J386" t="str">
            <v>ETS Boubacar TANDIAScratch 1 000</v>
          </cell>
          <cell r="L386">
            <v>1</v>
          </cell>
          <cell r="M386" t="str">
            <v>1ETS Boubacar TANDIA</v>
          </cell>
          <cell r="N386" t="str">
            <v>ETS Boubacar TANDIAScratch 1 000</v>
          </cell>
          <cell r="O386" t="str">
            <v>ETS Boubacar TANDIA</v>
          </cell>
          <cell r="P386" t="str">
            <v>Scratch 1 000</v>
          </cell>
          <cell r="Q386" t="str">
            <v>22007</v>
          </cell>
          <cell r="R386" t="str">
            <v>22007Scratch 1 000</v>
          </cell>
          <cell r="S386" t="str">
            <v>2007Scratch 1 000</v>
          </cell>
          <cell r="T386" t="str">
            <v>22007ETS Boubacar TANDIA</v>
          </cell>
          <cell r="U386" t="str">
            <v>22007ETS Boubacar TANDIAScratch 1 000</v>
          </cell>
          <cell r="V386" t="str">
            <v>39132Scratch 1 000</v>
          </cell>
          <cell r="W386" t="str">
            <v>2007ETS Boubacar TANDIA</v>
          </cell>
          <cell r="X386" t="str">
            <v>2007ETS Boubacar TANDIAScratch 1 000</v>
          </cell>
        </row>
        <row r="387">
          <cell r="I387">
            <v>2007</v>
          </cell>
          <cell r="J387" t="str">
            <v>ETS Boubacar TANDIAScratch 2 000</v>
          </cell>
          <cell r="L387">
            <v>0</v>
          </cell>
          <cell r="M387" t="str">
            <v>ETS Boubacar TANDIA</v>
          </cell>
          <cell r="N387" t="str">
            <v>ETS Boubacar TANDIAScratch 2 000</v>
          </cell>
          <cell r="O387" t="str">
            <v>ETS Boubacar TANDIA</v>
          </cell>
          <cell r="P387" t="str">
            <v>Scratch 2 000</v>
          </cell>
          <cell r="Q387" t="str">
            <v>22007</v>
          </cell>
          <cell r="R387" t="str">
            <v>22007Scratch 2 000</v>
          </cell>
          <cell r="S387" t="str">
            <v>2007Scratch 2 000</v>
          </cell>
          <cell r="T387" t="str">
            <v>22007ETS Boubacar TANDIA</v>
          </cell>
          <cell r="U387" t="str">
            <v>22007ETS Boubacar TANDIAScratch 2 000</v>
          </cell>
          <cell r="V387" t="str">
            <v>39132Scratch 2 000</v>
          </cell>
          <cell r="W387" t="str">
            <v>2007ETS Boubacar TANDIA</v>
          </cell>
          <cell r="X387" t="str">
            <v>2007ETS Boubacar TANDIAScratch 2 000</v>
          </cell>
        </row>
        <row r="388">
          <cell r="I388">
            <v>2007</v>
          </cell>
          <cell r="J388" t="str">
            <v>ETS Boubacar TANDIAScratch 5 000</v>
          </cell>
          <cell r="L388">
            <v>0</v>
          </cell>
          <cell r="M388" t="str">
            <v>ETS Boubacar TANDIA</v>
          </cell>
          <cell r="N388" t="str">
            <v>ETS Boubacar TANDIAScratch 5 000</v>
          </cell>
          <cell r="O388" t="str">
            <v>ETS Boubacar TANDIA</v>
          </cell>
          <cell r="P388" t="str">
            <v>Scratch 5 000</v>
          </cell>
          <cell r="Q388" t="str">
            <v>22007</v>
          </cell>
          <cell r="R388" t="str">
            <v>22007Scratch 5 000</v>
          </cell>
          <cell r="S388" t="str">
            <v>2007Scratch 5 000</v>
          </cell>
          <cell r="T388" t="str">
            <v>22007ETS Boubacar TANDIA</v>
          </cell>
          <cell r="U388" t="str">
            <v>22007ETS Boubacar TANDIAScratch 5 000</v>
          </cell>
          <cell r="V388" t="str">
            <v>39132Scratch 5 000</v>
          </cell>
          <cell r="W388" t="str">
            <v>2007ETS Boubacar TANDIA</v>
          </cell>
          <cell r="X388" t="str">
            <v>2007ETS Boubacar TANDIAScratch 5 000</v>
          </cell>
        </row>
        <row r="389">
          <cell r="I389">
            <v>2007</v>
          </cell>
          <cell r="J389" t="str">
            <v>ETS Boubacar TANDIAScratch 20 000</v>
          </cell>
          <cell r="L389">
            <v>0</v>
          </cell>
          <cell r="M389" t="str">
            <v>ETS Boubacar TANDIA</v>
          </cell>
          <cell r="N389" t="str">
            <v>ETS Boubacar TANDIAScratch 20 000</v>
          </cell>
          <cell r="O389" t="str">
            <v>ETS Boubacar TANDIA</v>
          </cell>
          <cell r="P389" t="str">
            <v>Scratch 20 000</v>
          </cell>
          <cell r="Q389" t="str">
            <v>22007</v>
          </cell>
          <cell r="R389" t="str">
            <v>22007Scratch 20 000</v>
          </cell>
          <cell r="S389" t="str">
            <v>2007Scratch 20 000</v>
          </cell>
          <cell r="T389" t="str">
            <v>22007ETS Boubacar TANDIA</v>
          </cell>
          <cell r="U389" t="str">
            <v>22007ETS Boubacar TANDIAScratch 20 000</v>
          </cell>
          <cell r="V389" t="str">
            <v>39132Scratch 20 000</v>
          </cell>
          <cell r="W389" t="str">
            <v>2007ETS Boubacar TANDIA</v>
          </cell>
          <cell r="X389" t="str">
            <v>2007ETS Boubacar TANDIAScratch 20 000</v>
          </cell>
        </row>
        <row r="390">
          <cell r="I390">
            <v>2007</v>
          </cell>
          <cell r="J390" t="str">
            <v>GEMATELScratch 1 000</v>
          </cell>
          <cell r="L390">
            <v>1</v>
          </cell>
          <cell r="M390" t="str">
            <v>1GEMATEL</v>
          </cell>
          <cell r="N390" t="str">
            <v>GEMATELScratch 1 000</v>
          </cell>
          <cell r="O390" t="str">
            <v>GEMATEL</v>
          </cell>
          <cell r="P390" t="str">
            <v>Scratch 1 000</v>
          </cell>
          <cell r="Q390" t="str">
            <v>22007</v>
          </cell>
          <cell r="R390" t="str">
            <v>22007Scratch 1 000</v>
          </cell>
          <cell r="S390" t="str">
            <v>2007Scratch 1 000</v>
          </cell>
          <cell r="T390" t="str">
            <v>22007GEMATEL</v>
          </cell>
          <cell r="U390" t="str">
            <v>22007GEMATELScratch 1 000</v>
          </cell>
          <cell r="V390" t="str">
            <v>39132Scratch 1 000</v>
          </cell>
          <cell r="W390" t="str">
            <v>2007GEMATEL</v>
          </cell>
          <cell r="X390" t="str">
            <v>2007GEMATELScratch 1 000</v>
          </cell>
        </row>
        <row r="391">
          <cell r="I391">
            <v>2007</v>
          </cell>
          <cell r="J391" t="str">
            <v>GEMATELScratch 2 000</v>
          </cell>
          <cell r="L391">
            <v>0</v>
          </cell>
          <cell r="M391" t="str">
            <v>GEMATEL</v>
          </cell>
          <cell r="N391" t="str">
            <v>GEMATELScratch 2 000</v>
          </cell>
          <cell r="O391" t="str">
            <v>GEMATEL</v>
          </cell>
          <cell r="P391" t="str">
            <v>Scratch 2 000</v>
          </cell>
          <cell r="Q391" t="str">
            <v>22007</v>
          </cell>
          <cell r="R391" t="str">
            <v>22007Scratch 2 000</v>
          </cell>
          <cell r="S391" t="str">
            <v>2007Scratch 2 000</v>
          </cell>
          <cell r="T391" t="str">
            <v>22007GEMATEL</v>
          </cell>
          <cell r="U391" t="str">
            <v>22007GEMATELScratch 2 000</v>
          </cell>
          <cell r="V391" t="str">
            <v>39132Scratch 2 000</v>
          </cell>
          <cell r="W391" t="str">
            <v>2007GEMATEL</v>
          </cell>
          <cell r="X391" t="str">
            <v>2007GEMATELScratch 2 000</v>
          </cell>
        </row>
        <row r="392">
          <cell r="I392">
            <v>2007</v>
          </cell>
          <cell r="J392" t="str">
            <v>GEMATELScratch 5 000</v>
          </cell>
          <cell r="L392">
            <v>0</v>
          </cell>
          <cell r="M392" t="str">
            <v>GEMATEL</v>
          </cell>
          <cell r="N392" t="str">
            <v>GEMATELScratch 5 000</v>
          </cell>
          <cell r="O392" t="str">
            <v>GEMATEL</v>
          </cell>
          <cell r="P392" t="str">
            <v>Scratch 5 000</v>
          </cell>
          <cell r="Q392" t="str">
            <v>22007</v>
          </cell>
          <cell r="R392" t="str">
            <v>22007Scratch 5 000</v>
          </cell>
          <cell r="S392" t="str">
            <v>2007Scratch 5 000</v>
          </cell>
          <cell r="T392" t="str">
            <v>22007GEMATEL</v>
          </cell>
          <cell r="U392" t="str">
            <v>22007GEMATELScratch 5 000</v>
          </cell>
          <cell r="V392" t="str">
            <v>39132Scratch 5 000</v>
          </cell>
          <cell r="W392" t="str">
            <v>2007GEMATEL</v>
          </cell>
          <cell r="X392" t="str">
            <v>2007GEMATELScratch 5 000</v>
          </cell>
        </row>
        <row r="393">
          <cell r="I393">
            <v>2007</v>
          </cell>
          <cell r="J393" t="str">
            <v>GEMATELScratch 1 000</v>
          </cell>
          <cell r="L393">
            <v>1</v>
          </cell>
          <cell r="M393" t="str">
            <v>1GEMATEL</v>
          </cell>
          <cell r="N393" t="str">
            <v>GEMATELScratch 1 000</v>
          </cell>
          <cell r="O393" t="str">
            <v>GEMATEL</v>
          </cell>
          <cell r="P393" t="str">
            <v>Scratch 1 000</v>
          </cell>
          <cell r="Q393" t="str">
            <v>22007</v>
          </cell>
          <cell r="R393" t="str">
            <v>22007Scratch 1 000</v>
          </cell>
          <cell r="S393" t="str">
            <v>2007Scratch 1 000</v>
          </cell>
          <cell r="T393" t="str">
            <v>22007GEMATEL</v>
          </cell>
          <cell r="U393" t="str">
            <v>22007GEMATELScratch 1 000</v>
          </cell>
          <cell r="V393" t="str">
            <v>39132Scratch 1 000</v>
          </cell>
          <cell r="W393" t="str">
            <v>2007GEMATEL</v>
          </cell>
          <cell r="X393" t="str">
            <v>2007GEMATELScratch 1 000</v>
          </cell>
        </row>
        <row r="394">
          <cell r="I394">
            <v>2007</v>
          </cell>
          <cell r="J394" t="str">
            <v>GEMATELScratch 2 000</v>
          </cell>
          <cell r="L394">
            <v>0</v>
          </cell>
          <cell r="M394" t="str">
            <v>GEMATEL</v>
          </cell>
          <cell r="N394" t="str">
            <v>GEMATELScratch 2 000</v>
          </cell>
          <cell r="O394" t="str">
            <v>GEMATEL</v>
          </cell>
          <cell r="P394" t="str">
            <v>Scratch 2 000</v>
          </cell>
          <cell r="Q394" t="str">
            <v>22007</v>
          </cell>
          <cell r="R394" t="str">
            <v>22007Scratch 2 000</v>
          </cell>
          <cell r="S394" t="str">
            <v>2007Scratch 2 000</v>
          </cell>
          <cell r="T394" t="str">
            <v>22007GEMATEL</v>
          </cell>
          <cell r="U394" t="str">
            <v>22007GEMATELScratch 2 000</v>
          </cell>
          <cell r="V394" t="str">
            <v>39132Scratch 2 000</v>
          </cell>
          <cell r="W394" t="str">
            <v>2007GEMATEL</v>
          </cell>
          <cell r="X394" t="str">
            <v>2007GEMATELScratch 2 000</v>
          </cell>
        </row>
        <row r="395">
          <cell r="I395">
            <v>2007</v>
          </cell>
          <cell r="J395" t="str">
            <v>GEMATELScratch 5 000</v>
          </cell>
          <cell r="L395">
            <v>0</v>
          </cell>
          <cell r="M395" t="str">
            <v>GEMATEL</v>
          </cell>
          <cell r="N395" t="str">
            <v>GEMATELScratch 5 000</v>
          </cell>
          <cell r="O395" t="str">
            <v>GEMATEL</v>
          </cell>
          <cell r="P395" t="str">
            <v>Scratch 5 000</v>
          </cell>
          <cell r="Q395" t="str">
            <v>22007</v>
          </cell>
          <cell r="R395" t="str">
            <v>22007Scratch 5 000</v>
          </cell>
          <cell r="S395" t="str">
            <v>2007Scratch 5 000</v>
          </cell>
          <cell r="T395" t="str">
            <v>22007GEMATEL</v>
          </cell>
          <cell r="U395" t="str">
            <v>22007GEMATELScratch 5 000</v>
          </cell>
          <cell r="V395" t="str">
            <v>39132Scratch 5 000</v>
          </cell>
          <cell r="W395" t="str">
            <v>2007GEMATEL</v>
          </cell>
          <cell r="X395" t="str">
            <v>2007GEMATELScratch 5 000</v>
          </cell>
        </row>
        <row r="396">
          <cell r="I396">
            <v>2007</v>
          </cell>
          <cell r="J396" t="str">
            <v>STS GAMBY &amp; FRERES (SOGAF) SarlScratch 1 000</v>
          </cell>
          <cell r="L396">
            <v>1</v>
          </cell>
          <cell r="M396" t="str">
            <v>1STS GAMBY &amp; FRERES (SOGAF) Sarl</v>
          </cell>
          <cell r="N396" t="str">
            <v>STS GAMBY &amp; FRERES (SOGAF) SarlScratch 1 000</v>
          </cell>
          <cell r="O396" t="str">
            <v>STS GAMBY &amp; FRERES (SOGAF) Sarl</v>
          </cell>
          <cell r="P396" t="str">
            <v>Scratch 1 000</v>
          </cell>
          <cell r="Q396" t="str">
            <v>22007</v>
          </cell>
          <cell r="R396" t="str">
            <v>22007Scratch 1 000</v>
          </cell>
          <cell r="S396" t="str">
            <v>2007Scratch 1 000</v>
          </cell>
          <cell r="T396" t="str">
            <v>22007STS GAMBY &amp; FRERES (SOGAF) Sarl</v>
          </cell>
          <cell r="U396" t="str">
            <v>22007STS GAMBY &amp; FRERES (SOGAF) SarlScratch 1 000</v>
          </cell>
          <cell r="V396" t="str">
            <v>39132Scratch 1 000</v>
          </cell>
          <cell r="W396" t="str">
            <v>2007STS GAMBY &amp; FRERES (SOGAF) Sarl</v>
          </cell>
          <cell r="X396" t="str">
            <v>2007STS GAMBY &amp; FRERES (SOGAF) SarlScratch 1 000</v>
          </cell>
        </row>
        <row r="397">
          <cell r="I397">
            <v>2007</v>
          </cell>
          <cell r="J397" t="str">
            <v>STS GAMBY &amp; FRERES (SOGAF) SarlScratch 2 000</v>
          </cell>
          <cell r="L397">
            <v>0</v>
          </cell>
          <cell r="M397" t="str">
            <v>STS GAMBY &amp; FRERES (SOGAF) Sarl</v>
          </cell>
          <cell r="N397" t="str">
            <v>STS GAMBY &amp; FRERES (SOGAF) SarlScratch 2 000</v>
          </cell>
          <cell r="O397" t="str">
            <v>STS GAMBY &amp; FRERES (SOGAF) Sarl</v>
          </cell>
          <cell r="P397" t="str">
            <v>Scratch 2 000</v>
          </cell>
          <cell r="Q397" t="str">
            <v>22007</v>
          </cell>
          <cell r="R397" t="str">
            <v>22007Scratch 2 000</v>
          </cell>
          <cell r="S397" t="str">
            <v>2007Scratch 2 000</v>
          </cell>
          <cell r="T397" t="str">
            <v>22007STS GAMBY &amp; FRERES (SOGAF) Sarl</v>
          </cell>
          <cell r="U397" t="str">
            <v>22007STS GAMBY &amp; FRERES (SOGAF) SarlScratch 2 000</v>
          </cell>
          <cell r="V397" t="str">
            <v>39132Scratch 2 000</v>
          </cell>
          <cell r="W397" t="str">
            <v>2007STS GAMBY &amp; FRERES (SOGAF) Sarl</v>
          </cell>
          <cell r="X397" t="str">
            <v>2007STS GAMBY &amp; FRERES (SOGAF) SarlScratch 2 000</v>
          </cell>
        </row>
        <row r="398">
          <cell r="I398">
            <v>2007</v>
          </cell>
          <cell r="J398" t="str">
            <v>STS GAMBY &amp; FRERES (SOGAF) SarlScratch 5 000</v>
          </cell>
          <cell r="L398">
            <v>0</v>
          </cell>
          <cell r="M398" t="str">
            <v>STS GAMBY &amp; FRERES (SOGAF) Sarl</v>
          </cell>
          <cell r="N398" t="str">
            <v>STS GAMBY &amp; FRERES (SOGAF) SarlScratch 5 000</v>
          </cell>
          <cell r="O398" t="str">
            <v>STS GAMBY &amp; FRERES (SOGAF) Sarl</v>
          </cell>
          <cell r="P398" t="str">
            <v>Scratch 5 000</v>
          </cell>
          <cell r="Q398" t="str">
            <v>22007</v>
          </cell>
          <cell r="R398" t="str">
            <v>22007Scratch 5 000</v>
          </cell>
          <cell r="S398" t="str">
            <v>2007Scratch 5 000</v>
          </cell>
          <cell r="T398" t="str">
            <v>22007STS GAMBY &amp; FRERES (SOGAF) Sarl</v>
          </cell>
          <cell r="U398" t="str">
            <v>22007STS GAMBY &amp; FRERES (SOGAF) SarlScratch 5 000</v>
          </cell>
          <cell r="V398" t="str">
            <v>39132Scratch 5 000</v>
          </cell>
          <cell r="W398" t="str">
            <v>2007STS GAMBY &amp; FRERES (SOGAF) Sarl</v>
          </cell>
          <cell r="X398" t="str">
            <v>2007STS GAMBY &amp; FRERES (SOGAF) SarlScratch 5 000</v>
          </cell>
        </row>
        <row r="399">
          <cell r="I399">
            <v>2007</v>
          </cell>
          <cell r="J399" t="str">
            <v>Burtel MacsymScratch 1 000</v>
          </cell>
          <cell r="L399">
            <v>1</v>
          </cell>
          <cell r="M399" t="str">
            <v>1Burtel Macsym</v>
          </cell>
          <cell r="N399" t="str">
            <v>Burtel MacsymScratch 1 000</v>
          </cell>
          <cell r="O399" t="str">
            <v>Burtel Macsym</v>
          </cell>
          <cell r="P399" t="str">
            <v>Scratch 1 000</v>
          </cell>
          <cell r="Q399" t="str">
            <v>22007</v>
          </cell>
          <cell r="R399" t="str">
            <v>22007Scratch 1 000</v>
          </cell>
          <cell r="S399" t="str">
            <v>2007Scratch 1 000</v>
          </cell>
          <cell r="T399" t="str">
            <v>22007Burtel Macsym</v>
          </cell>
          <cell r="U399" t="str">
            <v>22007Burtel MacsymScratch 1 000</v>
          </cell>
          <cell r="V399" t="str">
            <v>39132Scratch 1 000</v>
          </cell>
          <cell r="W399" t="str">
            <v>2007Burtel Macsym</v>
          </cell>
          <cell r="X399" t="str">
            <v>2007Burtel MacsymScratch 1 000</v>
          </cell>
        </row>
        <row r="400">
          <cell r="I400">
            <v>2007</v>
          </cell>
          <cell r="J400" t="str">
            <v>Burtel MacsymScratch 2 000</v>
          </cell>
          <cell r="L400">
            <v>0</v>
          </cell>
          <cell r="M400" t="str">
            <v>Burtel Macsym</v>
          </cell>
          <cell r="N400" t="str">
            <v>Burtel MacsymScratch 2 000</v>
          </cell>
          <cell r="O400" t="str">
            <v>Burtel Macsym</v>
          </cell>
          <cell r="P400" t="str">
            <v>Scratch 2 000</v>
          </cell>
          <cell r="Q400" t="str">
            <v>22007</v>
          </cell>
          <cell r="R400" t="str">
            <v>22007Scratch 2 000</v>
          </cell>
          <cell r="S400" t="str">
            <v>2007Scratch 2 000</v>
          </cell>
          <cell r="T400" t="str">
            <v>22007Burtel Macsym</v>
          </cell>
          <cell r="U400" t="str">
            <v>22007Burtel MacsymScratch 2 000</v>
          </cell>
          <cell r="V400" t="str">
            <v>39132Scratch 2 000</v>
          </cell>
          <cell r="W400" t="str">
            <v>2007Burtel Macsym</v>
          </cell>
          <cell r="X400" t="str">
            <v>2007Burtel MacsymScratch 2 000</v>
          </cell>
        </row>
        <row r="401">
          <cell r="I401">
            <v>2007</v>
          </cell>
          <cell r="J401" t="str">
            <v>Burtel MacsymScratch 5 000</v>
          </cell>
          <cell r="L401">
            <v>0</v>
          </cell>
          <cell r="M401" t="str">
            <v>Burtel Macsym</v>
          </cell>
          <cell r="N401" t="str">
            <v>Burtel MacsymScratch 5 000</v>
          </cell>
          <cell r="O401" t="str">
            <v>Burtel Macsym</v>
          </cell>
          <cell r="P401" t="str">
            <v>Scratch 5 000</v>
          </cell>
          <cell r="Q401" t="str">
            <v>22007</v>
          </cell>
          <cell r="R401" t="str">
            <v>22007Scratch 5 000</v>
          </cell>
          <cell r="S401" t="str">
            <v>2007Scratch 5 000</v>
          </cell>
          <cell r="T401" t="str">
            <v>22007Burtel Macsym</v>
          </cell>
          <cell r="U401" t="str">
            <v>22007Burtel MacsymScratch 5 000</v>
          </cell>
          <cell r="V401" t="str">
            <v>39132Scratch 5 000</v>
          </cell>
          <cell r="W401" t="str">
            <v>2007Burtel Macsym</v>
          </cell>
          <cell r="X401" t="str">
            <v>2007Burtel MacsymScratch 5 000</v>
          </cell>
        </row>
        <row r="402">
          <cell r="I402">
            <v>2007</v>
          </cell>
          <cell r="J402" t="str">
            <v>ANKA ServicesScratch 1 000</v>
          </cell>
          <cell r="L402">
            <v>1</v>
          </cell>
          <cell r="M402" t="str">
            <v>1ANKA Services</v>
          </cell>
          <cell r="N402" t="str">
            <v>ANKA ServicesScratch 1 000</v>
          </cell>
          <cell r="O402" t="str">
            <v>ANKA Services</v>
          </cell>
          <cell r="P402" t="str">
            <v>Scratch 1 000</v>
          </cell>
          <cell r="Q402" t="str">
            <v>22007</v>
          </cell>
          <cell r="R402" t="str">
            <v>22007Scratch 1 000</v>
          </cell>
          <cell r="S402" t="str">
            <v>2007Scratch 1 000</v>
          </cell>
          <cell r="T402" t="str">
            <v>22007ANKA Services</v>
          </cell>
          <cell r="U402" t="str">
            <v>22007ANKA ServicesScratch 1 000</v>
          </cell>
          <cell r="V402" t="str">
            <v>39132Scratch 1 000</v>
          </cell>
          <cell r="W402" t="str">
            <v>2007ANKA Services</v>
          </cell>
          <cell r="X402" t="str">
            <v>2007ANKA ServicesScratch 1 000</v>
          </cell>
        </row>
        <row r="403">
          <cell r="I403">
            <v>2007</v>
          </cell>
          <cell r="J403" t="str">
            <v>ANKA ServicesScratch 2 000</v>
          </cell>
          <cell r="L403">
            <v>0</v>
          </cell>
          <cell r="M403" t="str">
            <v>ANKA Services</v>
          </cell>
          <cell r="N403" t="str">
            <v>ANKA ServicesScratch 2 000</v>
          </cell>
          <cell r="O403" t="str">
            <v>ANKA Services</v>
          </cell>
          <cell r="P403" t="str">
            <v>Scratch 2 000</v>
          </cell>
          <cell r="Q403" t="str">
            <v>22007</v>
          </cell>
          <cell r="R403" t="str">
            <v>22007Scratch 2 000</v>
          </cell>
          <cell r="S403" t="str">
            <v>2007Scratch 2 000</v>
          </cell>
          <cell r="T403" t="str">
            <v>22007ANKA Services</v>
          </cell>
          <cell r="U403" t="str">
            <v>22007ANKA ServicesScratch 2 000</v>
          </cell>
          <cell r="V403" t="str">
            <v>39132Scratch 2 000</v>
          </cell>
          <cell r="W403" t="str">
            <v>2007ANKA Services</v>
          </cell>
          <cell r="X403" t="str">
            <v>2007ANKA ServicesScratch 2 000</v>
          </cell>
        </row>
        <row r="404">
          <cell r="I404">
            <v>2007</v>
          </cell>
          <cell r="J404" t="str">
            <v>ANKA ServicesScratch 5 000</v>
          </cell>
          <cell r="L404">
            <v>0</v>
          </cell>
          <cell r="M404" t="str">
            <v>ANKA Services</v>
          </cell>
          <cell r="N404" t="str">
            <v>ANKA ServicesScratch 5 000</v>
          </cell>
          <cell r="O404" t="str">
            <v>ANKA Services</v>
          </cell>
          <cell r="P404" t="str">
            <v>Scratch 5 000</v>
          </cell>
          <cell r="Q404" t="str">
            <v>22007</v>
          </cell>
          <cell r="R404" t="str">
            <v>22007Scratch 5 000</v>
          </cell>
          <cell r="S404" t="str">
            <v>2007Scratch 5 000</v>
          </cell>
          <cell r="T404" t="str">
            <v>22007ANKA Services</v>
          </cell>
          <cell r="U404" t="str">
            <v>22007ANKA ServicesScratch 5 000</v>
          </cell>
          <cell r="V404" t="str">
            <v>39132Scratch 5 000</v>
          </cell>
          <cell r="W404" t="str">
            <v>2007ANKA Services</v>
          </cell>
          <cell r="X404" t="str">
            <v>2007ANKA ServicesScratch 5 000</v>
          </cell>
        </row>
        <row r="405">
          <cell r="I405">
            <v>2007</v>
          </cell>
          <cell r="J405" t="str">
            <v>ETS Boubacar TANDIAScratch 1 000</v>
          </cell>
          <cell r="L405">
            <v>1</v>
          </cell>
          <cell r="M405" t="str">
            <v>1ETS Boubacar TANDIA</v>
          </cell>
          <cell r="N405" t="str">
            <v>ETS Boubacar TANDIAScratch 1 000</v>
          </cell>
          <cell r="O405" t="str">
            <v>ETS Boubacar TANDIA</v>
          </cell>
          <cell r="P405" t="str">
            <v>Scratch 1 000</v>
          </cell>
          <cell r="Q405" t="str">
            <v>22007</v>
          </cell>
          <cell r="R405" t="str">
            <v>22007Scratch 1 000</v>
          </cell>
          <cell r="S405" t="str">
            <v>2007Scratch 1 000</v>
          </cell>
          <cell r="T405" t="str">
            <v>22007ETS Boubacar TANDIA</v>
          </cell>
          <cell r="U405" t="str">
            <v>22007ETS Boubacar TANDIAScratch 1 000</v>
          </cell>
          <cell r="V405" t="str">
            <v>39132Scratch 1 000</v>
          </cell>
          <cell r="W405" t="str">
            <v>2007ETS Boubacar TANDIA</v>
          </cell>
          <cell r="X405" t="str">
            <v>2007ETS Boubacar TANDIAScratch 1 000</v>
          </cell>
        </row>
        <row r="406">
          <cell r="I406">
            <v>2007</v>
          </cell>
          <cell r="J406" t="str">
            <v>ETS Boubacar TANDIAScratch 2 000</v>
          </cell>
          <cell r="L406">
            <v>0</v>
          </cell>
          <cell r="M406" t="str">
            <v>ETS Boubacar TANDIA</v>
          </cell>
          <cell r="N406" t="str">
            <v>ETS Boubacar TANDIAScratch 2 000</v>
          </cell>
          <cell r="O406" t="str">
            <v>ETS Boubacar TANDIA</v>
          </cell>
          <cell r="P406" t="str">
            <v>Scratch 2 000</v>
          </cell>
          <cell r="Q406" t="str">
            <v>22007</v>
          </cell>
          <cell r="R406" t="str">
            <v>22007Scratch 2 000</v>
          </cell>
          <cell r="S406" t="str">
            <v>2007Scratch 2 000</v>
          </cell>
          <cell r="T406" t="str">
            <v>22007ETS Boubacar TANDIA</v>
          </cell>
          <cell r="U406" t="str">
            <v>22007ETS Boubacar TANDIAScratch 2 000</v>
          </cell>
          <cell r="V406" t="str">
            <v>39132Scratch 2 000</v>
          </cell>
          <cell r="W406" t="str">
            <v>2007ETS Boubacar TANDIA</v>
          </cell>
          <cell r="X406" t="str">
            <v>2007ETS Boubacar TANDIAScratch 2 000</v>
          </cell>
        </row>
        <row r="407">
          <cell r="I407">
            <v>2007</v>
          </cell>
          <cell r="J407" t="str">
            <v>ETS Boubacar TANDIAScratch 5 000</v>
          </cell>
          <cell r="L407">
            <v>0</v>
          </cell>
          <cell r="M407" t="str">
            <v>ETS Boubacar TANDIA</v>
          </cell>
          <cell r="N407" t="str">
            <v>ETS Boubacar TANDIAScratch 5 000</v>
          </cell>
          <cell r="O407" t="str">
            <v>ETS Boubacar TANDIA</v>
          </cell>
          <cell r="P407" t="str">
            <v>Scratch 5 000</v>
          </cell>
          <cell r="Q407" t="str">
            <v>22007</v>
          </cell>
          <cell r="R407" t="str">
            <v>22007Scratch 5 000</v>
          </cell>
          <cell r="S407" t="str">
            <v>2007Scratch 5 000</v>
          </cell>
          <cell r="T407" t="str">
            <v>22007ETS Boubacar TANDIA</v>
          </cell>
          <cell r="U407" t="str">
            <v>22007ETS Boubacar TANDIAScratch 5 000</v>
          </cell>
          <cell r="V407" t="str">
            <v>39132Scratch 5 000</v>
          </cell>
          <cell r="W407" t="str">
            <v>2007ETS Boubacar TANDIA</v>
          </cell>
          <cell r="X407" t="str">
            <v>2007ETS Boubacar TANDIAScratch 5 000</v>
          </cell>
        </row>
        <row r="408">
          <cell r="I408">
            <v>2007</v>
          </cell>
          <cell r="J408" t="str">
            <v>ETS Boubacar TANDIAScratch 20 000</v>
          </cell>
          <cell r="L408">
            <v>0</v>
          </cell>
          <cell r="M408" t="str">
            <v>ETS Boubacar TANDIA</v>
          </cell>
          <cell r="N408" t="str">
            <v>ETS Boubacar TANDIAScratch 20 000</v>
          </cell>
          <cell r="O408" t="str">
            <v>ETS Boubacar TANDIA</v>
          </cell>
          <cell r="P408" t="str">
            <v>Scratch 20 000</v>
          </cell>
          <cell r="Q408" t="str">
            <v>22007</v>
          </cell>
          <cell r="R408" t="str">
            <v>22007Scratch 20 000</v>
          </cell>
          <cell r="S408" t="str">
            <v>2007Scratch 20 000</v>
          </cell>
          <cell r="T408" t="str">
            <v>22007ETS Boubacar TANDIA</v>
          </cell>
          <cell r="U408" t="str">
            <v>22007ETS Boubacar TANDIAScratch 20 000</v>
          </cell>
          <cell r="V408" t="str">
            <v>39132Scratch 20 000</v>
          </cell>
          <cell r="W408" t="str">
            <v>2007ETS Boubacar TANDIA</v>
          </cell>
          <cell r="X408" t="str">
            <v>2007ETS Boubacar TANDIAScratch 20 000</v>
          </cell>
        </row>
        <row r="409">
          <cell r="I409">
            <v>2007</v>
          </cell>
          <cell r="J409" t="str">
            <v>Compagnie Internationale de NegoceScratch 1 000</v>
          </cell>
          <cell r="L409">
            <v>1</v>
          </cell>
          <cell r="M409" t="str">
            <v>1Compagnie Internationale de Negoce</v>
          </cell>
          <cell r="N409" t="str">
            <v>Compagnie Internationale de NegoceScratch 1 000</v>
          </cell>
          <cell r="O409" t="str">
            <v>Compagnie Internationale de Negoce</v>
          </cell>
          <cell r="P409" t="str">
            <v>Scratch 1 000</v>
          </cell>
          <cell r="Q409" t="str">
            <v>22007</v>
          </cell>
          <cell r="R409" t="str">
            <v>22007Scratch 1 000</v>
          </cell>
          <cell r="S409" t="str">
            <v>2007Scratch 1 000</v>
          </cell>
          <cell r="T409" t="str">
            <v>22007Compagnie Internationale de Negoce</v>
          </cell>
          <cell r="U409" t="str">
            <v>22007Compagnie Internationale de NegoceScratch 1 000</v>
          </cell>
          <cell r="V409" t="str">
            <v>39132Scratch 1 000</v>
          </cell>
          <cell r="W409" t="str">
            <v>2007Compagnie Internationale de Negoce</v>
          </cell>
          <cell r="X409" t="str">
            <v>2007Compagnie Internationale de NegoceScratch 1 000</v>
          </cell>
        </row>
        <row r="410">
          <cell r="I410">
            <v>2007</v>
          </cell>
          <cell r="J410" t="str">
            <v>Compagnie Internationale de NegoceScratch 2 000</v>
          </cell>
          <cell r="L410">
            <v>0</v>
          </cell>
          <cell r="M410" t="str">
            <v>Compagnie Internationale de Negoce</v>
          </cell>
          <cell r="N410" t="str">
            <v>Compagnie Internationale de NegoceScratch 2 000</v>
          </cell>
          <cell r="O410" t="str">
            <v>Compagnie Internationale de Negoce</v>
          </cell>
          <cell r="P410" t="str">
            <v>Scratch 2 000</v>
          </cell>
          <cell r="Q410" t="str">
            <v>22007</v>
          </cell>
          <cell r="R410" t="str">
            <v>22007Scratch 2 000</v>
          </cell>
          <cell r="S410" t="str">
            <v>2007Scratch 2 000</v>
          </cell>
          <cell r="T410" t="str">
            <v>22007Compagnie Internationale de Negoce</v>
          </cell>
          <cell r="U410" t="str">
            <v>22007Compagnie Internationale de NegoceScratch 2 000</v>
          </cell>
          <cell r="V410" t="str">
            <v>39132Scratch 2 000</v>
          </cell>
          <cell r="W410" t="str">
            <v>2007Compagnie Internationale de Negoce</v>
          </cell>
          <cell r="X410" t="str">
            <v>2007Compagnie Internationale de NegoceScratch 2 000</v>
          </cell>
        </row>
        <row r="411">
          <cell r="I411">
            <v>2007</v>
          </cell>
          <cell r="J411" t="str">
            <v>Compagnie Internationale de NegoceScratch 5 000</v>
          </cell>
          <cell r="L411">
            <v>0</v>
          </cell>
          <cell r="M411" t="str">
            <v>Compagnie Internationale de Negoce</v>
          </cell>
          <cell r="N411" t="str">
            <v>Compagnie Internationale de NegoceScratch 5 000</v>
          </cell>
          <cell r="O411" t="str">
            <v>Compagnie Internationale de Negoce</v>
          </cell>
          <cell r="P411" t="str">
            <v>Scratch 5 000</v>
          </cell>
          <cell r="Q411" t="str">
            <v>22007</v>
          </cell>
          <cell r="R411" t="str">
            <v>22007Scratch 5 000</v>
          </cell>
          <cell r="S411" t="str">
            <v>2007Scratch 5 000</v>
          </cell>
          <cell r="T411" t="str">
            <v>22007Compagnie Internationale de Negoce</v>
          </cell>
          <cell r="U411" t="str">
            <v>22007Compagnie Internationale de NegoceScratch 5 000</v>
          </cell>
          <cell r="V411" t="str">
            <v>39132Scratch 5 000</v>
          </cell>
          <cell r="W411" t="str">
            <v>2007Compagnie Internationale de Negoce</v>
          </cell>
          <cell r="X411" t="str">
            <v>2007Compagnie Internationale de NegoceScratch 5 000</v>
          </cell>
        </row>
        <row r="412">
          <cell r="I412">
            <v>2007</v>
          </cell>
          <cell r="J412" t="str">
            <v>Compagnie Internationale de NegoceScratch 20 000</v>
          </cell>
          <cell r="L412">
            <v>0</v>
          </cell>
          <cell r="M412" t="str">
            <v>Compagnie Internationale de Negoce</v>
          </cell>
          <cell r="N412" t="str">
            <v>Compagnie Internationale de NegoceScratch 20 000</v>
          </cell>
          <cell r="O412" t="str">
            <v>Compagnie Internationale de Negoce</v>
          </cell>
          <cell r="P412" t="str">
            <v>Scratch 20 000</v>
          </cell>
          <cell r="Q412" t="str">
            <v>22007</v>
          </cell>
          <cell r="R412" t="str">
            <v>22007Scratch 20 000</v>
          </cell>
          <cell r="S412" t="str">
            <v>2007Scratch 20 000</v>
          </cell>
          <cell r="T412" t="str">
            <v>22007Compagnie Internationale de Negoce</v>
          </cell>
          <cell r="U412" t="str">
            <v>22007Compagnie Internationale de NegoceScratch 20 000</v>
          </cell>
          <cell r="V412" t="str">
            <v>39132Scratch 20 000</v>
          </cell>
          <cell r="W412" t="str">
            <v>2007Compagnie Internationale de Negoce</v>
          </cell>
          <cell r="X412" t="str">
            <v>2007Compagnie Internationale de NegoceScratch 20 000</v>
          </cell>
        </row>
        <row r="413">
          <cell r="I413">
            <v>2007</v>
          </cell>
          <cell r="J413" t="str">
            <v>MALI COM SarlScratch 1 000</v>
          </cell>
          <cell r="L413">
            <v>1</v>
          </cell>
          <cell r="M413" t="str">
            <v>1MALI COM Sarl</v>
          </cell>
          <cell r="N413" t="str">
            <v>MALI COM SarlScratch 1 000</v>
          </cell>
          <cell r="O413" t="str">
            <v>MALI COM Sarl</v>
          </cell>
          <cell r="P413" t="str">
            <v>Scratch 1 000</v>
          </cell>
          <cell r="Q413" t="str">
            <v>22007</v>
          </cell>
          <cell r="R413" t="str">
            <v>22007Scratch 1 000</v>
          </cell>
          <cell r="S413" t="str">
            <v>2007Scratch 1 000</v>
          </cell>
          <cell r="T413" t="str">
            <v>22007MALI COM Sarl</v>
          </cell>
          <cell r="U413" t="str">
            <v>22007MALI COM SarlScratch 1 000</v>
          </cell>
          <cell r="V413" t="str">
            <v>39133Scratch 1 000</v>
          </cell>
          <cell r="W413" t="str">
            <v>2007MALI COM Sarl</v>
          </cell>
          <cell r="X413" t="str">
            <v>2007MALI COM SarlScratch 1 000</v>
          </cell>
        </row>
        <row r="414">
          <cell r="I414">
            <v>2007</v>
          </cell>
          <cell r="J414" t="str">
            <v>MALI COM SarlScratch 2 000</v>
          </cell>
          <cell r="L414">
            <v>0</v>
          </cell>
          <cell r="M414" t="str">
            <v>MALI COM Sarl</v>
          </cell>
          <cell r="N414" t="str">
            <v>MALI COM SarlScratch 2 000</v>
          </cell>
          <cell r="O414" t="str">
            <v>MALI COM Sarl</v>
          </cell>
          <cell r="P414" t="str">
            <v>Scratch 2 000</v>
          </cell>
          <cell r="Q414" t="str">
            <v>22007</v>
          </cell>
          <cell r="R414" t="str">
            <v>22007Scratch 2 000</v>
          </cell>
          <cell r="S414" t="str">
            <v>2007Scratch 2 000</v>
          </cell>
          <cell r="T414" t="str">
            <v>22007MALI COM Sarl</v>
          </cell>
          <cell r="U414" t="str">
            <v>22007MALI COM SarlScratch 2 000</v>
          </cell>
          <cell r="V414" t="str">
            <v>39133Scratch 2 000</v>
          </cell>
          <cell r="W414" t="str">
            <v>2007MALI COM Sarl</v>
          </cell>
          <cell r="X414" t="str">
            <v>2007MALI COM SarlScratch 2 000</v>
          </cell>
        </row>
        <row r="415">
          <cell r="I415">
            <v>2007</v>
          </cell>
          <cell r="J415" t="str">
            <v>MALI COM SarlScratch 5 000</v>
          </cell>
          <cell r="L415">
            <v>0</v>
          </cell>
          <cell r="M415" t="str">
            <v>MALI COM Sarl</v>
          </cell>
          <cell r="N415" t="str">
            <v>MALI COM SarlScratch 5 000</v>
          </cell>
          <cell r="O415" t="str">
            <v>MALI COM Sarl</v>
          </cell>
          <cell r="P415" t="str">
            <v>Scratch 5 000</v>
          </cell>
          <cell r="Q415" t="str">
            <v>22007</v>
          </cell>
          <cell r="R415" t="str">
            <v>22007Scratch 5 000</v>
          </cell>
          <cell r="S415" t="str">
            <v>2007Scratch 5 000</v>
          </cell>
          <cell r="T415" t="str">
            <v>22007MALI COM Sarl</v>
          </cell>
          <cell r="U415" t="str">
            <v>22007MALI COM SarlScratch 5 000</v>
          </cell>
          <cell r="V415" t="str">
            <v>39133Scratch 5 000</v>
          </cell>
          <cell r="W415" t="str">
            <v>2007MALI COM Sarl</v>
          </cell>
          <cell r="X415" t="str">
            <v>2007MALI COM SarlScratch 5 000</v>
          </cell>
        </row>
        <row r="416">
          <cell r="I416">
            <v>2007</v>
          </cell>
          <cell r="J416" t="str">
            <v>Bonneterie Nouvelle TelecomScratch 1 000</v>
          </cell>
          <cell r="L416">
            <v>1</v>
          </cell>
          <cell r="M416" t="str">
            <v>1Bonneterie Nouvelle Telecom</v>
          </cell>
          <cell r="N416" t="str">
            <v>Bonneterie Nouvelle TelecomScratch 1 000</v>
          </cell>
          <cell r="O416" t="str">
            <v>Bonneterie Nouvelle Telecom</v>
          </cell>
          <cell r="P416" t="str">
            <v>Scratch 1 000</v>
          </cell>
          <cell r="Q416" t="str">
            <v>22007</v>
          </cell>
          <cell r="R416" t="str">
            <v>22007Scratch 1 000</v>
          </cell>
          <cell r="S416" t="str">
            <v>2007Scratch 1 000</v>
          </cell>
          <cell r="T416" t="str">
            <v>22007Bonneterie Nouvelle Telecom</v>
          </cell>
          <cell r="U416" t="str">
            <v>22007Bonneterie Nouvelle TelecomScratch 1 000</v>
          </cell>
          <cell r="V416" t="str">
            <v>39134Scratch 1 000</v>
          </cell>
          <cell r="W416" t="str">
            <v>2007Bonneterie Nouvelle Telecom</v>
          </cell>
          <cell r="X416" t="str">
            <v>2007Bonneterie Nouvelle TelecomScratch 1 000</v>
          </cell>
        </row>
        <row r="417">
          <cell r="I417">
            <v>2007</v>
          </cell>
          <cell r="J417" t="str">
            <v>Bonneterie Nouvelle TelecomScratch 2 000</v>
          </cell>
          <cell r="L417">
            <v>0</v>
          </cell>
          <cell r="M417" t="str">
            <v>Bonneterie Nouvelle Telecom</v>
          </cell>
          <cell r="N417" t="str">
            <v>Bonneterie Nouvelle TelecomScratch 2 000</v>
          </cell>
          <cell r="O417" t="str">
            <v>Bonneterie Nouvelle Telecom</v>
          </cell>
          <cell r="P417" t="str">
            <v>Scratch 2 000</v>
          </cell>
          <cell r="Q417" t="str">
            <v>22007</v>
          </cell>
          <cell r="R417" t="str">
            <v>22007Scratch 2 000</v>
          </cell>
          <cell r="S417" t="str">
            <v>2007Scratch 2 000</v>
          </cell>
          <cell r="T417" t="str">
            <v>22007Bonneterie Nouvelle Telecom</v>
          </cell>
          <cell r="U417" t="str">
            <v>22007Bonneterie Nouvelle TelecomScratch 2 000</v>
          </cell>
          <cell r="V417" t="str">
            <v>39134Scratch 2 000</v>
          </cell>
          <cell r="W417" t="str">
            <v>2007Bonneterie Nouvelle Telecom</v>
          </cell>
          <cell r="X417" t="str">
            <v>2007Bonneterie Nouvelle TelecomScratch 2 000</v>
          </cell>
        </row>
        <row r="418">
          <cell r="I418">
            <v>2007</v>
          </cell>
          <cell r="J418" t="str">
            <v>Bonneterie Nouvelle TelecomScratch 5 000</v>
          </cell>
          <cell r="L418">
            <v>0</v>
          </cell>
          <cell r="M418" t="str">
            <v>Bonneterie Nouvelle Telecom</v>
          </cell>
          <cell r="N418" t="str">
            <v>Bonneterie Nouvelle TelecomScratch 5 000</v>
          </cell>
          <cell r="O418" t="str">
            <v>Bonneterie Nouvelle Telecom</v>
          </cell>
          <cell r="P418" t="str">
            <v>Scratch 5 000</v>
          </cell>
          <cell r="Q418" t="str">
            <v>22007</v>
          </cell>
          <cell r="R418" t="str">
            <v>22007Scratch 5 000</v>
          </cell>
          <cell r="S418" t="str">
            <v>2007Scratch 5 000</v>
          </cell>
          <cell r="T418" t="str">
            <v>22007Bonneterie Nouvelle Telecom</v>
          </cell>
          <cell r="U418" t="str">
            <v>22007Bonneterie Nouvelle TelecomScratch 5 000</v>
          </cell>
          <cell r="V418" t="str">
            <v>39134Scratch 5 000</v>
          </cell>
          <cell r="W418" t="str">
            <v>2007Bonneterie Nouvelle Telecom</v>
          </cell>
          <cell r="X418" t="str">
            <v>2007Bonneterie Nouvelle TelecomScratch 5 000</v>
          </cell>
        </row>
        <row r="419">
          <cell r="I419">
            <v>2007</v>
          </cell>
          <cell r="J419" t="str">
            <v>Bonneterie Nouvelle TelecomScratch 20 000</v>
          </cell>
          <cell r="L419">
            <v>0</v>
          </cell>
          <cell r="M419" t="str">
            <v>Bonneterie Nouvelle Telecom</v>
          </cell>
          <cell r="N419" t="str">
            <v>Bonneterie Nouvelle TelecomScratch 20 000</v>
          </cell>
          <cell r="O419" t="str">
            <v>Bonneterie Nouvelle Telecom</v>
          </cell>
          <cell r="P419" t="str">
            <v>Scratch 20 000</v>
          </cell>
          <cell r="Q419" t="str">
            <v>22007</v>
          </cell>
          <cell r="R419" t="str">
            <v>22007Scratch 20 000</v>
          </cell>
          <cell r="S419" t="str">
            <v>2007Scratch 20 000</v>
          </cell>
          <cell r="T419" t="str">
            <v>22007Bonneterie Nouvelle Telecom</v>
          </cell>
          <cell r="U419" t="str">
            <v>22007Bonneterie Nouvelle TelecomScratch 20 000</v>
          </cell>
          <cell r="V419" t="str">
            <v>39134Scratch 20 000</v>
          </cell>
          <cell r="W419" t="str">
            <v>2007Bonneterie Nouvelle Telecom</v>
          </cell>
          <cell r="X419" t="str">
            <v>2007Bonneterie Nouvelle TelecomScratch 20 000</v>
          </cell>
        </row>
        <row r="420">
          <cell r="I420">
            <v>2007</v>
          </cell>
          <cell r="J420" t="str">
            <v>ANKA ServicesScratch 1 000</v>
          </cell>
          <cell r="L420">
            <v>1</v>
          </cell>
          <cell r="M420" t="str">
            <v>1ANKA Services</v>
          </cell>
          <cell r="N420" t="str">
            <v>ANKA ServicesScratch 1 000</v>
          </cell>
          <cell r="O420" t="str">
            <v>ANKA Services</v>
          </cell>
          <cell r="P420" t="str">
            <v>Scratch 1 000</v>
          </cell>
          <cell r="Q420" t="str">
            <v>22007</v>
          </cell>
          <cell r="R420" t="str">
            <v>22007Scratch 1 000</v>
          </cell>
          <cell r="S420" t="str">
            <v>2007Scratch 1 000</v>
          </cell>
          <cell r="T420" t="str">
            <v>22007ANKA Services</v>
          </cell>
          <cell r="U420" t="str">
            <v>22007ANKA ServicesScratch 1 000</v>
          </cell>
          <cell r="V420" t="str">
            <v>39134Scratch 1 000</v>
          </cell>
          <cell r="W420" t="str">
            <v>2007ANKA Services</v>
          </cell>
          <cell r="X420" t="str">
            <v>2007ANKA ServicesScratch 1 000</v>
          </cell>
        </row>
        <row r="421">
          <cell r="I421">
            <v>2007</v>
          </cell>
          <cell r="J421" t="str">
            <v>ANKA ServicesScratch 2 000</v>
          </cell>
          <cell r="L421">
            <v>0</v>
          </cell>
          <cell r="M421" t="str">
            <v>ANKA Services</v>
          </cell>
          <cell r="N421" t="str">
            <v>ANKA ServicesScratch 2 000</v>
          </cell>
          <cell r="O421" t="str">
            <v>ANKA Services</v>
          </cell>
          <cell r="P421" t="str">
            <v>Scratch 2 000</v>
          </cell>
          <cell r="Q421" t="str">
            <v>22007</v>
          </cell>
          <cell r="R421" t="str">
            <v>22007Scratch 2 000</v>
          </cell>
          <cell r="S421" t="str">
            <v>2007Scratch 2 000</v>
          </cell>
          <cell r="T421" t="str">
            <v>22007ANKA Services</v>
          </cell>
          <cell r="U421" t="str">
            <v>22007ANKA ServicesScratch 2 000</v>
          </cell>
          <cell r="V421" t="str">
            <v>39134Scratch 2 000</v>
          </cell>
          <cell r="W421" t="str">
            <v>2007ANKA Services</v>
          </cell>
          <cell r="X421" t="str">
            <v>2007ANKA ServicesScratch 2 000</v>
          </cell>
        </row>
        <row r="422">
          <cell r="I422">
            <v>2007</v>
          </cell>
          <cell r="J422" t="str">
            <v>ANKA ServicesScratch 5 000</v>
          </cell>
          <cell r="L422">
            <v>0</v>
          </cell>
          <cell r="M422" t="str">
            <v>ANKA Services</v>
          </cell>
          <cell r="N422" t="str">
            <v>ANKA ServicesScratch 5 000</v>
          </cell>
          <cell r="O422" t="str">
            <v>ANKA Services</v>
          </cell>
          <cell r="P422" t="str">
            <v>Scratch 5 000</v>
          </cell>
          <cell r="Q422" t="str">
            <v>22007</v>
          </cell>
          <cell r="R422" t="str">
            <v>22007Scratch 5 000</v>
          </cell>
          <cell r="S422" t="str">
            <v>2007Scratch 5 000</v>
          </cell>
          <cell r="T422" t="str">
            <v>22007ANKA Services</v>
          </cell>
          <cell r="U422" t="str">
            <v>22007ANKA ServicesScratch 5 000</v>
          </cell>
          <cell r="V422" t="str">
            <v>39134Scratch 5 000</v>
          </cell>
          <cell r="W422" t="str">
            <v>2007ANKA Services</v>
          </cell>
          <cell r="X422" t="str">
            <v>2007ANKA ServicesScratch 5 000</v>
          </cell>
        </row>
        <row r="423">
          <cell r="I423">
            <v>2007</v>
          </cell>
          <cell r="J423" t="str">
            <v>Compagnie Internationale de NegoceScratch 1 000</v>
          </cell>
          <cell r="L423">
            <v>1</v>
          </cell>
          <cell r="M423" t="str">
            <v>1Compagnie Internationale de Negoce</v>
          </cell>
          <cell r="N423" t="str">
            <v>Compagnie Internationale de NegoceScratch 1 000</v>
          </cell>
          <cell r="O423" t="str">
            <v>Compagnie Internationale de Negoce</v>
          </cell>
          <cell r="P423" t="str">
            <v>Scratch 1 000</v>
          </cell>
          <cell r="Q423" t="str">
            <v>22007</v>
          </cell>
          <cell r="R423" t="str">
            <v>22007Scratch 1 000</v>
          </cell>
          <cell r="S423" t="str">
            <v>2007Scratch 1 000</v>
          </cell>
          <cell r="T423" t="str">
            <v>22007Compagnie Internationale de Negoce</v>
          </cell>
          <cell r="U423" t="str">
            <v>22007Compagnie Internationale de NegoceScratch 1 000</v>
          </cell>
          <cell r="V423" t="str">
            <v>39134Scratch 1 000</v>
          </cell>
          <cell r="W423" t="str">
            <v>2007Compagnie Internationale de Negoce</v>
          </cell>
          <cell r="X423" t="str">
            <v>2007Compagnie Internationale de NegoceScratch 1 000</v>
          </cell>
        </row>
        <row r="424">
          <cell r="I424">
            <v>2007</v>
          </cell>
          <cell r="J424" t="str">
            <v>Compagnie Internationale de NegoceScratch 2 000</v>
          </cell>
          <cell r="L424">
            <v>0</v>
          </cell>
          <cell r="M424" t="str">
            <v>Compagnie Internationale de Negoce</v>
          </cell>
          <cell r="N424" t="str">
            <v>Compagnie Internationale de NegoceScratch 2 000</v>
          </cell>
          <cell r="O424" t="str">
            <v>Compagnie Internationale de Negoce</v>
          </cell>
          <cell r="P424" t="str">
            <v>Scratch 2 000</v>
          </cell>
          <cell r="Q424" t="str">
            <v>22007</v>
          </cell>
          <cell r="R424" t="str">
            <v>22007Scratch 2 000</v>
          </cell>
          <cell r="S424" t="str">
            <v>2007Scratch 2 000</v>
          </cell>
          <cell r="T424" t="str">
            <v>22007Compagnie Internationale de Negoce</v>
          </cell>
          <cell r="U424" t="str">
            <v>22007Compagnie Internationale de NegoceScratch 2 000</v>
          </cell>
          <cell r="V424" t="str">
            <v>39134Scratch 2 000</v>
          </cell>
          <cell r="W424" t="str">
            <v>2007Compagnie Internationale de Negoce</v>
          </cell>
          <cell r="X424" t="str">
            <v>2007Compagnie Internationale de NegoceScratch 2 000</v>
          </cell>
        </row>
        <row r="425">
          <cell r="I425">
            <v>2007</v>
          </cell>
          <cell r="J425" t="str">
            <v>Compagnie Internationale de NegoceScratch 5 000</v>
          </cell>
          <cell r="L425">
            <v>0</v>
          </cell>
          <cell r="M425" t="str">
            <v>Compagnie Internationale de Negoce</v>
          </cell>
          <cell r="N425" t="str">
            <v>Compagnie Internationale de NegoceScratch 5 000</v>
          </cell>
          <cell r="O425" t="str">
            <v>Compagnie Internationale de Negoce</v>
          </cell>
          <cell r="P425" t="str">
            <v>Scratch 5 000</v>
          </cell>
          <cell r="Q425" t="str">
            <v>22007</v>
          </cell>
          <cell r="R425" t="str">
            <v>22007Scratch 5 000</v>
          </cell>
          <cell r="S425" t="str">
            <v>2007Scratch 5 000</v>
          </cell>
          <cell r="T425" t="str">
            <v>22007Compagnie Internationale de Negoce</v>
          </cell>
          <cell r="U425" t="str">
            <v>22007Compagnie Internationale de NegoceScratch 5 000</v>
          </cell>
          <cell r="V425" t="str">
            <v>39134Scratch 5 000</v>
          </cell>
          <cell r="W425" t="str">
            <v>2007Compagnie Internationale de Negoce</v>
          </cell>
          <cell r="X425" t="str">
            <v>2007Compagnie Internationale de NegoceScratch 5 000</v>
          </cell>
        </row>
        <row r="426">
          <cell r="I426">
            <v>2007</v>
          </cell>
          <cell r="J426" t="str">
            <v>SOLEIL LEVANTScratch 1 000</v>
          </cell>
          <cell r="L426">
            <v>1</v>
          </cell>
          <cell r="M426" t="str">
            <v>1SOLEIL LEVANT</v>
          </cell>
          <cell r="N426" t="str">
            <v>SOLEIL LEVANTScratch 1 000</v>
          </cell>
          <cell r="O426" t="str">
            <v>SOLEIL LEVANT</v>
          </cell>
          <cell r="P426" t="str">
            <v>Scratch 1 000</v>
          </cell>
          <cell r="Q426" t="str">
            <v>22007</v>
          </cell>
          <cell r="R426" t="str">
            <v>22007Scratch 1 000</v>
          </cell>
          <cell r="S426" t="str">
            <v>2007Scratch 1 000</v>
          </cell>
          <cell r="T426" t="str">
            <v>22007SOLEIL LEVANT</v>
          </cell>
          <cell r="U426" t="str">
            <v>22007SOLEIL LEVANTScratch 1 000</v>
          </cell>
          <cell r="V426" t="str">
            <v>39134Scratch 1 000</v>
          </cell>
          <cell r="W426" t="str">
            <v>2007SOLEIL LEVANT</v>
          </cell>
          <cell r="X426" t="str">
            <v>2007SOLEIL LEVANTScratch 1 000</v>
          </cell>
        </row>
        <row r="427">
          <cell r="I427">
            <v>2007</v>
          </cell>
          <cell r="J427" t="str">
            <v>SOLEIL LEVANTScratch 2 000</v>
          </cell>
          <cell r="L427">
            <v>0</v>
          </cell>
          <cell r="M427" t="str">
            <v>SOLEIL LEVANT</v>
          </cell>
          <cell r="N427" t="str">
            <v>SOLEIL LEVANTScratch 2 000</v>
          </cell>
          <cell r="O427" t="str">
            <v>SOLEIL LEVANT</v>
          </cell>
          <cell r="P427" t="str">
            <v>Scratch 2 000</v>
          </cell>
          <cell r="Q427" t="str">
            <v>22007</v>
          </cell>
          <cell r="R427" t="str">
            <v>22007Scratch 2 000</v>
          </cell>
          <cell r="S427" t="str">
            <v>2007Scratch 2 000</v>
          </cell>
          <cell r="T427" t="str">
            <v>22007SOLEIL LEVANT</v>
          </cell>
          <cell r="U427" t="str">
            <v>22007SOLEIL LEVANTScratch 2 000</v>
          </cell>
          <cell r="V427" t="str">
            <v>39134Scratch 2 000</v>
          </cell>
          <cell r="W427" t="str">
            <v>2007SOLEIL LEVANT</v>
          </cell>
          <cell r="X427" t="str">
            <v>2007SOLEIL LEVANTScratch 2 000</v>
          </cell>
        </row>
        <row r="428">
          <cell r="I428">
            <v>2007</v>
          </cell>
          <cell r="J428" t="str">
            <v>SOLEIL LEVANTScratch 5 000</v>
          </cell>
          <cell r="L428">
            <v>0</v>
          </cell>
          <cell r="M428" t="str">
            <v>SOLEIL LEVANT</v>
          </cell>
          <cell r="N428" t="str">
            <v>SOLEIL LEVANTScratch 5 000</v>
          </cell>
          <cell r="O428" t="str">
            <v>SOLEIL LEVANT</v>
          </cell>
          <cell r="P428" t="str">
            <v>Scratch 5 000</v>
          </cell>
          <cell r="Q428" t="str">
            <v>22007</v>
          </cell>
          <cell r="R428" t="str">
            <v>22007Scratch 5 000</v>
          </cell>
          <cell r="S428" t="str">
            <v>2007Scratch 5 000</v>
          </cell>
          <cell r="T428" t="str">
            <v>22007SOLEIL LEVANT</v>
          </cell>
          <cell r="U428" t="str">
            <v>22007SOLEIL LEVANTScratch 5 000</v>
          </cell>
          <cell r="V428" t="str">
            <v>39134Scratch 5 000</v>
          </cell>
          <cell r="W428" t="str">
            <v>2007SOLEIL LEVANT</v>
          </cell>
          <cell r="X428" t="str">
            <v>2007SOLEIL LEVANTScratch 5 000</v>
          </cell>
        </row>
        <row r="429">
          <cell r="I429">
            <v>2007</v>
          </cell>
          <cell r="J429" t="str">
            <v>SOLEIL LEVANTScratch 10 000</v>
          </cell>
          <cell r="L429">
            <v>0</v>
          </cell>
          <cell r="M429" t="str">
            <v>SOLEIL LEVANT</v>
          </cell>
          <cell r="N429" t="str">
            <v>SOLEIL LEVANTScratch 10 000</v>
          </cell>
          <cell r="O429" t="str">
            <v>SOLEIL LEVANT</v>
          </cell>
          <cell r="P429" t="str">
            <v>Scratch 10 000</v>
          </cell>
          <cell r="Q429" t="str">
            <v>22007</v>
          </cell>
          <cell r="R429" t="str">
            <v>22007Scratch 10 000</v>
          </cell>
          <cell r="S429" t="str">
            <v>2007Scratch 10 000</v>
          </cell>
          <cell r="T429" t="str">
            <v>22007SOLEIL LEVANT</v>
          </cell>
          <cell r="U429" t="str">
            <v>22007SOLEIL LEVANTScratch 10 000</v>
          </cell>
          <cell r="V429" t="str">
            <v>39134Scratch 10 000</v>
          </cell>
          <cell r="W429" t="str">
            <v>2007SOLEIL LEVANT</v>
          </cell>
          <cell r="X429" t="str">
            <v>2007SOLEIL LEVANTScratch 10 000</v>
          </cell>
        </row>
        <row r="430">
          <cell r="I430">
            <v>2007</v>
          </cell>
          <cell r="J430" t="str">
            <v>SOLEIL LEVANTScratch 20 000</v>
          </cell>
          <cell r="L430">
            <v>0</v>
          </cell>
          <cell r="M430" t="str">
            <v>SOLEIL LEVANT</v>
          </cell>
          <cell r="N430" t="str">
            <v>SOLEIL LEVANTScratch 20 000</v>
          </cell>
          <cell r="O430" t="str">
            <v>SOLEIL LEVANT</v>
          </cell>
          <cell r="P430" t="str">
            <v>Scratch 20 000</v>
          </cell>
          <cell r="Q430" t="str">
            <v>22007</v>
          </cell>
          <cell r="R430" t="str">
            <v>22007Scratch 20 000</v>
          </cell>
          <cell r="S430" t="str">
            <v>2007Scratch 20 000</v>
          </cell>
          <cell r="T430" t="str">
            <v>22007SOLEIL LEVANT</v>
          </cell>
          <cell r="U430" t="str">
            <v>22007SOLEIL LEVANTScratch 20 000</v>
          </cell>
          <cell r="V430" t="str">
            <v>39134Scratch 20 000</v>
          </cell>
          <cell r="W430" t="str">
            <v>2007SOLEIL LEVANT</v>
          </cell>
          <cell r="X430" t="str">
            <v>2007SOLEIL LEVANTScratch 20 000</v>
          </cell>
        </row>
        <row r="431">
          <cell r="I431">
            <v>2007</v>
          </cell>
          <cell r="J431" t="str">
            <v>GEMATELScratch 1 000</v>
          </cell>
          <cell r="L431">
            <v>1</v>
          </cell>
          <cell r="M431" t="str">
            <v>1GEMATEL</v>
          </cell>
          <cell r="N431" t="str">
            <v>GEMATELScratch 1 000</v>
          </cell>
          <cell r="O431" t="str">
            <v>GEMATEL</v>
          </cell>
          <cell r="P431" t="str">
            <v>Scratch 1 000</v>
          </cell>
          <cell r="Q431" t="str">
            <v>22007</v>
          </cell>
          <cell r="R431" t="str">
            <v>22007Scratch 1 000</v>
          </cell>
          <cell r="S431" t="str">
            <v>2007Scratch 1 000</v>
          </cell>
          <cell r="T431" t="str">
            <v>22007GEMATEL</v>
          </cell>
          <cell r="U431" t="str">
            <v>22007GEMATELScratch 1 000</v>
          </cell>
          <cell r="V431" t="str">
            <v>39134Scratch 1 000</v>
          </cell>
          <cell r="W431" t="str">
            <v>2007GEMATEL</v>
          </cell>
          <cell r="X431" t="str">
            <v>2007GEMATELScratch 1 000</v>
          </cell>
        </row>
        <row r="432">
          <cell r="I432">
            <v>2007</v>
          </cell>
          <cell r="J432" t="str">
            <v>GEMATELScratch 2 000</v>
          </cell>
          <cell r="L432">
            <v>0</v>
          </cell>
          <cell r="M432" t="str">
            <v>GEMATEL</v>
          </cell>
          <cell r="N432" t="str">
            <v>GEMATELScratch 2 000</v>
          </cell>
          <cell r="O432" t="str">
            <v>GEMATEL</v>
          </cell>
          <cell r="P432" t="str">
            <v>Scratch 2 000</v>
          </cell>
          <cell r="Q432" t="str">
            <v>22007</v>
          </cell>
          <cell r="R432" t="str">
            <v>22007Scratch 2 000</v>
          </cell>
          <cell r="S432" t="str">
            <v>2007Scratch 2 000</v>
          </cell>
          <cell r="T432" t="str">
            <v>22007GEMATEL</v>
          </cell>
          <cell r="U432" t="str">
            <v>22007GEMATELScratch 2 000</v>
          </cell>
          <cell r="V432" t="str">
            <v>39134Scratch 2 000</v>
          </cell>
          <cell r="W432" t="str">
            <v>2007GEMATEL</v>
          </cell>
          <cell r="X432" t="str">
            <v>2007GEMATELScratch 2 000</v>
          </cell>
        </row>
        <row r="433">
          <cell r="I433">
            <v>2007</v>
          </cell>
          <cell r="J433" t="str">
            <v>GEMATELScratch 5 000</v>
          </cell>
          <cell r="L433">
            <v>0</v>
          </cell>
          <cell r="M433" t="str">
            <v>GEMATEL</v>
          </cell>
          <cell r="N433" t="str">
            <v>GEMATELScratch 5 000</v>
          </cell>
          <cell r="O433" t="str">
            <v>GEMATEL</v>
          </cell>
          <cell r="P433" t="str">
            <v>Scratch 5 000</v>
          </cell>
          <cell r="Q433" t="str">
            <v>22007</v>
          </cell>
          <cell r="R433" t="str">
            <v>22007Scratch 5 000</v>
          </cell>
          <cell r="S433" t="str">
            <v>2007Scratch 5 000</v>
          </cell>
          <cell r="T433" t="str">
            <v>22007GEMATEL</v>
          </cell>
          <cell r="U433" t="str">
            <v>22007GEMATELScratch 5 000</v>
          </cell>
          <cell r="V433" t="str">
            <v>39134Scratch 5 000</v>
          </cell>
          <cell r="W433" t="str">
            <v>2007GEMATEL</v>
          </cell>
          <cell r="X433" t="str">
            <v>2007GEMATELScratch 5 000</v>
          </cell>
        </row>
        <row r="434">
          <cell r="I434">
            <v>2007</v>
          </cell>
          <cell r="J434" t="str">
            <v>GEMATELScratch 10 000</v>
          </cell>
          <cell r="L434">
            <v>0</v>
          </cell>
          <cell r="M434" t="str">
            <v>GEMATEL</v>
          </cell>
          <cell r="N434" t="str">
            <v>GEMATELScratch 10 000</v>
          </cell>
          <cell r="O434" t="str">
            <v>GEMATEL</v>
          </cell>
          <cell r="P434" t="str">
            <v>Scratch 10 000</v>
          </cell>
          <cell r="Q434" t="str">
            <v>22007</v>
          </cell>
          <cell r="R434" t="str">
            <v>22007Scratch 10 000</v>
          </cell>
          <cell r="S434" t="str">
            <v>2007Scratch 10 000</v>
          </cell>
          <cell r="T434" t="str">
            <v>22007GEMATEL</v>
          </cell>
          <cell r="U434" t="str">
            <v>22007GEMATELScratch 10 000</v>
          </cell>
          <cell r="V434" t="str">
            <v>39134Scratch 10 000</v>
          </cell>
          <cell r="W434" t="str">
            <v>2007GEMATEL</v>
          </cell>
          <cell r="X434" t="str">
            <v>2007GEMATELScratch 10 000</v>
          </cell>
        </row>
        <row r="435">
          <cell r="I435">
            <v>2007</v>
          </cell>
          <cell r="J435" t="str">
            <v>STS GAMBY &amp; FRERES (SOGAF) SarlScratch 1 000</v>
          </cell>
          <cell r="L435">
            <v>1</v>
          </cell>
          <cell r="M435" t="str">
            <v>1STS GAMBY &amp; FRERES (SOGAF) Sarl</v>
          </cell>
          <cell r="N435" t="str">
            <v>STS GAMBY &amp; FRERES (SOGAF) SarlScratch 1 000</v>
          </cell>
          <cell r="O435" t="str">
            <v>STS GAMBY &amp; FRERES (SOGAF) Sarl</v>
          </cell>
          <cell r="P435" t="str">
            <v>Scratch 1 000</v>
          </cell>
          <cell r="Q435" t="str">
            <v>22007</v>
          </cell>
          <cell r="R435" t="str">
            <v>22007Scratch 1 000</v>
          </cell>
          <cell r="S435" t="str">
            <v>2007Scratch 1 000</v>
          </cell>
          <cell r="T435" t="str">
            <v>22007STS GAMBY &amp; FRERES (SOGAF) Sarl</v>
          </cell>
          <cell r="U435" t="str">
            <v>22007STS GAMBY &amp; FRERES (SOGAF) SarlScratch 1 000</v>
          </cell>
          <cell r="V435" t="str">
            <v>39134Scratch 1 000</v>
          </cell>
          <cell r="W435" t="str">
            <v>2007STS GAMBY &amp; FRERES (SOGAF) Sarl</v>
          </cell>
          <cell r="X435" t="str">
            <v>2007STS GAMBY &amp; FRERES (SOGAF) SarlScratch 1 000</v>
          </cell>
        </row>
        <row r="436">
          <cell r="I436">
            <v>2007</v>
          </cell>
          <cell r="J436" t="str">
            <v>STS GAMBY &amp; FRERES (SOGAF) SarlScratch 2 000</v>
          </cell>
          <cell r="L436">
            <v>0</v>
          </cell>
          <cell r="M436" t="str">
            <v>STS GAMBY &amp; FRERES (SOGAF) Sarl</v>
          </cell>
          <cell r="N436" t="str">
            <v>STS GAMBY &amp; FRERES (SOGAF) SarlScratch 2 000</v>
          </cell>
          <cell r="O436" t="str">
            <v>STS GAMBY &amp; FRERES (SOGAF) Sarl</v>
          </cell>
          <cell r="P436" t="str">
            <v>Scratch 2 000</v>
          </cell>
          <cell r="Q436" t="str">
            <v>22007</v>
          </cell>
          <cell r="R436" t="str">
            <v>22007Scratch 2 000</v>
          </cell>
          <cell r="S436" t="str">
            <v>2007Scratch 2 000</v>
          </cell>
          <cell r="T436" t="str">
            <v>22007STS GAMBY &amp; FRERES (SOGAF) Sarl</v>
          </cell>
          <cell r="U436" t="str">
            <v>22007STS GAMBY &amp; FRERES (SOGAF) SarlScratch 2 000</v>
          </cell>
          <cell r="V436" t="str">
            <v>39134Scratch 2 000</v>
          </cell>
          <cell r="W436" t="str">
            <v>2007STS GAMBY &amp; FRERES (SOGAF) Sarl</v>
          </cell>
          <cell r="X436" t="str">
            <v>2007STS GAMBY &amp; FRERES (SOGAF) SarlScratch 2 000</v>
          </cell>
        </row>
        <row r="437">
          <cell r="I437">
            <v>2007</v>
          </cell>
          <cell r="J437" t="str">
            <v>STS GAMBY &amp; FRERES (SOGAF) SarlScratch 5 000</v>
          </cell>
          <cell r="L437">
            <v>0</v>
          </cell>
          <cell r="M437" t="str">
            <v>STS GAMBY &amp; FRERES (SOGAF) Sarl</v>
          </cell>
          <cell r="N437" t="str">
            <v>STS GAMBY &amp; FRERES (SOGAF) SarlScratch 5 000</v>
          </cell>
          <cell r="O437" t="str">
            <v>STS GAMBY &amp; FRERES (SOGAF) Sarl</v>
          </cell>
          <cell r="P437" t="str">
            <v>Scratch 5 000</v>
          </cell>
          <cell r="Q437" t="str">
            <v>22007</v>
          </cell>
          <cell r="R437" t="str">
            <v>22007Scratch 5 000</v>
          </cell>
          <cell r="S437" t="str">
            <v>2007Scratch 5 000</v>
          </cell>
          <cell r="T437" t="str">
            <v>22007STS GAMBY &amp; FRERES (SOGAF) Sarl</v>
          </cell>
          <cell r="U437" t="str">
            <v>22007STS GAMBY &amp; FRERES (SOGAF) SarlScratch 5 000</v>
          </cell>
          <cell r="V437" t="str">
            <v>39134Scratch 5 000</v>
          </cell>
          <cell r="W437" t="str">
            <v>2007STS GAMBY &amp; FRERES (SOGAF) Sarl</v>
          </cell>
          <cell r="X437" t="str">
            <v>2007STS GAMBY &amp; FRERES (SOGAF) SarlScratch 5 000</v>
          </cell>
        </row>
        <row r="438">
          <cell r="I438">
            <v>2007</v>
          </cell>
          <cell r="J438" t="str">
            <v>STS GAMBY &amp; FRERES (SOGAF) SarlScratch 20 000</v>
          </cell>
          <cell r="L438">
            <v>0</v>
          </cell>
          <cell r="M438" t="str">
            <v>STS GAMBY &amp; FRERES (SOGAF) Sarl</v>
          </cell>
          <cell r="N438" t="str">
            <v>STS GAMBY &amp; FRERES (SOGAF) SarlScratch 20 000</v>
          </cell>
          <cell r="O438" t="str">
            <v>STS GAMBY &amp; FRERES (SOGAF) Sarl</v>
          </cell>
          <cell r="P438" t="str">
            <v>Scratch 20 000</v>
          </cell>
          <cell r="Q438" t="str">
            <v>22007</v>
          </cell>
          <cell r="R438" t="str">
            <v>22007Scratch 20 000</v>
          </cell>
          <cell r="S438" t="str">
            <v>2007Scratch 20 000</v>
          </cell>
          <cell r="T438" t="str">
            <v>22007STS GAMBY &amp; FRERES (SOGAF) Sarl</v>
          </cell>
          <cell r="U438" t="str">
            <v>22007STS GAMBY &amp; FRERES (SOGAF) SarlScratch 20 000</v>
          </cell>
          <cell r="V438" t="str">
            <v>39134Scratch 20 000</v>
          </cell>
          <cell r="W438" t="str">
            <v>2007STS GAMBY &amp; FRERES (SOGAF) Sarl</v>
          </cell>
          <cell r="X438" t="str">
            <v>2007STS GAMBY &amp; FRERES (SOGAF) SarlScratch 20 000</v>
          </cell>
        </row>
        <row r="439">
          <cell r="I439">
            <v>2007</v>
          </cell>
          <cell r="J439" t="str">
            <v>GEMATELScratch 1 000</v>
          </cell>
          <cell r="L439">
            <v>1</v>
          </cell>
          <cell r="M439" t="str">
            <v>1GEMATEL</v>
          </cell>
          <cell r="N439" t="str">
            <v>GEMATELScratch 1 000</v>
          </cell>
          <cell r="O439" t="str">
            <v>GEMATEL</v>
          </cell>
          <cell r="P439" t="str">
            <v>Scratch 1 000</v>
          </cell>
          <cell r="Q439" t="str">
            <v>22007</v>
          </cell>
          <cell r="R439" t="str">
            <v>22007Scratch 1 000</v>
          </cell>
          <cell r="S439" t="str">
            <v>2007Scratch 1 000</v>
          </cell>
          <cell r="T439" t="str">
            <v>22007GEMATEL</v>
          </cell>
          <cell r="U439" t="str">
            <v>22007GEMATELScratch 1 000</v>
          </cell>
          <cell r="V439" t="str">
            <v>39134Scratch 1 000</v>
          </cell>
          <cell r="W439" t="str">
            <v>2007GEMATEL</v>
          </cell>
          <cell r="X439" t="str">
            <v>2007GEMATELScratch 1 000</v>
          </cell>
        </row>
        <row r="440">
          <cell r="I440">
            <v>2007</v>
          </cell>
          <cell r="J440" t="str">
            <v>GEMATELScratch 2 000</v>
          </cell>
          <cell r="L440">
            <v>0</v>
          </cell>
          <cell r="M440" t="str">
            <v>GEMATEL</v>
          </cell>
          <cell r="N440" t="str">
            <v>GEMATELScratch 2 000</v>
          </cell>
          <cell r="O440" t="str">
            <v>GEMATEL</v>
          </cell>
          <cell r="P440" t="str">
            <v>Scratch 2 000</v>
          </cell>
          <cell r="Q440" t="str">
            <v>22007</v>
          </cell>
          <cell r="R440" t="str">
            <v>22007Scratch 2 000</v>
          </cell>
          <cell r="S440" t="str">
            <v>2007Scratch 2 000</v>
          </cell>
          <cell r="T440" t="str">
            <v>22007GEMATEL</v>
          </cell>
          <cell r="U440" t="str">
            <v>22007GEMATELScratch 2 000</v>
          </cell>
          <cell r="V440" t="str">
            <v>39135Scratch 2 000</v>
          </cell>
          <cell r="W440" t="str">
            <v>2007GEMATEL</v>
          </cell>
          <cell r="X440" t="str">
            <v>2007GEMATELScratch 2 000</v>
          </cell>
        </row>
        <row r="441">
          <cell r="I441">
            <v>2007</v>
          </cell>
          <cell r="J441" t="str">
            <v>GEMATELScratch 5 000</v>
          </cell>
          <cell r="L441">
            <v>0</v>
          </cell>
          <cell r="M441" t="str">
            <v>GEMATEL</v>
          </cell>
          <cell r="N441" t="str">
            <v>GEMATELScratch 5 000</v>
          </cell>
          <cell r="O441" t="str">
            <v>GEMATEL</v>
          </cell>
          <cell r="P441" t="str">
            <v>Scratch 5 000</v>
          </cell>
          <cell r="Q441" t="str">
            <v>22007</v>
          </cell>
          <cell r="R441" t="str">
            <v>22007Scratch 5 000</v>
          </cell>
          <cell r="S441" t="str">
            <v>2007Scratch 5 000</v>
          </cell>
          <cell r="T441" t="str">
            <v>22007GEMATEL</v>
          </cell>
          <cell r="U441" t="str">
            <v>22007GEMATELScratch 5 000</v>
          </cell>
          <cell r="V441" t="str">
            <v>39135Scratch 5 000</v>
          </cell>
          <cell r="W441" t="str">
            <v>2007GEMATEL</v>
          </cell>
          <cell r="X441" t="str">
            <v>2007GEMATELScratch 5 000</v>
          </cell>
        </row>
        <row r="442">
          <cell r="I442">
            <v>2007</v>
          </cell>
          <cell r="J442" t="str">
            <v>GEMATELScratch 10 000</v>
          </cell>
          <cell r="L442">
            <v>0</v>
          </cell>
          <cell r="M442" t="str">
            <v>GEMATEL</v>
          </cell>
          <cell r="N442" t="str">
            <v>GEMATELScratch 10 000</v>
          </cell>
          <cell r="O442" t="str">
            <v>GEMATEL</v>
          </cell>
          <cell r="P442" t="str">
            <v>Scratch 10 000</v>
          </cell>
          <cell r="Q442" t="str">
            <v>22007</v>
          </cell>
          <cell r="R442" t="str">
            <v>22007Scratch 10 000</v>
          </cell>
          <cell r="S442" t="str">
            <v>2007Scratch 10 000</v>
          </cell>
          <cell r="T442" t="str">
            <v>22007GEMATEL</v>
          </cell>
          <cell r="U442" t="str">
            <v>22007GEMATELScratch 10 000</v>
          </cell>
          <cell r="V442" t="str">
            <v>39135Scratch 10 000</v>
          </cell>
          <cell r="W442" t="str">
            <v>2007GEMATEL</v>
          </cell>
          <cell r="X442" t="str">
            <v>2007GEMATELScratch 10 000</v>
          </cell>
        </row>
        <row r="443">
          <cell r="I443">
            <v>2007</v>
          </cell>
          <cell r="J443" t="str">
            <v>ETS Boubacar TANDIAScratch 1 000</v>
          </cell>
          <cell r="L443">
            <v>1</v>
          </cell>
          <cell r="M443" t="str">
            <v>1ETS Boubacar TANDIA</v>
          </cell>
          <cell r="N443" t="str">
            <v>ETS Boubacar TANDIAScratch 1 000</v>
          </cell>
          <cell r="O443" t="str">
            <v>ETS Boubacar TANDIA</v>
          </cell>
          <cell r="P443" t="str">
            <v>Scratch 1 000</v>
          </cell>
          <cell r="Q443" t="str">
            <v>22007</v>
          </cell>
          <cell r="R443" t="str">
            <v>22007Scratch 1 000</v>
          </cell>
          <cell r="S443" t="str">
            <v>2007Scratch 1 000</v>
          </cell>
          <cell r="T443" t="str">
            <v>22007ETS Boubacar TANDIA</v>
          </cell>
          <cell r="U443" t="str">
            <v>22007ETS Boubacar TANDIAScratch 1 000</v>
          </cell>
          <cell r="V443" t="str">
            <v>39135Scratch 1 000</v>
          </cell>
          <cell r="W443" t="str">
            <v>2007ETS Boubacar TANDIA</v>
          </cell>
          <cell r="X443" t="str">
            <v>2007ETS Boubacar TANDIAScratch 1 000</v>
          </cell>
        </row>
        <row r="444">
          <cell r="I444">
            <v>2007</v>
          </cell>
          <cell r="J444" t="str">
            <v>ETS Boubacar TANDIAScratch 2 000</v>
          </cell>
          <cell r="L444">
            <v>0</v>
          </cell>
          <cell r="M444" t="str">
            <v>ETS Boubacar TANDIA</v>
          </cell>
          <cell r="N444" t="str">
            <v>ETS Boubacar TANDIAScratch 2 000</v>
          </cell>
          <cell r="O444" t="str">
            <v>ETS Boubacar TANDIA</v>
          </cell>
          <cell r="P444" t="str">
            <v>Scratch 2 000</v>
          </cell>
          <cell r="Q444" t="str">
            <v>22007</v>
          </cell>
          <cell r="R444" t="str">
            <v>22007Scratch 2 000</v>
          </cell>
          <cell r="S444" t="str">
            <v>2007Scratch 2 000</v>
          </cell>
          <cell r="T444" t="str">
            <v>22007ETS Boubacar TANDIA</v>
          </cell>
          <cell r="U444" t="str">
            <v>22007ETS Boubacar TANDIAScratch 2 000</v>
          </cell>
          <cell r="V444" t="str">
            <v>39135Scratch 2 000</v>
          </cell>
          <cell r="W444" t="str">
            <v>2007ETS Boubacar TANDIA</v>
          </cell>
          <cell r="X444" t="str">
            <v>2007ETS Boubacar TANDIAScratch 2 000</v>
          </cell>
        </row>
        <row r="445">
          <cell r="I445">
            <v>2007</v>
          </cell>
          <cell r="J445" t="str">
            <v>ETS Boubacar TANDIAScratch 5 000</v>
          </cell>
          <cell r="L445">
            <v>0</v>
          </cell>
          <cell r="M445" t="str">
            <v>ETS Boubacar TANDIA</v>
          </cell>
          <cell r="N445" t="str">
            <v>ETS Boubacar TANDIAScratch 5 000</v>
          </cell>
          <cell r="O445" t="str">
            <v>ETS Boubacar TANDIA</v>
          </cell>
          <cell r="P445" t="str">
            <v>Scratch 5 000</v>
          </cell>
          <cell r="Q445" t="str">
            <v>22007</v>
          </cell>
          <cell r="R445" t="str">
            <v>22007Scratch 5 000</v>
          </cell>
          <cell r="S445" t="str">
            <v>2007Scratch 5 000</v>
          </cell>
          <cell r="T445" t="str">
            <v>22007ETS Boubacar TANDIA</v>
          </cell>
          <cell r="U445" t="str">
            <v>22007ETS Boubacar TANDIAScratch 5 000</v>
          </cell>
          <cell r="V445" t="str">
            <v>39135Scratch 5 000</v>
          </cell>
          <cell r="W445" t="str">
            <v>2007ETS Boubacar TANDIA</v>
          </cell>
          <cell r="X445" t="str">
            <v>2007ETS Boubacar TANDIAScratch 5 000</v>
          </cell>
        </row>
        <row r="446">
          <cell r="I446">
            <v>2007</v>
          </cell>
          <cell r="J446" t="str">
            <v>ETS Boubacar TANDIAScratch 10 000</v>
          </cell>
          <cell r="L446">
            <v>0</v>
          </cell>
          <cell r="M446" t="str">
            <v>ETS Boubacar TANDIA</v>
          </cell>
          <cell r="N446" t="str">
            <v>ETS Boubacar TANDIAScratch 10 000</v>
          </cell>
          <cell r="O446" t="str">
            <v>ETS Boubacar TANDIA</v>
          </cell>
          <cell r="P446" t="str">
            <v>Scratch 10 000</v>
          </cell>
          <cell r="Q446" t="str">
            <v>22007</v>
          </cell>
          <cell r="R446" t="str">
            <v>22007Scratch 10 000</v>
          </cell>
          <cell r="S446" t="str">
            <v>2007Scratch 10 000</v>
          </cell>
          <cell r="T446" t="str">
            <v>22007ETS Boubacar TANDIA</v>
          </cell>
          <cell r="U446" t="str">
            <v>22007ETS Boubacar TANDIAScratch 10 000</v>
          </cell>
          <cell r="V446" t="str">
            <v>39135Scratch 10 000</v>
          </cell>
          <cell r="W446" t="str">
            <v>2007ETS Boubacar TANDIA</v>
          </cell>
          <cell r="X446" t="str">
            <v>2007ETS Boubacar TANDIAScratch 10 000</v>
          </cell>
        </row>
        <row r="447">
          <cell r="I447">
            <v>2007</v>
          </cell>
          <cell r="J447" t="str">
            <v>ETS Boubacar TANDIAScratch 20 000</v>
          </cell>
          <cell r="L447">
            <v>0</v>
          </cell>
          <cell r="M447" t="str">
            <v>ETS Boubacar TANDIA</v>
          </cell>
          <cell r="N447" t="str">
            <v>ETS Boubacar TANDIAScratch 20 000</v>
          </cell>
          <cell r="O447" t="str">
            <v>ETS Boubacar TANDIA</v>
          </cell>
          <cell r="P447" t="str">
            <v>Scratch 20 000</v>
          </cell>
          <cell r="Q447" t="str">
            <v>22007</v>
          </cell>
          <cell r="R447" t="str">
            <v>22007Scratch 20 000</v>
          </cell>
          <cell r="S447" t="str">
            <v>2007Scratch 20 000</v>
          </cell>
          <cell r="T447" t="str">
            <v>22007ETS Boubacar TANDIA</v>
          </cell>
          <cell r="U447" t="str">
            <v>22007ETS Boubacar TANDIAScratch 20 000</v>
          </cell>
          <cell r="V447" t="str">
            <v>39135Scratch 20 000</v>
          </cell>
          <cell r="W447" t="str">
            <v>2007ETS Boubacar TANDIA</v>
          </cell>
          <cell r="X447" t="str">
            <v>2007ETS Boubacar TANDIAScratch 20 000</v>
          </cell>
        </row>
        <row r="448">
          <cell r="I448">
            <v>2007</v>
          </cell>
          <cell r="J448" t="str">
            <v>GEMATELScratch 1 000</v>
          </cell>
          <cell r="L448">
            <v>1</v>
          </cell>
          <cell r="M448" t="str">
            <v>1GEMATEL</v>
          </cell>
          <cell r="N448" t="str">
            <v>GEMATELScratch 1 000</v>
          </cell>
          <cell r="O448" t="str">
            <v>GEMATEL</v>
          </cell>
          <cell r="P448" t="str">
            <v>Scratch 1 000</v>
          </cell>
          <cell r="Q448" t="str">
            <v>22007</v>
          </cell>
          <cell r="R448" t="str">
            <v>22007Scratch 1 000</v>
          </cell>
          <cell r="S448" t="str">
            <v>2007Scratch 1 000</v>
          </cell>
          <cell r="T448" t="str">
            <v>22007GEMATEL</v>
          </cell>
          <cell r="U448" t="str">
            <v>22007GEMATELScratch 1 000</v>
          </cell>
          <cell r="V448" t="str">
            <v>39136Scratch 1 000</v>
          </cell>
          <cell r="W448" t="str">
            <v>2007GEMATEL</v>
          </cell>
          <cell r="X448" t="str">
            <v>2007GEMATELScratch 1 000</v>
          </cell>
        </row>
        <row r="449">
          <cell r="I449">
            <v>2007</v>
          </cell>
          <cell r="J449" t="str">
            <v>GEMATELScratch 2 000</v>
          </cell>
          <cell r="L449">
            <v>0</v>
          </cell>
          <cell r="M449" t="str">
            <v>GEMATEL</v>
          </cell>
          <cell r="N449" t="str">
            <v>GEMATELScratch 2 000</v>
          </cell>
          <cell r="O449" t="str">
            <v>GEMATEL</v>
          </cell>
          <cell r="P449" t="str">
            <v>Scratch 2 000</v>
          </cell>
          <cell r="Q449" t="str">
            <v>22007</v>
          </cell>
          <cell r="R449" t="str">
            <v>22007Scratch 2 000</v>
          </cell>
          <cell r="S449" t="str">
            <v>2007Scratch 2 000</v>
          </cell>
          <cell r="T449" t="str">
            <v>22007GEMATEL</v>
          </cell>
          <cell r="U449" t="str">
            <v>22007GEMATELScratch 2 000</v>
          </cell>
          <cell r="V449" t="str">
            <v>39136Scratch 2 000</v>
          </cell>
          <cell r="W449" t="str">
            <v>2007GEMATEL</v>
          </cell>
          <cell r="X449" t="str">
            <v>2007GEMATELScratch 2 000</v>
          </cell>
        </row>
        <row r="450">
          <cell r="I450">
            <v>2007</v>
          </cell>
          <cell r="J450" t="str">
            <v>GEMATELScratch 5 000</v>
          </cell>
          <cell r="L450">
            <v>0</v>
          </cell>
          <cell r="M450" t="str">
            <v>GEMATEL</v>
          </cell>
          <cell r="N450" t="str">
            <v>GEMATELScratch 5 000</v>
          </cell>
          <cell r="O450" t="str">
            <v>GEMATEL</v>
          </cell>
          <cell r="P450" t="str">
            <v>Scratch 5 000</v>
          </cell>
          <cell r="Q450" t="str">
            <v>22007</v>
          </cell>
          <cell r="R450" t="str">
            <v>22007Scratch 5 000</v>
          </cell>
          <cell r="S450" t="str">
            <v>2007Scratch 5 000</v>
          </cell>
          <cell r="T450" t="str">
            <v>22007GEMATEL</v>
          </cell>
          <cell r="U450" t="str">
            <v>22007GEMATELScratch 5 000</v>
          </cell>
          <cell r="V450" t="str">
            <v>39136Scratch 5 000</v>
          </cell>
          <cell r="W450" t="str">
            <v>2007GEMATEL</v>
          </cell>
          <cell r="X450" t="str">
            <v>2007GEMATELScratch 5 000</v>
          </cell>
        </row>
        <row r="451">
          <cell r="I451">
            <v>2007</v>
          </cell>
          <cell r="J451" t="str">
            <v>GEMATELScratch 10 000</v>
          </cell>
          <cell r="L451">
            <v>0</v>
          </cell>
          <cell r="M451" t="str">
            <v>GEMATEL</v>
          </cell>
          <cell r="N451" t="str">
            <v>GEMATELScratch 10 000</v>
          </cell>
          <cell r="O451" t="str">
            <v>GEMATEL</v>
          </cell>
          <cell r="P451" t="str">
            <v>Scratch 10 000</v>
          </cell>
          <cell r="Q451" t="str">
            <v>22007</v>
          </cell>
          <cell r="R451" t="str">
            <v>22007Scratch 10 000</v>
          </cell>
          <cell r="S451" t="str">
            <v>2007Scratch 10 000</v>
          </cell>
          <cell r="T451" t="str">
            <v>22007GEMATEL</v>
          </cell>
          <cell r="U451" t="str">
            <v>22007GEMATELScratch 10 000</v>
          </cell>
          <cell r="V451" t="str">
            <v>39136Scratch 10 000</v>
          </cell>
          <cell r="W451" t="str">
            <v>2007GEMATEL</v>
          </cell>
          <cell r="X451" t="str">
            <v>2007GEMATELScratch 10 000</v>
          </cell>
        </row>
        <row r="452">
          <cell r="I452">
            <v>2007</v>
          </cell>
          <cell r="J452" t="str">
            <v>MALI COM SarlScratch 1 000</v>
          </cell>
          <cell r="L452">
            <v>1</v>
          </cell>
          <cell r="M452" t="str">
            <v>1MALI COM Sarl</v>
          </cell>
          <cell r="N452" t="str">
            <v>MALI COM SarlScratch 1 000</v>
          </cell>
          <cell r="O452" t="str">
            <v>MALI COM Sarl</v>
          </cell>
          <cell r="P452" t="str">
            <v>Scratch 1 000</v>
          </cell>
          <cell r="Q452" t="str">
            <v>22007</v>
          </cell>
          <cell r="R452" t="str">
            <v>22007Scratch 1 000</v>
          </cell>
          <cell r="S452" t="str">
            <v>2007Scratch 1 000</v>
          </cell>
          <cell r="T452" t="str">
            <v>22007MALI COM Sarl</v>
          </cell>
          <cell r="U452" t="str">
            <v>22007MALI COM SarlScratch 1 000</v>
          </cell>
          <cell r="V452" t="str">
            <v>39136Scratch 1 000</v>
          </cell>
          <cell r="W452" t="str">
            <v>2007MALI COM Sarl</v>
          </cell>
          <cell r="X452" t="str">
            <v>2007MALI COM SarlScratch 1 000</v>
          </cell>
        </row>
        <row r="453">
          <cell r="I453">
            <v>2007</v>
          </cell>
          <cell r="J453" t="str">
            <v>MALI COM SarlScratch 2 000</v>
          </cell>
          <cell r="L453">
            <v>0</v>
          </cell>
          <cell r="M453" t="str">
            <v>MALI COM Sarl</v>
          </cell>
          <cell r="N453" t="str">
            <v>MALI COM SarlScratch 2 000</v>
          </cell>
          <cell r="O453" t="str">
            <v>MALI COM Sarl</v>
          </cell>
          <cell r="P453" t="str">
            <v>Scratch 2 000</v>
          </cell>
          <cell r="Q453" t="str">
            <v>22007</v>
          </cell>
          <cell r="R453" t="str">
            <v>22007Scratch 2 000</v>
          </cell>
          <cell r="S453" t="str">
            <v>2007Scratch 2 000</v>
          </cell>
          <cell r="T453" t="str">
            <v>22007MALI COM Sarl</v>
          </cell>
          <cell r="U453" t="str">
            <v>22007MALI COM SarlScratch 2 000</v>
          </cell>
          <cell r="V453" t="str">
            <v>39136Scratch 2 000</v>
          </cell>
          <cell r="W453" t="str">
            <v>2007MALI COM Sarl</v>
          </cell>
          <cell r="X453" t="str">
            <v>2007MALI COM SarlScratch 2 000</v>
          </cell>
        </row>
        <row r="454">
          <cell r="I454">
            <v>2007</v>
          </cell>
          <cell r="J454" t="str">
            <v>MALI COM SarlScratch 5 000</v>
          </cell>
          <cell r="L454">
            <v>0</v>
          </cell>
          <cell r="M454" t="str">
            <v>MALI COM Sarl</v>
          </cell>
          <cell r="N454" t="str">
            <v>MALI COM SarlScratch 5 000</v>
          </cell>
          <cell r="O454" t="str">
            <v>MALI COM Sarl</v>
          </cell>
          <cell r="P454" t="str">
            <v>Scratch 5 000</v>
          </cell>
          <cell r="Q454" t="str">
            <v>22007</v>
          </cell>
          <cell r="R454" t="str">
            <v>22007Scratch 5 000</v>
          </cell>
          <cell r="S454" t="str">
            <v>2007Scratch 5 000</v>
          </cell>
          <cell r="T454" t="str">
            <v>22007MALI COM Sarl</v>
          </cell>
          <cell r="U454" t="str">
            <v>22007MALI COM SarlScratch 5 000</v>
          </cell>
          <cell r="V454" t="str">
            <v>39136Scratch 5 000</v>
          </cell>
          <cell r="W454" t="str">
            <v>2007MALI COM Sarl</v>
          </cell>
          <cell r="X454" t="str">
            <v>2007MALI COM SarlScratch 5 000</v>
          </cell>
        </row>
        <row r="455">
          <cell r="I455">
            <v>2007</v>
          </cell>
          <cell r="J455" t="str">
            <v>Ets Mamadou GAMBYScratch 1 000</v>
          </cell>
          <cell r="L455">
            <v>1</v>
          </cell>
          <cell r="M455" t="str">
            <v>1Ets Mamadou GAMBY</v>
          </cell>
          <cell r="N455" t="str">
            <v>Ets Mamadou GAMBYScratch 1 000</v>
          </cell>
          <cell r="O455" t="str">
            <v>Ets Mamadou GAMBY</v>
          </cell>
          <cell r="P455" t="str">
            <v>Scratch 1 000</v>
          </cell>
          <cell r="Q455" t="str">
            <v>22007</v>
          </cell>
          <cell r="R455" t="str">
            <v>22007Scratch 1 000</v>
          </cell>
          <cell r="S455" t="str">
            <v>2007Scratch 1 000</v>
          </cell>
          <cell r="T455" t="str">
            <v>22007Ets Mamadou GAMBY</v>
          </cell>
          <cell r="U455" t="str">
            <v>22007Ets Mamadou GAMBYScratch 1 000</v>
          </cell>
          <cell r="V455" t="str">
            <v>39136Scratch 1 000</v>
          </cell>
          <cell r="W455" t="str">
            <v>2007Ets Mamadou GAMBY</v>
          </cell>
          <cell r="X455" t="str">
            <v>2007Ets Mamadou GAMBYScratch 1 000</v>
          </cell>
        </row>
        <row r="456">
          <cell r="I456">
            <v>2007</v>
          </cell>
          <cell r="J456" t="str">
            <v>Ets Mamadou GAMBYScratch 2 000</v>
          </cell>
          <cell r="L456">
            <v>0</v>
          </cell>
          <cell r="M456" t="str">
            <v>Ets Mamadou GAMBY</v>
          </cell>
          <cell r="N456" t="str">
            <v>Ets Mamadou GAMBYScratch 2 000</v>
          </cell>
          <cell r="O456" t="str">
            <v>Ets Mamadou GAMBY</v>
          </cell>
          <cell r="P456" t="str">
            <v>Scratch 2 000</v>
          </cell>
          <cell r="Q456" t="str">
            <v>22007</v>
          </cell>
          <cell r="R456" t="str">
            <v>22007Scratch 2 000</v>
          </cell>
          <cell r="S456" t="str">
            <v>2007Scratch 2 000</v>
          </cell>
          <cell r="T456" t="str">
            <v>22007Ets Mamadou GAMBY</v>
          </cell>
          <cell r="U456" t="str">
            <v>22007Ets Mamadou GAMBYScratch 2 000</v>
          </cell>
          <cell r="V456" t="str">
            <v>39136Scratch 2 000</v>
          </cell>
          <cell r="W456" t="str">
            <v>2007Ets Mamadou GAMBY</v>
          </cell>
          <cell r="X456" t="str">
            <v>2007Ets Mamadou GAMBYScratch 2 000</v>
          </cell>
        </row>
        <row r="457">
          <cell r="I457">
            <v>2007</v>
          </cell>
          <cell r="J457" t="str">
            <v>Ets Mamadou GAMBYScratch 5 000</v>
          </cell>
          <cell r="L457">
            <v>0</v>
          </cell>
          <cell r="M457" t="str">
            <v>Ets Mamadou GAMBY</v>
          </cell>
          <cell r="N457" t="str">
            <v>Ets Mamadou GAMBYScratch 5 000</v>
          </cell>
          <cell r="O457" t="str">
            <v>Ets Mamadou GAMBY</v>
          </cell>
          <cell r="P457" t="str">
            <v>Scratch 5 000</v>
          </cell>
          <cell r="Q457" t="str">
            <v>22007</v>
          </cell>
          <cell r="R457" t="str">
            <v>22007Scratch 5 000</v>
          </cell>
          <cell r="S457" t="str">
            <v>2007Scratch 5 000</v>
          </cell>
          <cell r="T457" t="str">
            <v>22007Ets Mamadou GAMBY</v>
          </cell>
          <cell r="U457" t="str">
            <v>22007Ets Mamadou GAMBYScratch 5 000</v>
          </cell>
          <cell r="V457" t="str">
            <v>39136Scratch 5 000</v>
          </cell>
          <cell r="W457" t="str">
            <v>2007Ets Mamadou GAMBY</v>
          </cell>
          <cell r="X457" t="str">
            <v>2007Ets Mamadou GAMBYScratch 5 000</v>
          </cell>
        </row>
        <row r="458">
          <cell r="I458">
            <v>2007</v>
          </cell>
          <cell r="J458" t="str">
            <v>ANKA ServicesScratch 1 000</v>
          </cell>
          <cell r="L458">
            <v>1</v>
          </cell>
          <cell r="M458" t="str">
            <v>1ANKA Services</v>
          </cell>
          <cell r="N458" t="str">
            <v>ANKA ServicesScratch 1 000</v>
          </cell>
          <cell r="O458" t="str">
            <v>ANKA Services</v>
          </cell>
          <cell r="P458" t="str">
            <v>Scratch 1 000</v>
          </cell>
          <cell r="Q458" t="str">
            <v>22007</v>
          </cell>
          <cell r="R458" t="str">
            <v>22007Scratch 1 000</v>
          </cell>
          <cell r="S458" t="str">
            <v>2007Scratch 1 000</v>
          </cell>
          <cell r="T458" t="str">
            <v>22007ANKA Services</v>
          </cell>
          <cell r="U458" t="str">
            <v>22007ANKA ServicesScratch 1 000</v>
          </cell>
          <cell r="V458" t="str">
            <v>39136Scratch 1 000</v>
          </cell>
          <cell r="W458" t="str">
            <v>2007ANKA Services</v>
          </cell>
          <cell r="X458" t="str">
            <v>2007ANKA ServicesScratch 1 000</v>
          </cell>
        </row>
        <row r="459">
          <cell r="I459">
            <v>2007</v>
          </cell>
          <cell r="J459" t="str">
            <v>ANKA ServicesScratch 2 000</v>
          </cell>
          <cell r="L459">
            <v>0</v>
          </cell>
          <cell r="M459" t="str">
            <v>ANKA Services</v>
          </cell>
          <cell r="N459" t="str">
            <v>ANKA ServicesScratch 2 000</v>
          </cell>
          <cell r="O459" t="str">
            <v>ANKA Services</v>
          </cell>
          <cell r="P459" t="str">
            <v>Scratch 2 000</v>
          </cell>
          <cell r="Q459" t="str">
            <v>22007</v>
          </cell>
          <cell r="R459" t="str">
            <v>22007Scratch 2 000</v>
          </cell>
          <cell r="S459" t="str">
            <v>2007Scratch 2 000</v>
          </cell>
          <cell r="T459" t="str">
            <v>22007ANKA Services</v>
          </cell>
          <cell r="U459" t="str">
            <v>22007ANKA ServicesScratch 2 000</v>
          </cell>
          <cell r="V459" t="str">
            <v>39136Scratch 2 000</v>
          </cell>
          <cell r="W459" t="str">
            <v>2007ANKA Services</v>
          </cell>
          <cell r="X459" t="str">
            <v>2007ANKA ServicesScratch 2 000</v>
          </cell>
        </row>
        <row r="460">
          <cell r="I460">
            <v>2007</v>
          </cell>
          <cell r="J460" t="str">
            <v>ANKA ServicesScratch 5 000</v>
          </cell>
          <cell r="L460">
            <v>0</v>
          </cell>
          <cell r="M460" t="str">
            <v>ANKA Services</v>
          </cell>
          <cell r="N460" t="str">
            <v>ANKA ServicesScratch 5 000</v>
          </cell>
          <cell r="O460" t="str">
            <v>ANKA Services</v>
          </cell>
          <cell r="P460" t="str">
            <v>Scratch 5 000</v>
          </cell>
          <cell r="Q460" t="str">
            <v>22007</v>
          </cell>
          <cell r="R460" t="str">
            <v>22007Scratch 5 000</v>
          </cell>
          <cell r="S460" t="str">
            <v>2007Scratch 5 000</v>
          </cell>
          <cell r="T460" t="str">
            <v>22007ANKA Services</v>
          </cell>
          <cell r="U460" t="str">
            <v>22007ANKA ServicesScratch 5 000</v>
          </cell>
          <cell r="V460" t="str">
            <v>39136Scratch 5 000</v>
          </cell>
          <cell r="W460" t="str">
            <v>2007ANKA Services</v>
          </cell>
          <cell r="X460" t="str">
            <v>2007ANKA ServicesScratch 5 000</v>
          </cell>
        </row>
        <row r="461">
          <cell r="I461">
            <v>2007</v>
          </cell>
          <cell r="J461" t="str">
            <v>STS GAMBY &amp; FRERES (SOGAF) SarlScratch 1 000</v>
          </cell>
          <cell r="L461">
            <v>1</v>
          </cell>
          <cell r="M461" t="str">
            <v>1STS GAMBY &amp; FRERES (SOGAF) Sarl</v>
          </cell>
          <cell r="N461" t="str">
            <v>STS GAMBY &amp; FRERES (SOGAF) SarlScratch 1 000</v>
          </cell>
          <cell r="O461" t="str">
            <v>STS GAMBY &amp; FRERES (SOGAF) Sarl</v>
          </cell>
          <cell r="P461" t="str">
            <v>Scratch 1 000</v>
          </cell>
          <cell r="Q461" t="str">
            <v>22007</v>
          </cell>
          <cell r="R461" t="str">
            <v>22007Scratch 1 000</v>
          </cell>
          <cell r="S461" t="str">
            <v>2007Scratch 1 000</v>
          </cell>
          <cell r="T461" t="str">
            <v>22007STS GAMBY &amp; FRERES (SOGAF) Sarl</v>
          </cell>
          <cell r="U461" t="str">
            <v>22007STS GAMBY &amp; FRERES (SOGAF) SarlScratch 1 000</v>
          </cell>
          <cell r="V461" t="str">
            <v>39139Scratch 1 000</v>
          </cell>
          <cell r="W461" t="str">
            <v>2007STS GAMBY &amp; FRERES (SOGAF) Sarl</v>
          </cell>
          <cell r="X461" t="str">
            <v>2007STS GAMBY &amp; FRERES (SOGAF) SarlScratch 1 000</v>
          </cell>
        </row>
        <row r="462">
          <cell r="I462">
            <v>2007</v>
          </cell>
          <cell r="J462" t="str">
            <v>STS GAMBY &amp; FRERES (SOGAF) SarlScratch 2 000</v>
          </cell>
          <cell r="L462">
            <v>0</v>
          </cell>
          <cell r="M462" t="str">
            <v>STS GAMBY &amp; FRERES (SOGAF) Sarl</v>
          </cell>
          <cell r="N462" t="str">
            <v>STS GAMBY &amp; FRERES (SOGAF) SarlScratch 2 000</v>
          </cell>
          <cell r="O462" t="str">
            <v>STS GAMBY &amp; FRERES (SOGAF) Sarl</v>
          </cell>
          <cell r="P462" t="str">
            <v>Scratch 2 000</v>
          </cell>
          <cell r="Q462" t="str">
            <v>22007</v>
          </cell>
          <cell r="R462" t="str">
            <v>22007Scratch 2 000</v>
          </cell>
          <cell r="S462" t="str">
            <v>2007Scratch 2 000</v>
          </cell>
          <cell r="T462" t="str">
            <v>22007STS GAMBY &amp; FRERES (SOGAF) Sarl</v>
          </cell>
          <cell r="U462" t="str">
            <v>22007STS GAMBY &amp; FRERES (SOGAF) SarlScratch 2 000</v>
          </cell>
          <cell r="V462" t="str">
            <v>39139Scratch 2 000</v>
          </cell>
          <cell r="W462" t="str">
            <v>2007STS GAMBY &amp; FRERES (SOGAF) Sarl</v>
          </cell>
          <cell r="X462" t="str">
            <v>2007STS GAMBY &amp; FRERES (SOGAF) SarlScratch 2 000</v>
          </cell>
        </row>
        <row r="463">
          <cell r="I463">
            <v>2007</v>
          </cell>
          <cell r="J463" t="str">
            <v>STS GAMBY &amp; FRERES (SOGAF) SarlScratch 5 000</v>
          </cell>
          <cell r="L463">
            <v>0</v>
          </cell>
          <cell r="M463" t="str">
            <v>STS GAMBY &amp; FRERES (SOGAF) Sarl</v>
          </cell>
          <cell r="N463" t="str">
            <v>STS GAMBY &amp; FRERES (SOGAF) SarlScratch 5 000</v>
          </cell>
          <cell r="O463" t="str">
            <v>STS GAMBY &amp; FRERES (SOGAF) Sarl</v>
          </cell>
          <cell r="P463" t="str">
            <v>Scratch 5 000</v>
          </cell>
          <cell r="Q463" t="str">
            <v>22007</v>
          </cell>
          <cell r="R463" t="str">
            <v>22007Scratch 5 000</v>
          </cell>
          <cell r="S463" t="str">
            <v>2007Scratch 5 000</v>
          </cell>
          <cell r="T463" t="str">
            <v>22007STS GAMBY &amp; FRERES (SOGAF) Sarl</v>
          </cell>
          <cell r="U463" t="str">
            <v>22007STS GAMBY &amp; FRERES (SOGAF) SarlScratch 5 000</v>
          </cell>
          <cell r="V463" t="str">
            <v>39139Scratch 5 000</v>
          </cell>
          <cell r="W463" t="str">
            <v>2007STS GAMBY &amp; FRERES (SOGAF) Sarl</v>
          </cell>
          <cell r="X463" t="str">
            <v>2007STS GAMBY &amp; FRERES (SOGAF) SarlScratch 5 000</v>
          </cell>
        </row>
        <row r="464">
          <cell r="I464">
            <v>2007</v>
          </cell>
          <cell r="J464" t="str">
            <v>STS GAMBY &amp; FRERES (SOGAF) SarlScratch 10 000</v>
          </cell>
          <cell r="L464">
            <v>0</v>
          </cell>
          <cell r="M464" t="str">
            <v>STS GAMBY &amp; FRERES (SOGAF) Sarl</v>
          </cell>
          <cell r="N464" t="str">
            <v>STS GAMBY &amp; FRERES (SOGAF) SarlScratch 10 000</v>
          </cell>
          <cell r="O464" t="str">
            <v>STS GAMBY &amp; FRERES (SOGAF) Sarl</v>
          </cell>
          <cell r="P464" t="str">
            <v>Scratch 10 000</v>
          </cell>
          <cell r="Q464" t="str">
            <v>22007</v>
          </cell>
          <cell r="R464" t="str">
            <v>22007Scratch 10 000</v>
          </cell>
          <cell r="S464" t="str">
            <v>2007Scratch 10 000</v>
          </cell>
          <cell r="T464" t="str">
            <v>22007STS GAMBY &amp; FRERES (SOGAF) Sarl</v>
          </cell>
          <cell r="U464" t="str">
            <v>22007STS GAMBY &amp; FRERES (SOGAF) SarlScratch 10 000</v>
          </cell>
          <cell r="V464" t="str">
            <v>39139Scratch 10 000</v>
          </cell>
          <cell r="W464" t="str">
            <v>2007STS GAMBY &amp; FRERES (SOGAF) Sarl</v>
          </cell>
          <cell r="X464" t="str">
            <v>2007STS GAMBY &amp; FRERES (SOGAF) SarlScratch 10 000</v>
          </cell>
        </row>
        <row r="465">
          <cell r="I465">
            <v>2007</v>
          </cell>
          <cell r="J465" t="str">
            <v>STS GAMBY &amp; FRERES (SOGAF) SarlScratch 20 000</v>
          </cell>
          <cell r="L465">
            <v>0</v>
          </cell>
          <cell r="M465" t="str">
            <v>STS GAMBY &amp; FRERES (SOGAF) Sarl</v>
          </cell>
          <cell r="N465" t="str">
            <v>STS GAMBY &amp; FRERES (SOGAF) SarlScratch 20 000</v>
          </cell>
          <cell r="O465" t="str">
            <v>STS GAMBY &amp; FRERES (SOGAF) Sarl</v>
          </cell>
          <cell r="P465" t="str">
            <v>Scratch 20 000</v>
          </cell>
          <cell r="Q465" t="str">
            <v>22007</v>
          </cell>
          <cell r="R465" t="str">
            <v>22007Scratch 20 000</v>
          </cell>
          <cell r="S465" t="str">
            <v>2007Scratch 20 000</v>
          </cell>
          <cell r="T465" t="str">
            <v>22007STS GAMBY &amp; FRERES (SOGAF) Sarl</v>
          </cell>
          <cell r="U465" t="str">
            <v>22007STS GAMBY &amp; FRERES (SOGAF) SarlScratch 20 000</v>
          </cell>
          <cell r="V465" t="str">
            <v>39139Scratch 20 000</v>
          </cell>
          <cell r="W465" t="str">
            <v>2007STS GAMBY &amp; FRERES (SOGAF) Sarl</v>
          </cell>
          <cell r="X465" t="str">
            <v>2007STS GAMBY &amp; FRERES (SOGAF) SarlScratch 20 000</v>
          </cell>
        </row>
        <row r="466">
          <cell r="I466">
            <v>2007</v>
          </cell>
          <cell r="J466" t="str">
            <v>GEMATELScratch 1 000</v>
          </cell>
          <cell r="L466">
            <v>1</v>
          </cell>
          <cell r="M466" t="str">
            <v>1GEMATEL</v>
          </cell>
          <cell r="N466" t="str">
            <v>GEMATELScratch 1 000</v>
          </cell>
          <cell r="O466" t="str">
            <v>GEMATEL</v>
          </cell>
          <cell r="P466" t="str">
            <v>Scratch 1 000</v>
          </cell>
          <cell r="Q466" t="str">
            <v>22007</v>
          </cell>
          <cell r="R466" t="str">
            <v>22007Scratch 1 000</v>
          </cell>
          <cell r="S466" t="str">
            <v>2007Scratch 1 000</v>
          </cell>
          <cell r="T466" t="str">
            <v>22007GEMATEL</v>
          </cell>
          <cell r="U466" t="str">
            <v>22007GEMATELScratch 1 000</v>
          </cell>
          <cell r="V466" t="str">
            <v>39139Scratch 1 000</v>
          </cell>
          <cell r="W466" t="str">
            <v>2007GEMATEL</v>
          </cell>
          <cell r="X466" t="str">
            <v>2007GEMATELScratch 1 000</v>
          </cell>
        </row>
        <row r="467">
          <cell r="I467">
            <v>2007</v>
          </cell>
          <cell r="J467" t="str">
            <v>GEMATELScratch 2 000</v>
          </cell>
          <cell r="L467">
            <v>0</v>
          </cell>
          <cell r="M467" t="str">
            <v>GEMATEL</v>
          </cell>
          <cell r="N467" t="str">
            <v>GEMATELScratch 2 000</v>
          </cell>
          <cell r="O467" t="str">
            <v>GEMATEL</v>
          </cell>
          <cell r="P467" t="str">
            <v>Scratch 2 000</v>
          </cell>
          <cell r="Q467" t="str">
            <v>22007</v>
          </cell>
          <cell r="R467" t="str">
            <v>22007Scratch 2 000</v>
          </cell>
          <cell r="S467" t="str">
            <v>2007Scratch 2 000</v>
          </cell>
          <cell r="T467" t="str">
            <v>22007GEMATEL</v>
          </cell>
          <cell r="U467" t="str">
            <v>22007GEMATELScratch 2 000</v>
          </cell>
          <cell r="V467" t="str">
            <v>39139Scratch 2 000</v>
          </cell>
          <cell r="W467" t="str">
            <v>2007GEMATEL</v>
          </cell>
          <cell r="X467" t="str">
            <v>2007GEMATELScratch 2 000</v>
          </cell>
        </row>
        <row r="468">
          <cell r="I468">
            <v>2007</v>
          </cell>
          <cell r="J468" t="str">
            <v>GEMATELScratch 5 000</v>
          </cell>
          <cell r="L468">
            <v>0</v>
          </cell>
          <cell r="M468" t="str">
            <v>GEMATEL</v>
          </cell>
          <cell r="N468" t="str">
            <v>GEMATELScratch 5 000</v>
          </cell>
          <cell r="O468" t="str">
            <v>GEMATEL</v>
          </cell>
          <cell r="P468" t="str">
            <v>Scratch 5 000</v>
          </cell>
          <cell r="Q468" t="str">
            <v>22007</v>
          </cell>
          <cell r="R468" t="str">
            <v>22007Scratch 5 000</v>
          </cell>
          <cell r="S468" t="str">
            <v>2007Scratch 5 000</v>
          </cell>
          <cell r="T468" t="str">
            <v>22007GEMATEL</v>
          </cell>
          <cell r="U468" t="str">
            <v>22007GEMATELScratch 5 000</v>
          </cell>
          <cell r="V468" t="str">
            <v>39139Scratch 5 000</v>
          </cell>
          <cell r="W468" t="str">
            <v>2007GEMATEL</v>
          </cell>
          <cell r="X468" t="str">
            <v>2007GEMATELScratch 5 000</v>
          </cell>
        </row>
        <row r="469">
          <cell r="I469">
            <v>2007</v>
          </cell>
          <cell r="J469" t="str">
            <v>GEMATELScratch 10 000</v>
          </cell>
          <cell r="L469">
            <v>0</v>
          </cell>
          <cell r="M469" t="str">
            <v>GEMATEL</v>
          </cell>
          <cell r="N469" t="str">
            <v>GEMATELScratch 10 000</v>
          </cell>
          <cell r="O469" t="str">
            <v>GEMATEL</v>
          </cell>
          <cell r="P469" t="str">
            <v>Scratch 10 000</v>
          </cell>
          <cell r="Q469" t="str">
            <v>22007</v>
          </cell>
          <cell r="R469" t="str">
            <v>22007Scratch 10 000</v>
          </cell>
          <cell r="S469" t="str">
            <v>2007Scratch 10 000</v>
          </cell>
          <cell r="T469" t="str">
            <v>22007GEMATEL</v>
          </cell>
          <cell r="U469" t="str">
            <v>22007GEMATELScratch 10 000</v>
          </cell>
          <cell r="V469" t="str">
            <v>39139Scratch 10 000</v>
          </cell>
          <cell r="W469" t="str">
            <v>2007GEMATEL</v>
          </cell>
          <cell r="X469" t="str">
            <v>2007GEMATELScratch 10 000</v>
          </cell>
        </row>
        <row r="470">
          <cell r="I470">
            <v>2007</v>
          </cell>
          <cell r="J470" t="str">
            <v>GEMATELScratch 20 000</v>
          </cell>
          <cell r="L470">
            <v>0</v>
          </cell>
          <cell r="M470" t="str">
            <v>GEMATEL</v>
          </cell>
          <cell r="N470" t="str">
            <v>GEMATELScratch 20 000</v>
          </cell>
          <cell r="O470" t="str">
            <v>GEMATEL</v>
          </cell>
          <cell r="P470" t="str">
            <v>Scratch 20 000</v>
          </cell>
          <cell r="Q470" t="str">
            <v>22007</v>
          </cell>
          <cell r="R470" t="str">
            <v>22007Scratch 20 000</v>
          </cell>
          <cell r="S470" t="str">
            <v>2007Scratch 20 000</v>
          </cell>
          <cell r="T470" t="str">
            <v>22007GEMATEL</v>
          </cell>
          <cell r="U470" t="str">
            <v>22007GEMATELScratch 20 000</v>
          </cell>
          <cell r="V470" t="str">
            <v>39139Scratch 20 000</v>
          </cell>
          <cell r="W470" t="str">
            <v>2007GEMATEL</v>
          </cell>
          <cell r="X470" t="str">
            <v>2007GEMATELScratch 20 000</v>
          </cell>
        </row>
        <row r="471">
          <cell r="I471">
            <v>2007</v>
          </cell>
          <cell r="J471" t="str">
            <v>Compagnie Internationale de NegoceScratch 1 000</v>
          </cell>
          <cell r="L471">
            <v>1</v>
          </cell>
          <cell r="M471" t="str">
            <v>1Compagnie Internationale de Negoce</v>
          </cell>
          <cell r="N471" t="str">
            <v>Compagnie Internationale de NegoceScratch 1 000</v>
          </cell>
          <cell r="O471" t="str">
            <v>Compagnie Internationale de Negoce</v>
          </cell>
          <cell r="P471" t="str">
            <v>Scratch 1 000</v>
          </cell>
          <cell r="Q471" t="str">
            <v>22007</v>
          </cell>
          <cell r="R471" t="str">
            <v>22007Scratch 1 000</v>
          </cell>
          <cell r="S471" t="str">
            <v>2007Scratch 1 000</v>
          </cell>
          <cell r="T471" t="str">
            <v>22007Compagnie Internationale de Negoce</v>
          </cell>
          <cell r="U471" t="str">
            <v>22007Compagnie Internationale de NegoceScratch 1 000</v>
          </cell>
          <cell r="V471" t="str">
            <v>39139Scratch 1 000</v>
          </cell>
          <cell r="W471" t="str">
            <v>2007Compagnie Internationale de Negoce</v>
          </cell>
          <cell r="X471" t="str">
            <v>2007Compagnie Internationale de NegoceScratch 1 000</v>
          </cell>
        </row>
        <row r="472">
          <cell r="I472">
            <v>2007</v>
          </cell>
          <cell r="J472" t="str">
            <v>Compagnie Internationale de NegoceScratch 2 000</v>
          </cell>
          <cell r="L472">
            <v>0</v>
          </cell>
          <cell r="M472" t="str">
            <v>Compagnie Internationale de Negoce</v>
          </cell>
          <cell r="N472" t="str">
            <v>Compagnie Internationale de NegoceScratch 2 000</v>
          </cell>
          <cell r="O472" t="str">
            <v>Compagnie Internationale de Negoce</v>
          </cell>
          <cell r="P472" t="str">
            <v>Scratch 2 000</v>
          </cell>
          <cell r="Q472" t="str">
            <v>22007</v>
          </cell>
          <cell r="R472" t="str">
            <v>22007Scratch 2 000</v>
          </cell>
          <cell r="S472" t="str">
            <v>2007Scratch 2 000</v>
          </cell>
          <cell r="T472" t="str">
            <v>22007Compagnie Internationale de Negoce</v>
          </cell>
          <cell r="U472" t="str">
            <v>22007Compagnie Internationale de NegoceScratch 2 000</v>
          </cell>
          <cell r="V472" t="str">
            <v>39139Scratch 2 000</v>
          </cell>
          <cell r="W472" t="str">
            <v>2007Compagnie Internationale de Negoce</v>
          </cell>
          <cell r="X472" t="str">
            <v>2007Compagnie Internationale de NegoceScratch 2 000</v>
          </cell>
        </row>
        <row r="473">
          <cell r="I473">
            <v>2007</v>
          </cell>
          <cell r="J473" t="str">
            <v>Compagnie Internationale de NegoceScratch 5 000</v>
          </cell>
          <cell r="L473">
            <v>0</v>
          </cell>
          <cell r="M473" t="str">
            <v>Compagnie Internationale de Negoce</v>
          </cell>
          <cell r="N473" t="str">
            <v>Compagnie Internationale de NegoceScratch 5 000</v>
          </cell>
          <cell r="O473" t="str">
            <v>Compagnie Internationale de Negoce</v>
          </cell>
          <cell r="P473" t="str">
            <v>Scratch 5 000</v>
          </cell>
          <cell r="Q473" t="str">
            <v>22007</v>
          </cell>
          <cell r="R473" t="str">
            <v>22007Scratch 5 000</v>
          </cell>
          <cell r="S473" t="str">
            <v>2007Scratch 5 000</v>
          </cell>
          <cell r="T473" t="str">
            <v>22007Compagnie Internationale de Negoce</v>
          </cell>
          <cell r="U473" t="str">
            <v>22007Compagnie Internationale de NegoceScratch 5 000</v>
          </cell>
          <cell r="V473" t="str">
            <v>39139Scratch 5 000</v>
          </cell>
          <cell r="W473" t="str">
            <v>2007Compagnie Internationale de Negoce</v>
          </cell>
          <cell r="X473" t="str">
            <v>2007Compagnie Internationale de NegoceScratch 5 000</v>
          </cell>
        </row>
        <row r="474">
          <cell r="I474">
            <v>2007</v>
          </cell>
          <cell r="J474" t="str">
            <v>Compagnie Internationale de NegoceScratch 20 000</v>
          </cell>
          <cell r="L474">
            <v>0</v>
          </cell>
          <cell r="M474" t="str">
            <v>Compagnie Internationale de Negoce</v>
          </cell>
          <cell r="N474" t="str">
            <v>Compagnie Internationale de NegoceScratch 20 000</v>
          </cell>
          <cell r="O474" t="str">
            <v>Compagnie Internationale de Negoce</v>
          </cell>
          <cell r="P474" t="str">
            <v>Scratch 20 000</v>
          </cell>
          <cell r="Q474" t="str">
            <v>22007</v>
          </cell>
          <cell r="R474" t="str">
            <v>22007Scratch 20 000</v>
          </cell>
          <cell r="S474" t="str">
            <v>2007Scratch 20 000</v>
          </cell>
          <cell r="T474" t="str">
            <v>22007Compagnie Internationale de Negoce</v>
          </cell>
          <cell r="U474" t="str">
            <v>22007Compagnie Internationale de NegoceScratch 20 000</v>
          </cell>
          <cell r="V474" t="str">
            <v>39139Scratch 20 000</v>
          </cell>
          <cell r="W474" t="str">
            <v>2007Compagnie Internationale de Negoce</v>
          </cell>
          <cell r="X474" t="str">
            <v>2007Compagnie Internationale de NegoceScratch 20 000</v>
          </cell>
        </row>
        <row r="475">
          <cell r="I475">
            <v>2007</v>
          </cell>
          <cell r="J475" t="str">
            <v>GEMATELScratch 1 000</v>
          </cell>
          <cell r="L475">
            <v>1</v>
          </cell>
          <cell r="M475" t="str">
            <v>1GEMATEL</v>
          </cell>
          <cell r="N475" t="str">
            <v>GEMATELScratch 1 000</v>
          </cell>
          <cell r="O475" t="str">
            <v>GEMATEL</v>
          </cell>
          <cell r="P475" t="str">
            <v>Scratch 1 000</v>
          </cell>
          <cell r="Q475" t="str">
            <v>22007</v>
          </cell>
          <cell r="R475" t="str">
            <v>22007Scratch 1 000</v>
          </cell>
          <cell r="S475" t="str">
            <v>2007Scratch 1 000</v>
          </cell>
          <cell r="T475" t="str">
            <v>22007GEMATEL</v>
          </cell>
          <cell r="U475" t="str">
            <v>22007GEMATELScratch 1 000</v>
          </cell>
          <cell r="V475" t="str">
            <v>39140Scratch 1 000</v>
          </cell>
          <cell r="W475" t="str">
            <v>2007GEMATEL</v>
          </cell>
          <cell r="X475" t="str">
            <v>2007GEMATELScratch 1 000</v>
          </cell>
        </row>
        <row r="476">
          <cell r="I476">
            <v>2007</v>
          </cell>
          <cell r="J476" t="str">
            <v>GEMATELScratch 2 000</v>
          </cell>
          <cell r="L476">
            <v>0</v>
          </cell>
          <cell r="M476" t="str">
            <v>GEMATEL</v>
          </cell>
          <cell r="N476" t="str">
            <v>GEMATELScratch 2 000</v>
          </cell>
          <cell r="O476" t="str">
            <v>GEMATEL</v>
          </cell>
          <cell r="P476" t="str">
            <v>Scratch 2 000</v>
          </cell>
          <cell r="Q476" t="str">
            <v>22007</v>
          </cell>
          <cell r="R476" t="str">
            <v>22007Scratch 2 000</v>
          </cell>
          <cell r="S476" t="str">
            <v>2007Scratch 2 000</v>
          </cell>
          <cell r="T476" t="str">
            <v>22007GEMATEL</v>
          </cell>
          <cell r="U476" t="str">
            <v>22007GEMATELScratch 2 000</v>
          </cell>
          <cell r="V476" t="str">
            <v>39140Scratch 2 000</v>
          </cell>
          <cell r="W476" t="str">
            <v>2007GEMATEL</v>
          </cell>
          <cell r="X476" t="str">
            <v>2007GEMATELScratch 2 000</v>
          </cell>
        </row>
        <row r="477">
          <cell r="I477">
            <v>2007</v>
          </cell>
          <cell r="J477" t="str">
            <v>GEMATELScratch 5 000</v>
          </cell>
          <cell r="L477">
            <v>0</v>
          </cell>
          <cell r="M477" t="str">
            <v>GEMATEL</v>
          </cell>
          <cell r="N477" t="str">
            <v>GEMATELScratch 5 000</v>
          </cell>
          <cell r="O477" t="str">
            <v>GEMATEL</v>
          </cell>
          <cell r="P477" t="str">
            <v>Scratch 5 000</v>
          </cell>
          <cell r="Q477" t="str">
            <v>22007</v>
          </cell>
          <cell r="R477" t="str">
            <v>22007Scratch 5 000</v>
          </cell>
          <cell r="S477" t="str">
            <v>2007Scratch 5 000</v>
          </cell>
          <cell r="T477" t="str">
            <v>22007GEMATEL</v>
          </cell>
          <cell r="U477" t="str">
            <v>22007GEMATELScratch 5 000</v>
          </cell>
          <cell r="V477" t="str">
            <v>39140Scratch 5 000</v>
          </cell>
          <cell r="W477" t="str">
            <v>2007GEMATEL</v>
          </cell>
          <cell r="X477" t="str">
            <v>2007GEMATELScratch 5 000</v>
          </cell>
        </row>
        <row r="478">
          <cell r="I478">
            <v>2007</v>
          </cell>
          <cell r="J478" t="str">
            <v>GEMATELScratch 10 000</v>
          </cell>
          <cell r="L478">
            <v>0</v>
          </cell>
          <cell r="M478" t="str">
            <v>GEMATEL</v>
          </cell>
          <cell r="N478" t="str">
            <v>GEMATELScratch 10 000</v>
          </cell>
          <cell r="O478" t="str">
            <v>GEMATEL</v>
          </cell>
          <cell r="P478" t="str">
            <v>Scratch 10 000</v>
          </cell>
          <cell r="Q478" t="str">
            <v>22007</v>
          </cell>
          <cell r="R478" t="str">
            <v>22007Scratch 10 000</v>
          </cell>
          <cell r="S478" t="str">
            <v>2007Scratch 10 000</v>
          </cell>
          <cell r="T478" t="str">
            <v>22007GEMATEL</v>
          </cell>
          <cell r="U478" t="str">
            <v>22007GEMATELScratch 10 000</v>
          </cell>
          <cell r="V478" t="str">
            <v>39140Scratch 10 000</v>
          </cell>
          <cell r="W478" t="str">
            <v>2007GEMATEL</v>
          </cell>
          <cell r="X478" t="str">
            <v>2007GEMATELScratch 10 000</v>
          </cell>
        </row>
        <row r="479">
          <cell r="I479">
            <v>2007</v>
          </cell>
          <cell r="J479" t="str">
            <v>MALI COM SarlScratch 1 000</v>
          </cell>
          <cell r="L479">
            <v>1</v>
          </cell>
          <cell r="M479" t="str">
            <v>1MALI COM Sarl</v>
          </cell>
          <cell r="N479" t="str">
            <v>MALI COM SarlScratch 1 000</v>
          </cell>
          <cell r="O479" t="str">
            <v>MALI COM Sarl</v>
          </cell>
          <cell r="P479" t="str">
            <v>Scratch 1 000</v>
          </cell>
          <cell r="Q479" t="str">
            <v>22007</v>
          </cell>
          <cell r="R479" t="str">
            <v>22007Scratch 1 000</v>
          </cell>
          <cell r="S479" t="str">
            <v>2007Scratch 1 000</v>
          </cell>
          <cell r="T479" t="str">
            <v>22007MALI COM Sarl</v>
          </cell>
          <cell r="U479" t="str">
            <v>22007MALI COM SarlScratch 1 000</v>
          </cell>
          <cell r="V479" t="str">
            <v>39140Scratch 1 000</v>
          </cell>
          <cell r="W479" t="str">
            <v>2007MALI COM Sarl</v>
          </cell>
          <cell r="X479" t="str">
            <v>2007MALI COM SarlScratch 1 000</v>
          </cell>
        </row>
        <row r="480">
          <cell r="I480">
            <v>2007</v>
          </cell>
          <cell r="J480" t="str">
            <v>MALI COM SarlScratch 2 000</v>
          </cell>
          <cell r="L480">
            <v>0</v>
          </cell>
          <cell r="M480" t="str">
            <v>MALI COM Sarl</v>
          </cell>
          <cell r="N480" t="str">
            <v>MALI COM SarlScratch 2 000</v>
          </cell>
          <cell r="O480" t="str">
            <v>MALI COM Sarl</v>
          </cell>
          <cell r="P480" t="str">
            <v>Scratch 2 000</v>
          </cell>
          <cell r="Q480" t="str">
            <v>22007</v>
          </cell>
          <cell r="R480" t="str">
            <v>22007Scratch 2 000</v>
          </cell>
          <cell r="S480" t="str">
            <v>2007Scratch 2 000</v>
          </cell>
          <cell r="T480" t="str">
            <v>22007MALI COM Sarl</v>
          </cell>
          <cell r="U480" t="str">
            <v>22007MALI COM SarlScratch 2 000</v>
          </cell>
          <cell r="V480" t="str">
            <v>39140Scratch 2 000</v>
          </cell>
          <cell r="W480" t="str">
            <v>2007MALI COM Sarl</v>
          </cell>
          <cell r="X480" t="str">
            <v>2007MALI COM SarlScratch 2 000</v>
          </cell>
        </row>
        <row r="481">
          <cell r="I481">
            <v>2007</v>
          </cell>
          <cell r="J481" t="str">
            <v>MALI COM SarlScratch 5 000</v>
          </cell>
          <cell r="L481">
            <v>0</v>
          </cell>
          <cell r="M481" t="str">
            <v>MALI COM Sarl</v>
          </cell>
          <cell r="N481" t="str">
            <v>MALI COM SarlScratch 5 000</v>
          </cell>
          <cell r="O481" t="str">
            <v>MALI COM Sarl</v>
          </cell>
          <cell r="P481" t="str">
            <v>Scratch 5 000</v>
          </cell>
          <cell r="Q481" t="str">
            <v>22007</v>
          </cell>
          <cell r="R481" t="str">
            <v>22007Scratch 5 000</v>
          </cell>
          <cell r="S481" t="str">
            <v>2007Scratch 5 000</v>
          </cell>
          <cell r="T481" t="str">
            <v>22007MALI COM Sarl</v>
          </cell>
          <cell r="U481" t="str">
            <v>22007MALI COM SarlScratch 5 000</v>
          </cell>
          <cell r="V481" t="str">
            <v>39140Scratch 5 000</v>
          </cell>
          <cell r="W481" t="str">
            <v>2007MALI COM Sarl</v>
          </cell>
          <cell r="X481" t="str">
            <v>2007MALI COM SarlScratch 5 000</v>
          </cell>
        </row>
        <row r="482">
          <cell r="I482">
            <v>2007</v>
          </cell>
          <cell r="J482" t="str">
            <v>ANKA ServicesScratch 1 000</v>
          </cell>
          <cell r="L482">
            <v>1</v>
          </cell>
          <cell r="M482" t="str">
            <v>1ANKA Services</v>
          </cell>
          <cell r="N482" t="str">
            <v>ANKA ServicesScratch 1 000</v>
          </cell>
          <cell r="O482" t="str">
            <v>ANKA Services</v>
          </cell>
          <cell r="P482" t="str">
            <v>Scratch 1 000</v>
          </cell>
          <cell r="Q482" t="str">
            <v>22007</v>
          </cell>
          <cell r="R482" t="str">
            <v>22007Scratch 1 000</v>
          </cell>
          <cell r="S482" t="str">
            <v>2007Scratch 1 000</v>
          </cell>
          <cell r="T482" t="str">
            <v>22007ANKA Services</v>
          </cell>
          <cell r="U482" t="str">
            <v>22007ANKA ServicesScratch 1 000</v>
          </cell>
          <cell r="V482" t="str">
            <v>39141Scratch 1 000</v>
          </cell>
          <cell r="W482" t="str">
            <v>2007ANKA Services</v>
          </cell>
          <cell r="X482" t="str">
            <v>2007ANKA ServicesScratch 1 000</v>
          </cell>
        </row>
        <row r="483">
          <cell r="I483">
            <v>2007</v>
          </cell>
          <cell r="J483" t="str">
            <v>ANKA ServicesScratch 2 000</v>
          </cell>
          <cell r="L483">
            <v>0</v>
          </cell>
          <cell r="M483" t="str">
            <v>ANKA Services</v>
          </cell>
          <cell r="N483" t="str">
            <v>ANKA ServicesScratch 2 000</v>
          </cell>
          <cell r="O483" t="str">
            <v>ANKA Services</v>
          </cell>
          <cell r="P483" t="str">
            <v>Scratch 2 000</v>
          </cell>
          <cell r="Q483" t="str">
            <v>22007</v>
          </cell>
          <cell r="R483" t="str">
            <v>22007Scratch 2 000</v>
          </cell>
          <cell r="S483" t="str">
            <v>2007Scratch 2 000</v>
          </cell>
          <cell r="T483" t="str">
            <v>22007ANKA Services</v>
          </cell>
          <cell r="U483" t="str">
            <v>22007ANKA ServicesScratch 2 000</v>
          </cell>
          <cell r="V483" t="str">
            <v>39141Scratch 2 000</v>
          </cell>
          <cell r="W483" t="str">
            <v>2007ANKA Services</v>
          </cell>
          <cell r="X483" t="str">
            <v>2007ANKA ServicesScratch 2 000</v>
          </cell>
        </row>
        <row r="484">
          <cell r="I484">
            <v>2007</v>
          </cell>
          <cell r="J484" t="str">
            <v>ANKA ServicesScratch 5 000</v>
          </cell>
          <cell r="L484">
            <v>0</v>
          </cell>
          <cell r="M484" t="str">
            <v>ANKA Services</v>
          </cell>
          <cell r="N484" t="str">
            <v>ANKA ServicesScratch 5 000</v>
          </cell>
          <cell r="O484" t="str">
            <v>ANKA Services</v>
          </cell>
          <cell r="P484" t="str">
            <v>Scratch 5 000</v>
          </cell>
          <cell r="Q484" t="str">
            <v>22007</v>
          </cell>
          <cell r="R484" t="str">
            <v>22007Scratch 5 000</v>
          </cell>
          <cell r="S484" t="str">
            <v>2007Scratch 5 000</v>
          </cell>
          <cell r="T484" t="str">
            <v>22007ANKA Services</v>
          </cell>
          <cell r="U484" t="str">
            <v>22007ANKA ServicesScratch 5 000</v>
          </cell>
          <cell r="V484" t="str">
            <v>39141Scratch 5 000</v>
          </cell>
          <cell r="W484" t="str">
            <v>2007ANKA Services</v>
          </cell>
          <cell r="X484" t="str">
            <v>2007ANKA ServicesScratch 5 000</v>
          </cell>
        </row>
        <row r="485">
          <cell r="I485">
            <v>2007</v>
          </cell>
          <cell r="J485" t="str">
            <v>GEMATELScratch 1 000</v>
          </cell>
          <cell r="L485">
            <v>1</v>
          </cell>
          <cell r="M485" t="str">
            <v>1GEMATEL</v>
          </cell>
          <cell r="N485" t="str">
            <v>GEMATELScratch 1 000</v>
          </cell>
          <cell r="O485" t="str">
            <v>GEMATEL</v>
          </cell>
          <cell r="P485" t="str">
            <v>Scratch 1 000</v>
          </cell>
          <cell r="Q485" t="str">
            <v>22007</v>
          </cell>
          <cell r="R485" t="str">
            <v>22007Scratch 1 000</v>
          </cell>
          <cell r="S485" t="str">
            <v>2007Scratch 1 000</v>
          </cell>
          <cell r="T485" t="str">
            <v>22007GEMATEL</v>
          </cell>
          <cell r="U485" t="str">
            <v>22007GEMATELScratch 1 000</v>
          </cell>
          <cell r="V485" t="str">
            <v>39141Scratch 1 000</v>
          </cell>
          <cell r="W485" t="str">
            <v>2007GEMATEL</v>
          </cell>
          <cell r="X485" t="str">
            <v>2007GEMATELScratch 1 000</v>
          </cell>
        </row>
        <row r="486">
          <cell r="I486">
            <v>2007</v>
          </cell>
          <cell r="J486" t="str">
            <v>GEMATELScratch 2 000</v>
          </cell>
          <cell r="L486">
            <v>0</v>
          </cell>
          <cell r="M486" t="str">
            <v>GEMATEL</v>
          </cell>
          <cell r="N486" t="str">
            <v>GEMATELScratch 2 000</v>
          </cell>
          <cell r="O486" t="str">
            <v>GEMATEL</v>
          </cell>
          <cell r="P486" t="str">
            <v>Scratch 2 000</v>
          </cell>
          <cell r="Q486" t="str">
            <v>22007</v>
          </cell>
          <cell r="R486" t="str">
            <v>22007Scratch 2 000</v>
          </cell>
          <cell r="S486" t="str">
            <v>2007Scratch 2 000</v>
          </cell>
          <cell r="T486" t="str">
            <v>22007GEMATEL</v>
          </cell>
          <cell r="U486" t="str">
            <v>22007GEMATELScratch 2 000</v>
          </cell>
          <cell r="V486" t="str">
            <v>39141Scratch 2 000</v>
          </cell>
          <cell r="W486" t="str">
            <v>2007GEMATEL</v>
          </cell>
          <cell r="X486" t="str">
            <v>2007GEMATELScratch 2 000</v>
          </cell>
        </row>
        <row r="487">
          <cell r="I487">
            <v>2007</v>
          </cell>
          <cell r="J487" t="str">
            <v>GEMATELScratch 5 000</v>
          </cell>
          <cell r="L487">
            <v>0</v>
          </cell>
          <cell r="M487" t="str">
            <v>GEMATEL</v>
          </cell>
          <cell r="N487" t="str">
            <v>GEMATELScratch 5 000</v>
          </cell>
          <cell r="O487" t="str">
            <v>GEMATEL</v>
          </cell>
          <cell r="P487" t="str">
            <v>Scratch 5 000</v>
          </cell>
          <cell r="Q487" t="str">
            <v>22007</v>
          </cell>
          <cell r="R487" t="str">
            <v>22007Scratch 5 000</v>
          </cell>
          <cell r="S487" t="str">
            <v>2007Scratch 5 000</v>
          </cell>
          <cell r="T487" t="str">
            <v>22007GEMATEL</v>
          </cell>
          <cell r="U487" t="str">
            <v>22007GEMATELScratch 5 000</v>
          </cell>
          <cell r="V487" t="str">
            <v>39141Scratch 5 000</v>
          </cell>
          <cell r="W487" t="str">
            <v>2007GEMATEL</v>
          </cell>
          <cell r="X487" t="str">
            <v>2007GEMATELScratch 5 000</v>
          </cell>
        </row>
        <row r="488">
          <cell r="I488">
            <v>2007</v>
          </cell>
          <cell r="J488" t="str">
            <v>GEMATELScratch 10 000</v>
          </cell>
          <cell r="L488">
            <v>0</v>
          </cell>
          <cell r="M488" t="str">
            <v>GEMATEL</v>
          </cell>
          <cell r="N488" t="str">
            <v>GEMATELScratch 10 000</v>
          </cell>
          <cell r="O488" t="str">
            <v>GEMATEL</v>
          </cell>
          <cell r="P488" t="str">
            <v>Scratch 10 000</v>
          </cell>
          <cell r="Q488" t="str">
            <v>22007</v>
          </cell>
          <cell r="R488" t="str">
            <v>22007Scratch 10 000</v>
          </cell>
          <cell r="S488" t="str">
            <v>2007Scratch 10 000</v>
          </cell>
          <cell r="T488" t="str">
            <v>22007GEMATEL</v>
          </cell>
          <cell r="U488" t="str">
            <v>22007GEMATELScratch 10 000</v>
          </cell>
          <cell r="V488" t="str">
            <v>39141Scratch 10 000</v>
          </cell>
          <cell r="W488" t="str">
            <v>2007GEMATEL</v>
          </cell>
          <cell r="X488" t="str">
            <v>2007GEMATELScratch 10 000</v>
          </cell>
        </row>
        <row r="489">
          <cell r="I489">
            <v>2007</v>
          </cell>
          <cell r="J489" t="str">
            <v>GEMATELScratch 20 000</v>
          </cell>
          <cell r="L489">
            <v>0</v>
          </cell>
          <cell r="M489" t="str">
            <v>GEMATEL</v>
          </cell>
          <cell r="N489" t="str">
            <v>GEMATELScratch 20 000</v>
          </cell>
          <cell r="O489" t="str">
            <v>GEMATEL</v>
          </cell>
          <cell r="P489" t="str">
            <v>Scratch 20 000</v>
          </cell>
          <cell r="Q489" t="str">
            <v>22007</v>
          </cell>
          <cell r="R489" t="str">
            <v>22007Scratch 20 000</v>
          </cell>
          <cell r="S489" t="str">
            <v>2007Scratch 20 000</v>
          </cell>
          <cell r="T489" t="str">
            <v>22007GEMATEL</v>
          </cell>
          <cell r="U489" t="str">
            <v>22007GEMATELScratch 20 000</v>
          </cell>
          <cell r="V489" t="str">
            <v>39141Scratch 20 000</v>
          </cell>
          <cell r="W489" t="str">
            <v>2007GEMATEL</v>
          </cell>
          <cell r="X489" t="str">
            <v>2007GEMATELScratch 20 000</v>
          </cell>
        </row>
        <row r="490">
          <cell r="I490">
            <v>2007</v>
          </cell>
          <cell r="J490" t="str">
            <v>CellNets MaliMinutes</v>
          </cell>
          <cell r="L490">
            <v>1</v>
          </cell>
          <cell r="M490" t="str">
            <v>1CellNets Mali</v>
          </cell>
          <cell r="N490" t="str">
            <v>CellNets MaliMinutes</v>
          </cell>
          <cell r="O490" t="str">
            <v>CellNets Mali</v>
          </cell>
          <cell r="P490" t="str">
            <v>Minutes</v>
          </cell>
          <cell r="Q490" t="str">
            <v>22007</v>
          </cell>
          <cell r="R490" t="str">
            <v>22007Minutes</v>
          </cell>
          <cell r="S490" t="str">
            <v>2007Minutes</v>
          </cell>
          <cell r="T490" t="str">
            <v>22007CellNets Mali</v>
          </cell>
          <cell r="U490" t="str">
            <v>22007CellNets MaliMinutes</v>
          </cell>
          <cell r="V490" t="str">
            <v>39121Minutes</v>
          </cell>
          <cell r="W490" t="str">
            <v>2007CellNets Mali</v>
          </cell>
          <cell r="X490" t="str">
            <v>2007CellNets MaliMinutes</v>
          </cell>
        </row>
        <row r="491">
          <cell r="I491">
            <v>2007</v>
          </cell>
          <cell r="J491" t="str">
            <v>CellNets MaliMinutes</v>
          </cell>
          <cell r="L491">
            <v>1</v>
          </cell>
          <cell r="M491" t="str">
            <v>1CellNets Mali</v>
          </cell>
          <cell r="N491" t="str">
            <v>CellNets MaliMinutes</v>
          </cell>
          <cell r="O491" t="str">
            <v>CellNets Mali</v>
          </cell>
          <cell r="P491" t="str">
            <v>Minutes</v>
          </cell>
          <cell r="Q491" t="str">
            <v>22007</v>
          </cell>
          <cell r="R491" t="str">
            <v>22007Minutes</v>
          </cell>
          <cell r="S491" t="str">
            <v>2007Minutes</v>
          </cell>
          <cell r="T491" t="str">
            <v>22007CellNets Mali</v>
          </cell>
          <cell r="U491" t="str">
            <v>22007CellNets MaliMinutes</v>
          </cell>
          <cell r="V491" t="str">
            <v>39129Minutes</v>
          </cell>
          <cell r="W491" t="str">
            <v>2007CellNets Mali</v>
          </cell>
          <cell r="X491" t="str">
            <v>2007CellNets MaliMinutes</v>
          </cell>
        </row>
        <row r="492">
          <cell r="I492">
            <v>2007</v>
          </cell>
          <cell r="J492" t="str">
            <v>CellNets MaliMinutes</v>
          </cell>
          <cell r="L492">
            <v>1</v>
          </cell>
          <cell r="M492" t="str">
            <v>1CellNets Mali</v>
          </cell>
          <cell r="N492" t="str">
            <v>CellNets MaliMinutes</v>
          </cell>
          <cell r="O492" t="str">
            <v>CellNets Mali</v>
          </cell>
          <cell r="P492" t="str">
            <v>Minutes</v>
          </cell>
          <cell r="Q492" t="str">
            <v>22007</v>
          </cell>
          <cell r="R492" t="str">
            <v>22007Minutes</v>
          </cell>
          <cell r="S492" t="str">
            <v>2007Minutes</v>
          </cell>
          <cell r="T492" t="str">
            <v>22007CellNets Mali</v>
          </cell>
          <cell r="U492" t="str">
            <v>22007CellNets MaliMinutes</v>
          </cell>
          <cell r="V492" t="str">
            <v>39134Minutes</v>
          </cell>
          <cell r="W492" t="str">
            <v>2007CellNets Mali</v>
          </cell>
          <cell r="X492" t="str">
            <v>2007CellNets MaliMinutes</v>
          </cell>
        </row>
        <row r="493">
          <cell r="I493">
            <v>2007</v>
          </cell>
          <cell r="J493" t="str">
            <v>Burtel MacsymScratch 1 000</v>
          </cell>
          <cell r="L493">
            <v>1</v>
          </cell>
          <cell r="M493" t="str">
            <v>1Burtel Macsym</v>
          </cell>
          <cell r="N493" t="str">
            <v>Burtel MacsymScratch 1 000</v>
          </cell>
          <cell r="O493" t="str">
            <v>Burtel Macsym</v>
          </cell>
          <cell r="P493" t="str">
            <v>Scratch 1 000</v>
          </cell>
          <cell r="Q493" t="str">
            <v>32007</v>
          </cell>
          <cell r="R493" t="str">
            <v>32007Scratch 1 000</v>
          </cell>
          <cell r="S493" t="str">
            <v>2007Scratch 1 000</v>
          </cell>
          <cell r="T493" t="str">
            <v>32007Burtel Macsym</v>
          </cell>
          <cell r="U493" t="str">
            <v>32007Burtel MacsymScratch 1 000</v>
          </cell>
          <cell r="V493" t="str">
            <v>39142Scratch 1 000</v>
          </cell>
          <cell r="W493" t="str">
            <v>2007Burtel Macsym</v>
          </cell>
          <cell r="X493" t="str">
            <v>2007Burtel MacsymScratch 1 000</v>
          </cell>
        </row>
        <row r="494">
          <cell r="I494">
            <v>2007</v>
          </cell>
          <cell r="J494" t="str">
            <v>Burtel MacsymScratch 2 000</v>
          </cell>
          <cell r="L494">
            <v>0</v>
          </cell>
          <cell r="M494" t="str">
            <v>Burtel Macsym</v>
          </cell>
          <cell r="N494" t="str">
            <v>Burtel MacsymScratch 2 000</v>
          </cell>
          <cell r="O494" t="str">
            <v>Burtel Macsym</v>
          </cell>
          <cell r="P494" t="str">
            <v>Scratch 2 000</v>
          </cell>
          <cell r="Q494" t="str">
            <v>32007</v>
          </cell>
          <cell r="R494" t="str">
            <v>32007Scratch 2 000</v>
          </cell>
          <cell r="S494" t="str">
            <v>2007Scratch 2 000</v>
          </cell>
          <cell r="T494" t="str">
            <v>32007Burtel Macsym</v>
          </cell>
          <cell r="U494" t="str">
            <v>32007Burtel MacsymScratch 2 000</v>
          </cell>
          <cell r="V494" t="str">
            <v>39142Scratch 2 000</v>
          </cell>
          <cell r="W494" t="str">
            <v>2007Burtel Macsym</v>
          </cell>
          <cell r="X494" t="str">
            <v>2007Burtel MacsymScratch 2 000</v>
          </cell>
        </row>
        <row r="495">
          <cell r="I495">
            <v>2007</v>
          </cell>
          <cell r="J495" t="str">
            <v>Burtel MacsymScratch 5 000</v>
          </cell>
          <cell r="L495">
            <v>0</v>
          </cell>
          <cell r="M495" t="str">
            <v>Burtel Macsym</v>
          </cell>
          <cell r="N495" t="str">
            <v>Burtel MacsymScratch 5 000</v>
          </cell>
          <cell r="O495" t="str">
            <v>Burtel Macsym</v>
          </cell>
          <cell r="P495" t="str">
            <v>Scratch 5 000</v>
          </cell>
          <cell r="Q495" t="str">
            <v>32007</v>
          </cell>
          <cell r="R495" t="str">
            <v>32007Scratch 5 000</v>
          </cell>
          <cell r="S495" t="str">
            <v>2007Scratch 5 000</v>
          </cell>
          <cell r="T495" t="str">
            <v>32007Burtel Macsym</v>
          </cell>
          <cell r="U495" t="str">
            <v>32007Burtel MacsymScratch 5 000</v>
          </cell>
          <cell r="V495" t="str">
            <v>39142Scratch 5 000</v>
          </cell>
          <cell r="W495" t="str">
            <v>2007Burtel Macsym</v>
          </cell>
          <cell r="X495" t="str">
            <v>2007Burtel MacsymScratch 5 000</v>
          </cell>
        </row>
        <row r="496">
          <cell r="I496">
            <v>2007</v>
          </cell>
          <cell r="J496" t="str">
            <v>Burtel MacsymScratch 10 000</v>
          </cell>
          <cell r="L496">
            <v>0</v>
          </cell>
          <cell r="M496" t="str">
            <v>Burtel Macsym</v>
          </cell>
          <cell r="N496" t="str">
            <v>Burtel MacsymScratch 10 000</v>
          </cell>
          <cell r="O496" t="str">
            <v>Burtel Macsym</v>
          </cell>
          <cell r="P496" t="str">
            <v>Scratch 10 000</v>
          </cell>
          <cell r="Q496" t="str">
            <v>22007</v>
          </cell>
          <cell r="R496" t="str">
            <v>22007Scratch 10 000</v>
          </cell>
          <cell r="S496" t="str">
            <v>2007Scratch 10 000</v>
          </cell>
          <cell r="T496" t="str">
            <v>22007Burtel Macsym</v>
          </cell>
          <cell r="U496" t="str">
            <v>22007Burtel MacsymScratch 10 000</v>
          </cell>
          <cell r="V496" t="str">
            <v>39141Scratch 10 000</v>
          </cell>
          <cell r="W496" t="str">
            <v>2007Burtel Macsym</v>
          </cell>
          <cell r="X496" t="str">
            <v>2007Burtel MacsymScratch 10 000</v>
          </cell>
        </row>
        <row r="497">
          <cell r="I497">
            <v>2007</v>
          </cell>
          <cell r="J497" t="str">
            <v>STS GAMBY &amp; FRERES (SOGAF) SarlScratch 1 000</v>
          </cell>
          <cell r="L497">
            <v>1</v>
          </cell>
          <cell r="M497" t="str">
            <v>1STS GAMBY &amp; FRERES (SOGAF) Sarl</v>
          </cell>
          <cell r="N497" t="str">
            <v>STS GAMBY &amp; FRERES (SOGAF) SarlScratch 1 000</v>
          </cell>
          <cell r="O497" t="str">
            <v>STS GAMBY &amp; FRERES (SOGAF) Sarl</v>
          </cell>
          <cell r="P497" t="str">
            <v>Scratch 1 000</v>
          </cell>
          <cell r="Q497" t="str">
            <v>32007</v>
          </cell>
          <cell r="R497" t="str">
            <v>32007Scratch 1 000</v>
          </cell>
          <cell r="S497" t="str">
            <v>2007Scratch 1 000</v>
          </cell>
          <cell r="T497" t="str">
            <v>32007STS GAMBY &amp; FRERES (SOGAF) Sarl</v>
          </cell>
          <cell r="U497" t="str">
            <v>32007STS GAMBY &amp; FRERES (SOGAF) SarlScratch 1 000</v>
          </cell>
          <cell r="V497" t="str">
            <v>39142Scratch 1 000</v>
          </cell>
          <cell r="W497" t="str">
            <v>2007STS GAMBY &amp; FRERES (SOGAF) Sarl</v>
          </cell>
          <cell r="X497" t="str">
            <v>2007STS GAMBY &amp; FRERES (SOGAF) SarlScratch 1 000</v>
          </cell>
        </row>
        <row r="498">
          <cell r="I498">
            <v>2007</v>
          </cell>
          <cell r="J498" t="str">
            <v>STS GAMBY &amp; FRERES (SOGAF) SarlScratch 2 000</v>
          </cell>
          <cell r="L498">
            <v>0</v>
          </cell>
          <cell r="M498" t="str">
            <v>STS GAMBY &amp; FRERES (SOGAF) Sarl</v>
          </cell>
          <cell r="N498" t="str">
            <v>STS GAMBY &amp; FRERES (SOGAF) SarlScratch 2 000</v>
          </cell>
          <cell r="O498" t="str">
            <v>STS GAMBY &amp; FRERES (SOGAF) Sarl</v>
          </cell>
          <cell r="P498" t="str">
            <v>Scratch 2 000</v>
          </cell>
          <cell r="Q498" t="str">
            <v>32007</v>
          </cell>
          <cell r="R498" t="str">
            <v>32007Scratch 2 000</v>
          </cell>
          <cell r="S498" t="str">
            <v>2007Scratch 2 000</v>
          </cell>
          <cell r="T498" t="str">
            <v>32007STS GAMBY &amp; FRERES (SOGAF) Sarl</v>
          </cell>
          <cell r="U498" t="str">
            <v>32007STS GAMBY &amp; FRERES (SOGAF) SarlScratch 2 000</v>
          </cell>
          <cell r="V498" t="str">
            <v>39142Scratch 2 000</v>
          </cell>
          <cell r="W498" t="str">
            <v>2007STS GAMBY &amp; FRERES (SOGAF) Sarl</v>
          </cell>
          <cell r="X498" t="str">
            <v>2007STS GAMBY &amp; FRERES (SOGAF) SarlScratch 2 000</v>
          </cell>
        </row>
        <row r="499">
          <cell r="I499">
            <v>2007</v>
          </cell>
          <cell r="J499" t="str">
            <v>STS GAMBY &amp; FRERES (SOGAF) SarlScratch 5 000</v>
          </cell>
          <cell r="L499">
            <v>0</v>
          </cell>
          <cell r="M499" t="str">
            <v>STS GAMBY &amp; FRERES (SOGAF) Sarl</v>
          </cell>
          <cell r="N499" t="str">
            <v>STS GAMBY &amp; FRERES (SOGAF) SarlScratch 5 000</v>
          </cell>
          <cell r="O499" t="str">
            <v>STS GAMBY &amp; FRERES (SOGAF) Sarl</v>
          </cell>
          <cell r="P499" t="str">
            <v>Scratch 5 000</v>
          </cell>
          <cell r="Q499" t="str">
            <v>32007</v>
          </cell>
          <cell r="R499" t="str">
            <v>32007Scratch 5 000</v>
          </cell>
          <cell r="S499" t="str">
            <v>2007Scratch 5 000</v>
          </cell>
          <cell r="T499" t="str">
            <v>32007STS GAMBY &amp; FRERES (SOGAF) Sarl</v>
          </cell>
          <cell r="U499" t="str">
            <v>32007STS GAMBY &amp; FRERES (SOGAF) SarlScratch 5 000</v>
          </cell>
          <cell r="V499" t="str">
            <v>39142Scratch 5 000</v>
          </cell>
          <cell r="W499" t="str">
            <v>2007STS GAMBY &amp; FRERES (SOGAF) Sarl</v>
          </cell>
          <cell r="X499" t="str">
            <v>2007STS GAMBY &amp; FRERES (SOGAF) SarlScratch 5 000</v>
          </cell>
        </row>
        <row r="500">
          <cell r="I500">
            <v>2007</v>
          </cell>
          <cell r="J500" t="str">
            <v>ANKA ServicesScratch 1 000</v>
          </cell>
          <cell r="L500">
            <v>1</v>
          </cell>
          <cell r="M500" t="str">
            <v>1ANKA Services</v>
          </cell>
          <cell r="N500" t="str">
            <v>ANKA ServicesScratch 1 000</v>
          </cell>
          <cell r="O500" t="str">
            <v>ANKA Services</v>
          </cell>
          <cell r="P500" t="str">
            <v>Scratch 1 000</v>
          </cell>
          <cell r="Q500" t="str">
            <v>32007</v>
          </cell>
          <cell r="R500" t="str">
            <v>32007Scratch 1 000</v>
          </cell>
          <cell r="S500" t="str">
            <v>2007Scratch 1 000</v>
          </cell>
          <cell r="T500" t="str">
            <v>32007ANKA Services</v>
          </cell>
          <cell r="U500" t="str">
            <v>32007ANKA ServicesScratch 1 000</v>
          </cell>
          <cell r="V500" t="str">
            <v>39142Scratch 1 000</v>
          </cell>
          <cell r="W500" t="str">
            <v>2007ANKA Services</v>
          </cell>
          <cell r="X500" t="str">
            <v>2007ANKA ServicesScratch 1 000</v>
          </cell>
        </row>
        <row r="501">
          <cell r="I501">
            <v>2007</v>
          </cell>
          <cell r="J501" t="str">
            <v>ANKA ServicesScratch 2 000</v>
          </cell>
          <cell r="L501">
            <v>0</v>
          </cell>
          <cell r="M501" t="str">
            <v>ANKA Services</v>
          </cell>
          <cell r="N501" t="str">
            <v>ANKA ServicesScratch 2 000</v>
          </cell>
          <cell r="O501" t="str">
            <v>ANKA Services</v>
          </cell>
          <cell r="P501" t="str">
            <v>Scratch 2 000</v>
          </cell>
          <cell r="Q501" t="str">
            <v>32007</v>
          </cell>
          <cell r="R501" t="str">
            <v>32007Scratch 2 000</v>
          </cell>
          <cell r="S501" t="str">
            <v>2007Scratch 2 000</v>
          </cell>
          <cell r="T501" t="str">
            <v>32007ANKA Services</v>
          </cell>
          <cell r="U501" t="str">
            <v>32007ANKA ServicesScratch 2 000</v>
          </cell>
          <cell r="V501" t="str">
            <v>39142Scratch 2 000</v>
          </cell>
          <cell r="W501" t="str">
            <v>2007ANKA Services</v>
          </cell>
          <cell r="X501" t="str">
            <v>2007ANKA ServicesScratch 2 000</v>
          </cell>
        </row>
        <row r="502">
          <cell r="I502">
            <v>2007</v>
          </cell>
          <cell r="J502" t="str">
            <v>ANKA ServicesScratch 5 000</v>
          </cell>
          <cell r="L502">
            <v>0</v>
          </cell>
          <cell r="M502" t="str">
            <v>ANKA Services</v>
          </cell>
          <cell r="N502" t="str">
            <v>ANKA ServicesScratch 5 000</v>
          </cell>
          <cell r="O502" t="str">
            <v>ANKA Services</v>
          </cell>
          <cell r="P502" t="str">
            <v>Scratch 5 000</v>
          </cell>
          <cell r="Q502" t="str">
            <v>32007</v>
          </cell>
          <cell r="R502" t="str">
            <v>32007Scratch 5 000</v>
          </cell>
          <cell r="S502" t="str">
            <v>2007Scratch 5 000</v>
          </cell>
          <cell r="T502" t="str">
            <v>32007ANKA Services</v>
          </cell>
          <cell r="U502" t="str">
            <v>32007ANKA ServicesScratch 5 000</v>
          </cell>
          <cell r="V502" t="str">
            <v>39142Scratch 5 000</v>
          </cell>
          <cell r="W502" t="str">
            <v>2007ANKA Services</v>
          </cell>
          <cell r="X502" t="str">
            <v>2007ANKA ServicesScratch 5 000</v>
          </cell>
        </row>
        <row r="503">
          <cell r="I503">
            <v>2007</v>
          </cell>
          <cell r="J503" t="str">
            <v>Ets Mamadou GAMBYScratch 1 000</v>
          </cell>
          <cell r="L503">
            <v>1</v>
          </cell>
          <cell r="M503" t="str">
            <v>1Ets Mamadou GAMBY</v>
          </cell>
          <cell r="N503" t="str">
            <v>Ets Mamadou GAMBYScratch 1 000</v>
          </cell>
          <cell r="O503" t="str">
            <v>Ets Mamadou GAMBY</v>
          </cell>
          <cell r="P503" t="str">
            <v>Scratch 1 000</v>
          </cell>
          <cell r="Q503" t="str">
            <v>32007</v>
          </cell>
          <cell r="R503" t="str">
            <v>32007Scratch 1 000</v>
          </cell>
          <cell r="S503" t="str">
            <v>2007Scratch 1 000</v>
          </cell>
          <cell r="T503" t="str">
            <v>32007Ets Mamadou GAMBY</v>
          </cell>
          <cell r="U503" t="str">
            <v>32007Ets Mamadou GAMBYScratch 1 000</v>
          </cell>
          <cell r="V503" t="str">
            <v>39142Scratch 1 000</v>
          </cell>
          <cell r="W503" t="str">
            <v>2007Ets Mamadou GAMBY</v>
          </cell>
          <cell r="X503" t="str">
            <v>2007Ets Mamadou GAMBYScratch 1 000</v>
          </cell>
        </row>
        <row r="504">
          <cell r="I504">
            <v>2007</v>
          </cell>
          <cell r="J504" t="str">
            <v>Ets Mamadou GAMBYScratch 2 000</v>
          </cell>
          <cell r="L504">
            <v>0</v>
          </cell>
          <cell r="M504" t="str">
            <v>Ets Mamadou GAMBY</v>
          </cell>
          <cell r="N504" t="str">
            <v>Ets Mamadou GAMBYScratch 2 000</v>
          </cell>
          <cell r="O504" t="str">
            <v>Ets Mamadou GAMBY</v>
          </cell>
          <cell r="P504" t="str">
            <v>Scratch 2 000</v>
          </cell>
          <cell r="Q504" t="str">
            <v>32007</v>
          </cell>
          <cell r="R504" t="str">
            <v>32007Scratch 2 000</v>
          </cell>
          <cell r="S504" t="str">
            <v>2007Scratch 2 000</v>
          </cell>
          <cell r="T504" t="str">
            <v>32007Ets Mamadou GAMBY</v>
          </cell>
          <cell r="U504" t="str">
            <v>32007Ets Mamadou GAMBYScratch 2 000</v>
          </cell>
          <cell r="V504" t="str">
            <v>39142Scratch 2 000</v>
          </cell>
          <cell r="W504" t="str">
            <v>2007Ets Mamadou GAMBY</v>
          </cell>
          <cell r="X504" t="str">
            <v>2007Ets Mamadou GAMBYScratch 2 000</v>
          </cell>
        </row>
        <row r="505">
          <cell r="I505">
            <v>2007</v>
          </cell>
          <cell r="J505" t="str">
            <v>Bonneterie Nouvelle TelecomScratch 1 000</v>
          </cell>
          <cell r="L505">
            <v>1</v>
          </cell>
          <cell r="M505" t="str">
            <v>1Bonneterie Nouvelle Telecom</v>
          </cell>
          <cell r="N505" t="str">
            <v>Bonneterie Nouvelle TelecomScratch 1 000</v>
          </cell>
          <cell r="O505" t="str">
            <v>Bonneterie Nouvelle Telecom</v>
          </cell>
          <cell r="P505" t="str">
            <v>Scratch 1 000</v>
          </cell>
          <cell r="Q505" t="str">
            <v>32007</v>
          </cell>
          <cell r="R505" t="str">
            <v>32007Scratch 1 000</v>
          </cell>
          <cell r="S505" t="str">
            <v>2007Scratch 1 000</v>
          </cell>
          <cell r="T505" t="str">
            <v>32007Bonneterie Nouvelle Telecom</v>
          </cell>
          <cell r="U505" t="str">
            <v>32007Bonneterie Nouvelle TelecomScratch 1 000</v>
          </cell>
          <cell r="V505" t="str">
            <v>39143Scratch 1 000</v>
          </cell>
          <cell r="W505" t="str">
            <v>2007Bonneterie Nouvelle Telecom</v>
          </cell>
          <cell r="X505" t="str">
            <v>2007Bonneterie Nouvelle TelecomScratch 1 000</v>
          </cell>
        </row>
        <row r="506">
          <cell r="I506">
            <v>2007</v>
          </cell>
          <cell r="J506" t="str">
            <v>Bonneterie Nouvelle TelecomScratch 2 000</v>
          </cell>
          <cell r="L506">
            <v>0</v>
          </cell>
          <cell r="M506" t="str">
            <v>Bonneterie Nouvelle Telecom</v>
          </cell>
          <cell r="N506" t="str">
            <v>Bonneterie Nouvelle TelecomScratch 2 000</v>
          </cell>
          <cell r="O506" t="str">
            <v>Bonneterie Nouvelle Telecom</v>
          </cell>
          <cell r="P506" t="str">
            <v>Scratch 2 000</v>
          </cell>
          <cell r="Q506" t="str">
            <v>32007</v>
          </cell>
          <cell r="R506" t="str">
            <v>32007Scratch 2 000</v>
          </cell>
          <cell r="S506" t="str">
            <v>2007Scratch 2 000</v>
          </cell>
          <cell r="T506" t="str">
            <v>32007Bonneterie Nouvelle Telecom</v>
          </cell>
          <cell r="U506" t="str">
            <v>32007Bonneterie Nouvelle TelecomScratch 2 000</v>
          </cell>
          <cell r="V506" t="str">
            <v>39143Scratch 2 000</v>
          </cell>
          <cell r="W506" t="str">
            <v>2007Bonneterie Nouvelle Telecom</v>
          </cell>
          <cell r="X506" t="str">
            <v>2007Bonneterie Nouvelle TelecomScratch 2 000</v>
          </cell>
        </row>
        <row r="507">
          <cell r="I507">
            <v>2007</v>
          </cell>
          <cell r="J507" t="str">
            <v>Bonneterie Nouvelle TelecomScratch 5 000</v>
          </cell>
          <cell r="L507">
            <v>0</v>
          </cell>
          <cell r="M507" t="str">
            <v>Bonneterie Nouvelle Telecom</v>
          </cell>
          <cell r="N507" t="str">
            <v>Bonneterie Nouvelle TelecomScratch 5 000</v>
          </cell>
          <cell r="O507" t="str">
            <v>Bonneterie Nouvelle Telecom</v>
          </cell>
          <cell r="P507" t="str">
            <v>Scratch 5 000</v>
          </cell>
          <cell r="Q507" t="str">
            <v>32007</v>
          </cell>
          <cell r="R507" t="str">
            <v>32007Scratch 5 000</v>
          </cell>
          <cell r="S507" t="str">
            <v>2007Scratch 5 000</v>
          </cell>
          <cell r="T507" t="str">
            <v>32007Bonneterie Nouvelle Telecom</v>
          </cell>
          <cell r="U507" t="str">
            <v>32007Bonneterie Nouvelle TelecomScratch 5 000</v>
          </cell>
          <cell r="V507" t="str">
            <v>39143Scratch 5 000</v>
          </cell>
          <cell r="W507" t="str">
            <v>2007Bonneterie Nouvelle Telecom</v>
          </cell>
          <cell r="X507" t="str">
            <v>2007Bonneterie Nouvelle TelecomScratch 5 000</v>
          </cell>
        </row>
        <row r="508">
          <cell r="I508">
            <v>2007</v>
          </cell>
          <cell r="J508" t="str">
            <v>Bonneterie Nouvelle TelecomScratch 10 000</v>
          </cell>
          <cell r="L508">
            <v>0</v>
          </cell>
          <cell r="M508" t="str">
            <v>Bonneterie Nouvelle Telecom</v>
          </cell>
          <cell r="N508" t="str">
            <v>Bonneterie Nouvelle TelecomScratch 10 000</v>
          </cell>
          <cell r="O508" t="str">
            <v>Bonneterie Nouvelle Telecom</v>
          </cell>
          <cell r="P508" t="str">
            <v>Scratch 10 000</v>
          </cell>
          <cell r="Q508" t="str">
            <v>32007</v>
          </cell>
          <cell r="R508" t="str">
            <v>32007Scratch 10 000</v>
          </cell>
          <cell r="S508" t="str">
            <v>2007Scratch 10 000</v>
          </cell>
          <cell r="T508" t="str">
            <v>32007Bonneterie Nouvelle Telecom</v>
          </cell>
          <cell r="U508" t="str">
            <v>32007Bonneterie Nouvelle TelecomScratch 10 000</v>
          </cell>
          <cell r="V508" t="str">
            <v>39143Scratch 10 000</v>
          </cell>
          <cell r="W508" t="str">
            <v>2007Bonneterie Nouvelle Telecom</v>
          </cell>
          <cell r="X508" t="str">
            <v>2007Bonneterie Nouvelle TelecomScratch 10 000</v>
          </cell>
        </row>
        <row r="509">
          <cell r="I509">
            <v>2007</v>
          </cell>
          <cell r="J509" t="str">
            <v>STS GAMBY &amp; FRERES (SOGAF) SarlScratch 1 000</v>
          </cell>
          <cell r="L509">
            <v>1</v>
          </cell>
          <cell r="M509" t="str">
            <v>1STS GAMBY &amp; FRERES (SOGAF) Sarl</v>
          </cell>
          <cell r="N509" t="str">
            <v>STS GAMBY &amp; FRERES (SOGAF) SarlScratch 1 000</v>
          </cell>
          <cell r="O509" t="str">
            <v>STS GAMBY &amp; FRERES (SOGAF) Sarl</v>
          </cell>
          <cell r="P509" t="str">
            <v>Scratch 1 000</v>
          </cell>
          <cell r="Q509" t="str">
            <v>32007</v>
          </cell>
          <cell r="R509" t="str">
            <v>32007Scratch 1 000</v>
          </cell>
          <cell r="S509" t="str">
            <v>2007Scratch 1 000</v>
          </cell>
          <cell r="T509" t="str">
            <v>32007STS GAMBY &amp; FRERES (SOGAF) Sarl</v>
          </cell>
          <cell r="U509" t="str">
            <v>32007STS GAMBY &amp; FRERES (SOGAF) SarlScratch 1 000</v>
          </cell>
          <cell r="V509" t="str">
            <v>39143Scratch 1 000</v>
          </cell>
          <cell r="W509" t="str">
            <v>2007STS GAMBY &amp; FRERES (SOGAF) Sarl</v>
          </cell>
          <cell r="X509" t="str">
            <v>2007STS GAMBY &amp; FRERES (SOGAF) SarlScratch 1 000</v>
          </cell>
        </row>
        <row r="510">
          <cell r="I510">
            <v>2007</v>
          </cell>
          <cell r="J510" t="str">
            <v>STS GAMBY &amp; FRERES (SOGAF) SarlScratch 2 000</v>
          </cell>
          <cell r="L510">
            <v>0</v>
          </cell>
          <cell r="M510" t="str">
            <v>STS GAMBY &amp; FRERES (SOGAF) Sarl</v>
          </cell>
          <cell r="N510" t="str">
            <v>STS GAMBY &amp; FRERES (SOGAF) SarlScratch 2 000</v>
          </cell>
          <cell r="O510" t="str">
            <v>STS GAMBY &amp; FRERES (SOGAF) Sarl</v>
          </cell>
          <cell r="P510" t="str">
            <v>Scratch 2 000</v>
          </cell>
          <cell r="Q510" t="str">
            <v>32007</v>
          </cell>
          <cell r="R510" t="str">
            <v>32007Scratch 2 000</v>
          </cell>
          <cell r="S510" t="str">
            <v>2007Scratch 2 000</v>
          </cell>
          <cell r="T510" t="str">
            <v>32007STS GAMBY &amp; FRERES (SOGAF) Sarl</v>
          </cell>
          <cell r="U510" t="str">
            <v>32007STS GAMBY &amp; FRERES (SOGAF) SarlScratch 2 000</v>
          </cell>
          <cell r="V510" t="str">
            <v>39143Scratch 2 000</v>
          </cell>
          <cell r="W510" t="str">
            <v>2007STS GAMBY &amp; FRERES (SOGAF) Sarl</v>
          </cell>
          <cell r="X510" t="str">
            <v>2007STS GAMBY &amp; FRERES (SOGAF) SarlScratch 2 000</v>
          </cell>
        </row>
        <row r="511">
          <cell r="I511">
            <v>2007</v>
          </cell>
          <cell r="J511" t="str">
            <v>STS GAMBY &amp; FRERES (SOGAF) SarlScratch 5 000</v>
          </cell>
          <cell r="L511">
            <v>0</v>
          </cell>
          <cell r="M511" t="str">
            <v>STS GAMBY &amp; FRERES (SOGAF) Sarl</v>
          </cell>
          <cell r="N511" t="str">
            <v>STS GAMBY &amp; FRERES (SOGAF) SarlScratch 5 000</v>
          </cell>
          <cell r="O511" t="str">
            <v>STS GAMBY &amp; FRERES (SOGAF) Sarl</v>
          </cell>
          <cell r="P511" t="str">
            <v>Scratch 5 000</v>
          </cell>
          <cell r="Q511" t="str">
            <v>32007</v>
          </cell>
          <cell r="R511" t="str">
            <v>32007Scratch 5 000</v>
          </cell>
          <cell r="S511" t="str">
            <v>2007Scratch 5 000</v>
          </cell>
          <cell r="T511" t="str">
            <v>32007STS GAMBY &amp; FRERES (SOGAF) Sarl</v>
          </cell>
          <cell r="U511" t="str">
            <v>32007STS GAMBY &amp; FRERES (SOGAF) SarlScratch 5 000</v>
          </cell>
          <cell r="V511" t="str">
            <v>39143Scratch 5 000</v>
          </cell>
          <cell r="W511" t="str">
            <v>2007STS GAMBY &amp; FRERES (SOGAF) Sarl</v>
          </cell>
          <cell r="X511" t="str">
            <v>2007STS GAMBY &amp; FRERES (SOGAF) SarlScratch 5 000</v>
          </cell>
        </row>
        <row r="512">
          <cell r="I512">
            <v>2007</v>
          </cell>
          <cell r="J512" t="str">
            <v>Ets Mamadou GAMBYScratch 1 000</v>
          </cell>
          <cell r="L512">
            <v>1</v>
          </cell>
          <cell r="M512" t="str">
            <v>1Ets Mamadou GAMBY</v>
          </cell>
          <cell r="N512" t="str">
            <v>Ets Mamadou GAMBYScratch 1 000</v>
          </cell>
          <cell r="O512" t="str">
            <v>Ets Mamadou GAMBY</v>
          </cell>
          <cell r="P512" t="str">
            <v>Scratch 1 000</v>
          </cell>
          <cell r="Q512" t="str">
            <v>32007</v>
          </cell>
          <cell r="R512" t="str">
            <v>32007Scratch 1 000</v>
          </cell>
          <cell r="S512" t="str">
            <v>2007Scratch 1 000</v>
          </cell>
          <cell r="T512" t="str">
            <v>32007Ets Mamadou GAMBY</v>
          </cell>
          <cell r="U512" t="str">
            <v>32007Ets Mamadou GAMBYScratch 1 000</v>
          </cell>
          <cell r="V512" t="str">
            <v>39143Scratch 1 000</v>
          </cell>
          <cell r="W512" t="str">
            <v>2007Ets Mamadou GAMBY</v>
          </cell>
          <cell r="X512" t="str">
            <v>2007Ets Mamadou GAMBYScratch 1 000</v>
          </cell>
        </row>
        <row r="513">
          <cell r="I513">
            <v>2007</v>
          </cell>
          <cell r="J513" t="str">
            <v>Ets Mamadou GAMBYScratch 2 000</v>
          </cell>
          <cell r="L513">
            <v>0</v>
          </cell>
          <cell r="M513" t="str">
            <v>Ets Mamadou GAMBY</v>
          </cell>
          <cell r="N513" t="str">
            <v>Ets Mamadou GAMBYScratch 2 000</v>
          </cell>
          <cell r="O513" t="str">
            <v>Ets Mamadou GAMBY</v>
          </cell>
          <cell r="P513" t="str">
            <v>Scratch 2 000</v>
          </cell>
          <cell r="Q513" t="str">
            <v>32007</v>
          </cell>
          <cell r="R513" t="str">
            <v>32007Scratch 2 000</v>
          </cell>
          <cell r="S513" t="str">
            <v>2007Scratch 2 000</v>
          </cell>
          <cell r="T513" t="str">
            <v>32007Ets Mamadou GAMBY</v>
          </cell>
          <cell r="U513" t="str">
            <v>32007Ets Mamadou GAMBYScratch 2 000</v>
          </cell>
          <cell r="V513" t="str">
            <v>39143Scratch 2 000</v>
          </cell>
          <cell r="W513" t="str">
            <v>2007Ets Mamadou GAMBY</v>
          </cell>
          <cell r="X513" t="str">
            <v>2007Ets Mamadou GAMBYScratch 2 000</v>
          </cell>
        </row>
        <row r="514">
          <cell r="I514">
            <v>2007</v>
          </cell>
          <cell r="J514" t="str">
            <v>GEMATELScratch 1 000</v>
          </cell>
          <cell r="L514">
            <v>1</v>
          </cell>
          <cell r="M514" t="str">
            <v>1GEMATEL</v>
          </cell>
          <cell r="N514" t="str">
            <v>GEMATELScratch 1 000</v>
          </cell>
          <cell r="O514" t="str">
            <v>GEMATEL</v>
          </cell>
          <cell r="P514" t="str">
            <v>Scratch 1 000</v>
          </cell>
          <cell r="Q514" t="str">
            <v>32007</v>
          </cell>
          <cell r="R514" t="str">
            <v>32007Scratch 1 000</v>
          </cell>
          <cell r="S514" t="str">
            <v>2007Scratch 1 000</v>
          </cell>
          <cell r="T514" t="str">
            <v>32007GEMATEL</v>
          </cell>
          <cell r="U514" t="str">
            <v>32007GEMATELScratch 1 000</v>
          </cell>
          <cell r="V514" t="str">
            <v>39143Scratch 1 000</v>
          </cell>
          <cell r="W514" t="str">
            <v>2007GEMATEL</v>
          </cell>
          <cell r="X514" t="str">
            <v>2007GEMATELScratch 1 000</v>
          </cell>
        </row>
        <row r="515">
          <cell r="I515">
            <v>2007</v>
          </cell>
          <cell r="J515" t="str">
            <v>GEMATELScratch 2 000</v>
          </cell>
          <cell r="L515">
            <v>0</v>
          </cell>
          <cell r="M515" t="str">
            <v>GEMATEL</v>
          </cell>
          <cell r="N515" t="str">
            <v>GEMATELScratch 2 000</v>
          </cell>
          <cell r="O515" t="str">
            <v>GEMATEL</v>
          </cell>
          <cell r="P515" t="str">
            <v>Scratch 2 000</v>
          </cell>
          <cell r="Q515" t="str">
            <v>32007</v>
          </cell>
          <cell r="R515" t="str">
            <v>32007Scratch 2 000</v>
          </cell>
          <cell r="S515" t="str">
            <v>2007Scratch 2 000</v>
          </cell>
          <cell r="T515" t="str">
            <v>32007GEMATEL</v>
          </cell>
          <cell r="U515" t="str">
            <v>32007GEMATELScratch 2 000</v>
          </cell>
          <cell r="V515" t="str">
            <v>39143Scratch 2 000</v>
          </cell>
          <cell r="W515" t="str">
            <v>2007GEMATEL</v>
          </cell>
          <cell r="X515" t="str">
            <v>2007GEMATELScratch 2 000</v>
          </cell>
        </row>
        <row r="516">
          <cell r="I516">
            <v>2007</v>
          </cell>
          <cell r="J516" t="str">
            <v>GEMATELScratch 5 000</v>
          </cell>
          <cell r="L516">
            <v>0</v>
          </cell>
          <cell r="M516" t="str">
            <v>GEMATEL</v>
          </cell>
          <cell r="N516" t="str">
            <v>GEMATELScratch 5 000</v>
          </cell>
          <cell r="O516" t="str">
            <v>GEMATEL</v>
          </cell>
          <cell r="P516" t="str">
            <v>Scratch 5 000</v>
          </cell>
          <cell r="Q516" t="str">
            <v>32007</v>
          </cell>
          <cell r="R516" t="str">
            <v>32007Scratch 5 000</v>
          </cell>
          <cell r="S516" t="str">
            <v>2007Scratch 5 000</v>
          </cell>
          <cell r="T516" t="str">
            <v>32007GEMATEL</v>
          </cell>
          <cell r="U516" t="str">
            <v>32007GEMATELScratch 5 000</v>
          </cell>
          <cell r="V516" t="str">
            <v>39143Scratch 5 000</v>
          </cell>
          <cell r="W516" t="str">
            <v>2007GEMATEL</v>
          </cell>
          <cell r="X516" t="str">
            <v>2007GEMATELScratch 5 000</v>
          </cell>
        </row>
        <row r="517">
          <cell r="I517">
            <v>2007</v>
          </cell>
          <cell r="J517" t="str">
            <v>GEMATELScratch 10 000</v>
          </cell>
          <cell r="L517">
            <v>0</v>
          </cell>
          <cell r="M517" t="str">
            <v>GEMATEL</v>
          </cell>
          <cell r="N517" t="str">
            <v>GEMATELScratch 10 000</v>
          </cell>
          <cell r="O517" t="str">
            <v>GEMATEL</v>
          </cell>
          <cell r="P517" t="str">
            <v>Scratch 10 000</v>
          </cell>
          <cell r="Q517" t="str">
            <v>32007</v>
          </cell>
          <cell r="R517" t="str">
            <v>32007Scratch 10 000</v>
          </cell>
          <cell r="S517" t="str">
            <v>2007Scratch 10 000</v>
          </cell>
          <cell r="T517" t="str">
            <v>32007GEMATEL</v>
          </cell>
          <cell r="U517" t="str">
            <v>32007GEMATELScratch 10 000</v>
          </cell>
          <cell r="V517" t="str">
            <v>39143Scratch 10 000</v>
          </cell>
          <cell r="W517" t="str">
            <v>2007GEMATEL</v>
          </cell>
          <cell r="X517" t="str">
            <v>2007GEMATELScratch 10 000</v>
          </cell>
        </row>
        <row r="518">
          <cell r="I518">
            <v>2007</v>
          </cell>
          <cell r="J518" t="str">
            <v>GEMATELScratch 20 000</v>
          </cell>
          <cell r="L518">
            <v>0</v>
          </cell>
          <cell r="M518" t="str">
            <v>GEMATEL</v>
          </cell>
          <cell r="N518" t="str">
            <v>GEMATELScratch 20 000</v>
          </cell>
          <cell r="O518" t="str">
            <v>GEMATEL</v>
          </cell>
          <cell r="P518" t="str">
            <v>Scratch 20 000</v>
          </cell>
          <cell r="Q518" t="str">
            <v>32007</v>
          </cell>
          <cell r="R518" t="str">
            <v>32007Scratch 20 000</v>
          </cell>
          <cell r="S518" t="str">
            <v>2007Scratch 20 000</v>
          </cell>
          <cell r="T518" t="str">
            <v>32007GEMATEL</v>
          </cell>
          <cell r="U518" t="str">
            <v>32007GEMATELScratch 20 000</v>
          </cell>
          <cell r="V518" t="str">
            <v>39143Scratch 20 000</v>
          </cell>
          <cell r="W518" t="str">
            <v>2007GEMATEL</v>
          </cell>
          <cell r="X518" t="str">
            <v>2007GEMATELScratch 20 000</v>
          </cell>
        </row>
        <row r="519">
          <cell r="I519">
            <v>2007</v>
          </cell>
          <cell r="J519" t="str">
            <v>ANKA ServicesScratch 1 000</v>
          </cell>
          <cell r="L519">
            <v>1</v>
          </cell>
          <cell r="M519" t="str">
            <v>1ANKA Services</v>
          </cell>
          <cell r="N519" t="str">
            <v>ANKA ServicesScratch 1 000</v>
          </cell>
          <cell r="O519" t="str">
            <v>ANKA Services</v>
          </cell>
          <cell r="P519" t="str">
            <v>Scratch 1 000</v>
          </cell>
          <cell r="Q519" t="str">
            <v>32007</v>
          </cell>
          <cell r="R519" t="str">
            <v>32007Scratch 1 000</v>
          </cell>
          <cell r="S519" t="str">
            <v>2007Scratch 1 000</v>
          </cell>
          <cell r="T519" t="str">
            <v>32007ANKA Services</v>
          </cell>
          <cell r="U519" t="str">
            <v>32007ANKA ServicesScratch 1 000</v>
          </cell>
          <cell r="V519" t="str">
            <v>39143Scratch 1 000</v>
          </cell>
          <cell r="W519" t="str">
            <v>2007ANKA Services</v>
          </cell>
          <cell r="X519" t="str">
            <v>2007ANKA ServicesScratch 1 000</v>
          </cell>
        </row>
        <row r="520">
          <cell r="I520">
            <v>2007</v>
          </cell>
          <cell r="J520" t="str">
            <v>ANKA ServicesScratch 5 000</v>
          </cell>
          <cell r="L520">
            <v>0</v>
          </cell>
          <cell r="M520" t="str">
            <v>ANKA Services</v>
          </cell>
          <cell r="N520" t="str">
            <v>ANKA ServicesScratch 5 000</v>
          </cell>
          <cell r="O520" t="str">
            <v>ANKA Services</v>
          </cell>
          <cell r="P520" t="str">
            <v>Scratch 5 000</v>
          </cell>
          <cell r="Q520" t="str">
            <v>32007</v>
          </cell>
          <cell r="R520" t="str">
            <v>32007Scratch 5 000</v>
          </cell>
          <cell r="S520" t="str">
            <v>2007Scratch 5 000</v>
          </cell>
          <cell r="T520" t="str">
            <v>32007ANKA Services</v>
          </cell>
          <cell r="U520" t="str">
            <v>32007ANKA ServicesScratch 5 000</v>
          </cell>
          <cell r="V520" t="str">
            <v>39143Scratch 5 000</v>
          </cell>
          <cell r="W520" t="str">
            <v>2007ANKA Services</v>
          </cell>
          <cell r="X520" t="str">
            <v>2007ANKA ServicesScratch 5 000</v>
          </cell>
        </row>
        <row r="521">
          <cell r="I521">
            <v>2007</v>
          </cell>
          <cell r="J521" t="str">
            <v>ANKA ServicesScratch 10 000</v>
          </cell>
          <cell r="L521">
            <v>0</v>
          </cell>
          <cell r="M521" t="str">
            <v>ANKA Services</v>
          </cell>
          <cell r="N521" t="str">
            <v>ANKA ServicesScratch 10 000</v>
          </cell>
          <cell r="O521" t="str">
            <v>ANKA Services</v>
          </cell>
          <cell r="P521" t="str">
            <v>Scratch 10 000</v>
          </cell>
          <cell r="Q521" t="str">
            <v>32007</v>
          </cell>
          <cell r="R521" t="str">
            <v>32007Scratch 10 000</v>
          </cell>
          <cell r="S521" t="str">
            <v>2007Scratch 10 000</v>
          </cell>
          <cell r="T521" t="str">
            <v>32007ANKA Services</v>
          </cell>
          <cell r="U521" t="str">
            <v>32007ANKA ServicesScratch 10 000</v>
          </cell>
          <cell r="V521" t="str">
            <v>39143Scratch 10 000</v>
          </cell>
          <cell r="W521" t="str">
            <v>2007ANKA Services</v>
          </cell>
          <cell r="X521" t="str">
            <v>2007ANKA ServicesScratch 10 000</v>
          </cell>
        </row>
        <row r="522">
          <cell r="I522">
            <v>2007</v>
          </cell>
          <cell r="J522" t="str">
            <v>ETS Boubacar TANDIAScratch 1 000</v>
          </cell>
          <cell r="L522">
            <v>1</v>
          </cell>
          <cell r="M522" t="str">
            <v>1ETS Boubacar TANDIA</v>
          </cell>
          <cell r="N522" t="str">
            <v>ETS Boubacar TANDIAScratch 1 000</v>
          </cell>
          <cell r="O522" t="str">
            <v>ETS Boubacar TANDIA</v>
          </cell>
          <cell r="P522" t="str">
            <v>Scratch 1 000</v>
          </cell>
          <cell r="Q522" t="str">
            <v>32007</v>
          </cell>
          <cell r="R522" t="str">
            <v>32007Scratch 1 000</v>
          </cell>
          <cell r="S522" t="str">
            <v>2007Scratch 1 000</v>
          </cell>
          <cell r="T522" t="str">
            <v>32007ETS Boubacar TANDIA</v>
          </cell>
          <cell r="U522" t="str">
            <v>32007ETS Boubacar TANDIAScratch 1 000</v>
          </cell>
          <cell r="V522" t="str">
            <v>39143Scratch 1 000</v>
          </cell>
          <cell r="W522" t="str">
            <v>2007ETS Boubacar TANDIA</v>
          </cell>
          <cell r="X522" t="str">
            <v>2007ETS Boubacar TANDIAScratch 1 000</v>
          </cell>
        </row>
        <row r="523">
          <cell r="I523">
            <v>2007</v>
          </cell>
          <cell r="J523" t="str">
            <v>ETS Boubacar TANDIAScratch 5 000</v>
          </cell>
          <cell r="L523">
            <v>0</v>
          </cell>
          <cell r="M523" t="str">
            <v>ETS Boubacar TANDIA</v>
          </cell>
          <cell r="N523" t="str">
            <v>ETS Boubacar TANDIAScratch 5 000</v>
          </cell>
          <cell r="O523" t="str">
            <v>ETS Boubacar TANDIA</v>
          </cell>
          <cell r="P523" t="str">
            <v>Scratch 5 000</v>
          </cell>
          <cell r="Q523" t="str">
            <v>32007</v>
          </cell>
          <cell r="R523" t="str">
            <v>32007Scratch 5 000</v>
          </cell>
          <cell r="S523" t="str">
            <v>2007Scratch 5 000</v>
          </cell>
          <cell r="T523" t="str">
            <v>32007ETS Boubacar TANDIA</v>
          </cell>
          <cell r="U523" t="str">
            <v>32007ETS Boubacar TANDIAScratch 5 000</v>
          </cell>
          <cell r="V523" t="str">
            <v>39143Scratch 5 000</v>
          </cell>
          <cell r="W523" t="str">
            <v>2007ETS Boubacar TANDIA</v>
          </cell>
          <cell r="X523" t="str">
            <v>2007ETS Boubacar TANDIAScratch 5 000</v>
          </cell>
        </row>
        <row r="524">
          <cell r="I524">
            <v>2007</v>
          </cell>
          <cell r="J524" t="str">
            <v>ETS Boubacar TANDIAScratch 10 000</v>
          </cell>
          <cell r="L524">
            <v>0</v>
          </cell>
          <cell r="M524" t="str">
            <v>ETS Boubacar TANDIA</v>
          </cell>
          <cell r="N524" t="str">
            <v>ETS Boubacar TANDIAScratch 10 000</v>
          </cell>
          <cell r="O524" t="str">
            <v>ETS Boubacar TANDIA</v>
          </cell>
          <cell r="P524" t="str">
            <v>Scratch 10 000</v>
          </cell>
          <cell r="Q524" t="str">
            <v>32007</v>
          </cell>
          <cell r="R524" t="str">
            <v>32007Scratch 10 000</v>
          </cell>
          <cell r="S524" t="str">
            <v>2007Scratch 10 000</v>
          </cell>
          <cell r="T524" t="str">
            <v>32007ETS Boubacar TANDIA</v>
          </cell>
          <cell r="U524" t="str">
            <v>32007ETS Boubacar TANDIAScratch 10 000</v>
          </cell>
          <cell r="V524" t="str">
            <v>39143Scratch 10 000</v>
          </cell>
          <cell r="W524" t="str">
            <v>2007ETS Boubacar TANDIA</v>
          </cell>
          <cell r="X524" t="str">
            <v>2007ETS Boubacar TANDIAScratch 10 000</v>
          </cell>
        </row>
        <row r="525">
          <cell r="I525">
            <v>2007</v>
          </cell>
          <cell r="J525" t="str">
            <v>ETS Boubacar TANDIAScratch 20 000</v>
          </cell>
          <cell r="L525">
            <v>0</v>
          </cell>
          <cell r="M525" t="str">
            <v>ETS Boubacar TANDIA</v>
          </cell>
          <cell r="N525" t="str">
            <v>ETS Boubacar TANDIAScratch 20 000</v>
          </cell>
          <cell r="O525" t="str">
            <v>ETS Boubacar TANDIA</v>
          </cell>
          <cell r="P525" t="str">
            <v>Scratch 20 000</v>
          </cell>
          <cell r="Q525" t="str">
            <v>32007</v>
          </cell>
          <cell r="R525" t="str">
            <v>32007Scratch 20 000</v>
          </cell>
          <cell r="S525" t="str">
            <v>2007Scratch 20 000</v>
          </cell>
          <cell r="T525" t="str">
            <v>32007ETS Boubacar TANDIA</v>
          </cell>
          <cell r="U525" t="str">
            <v>32007ETS Boubacar TANDIAScratch 20 000</v>
          </cell>
          <cell r="V525" t="str">
            <v>39143Scratch 20 000</v>
          </cell>
          <cell r="W525" t="str">
            <v>2007ETS Boubacar TANDIA</v>
          </cell>
          <cell r="X525" t="str">
            <v>2007ETS Boubacar TANDIAScratch 20 000</v>
          </cell>
        </row>
        <row r="526">
          <cell r="I526">
            <v>2007</v>
          </cell>
          <cell r="J526" t="str">
            <v>ANKA ServicesScratch 5 000</v>
          </cell>
          <cell r="L526">
            <v>1</v>
          </cell>
          <cell r="M526" t="str">
            <v>1ANKA Services</v>
          </cell>
          <cell r="N526" t="str">
            <v>ANKA ServicesScratch 5 000</v>
          </cell>
          <cell r="O526" t="str">
            <v>ANKA Services</v>
          </cell>
          <cell r="P526" t="str">
            <v>Scratch 5 000</v>
          </cell>
          <cell r="Q526" t="str">
            <v>32007</v>
          </cell>
          <cell r="R526" t="str">
            <v>32007Scratch 5 000</v>
          </cell>
          <cell r="S526" t="str">
            <v>2007Scratch 5 000</v>
          </cell>
          <cell r="T526" t="str">
            <v>32007ANKA Services</v>
          </cell>
          <cell r="U526" t="str">
            <v>32007ANKA ServicesScratch 5 000</v>
          </cell>
          <cell r="V526" t="str">
            <v>39146Scratch 5 000</v>
          </cell>
          <cell r="W526" t="str">
            <v>2007ANKA Services</v>
          </cell>
          <cell r="X526" t="str">
            <v>2007ANKA ServicesScratch 5 000</v>
          </cell>
        </row>
        <row r="527">
          <cell r="I527">
            <v>2007</v>
          </cell>
          <cell r="J527" t="str">
            <v>ANKA ServicesScratch 10 000</v>
          </cell>
          <cell r="L527">
            <v>0</v>
          </cell>
          <cell r="M527" t="str">
            <v>ANKA Services</v>
          </cell>
          <cell r="N527" t="str">
            <v>ANKA ServicesScratch 10 000</v>
          </cell>
          <cell r="O527" t="str">
            <v>ANKA Services</v>
          </cell>
          <cell r="P527" t="str">
            <v>Scratch 10 000</v>
          </cell>
          <cell r="Q527" t="str">
            <v>32007</v>
          </cell>
          <cell r="R527" t="str">
            <v>32007Scratch 10 000</v>
          </cell>
          <cell r="S527" t="str">
            <v>2007Scratch 10 000</v>
          </cell>
          <cell r="T527" t="str">
            <v>32007ANKA Services</v>
          </cell>
          <cell r="U527" t="str">
            <v>32007ANKA ServicesScratch 10 000</v>
          </cell>
          <cell r="V527" t="str">
            <v>39146Scratch 10 000</v>
          </cell>
          <cell r="W527" t="str">
            <v>2007ANKA Services</v>
          </cell>
          <cell r="X527" t="str">
            <v>2007ANKA ServicesScratch 10 000</v>
          </cell>
        </row>
        <row r="528">
          <cell r="I528">
            <v>2007</v>
          </cell>
          <cell r="J528" t="str">
            <v>GEMATELScratch 5 000</v>
          </cell>
          <cell r="L528">
            <v>1</v>
          </cell>
          <cell r="M528" t="str">
            <v>1GEMATEL</v>
          </cell>
          <cell r="N528" t="str">
            <v>GEMATELScratch 5 000</v>
          </cell>
          <cell r="O528" t="str">
            <v>GEMATEL</v>
          </cell>
          <cell r="P528" t="str">
            <v>Scratch 5 000</v>
          </cell>
          <cell r="Q528" t="str">
            <v>32007</v>
          </cell>
          <cell r="R528" t="str">
            <v>32007Scratch 5 000</v>
          </cell>
          <cell r="S528" t="str">
            <v>2007Scratch 5 000</v>
          </cell>
          <cell r="T528" t="str">
            <v>32007GEMATEL</v>
          </cell>
          <cell r="U528" t="str">
            <v>32007GEMATELScratch 5 000</v>
          </cell>
          <cell r="V528" t="str">
            <v>39146Scratch 5 000</v>
          </cell>
          <cell r="W528" t="str">
            <v>2007GEMATEL</v>
          </cell>
          <cell r="X528" t="str">
            <v>2007GEMATELScratch 5 000</v>
          </cell>
        </row>
        <row r="529">
          <cell r="I529">
            <v>2007</v>
          </cell>
          <cell r="J529" t="str">
            <v>GEMATELScratch 10 000</v>
          </cell>
          <cell r="L529">
            <v>0</v>
          </cell>
          <cell r="M529" t="str">
            <v>GEMATEL</v>
          </cell>
          <cell r="N529" t="str">
            <v>GEMATELScratch 10 000</v>
          </cell>
          <cell r="O529" t="str">
            <v>GEMATEL</v>
          </cell>
          <cell r="P529" t="str">
            <v>Scratch 10 000</v>
          </cell>
          <cell r="Q529" t="str">
            <v>32007</v>
          </cell>
          <cell r="R529" t="str">
            <v>32007Scratch 10 000</v>
          </cell>
          <cell r="S529" t="str">
            <v>2007Scratch 10 000</v>
          </cell>
          <cell r="T529" t="str">
            <v>32007GEMATEL</v>
          </cell>
          <cell r="U529" t="str">
            <v>32007GEMATELScratch 10 000</v>
          </cell>
          <cell r="V529" t="str">
            <v>39146Scratch 10 000</v>
          </cell>
          <cell r="W529" t="str">
            <v>2007GEMATEL</v>
          </cell>
          <cell r="X529" t="str">
            <v>2007GEMATELScratch 10 000</v>
          </cell>
        </row>
        <row r="530">
          <cell r="I530">
            <v>2007</v>
          </cell>
          <cell r="J530" t="str">
            <v>GEMATELScratch 20 000</v>
          </cell>
          <cell r="L530">
            <v>0</v>
          </cell>
          <cell r="M530" t="str">
            <v>GEMATEL</v>
          </cell>
          <cell r="N530" t="str">
            <v>GEMATELScratch 20 000</v>
          </cell>
          <cell r="O530" t="str">
            <v>GEMATEL</v>
          </cell>
          <cell r="P530" t="str">
            <v>Scratch 20 000</v>
          </cell>
          <cell r="Q530" t="str">
            <v>32007</v>
          </cell>
          <cell r="R530" t="str">
            <v>32007Scratch 20 000</v>
          </cell>
          <cell r="S530" t="str">
            <v>2007Scratch 20 000</v>
          </cell>
          <cell r="T530" t="str">
            <v>32007GEMATEL</v>
          </cell>
          <cell r="U530" t="str">
            <v>32007GEMATELScratch 20 000</v>
          </cell>
          <cell r="V530" t="str">
            <v>39146Scratch 20 000</v>
          </cell>
          <cell r="W530" t="str">
            <v>2007GEMATEL</v>
          </cell>
          <cell r="X530" t="str">
            <v>2007GEMATELScratch 20 000</v>
          </cell>
        </row>
        <row r="531">
          <cell r="I531">
            <v>2007</v>
          </cell>
          <cell r="J531" t="str">
            <v>STS GAMBY &amp; FRERES (SOGAF) SarlScratch 5 000</v>
          </cell>
          <cell r="L531">
            <v>1</v>
          </cell>
          <cell r="M531" t="str">
            <v>1STS GAMBY &amp; FRERES (SOGAF) Sarl</v>
          </cell>
          <cell r="N531" t="str">
            <v>STS GAMBY &amp; FRERES (SOGAF) SarlScratch 5 000</v>
          </cell>
          <cell r="O531" t="str">
            <v>STS GAMBY &amp; FRERES (SOGAF) Sarl</v>
          </cell>
          <cell r="P531" t="str">
            <v>Scratch 5 000</v>
          </cell>
          <cell r="Q531" t="str">
            <v>32007</v>
          </cell>
          <cell r="R531" t="str">
            <v>32007Scratch 5 000</v>
          </cell>
          <cell r="S531" t="str">
            <v>2007Scratch 5 000</v>
          </cell>
          <cell r="T531" t="str">
            <v>32007STS GAMBY &amp; FRERES (SOGAF) Sarl</v>
          </cell>
          <cell r="U531" t="str">
            <v>32007STS GAMBY &amp; FRERES (SOGAF) SarlScratch 5 000</v>
          </cell>
          <cell r="V531" t="str">
            <v>39147Scratch 5 000</v>
          </cell>
          <cell r="W531" t="str">
            <v>2007STS GAMBY &amp; FRERES (SOGAF) Sarl</v>
          </cell>
          <cell r="X531" t="str">
            <v>2007STS GAMBY &amp; FRERES (SOGAF) SarlScratch 5 000</v>
          </cell>
        </row>
        <row r="532">
          <cell r="I532">
            <v>2007</v>
          </cell>
          <cell r="J532" t="str">
            <v>Compagnie Internationale de NegoceScratch 2 000</v>
          </cell>
          <cell r="L532">
            <v>1</v>
          </cell>
          <cell r="M532" t="str">
            <v>1Compagnie Internationale de Negoce</v>
          </cell>
          <cell r="N532" t="str">
            <v>Compagnie Internationale de NegoceScratch 2 000</v>
          </cell>
          <cell r="O532" t="str">
            <v>Compagnie Internationale de Negoce</v>
          </cell>
          <cell r="P532" t="str">
            <v>Scratch 2 000</v>
          </cell>
          <cell r="Q532" t="str">
            <v>32007</v>
          </cell>
          <cell r="R532" t="str">
            <v>32007Scratch 2 000</v>
          </cell>
          <cell r="S532" t="str">
            <v>2007Scratch 2 000</v>
          </cell>
          <cell r="T532" t="str">
            <v>32007Compagnie Internationale de Negoce</v>
          </cell>
          <cell r="U532" t="str">
            <v>32007Compagnie Internationale de NegoceScratch 2 000</v>
          </cell>
          <cell r="V532" t="str">
            <v>39147Scratch 2 000</v>
          </cell>
          <cell r="W532" t="str">
            <v>2007Compagnie Internationale de Negoce</v>
          </cell>
          <cell r="X532" t="str">
            <v>2007Compagnie Internationale de NegoceScratch 2 000</v>
          </cell>
        </row>
        <row r="533">
          <cell r="I533">
            <v>2007</v>
          </cell>
          <cell r="J533" t="str">
            <v>Compagnie Internationale de NegoceScratch 5 000</v>
          </cell>
          <cell r="L533">
            <v>0</v>
          </cell>
          <cell r="M533" t="str">
            <v>Compagnie Internationale de Negoce</v>
          </cell>
          <cell r="N533" t="str">
            <v>Compagnie Internationale de NegoceScratch 5 000</v>
          </cell>
          <cell r="O533" t="str">
            <v>Compagnie Internationale de Negoce</v>
          </cell>
          <cell r="P533" t="str">
            <v>Scratch 5 000</v>
          </cell>
          <cell r="Q533" t="str">
            <v>32007</v>
          </cell>
          <cell r="R533" t="str">
            <v>32007Scratch 5 000</v>
          </cell>
          <cell r="S533" t="str">
            <v>2007Scratch 5 000</v>
          </cell>
          <cell r="T533" t="str">
            <v>32007Compagnie Internationale de Negoce</v>
          </cell>
          <cell r="U533" t="str">
            <v>32007Compagnie Internationale de NegoceScratch 5 000</v>
          </cell>
          <cell r="V533" t="str">
            <v>39147Scratch 5 000</v>
          </cell>
          <cell r="W533" t="str">
            <v>2007Compagnie Internationale de Negoce</v>
          </cell>
          <cell r="X533" t="str">
            <v>2007Compagnie Internationale de NegoceScratch 5 000</v>
          </cell>
        </row>
        <row r="534">
          <cell r="I534">
            <v>2007</v>
          </cell>
          <cell r="J534" t="str">
            <v>Compagnie Internationale de NegoceScratch 10 000</v>
          </cell>
          <cell r="L534">
            <v>0</v>
          </cell>
          <cell r="M534" t="str">
            <v>Compagnie Internationale de Negoce</v>
          </cell>
          <cell r="N534" t="str">
            <v>Compagnie Internationale de NegoceScratch 10 000</v>
          </cell>
          <cell r="O534" t="str">
            <v>Compagnie Internationale de Negoce</v>
          </cell>
          <cell r="P534" t="str">
            <v>Scratch 10 000</v>
          </cell>
          <cell r="Q534" t="str">
            <v>32007</v>
          </cell>
          <cell r="R534" t="str">
            <v>32007Scratch 10 000</v>
          </cell>
          <cell r="S534" t="str">
            <v>2007Scratch 10 000</v>
          </cell>
          <cell r="T534" t="str">
            <v>32007Compagnie Internationale de Negoce</v>
          </cell>
          <cell r="U534" t="str">
            <v>32007Compagnie Internationale de NegoceScratch 10 000</v>
          </cell>
          <cell r="V534" t="str">
            <v>39147Scratch 10 000</v>
          </cell>
          <cell r="W534" t="str">
            <v>2007Compagnie Internationale de Negoce</v>
          </cell>
          <cell r="X534" t="str">
            <v>2007Compagnie Internationale de NegoceScratch 10 000</v>
          </cell>
        </row>
        <row r="535">
          <cell r="I535">
            <v>2007</v>
          </cell>
          <cell r="J535" t="str">
            <v>Compagnie Internationale de NegoceScratch 20 000</v>
          </cell>
          <cell r="L535">
            <v>0</v>
          </cell>
          <cell r="M535" t="str">
            <v>Compagnie Internationale de Negoce</v>
          </cell>
          <cell r="N535" t="str">
            <v>Compagnie Internationale de NegoceScratch 20 000</v>
          </cell>
          <cell r="O535" t="str">
            <v>Compagnie Internationale de Negoce</v>
          </cell>
          <cell r="P535" t="str">
            <v>Scratch 20 000</v>
          </cell>
          <cell r="Q535" t="str">
            <v>32007</v>
          </cell>
          <cell r="R535" t="str">
            <v>32007Scratch 20 000</v>
          </cell>
          <cell r="S535" t="str">
            <v>2007Scratch 20 000</v>
          </cell>
          <cell r="T535" t="str">
            <v>32007Compagnie Internationale de Negoce</v>
          </cell>
          <cell r="U535" t="str">
            <v>32007Compagnie Internationale de NegoceScratch 20 000</v>
          </cell>
          <cell r="V535" t="str">
            <v>39147Scratch 20 000</v>
          </cell>
          <cell r="W535" t="str">
            <v>2007Compagnie Internationale de Negoce</v>
          </cell>
          <cell r="X535" t="str">
            <v>2007Compagnie Internationale de NegoceScratch 20 000</v>
          </cell>
        </row>
        <row r="536">
          <cell r="I536">
            <v>2007</v>
          </cell>
          <cell r="J536" t="str">
            <v>ANKA ServicesScratch 2 000</v>
          </cell>
          <cell r="L536">
            <v>1</v>
          </cell>
          <cell r="M536" t="str">
            <v>1ANKA Services</v>
          </cell>
          <cell r="N536" t="str">
            <v>ANKA ServicesScratch 2 000</v>
          </cell>
          <cell r="O536" t="str">
            <v>ANKA Services</v>
          </cell>
          <cell r="P536" t="str">
            <v>Scratch 2 000</v>
          </cell>
          <cell r="Q536" t="str">
            <v>32007</v>
          </cell>
          <cell r="R536" t="str">
            <v>32007Scratch 2 000</v>
          </cell>
          <cell r="S536" t="str">
            <v>2007Scratch 2 000</v>
          </cell>
          <cell r="T536" t="str">
            <v>32007ANKA Services</v>
          </cell>
          <cell r="U536" t="str">
            <v>32007ANKA ServicesScratch 2 000</v>
          </cell>
          <cell r="V536" t="str">
            <v>39147Scratch 2 000</v>
          </cell>
          <cell r="W536" t="str">
            <v>2007ANKA Services</v>
          </cell>
          <cell r="X536" t="str">
            <v>2007ANKA ServicesScratch 2 000</v>
          </cell>
        </row>
        <row r="537">
          <cell r="I537">
            <v>2007</v>
          </cell>
          <cell r="J537" t="str">
            <v>ANKA ServicesScratch 5 000</v>
          </cell>
          <cell r="L537">
            <v>0</v>
          </cell>
          <cell r="M537" t="str">
            <v>ANKA Services</v>
          </cell>
          <cell r="N537" t="str">
            <v>ANKA ServicesScratch 5 000</v>
          </cell>
          <cell r="O537" t="str">
            <v>ANKA Services</v>
          </cell>
          <cell r="P537" t="str">
            <v>Scratch 5 000</v>
          </cell>
          <cell r="Q537" t="str">
            <v>32007</v>
          </cell>
          <cell r="R537" t="str">
            <v>32007Scratch 5 000</v>
          </cell>
          <cell r="S537" t="str">
            <v>2007Scratch 5 000</v>
          </cell>
          <cell r="T537" t="str">
            <v>32007ANKA Services</v>
          </cell>
          <cell r="U537" t="str">
            <v>32007ANKA ServicesScratch 5 000</v>
          </cell>
          <cell r="V537" t="str">
            <v>39147Scratch 5 000</v>
          </cell>
          <cell r="W537" t="str">
            <v>2007ANKA Services</v>
          </cell>
          <cell r="X537" t="str">
            <v>2007ANKA ServicesScratch 5 000</v>
          </cell>
        </row>
        <row r="538">
          <cell r="I538">
            <v>2007</v>
          </cell>
          <cell r="J538" t="str">
            <v>MALI COM SarlScratch 2 000</v>
          </cell>
          <cell r="L538">
            <v>1</v>
          </cell>
          <cell r="M538" t="str">
            <v>1MALI COM Sarl</v>
          </cell>
          <cell r="N538" t="str">
            <v>MALI COM SarlScratch 2 000</v>
          </cell>
          <cell r="O538" t="str">
            <v>MALI COM Sarl</v>
          </cell>
          <cell r="P538" t="str">
            <v>Scratch 2 000</v>
          </cell>
          <cell r="Q538" t="str">
            <v>32007</v>
          </cell>
          <cell r="R538" t="str">
            <v>32007Scratch 2 000</v>
          </cell>
          <cell r="S538" t="str">
            <v>2007Scratch 2 000</v>
          </cell>
          <cell r="T538" t="str">
            <v>32007MALI COM Sarl</v>
          </cell>
          <cell r="U538" t="str">
            <v>32007MALI COM SarlScratch 2 000</v>
          </cell>
          <cell r="V538" t="str">
            <v>39147Scratch 2 000</v>
          </cell>
          <cell r="W538" t="str">
            <v>2007MALI COM Sarl</v>
          </cell>
          <cell r="X538" t="str">
            <v>2007MALI COM SarlScratch 2 000</v>
          </cell>
        </row>
        <row r="539">
          <cell r="I539">
            <v>2007</v>
          </cell>
          <cell r="J539" t="str">
            <v>MALI COM SarlScratch 5 000</v>
          </cell>
          <cell r="L539">
            <v>0</v>
          </cell>
          <cell r="M539" t="str">
            <v>MALI COM Sarl</v>
          </cell>
          <cell r="N539" t="str">
            <v>MALI COM SarlScratch 5 000</v>
          </cell>
          <cell r="O539" t="str">
            <v>MALI COM Sarl</v>
          </cell>
          <cell r="P539" t="str">
            <v>Scratch 5 000</v>
          </cell>
          <cell r="Q539" t="str">
            <v>32007</v>
          </cell>
          <cell r="R539" t="str">
            <v>32007Scratch 5 000</v>
          </cell>
          <cell r="S539" t="str">
            <v>2007Scratch 5 000</v>
          </cell>
          <cell r="T539" t="str">
            <v>32007MALI COM Sarl</v>
          </cell>
          <cell r="U539" t="str">
            <v>32007MALI COM SarlScratch 5 000</v>
          </cell>
          <cell r="V539" t="str">
            <v>39147Scratch 5 000</v>
          </cell>
          <cell r="W539" t="str">
            <v>2007MALI COM Sarl</v>
          </cell>
          <cell r="X539" t="str">
            <v>2007MALI COM SarlScratch 5 000</v>
          </cell>
        </row>
        <row r="540">
          <cell r="I540">
            <v>2007</v>
          </cell>
          <cell r="J540" t="str">
            <v>MALI COM SarlScratch 10 000</v>
          </cell>
          <cell r="L540">
            <v>0</v>
          </cell>
          <cell r="M540" t="str">
            <v>MALI COM Sarl</v>
          </cell>
          <cell r="N540" t="str">
            <v>MALI COM SarlScratch 10 000</v>
          </cell>
          <cell r="O540" t="str">
            <v>MALI COM Sarl</v>
          </cell>
          <cell r="P540" t="str">
            <v>Scratch 10 000</v>
          </cell>
          <cell r="Q540" t="str">
            <v>32007</v>
          </cell>
          <cell r="R540" t="str">
            <v>32007Scratch 10 000</v>
          </cell>
          <cell r="S540" t="str">
            <v>2007Scratch 10 000</v>
          </cell>
          <cell r="T540" t="str">
            <v>32007MALI COM Sarl</v>
          </cell>
          <cell r="U540" t="str">
            <v>32007MALI COM SarlScratch 10 000</v>
          </cell>
          <cell r="V540" t="str">
            <v>39147Scratch 10 000</v>
          </cell>
          <cell r="W540" t="str">
            <v>2007MALI COM Sarl</v>
          </cell>
          <cell r="X540" t="str">
            <v>2007MALI COM SarlScratch 10 000</v>
          </cell>
        </row>
        <row r="541">
          <cell r="I541">
            <v>2007</v>
          </cell>
          <cell r="J541" t="str">
            <v>MALI COM SarlScratch 20 000</v>
          </cell>
          <cell r="L541">
            <v>0</v>
          </cell>
          <cell r="M541" t="str">
            <v>MALI COM Sarl</v>
          </cell>
          <cell r="N541" t="str">
            <v>MALI COM SarlScratch 20 000</v>
          </cell>
          <cell r="O541" t="str">
            <v>MALI COM Sarl</v>
          </cell>
          <cell r="P541" t="str">
            <v>Scratch 20 000</v>
          </cell>
          <cell r="Q541" t="str">
            <v>32007</v>
          </cell>
          <cell r="R541" t="str">
            <v>32007Scratch 20 000</v>
          </cell>
          <cell r="S541" t="str">
            <v>2007Scratch 20 000</v>
          </cell>
          <cell r="T541" t="str">
            <v>32007MALI COM Sarl</v>
          </cell>
          <cell r="U541" t="str">
            <v>32007MALI COM SarlScratch 20 000</v>
          </cell>
          <cell r="V541" t="str">
            <v>39147Scratch 20 000</v>
          </cell>
          <cell r="W541" t="str">
            <v>2007MALI COM Sarl</v>
          </cell>
          <cell r="X541" t="str">
            <v>2007MALI COM SarlScratch 20 000</v>
          </cell>
        </row>
        <row r="542">
          <cell r="I542">
            <v>2007</v>
          </cell>
          <cell r="J542" t="str">
            <v>GEMATELScratch 2 000</v>
          </cell>
          <cell r="L542">
            <v>1</v>
          </cell>
          <cell r="M542" t="str">
            <v>1GEMATEL</v>
          </cell>
          <cell r="N542" t="str">
            <v>GEMATELScratch 2 000</v>
          </cell>
          <cell r="O542" t="str">
            <v>GEMATEL</v>
          </cell>
          <cell r="P542" t="str">
            <v>Scratch 2 000</v>
          </cell>
          <cell r="Q542" t="str">
            <v>32007</v>
          </cell>
          <cell r="R542" t="str">
            <v>32007Scratch 2 000</v>
          </cell>
          <cell r="S542" t="str">
            <v>2007Scratch 2 000</v>
          </cell>
          <cell r="T542" t="str">
            <v>32007GEMATEL</v>
          </cell>
          <cell r="U542" t="str">
            <v>32007GEMATELScratch 2 000</v>
          </cell>
          <cell r="V542" t="str">
            <v>39148Scratch 2 000</v>
          </cell>
          <cell r="W542" t="str">
            <v>2007GEMATEL</v>
          </cell>
          <cell r="X542" t="str">
            <v>2007GEMATELScratch 2 000</v>
          </cell>
        </row>
        <row r="543">
          <cell r="I543">
            <v>2007</v>
          </cell>
          <cell r="J543" t="str">
            <v>GEMATELScratch 5 000</v>
          </cell>
          <cell r="L543">
            <v>0</v>
          </cell>
          <cell r="M543" t="str">
            <v>GEMATEL</v>
          </cell>
          <cell r="N543" t="str">
            <v>GEMATELScratch 5 000</v>
          </cell>
          <cell r="O543" t="str">
            <v>GEMATEL</v>
          </cell>
          <cell r="P543" t="str">
            <v>Scratch 5 000</v>
          </cell>
          <cell r="Q543" t="str">
            <v>32007</v>
          </cell>
          <cell r="R543" t="str">
            <v>32007Scratch 5 000</v>
          </cell>
          <cell r="S543" t="str">
            <v>2007Scratch 5 000</v>
          </cell>
          <cell r="T543" t="str">
            <v>32007GEMATEL</v>
          </cell>
          <cell r="U543" t="str">
            <v>32007GEMATELScratch 5 000</v>
          </cell>
          <cell r="V543" t="str">
            <v>39148Scratch 5 000</v>
          </cell>
          <cell r="W543" t="str">
            <v>2007GEMATEL</v>
          </cell>
          <cell r="X543" t="str">
            <v>2007GEMATELScratch 5 000</v>
          </cell>
        </row>
        <row r="544">
          <cell r="I544">
            <v>2007</v>
          </cell>
          <cell r="J544" t="str">
            <v>GEMATELScratch 10 000</v>
          </cell>
          <cell r="L544">
            <v>0</v>
          </cell>
          <cell r="M544" t="str">
            <v>GEMATEL</v>
          </cell>
          <cell r="N544" t="str">
            <v>GEMATELScratch 10 000</v>
          </cell>
          <cell r="O544" t="str">
            <v>GEMATEL</v>
          </cell>
          <cell r="P544" t="str">
            <v>Scratch 10 000</v>
          </cell>
          <cell r="Q544" t="str">
            <v>32007</v>
          </cell>
          <cell r="R544" t="str">
            <v>32007Scratch 10 000</v>
          </cell>
          <cell r="S544" t="str">
            <v>2007Scratch 10 000</v>
          </cell>
          <cell r="T544" t="str">
            <v>32007GEMATEL</v>
          </cell>
          <cell r="U544" t="str">
            <v>32007GEMATELScratch 10 000</v>
          </cell>
          <cell r="V544" t="str">
            <v>39148Scratch 10 000</v>
          </cell>
          <cell r="W544" t="str">
            <v>2007GEMATEL</v>
          </cell>
          <cell r="X544" t="str">
            <v>2007GEMATELScratch 10 000</v>
          </cell>
        </row>
        <row r="545">
          <cell r="I545">
            <v>2007</v>
          </cell>
          <cell r="J545" t="str">
            <v>ANKA ServicesScratch 2 000</v>
          </cell>
          <cell r="L545">
            <v>1</v>
          </cell>
          <cell r="M545" t="str">
            <v>1ANKA Services</v>
          </cell>
          <cell r="N545" t="str">
            <v>ANKA ServicesScratch 2 000</v>
          </cell>
          <cell r="O545" t="str">
            <v>ANKA Services</v>
          </cell>
          <cell r="P545" t="str">
            <v>Scratch 2 000</v>
          </cell>
          <cell r="Q545" t="str">
            <v>32007</v>
          </cell>
          <cell r="R545" t="str">
            <v>32007Scratch 2 000</v>
          </cell>
          <cell r="S545" t="str">
            <v>2007Scratch 2 000</v>
          </cell>
          <cell r="T545" t="str">
            <v>32007ANKA Services</v>
          </cell>
          <cell r="U545" t="str">
            <v>32007ANKA ServicesScratch 2 000</v>
          </cell>
          <cell r="V545" t="str">
            <v>39148Scratch 2 000</v>
          </cell>
          <cell r="W545" t="str">
            <v>2007ANKA Services</v>
          </cell>
          <cell r="X545" t="str">
            <v>2007ANKA ServicesScratch 2 000</v>
          </cell>
        </row>
        <row r="546">
          <cell r="I546">
            <v>2007</v>
          </cell>
          <cell r="J546" t="str">
            <v>ANKA ServicesScratch 5 000</v>
          </cell>
          <cell r="L546">
            <v>0</v>
          </cell>
          <cell r="M546" t="str">
            <v>ANKA Services</v>
          </cell>
          <cell r="N546" t="str">
            <v>ANKA ServicesScratch 5 000</v>
          </cell>
          <cell r="O546" t="str">
            <v>ANKA Services</v>
          </cell>
          <cell r="P546" t="str">
            <v>Scratch 5 000</v>
          </cell>
          <cell r="Q546" t="str">
            <v>32007</v>
          </cell>
          <cell r="R546" t="str">
            <v>32007Scratch 5 000</v>
          </cell>
          <cell r="S546" t="str">
            <v>2007Scratch 5 000</v>
          </cell>
          <cell r="T546" t="str">
            <v>32007ANKA Services</v>
          </cell>
          <cell r="U546" t="str">
            <v>32007ANKA ServicesScratch 5 000</v>
          </cell>
          <cell r="V546" t="str">
            <v>39148Scratch 5 000</v>
          </cell>
          <cell r="W546" t="str">
            <v>2007ANKA Services</v>
          </cell>
          <cell r="X546" t="str">
            <v>2007ANKA ServicesScratch 5 000</v>
          </cell>
        </row>
        <row r="547">
          <cell r="I547">
            <v>2007</v>
          </cell>
          <cell r="J547" t="str">
            <v>SOLEIL LEVANTScratch 2 000</v>
          </cell>
          <cell r="L547">
            <v>1</v>
          </cell>
          <cell r="M547" t="str">
            <v>1SOLEIL LEVANT</v>
          </cell>
          <cell r="N547" t="str">
            <v>SOLEIL LEVANTScratch 2 000</v>
          </cell>
          <cell r="O547" t="str">
            <v>SOLEIL LEVANT</v>
          </cell>
          <cell r="P547" t="str">
            <v>Scratch 2 000</v>
          </cell>
          <cell r="Q547" t="str">
            <v>32007</v>
          </cell>
          <cell r="R547" t="str">
            <v>32007Scratch 2 000</v>
          </cell>
          <cell r="S547" t="str">
            <v>2007Scratch 2 000</v>
          </cell>
          <cell r="T547" t="str">
            <v>32007SOLEIL LEVANT</v>
          </cell>
          <cell r="U547" t="str">
            <v>32007SOLEIL LEVANTScratch 2 000</v>
          </cell>
          <cell r="V547" t="str">
            <v>39149Scratch 2 000</v>
          </cell>
          <cell r="W547" t="str">
            <v>2007SOLEIL LEVANT</v>
          </cell>
          <cell r="X547" t="str">
            <v>2007SOLEIL LEVANTScratch 2 000</v>
          </cell>
        </row>
        <row r="548">
          <cell r="I548">
            <v>2007</v>
          </cell>
          <cell r="J548" t="str">
            <v>SOLEIL LEVANTScratch 5 000</v>
          </cell>
          <cell r="L548">
            <v>0</v>
          </cell>
          <cell r="M548" t="str">
            <v>SOLEIL LEVANT</v>
          </cell>
          <cell r="N548" t="str">
            <v>SOLEIL LEVANTScratch 5 000</v>
          </cell>
          <cell r="O548" t="str">
            <v>SOLEIL LEVANT</v>
          </cell>
          <cell r="P548" t="str">
            <v>Scratch 5 000</v>
          </cell>
          <cell r="Q548" t="str">
            <v>32007</v>
          </cell>
          <cell r="R548" t="str">
            <v>32007Scratch 5 000</v>
          </cell>
          <cell r="S548" t="str">
            <v>2007Scratch 5 000</v>
          </cell>
          <cell r="T548" t="str">
            <v>32007SOLEIL LEVANT</v>
          </cell>
          <cell r="U548" t="str">
            <v>32007SOLEIL LEVANTScratch 5 000</v>
          </cell>
          <cell r="V548" t="str">
            <v>39149Scratch 5 000</v>
          </cell>
          <cell r="W548" t="str">
            <v>2007SOLEIL LEVANT</v>
          </cell>
          <cell r="X548" t="str">
            <v>2007SOLEIL LEVANTScratch 5 000</v>
          </cell>
        </row>
        <row r="549">
          <cell r="I549">
            <v>2007</v>
          </cell>
          <cell r="J549" t="str">
            <v>SOLEIL LEVANTScratch 10 000</v>
          </cell>
          <cell r="L549">
            <v>0</v>
          </cell>
          <cell r="M549" t="str">
            <v>SOLEIL LEVANT</v>
          </cell>
          <cell r="N549" t="str">
            <v>SOLEIL LEVANTScratch 10 000</v>
          </cell>
          <cell r="O549" t="str">
            <v>SOLEIL LEVANT</v>
          </cell>
          <cell r="P549" t="str">
            <v>Scratch 10 000</v>
          </cell>
          <cell r="Q549" t="str">
            <v>32007</v>
          </cell>
          <cell r="R549" t="str">
            <v>32007Scratch 10 000</v>
          </cell>
          <cell r="S549" t="str">
            <v>2007Scratch 10 000</v>
          </cell>
          <cell r="T549" t="str">
            <v>32007SOLEIL LEVANT</v>
          </cell>
          <cell r="U549" t="str">
            <v>32007SOLEIL LEVANTScratch 10 000</v>
          </cell>
          <cell r="V549" t="str">
            <v>39149Scratch 10 000</v>
          </cell>
          <cell r="W549" t="str">
            <v>2007SOLEIL LEVANT</v>
          </cell>
          <cell r="X549" t="str">
            <v>2007SOLEIL LEVANTScratch 10 000</v>
          </cell>
        </row>
        <row r="550">
          <cell r="I550">
            <v>2007</v>
          </cell>
          <cell r="J550" t="str">
            <v>SOLEIL LEVANTScratch 20 000</v>
          </cell>
          <cell r="L550">
            <v>0</v>
          </cell>
          <cell r="M550" t="str">
            <v>SOLEIL LEVANT</v>
          </cell>
          <cell r="N550" t="str">
            <v>SOLEIL LEVANTScratch 20 000</v>
          </cell>
          <cell r="O550" t="str">
            <v>SOLEIL LEVANT</v>
          </cell>
          <cell r="P550" t="str">
            <v>Scratch 20 000</v>
          </cell>
          <cell r="Q550" t="str">
            <v>32007</v>
          </cell>
          <cell r="R550" t="str">
            <v>32007Scratch 20 000</v>
          </cell>
          <cell r="S550" t="str">
            <v>2007Scratch 20 000</v>
          </cell>
          <cell r="T550" t="str">
            <v>32007SOLEIL LEVANT</v>
          </cell>
          <cell r="U550" t="str">
            <v>32007SOLEIL LEVANTScratch 20 000</v>
          </cell>
          <cell r="V550" t="str">
            <v>39149Scratch 20 000</v>
          </cell>
          <cell r="W550" t="str">
            <v>2007SOLEIL LEVANT</v>
          </cell>
          <cell r="X550" t="str">
            <v>2007SOLEIL LEVANTScratch 20 000</v>
          </cell>
        </row>
        <row r="551">
          <cell r="I551">
            <v>2007</v>
          </cell>
          <cell r="J551" t="str">
            <v>GEMATELScratch 2 000</v>
          </cell>
          <cell r="L551">
            <v>1</v>
          </cell>
          <cell r="M551" t="str">
            <v>1GEMATEL</v>
          </cell>
          <cell r="N551" t="str">
            <v>GEMATELScratch 2 000</v>
          </cell>
          <cell r="O551" t="str">
            <v>GEMATEL</v>
          </cell>
          <cell r="P551" t="str">
            <v>Scratch 2 000</v>
          </cell>
          <cell r="Q551" t="str">
            <v>32007</v>
          </cell>
          <cell r="R551" t="str">
            <v>32007Scratch 2 000</v>
          </cell>
          <cell r="S551" t="str">
            <v>2007Scratch 2 000</v>
          </cell>
          <cell r="T551" t="str">
            <v>32007GEMATEL</v>
          </cell>
          <cell r="U551" t="str">
            <v>32007GEMATELScratch 2 000</v>
          </cell>
          <cell r="V551" t="str">
            <v>39149Scratch 2 000</v>
          </cell>
          <cell r="W551" t="str">
            <v>2007GEMATEL</v>
          </cell>
          <cell r="X551" t="str">
            <v>2007GEMATELScratch 2 000</v>
          </cell>
        </row>
        <row r="552">
          <cell r="I552">
            <v>2007</v>
          </cell>
          <cell r="J552" t="str">
            <v>GEMATELScratch 5 000</v>
          </cell>
          <cell r="L552">
            <v>0</v>
          </cell>
          <cell r="M552" t="str">
            <v>GEMATEL</v>
          </cell>
          <cell r="N552" t="str">
            <v>GEMATELScratch 5 000</v>
          </cell>
          <cell r="O552" t="str">
            <v>GEMATEL</v>
          </cell>
          <cell r="P552" t="str">
            <v>Scratch 5 000</v>
          </cell>
          <cell r="Q552" t="str">
            <v>32007</v>
          </cell>
          <cell r="R552" t="str">
            <v>32007Scratch 5 000</v>
          </cell>
          <cell r="S552" t="str">
            <v>2007Scratch 5 000</v>
          </cell>
          <cell r="T552" t="str">
            <v>32007GEMATEL</v>
          </cell>
          <cell r="U552" t="str">
            <v>32007GEMATELScratch 5 000</v>
          </cell>
          <cell r="V552" t="str">
            <v>39149Scratch 5 000</v>
          </cell>
          <cell r="W552" t="str">
            <v>2007GEMATEL</v>
          </cell>
          <cell r="X552" t="str">
            <v>2007GEMATELScratch 5 000</v>
          </cell>
        </row>
        <row r="553">
          <cell r="I553">
            <v>2007</v>
          </cell>
          <cell r="J553" t="str">
            <v>GEMATELScratch 10 000</v>
          </cell>
          <cell r="L553">
            <v>0</v>
          </cell>
          <cell r="M553" t="str">
            <v>GEMATEL</v>
          </cell>
          <cell r="N553" t="str">
            <v>GEMATELScratch 10 000</v>
          </cell>
          <cell r="O553" t="str">
            <v>GEMATEL</v>
          </cell>
          <cell r="P553" t="str">
            <v>Scratch 10 000</v>
          </cell>
          <cell r="Q553" t="str">
            <v>32007</v>
          </cell>
          <cell r="R553" t="str">
            <v>32007Scratch 10 000</v>
          </cell>
          <cell r="S553" t="str">
            <v>2007Scratch 10 000</v>
          </cell>
          <cell r="T553" t="str">
            <v>32007GEMATEL</v>
          </cell>
          <cell r="U553" t="str">
            <v>32007GEMATELScratch 10 000</v>
          </cell>
          <cell r="V553" t="str">
            <v>39149Scratch 10 000</v>
          </cell>
          <cell r="W553" t="str">
            <v>2007GEMATEL</v>
          </cell>
          <cell r="X553" t="str">
            <v>2007GEMATELScratch 10 000</v>
          </cell>
        </row>
        <row r="554">
          <cell r="I554">
            <v>2007</v>
          </cell>
          <cell r="J554" t="str">
            <v>GEMATELScratch 20 000</v>
          </cell>
          <cell r="L554">
            <v>0</v>
          </cell>
          <cell r="M554" t="str">
            <v>GEMATEL</v>
          </cell>
          <cell r="N554" t="str">
            <v>GEMATELScratch 20 000</v>
          </cell>
          <cell r="O554" t="str">
            <v>GEMATEL</v>
          </cell>
          <cell r="P554" t="str">
            <v>Scratch 20 000</v>
          </cell>
          <cell r="Q554" t="str">
            <v>32007</v>
          </cell>
          <cell r="R554" t="str">
            <v>32007Scratch 20 000</v>
          </cell>
          <cell r="S554" t="str">
            <v>2007Scratch 20 000</v>
          </cell>
          <cell r="T554" t="str">
            <v>32007GEMATEL</v>
          </cell>
          <cell r="U554" t="str">
            <v>32007GEMATELScratch 20 000</v>
          </cell>
          <cell r="V554" t="str">
            <v>39149Scratch 20 000</v>
          </cell>
          <cell r="W554" t="str">
            <v>2007GEMATEL</v>
          </cell>
          <cell r="X554" t="str">
            <v>2007GEMATELScratch 20 000</v>
          </cell>
        </row>
        <row r="555">
          <cell r="I555">
            <v>2007</v>
          </cell>
          <cell r="J555" t="str">
            <v>Ets Mamadou GAMBYScratch 2 000</v>
          </cell>
          <cell r="L555">
            <v>1</v>
          </cell>
          <cell r="M555" t="str">
            <v>1Ets Mamadou GAMBY</v>
          </cell>
          <cell r="N555" t="str">
            <v>Ets Mamadou GAMBYScratch 2 000</v>
          </cell>
          <cell r="O555" t="str">
            <v>Ets Mamadou GAMBY</v>
          </cell>
          <cell r="P555" t="str">
            <v>Scratch 2 000</v>
          </cell>
          <cell r="Q555" t="str">
            <v>32007</v>
          </cell>
          <cell r="R555" t="str">
            <v>32007Scratch 2 000</v>
          </cell>
          <cell r="S555" t="str">
            <v>2007Scratch 2 000</v>
          </cell>
          <cell r="T555" t="str">
            <v>32007Ets Mamadou GAMBY</v>
          </cell>
          <cell r="U555" t="str">
            <v>32007Ets Mamadou GAMBYScratch 2 000</v>
          </cell>
          <cell r="V555" t="str">
            <v>39149Scratch 2 000</v>
          </cell>
          <cell r="W555" t="str">
            <v>2007Ets Mamadou GAMBY</v>
          </cell>
          <cell r="X555" t="str">
            <v>2007Ets Mamadou GAMBYScratch 2 000</v>
          </cell>
        </row>
        <row r="556">
          <cell r="I556">
            <v>2007</v>
          </cell>
          <cell r="J556" t="str">
            <v>Ets Mamadou GAMBYScratch 5 000</v>
          </cell>
          <cell r="L556">
            <v>0</v>
          </cell>
          <cell r="M556" t="str">
            <v>Ets Mamadou GAMBY</v>
          </cell>
          <cell r="N556" t="str">
            <v>Ets Mamadou GAMBYScratch 5 000</v>
          </cell>
          <cell r="O556" t="str">
            <v>Ets Mamadou GAMBY</v>
          </cell>
          <cell r="P556" t="str">
            <v>Scratch 5 000</v>
          </cell>
          <cell r="Q556" t="str">
            <v>32007</v>
          </cell>
          <cell r="R556" t="str">
            <v>32007Scratch 5 000</v>
          </cell>
          <cell r="S556" t="str">
            <v>2007Scratch 5 000</v>
          </cell>
          <cell r="T556" t="str">
            <v>32007Ets Mamadou GAMBY</v>
          </cell>
          <cell r="U556" t="str">
            <v>32007Ets Mamadou GAMBYScratch 5 000</v>
          </cell>
          <cell r="V556" t="str">
            <v>39149Scratch 5 000</v>
          </cell>
          <cell r="W556" t="str">
            <v>2007Ets Mamadou GAMBY</v>
          </cell>
          <cell r="X556" t="str">
            <v>2007Ets Mamadou GAMBYScratch 5 000</v>
          </cell>
        </row>
        <row r="557">
          <cell r="I557">
            <v>2007</v>
          </cell>
          <cell r="J557" t="str">
            <v>Ets Mamadou GAMBYScratch 10 000</v>
          </cell>
          <cell r="L557">
            <v>0</v>
          </cell>
          <cell r="M557" t="str">
            <v>Ets Mamadou GAMBY</v>
          </cell>
          <cell r="N557" t="str">
            <v>Ets Mamadou GAMBYScratch 10 000</v>
          </cell>
          <cell r="O557" t="str">
            <v>Ets Mamadou GAMBY</v>
          </cell>
          <cell r="P557" t="str">
            <v>Scratch 10 000</v>
          </cell>
          <cell r="Q557" t="str">
            <v>32007</v>
          </cell>
          <cell r="R557" t="str">
            <v>32007Scratch 10 000</v>
          </cell>
          <cell r="S557" t="str">
            <v>2007Scratch 10 000</v>
          </cell>
          <cell r="T557" t="str">
            <v>32007Ets Mamadou GAMBY</v>
          </cell>
          <cell r="U557" t="str">
            <v>32007Ets Mamadou GAMBYScratch 10 000</v>
          </cell>
          <cell r="V557" t="str">
            <v>39149Scratch 10 000</v>
          </cell>
          <cell r="W557" t="str">
            <v>2007Ets Mamadou GAMBY</v>
          </cell>
          <cell r="X557" t="str">
            <v>2007Ets Mamadou GAMBYScratch 10 000</v>
          </cell>
        </row>
        <row r="558">
          <cell r="I558">
            <v>2007</v>
          </cell>
          <cell r="J558" t="str">
            <v>Ets Mamadou GAMBYScratch 20 000</v>
          </cell>
          <cell r="L558">
            <v>0</v>
          </cell>
          <cell r="M558" t="str">
            <v>Ets Mamadou GAMBY</v>
          </cell>
          <cell r="N558" t="str">
            <v>Ets Mamadou GAMBYScratch 20 000</v>
          </cell>
          <cell r="O558" t="str">
            <v>Ets Mamadou GAMBY</v>
          </cell>
          <cell r="P558" t="str">
            <v>Scratch 20 000</v>
          </cell>
          <cell r="Q558" t="str">
            <v>32007</v>
          </cell>
          <cell r="R558" t="str">
            <v>32007Scratch 20 000</v>
          </cell>
          <cell r="S558" t="str">
            <v>2007Scratch 20 000</v>
          </cell>
          <cell r="T558" t="str">
            <v>32007Ets Mamadou GAMBY</v>
          </cell>
          <cell r="U558" t="str">
            <v>32007Ets Mamadou GAMBYScratch 20 000</v>
          </cell>
          <cell r="V558" t="str">
            <v>39149Scratch 20 000</v>
          </cell>
          <cell r="W558" t="str">
            <v>2007Ets Mamadou GAMBY</v>
          </cell>
          <cell r="X558" t="str">
            <v>2007Ets Mamadou GAMBYScratch 20 000</v>
          </cell>
        </row>
        <row r="559">
          <cell r="I559">
            <v>2007</v>
          </cell>
          <cell r="J559" t="str">
            <v>Compagnie Internationale de NegoceScratch 2 000</v>
          </cell>
          <cell r="L559">
            <v>1</v>
          </cell>
          <cell r="M559" t="str">
            <v>1Compagnie Internationale de Negoce</v>
          </cell>
          <cell r="N559" t="str">
            <v>Compagnie Internationale de NegoceScratch 2 000</v>
          </cell>
          <cell r="O559" t="str">
            <v>Compagnie Internationale de Negoce</v>
          </cell>
          <cell r="P559" t="str">
            <v>Scratch 2 000</v>
          </cell>
          <cell r="Q559" t="str">
            <v>32007</v>
          </cell>
          <cell r="R559" t="str">
            <v>32007Scratch 2 000</v>
          </cell>
          <cell r="S559" t="str">
            <v>2007Scratch 2 000</v>
          </cell>
          <cell r="T559" t="str">
            <v>32007Compagnie Internationale de Negoce</v>
          </cell>
          <cell r="U559" t="str">
            <v>32007Compagnie Internationale de NegoceScratch 2 000</v>
          </cell>
          <cell r="V559" t="str">
            <v>39149Scratch 2 000</v>
          </cell>
          <cell r="W559" t="str">
            <v>2007Compagnie Internationale de Negoce</v>
          </cell>
          <cell r="X559" t="str">
            <v>2007Compagnie Internationale de NegoceScratch 2 000</v>
          </cell>
        </row>
        <row r="560">
          <cell r="I560">
            <v>2007</v>
          </cell>
          <cell r="J560" t="str">
            <v>Compagnie Internationale de NegoceScratch 5 000</v>
          </cell>
          <cell r="L560">
            <v>0</v>
          </cell>
          <cell r="M560" t="str">
            <v>Compagnie Internationale de Negoce</v>
          </cell>
          <cell r="N560" t="str">
            <v>Compagnie Internationale de NegoceScratch 5 000</v>
          </cell>
          <cell r="O560" t="str">
            <v>Compagnie Internationale de Negoce</v>
          </cell>
          <cell r="P560" t="str">
            <v>Scratch 5 000</v>
          </cell>
          <cell r="Q560" t="str">
            <v>32007</v>
          </cell>
          <cell r="R560" t="str">
            <v>32007Scratch 5 000</v>
          </cell>
          <cell r="S560" t="str">
            <v>2007Scratch 5 000</v>
          </cell>
          <cell r="T560" t="str">
            <v>32007Compagnie Internationale de Negoce</v>
          </cell>
          <cell r="U560" t="str">
            <v>32007Compagnie Internationale de NegoceScratch 5 000</v>
          </cell>
          <cell r="V560" t="str">
            <v>39149Scratch 5 000</v>
          </cell>
          <cell r="W560" t="str">
            <v>2007Compagnie Internationale de Negoce</v>
          </cell>
          <cell r="X560" t="str">
            <v>2007Compagnie Internationale de NegoceScratch 5 000</v>
          </cell>
        </row>
        <row r="561">
          <cell r="I561">
            <v>2007</v>
          </cell>
          <cell r="J561" t="str">
            <v>Compagnie Internationale de NegoceScratch 10 000</v>
          </cell>
          <cell r="L561">
            <v>0</v>
          </cell>
          <cell r="M561" t="str">
            <v>Compagnie Internationale de Negoce</v>
          </cell>
          <cell r="N561" t="str">
            <v>Compagnie Internationale de NegoceScratch 10 000</v>
          </cell>
          <cell r="O561" t="str">
            <v>Compagnie Internationale de Negoce</v>
          </cell>
          <cell r="P561" t="str">
            <v>Scratch 10 000</v>
          </cell>
          <cell r="Q561" t="str">
            <v>32007</v>
          </cell>
          <cell r="R561" t="str">
            <v>32007Scratch 10 000</v>
          </cell>
          <cell r="S561" t="str">
            <v>2007Scratch 10 000</v>
          </cell>
          <cell r="T561" t="str">
            <v>32007Compagnie Internationale de Negoce</v>
          </cell>
          <cell r="U561" t="str">
            <v>32007Compagnie Internationale de NegoceScratch 10 000</v>
          </cell>
          <cell r="V561" t="str">
            <v>39149Scratch 10 000</v>
          </cell>
          <cell r="W561" t="str">
            <v>2007Compagnie Internationale de Negoce</v>
          </cell>
          <cell r="X561" t="str">
            <v>2007Compagnie Internationale de NegoceScratch 10 000</v>
          </cell>
        </row>
        <row r="562">
          <cell r="I562">
            <v>2007</v>
          </cell>
          <cell r="J562" t="str">
            <v>Compagnie Internationale de NegoceScratch 20 000</v>
          </cell>
          <cell r="L562">
            <v>0</v>
          </cell>
          <cell r="M562" t="str">
            <v>Compagnie Internationale de Negoce</v>
          </cell>
          <cell r="N562" t="str">
            <v>Compagnie Internationale de NegoceScratch 20 000</v>
          </cell>
          <cell r="O562" t="str">
            <v>Compagnie Internationale de Negoce</v>
          </cell>
          <cell r="P562" t="str">
            <v>Scratch 20 000</v>
          </cell>
          <cell r="Q562" t="str">
            <v>32007</v>
          </cell>
          <cell r="R562" t="str">
            <v>32007Scratch 20 000</v>
          </cell>
          <cell r="S562" t="str">
            <v>2007Scratch 20 000</v>
          </cell>
          <cell r="T562" t="str">
            <v>32007Compagnie Internationale de Negoce</v>
          </cell>
          <cell r="U562" t="str">
            <v>32007Compagnie Internationale de NegoceScratch 20 000</v>
          </cell>
          <cell r="V562" t="str">
            <v>39149Scratch 20 000</v>
          </cell>
          <cell r="W562" t="str">
            <v>2007Compagnie Internationale de Negoce</v>
          </cell>
          <cell r="X562" t="str">
            <v>2007Compagnie Internationale de NegoceScratch 20 000</v>
          </cell>
        </row>
        <row r="563">
          <cell r="I563">
            <v>2007</v>
          </cell>
          <cell r="J563" t="str">
            <v>ANKA ServicesScratch 2 000</v>
          </cell>
          <cell r="L563">
            <v>1</v>
          </cell>
          <cell r="M563" t="str">
            <v>1ANKA Services</v>
          </cell>
          <cell r="N563" t="str">
            <v>ANKA ServicesScratch 2 000</v>
          </cell>
          <cell r="O563" t="str">
            <v>ANKA Services</v>
          </cell>
          <cell r="P563" t="str">
            <v>Scratch 2 000</v>
          </cell>
          <cell r="Q563" t="str">
            <v>32007</v>
          </cell>
          <cell r="R563" t="str">
            <v>32007Scratch 2 000</v>
          </cell>
          <cell r="S563" t="str">
            <v>2007Scratch 2 000</v>
          </cell>
          <cell r="T563" t="str">
            <v>32007ANKA Services</v>
          </cell>
          <cell r="U563" t="str">
            <v>32007ANKA ServicesScratch 2 000</v>
          </cell>
          <cell r="V563" t="str">
            <v>39149Scratch 2 000</v>
          </cell>
          <cell r="W563" t="str">
            <v>2007ANKA Services</v>
          </cell>
          <cell r="X563" t="str">
            <v>2007ANKA ServicesScratch 2 000</v>
          </cell>
        </row>
        <row r="564">
          <cell r="I564">
            <v>2007</v>
          </cell>
          <cell r="J564" t="str">
            <v>ANKA ServicesScratch 5 000</v>
          </cell>
          <cell r="L564">
            <v>0</v>
          </cell>
          <cell r="M564" t="str">
            <v>ANKA Services</v>
          </cell>
          <cell r="N564" t="str">
            <v>ANKA ServicesScratch 5 000</v>
          </cell>
          <cell r="O564" t="str">
            <v>ANKA Services</v>
          </cell>
          <cell r="P564" t="str">
            <v>Scratch 5 000</v>
          </cell>
          <cell r="Q564" t="str">
            <v>32007</v>
          </cell>
          <cell r="R564" t="str">
            <v>32007Scratch 5 000</v>
          </cell>
          <cell r="S564" t="str">
            <v>2007Scratch 5 000</v>
          </cell>
          <cell r="T564" t="str">
            <v>32007ANKA Services</v>
          </cell>
          <cell r="U564" t="str">
            <v>32007ANKA ServicesScratch 5 000</v>
          </cell>
          <cell r="V564" t="str">
            <v>39149Scratch 5 000</v>
          </cell>
          <cell r="W564" t="str">
            <v>2007ANKA Services</v>
          </cell>
          <cell r="X564" t="str">
            <v>2007ANKA ServicesScratch 5 000</v>
          </cell>
        </row>
        <row r="565">
          <cell r="I565">
            <v>2007</v>
          </cell>
          <cell r="J565" t="str">
            <v>GEMATELScratch 2 000</v>
          </cell>
          <cell r="L565">
            <v>1</v>
          </cell>
          <cell r="M565" t="str">
            <v>1GEMATEL</v>
          </cell>
          <cell r="N565" t="str">
            <v>GEMATELScratch 2 000</v>
          </cell>
          <cell r="O565" t="str">
            <v>GEMATEL</v>
          </cell>
          <cell r="P565" t="str">
            <v>Scratch 2 000</v>
          </cell>
          <cell r="Q565" t="str">
            <v>32007</v>
          </cell>
          <cell r="R565" t="str">
            <v>32007Scratch 2 000</v>
          </cell>
          <cell r="S565" t="str">
            <v>2007Scratch 2 000</v>
          </cell>
          <cell r="T565" t="str">
            <v>32007GEMATEL</v>
          </cell>
          <cell r="U565" t="str">
            <v>32007GEMATELScratch 2 000</v>
          </cell>
          <cell r="V565" t="str">
            <v>39150Scratch 2 000</v>
          </cell>
          <cell r="W565" t="str">
            <v>2007GEMATEL</v>
          </cell>
          <cell r="X565" t="str">
            <v>2007GEMATELScratch 2 000</v>
          </cell>
        </row>
        <row r="566">
          <cell r="I566">
            <v>2007</v>
          </cell>
          <cell r="J566" t="str">
            <v>GEMATELScratch 5 000</v>
          </cell>
          <cell r="L566">
            <v>0</v>
          </cell>
          <cell r="M566" t="str">
            <v>GEMATEL</v>
          </cell>
          <cell r="N566" t="str">
            <v>GEMATELScratch 5 000</v>
          </cell>
          <cell r="O566" t="str">
            <v>GEMATEL</v>
          </cell>
          <cell r="P566" t="str">
            <v>Scratch 5 000</v>
          </cell>
          <cell r="Q566" t="str">
            <v>32007</v>
          </cell>
          <cell r="R566" t="str">
            <v>32007Scratch 5 000</v>
          </cell>
          <cell r="S566" t="str">
            <v>2007Scratch 5 000</v>
          </cell>
          <cell r="T566" t="str">
            <v>32007GEMATEL</v>
          </cell>
          <cell r="U566" t="str">
            <v>32007GEMATELScratch 5 000</v>
          </cell>
          <cell r="V566" t="str">
            <v>39150Scratch 5 000</v>
          </cell>
          <cell r="W566" t="str">
            <v>2007GEMATEL</v>
          </cell>
          <cell r="X566" t="str">
            <v>2007GEMATELScratch 5 000</v>
          </cell>
        </row>
        <row r="567">
          <cell r="I567">
            <v>2007</v>
          </cell>
          <cell r="J567" t="str">
            <v>GEMATELScratch 10 000</v>
          </cell>
          <cell r="L567">
            <v>0</v>
          </cell>
          <cell r="M567" t="str">
            <v>GEMATEL</v>
          </cell>
          <cell r="N567" t="str">
            <v>GEMATELScratch 10 000</v>
          </cell>
          <cell r="O567" t="str">
            <v>GEMATEL</v>
          </cell>
          <cell r="P567" t="str">
            <v>Scratch 10 000</v>
          </cell>
          <cell r="Q567" t="str">
            <v>32007</v>
          </cell>
          <cell r="R567" t="str">
            <v>32007Scratch 10 000</v>
          </cell>
          <cell r="S567" t="str">
            <v>2007Scratch 10 000</v>
          </cell>
          <cell r="T567" t="str">
            <v>32007GEMATEL</v>
          </cell>
          <cell r="U567" t="str">
            <v>32007GEMATELScratch 10 000</v>
          </cell>
          <cell r="V567" t="str">
            <v>39150Scratch 10 000</v>
          </cell>
          <cell r="W567" t="str">
            <v>2007GEMATEL</v>
          </cell>
          <cell r="X567" t="str">
            <v>2007GEMATELScratch 10 000</v>
          </cell>
        </row>
        <row r="568">
          <cell r="I568">
            <v>2007</v>
          </cell>
          <cell r="J568" t="str">
            <v>GEMATELScratch 20 000</v>
          </cell>
          <cell r="L568">
            <v>0</v>
          </cell>
          <cell r="M568" t="str">
            <v>GEMATEL</v>
          </cell>
          <cell r="N568" t="str">
            <v>GEMATELScratch 20 000</v>
          </cell>
          <cell r="O568" t="str">
            <v>GEMATEL</v>
          </cell>
          <cell r="P568" t="str">
            <v>Scratch 20 000</v>
          </cell>
          <cell r="Q568" t="str">
            <v>32007</v>
          </cell>
          <cell r="R568" t="str">
            <v>32007Scratch 20 000</v>
          </cell>
          <cell r="S568" t="str">
            <v>2007Scratch 20 000</v>
          </cell>
          <cell r="T568" t="str">
            <v>32007GEMATEL</v>
          </cell>
          <cell r="U568" t="str">
            <v>32007GEMATELScratch 20 000</v>
          </cell>
          <cell r="V568" t="str">
            <v>39150Scratch 20 000</v>
          </cell>
          <cell r="W568" t="str">
            <v>2007GEMATEL</v>
          </cell>
          <cell r="X568" t="str">
            <v>2007GEMATELScratch 20 000</v>
          </cell>
        </row>
        <row r="569">
          <cell r="I569">
            <v>2007</v>
          </cell>
          <cell r="J569" t="str">
            <v>STS GAMBY &amp; FRERES (SOGAF) SarlScratch 2 000</v>
          </cell>
          <cell r="L569">
            <v>1</v>
          </cell>
          <cell r="M569" t="str">
            <v>1STS GAMBY &amp; FRERES (SOGAF) Sarl</v>
          </cell>
          <cell r="N569" t="str">
            <v>STS GAMBY &amp; FRERES (SOGAF) SarlScratch 2 000</v>
          </cell>
          <cell r="O569" t="str">
            <v>STS GAMBY &amp; FRERES (SOGAF) Sarl</v>
          </cell>
          <cell r="P569" t="str">
            <v>Scratch 2 000</v>
          </cell>
          <cell r="Q569" t="str">
            <v>32007</v>
          </cell>
          <cell r="R569" t="str">
            <v>32007Scratch 2 000</v>
          </cell>
          <cell r="S569" t="str">
            <v>2007Scratch 2 000</v>
          </cell>
          <cell r="T569" t="str">
            <v>32007STS GAMBY &amp; FRERES (SOGAF) Sarl</v>
          </cell>
          <cell r="U569" t="str">
            <v>32007STS GAMBY &amp; FRERES (SOGAF) SarlScratch 2 000</v>
          </cell>
          <cell r="V569" t="str">
            <v>39150Scratch 2 000</v>
          </cell>
          <cell r="W569" t="str">
            <v>2007STS GAMBY &amp; FRERES (SOGAF) Sarl</v>
          </cell>
          <cell r="X569" t="str">
            <v>2007STS GAMBY &amp; FRERES (SOGAF) SarlScratch 2 000</v>
          </cell>
        </row>
        <row r="570">
          <cell r="I570">
            <v>2007</v>
          </cell>
          <cell r="J570" t="str">
            <v>STS GAMBY &amp; FRERES (SOGAF) SarlScratch 5 000</v>
          </cell>
          <cell r="L570">
            <v>0</v>
          </cell>
          <cell r="M570" t="str">
            <v>STS GAMBY &amp; FRERES (SOGAF) Sarl</v>
          </cell>
          <cell r="N570" t="str">
            <v>STS GAMBY &amp; FRERES (SOGAF) SarlScratch 5 000</v>
          </cell>
          <cell r="O570" t="str">
            <v>STS GAMBY &amp; FRERES (SOGAF) Sarl</v>
          </cell>
          <cell r="P570" t="str">
            <v>Scratch 5 000</v>
          </cell>
          <cell r="Q570" t="str">
            <v>32007</v>
          </cell>
          <cell r="R570" t="str">
            <v>32007Scratch 5 000</v>
          </cell>
          <cell r="S570" t="str">
            <v>2007Scratch 5 000</v>
          </cell>
          <cell r="T570" t="str">
            <v>32007STS GAMBY &amp; FRERES (SOGAF) Sarl</v>
          </cell>
          <cell r="U570" t="str">
            <v>32007STS GAMBY &amp; FRERES (SOGAF) SarlScratch 5 000</v>
          </cell>
          <cell r="V570" t="str">
            <v>39150Scratch 5 000</v>
          </cell>
          <cell r="W570" t="str">
            <v>2007STS GAMBY &amp; FRERES (SOGAF) Sarl</v>
          </cell>
          <cell r="X570" t="str">
            <v>2007STS GAMBY &amp; FRERES (SOGAF) SarlScratch 5 000</v>
          </cell>
        </row>
        <row r="571">
          <cell r="I571">
            <v>2007</v>
          </cell>
          <cell r="J571" t="str">
            <v>STS GAMBY &amp; FRERES (SOGAF) SarlScratch 20 000</v>
          </cell>
          <cell r="L571">
            <v>0</v>
          </cell>
          <cell r="M571" t="str">
            <v>STS GAMBY &amp; FRERES (SOGAF) Sarl</v>
          </cell>
          <cell r="N571" t="str">
            <v>STS GAMBY &amp; FRERES (SOGAF) SarlScratch 20 000</v>
          </cell>
          <cell r="O571" t="str">
            <v>STS GAMBY &amp; FRERES (SOGAF) Sarl</v>
          </cell>
          <cell r="P571" t="str">
            <v>Scratch 20 000</v>
          </cell>
          <cell r="Q571" t="str">
            <v>32007</v>
          </cell>
          <cell r="R571" t="str">
            <v>32007Scratch 20 000</v>
          </cell>
          <cell r="S571" t="str">
            <v>2007Scratch 20 000</v>
          </cell>
          <cell r="T571" t="str">
            <v>32007STS GAMBY &amp; FRERES (SOGAF) Sarl</v>
          </cell>
          <cell r="U571" t="str">
            <v>32007STS GAMBY &amp; FRERES (SOGAF) SarlScratch 20 000</v>
          </cell>
          <cell r="V571" t="str">
            <v>39150Scratch 20 000</v>
          </cell>
          <cell r="W571" t="str">
            <v>2007STS GAMBY &amp; FRERES (SOGAF) Sarl</v>
          </cell>
          <cell r="X571" t="str">
            <v>2007STS GAMBY &amp; FRERES (SOGAF) SarlScratch 20 000</v>
          </cell>
        </row>
        <row r="572">
          <cell r="I572">
            <v>2007</v>
          </cell>
          <cell r="J572" t="str">
            <v>Bonneterie Nouvelle TelecomScratch 2 000</v>
          </cell>
          <cell r="L572">
            <v>1</v>
          </cell>
          <cell r="M572" t="str">
            <v>1Bonneterie Nouvelle Telecom</v>
          </cell>
          <cell r="N572" t="str">
            <v>Bonneterie Nouvelle TelecomScratch 2 000</v>
          </cell>
          <cell r="O572" t="str">
            <v>Bonneterie Nouvelle Telecom</v>
          </cell>
          <cell r="P572" t="str">
            <v>Scratch 2 000</v>
          </cell>
          <cell r="Q572" t="str">
            <v>32007</v>
          </cell>
          <cell r="R572" t="str">
            <v>32007Scratch 2 000</v>
          </cell>
          <cell r="S572" t="str">
            <v>2007Scratch 2 000</v>
          </cell>
          <cell r="T572" t="str">
            <v>32007Bonneterie Nouvelle Telecom</v>
          </cell>
          <cell r="U572" t="str">
            <v>32007Bonneterie Nouvelle TelecomScratch 2 000</v>
          </cell>
          <cell r="V572" t="str">
            <v>39150Scratch 2 000</v>
          </cell>
          <cell r="W572" t="str">
            <v>2007Bonneterie Nouvelle Telecom</v>
          </cell>
          <cell r="X572" t="str">
            <v>2007Bonneterie Nouvelle TelecomScratch 2 000</v>
          </cell>
        </row>
        <row r="573">
          <cell r="I573">
            <v>2007</v>
          </cell>
          <cell r="J573" t="str">
            <v>ETS Boubacar TANDIAScratch 2 000</v>
          </cell>
          <cell r="L573">
            <v>1</v>
          </cell>
          <cell r="M573" t="str">
            <v>1ETS Boubacar TANDIA</v>
          </cell>
          <cell r="N573" t="str">
            <v>ETS Boubacar TANDIAScratch 2 000</v>
          </cell>
          <cell r="O573" t="str">
            <v>ETS Boubacar TANDIA</v>
          </cell>
          <cell r="P573" t="str">
            <v>Scratch 2 000</v>
          </cell>
          <cell r="Q573" t="str">
            <v>32007</v>
          </cell>
          <cell r="R573" t="str">
            <v>32007Scratch 2 000</v>
          </cell>
          <cell r="S573" t="str">
            <v>2007Scratch 2 000</v>
          </cell>
          <cell r="T573" t="str">
            <v>32007ETS Boubacar TANDIA</v>
          </cell>
          <cell r="U573" t="str">
            <v>32007ETS Boubacar TANDIAScratch 2 000</v>
          </cell>
          <cell r="V573" t="str">
            <v>39150Scratch 2 000</v>
          </cell>
          <cell r="W573" t="str">
            <v>2007ETS Boubacar TANDIA</v>
          </cell>
          <cell r="X573" t="str">
            <v>2007ETS Boubacar TANDIAScratch 2 000</v>
          </cell>
        </row>
        <row r="574">
          <cell r="I574">
            <v>2007</v>
          </cell>
          <cell r="J574" t="str">
            <v>ETS Boubacar TANDIAScratch 5 000</v>
          </cell>
          <cell r="L574">
            <v>0</v>
          </cell>
          <cell r="M574" t="str">
            <v>ETS Boubacar TANDIA</v>
          </cell>
          <cell r="N574" t="str">
            <v>ETS Boubacar TANDIAScratch 5 000</v>
          </cell>
          <cell r="O574" t="str">
            <v>ETS Boubacar TANDIA</v>
          </cell>
          <cell r="P574" t="str">
            <v>Scratch 5 000</v>
          </cell>
          <cell r="Q574" t="str">
            <v>32007</v>
          </cell>
          <cell r="R574" t="str">
            <v>32007Scratch 5 000</v>
          </cell>
          <cell r="S574" t="str">
            <v>2007Scratch 5 000</v>
          </cell>
          <cell r="T574" t="str">
            <v>32007ETS Boubacar TANDIA</v>
          </cell>
          <cell r="U574" t="str">
            <v>32007ETS Boubacar TANDIAScratch 5 000</v>
          </cell>
          <cell r="V574" t="str">
            <v>39150Scratch 5 000</v>
          </cell>
          <cell r="W574" t="str">
            <v>2007ETS Boubacar TANDIA</v>
          </cell>
          <cell r="X574" t="str">
            <v>2007ETS Boubacar TANDIAScratch 5 000</v>
          </cell>
        </row>
        <row r="575">
          <cell r="I575">
            <v>2007</v>
          </cell>
          <cell r="J575" t="str">
            <v>ETS Boubacar TANDIAScratch 10 000</v>
          </cell>
          <cell r="L575">
            <v>0</v>
          </cell>
          <cell r="M575" t="str">
            <v>ETS Boubacar TANDIA</v>
          </cell>
          <cell r="N575" t="str">
            <v>ETS Boubacar TANDIAScratch 10 000</v>
          </cell>
          <cell r="O575" t="str">
            <v>ETS Boubacar TANDIA</v>
          </cell>
          <cell r="P575" t="str">
            <v>Scratch 10 000</v>
          </cell>
          <cell r="Q575" t="str">
            <v>32007</v>
          </cell>
          <cell r="R575" t="str">
            <v>32007Scratch 10 000</v>
          </cell>
          <cell r="S575" t="str">
            <v>2007Scratch 10 000</v>
          </cell>
          <cell r="T575" t="str">
            <v>32007ETS Boubacar TANDIA</v>
          </cell>
          <cell r="U575" t="str">
            <v>32007ETS Boubacar TANDIAScratch 10 000</v>
          </cell>
          <cell r="V575" t="str">
            <v>39150Scratch 10 000</v>
          </cell>
          <cell r="W575" t="str">
            <v>2007ETS Boubacar TANDIA</v>
          </cell>
          <cell r="X575" t="str">
            <v>2007ETS Boubacar TANDIAScratch 10 000</v>
          </cell>
        </row>
        <row r="576">
          <cell r="I576">
            <v>2007</v>
          </cell>
          <cell r="J576" t="str">
            <v>ETS Boubacar TANDIAScratch 20 000</v>
          </cell>
          <cell r="L576">
            <v>0</v>
          </cell>
          <cell r="M576" t="str">
            <v>ETS Boubacar TANDIA</v>
          </cell>
          <cell r="N576" t="str">
            <v>ETS Boubacar TANDIAScratch 20 000</v>
          </cell>
          <cell r="O576" t="str">
            <v>ETS Boubacar TANDIA</v>
          </cell>
          <cell r="P576" t="str">
            <v>Scratch 20 000</v>
          </cell>
          <cell r="Q576" t="str">
            <v>32007</v>
          </cell>
          <cell r="R576" t="str">
            <v>32007Scratch 20 000</v>
          </cell>
          <cell r="S576" t="str">
            <v>2007Scratch 20 000</v>
          </cell>
          <cell r="T576" t="str">
            <v>32007ETS Boubacar TANDIA</v>
          </cell>
          <cell r="U576" t="str">
            <v>32007ETS Boubacar TANDIAScratch 20 000</v>
          </cell>
          <cell r="V576" t="str">
            <v>39150Scratch 20 000</v>
          </cell>
          <cell r="W576" t="str">
            <v>2007ETS Boubacar TANDIA</v>
          </cell>
          <cell r="X576" t="str">
            <v>2007ETS Boubacar TANDIAScratch 20 000</v>
          </cell>
        </row>
        <row r="577">
          <cell r="I577">
            <v>2007</v>
          </cell>
          <cell r="J577" t="str">
            <v>MALI COM SarlScratch 2 000</v>
          </cell>
          <cell r="L577">
            <v>1</v>
          </cell>
          <cell r="M577" t="str">
            <v>1MALI COM Sarl</v>
          </cell>
          <cell r="N577" t="str">
            <v>MALI COM SarlScratch 2 000</v>
          </cell>
          <cell r="O577" t="str">
            <v>MALI COM Sarl</v>
          </cell>
          <cell r="P577" t="str">
            <v>Scratch 2 000</v>
          </cell>
          <cell r="Q577" t="str">
            <v>32007</v>
          </cell>
          <cell r="R577" t="str">
            <v>32007Scratch 2 000</v>
          </cell>
          <cell r="S577" t="str">
            <v>2007Scratch 2 000</v>
          </cell>
          <cell r="T577" t="str">
            <v>32007MALI COM Sarl</v>
          </cell>
          <cell r="U577" t="str">
            <v>32007MALI COM SarlScratch 2 000</v>
          </cell>
          <cell r="V577" t="str">
            <v>39150Scratch 2 000</v>
          </cell>
          <cell r="W577" t="str">
            <v>2007MALI COM Sarl</v>
          </cell>
          <cell r="X577" t="str">
            <v>2007MALI COM SarlScratch 2 000</v>
          </cell>
        </row>
        <row r="578">
          <cell r="I578">
            <v>2007</v>
          </cell>
          <cell r="J578" t="str">
            <v>ANKA ServicesScratch 2 000</v>
          </cell>
          <cell r="L578">
            <v>1</v>
          </cell>
          <cell r="M578" t="str">
            <v>1ANKA Services</v>
          </cell>
          <cell r="N578" t="str">
            <v>ANKA ServicesScratch 2 000</v>
          </cell>
          <cell r="O578" t="str">
            <v>ANKA Services</v>
          </cell>
          <cell r="P578" t="str">
            <v>Scratch 2 000</v>
          </cell>
          <cell r="Q578" t="str">
            <v>32007</v>
          </cell>
          <cell r="R578" t="str">
            <v>32007Scratch 2 000</v>
          </cell>
          <cell r="S578" t="str">
            <v>2007Scratch 2 000</v>
          </cell>
          <cell r="T578" t="str">
            <v>32007ANKA Services</v>
          </cell>
          <cell r="U578" t="str">
            <v>32007ANKA ServicesScratch 2 000</v>
          </cell>
          <cell r="V578" t="str">
            <v>39150Scratch 2 000</v>
          </cell>
          <cell r="W578" t="str">
            <v>2007ANKA Services</v>
          </cell>
          <cell r="X578" t="str">
            <v>2007ANKA ServicesScratch 2 000</v>
          </cell>
        </row>
        <row r="579">
          <cell r="I579">
            <v>2007</v>
          </cell>
          <cell r="J579" t="str">
            <v>ANKA ServicesScratch 5 000</v>
          </cell>
          <cell r="L579">
            <v>0</v>
          </cell>
          <cell r="M579" t="str">
            <v>ANKA Services</v>
          </cell>
          <cell r="N579" t="str">
            <v>ANKA ServicesScratch 5 000</v>
          </cell>
          <cell r="O579" t="str">
            <v>ANKA Services</v>
          </cell>
          <cell r="P579" t="str">
            <v>Scratch 5 000</v>
          </cell>
          <cell r="Q579" t="str">
            <v>32007</v>
          </cell>
          <cell r="R579" t="str">
            <v>32007Scratch 5 000</v>
          </cell>
          <cell r="S579" t="str">
            <v>2007Scratch 5 000</v>
          </cell>
          <cell r="T579" t="str">
            <v>32007ANKA Services</v>
          </cell>
          <cell r="U579" t="str">
            <v>32007ANKA ServicesScratch 5 000</v>
          </cell>
          <cell r="V579" t="str">
            <v>39150Scratch 5 000</v>
          </cell>
          <cell r="W579" t="str">
            <v>2007ANKA Services</v>
          </cell>
          <cell r="X579" t="str">
            <v>2007ANKA ServicesScratch 5 000</v>
          </cell>
        </row>
        <row r="580">
          <cell r="I580">
            <v>2007</v>
          </cell>
          <cell r="J580" t="str">
            <v>Bonneterie Nouvelle TelecomScratch 1 000</v>
          </cell>
          <cell r="L580">
            <v>1</v>
          </cell>
          <cell r="M580" t="str">
            <v>1Bonneterie Nouvelle Telecom</v>
          </cell>
          <cell r="N580" t="str">
            <v>Bonneterie Nouvelle TelecomScratch 1 000</v>
          </cell>
          <cell r="O580" t="str">
            <v>Bonneterie Nouvelle Telecom</v>
          </cell>
          <cell r="P580" t="str">
            <v>Scratch 1 000</v>
          </cell>
          <cell r="Q580" t="str">
            <v>32007</v>
          </cell>
          <cell r="R580" t="str">
            <v>32007Scratch 1 000</v>
          </cell>
          <cell r="S580" t="str">
            <v>2007Scratch 1 000</v>
          </cell>
          <cell r="T580" t="str">
            <v>32007Bonneterie Nouvelle Telecom</v>
          </cell>
          <cell r="U580" t="str">
            <v>32007Bonneterie Nouvelle TelecomScratch 1 000</v>
          </cell>
          <cell r="V580" t="str">
            <v>39150Scratch 1 000</v>
          </cell>
          <cell r="W580" t="str">
            <v>2007Bonneterie Nouvelle Telecom</v>
          </cell>
          <cell r="X580" t="str">
            <v>2007Bonneterie Nouvelle TelecomScratch 1 000</v>
          </cell>
        </row>
        <row r="581">
          <cell r="I581">
            <v>2007</v>
          </cell>
          <cell r="J581" t="str">
            <v>STS GAMBY &amp; FRERES (SOGAF) SarlScratch 1 000</v>
          </cell>
          <cell r="L581">
            <v>1</v>
          </cell>
          <cell r="M581" t="str">
            <v>1STS GAMBY &amp; FRERES (SOGAF) Sarl</v>
          </cell>
          <cell r="N581" t="str">
            <v>STS GAMBY &amp; FRERES (SOGAF) SarlScratch 1 000</v>
          </cell>
          <cell r="O581" t="str">
            <v>STS GAMBY &amp; FRERES (SOGAF) Sarl</v>
          </cell>
          <cell r="P581" t="str">
            <v>Scratch 1 000</v>
          </cell>
          <cell r="Q581" t="str">
            <v>32007</v>
          </cell>
          <cell r="R581" t="str">
            <v>32007Scratch 1 000</v>
          </cell>
          <cell r="S581" t="str">
            <v>2007Scratch 1 000</v>
          </cell>
          <cell r="T581" t="str">
            <v>32007STS GAMBY &amp; FRERES (SOGAF) Sarl</v>
          </cell>
          <cell r="U581" t="str">
            <v>32007STS GAMBY &amp; FRERES (SOGAF) SarlScratch 1 000</v>
          </cell>
          <cell r="V581" t="str">
            <v>39150Scratch 1 000</v>
          </cell>
          <cell r="W581" t="str">
            <v>2007STS GAMBY &amp; FRERES (SOGAF) Sarl</v>
          </cell>
          <cell r="X581" t="str">
            <v>2007STS GAMBY &amp; FRERES (SOGAF) SarlScratch 1 000</v>
          </cell>
        </row>
        <row r="582">
          <cell r="I582">
            <v>2007</v>
          </cell>
          <cell r="J582" t="str">
            <v>SODIBAFScratch 1 000</v>
          </cell>
          <cell r="L582">
            <v>1</v>
          </cell>
          <cell r="M582" t="str">
            <v>1SODIBAF</v>
          </cell>
          <cell r="N582" t="str">
            <v>SODIBAFScratch 1 000</v>
          </cell>
          <cell r="O582" t="str">
            <v>SODIBAF</v>
          </cell>
          <cell r="P582" t="str">
            <v>Scratch 1 000</v>
          </cell>
          <cell r="Q582" t="str">
            <v>32007</v>
          </cell>
          <cell r="R582" t="str">
            <v>32007Scratch 1 000</v>
          </cell>
          <cell r="S582" t="str">
            <v>2007Scratch 1 000</v>
          </cell>
          <cell r="T582" t="str">
            <v>32007SODIBAF</v>
          </cell>
          <cell r="U582" t="str">
            <v>32007SODIBAFScratch 1 000</v>
          </cell>
          <cell r="V582" t="str">
            <v>39150Scratch 1 000</v>
          </cell>
          <cell r="W582" t="str">
            <v>2007SODIBAF</v>
          </cell>
          <cell r="X582" t="str">
            <v>2007SODIBAFScratch 1 000</v>
          </cell>
        </row>
        <row r="583">
          <cell r="I583">
            <v>2007</v>
          </cell>
          <cell r="J583" t="str">
            <v>ANKA ServicesScratch 1 000</v>
          </cell>
          <cell r="L583">
            <v>1</v>
          </cell>
          <cell r="M583" t="str">
            <v>1ANKA Services</v>
          </cell>
          <cell r="N583" t="str">
            <v>ANKA ServicesScratch 1 000</v>
          </cell>
          <cell r="O583" t="str">
            <v>ANKA Services</v>
          </cell>
          <cell r="P583" t="str">
            <v>Scratch 1 000</v>
          </cell>
          <cell r="Q583" t="str">
            <v>32007</v>
          </cell>
          <cell r="R583" t="str">
            <v>32007Scratch 1 000</v>
          </cell>
          <cell r="S583" t="str">
            <v>2007Scratch 1 000</v>
          </cell>
          <cell r="T583" t="str">
            <v>32007ANKA Services</v>
          </cell>
          <cell r="U583" t="str">
            <v>32007ANKA ServicesScratch 1 000</v>
          </cell>
          <cell r="V583" t="str">
            <v>39150Scratch 1 000</v>
          </cell>
          <cell r="W583" t="str">
            <v>2007ANKA Services</v>
          </cell>
          <cell r="X583" t="str">
            <v>2007ANKA ServicesScratch 1 000</v>
          </cell>
        </row>
        <row r="584">
          <cell r="I584">
            <v>2007</v>
          </cell>
          <cell r="J584" t="str">
            <v>MALI COM SarlScratch 1 000</v>
          </cell>
          <cell r="L584">
            <v>1</v>
          </cell>
          <cell r="M584" t="str">
            <v>1MALI COM Sarl</v>
          </cell>
          <cell r="N584" t="str">
            <v>MALI COM SarlScratch 1 000</v>
          </cell>
          <cell r="O584" t="str">
            <v>MALI COM Sarl</v>
          </cell>
          <cell r="P584" t="str">
            <v>Scratch 1 000</v>
          </cell>
          <cell r="Q584" t="str">
            <v>32007</v>
          </cell>
          <cell r="R584" t="str">
            <v>32007Scratch 1 000</v>
          </cell>
          <cell r="S584" t="str">
            <v>2007Scratch 1 000</v>
          </cell>
          <cell r="T584" t="str">
            <v>32007MALI COM Sarl</v>
          </cell>
          <cell r="U584" t="str">
            <v>32007MALI COM SarlScratch 1 000</v>
          </cell>
          <cell r="V584" t="str">
            <v>39150Scratch 1 000</v>
          </cell>
          <cell r="W584" t="str">
            <v>2007MALI COM Sarl</v>
          </cell>
          <cell r="X584" t="str">
            <v>2007MALI COM SarlScratch 1 000</v>
          </cell>
        </row>
        <row r="585">
          <cell r="I585">
            <v>2007</v>
          </cell>
          <cell r="J585" t="str">
            <v>SOLEIL LEVANTScratch 1 000</v>
          </cell>
          <cell r="L585">
            <v>1</v>
          </cell>
          <cell r="M585" t="str">
            <v>1SOLEIL LEVANT</v>
          </cell>
          <cell r="N585" t="str">
            <v>SOLEIL LEVANTScratch 1 000</v>
          </cell>
          <cell r="O585" t="str">
            <v>SOLEIL LEVANT</v>
          </cell>
          <cell r="P585" t="str">
            <v>Scratch 1 000</v>
          </cell>
          <cell r="Q585" t="str">
            <v>32007</v>
          </cell>
          <cell r="R585" t="str">
            <v>32007Scratch 1 000</v>
          </cell>
          <cell r="S585" t="str">
            <v>2007Scratch 1 000</v>
          </cell>
          <cell r="T585" t="str">
            <v>32007SOLEIL LEVANT</v>
          </cell>
          <cell r="U585" t="str">
            <v>32007SOLEIL LEVANTScratch 1 000</v>
          </cell>
          <cell r="V585" t="str">
            <v>39151Scratch 1 000</v>
          </cell>
          <cell r="W585" t="str">
            <v>2007SOLEIL LEVANT</v>
          </cell>
          <cell r="X585" t="str">
            <v>2007SOLEIL LEVANTScratch 1 000</v>
          </cell>
        </row>
        <row r="586">
          <cell r="I586">
            <v>2007</v>
          </cell>
          <cell r="J586" t="str">
            <v>Burtel MacsymScratch 1 000</v>
          </cell>
          <cell r="L586">
            <v>1</v>
          </cell>
          <cell r="M586" t="str">
            <v>1Burtel Macsym</v>
          </cell>
          <cell r="N586" t="str">
            <v>Burtel MacsymScratch 1 000</v>
          </cell>
          <cell r="O586" t="str">
            <v>Burtel Macsym</v>
          </cell>
          <cell r="P586" t="str">
            <v>Scratch 1 000</v>
          </cell>
          <cell r="Q586" t="str">
            <v>32007</v>
          </cell>
          <cell r="R586" t="str">
            <v>32007Scratch 1 000</v>
          </cell>
          <cell r="S586" t="str">
            <v>2007Scratch 1 000</v>
          </cell>
          <cell r="T586" t="str">
            <v>32007Burtel Macsym</v>
          </cell>
          <cell r="U586" t="str">
            <v>32007Burtel MacsymScratch 1 000</v>
          </cell>
          <cell r="V586" t="str">
            <v>39151Scratch 1 000</v>
          </cell>
          <cell r="W586" t="str">
            <v>2007Burtel Macsym</v>
          </cell>
          <cell r="X586" t="str">
            <v>2007Burtel MacsymScratch 1 000</v>
          </cell>
        </row>
        <row r="587">
          <cell r="I587">
            <v>2007</v>
          </cell>
          <cell r="J587" t="str">
            <v>Compagnie Internationale de NegoceScratch 1 000</v>
          </cell>
          <cell r="L587">
            <v>1</v>
          </cell>
          <cell r="M587" t="str">
            <v>1Compagnie Internationale de Negoce</v>
          </cell>
          <cell r="N587" t="str">
            <v>Compagnie Internationale de NegoceScratch 1 000</v>
          </cell>
          <cell r="O587" t="str">
            <v>Compagnie Internationale de Negoce</v>
          </cell>
          <cell r="P587" t="str">
            <v>Scratch 1 000</v>
          </cell>
          <cell r="Q587" t="str">
            <v>32007</v>
          </cell>
          <cell r="R587" t="str">
            <v>32007Scratch 1 000</v>
          </cell>
          <cell r="S587" t="str">
            <v>2007Scratch 1 000</v>
          </cell>
          <cell r="T587" t="str">
            <v>32007Compagnie Internationale de Negoce</v>
          </cell>
          <cell r="U587" t="str">
            <v>32007Compagnie Internationale de NegoceScratch 1 000</v>
          </cell>
          <cell r="V587" t="str">
            <v>39151Scratch 1 000</v>
          </cell>
          <cell r="W587" t="str">
            <v>2007Compagnie Internationale de Negoce</v>
          </cell>
          <cell r="X587" t="str">
            <v>2007Compagnie Internationale de NegoceScratch 1 000</v>
          </cell>
        </row>
        <row r="588">
          <cell r="I588">
            <v>2007</v>
          </cell>
          <cell r="J588" t="str">
            <v>ANKA ServicesScratch 1 000</v>
          </cell>
          <cell r="L588">
            <v>1</v>
          </cell>
          <cell r="M588" t="str">
            <v>1ANKA Services</v>
          </cell>
          <cell r="N588" t="str">
            <v>ANKA ServicesScratch 1 000</v>
          </cell>
          <cell r="O588" t="str">
            <v>ANKA Services</v>
          </cell>
          <cell r="P588" t="str">
            <v>Scratch 1 000</v>
          </cell>
          <cell r="Q588" t="str">
            <v>32007</v>
          </cell>
          <cell r="R588" t="str">
            <v>32007Scratch 1 000</v>
          </cell>
          <cell r="S588" t="str">
            <v>2007Scratch 1 000</v>
          </cell>
          <cell r="T588" t="str">
            <v>32007ANKA Services</v>
          </cell>
          <cell r="U588" t="str">
            <v>32007ANKA ServicesScratch 1 000</v>
          </cell>
          <cell r="V588" t="str">
            <v>39151Scratch 1 000</v>
          </cell>
          <cell r="W588" t="str">
            <v>2007ANKA Services</v>
          </cell>
          <cell r="X588" t="str">
            <v>2007ANKA ServicesScratch 1 000</v>
          </cell>
        </row>
        <row r="589">
          <cell r="I589">
            <v>2007</v>
          </cell>
          <cell r="J589" t="str">
            <v>ANKA ServicesScratch 2 000</v>
          </cell>
          <cell r="L589">
            <v>0</v>
          </cell>
          <cell r="M589" t="str">
            <v>ANKA Services</v>
          </cell>
          <cell r="N589" t="str">
            <v>ANKA ServicesScratch 2 000</v>
          </cell>
          <cell r="O589" t="str">
            <v>ANKA Services</v>
          </cell>
          <cell r="P589" t="str">
            <v>Scratch 2 000</v>
          </cell>
          <cell r="Q589" t="str">
            <v>32007</v>
          </cell>
          <cell r="R589" t="str">
            <v>32007Scratch 2 000</v>
          </cell>
          <cell r="S589" t="str">
            <v>2007Scratch 2 000</v>
          </cell>
          <cell r="T589" t="str">
            <v>32007ANKA Services</v>
          </cell>
          <cell r="U589" t="str">
            <v>32007ANKA ServicesScratch 2 000</v>
          </cell>
          <cell r="V589" t="str">
            <v>39151Scratch 2 000</v>
          </cell>
          <cell r="W589" t="str">
            <v>2007ANKA Services</v>
          </cell>
          <cell r="X589" t="str">
            <v>2007ANKA ServicesScratch 2 000</v>
          </cell>
        </row>
        <row r="590">
          <cell r="I590">
            <v>2007</v>
          </cell>
          <cell r="J590" t="str">
            <v>ANKA ServicesScratch 5 000</v>
          </cell>
          <cell r="L590">
            <v>0</v>
          </cell>
          <cell r="M590" t="str">
            <v>ANKA Services</v>
          </cell>
          <cell r="N590" t="str">
            <v>ANKA ServicesScratch 5 000</v>
          </cell>
          <cell r="O590" t="str">
            <v>ANKA Services</v>
          </cell>
          <cell r="P590" t="str">
            <v>Scratch 5 000</v>
          </cell>
          <cell r="Q590" t="str">
            <v>32007</v>
          </cell>
          <cell r="R590" t="str">
            <v>32007Scratch 5 000</v>
          </cell>
          <cell r="S590" t="str">
            <v>2007Scratch 5 000</v>
          </cell>
          <cell r="T590" t="str">
            <v>32007ANKA Services</v>
          </cell>
          <cell r="U590" t="str">
            <v>32007ANKA ServicesScratch 5 000</v>
          </cell>
          <cell r="V590" t="str">
            <v>39151Scratch 5 000</v>
          </cell>
          <cell r="W590" t="str">
            <v>2007ANKA Services</v>
          </cell>
          <cell r="X590" t="str">
            <v>2007ANKA ServicesScratch 5 000</v>
          </cell>
        </row>
        <row r="591">
          <cell r="I591">
            <v>2007</v>
          </cell>
          <cell r="J591" t="str">
            <v>Bonneterie Nouvelle TelecomScratch 1 000</v>
          </cell>
          <cell r="L591">
            <v>1</v>
          </cell>
          <cell r="M591" t="str">
            <v>1Bonneterie Nouvelle Telecom</v>
          </cell>
          <cell r="N591" t="str">
            <v>Bonneterie Nouvelle TelecomScratch 1 000</v>
          </cell>
          <cell r="O591" t="str">
            <v>Bonneterie Nouvelle Telecom</v>
          </cell>
          <cell r="P591" t="str">
            <v>Scratch 1 000</v>
          </cell>
          <cell r="Q591" t="str">
            <v>32007</v>
          </cell>
          <cell r="R591" t="str">
            <v>32007Scratch 1 000</v>
          </cell>
          <cell r="S591" t="str">
            <v>2007Scratch 1 000</v>
          </cell>
          <cell r="T591" t="str">
            <v>32007Bonneterie Nouvelle Telecom</v>
          </cell>
          <cell r="U591" t="str">
            <v>32007Bonneterie Nouvelle TelecomScratch 1 000</v>
          </cell>
          <cell r="V591" t="str">
            <v>39151Scratch 1 000</v>
          </cell>
          <cell r="W591" t="str">
            <v>2007Bonneterie Nouvelle Telecom</v>
          </cell>
          <cell r="X591" t="str">
            <v>2007Bonneterie Nouvelle TelecomScratch 1 000</v>
          </cell>
        </row>
        <row r="592">
          <cell r="I592">
            <v>2007</v>
          </cell>
          <cell r="J592" t="str">
            <v>Ets Mamadou GAMBYScratch 1 000</v>
          </cell>
          <cell r="L592">
            <v>1</v>
          </cell>
          <cell r="M592" t="str">
            <v>1Ets Mamadou GAMBY</v>
          </cell>
          <cell r="N592" t="str">
            <v>Ets Mamadou GAMBYScratch 1 000</v>
          </cell>
          <cell r="O592" t="str">
            <v>Ets Mamadou GAMBY</v>
          </cell>
          <cell r="P592" t="str">
            <v>Scratch 1 000</v>
          </cell>
          <cell r="Q592" t="str">
            <v>32007</v>
          </cell>
          <cell r="R592" t="str">
            <v>32007Scratch 1 000</v>
          </cell>
          <cell r="S592" t="str">
            <v>2007Scratch 1 000</v>
          </cell>
          <cell r="T592" t="str">
            <v>32007Ets Mamadou GAMBY</v>
          </cell>
          <cell r="U592" t="str">
            <v>32007Ets Mamadou GAMBYScratch 1 000</v>
          </cell>
          <cell r="V592" t="str">
            <v>39151Scratch 1 000</v>
          </cell>
          <cell r="W592" t="str">
            <v>2007Ets Mamadou GAMBY</v>
          </cell>
          <cell r="X592" t="str">
            <v>2007Ets Mamadou GAMBYScratch 1 000</v>
          </cell>
        </row>
        <row r="593">
          <cell r="I593">
            <v>2007</v>
          </cell>
          <cell r="J593" t="str">
            <v>Burtel MacsymScratch 1 000</v>
          </cell>
          <cell r="L593">
            <v>1</v>
          </cell>
          <cell r="M593" t="str">
            <v>1Burtel Macsym</v>
          </cell>
          <cell r="N593" t="str">
            <v>Burtel MacsymScratch 1 000</v>
          </cell>
          <cell r="O593" t="str">
            <v>Burtel Macsym</v>
          </cell>
          <cell r="P593" t="str">
            <v>Scratch 1 000</v>
          </cell>
          <cell r="Q593" t="str">
            <v>32007</v>
          </cell>
          <cell r="R593" t="str">
            <v>32007Scratch 1 000</v>
          </cell>
          <cell r="S593" t="str">
            <v>2007Scratch 1 000</v>
          </cell>
          <cell r="T593" t="str">
            <v>32007Burtel Macsym</v>
          </cell>
          <cell r="U593" t="str">
            <v>32007Burtel MacsymScratch 1 000</v>
          </cell>
          <cell r="V593" t="str">
            <v>39151Scratch 1 000</v>
          </cell>
          <cell r="W593" t="str">
            <v>2007Burtel Macsym</v>
          </cell>
          <cell r="X593" t="str">
            <v>2007Burtel MacsymScratch 1 000</v>
          </cell>
        </row>
        <row r="594">
          <cell r="I594">
            <v>2007</v>
          </cell>
          <cell r="J594" t="str">
            <v>Burtel MacsymScratch 2 000</v>
          </cell>
          <cell r="L594">
            <v>0</v>
          </cell>
          <cell r="M594" t="str">
            <v>Burtel Macsym</v>
          </cell>
          <cell r="N594" t="str">
            <v>Burtel MacsymScratch 2 000</v>
          </cell>
          <cell r="O594" t="str">
            <v>Burtel Macsym</v>
          </cell>
          <cell r="P594" t="str">
            <v>Scratch 2 000</v>
          </cell>
          <cell r="Q594" t="str">
            <v>32007</v>
          </cell>
          <cell r="R594" t="str">
            <v>32007Scratch 2 000</v>
          </cell>
          <cell r="S594" t="str">
            <v>2007Scratch 2 000</v>
          </cell>
          <cell r="T594" t="str">
            <v>32007Burtel Macsym</v>
          </cell>
          <cell r="U594" t="str">
            <v>32007Burtel MacsymScratch 2 000</v>
          </cell>
          <cell r="V594" t="str">
            <v>39151Scratch 2 000</v>
          </cell>
          <cell r="W594" t="str">
            <v>2007Burtel Macsym</v>
          </cell>
          <cell r="X594" t="str">
            <v>2007Burtel MacsymScratch 2 000</v>
          </cell>
        </row>
        <row r="595">
          <cell r="I595">
            <v>2007</v>
          </cell>
          <cell r="J595" t="str">
            <v>Burtel MacsymScratch 5 000</v>
          </cell>
          <cell r="L595">
            <v>0</v>
          </cell>
          <cell r="M595" t="str">
            <v>Burtel Macsym</v>
          </cell>
          <cell r="N595" t="str">
            <v>Burtel MacsymScratch 5 000</v>
          </cell>
          <cell r="O595" t="str">
            <v>Burtel Macsym</v>
          </cell>
          <cell r="P595" t="str">
            <v>Scratch 5 000</v>
          </cell>
          <cell r="Q595" t="str">
            <v>32007</v>
          </cell>
          <cell r="R595" t="str">
            <v>32007Scratch 5 000</v>
          </cell>
          <cell r="S595" t="str">
            <v>2007Scratch 5 000</v>
          </cell>
          <cell r="T595" t="str">
            <v>32007Burtel Macsym</v>
          </cell>
          <cell r="U595" t="str">
            <v>32007Burtel MacsymScratch 5 000</v>
          </cell>
          <cell r="V595" t="str">
            <v>39151Scratch 5 000</v>
          </cell>
          <cell r="W595" t="str">
            <v>2007Burtel Macsym</v>
          </cell>
          <cell r="X595" t="str">
            <v>2007Burtel MacsymScratch 5 000</v>
          </cell>
        </row>
        <row r="596">
          <cell r="I596">
            <v>2007</v>
          </cell>
          <cell r="J596" t="str">
            <v>MALI COM SarlScratch 1 000</v>
          </cell>
          <cell r="L596">
            <v>1</v>
          </cell>
          <cell r="M596" t="str">
            <v>1MALI COM Sarl</v>
          </cell>
          <cell r="N596" t="str">
            <v>MALI COM SarlScratch 1 000</v>
          </cell>
          <cell r="O596" t="str">
            <v>MALI COM Sarl</v>
          </cell>
          <cell r="P596" t="str">
            <v>Scratch 1 000</v>
          </cell>
          <cell r="Q596" t="str">
            <v>32007</v>
          </cell>
          <cell r="R596" t="str">
            <v>32007Scratch 1 000</v>
          </cell>
          <cell r="S596" t="str">
            <v>2007Scratch 1 000</v>
          </cell>
          <cell r="T596" t="str">
            <v>32007MALI COM Sarl</v>
          </cell>
          <cell r="U596" t="str">
            <v>32007MALI COM SarlScratch 1 000</v>
          </cell>
          <cell r="V596" t="str">
            <v>39151Scratch 1 000</v>
          </cell>
          <cell r="W596" t="str">
            <v>2007MALI COM Sarl</v>
          </cell>
          <cell r="X596" t="str">
            <v>2007MALI COM SarlScratch 1 000</v>
          </cell>
        </row>
        <row r="597">
          <cell r="I597">
            <v>2007</v>
          </cell>
          <cell r="J597" t="str">
            <v>MALI COM SarlScratch 5 000</v>
          </cell>
          <cell r="L597">
            <v>0</v>
          </cell>
          <cell r="M597" t="str">
            <v>MALI COM Sarl</v>
          </cell>
          <cell r="N597" t="str">
            <v>MALI COM SarlScratch 5 000</v>
          </cell>
          <cell r="O597" t="str">
            <v>MALI COM Sarl</v>
          </cell>
          <cell r="P597" t="str">
            <v>Scratch 5 000</v>
          </cell>
          <cell r="Q597" t="str">
            <v>32007</v>
          </cell>
          <cell r="R597" t="str">
            <v>32007Scratch 5 000</v>
          </cell>
          <cell r="S597" t="str">
            <v>2007Scratch 5 000</v>
          </cell>
          <cell r="T597" t="str">
            <v>32007MALI COM Sarl</v>
          </cell>
          <cell r="U597" t="str">
            <v>32007MALI COM SarlScratch 5 000</v>
          </cell>
          <cell r="V597" t="str">
            <v>39151Scratch 5 000</v>
          </cell>
          <cell r="W597" t="str">
            <v>2007MALI COM Sarl</v>
          </cell>
          <cell r="X597" t="str">
            <v>2007MALI COM SarlScratch 5 000</v>
          </cell>
        </row>
        <row r="598">
          <cell r="I598">
            <v>2007</v>
          </cell>
          <cell r="J598" t="str">
            <v>MALI COM SarlScratch 2 000</v>
          </cell>
          <cell r="L598">
            <v>0</v>
          </cell>
          <cell r="M598" t="str">
            <v>MALI COM Sarl</v>
          </cell>
          <cell r="N598" t="str">
            <v>MALI COM SarlScratch 2 000</v>
          </cell>
          <cell r="O598" t="str">
            <v>MALI COM Sarl</v>
          </cell>
          <cell r="P598" t="str">
            <v>Scratch 2 000</v>
          </cell>
          <cell r="Q598" t="str">
            <v>32007</v>
          </cell>
          <cell r="R598" t="str">
            <v>32007Scratch 2 000</v>
          </cell>
          <cell r="S598" t="str">
            <v>2007Scratch 2 000</v>
          </cell>
          <cell r="T598" t="str">
            <v>32007MALI COM Sarl</v>
          </cell>
          <cell r="U598" t="str">
            <v>32007MALI COM SarlScratch 2 000</v>
          </cell>
          <cell r="V598" t="str">
            <v>39151Scratch 2 000</v>
          </cell>
          <cell r="W598" t="str">
            <v>2007MALI COM Sarl</v>
          </cell>
          <cell r="X598" t="str">
            <v>2007MALI COM SarlScratch 2 000</v>
          </cell>
        </row>
        <row r="599">
          <cell r="I599">
            <v>2007</v>
          </cell>
          <cell r="J599" t="str">
            <v>STS GAMBY &amp; FRERES (SOGAF) SarlScratch 1 000</v>
          </cell>
          <cell r="L599">
            <v>1</v>
          </cell>
          <cell r="M599" t="str">
            <v>1STS GAMBY &amp; FRERES (SOGAF) Sarl</v>
          </cell>
          <cell r="N599" t="str">
            <v>STS GAMBY &amp; FRERES (SOGAF) SarlScratch 1 000</v>
          </cell>
          <cell r="O599" t="str">
            <v>STS GAMBY &amp; FRERES (SOGAF) Sarl</v>
          </cell>
          <cell r="P599" t="str">
            <v>Scratch 1 000</v>
          </cell>
          <cell r="Q599" t="str">
            <v>32007</v>
          </cell>
          <cell r="R599" t="str">
            <v>32007Scratch 1 000</v>
          </cell>
          <cell r="S599" t="str">
            <v>2007Scratch 1 000</v>
          </cell>
          <cell r="T599" t="str">
            <v>32007STS GAMBY &amp; FRERES (SOGAF) Sarl</v>
          </cell>
          <cell r="U599" t="str">
            <v>32007STS GAMBY &amp; FRERES (SOGAF) SarlScratch 1 000</v>
          </cell>
          <cell r="V599" t="str">
            <v>39151Scratch 1 000</v>
          </cell>
          <cell r="W599" t="str">
            <v>2007STS GAMBY &amp; FRERES (SOGAF) Sarl</v>
          </cell>
          <cell r="X599" t="str">
            <v>2007STS GAMBY &amp; FRERES (SOGAF) SarlScratch 1 000</v>
          </cell>
        </row>
        <row r="600">
          <cell r="I600">
            <v>2007</v>
          </cell>
          <cell r="J600" t="str">
            <v>MALI COM SarlScratch 1 000</v>
          </cell>
          <cell r="L600">
            <v>1</v>
          </cell>
          <cell r="M600" t="str">
            <v>1MALI COM Sarl</v>
          </cell>
          <cell r="N600" t="str">
            <v>MALI COM SarlScratch 1 000</v>
          </cell>
          <cell r="O600" t="str">
            <v>MALI COM Sarl</v>
          </cell>
          <cell r="P600" t="str">
            <v>Scratch 1 000</v>
          </cell>
          <cell r="Q600" t="str">
            <v>32007</v>
          </cell>
          <cell r="R600" t="str">
            <v>32007Scratch 1 000</v>
          </cell>
          <cell r="S600" t="str">
            <v>2007Scratch 1 000</v>
          </cell>
          <cell r="T600" t="str">
            <v>32007MALI COM Sarl</v>
          </cell>
          <cell r="U600" t="str">
            <v>32007MALI COM SarlScratch 1 000</v>
          </cell>
          <cell r="V600" t="str">
            <v>39151Scratch 1 000</v>
          </cell>
          <cell r="W600" t="str">
            <v>2007MALI COM Sarl</v>
          </cell>
          <cell r="X600" t="str">
            <v>2007MALI COM SarlScratch 1 000</v>
          </cell>
        </row>
        <row r="601">
          <cell r="I601">
            <v>2007</v>
          </cell>
          <cell r="J601" t="str">
            <v>STS GAMBY &amp; FRERES (SOGAF) SarlScratch 2 000</v>
          </cell>
          <cell r="L601">
            <v>1</v>
          </cell>
          <cell r="M601" t="str">
            <v>1STS GAMBY &amp; FRERES (SOGAF) Sarl</v>
          </cell>
          <cell r="N601" t="str">
            <v>STS GAMBY &amp; FRERES (SOGAF) SarlScratch 2 000</v>
          </cell>
          <cell r="O601" t="str">
            <v>STS GAMBY &amp; FRERES (SOGAF) Sarl</v>
          </cell>
          <cell r="P601" t="str">
            <v>Scratch 2 000</v>
          </cell>
          <cell r="Q601" t="str">
            <v>32007</v>
          </cell>
          <cell r="R601" t="str">
            <v>32007Scratch 2 000</v>
          </cell>
          <cell r="S601" t="str">
            <v>2007Scratch 2 000</v>
          </cell>
          <cell r="T601" t="str">
            <v>32007STS GAMBY &amp; FRERES (SOGAF) Sarl</v>
          </cell>
          <cell r="U601" t="str">
            <v>32007STS GAMBY &amp; FRERES (SOGAF) SarlScratch 2 000</v>
          </cell>
          <cell r="V601" t="str">
            <v>39153Scratch 2 000</v>
          </cell>
          <cell r="W601" t="str">
            <v>2007STS GAMBY &amp; FRERES (SOGAF) Sarl</v>
          </cell>
          <cell r="X601" t="str">
            <v>2007STS GAMBY &amp; FRERES (SOGAF) SarlScratch 2 000</v>
          </cell>
        </row>
        <row r="602">
          <cell r="I602">
            <v>2007</v>
          </cell>
          <cell r="J602" t="str">
            <v>STS GAMBY &amp; FRERES (SOGAF) SarlScratch 5 000</v>
          </cell>
          <cell r="L602">
            <v>0</v>
          </cell>
          <cell r="M602" t="str">
            <v>STS GAMBY &amp; FRERES (SOGAF) Sarl</v>
          </cell>
          <cell r="N602" t="str">
            <v>STS GAMBY &amp; FRERES (SOGAF) SarlScratch 5 000</v>
          </cell>
          <cell r="O602" t="str">
            <v>STS GAMBY &amp; FRERES (SOGAF) Sarl</v>
          </cell>
          <cell r="P602" t="str">
            <v>Scratch 5 000</v>
          </cell>
          <cell r="Q602" t="str">
            <v>32007</v>
          </cell>
          <cell r="R602" t="str">
            <v>32007Scratch 5 000</v>
          </cell>
          <cell r="S602" t="str">
            <v>2007Scratch 5 000</v>
          </cell>
          <cell r="T602" t="str">
            <v>32007STS GAMBY &amp; FRERES (SOGAF) Sarl</v>
          </cell>
          <cell r="U602" t="str">
            <v>32007STS GAMBY &amp; FRERES (SOGAF) SarlScratch 5 000</v>
          </cell>
          <cell r="V602" t="str">
            <v>39153Scratch 5 000</v>
          </cell>
          <cell r="W602" t="str">
            <v>2007STS GAMBY &amp; FRERES (SOGAF) Sarl</v>
          </cell>
          <cell r="X602" t="str">
            <v>2007STS GAMBY &amp; FRERES (SOGAF) SarlScratch 5 000</v>
          </cell>
        </row>
        <row r="603">
          <cell r="I603">
            <v>2007</v>
          </cell>
          <cell r="J603" t="str">
            <v>ETS Boubacar TANDIAScratch 1 000</v>
          </cell>
          <cell r="L603">
            <v>1</v>
          </cell>
          <cell r="M603" t="str">
            <v>1ETS Boubacar TANDIA</v>
          </cell>
          <cell r="N603" t="str">
            <v>ETS Boubacar TANDIAScratch 1 000</v>
          </cell>
          <cell r="O603" t="str">
            <v>ETS Boubacar TANDIA</v>
          </cell>
          <cell r="P603" t="str">
            <v>Scratch 1 000</v>
          </cell>
          <cell r="Q603" t="str">
            <v>32007</v>
          </cell>
          <cell r="R603" t="str">
            <v>32007Scratch 1 000</v>
          </cell>
          <cell r="S603" t="str">
            <v>2007Scratch 1 000</v>
          </cell>
          <cell r="T603" t="str">
            <v>32007ETS Boubacar TANDIA</v>
          </cell>
          <cell r="U603" t="str">
            <v>32007ETS Boubacar TANDIAScratch 1 000</v>
          </cell>
          <cell r="V603" t="str">
            <v>39153Scratch 1 000</v>
          </cell>
          <cell r="W603" t="str">
            <v>2007ETS Boubacar TANDIA</v>
          </cell>
          <cell r="X603" t="str">
            <v>2007ETS Boubacar TANDIAScratch 1 000</v>
          </cell>
        </row>
        <row r="604">
          <cell r="I604">
            <v>2007</v>
          </cell>
          <cell r="J604" t="str">
            <v>ETS Boubacar TANDIAScratch 2 000</v>
          </cell>
          <cell r="L604">
            <v>0</v>
          </cell>
          <cell r="M604" t="str">
            <v>ETS Boubacar TANDIA</v>
          </cell>
          <cell r="N604" t="str">
            <v>ETS Boubacar TANDIAScratch 2 000</v>
          </cell>
          <cell r="O604" t="str">
            <v>ETS Boubacar TANDIA</v>
          </cell>
          <cell r="P604" t="str">
            <v>Scratch 2 000</v>
          </cell>
          <cell r="Q604" t="str">
            <v>32007</v>
          </cell>
          <cell r="R604" t="str">
            <v>32007Scratch 2 000</v>
          </cell>
          <cell r="S604" t="str">
            <v>2007Scratch 2 000</v>
          </cell>
          <cell r="T604" t="str">
            <v>32007ETS Boubacar TANDIA</v>
          </cell>
          <cell r="U604" t="str">
            <v>32007ETS Boubacar TANDIAScratch 2 000</v>
          </cell>
          <cell r="V604" t="str">
            <v>39153Scratch 2 000</v>
          </cell>
          <cell r="W604" t="str">
            <v>2007ETS Boubacar TANDIA</v>
          </cell>
          <cell r="X604" t="str">
            <v>2007ETS Boubacar TANDIAScratch 2 000</v>
          </cell>
        </row>
        <row r="605">
          <cell r="I605">
            <v>2007</v>
          </cell>
          <cell r="J605" t="str">
            <v>ETS Boubacar TANDIAScratch 5 000</v>
          </cell>
          <cell r="L605">
            <v>0</v>
          </cell>
          <cell r="M605" t="str">
            <v>ETS Boubacar TANDIA</v>
          </cell>
          <cell r="N605" t="str">
            <v>ETS Boubacar TANDIAScratch 5 000</v>
          </cell>
          <cell r="O605" t="str">
            <v>ETS Boubacar TANDIA</v>
          </cell>
          <cell r="P605" t="str">
            <v>Scratch 5 000</v>
          </cell>
          <cell r="Q605" t="str">
            <v>32007</v>
          </cell>
          <cell r="R605" t="str">
            <v>32007Scratch 5 000</v>
          </cell>
          <cell r="S605" t="str">
            <v>2007Scratch 5 000</v>
          </cell>
          <cell r="T605" t="str">
            <v>32007ETS Boubacar TANDIA</v>
          </cell>
          <cell r="U605" t="str">
            <v>32007ETS Boubacar TANDIAScratch 5 000</v>
          </cell>
          <cell r="V605" t="str">
            <v>39153Scratch 5 000</v>
          </cell>
          <cell r="W605" t="str">
            <v>2007ETS Boubacar TANDIA</v>
          </cell>
          <cell r="X605" t="str">
            <v>2007ETS Boubacar TANDIAScratch 5 000</v>
          </cell>
        </row>
        <row r="606">
          <cell r="I606">
            <v>2007</v>
          </cell>
          <cell r="J606" t="str">
            <v>GEMATELScratch 1 000</v>
          </cell>
          <cell r="L606">
            <v>1</v>
          </cell>
          <cell r="M606" t="str">
            <v>1GEMATEL</v>
          </cell>
          <cell r="N606" t="str">
            <v>GEMATELScratch 1 000</v>
          </cell>
          <cell r="O606" t="str">
            <v>GEMATEL</v>
          </cell>
          <cell r="P606" t="str">
            <v>Scratch 1 000</v>
          </cell>
          <cell r="Q606" t="str">
            <v>32007</v>
          </cell>
          <cell r="R606" t="str">
            <v>32007Scratch 1 000</v>
          </cell>
          <cell r="S606" t="str">
            <v>2007Scratch 1 000</v>
          </cell>
          <cell r="T606" t="str">
            <v>32007GEMATEL</v>
          </cell>
          <cell r="U606" t="str">
            <v>32007GEMATELScratch 1 000</v>
          </cell>
          <cell r="V606" t="str">
            <v>39153Scratch 1 000</v>
          </cell>
          <cell r="W606" t="str">
            <v>2007GEMATEL</v>
          </cell>
          <cell r="X606" t="str">
            <v>2007GEMATELScratch 1 000</v>
          </cell>
        </row>
        <row r="607">
          <cell r="I607">
            <v>2007</v>
          </cell>
          <cell r="J607" t="str">
            <v>GEMATELScratch 5 000</v>
          </cell>
          <cell r="L607">
            <v>0</v>
          </cell>
          <cell r="M607" t="str">
            <v>GEMATEL</v>
          </cell>
          <cell r="N607" t="str">
            <v>GEMATELScratch 5 000</v>
          </cell>
          <cell r="O607" t="str">
            <v>GEMATEL</v>
          </cell>
          <cell r="P607" t="str">
            <v>Scratch 5 000</v>
          </cell>
          <cell r="Q607" t="str">
            <v>32007</v>
          </cell>
          <cell r="R607" t="str">
            <v>32007Scratch 5 000</v>
          </cell>
          <cell r="S607" t="str">
            <v>2007Scratch 5 000</v>
          </cell>
          <cell r="T607" t="str">
            <v>32007GEMATEL</v>
          </cell>
          <cell r="U607" t="str">
            <v>32007GEMATELScratch 5 000</v>
          </cell>
          <cell r="V607" t="str">
            <v>39153Scratch 5 000</v>
          </cell>
          <cell r="W607" t="str">
            <v>2007GEMATEL</v>
          </cell>
          <cell r="X607" t="str">
            <v>2007GEMATELScratch 5 000</v>
          </cell>
        </row>
        <row r="608">
          <cell r="I608">
            <v>2007</v>
          </cell>
          <cell r="J608" t="str">
            <v>GEMATELScratch 20 000</v>
          </cell>
          <cell r="L608">
            <v>0</v>
          </cell>
          <cell r="M608" t="str">
            <v>GEMATEL</v>
          </cell>
          <cell r="N608" t="str">
            <v>GEMATELScratch 20 000</v>
          </cell>
          <cell r="O608" t="str">
            <v>GEMATEL</v>
          </cell>
          <cell r="P608" t="str">
            <v>Scratch 20 000</v>
          </cell>
          <cell r="Q608" t="str">
            <v>32007</v>
          </cell>
          <cell r="R608" t="str">
            <v>32007Scratch 20 000</v>
          </cell>
          <cell r="S608" t="str">
            <v>2007Scratch 20 000</v>
          </cell>
          <cell r="T608" t="str">
            <v>32007GEMATEL</v>
          </cell>
          <cell r="U608" t="str">
            <v>32007GEMATELScratch 20 000</v>
          </cell>
          <cell r="V608" t="str">
            <v>39153Scratch 20 000</v>
          </cell>
          <cell r="W608" t="str">
            <v>2007GEMATEL</v>
          </cell>
          <cell r="X608" t="str">
            <v>2007GEMATELScratch 20 000</v>
          </cell>
        </row>
        <row r="609">
          <cell r="I609">
            <v>2007</v>
          </cell>
          <cell r="J609" t="str">
            <v>Compagnie Internationale de NegoceScratch 1 000</v>
          </cell>
          <cell r="L609">
            <v>1</v>
          </cell>
          <cell r="M609" t="str">
            <v>1Compagnie Internationale de Negoce</v>
          </cell>
          <cell r="N609" t="str">
            <v>Compagnie Internationale de NegoceScratch 1 000</v>
          </cell>
          <cell r="O609" t="str">
            <v>Compagnie Internationale de Negoce</v>
          </cell>
          <cell r="P609" t="str">
            <v>Scratch 1 000</v>
          </cell>
          <cell r="Q609" t="str">
            <v>32007</v>
          </cell>
          <cell r="R609" t="str">
            <v>32007Scratch 1 000</v>
          </cell>
          <cell r="S609" t="str">
            <v>2007Scratch 1 000</v>
          </cell>
          <cell r="T609" t="str">
            <v>32007Compagnie Internationale de Negoce</v>
          </cell>
          <cell r="U609" t="str">
            <v>32007Compagnie Internationale de NegoceScratch 1 000</v>
          </cell>
          <cell r="V609" t="str">
            <v>39153Scratch 1 000</v>
          </cell>
          <cell r="W609" t="str">
            <v>2007Compagnie Internationale de Negoce</v>
          </cell>
          <cell r="X609" t="str">
            <v>2007Compagnie Internationale de NegoceScratch 1 000</v>
          </cell>
        </row>
        <row r="610">
          <cell r="I610">
            <v>2007</v>
          </cell>
          <cell r="J610" t="str">
            <v>Compagnie Internationale de NegoceScratch 2 000</v>
          </cell>
          <cell r="L610">
            <v>0</v>
          </cell>
          <cell r="M610" t="str">
            <v>Compagnie Internationale de Negoce</v>
          </cell>
          <cell r="N610" t="str">
            <v>Compagnie Internationale de NegoceScratch 2 000</v>
          </cell>
          <cell r="O610" t="str">
            <v>Compagnie Internationale de Negoce</v>
          </cell>
          <cell r="P610" t="str">
            <v>Scratch 2 000</v>
          </cell>
          <cell r="Q610" t="str">
            <v>32007</v>
          </cell>
          <cell r="R610" t="str">
            <v>32007Scratch 2 000</v>
          </cell>
          <cell r="S610" t="str">
            <v>2007Scratch 2 000</v>
          </cell>
          <cell r="T610" t="str">
            <v>32007Compagnie Internationale de Negoce</v>
          </cell>
          <cell r="U610" t="str">
            <v>32007Compagnie Internationale de NegoceScratch 2 000</v>
          </cell>
          <cell r="V610" t="str">
            <v>39153Scratch 2 000</v>
          </cell>
          <cell r="W610" t="str">
            <v>2007Compagnie Internationale de Negoce</v>
          </cell>
          <cell r="X610" t="str">
            <v>2007Compagnie Internationale de NegoceScratch 2 000</v>
          </cell>
        </row>
        <row r="611">
          <cell r="I611">
            <v>2007</v>
          </cell>
          <cell r="J611" t="str">
            <v>Compagnie Internationale de NegoceScratch 5 000</v>
          </cell>
          <cell r="L611">
            <v>0</v>
          </cell>
          <cell r="M611" t="str">
            <v>Compagnie Internationale de Negoce</v>
          </cell>
          <cell r="N611" t="str">
            <v>Compagnie Internationale de NegoceScratch 5 000</v>
          </cell>
          <cell r="O611" t="str">
            <v>Compagnie Internationale de Negoce</v>
          </cell>
          <cell r="P611" t="str">
            <v>Scratch 5 000</v>
          </cell>
          <cell r="Q611" t="str">
            <v>32007</v>
          </cell>
          <cell r="R611" t="str">
            <v>32007Scratch 5 000</v>
          </cell>
          <cell r="S611" t="str">
            <v>2007Scratch 5 000</v>
          </cell>
          <cell r="T611" t="str">
            <v>32007Compagnie Internationale de Negoce</v>
          </cell>
          <cell r="U611" t="str">
            <v>32007Compagnie Internationale de NegoceScratch 5 000</v>
          </cell>
          <cell r="V611" t="str">
            <v>39153Scratch 5 000</v>
          </cell>
          <cell r="W611" t="str">
            <v>2007Compagnie Internationale de Negoce</v>
          </cell>
          <cell r="X611" t="str">
            <v>2007Compagnie Internationale de NegoceScratch 5 000</v>
          </cell>
        </row>
        <row r="612">
          <cell r="I612">
            <v>2007</v>
          </cell>
          <cell r="J612" t="str">
            <v>Compagnie Internationale de NegoceScratch 20 000</v>
          </cell>
          <cell r="L612">
            <v>0</v>
          </cell>
          <cell r="M612" t="str">
            <v>Compagnie Internationale de Negoce</v>
          </cell>
          <cell r="N612" t="str">
            <v>Compagnie Internationale de NegoceScratch 20 000</v>
          </cell>
          <cell r="O612" t="str">
            <v>Compagnie Internationale de Negoce</v>
          </cell>
          <cell r="P612" t="str">
            <v>Scratch 20 000</v>
          </cell>
          <cell r="Q612" t="str">
            <v>32007</v>
          </cell>
          <cell r="R612" t="str">
            <v>32007Scratch 20 000</v>
          </cell>
          <cell r="S612" t="str">
            <v>2007Scratch 20 000</v>
          </cell>
          <cell r="T612" t="str">
            <v>32007Compagnie Internationale de Negoce</v>
          </cell>
          <cell r="U612" t="str">
            <v>32007Compagnie Internationale de NegoceScratch 20 000</v>
          </cell>
          <cell r="V612" t="str">
            <v>39153Scratch 20 000</v>
          </cell>
          <cell r="W612" t="str">
            <v>2007Compagnie Internationale de Negoce</v>
          </cell>
          <cell r="X612" t="str">
            <v>2007Compagnie Internationale de NegoceScratch 20 000</v>
          </cell>
        </row>
        <row r="613">
          <cell r="I613">
            <v>2007</v>
          </cell>
          <cell r="J613" t="str">
            <v>ANKA ServicesScratch 1 000</v>
          </cell>
          <cell r="L613">
            <v>1</v>
          </cell>
          <cell r="M613" t="str">
            <v>1ANKA Services</v>
          </cell>
          <cell r="N613" t="str">
            <v>ANKA ServicesScratch 1 000</v>
          </cell>
          <cell r="O613" t="str">
            <v>ANKA Services</v>
          </cell>
          <cell r="P613" t="str">
            <v>Scratch 1 000</v>
          </cell>
          <cell r="Q613" t="str">
            <v>32007</v>
          </cell>
          <cell r="R613" t="str">
            <v>32007Scratch 1 000</v>
          </cell>
          <cell r="S613" t="str">
            <v>2007Scratch 1 000</v>
          </cell>
          <cell r="T613" t="str">
            <v>32007ANKA Services</v>
          </cell>
          <cell r="U613" t="str">
            <v>32007ANKA ServicesScratch 1 000</v>
          </cell>
          <cell r="V613" t="str">
            <v>39153Scratch 1 000</v>
          </cell>
          <cell r="W613" t="str">
            <v>2007ANKA Services</v>
          </cell>
          <cell r="X613" t="str">
            <v>2007ANKA ServicesScratch 1 000</v>
          </cell>
        </row>
        <row r="614">
          <cell r="I614">
            <v>2007</v>
          </cell>
          <cell r="J614" t="str">
            <v>ANKA ServicesScratch 2 000</v>
          </cell>
          <cell r="L614">
            <v>0</v>
          </cell>
          <cell r="M614" t="str">
            <v>ANKA Services</v>
          </cell>
          <cell r="N614" t="str">
            <v>ANKA ServicesScratch 2 000</v>
          </cell>
          <cell r="O614" t="str">
            <v>ANKA Services</v>
          </cell>
          <cell r="P614" t="str">
            <v>Scratch 2 000</v>
          </cell>
          <cell r="Q614" t="str">
            <v>32007</v>
          </cell>
          <cell r="R614" t="str">
            <v>32007Scratch 2 000</v>
          </cell>
          <cell r="S614" t="str">
            <v>2007Scratch 2 000</v>
          </cell>
          <cell r="T614" t="str">
            <v>32007ANKA Services</v>
          </cell>
          <cell r="U614" t="str">
            <v>32007ANKA ServicesScratch 2 000</v>
          </cell>
          <cell r="V614" t="str">
            <v>39153Scratch 2 000</v>
          </cell>
          <cell r="W614" t="str">
            <v>2007ANKA Services</v>
          </cell>
          <cell r="X614" t="str">
            <v>2007ANKA ServicesScratch 2 000</v>
          </cell>
        </row>
        <row r="615">
          <cell r="I615">
            <v>2007</v>
          </cell>
          <cell r="J615" t="str">
            <v>ANKA ServicesScratch 5 000</v>
          </cell>
          <cell r="L615">
            <v>0</v>
          </cell>
          <cell r="M615" t="str">
            <v>ANKA Services</v>
          </cell>
          <cell r="N615" t="str">
            <v>ANKA ServicesScratch 5 000</v>
          </cell>
          <cell r="O615" t="str">
            <v>ANKA Services</v>
          </cell>
          <cell r="P615" t="str">
            <v>Scratch 5 000</v>
          </cell>
          <cell r="Q615" t="str">
            <v>32007</v>
          </cell>
          <cell r="R615" t="str">
            <v>32007Scratch 5 000</v>
          </cell>
          <cell r="S615" t="str">
            <v>2007Scratch 5 000</v>
          </cell>
          <cell r="T615" t="str">
            <v>32007ANKA Services</v>
          </cell>
          <cell r="U615" t="str">
            <v>32007ANKA ServicesScratch 5 000</v>
          </cell>
          <cell r="V615" t="str">
            <v>39153Scratch 5 000</v>
          </cell>
          <cell r="W615" t="str">
            <v>2007ANKA Services</v>
          </cell>
          <cell r="X615" t="str">
            <v>2007ANKA ServicesScratch 5 000</v>
          </cell>
        </row>
        <row r="616">
          <cell r="I616">
            <v>2007</v>
          </cell>
          <cell r="J616" t="str">
            <v>MALI COM SarlScratch 1 000</v>
          </cell>
          <cell r="L616">
            <v>1</v>
          </cell>
          <cell r="M616" t="str">
            <v>1MALI COM Sarl</v>
          </cell>
          <cell r="N616" t="str">
            <v>MALI COM SarlScratch 1 000</v>
          </cell>
          <cell r="O616" t="str">
            <v>MALI COM Sarl</v>
          </cell>
          <cell r="P616" t="str">
            <v>Scratch 1 000</v>
          </cell>
          <cell r="Q616" t="str">
            <v>32007</v>
          </cell>
          <cell r="R616" t="str">
            <v>32007Scratch 1 000</v>
          </cell>
          <cell r="S616" t="str">
            <v>2007Scratch 1 000</v>
          </cell>
          <cell r="T616" t="str">
            <v>32007MALI COM Sarl</v>
          </cell>
          <cell r="U616" t="str">
            <v>32007MALI COM SarlScratch 1 000</v>
          </cell>
          <cell r="V616" t="str">
            <v>39153Scratch 1 000</v>
          </cell>
          <cell r="W616" t="str">
            <v>2007MALI COM Sarl</v>
          </cell>
          <cell r="X616" t="str">
            <v>2007MALI COM SarlScratch 1 000</v>
          </cell>
        </row>
        <row r="617">
          <cell r="I617">
            <v>2007</v>
          </cell>
          <cell r="J617" t="str">
            <v>MALI COM SarlScratch 2 000</v>
          </cell>
          <cell r="L617">
            <v>0</v>
          </cell>
          <cell r="M617" t="str">
            <v>MALI COM Sarl</v>
          </cell>
          <cell r="N617" t="str">
            <v>MALI COM SarlScratch 2 000</v>
          </cell>
          <cell r="O617" t="str">
            <v>MALI COM Sarl</v>
          </cell>
          <cell r="P617" t="str">
            <v>Scratch 2 000</v>
          </cell>
          <cell r="Q617" t="str">
            <v>32007</v>
          </cell>
          <cell r="R617" t="str">
            <v>32007Scratch 2 000</v>
          </cell>
          <cell r="S617" t="str">
            <v>2007Scratch 2 000</v>
          </cell>
          <cell r="T617" t="str">
            <v>32007MALI COM Sarl</v>
          </cell>
          <cell r="U617" t="str">
            <v>32007MALI COM SarlScratch 2 000</v>
          </cell>
          <cell r="V617" t="str">
            <v>39153Scratch 2 000</v>
          </cell>
          <cell r="W617" t="str">
            <v>2007MALI COM Sarl</v>
          </cell>
          <cell r="X617" t="str">
            <v>2007MALI COM SarlScratch 2 000</v>
          </cell>
        </row>
        <row r="618">
          <cell r="I618">
            <v>2007</v>
          </cell>
          <cell r="J618" t="str">
            <v>SOLEIL LEVANTScratch 1 000</v>
          </cell>
          <cell r="L618">
            <v>1</v>
          </cell>
          <cell r="M618" t="str">
            <v>1SOLEIL LEVANT</v>
          </cell>
          <cell r="N618" t="str">
            <v>SOLEIL LEVANTScratch 1 000</v>
          </cell>
          <cell r="O618" t="str">
            <v>SOLEIL LEVANT</v>
          </cell>
          <cell r="P618" t="str">
            <v>Scratch 1 000</v>
          </cell>
          <cell r="Q618" t="str">
            <v>32007</v>
          </cell>
          <cell r="R618" t="str">
            <v>32007Scratch 1 000</v>
          </cell>
          <cell r="S618" t="str">
            <v>2007Scratch 1 000</v>
          </cell>
          <cell r="T618" t="str">
            <v>32007SOLEIL LEVANT</v>
          </cell>
          <cell r="U618" t="str">
            <v>32007SOLEIL LEVANTScratch 1 000</v>
          </cell>
          <cell r="V618" t="str">
            <v>39154Scratch 1 000</v>
          </cell>
          <cell r="W618" t="str">
            <v>2007SOLEIL LEVANT</v>
          </cell>
          <cell r="X618" t="str">
            <v>2007SOLEIL LEVANTScratch 1 000</v>
          </cell>
        </row>
        <row r="619">
          <cell r="I619">
            <v>2007</v>
          </cell>
          <cell r="J619" t="str">
            <v>SOLEIL LEVANTScratch 2 000</v>
          </cell>
          <cell r="L619">
            <v>0</v>
          </cell>
          <cell r="M619" t="str">
            <v>SOLEIL LEVANT</v>
          </cell>
          <cell r="N619" t="str">
            <v>SOLEIL LEVANTScratch 2 000</v>
          </cell>
          <cell r="O619" t="str">
            <v>SOLEIL LEVANT</v>
          </cell>
          <cell r="P619" t="str">
            <v>Scratch 2 000</v>
          </cell>
          <cell r="Q619" t="str">
            <v>32007</v>
          </cell>
          <cell r="R619" t="str">
            <v>32007Scratch 2 000</v>
          </cell>
          <cell r="S619" t="str">
            <v>2007Scratch 2 000</v>
          </cell>
          <cell r="T619" t="str">
            <v>32007SOLEIL LEVANT</v>
          </cell>
          <cell r="U619" t="str">
            <v>32007SOLEIL LEVANTScratch 2 000</v>
          </cell>
          <cell r="V619" t="str">
            <v>39154Scratch 2 000</v>
          </cell>
          <cell r="W619" t="str">
            <v>2007SOLEIL LEVANT</v>
          </cell>
          <cell r="X619" t="str">
            <v>2007SOLEIL LEVANTScratch 2 000</v>
          </cell>
        </row>
        <row r="620">
          <cell r="I620">
            <v>2007</v>
          </cell>
          <cell r="J620" t="str">
            <v>GEMATELScratch 1 000</v>
          </cell>
          <cell r="L620">
            <v>1</v>
          </cell>
          <cell r="M620" t="str">
            <v>1GEMATEL</v>
          </cell>
          <cell r="N620" t="str">
            <v>GEMATELScratch 1 000</v>
          </cell>
          <cell r="O620" t="str">
            <v>GEMATEL</v>
          </cell>
          <cell r="P620" t="str">
            <v>Scratch 1 000</v>
          </cell>
          <cell r="Q620" t="str">
            <v>32007</v>
          </cell>
          <cell r="R620" t="str">
            <v>32007Scratch 1 000</v>
          </cell>
          <cell r="S620" t="str">
            <v>2007Scratch 1 000</v>
          </cell>
          <cell r="T620" t="str">
            <v>32007GEMATEL</v>
          </cell>
          <cell r="U620" t="str">
            <v>32007GEMATELScratch 1 000</v>
          </cell>
          <cell r="V620" t="str">
            <v>39154Scratch 1 000</v>
          </cell>
          <cell r="W620" t="str">
            <v>2007GEMATEL</v>
          </cell>
          <cell r="X620" t="str">
            <v>2007GEMATELScratch 1 000</v>
          </cell>
        </row>
        <row r="621">
          <cell r="I621">
            <v>2007</v>
          </cell>
          <cell r="J621" t="str">
            <v>GEMATELScratch 2 000</v>
          </cell>
          <cell r="L621">
            <v>0</v>
          </cell>
          <cell r="M621" t="str">
            <v>GEMATEL</v>
          </cell>
          <cell r="N621" t="str">
            <v>GEMATELScratch 2 000</v>
          </cell>
          <cell r="O621" t="str">
            <v>GEMATEL</v>
          </cell>
          <cell r="P621" t="str">
            <v>Scratch 2 000</v>
          </cell>
          <cell r="Q621" t="str">
            <v>32007</v>
          </cell>
          <cell r="R621" t="str">
            <v>32007Scratch 2 000</v>
          </cell>
          <cell r="S621" t="str">
            <v>2007Scratch 2 000</v>
          </cell>
          <cell r="T621" t="str">
            <v>32007GEMATEL</v>
          </cell>
          <cell r="U621" t="str">
            <v>32007GEMATELScratch 2 000</v>
          </cell>
          <cell r="V621" t="str">
            <v>39154Scratch 2 000</v>
          </cell>
          <cell r="W621" t="str">
            <v>2007GEMATEL</v>
          </cell>
          <cell r="X621" t="str">
            <v>2007GEMATELScratch 2 000</v>
          </cell>
        </row>
        <row r="622">
          <cell r="I622">
            <v>2007</v>
          </cell>
          <cell r="J622" t="str">
            <v>GEMATELScratch 5 000</v>
          </cell>
          <cell r="L622">
            <v>0</v>
          </cell>
          <cell r="M622" t="str">
            <v>GEMATEL</v>
          </cell>
          <cell r="N622" t="str">
            <v>GEMATELScratch 5 000</v>
          </cell>
          <cell r="O622" t="str">
            <v>GEMATEL</v>
          </cell>
          <cell r="P622" t="str">
            <v>Scratch 5 000</v>
          </cell>
          <cell r="Q622" t="str">
            <v>32007</v>
          </cell>
          <cell r="R622" t="str">
            <v>32007Scratch 5 000</v>
          </cell>
          <cell r="S622" t="str">
            <v>2007Scratch 5 000</v>
          </cell>
          <cell r="T622" t="str">
            <v>32007GEMATEL</v>
          </cell>
          <cell r="U622" t="str">
            <v>32007GEMATELScratch 5 000</v>
          </cell>
          <cell r="V622" t="str">
            <v>39154Scratch 5 000</v>
          </cell>
          <cell r="W622" t="str">
            <v>2007GEMATEL</v>
          </cell>
          <cell r="X622" t="str">
            <v>2007GEMATELScratch 5 000</v>
          </cell>
        </row>
        <row r="623">
          <cell r="I623">
            <v>2007</v>
          </cell>
          <cell r="J623" t="str">
            <v>STS GAMBY &amp; FRERES (SOGAF) SarlScratch 1 000</v>
          </cell>
          <cell r="L623">
            <v>1</v>
          </cell>
          <cell r="M623" t="str">
            <v>1STS GAMBY &amp; FRERES (SOGAF) Sarl</v>
          </cell>
          <cell r="N623" t="str">
            <v>STS GAMBY &amp; FRERES (SOGAF) SarlScratch 1 000</v>
          </cell>
          <cell r="O623" t="str">
            <v>STS GAMBY &amp; FRERES (SOGAF) Sarl</v>
          </cell>
          <cell r="P623" t="str">
            <v>Scratch 1 000</v>
          </cell>
          <cell r="Q623" t="str">
            <v>32007</v>
          </cell>
          <cell r="R623" t="str">
            <v>32007Scratch 1 000</v>
          </cell>
          <cell r="S623" t="str">
            <v>2007Scratch 1 000</v>
          </cell>
          <cell r="T623" t="str">
            <v>32007STS GAMBY &amp; FRERES (SOGAF) Sarl</v>
          </cell>
          <cell r="U623" t="str">
            <v>32007STS GAMBY &amp; FRERES (SOGAF) SarlScratch 1 000</v>
          </cell>
          <cell r="V623" t="str">
            <v>39154Scratch 1 000</v>
          </cell>
          <cell r="W623" t="str">
            <v>2007STS GAMBY &amp; FRERES (SOGAF) Sarl</v>
          </cell>
          <cell r="X623" t="str">
            <v>2007STS GAMBY &amp; FRERES (SOGAF) SarlScratch 1 000</v>
          </cell>
        </row>
        <row r="624">
          <cell r="I624">
            <v>2007</v>
          </cell>
          <cell r="J624" t="str">
            <v>STS GAMBY &amp; FRERES (SOGAF) SarlScratch 2 000</v>
          </cell>
          <cell r="L624">
            <v>0</v>
          </cell>
          <cell r="M624" t="str">
            <v>STS GAMBY &amp; FRERES (SOGAF) Sarl</v>
          </cell>
          <cell r="N624" t="str">
            <v>STS GAMBY &amp; FRERES (SOGAF) SarlScratch 2 000</v>
          </cell>
          <cell r="O624" t="str">
            <v>STS GAMBY &amp; FRERES (SOGAF) Sarl</v>
          </cell>
          <cell r="P624" t="str">
            <v>Scratch 2 000</v>
          </cell>
          <cell r="Q624" t="str">
            <v>32007</v>
          </cell>
          <cell r="R624" t="str">
            <v>32007Scratch 2 000</v>
          </cell>
          <cell r="S624" t="str">
            <v>2007Scratch 2 000</v>
          </cell>
          <cell r="T624" t="str">
            <v>32007STS GAMBY &amp; FRERES (SOGAF) Sarl</v>
          </cell>
          <cell r="U624" t="str">
            <v>32007STS GAMBY &amp; FRERES (SOGAF) SarlScratch 2 000</v>
          </cell>
          <cell r="V624" t="str">
            <v>39154Scratch 2 000</v>
          </cell>
          <cell r="W624" t="str">
            <v>2007STS GAMBY &amp; FRERES (SOGAF) Sarl</v>
          </cell>
          <cell r="X624" t="str">
            <v>2007STS GAMBY &amp; FRERES (SOGAF) SarlScratch 2 000</v>
          </cell>
        </row>
        <row r="625">
          <cell r="I625">
            <v>2007</v>
          </cell>
          <cell r="J625" t="str">
            <v>STS GAMBY &amp; FRERES (SOGAF) SarlScratch 5 000</v>
          </cell>
          <cell r="L625">
            <v>0</v>
          </cell>
          <cell r="M625" t="str">
            <v>STS GAMBY &amp; FRERES (SOGAF) Sarl</v>
          </cell>
          <cell r="N625" t="str">
            <v>STS GAMBY &amp; FRERES (SOGAF) SarlScratch 5 000</v>
          </cell>
          <cell r="O625" t="str">
            <v>STS GAMBY &amp; FRERES (SOGAF) Sarl</v>
          </cell>
          <cell r="P625" t="str">
            <v>Scratch 5 000</v>
          </cell>
          <cell r="Q625" t="str">
            <v>32007</v>
          </cell>
          <cell r="R625" t="str">
            <v>32007Scratch 5 000</v>
          </cell>
          <cell r="S625" t="str">
            <v>2007Scratch 5 000</v>
          </cell>
          <cell r="T625" t="str">
            <v>32007STS GAMBY &amp; FRERES (SOGAF) Sarl</v>
          </cell>
          <cell r="U625" t="str">
            <v>32007STS GAMBY &amp; FRERES (SOGAF) SarlScratch 5 000</v>
          </cell>
          <cell r="V625" t="str">
            <v>39154Scratch 5 000</v>
          </cell>
          <cell r="W625" t="str">
            <v>2007STS GAMBY &amp; FRERES (SOGAF) Sarl</v>
          </cell>
          <cell r="X625" t="str">
            <v>2007STS GAMBY &amp; FRERES (SOGAF) SarlScratch 5 000</v>
          </cell>
        </row>
        <row r="626">
          <cell r="I626">
            <v>2007</v>
          </cell>
          <cell r="J626" t="str">
            <v>GEMATELScratch 1 000</v>
          </cell>
          <cell r="L626">
            <v>1</v>
          </cell>
          <cell r="M626" t="str">
            <v>1GEMATEL</v>
          </cell>
          <cell r="N626" t="str">
            <v>GEMATELScratch 1 000</v>
          </cell>
          <cell r="O626" t="str">
            <v>GEMATEL</v>
          </cell>
          <cell r="P626" t="str">
            <v>Scratch 1 000</v>
          </cell>
          <cell r="Q626" t="str">
            <v>32007</v>
          </cell>
          <cell r="R626" t="str">
            <v>32007Scratch 1 000</v>
          </cell>
          <cell r="S626" t="str">
            <v>2007Scratch 1 000</v>
          </cell>
          <cell r="T626" t="str">
            <v>32007GEMATEL</v>
          </cell>
          <cell r="U626" t="str">
            <v>32007GEMATELScratch 1 000</v>
          </cell>
          <cell r="V626" t="str">
            <v>39155Scratch 1 000</v>
          </cell>
          <cell r="W626" t="str">
            <v>2007GEMATEL</v>
          </cell>
          <cell r="X626" t="str">
            <v>2007GEMATELScratch 1 000</v>
          </cell>
        </row>
        <row r="627">
          <cell r="I627">
            <v>2007</v>
          </cell>
          <cell r="J627" t="str">
            <v>GEMATELScratch 2 000</v>
          </cell>
          <cell r="L627">
            <v>0</v>
          </cell>
          <cell r="M627" t="str">
            <v>GEMATEL</v>
          </cell>
          <cell r="N627" t="str">
            <v>GEMATELScratch 2 000</v>
          </cell>
          <cell r="O627" t="str">
            <v>GEMATEL</v>
          </cell>
          <cell r="P627" t="str">
            <v>Scratch 2 000</v>
          </cell>
          <cell r="Q627" t="str">
            <v>32007</v>
          </cell>
          <cell r="R627" t="str">
            <v>32007Scratch 2 000</v>
          </cell>
          <cell r="S627" t="str">
            <v>2007Scratch 2 000</v>
          </cell>
          <cell r="T627" t="str">
            <v>32007GEMATEL</v>
          </cell>
          <cell r="U627" t="str">
            <v>32007GEMATELScratch 2 000</v>
          </cell>
          <cell r="V627" t="str">
            <v>39155Scratch 2 000</v>
          </cell>
          <cell r="W627" t="str">
            <v>2007GEMATEL</v>
          </cell>
          <cell r="X627" t="str">
            <v>2007GEMATELScratch 2 000</v>
          </cell>
        </row>
        <row r="628">
          <cell r="I628">
            <v>2007</v>
          </cell>
          <cell r="J628" t="str">
            <v>GEMATELScratch 5 000</v>
          </cell>
          <cell r="L628">
            <v>0</v>
          </cell>
          <cell r="M628" t="str">
            <v>GEMATEL</v>
          </cell>
          <cell r="N628" t="str">
            <v>GEMATELScratch 5 000</v>
          </cell>
          <cell r="O628" t="str">
            <v>GEMATEL</v>
          </cell>
          <cell r="P628" t="str">
            <v>Scratch 5 000</v>
          </cell>
          <cell r="Q628" t="str">
            <v>32007</v>
          </cell>
          <cell r="R628" t="str">
            <v>32007Scratch 5 000</v>
          </cell>
          <cell r="S628" t="str">
            <v>2007Scratch 5 000</v>
          </cell>
          <cell r="T628" t="str">
            <v>32007GEMATEL</v>
          </cell>
          <cell r="U628" t="str">
            <v>32007GEMATELScratch 5 000</v>
          </cell>
          <cell r="V628" t="str">
            <v>39155Scratch 5 000</v>
          </cell>
          <cell r="W628" t="str">
            <v>2007GEMATEL</v>
          </cell>
          <cell r="X628" t="str">
            <v>2007GEMATELScratch 5 000</v>
          </cell>
        </row>
        <row r="629">
          <cell r="I629">
            <v>2007</v>
          </cell>
          <cell r="J629" t="str">
            <v>GEMATELScratch 10 000</v>
          </cell>
          <cell r="L629">
            <v>0</v>
          </cell>
          <cell r="M629" t="str">
            <v>GEMATEL</v>
          </cell>
          <cell r="N629" t="str">
            <v>GEMATELScratch 10 000</v>
          </cell>
          <cell r="O629" t="str">
            <v>GEMATEL</v>
          </cell>
          <cell r="P629" t="str">
            <v>Scratch 10 000</v>
          </cell>
          <cell r="Q629" t="str">
            <v>32007</v>
          </cell>
          <cell r="R629" t="str">
            <v>32007Scratch 10 000</v>
          </cell>
          <cell r="S629" t="str">
            <v>2007Scratch 10 000</v>
          </cell>
          <cell r="T629" t="str">
            <v>32007GEMATEL</v>
          </cell>
          <cell r="U629" t="str">
            <v>32007GEMATELScratch 10 000</v>
          </cell>
          <cell r="V629" t="str">
            <v>39155Scratch 10 000</v>
          </cell>
          <cell r="W629" t="str">
            <v>2007GEMATEL</v>
          </cell>
          <cell r="X629" t="str">
            <v>2007GEMATELScratch 10 000</v>
          </cell>
        </row>
        <row r="630">
          <cell r="I630">
            <v>2007</v>
          </cell>
          <cell r="J630" t="str">
            <v>GEMATELScratch 20 000</v>
          </cell>
          <cell r="L630">
            <v>0</v>
          </cell>
          <cell r="M630" t="str">
            <v>GEMATEL</v>
          </cell>
          <cell r="N630" t="str">
            <v>GEMATELScratch 20 000</v>
          </cell>
          <cell r="O630" t="str">
            <v>GEMATEL</v>
          </cell>
          <cell r="P630" t="str">
            <v>Scratch 20 000</v>
          </cell>
          <cell r="Q630" t="str">
            <v>32007</v>
          </cell>
          <cell r="R630" t="str">
            <v>32007Scratch 20 000</v>
          </cell>
          <cell r="S630" t="str">
            <v>2007Scratch 20 000</v>
          </cell>
          <cell r="T630" t="str">
            <v>32007GEMATEL</v>
          </cell>
          <cell r="U630" t="str">
            <v>32007GEMATELScratch 20 000</v>
          </cell>
          <cell r="V630" t="str">
            <v>39155Scratch 20 000</v>
          </cell>
          <cell r="W630" t="str">
            <v>2007GEMATEL</v>
          </cell>
          <cell r="X630" t="str">
            <v>2007GEMATELScratch 20 000</v>
          </cell>
        </row>
        <row r="631">
          <cell r="I631">
            <v>2007</v>
          </cell>
          <cell r="J631" t="str">
            <v>ANKA ServicesScratch 1 000</v>
          </cell>
          <cell r="L631">
            <v>1</v>
          </cell>
          <cell r="M631" t="str">
            <v>1ANKA Services</v>
          </cell>
          <cell r="N631" t="str">
            <v>ANKA ServicesScratch 1 000</v>
          </cell>
          <cell r="O631" t="str">
            <v>ANKA Services</v>
          </cell>
          <cell r="P631" t="str">
            <v>Scratch 1 000</v>
          </cell>
          <cell r="Q631" t="str">
            <v>32007</v>
          </cell>
          <cell r="R631" t="str">
            <v>32007Scratch 1 000</v>
          </cell>
          <cell r="S631" t="str">
            <v>2007Scratch 1 000</v>
          </cell>
          <cell r="T631" t="str">
            <v>32007ANKA Services</v>
          </cell>
          <cell r="U631" t="str">
            <v>32007ANKA ServicesScratch 1 000</v>
          </cell>
          <cell r="V631" t="str">
            <v>39155Scratch 1 000</v>
          </cell>
          <cell r="W631" t="str">
            <v>2007ANKA Services</v>
          </cell>
          <cell r="X631" t="str">
            <v>2007ANKA ServicesScratch 1 000</v>
          </cell>
        </row>
        <row r="632">
          <cell r="I632">
            <v>2007</v>
          </cell>
          <cell r="J632" t="str">
            <v>ANKA ServicesScratch 2 000</v>
          </cell>
          <cell r="L632">
            <v>0</v>
          </cell>
          <cell r="M632" t="str">
            <v>ANKA Services</v>
          </cell>
          <cell r="N632" t="str">
            <v>ANKA ServicesScratch 2 000</v>
          </cell>
          <cell r="O632" t="str">
            <v>ANKA Services</v>
          </cell>
          <cell r="P632" t="str">
            <v>Scratch 2 000</v>
          </cell>
          <cell r="Q632" t="str">
            <v>32007</v>
          </cell>
          <cell r="R632" t="str">
            <v>32007Scratch 2 000</v>
          </cell>
          <cell r="S632" t="str">
            <v>2007Scratch 2 000</v>
          </cell>
          <cell r="T632" t="str">
            <v>32007ANKA Services</v>
          </cell>
          <cell r="U632" t="str">
            <v>32007ANKA ServicesScratch 2 000</v>
          </cell>
          <cell r="V632" t="str">
            <v>39155Scratch 2 000</v>
          </cell>
          <cell r="W632" t="str">
            <v>2007ANKA Services</v>
          </cell>
          <cell r="X632" t="str">
            <v>2007ANKA ServicesScratch 2 000</v>
          </cell>
        </row>
        <row r="633">
          <cell r="I633">
            <v>2007</v>
          </cell>
          <cell r="J633" t="str">
            <v>ANKA ServicesScratch 5 000</v>
          </cell>
          <cell r="L633">
            <v>0</v>
          </cell>
          <cell r="M633" t="str">
            <v>ANKA Services</v>
          </cell>
          <cell r="N633" t="str">
            <v>ANKA ServicesScratch 5 000</v>
          </cell>
          <cell r="O633" t="str">
            <v>ANKA Services</v>
          </cell>
          <cell r="P633" t="str">
            <v>Scratch 5 000</v>
          </cell>
          <cell r="Q633" t="str">
            <v>32007</v>
          </cell>
          <cell r="R633" t="str">
            <v>32007Scratch 5 000</v>
          </cell>
          <cell r="S633" t="str">
            <v>2007Scratch 5 000</v>
          </cell>
          <cell r="T633" t="str">
            <v>32007ANKA Services</v>
          </cell>
          <cell r="U633" t="str">
            <v>32007ANKA ServicesScratch 5 000</v>
          </cell>
          <cell r="V633" t="str">
            <v>39155Scratch 5 000</v>
          </cell>
          <cell r="W633" t="str">
            <v>2007ANKA Services</v>
          </cell>
          <cell r="X633" t="str">
            <v>2007ANKA ServicesScratch 5 000</v>
          </cell>
        </row>
        <row r="634">
          <cell r="I634">
            <v>2007</v>
          </cell>
          <cell r="J634" t="str">
            <v>MALI COM SarlScratch 1 000</v>
          </cell>
          <cell r="L634">
            <v>1</v>
          </cell>
          <cell r="M634" t="str">
            <v>1MALI COM Sarl</v>
          </cell>
          <cell r="N634" t="str">
            <v>MALI COM SarlScratch 1 000</v>
          </cell>
          <cell r="O634" t="str">
            <v>MALI COM Sarl</v>
          </cell>
          <cell r="P634" t="str">
            <v>Scratch 1 000</v>
          </cell>
          <cell r="Q634" t="str">
            <v>32007</v>
          </cell>
          <cell r="R634" t="str">
            <v>32007Scratch 1 000</v>
          </cell>
          <cell r="S634" t="str">
            <v>2007Scratch 1 000</v>
          </cell>
          <cell r="T634" t="str">
            <v>32007MALI COM Sarl</v>
          </cell>
          <cell r="U634" t="str">
            <v>32007MALI COM SarlScratch 1 000</v>
          </cell>
          <cell r="V634" t="str">
            <v>39156Scratch 1 000</v>
          </cell>
          <cell r="W634" t="str">
            <v>2007MALI COM Sarl</v>
          </cell>
          <cell r="X634" t="str">
            <v>2007MALI COM SarlScratch 1 000</v>
          </cell>
        </row>
        <row r="635">
          <cell r="I635">
            <v>2007</v>
          </cell>
          <cell r="J635" t="str">
            <v>MALI COM SarlScratch 2 000</v>
          </cell>
          <cell r="L635">
            <v>0</v>
          </cell>
          <cell r="M635" t="str">
            <v>MALI COM Sarl</v>
          </cell>
          <cell r="N635" t="str">
            <v>MALI COM SarlScratch 2 000</v>
          </cell>
          <cell r="O635" t="str">
            <v>MALI COM Sarl</v>
          </cell>
          <cell r="P635" t="str">
            <v>Scratch 2 000</v>
          </cell>
          <cell r="Q635" t="str">
            <v>32007</v>
          </cell>
          <cell r="R635" t="str">
            <v>32007Scratch 2 000</v>
          </cell>
          <cell r="S635" t="str">
            <v>2007Scratch 2 000</v>
          </cell>
          <cell r="T635" t="str">
            <v>32007MALI COM Sarl</v>
          </cell>
          <cell r="U635" t="str">
            <v>32007MALI COM SarlScratch 2 000</v>
          </cell>
          <cell r="V635" t="str">
            <v>39156Scratch 2 000</v>
          </cell>
          <cell r="W635" t="str">
            <v>2007MALI COM Sarl</v>
          </cell>
          <cell r="X635" t="str">
            <v>2007MALI COM SarlScratch 2 000</v>
          </cell>
        </row>
        <row r="636">
          <cell r="I636">
            <v>2007</v>
          </cell>
          <cell r="J636" t="str">
            <v>MALI COM SarlScratch 5 000</v>
          </cell>
          <cell r="L636">
            <v>0</v>
          </cell>
          <cell r="M636" t="str">
            <v>MALI COM Sarl</v>
          </cell>
          <cell r="N636" t="str">
            <v>MALI COM SarlScratch 5 000</v>
          </cell>
          <cell r="O636" t="str">
            <v>MALI COM Sarl</v>
          </cell>
          <cell r="P636" t="str">
            <v>Scratch 5 000</v>
          </cell>
          <cell r="Q636" t="str">
            <v>32007</v>
          </cell>
          <cell r="R636" t="str">
            <v>32007Scratch 5 000</v>
          </cell>
          <cell r="S636" t="str">
            <v>2007Scratch 5 000</v>
          </cell>
          <cell r="T636" t="str">
            <v>32007MALI COM Sarl</v>
          </cell>
          <cell r="U636" t="str">
            <v>32007MALI COM SarlScratch 5 000</v>
          </cell>
          <cell r="V636" t="str">
            <v>39156Scratch 5 000</v>
          </cell>
          <cell r="W636" t="str">
            <v>2007MALI COM Sarl</v>
          </cell>
          <cell r="X636" t="str">
            <v>2007MALI COM SarlScratch 5 000</v>
          </cell>
        </row>
        <row r="637">
          <cell r="I637">
            <v>2007</v>
          </cell>
          <cell r="J637" t="str">
            <v>Ets Mamadou GAMBYScratch 1 000</v>
          </cell>
          <cell r="L637">
            <v>1</v>
          </cell>
          <cell r="M637" t="str">
            <v>1Ets Mamadou GAMBY</v>
          </cell>
          <cell r="N637" t="str">
            <v>Ets Mamadou GAMBYScratch 1 000</v>
          </cell>
          <cell r="O637" t="str">
            <v>Ets Mamadou GAMBY</v>
          </cell>
          <cell r="P637" t="str">
            <v>Scratch 1 000</v>
          </cell>
          <cell r="Q637" t="str">
            <v>32007</v>
          </cell>
          <cell r="R637" t="str">
            <v>32007Scratch 1 000</v>
          </cell>
          <cell r="S637" t="str">
            <v>2007Scratch 1 000</v>
          </cell>
          <cell r="T637" t="str">
            <v>32007Ets Mamadou GAMBY</v>
          </cell>
          <cell r="U637" t="str">
            <v>32007Ets Mamadou GAMBYScratch 1 000</v>
          </cell>
          <cell r="V637" t="str">
            <v>39156Scratch 1 000</v>
          </cell>
          <cell r="W637" t="str">
            <v>2007Ets Mamadou GAMBY</v>
          </cell>
          <cell r="X637" t="str">
            <v>2007Ets Mamadou GAMBYScratch 1 000</v>
          </cell>
        </row>
        <row r="638">
          <cell r="I638">
            <v>2007</v>
          </cell>
          <cell r="J638" t="str">
            <v>Ets Mamadou GAMBYScratch 2 000</v>
          </cell>
          <cell r="L638">
            <v>0</v>
          </cell>
          <cell r="M638" t="str">
            <v>Ets Mamadou GAMBY</v>
          </cell>
          <cell r="N638" t="str">
            <v>Ets Mamadou GAMBYScratch 2 000</v>
          </cell>
          <cell r="O638" t="str">
            <v>Ets Mamadou GAMBY</v>
          </cell>
          <cell r="P638" t="str">
            <v>Scratch 2 000</v>
          </cell>
          <cell r="Q638" t="str">
            <v>32007</v>
          </cell>
          <cell r="R638" t="str">
            <v>32007Scratch 2 000</v>
          </cell>
          <cell r="S638" t="str">
            <v>2007Scratch 2 000</v>
          </cell>
          <cell r="T638" t="str">
            <v>32007Ets Mamadou GAMBY</v>
          </cell>
          <cell r="U638" t="str">
            <v>32007Ets Mamadou GAMBYScratch 2 000</v>
          </cell>
          <cell r="V638" t="str">
            <v>39156Scratch 2 000</v>
          </cell>
          <cell r="W638" t="str">
            <v>2007Ets Mamadou GAMBY</v>
          </cell>
          <cell r="X638" t="str">
            <v>2007Ets Mamadou GAMBYScratch 2 000</v>
          </cell>
        </row>
        <row r="639">
          <cell r="I639">
            <v>2007</v>
          </cell>
          <cell r="J639" t="str">
            <v>Ets Mamadou GAMBYScratch 5 000</v>
          </cell>
          <cell r="L639">
            <v>0</v>
          </cell>
          <cell r="M639" t="str">
            <v>Ets Mamadou GAMBY</v>
          </cell>
          <cell r="N639" t="str">
            <v>Ets Mamadou GAMBYScratch 5 000</v>
          </cell>
          <cell r="O639" t="str">
            <v>Ets Mamadou GAMBY</v>
          </cell>
          <cell r="P639" t="str">
            <v>Scratch 5 000</v>
          </cell>
          <cell r="Q639" t="str">
            <v>32007</v>
          </cell>
          <cell r="R639" t="str">
            <v>32007Scratch 5 000</v>
          </cell>
          <cell r="S639" t="str">
            <v>2007Scratch 5 000</v>
          </cell>
          <cell r="T639" t="str">
            <v>32007Ets Mamadou GAMBY</v>
          </cell>
          <cell r="U639" t="str">
            <v>32007Ets Mamadou GAMBYScratch 5 000</v>
          </cell>
          <cell r="V639" t="str">
            <v>39156Scratch 5 000</v>
          </cell>
          <cell r="W639" t="str">
            <v>2007Ets Mamadou GAMBY</v>
          </cell>
          <cell r="X639" t="str">
            <v>2007Ets Mamadou GAMBYScratch 5 000</v>
          </cell>
        </row>
        <row r="640">
          <cell r="I640">
            <v>2007</v>
          </cell>
          <cell r="J640" t="str">
            <v>Ets Mamadou GAMBYScratch 10 000</v>
          </cell>
          <cell r="L640">
            <v>0</v>
          </cell>
          <cell r="M640" t="str">
            <v>Ets Mamadou GAMBY</v>
          </cell>
          <cell r="N640" t="str">
            <v>Ets Mamadou GAMBYScratch 10 000</v>
          </cell>
          <cell r="O640" t="str">
            <v>Ets Mamadou GAMBY</v>
          </cell>
          <cell r="P640" t="str">
            <v>Scratch 10 000</v>
          </cell>
          <cell r="Q640" t="str">
            <v>32007</v>
          </cell>
          <cell r="R640" t="str">
            <v>32007Scratch 10 000</v>
          </cell>
          <cell r="S640" t="str">
            <v>2007Scratch 10 000</v>
          </cell>
          <cell r="T640" t="str">
            <v>32007Ets Mamadou GAMBY</v>
          </cell>
          <cell r="U640" t="str">
            <v>32007Ets Mamadou GAMBYScratch 10 000</v>
          </cell>
          <cell r="V640" t="str">
            <v>39156Scratch 10 000</v>
          </cell>
          <cell r="W640" t="str">
            <v>2007Ets Mamadou GAMBY</v>
          </cell>
          <cell r="X640" t="str">
            <v>2007Ets Mamadou GAMBYScratch 10 000</v>
          </cell>
        </row>
        <row r="641">
          <cell r="I641">
            <v>2007</v>
          </cell>
          <cell r="J641" t="str">
            <v>SODIBAFScratch 1 000</v>
          </cell>
          <cell r="L641">
            <v>1</v>
          </cell>
          <cell r="M641" t="str">
            <v>1SODIBAF</v>
          </cell>
          <cell r="N641" t="str">
            <v>SODIBAFScratch 1 000</v>
          </cell>
          <cell r="O641" t="str">
            <v>SODIBAF</v>
          </cell>
          <cell r="P641" t="str">
            <v>Scratch 1 000</v>
          </cell>
          <cell r="Q641" t="str">
            <v>32007</v>
          </cell>
          <cell r="R641" t="str">
            <v>32007Scratch 1 000</v>
          </cell>
          <cell r="S641" t="str">
            <v>2007Scratch 1 000</v>
          </cell>
          <cell r="T641" t="str">
            <v>32007SODIBAF</v>
          </cell>
          <cell r="U641" t="str">
            <v>32007SODIBAFScratch 1 000</v>
          </cell>
          <cell r="V641" t="str">
            <v>39157Scratch 1 000</v>
          </cell>
          <cell r="W641" t="str">
            <v>2007SODIBAF</v>
          </cell>
          <cell r="X641" t="str">
            <v>2007SODIBAFScratch 1 000</v>
          </cell>
        </row>
        <row r="642">
          <cell r="I642">
            <v>2007</v>
          </cell>
          <cell r="J642" t="str">
            <v>SODIBAFScratch 2 000</v>
          </cell>
          <cell r="L642">
            <v>0</v>
          </cell>
          <cell r="M642" t="str">
            <v>SODIBAF</v>
          </cell>
          <cell r="N642" t="str">
            <v>SODIBAFScratch 2 000</v>
          </cell>
          <cell r="O642" t="str">
            <v>SODIBAF</v>
          </cell>
          <cell r="P642" t="str">
            <v>Scratch 2 000</v>
          </cell>
          <cell r="Q642" t="str">
            <v>32007</v>
          </cell>
          <cell r="R642" t="str">
            <v>32007Scratch 2 000</v>
          </cell>
          <cell r="S642" t="str">
            <v>2007Scratch 2 000</v>
          </cell>
          <cell r="T642" t="str">
            <v>32007SODIBAF</v>
          </cell>
          <cell r="U642" t="str">
            <v>32007SODIBAFScratch 2 000</v>
          </cell>
          <cell r="V642" t="str">
            <v>39157Scratch 2 000</v>
          </cell>
          <cell r="W642" t="str">
            <v>2007SODIBAF</v>
          </cell>
          <cell r="X642" t="str">
            <v>2007SODIBAFScratch 2 000</v>
          </cell>
        </row>
        <row r="643">
          <cell r="I643">
            <v>2007</v>
          </cell>
          <cell r="J643" t="str">
            <v>SODIBAFScratch 5 000</v>
          </cell>
          <cell r="L643">
            <v>0</v>
          </cell>
          <cell r="M643" t="str">
            <v>SODIBAF</v>
          </cell>
          <cell r="N643" t="str">
            <v>SODIBAFScratch 5 000</v>
          </cell>
          <cell r="O643" t="str">
            <v>SODIBAF</v>
          </cell>
          <cell r="P643" t="str">
            <v>Scratch 5 000</v>
          </cell>
          <cell r="Q643" t="str">
            <v>32007</v>
          </cell>
          <cell r="R643" t="str">
            <v>32007Scratch 5 000</v>
          </cell>
          <cell r="S643" t="str">
            <v>2007Scratch 5 000</v>
          </cell>
          <cell r="T643" t="str">
            <v>32007SODIBAF</v>
          </cell>
          <cell r="U643" t="str">
            <v>32007SODIBAFScratch 5 000</v>
          </cell>
          <cell r="V643" t="str">
            <v>39157Scratch 5 000</v>
          </cell>
          <cell r="W643" t="str">
            <v>2007SODIBAF</v>
          </cell>
          <cell r="X643" t="str">
            <v>2007SODIBAFScratch 5 000</v>
          </cell>
        </row>
        <row r="644">
          <cell r="I644">
            <v>2007</v>
          </cell>
          <cell r="J644" t="str">
            <v>ETS Boubacar TANDIAScratch 1 000</v>
          </cell>
          <cell r="L644">
            <v>1</v>
          </cell>
          <cell r="M644" t="str">
            <v>1ETS Boubacar TANDIA</v>
          </cell>
          <cell r="N644" t="str">
            <v>ETS Boubacar TANDIAScratch 1 000</v>
          </cell>
          <cell r="O644" t="str">
            <v>ETS Boubacar TANDIA</v>
          </cell>
          <cell r="P644" t="str">
            <v>Scratch 1 000</v>
          </cell>
          <cell r="Q644" t="str">
            <v>32007</v>
          </cell>
          <cell r="R644" t="str">
            <v>32007Scratch 1 000</v>
          </cell>
          <cell r="S644" t="str">
            <v>2007Scratch 1 000</v>
          </cell>
          <cell r="T644" t="str">
            <v>32007ETS Boubacar TANDIA</v>
          </cell>
          <cell r="U644" t="str">
            <v>32007ETS Boubacar TANDIAScratch 1 000</v>
          </cell>
          <cell r="V644" t="str">
            <v>39157Scratch 1 000</v>
          </cell>
          <cell r="W644" t="str">
            <v>2007ETS Boubacar TANDIA</v>
          </cell>
          <cell r="X644" t="str">
            <v>2007ETS Boubacar TANDIAScratch 1 000</v>
          </cell>
        </row>
        <row r="645">
          <cell r="I645">
            <v>2007</v>
          </cell>
          <cell r="J645" t="str">
            <v>ETS Boubacar TANDIAScratch 2 000</v>
          </cell>
          <cell r="L645">
            <v>0</v>
          </cell>
          <cell r="M645" t="str">
            <v>ETS Boubacar TANDIA</v>
          </cell>
          <cell r="N645" t="str">
            <v>ETS Boubacar TANDIAScratch 2 000</v>
          </cell>
          <cell r="O645" t="str">
            <v>ETS Boubacar TANDIA</v>
          </cell>
          <cell r="P645" t="str">
            <v>Scratch 2 000</v>
          </cell>
          <cell r="Q645" t="str">
            <v>32007</v>
          </cell>
          <cell r="R645" t="str">
            <v>32007Scratch 2 000</v>
          </cell>
          <cell r="S645" t="str">
            <v>2007Scratch 2 000</v>
          </cell>
          <cell r="T645" t="str">
            <v>32007ETS Boubacar TANDIA</v>
          </cell>
          <cell r="U645" t="str">
            <v>32007ETS Boubacar TANDIAScratch 2 000</v>
          </cell>
          <cell r="V645" t="str">
            <v>39157Scratch 2 000</v>
          </cell>
          <cell r="W645" t="str">
            <v>2007ETS Boubacar TANDIA</v>
          </cell>
          <cell r="X645" t="str">
            <v>2007ETS Boubacar TANDIAScratch 2 000</v>
          </cell>
        </row>
        <row r="646">
          <cell r="I646">
            <v>2007</v>
          </cell>
          <cell r="J646" t="str">
            <v>GEMATELScratch 1 000</v>
          </cell>
          <cell r="L646">
            <v>1</v>
          </cell>
          <cell r="M646" t="str">
            <v>1GEMATEL</v>
          </cell>
          <cell r="N646" t="str">
            <v>GEMATELScratch 1 000</v>
          </cell>
          <cell r="O646" t="str">
            <v>GEMATEL</v>
          </cell>
          <cell r="P646" t="str">
            <v>Scratch 1 000</v>
          </cell>
          <cell r="Q646" t="str">
            <v>32007</v>
          </cell>
          <cell r="R646" t="str">
            <v>32007Scratch 1 000</v>
          </cell>
          <cell r="S646" t="str">
            <v>2007Scratch 1 000</v>
          </cell>
          <cell r="T646" t="str">
            <v>32007GEMATEL</v>
          </cell>
          <cell r="U646" t="str">
            <v>32007GEMATELScratch 1 000</v>
          </cell>
          <cell r="V646" t="str">
            <v>39157Scratch 1 000</v>
          </cell>
          <cell r="W646" t="str">
            <v>2007GEMATEL</v>
          </cell>
          <cell r="X646" t="str">
            <v>2007GEMATELScratch 1 000</v>
          </cell>
        </row>
        <row r="647">
          <cell r="I647">
            <v>2007</v>
          </cell>
          <cell r="J647" t="str">
            <v>GEMATELScratch 2 000</v>
          </cell>
          <cell r="L647">
            <v>0</v>
          </cell>
          <cell r="M647" t="str">
            <v>GEMATEL</v>
          </cell>
          <cell r="N647" t="str">
            <v>GEMATELScratch 2 000</v>
          </cell>
          <cell r="O647" t="str">
            <v>GEMATEL</v>
          </cell>
          <cell r="P647" t="str">
            <v>Scratch 2 000</v>
          </cell>
          <cell r="Q647" t="str">
            <v>32007</v>
          </cell>
          <cell r="R647" t="str">
            <v>32007Scratch 2 000</v>
          </cell>
          <cell r="S647" t="str">
            <v>2007Scratch 2 000</v>
          </cell>
          <cell r="T647" t="str">
            <v>32007GEMATEL</v>
          </cell>
          <cell r="U647" t="str">
            <v>32007GEMATELScratch 2 000</v>
          </cell>
          <cell r="V647" t="str">
            <v>39157Scratch 2 000</v>
          </cell>
          <cell r="W647" t="str">
            <v>2007GEMATEL</v>
          </cell>
          <cell r="X647" t="str">
            <v>2007GEMATELScratch 2 000</v>
          </cell>
        </row>
        <row r="648">
          <cell r="I648">
            <v>2007</v>
          </cell>
          <cell r="J648" t="str">
            <v>GEMATELScratch 5 000</v>
          </cell>
          <cell r="L648">
            <v>0</v>
          </cell>
          <cell r="M648" t="str">
            <v>GEMATEL</v>
          </cell>
          <cell r="N648" t="str">
            <v>GEMATELScratch 5 000</v>
          </cell>
          <cell r="O648" t="str">
            <v>GEMATEL</v>
          </cell>
          <cell r="P648" t="str">
            <v>Scratch 5 000</v>
          </cell>
          <cell r="Q648" t="str">
            <v>32007</v>
          </cell>
          <cell r="R648" t="str">
            <v>32007Scratch 5 000</v>
          </cell>
          <cell r="S648" t="str">
            <v>2007Scratch 5 000</v>
          </cell>
          <cell r="T648" t="str">
            <v>32007GEMATEL</v>
          </cell>
          <cell r="U648" t="str">
            <v>32007GEMATELScratch 5 000</v>
          </cell>
          <cell r="V648" t="str">
            <v>39157Scratch 5 000</v>
          </cell>
          <cell r="W648" t="str">
            <v>2007GEMATEL</v>
          </cell>
          <cell r="X648" t="str">
            <v>2007GEMATELScratch 5 000</v>
          </cell>
        </row>
        <row r="649">
          <cell r="I649">
            <v>2007</v>
          </cell>
          <cell r="J649" t="str">
            <v>GEMATELScratch 10 000</v>
          </cell>
          <cell r="L649">
            <v>0</v>
          </cell>
          <cell r="M649" t="str">
            <v>GEMATEL</v>
          </cell>
          <cell r="N649" t="str">
            <v>GEMATELScratch 10 000</v>
          </cell>
          <cell r="O649" t="str">
            <v>GEMATEL</v>
          </cell>
          <cell r="P649" t="str">
            <v>Scratch 10 000</v>
          </cell>
          <cell r="Q649" t="str">
            <v>32007</v>
          </cell>
          <cell r="R649" t="str">
            <v>32007Scratch 10 000</v>
          </cell>
          <cell r="S649" t="str">
            <v>2007Scratch 10 000</v>
          </cell>
          <cell r="T649" t="str">
            <v>32007GEMATEL</v>
          </cell>
          <cell r="U649" t="str">
            <v>32007GEMATELScratch 10 000</v>
          </cell>
          <cell r="V649" t="str">
            <v>39157Scratch 10 000</v>
          </cell>
          <cell r="W649" t="str">
            <v>2007GEMATEL</v>
          </cell>
          <cell r="X649" t="str">
            <v>2007GEMATELScratch 10 000</v>
          </cell>
        </row>
        <row r="650">
          <cell r="I650">
            <v>2007</v>
          </cell>
          <cell r="J650" t="str">
            <v>GEMATELScratch 20 000</v>
          </cell>
          <cell r="L650">
            <v>0</v>
          </cell>
          <cell r="M650" t="str">
            <v>GEMATEL</v>
          </cell>
          <cell r="N650" t="str">
            <v>GEMATELScratch 20 000</v>
          </cell>
          <cell r="O650" t="str">
            <v>GEMATEL</v>
          </cell>
          <cell r="P650" t="str">
            <v>Scratch 20 000</v>
          </cell>
          <cell r="Q650" t="str">
            <v>32007</v>
          </cell>
          <cell r="R650" t="str">
            <v>32007Scratch 20 000</v>
          </cell>
          <cell r="S650" t="str">
            <v>2007Scratch 20 000</v>
          </cell>
          <cell r="T650" t="str">
            <v>32007GEMATEL</v>
          </cell>
          <cell r="U650" t="str">
            <v>32007GEMATELScratch 20 000</v>
          </cell>
          <cell r="V650" t="str">
            <v>39157Scratch 20 000</v>
          </cell>
          <cell r="W650" t="str">
            <v>2007GEMATEL</v>
          </cell>
          <cell r="X650" t="str">
            <v>2007GEMATELScratch 20 000</v>
          </cell>
        </row>
        <row r="651">
          <cell r="I651">
            <v>2007</v>
          </cell>
          <cell r="J651" t="str">
            <v>ANKA ServicesScratch 1 000</v>
          </cell>
          <cell r="L651">
            <v>1</v>
          </cell>
          <cell r="M651" t="str">
            <v>1ANKA Services</v>
          </cell>
          <cell r="N651" t="str">
            <v>ANKA ServicesScratch 1 000</v>
          </cell>
          <cell r="O651" t="str">
            <v>ANKA Services</v>
          </cell>
          <cell r="P651" t="str">
            <v>Scratch 1 000</v>
          </cell>
          <cell r="Q651" t="str">
            <v>32007</v>
          </cell>
          <cell r="R651" t="str">
            <v>32007Scratch 1 000</v>
          </cell>
          <cell r="S651" t="str">
            <v>2007Scratch 1 000</v>
          </cell>
          <cell r="T651" t="str">
            <v>32007ANKA Services</v>
          </cell>
          <cell r="U651" t="str">
            <v>32007ANKA ServicesScratch 1 000</v>
          </cell>
          <cell r="V651" t="str">
            <v>39157Scratch 1 000</v>
          </cell>
          <cell r="W651" t="str">
            <v>2007ANKA Services</v>
          </cell>
          <cell r="X651" t="str">
            <v>2007ANKA ServicesScratch 1 000</v>
          </cell>
        </row>
        <row r="652">
          <cell r="I652">
            <v>2007</v>
          </cell>
          <cell r="J652" t="str">
            <v>ANKA ServicesScratch 2 000</v>
          </cell>
          <cell r="L652">
            <v>0</v>
          </cell>
          <cell r="M652" t="str">
            <v>ANKA Services</v>
          </cell>
          <cell r="N652" t="str">
            <v>ANKA ServicesScratch 2 000</v>
          </cell>
          <cell r="O652" t="str">
            <v>ANKA Services</v>
          </cell>
          <cell r="P652" t="str">
            <v>Scratch 2 000</v>
          </cell>
          <cell r="Q652" t="str">
            <v>32007</v>
          </cell>
          <cell r="R652" t="str">
            <v>32007Scratch 2 000</v>
          </cell>
          <cell r="S652" t="str">
            <v>2007Scratch 2 000</v>
          </cell>
          <cell r="T652" t="str">
            <v>32007ANKA Services</v>
          </cell>
          <cell r="U652" t="str">
            <v>32007ANKA ServicesScratch 2 000</v>
          </cell>
          <cell r="V652" t="str">
            <v>39157Scratch 2 000</v>
          </cell>
          <cell r="W652" t="str">
            <v>2007ANKA Services</v>
          </cell>
          <cell r="X652" t="str">
            <v>2007ANKA ServicesScratch 2 000</v>
          </cell>
        </row>
        <row r="653">
          <cell r="I653">
            <v>2007</v>
          </cell>
          <cell r="J653" t="str">
            <v>ANKA ServicesScratch 5 000</v>
          </cell>
          <cell r="L653">
            <v>0</v>
          </cell>
          <cell r="M653" t="str">
            <v>ANKA Services</v>
          </cell>
          <cell r="N653" t="str">
            <v>ANKA ServicesScratch 5 000</v>
          </cell>
          <cell r="O653" t="str">
            <v>ANKA Services</v>
          </cell>
          <cell r="P653" t="str">
            <v>Scratch 5 000</v>
          </cell>
          <cell r="Q653" t="str">
            <v>32007</v>
          </cell>
          <cell r="R653" t="str">
            <v>32007Scratch 5 000</v>
          </cell>
          <cell r="S653" t="str">
            <v>2007Scratch 5 000</v>
          </cell>
          <cell r="T653" t="str">
            <v>32007ANKA Services</v>
          </cell>
          <cell r="U653" t="str">
            <v>32007ANKA ServicesScratch 5 000</v>
          </cell>
          <cell r="V653" t="str">
            <v>39157Scratch 5 000</v>
          </cell>
          <cell r="W653" t="str">
            <v>2007ANKA Services</v>
          </cell>
          <cell r="X653" t="str">
            <v>2007ANKA ServicesScratch 5 000</v>
          </cell>
        </row>
        <row r="654">
          <cell r="I654">
            <v>2007</v>
          </cell>
          <cell r="J654" t="str">
            <v>Compagnie Internationale de NegoceScratch 1 000</v>
          </cell>
          <cell r="L654">
            <v>1</v>
          </cell>
          <cell r="M654" t="str">
            <v>1Compagnie Internationale de Negoce</v>
          </cell>
          <cell r="N654" t="str">
            <v>Compagnie Internationale de NegoceScratch 1 000</v>
          </cell>
          <cell r="O654" t="str">
            <v>Compagnie Internationale de Negoce</v>
          </cell>
          <cell r="P654" t="str">
            <v>Scratch 1 000</v>
          </cell>
          <cell r="Q654" t="str">
            <v>32007</v>
          </cell>
          <cell r="R654" t="str">
            <v>32007Scratch 1 000</v>
          </cell>
          <cell r="S654" t="str">
            <v>2007Scratch 1 000</v>
          </cell>
          <cell r="T654" t="str">
            <v>32007Compagnie Internationale de Negoce</v>
          </cell>
          <cell r="U654" t="str">
            <v>32007Compagnie Internationale de NegoceScratch 1 000</v>
          </cell>
          <cell r="V654" t="str">
            <v>39157Scratch 1 000</v>
          </cell>
          <cell r="W654" t="str">
            <v>2007Compagnie Internationale de Negoce</v>
          </cell>
          <cell r="X654" t="str">
            <v>2007Compagnie Internationale de NegoceScratch 1 000</v>
          </cell>
        </row>
        <row r="655">
          <cell r="I655">
            <v>2007</v>
          </cell>
          <cell r="J655" t="str">
            <v>Compagnie Internationale de NegoceScratch 2 000</v>
          </cell>
          <cell r="L655">
            <v>0</v>
          </cell>
          <cell r="M655" t="str">
            <v>Compagnie Internationale de Negoce</v>
          </cell>
          <cell r="N655" t="str">
            <v>Compagnie Internationale de NegoceScratch 2 000</v>
          </cell>
          <cell r="O655" t="str">
            <v>Compagnie Internationale de Negoce</v>
          </cell>
          <cell r="P655" t="str">
            <v>Scratch 2 000</v>
          </cell>
          <cell r="Q655" t="str">
            <v>32007</v>
          </cell>
          <cell r="R655" t="str">
            <v>32007Scratch 2 000</v>
          </cell>
          <cell r="S655" t="str">
            <v>2007Scratch 2 000</v>
          </cell>
          <cell r="T655" t="str">
            <v>32007Compagnie Internationale de Negoce</v>
          </cell>
          <cell r="U655" t="str">
            <v>32007Compagnie Internationale de NegoceScratch 2 000</v>
          </cell>
          <cell r="V655" t="str">
            <v>39157Scratch 2 000</v>
          </cell>
          <cell r="W655" t="str">
            <v>2007Compagnie Internationale de Negoce</v>
          </cell>
          <cell r="X655" t="str">
            <v>2007Compagnie Internationale de NegoceScratch 2 000</v>
          </cell>
        </row>
        <row r="656">
          <cell r="I656">
            <v>2007</v>
          </cell>
          <cell r="J656" t="str">
            <v>Compagnie Internationale de NegoceScratch 5 000</v>
          </cell>
          <cell r="L656">
            <v>0</v>
          </cell>
          <cell r="M656" t="str">
            <v>Compagnie Internationale de Negoce</v>
          </cell>
          <cell r="N656" t="str">
            <v>Compagnie Internationale de NegoceScratch 5 000</v>
          </cell>
          <cell r="O656" t="str">
            <v>Compagnie Internationale de Negoce</v>
          </cell>
          <cell r="P656" t="str">
            <v>Scratch 5 000</v>
          </cell>
          <cell r="Q656" t="str">
            <v>32007</v>
          </cell>
          <cell r="R656" t="str">
            <v>32007Scratch 5 000</v>
          </cell>
          <cell r="S656" t="str">
            <v>2007Scratch 5 000</v>
          </cell>
          <cell r="T656" t="str">
            <v>32007Compagnie Internationale de Negoce</v>
          </cell>
          <cell r="U656" t="str">
            <v>32007Compagnie Internationale de NegoceScratch 5 000</v>
          </cell>
          <cell r="V656" t="str">
            <v>39157Scratch 5 000</v>
          </cell>
          <cell r="W656" t="str">
            <v>2007Compagnie Internationale de Negoce</v>
          </cell>
          <cell r="X656" t="str">
            <v>2007Compagnie Internationale de NegoceScratch 5 000</v>
          </cell>
        </row>
        <row r="657">
          <cell r="I657">
            <v>2007</v>
          </cell>
          <cell r="J657" t="str">
            <v>GEMATELScratch 1 000</v>
          </cell>
          <cell r="L657">
            <v>1</v>
          </cell>
          <cell r="M657" t="str">
            <v>1GEMATEL</v>
          </cell>
          <cell r="N657" t="str">
            <v>GEMATELScratch 1 000</v>
          </cell>
          <cell r="O657" t="str">
            <v>GEMATEL</v>
          </cell>
          <cell r="P657" t="str">
            <v>Scratch 1 000</v>
          </cell>
          <cell r="Q657" t="str">
            <v>32007</v>
          </cell>
          <cell r="R657" t="str">
            <v>32007Scratch 1 000</v>
          </cell>
          <cell r="S657" t="str">
            <v>2007Scratch 1 000</v>
          </cell>
          <cell r="T657" t="str">
            <v>32007GEMATEL</v>
          </cell>
          <cell r="U657" t="str">
            <v>32007GEMATELScratch 1 000</v>
          </cell>
          <cell r="V657" t="str">
            <v>39160Scratch 1 000</v>
          </cell>
          <cell r="W657" t="str">
            <v>2007GEMATEL</v>
          </cell>
          <cell r="X657" t="str">
            <v>2007GEMATELScratch 1 000</v>
          </cell>
        </row>
        <row r="658">
          <cell r="I658">
            <v>2007</v>
          </cell>
          <cell r="J658" t="str">
            <v>GEMATELScratch 2 000</v>
          </cell>
          <cell r="L658">
            <v>0</v>
          </cell>
          <cell r="M658" t="str">
            <v>GEMATEL</v>
          </cell>
          <cell r="N658" t="str">
            <v>GEMATELScratch 2 000</v>
          </cell>
          <cell r="O658" t="str">
            <v>GEMATEL</v>
          </cell>
          <cell r="P658" t="str">
            <v>Scratch 2 000</v>
          </cell>
          <cell r="Q658" t="str">
            <v>32007</v>
          </cell>
          <cell r="R658" t="str">
            <v>32007Scratch 2 000</v>
          </cell>
          <cell r="S658" t="str">
            <v>2007Scratch 2 000</v>
          </cell>
          <cell r="T658" t="str">
            <v>32007GEMATEL</v>
          </cell>
          <cell r="U658" t="str">
            <v>32007GEMATELScratch 2 000</v>
          </cell>
          <cell r="V658" t="str">
            <v>39160Scratch 2 000</v>
          </cell>
          <cell r="W658" t="str">
            <v>2007GEMATEL</v>
          </cell>
          <cell r="X658" t="str">
            <v>2007GEMATELScratch 2 000</v>
          </cell>
        </row>
        <row r="659">
          <cell r="I659">
            <v>2007</v>
          </cell>
          <cell r="J659" t="str">
            <v>GEMATELScratch 5 000</v>
          </cell>
          <cell r="L659">
            <v>0</v>
          </cell>
          <cell r="M659" t="str">
            <v>GEMATEL</v>
          </cell>
          <cell r="N659" t="str">
            <v>GEMATELScratch 5 000</v>
          </cell>
          <cell r="O659" t="str">
            <v>GEMATEL</v>
          </cell>
          <cell r="P659" t="str">
            <v>Scratch 5 000</v>
          </cell>
          <cell r="Q659" t="str">
            <v>32007</v>
          </cell>
          <cell r="R659" t="str">
            <v>32007Scratch 5 000</v>
          </cell>
          <cell r="S659" t="str">
            <v>2007Scratch 5 000</v>
          </cell>
          <cell r="T659" t="str">
            <v>32007GEMATEL</v>
          </cell>
          <cell r="U659" t="str">
            <v>32007GEMATELScratch 5 000</v>
          </cell>
          <cell r="V659" t="str">
            <v>39160Scratch 5 000</v>
          </cell>
          <cell r="W659" t="str">
            <v>2007GEMATEL</v>
          </cell>
          <cell r="X659" t="str">
            <v>2007GEMATELScratch 5 000</v>
          </cell>
        </row>
        <row r="660">
          <cell r="I660">
            <v>2007</v>
          </cell>
          <cell r="J660" t="str">
            <v>Bonneterie Nouvelle TelecomScratch 1 000</v>
          </cell>
          <cell r="L660">
            <v>1</v>
          </cell>
          <cell r="M660" t="str">
            <v>1Bonneterie Nouvelle Telecom</v>
          </cell>
          <cell r="N660" t="str">
            <v>Bonneterie Nouvelle TelecomScratch 1 000</v>
          </cell>
          <cell r="O660" t="str">
            <v>Bonneterie Nouvelle Telecom</v>
          </cell>
          <cell r="P660" t="str">
            <v>Scratch 1 000</v>
          </cell>
          <cell r="Q660" t="str">
            <v>32007</v>
          </cell>
          <cell r="R660" t="str">
            <v>32007Scratch 1 000</v>
          </cell>
          <cell r="S660" t="str">
            <v>2007Scratch 1 000</v>
          </cell>
          <cell r="T660" t="str">
            <v>32007Bonneterie Nouvelle Telecom</v>
          </cell>
          <cell r="U660" t="str">
            <v>32007Bonneterie Nouvelle TelecomScratch 1 000</v>
          </cell>
          <cell r="V660" t="str">
            <v>39160Scratch 1 000</v>
          </cell>
          <cell r="W660" t="str">
            <v>2007Bonneterie Nouvelle Telecom</v>
          </cell>
          <cell r="X660" t="str">
            <v>2007Bonneterie Nouvelle TelecomScratch 1 000</v>
          </cell>
        </row>
        <row r="661">
          <cell r="I661">
            <v>2007</v>
          </cell>
          <cell r="J661" t="str">
            <v>Bonneterie Nouvelle TelecomScratch 2 000</v>
          </cell>
          <cell r="L661">
            <v>0</v>
          </cell>
          <cell r="M661" t="str">
            <v>Bonneterie Nouvelle Telecom</v>
          </cell>
          <cell r="N661" t="str">
            <v>Bonneterie Nouvelle TelecomScratch 2 000</v>
          </cell>
          <cell r="O661" t="str">
            <v>Bonneterie Nouvelle Telecom</v>
          </cell>
          <cell r="P661" t="str">
            <v>Scratch 2 000</v>
          </cell>
          <cell r="Q661" t="str">
            <v>32007</v>
          </cell>
          <cell r="R661" t="str">
            <v>32007Scratch 2 000</v>
          </cell>
          <cell r="S661" t="str">
            <v>2007Scratch 2 000</v>
          </cell>
          <cell r="T661" t="str">
            <v>32007Bonneterie Nouvelle Telecom</v>
          </cell>
          <cell r="U661" t="str">
            <v>32007Bonneterie Nouvelle TelecomScratch 2 000</v>
          </cell>
          <cell r="V661" t="str">
            <v>39160Scratch 2 000</v>
          </cell>
          <cell r="W661" t="str">
            <v>2007Bonneterie Nouvelle Telecom</v>
          </cell>
          <cell r="X661" t="str">
            <v>2007Bonneterie Nouvelle TelecomScratch 2 000</v>
          </cell>
        </row>
        <row r="662">
          <cell r="I662">
            <v>2007</v>
          </cell>
          <cell r="J662" t="str">
            <v>Bonneterie Nouvelle TelecomScratch 5 000</v>
          </cell>
          <cell r="L662">
            <v>0</v>
          </cell>
          <cell r="M662" t="str">
            <v>Bonneterie Nouvelle Telecom</v>
          </cell>
          <cell r="N662" t="str">
            <v>Bonneterie Nouvelle TelecomScratch 5 000</v>
          </cell>
          <cell r="O662" t="str">
            <v>Bonneterie Nouvelle Telecom</v>
          </cell>
          <cell r="P662" t="str">
            <v>Scratch 5 000</v>
          </cell>
          <cell r="Q662" t="str">
            <v>32007</v>
          </cell>
          <cell r="R662" t="str">
            <v>32007Scratch 5 000</v>
          </cell>
          <cell r="S662" t="str">
            <v>2007Scratch 5 000</v>
          </cell>
          <cell r="T662" t="str">
            <v>32007Bonneterie Nouvelle Telecom</v>
          </cell>
          <cell r="U662" t="str">
            <v>32007Bonneterie Nouvelle TelecomScratch 5 000</v>
          </cell>
          <cell r="V662" t="str">
            <v>39160Scratch 5 000</v>
          </cell>
          <cell r="W662" t="str">
            <v>2007Bonneterie Nouvelle Telecom</v>
          </cell>
          <cell r="X662" t="str">
            <v>2007Bonneterie Nouvelle TelecomScratch 5 000</v>
          </cell>
        </row>
        <row r="663">
          <cell r="I663">
            <v>2007</v>
          </cell>
          <cell r="J663" t="str">
            <v>Bonneterie Nouvelle TelecomScratch 20 000</v>
          </cell>
          <cell r="L663">
            <v>0</v>
          </cell>
          <cell r="M663" t="str">
            <v>Bonneterie Nouvelle Telecom</v>
          </cell>
          <cell r="N663" t="str">
            <v>Bonneterie Nouvelle TelecomScratch 20 000</v>
          </cell>
          <cell r="O663" t="str">
            <v>Bonneterie Nouvelle Telecom</v>
          </cell>
          <cell r="P663" t="str">
            <v>Scratch 20 000</v>
          </cell>
          <cell r="Q663" t="str">
            <v>32007</v>
          </cell>
          <cell r="R663" t="str">
            <v>32007Scratch 20 000</v>
          </cell>
          <cell r="S663" t="str">
            <v>2007Scratch 20 000</v>
          </cell>
          <cell r="T663" t="str">
            <v>32007Bonneterie Nouvelle Telecom</v>
          </cell>
          <cell r="U663" t="str">
            <v>32007Bonneterie Nouvelle TelecomScratch 20 000</v>
          </cell>
          <cell r="V663" t="str">
            <v>39160Scratch 20 000</v>
          </cell>
          <cell r="W663" t="str">
            <v>2007Bonneterie Nouvelle Telecom</v>
          </cell>
          <cell r="X663" t="str">
            <v>2007Bonneterie Nouvelle TelecomScratch 20 000</v>
          </cell>
        </row>
        <row r="664">
          <cell r="I664">
            <v>2007</v>
          </cell>
          <cell r="J664" t="str">
            <v>Compagnie Internationale de NegoceScratch 1 000</v>
          </cell>
          <cell r="L664">
            <v>1</v>
          </cell>
          <cell r="M664" t="str">
            <v>1Compagnie Internationale de Negoce</v>
          </cell>
          <cell r="N664" t="str">
            <v>Compagnie Internationale de NegoceScratch 1 000</v>
          </cell>
          <cell r="O664" t="str">
            <v>Compagnie Internationale de Negoce</v>
          </cell>
          <cell r="P664" t="str">
            <v>Scratch 1 000</v>
          </cell>
          <cell r="Q664" t="str">
            <v>32007</v>
          </cell>
          <cell r="R664" t="str">
            <v>32007Scratch 1 000</v>
          </cell>
          <cell r="S664" t="str">
            <v>2007Scratch 1 000</v>
          </cell>
          <cell r="T664" t="str">
            <v>32007Compagnie Internationale de Negoce</v>
          </cell>
          <cell r="U664" t="str">
            <v>32007Compagnie Internationale de NegoceScratch 1 000</v>
          </cell>
          <cell r="V664" t="str">
            <v>39160Scratch 1 000</v>
          </cell>
          <cell r="W664" t="str">
            <v>2007Compagnie Internationale de Negoce</v>
          </cell>
          <cell r="X664" t="str">
            <v>2007Compagnie Internationale de NegoceScratch 1 000</v>
          </cell>
        </row>
        <row r="665">
          <cell r="I665">
            <v>2007</v>
          </cell>
          <cell r="J665" t="str">
            <v>Compagnie Internationale de NegoceScratch 2 000</v>
          </cell>
          <cell r="L665">
            <v>0</v>
          </cell>
          <cell r="M665" t="str">
            <v>Compagnie Internationale de Negoce</v>
          </cell>
          <cell r="N665" t="str">
            <v>Compagnie Internationale de NegoceScratch 2 000</v>
          </cell>
          <cell r="O665" t="str">
            <v>Compagnie Internationale de Negoce</v>
          </cell>
          <cell r="P665" t="str">
            <v>Scratch 2 000</v>
          </cell>
          <cell r="Q665" t="str">
            <v>32007</v>
          </cell>
          <cell r="R665" t="str">
            <v>32007Scratch 2 000</v>
          </cell>
          <cell r="S665" t="str">
            <v>2007Scratch 2 000</v>
          </cell>
          <cell r="T665" t="str">
            <v>32007Compagnie Internationale de Negoce</v>
          </cell>
          <cell r="U665" t="str">
            <v>32007Compagnie Internationale de NegoceScratch 2 000</v>
          </cell>
          <cell r="V665" t="str">
            <v>39160Scratch 2 000</v>
          </cell>
          <cell r="W665" t="str">
            <v>2007Compagnie Internationale de Negoce</v>
          </cell>
          <cell r="X665" t="str">
            <v>2007Compagnie Internationale de NegoceScratch 2 000</v>
          </cell>
        </row>
        <row r="666">
          <cell r="I666">
            <v>2007</v>
          </cell>
          <cell r="J666" t="str">
            <v>Compagnie Internationale de NegoceScratch 5 000</v>
          </cell>
          <cell r="L666">
            <v>0</v>
          </cell>
          <cell r="M666" t="str">
            <v>Compagnie Internationale de Negoce</v>
          </cell>
          <cell r="N666" t="str">
            <v>Compagnie Internationale de NegoceScratch 5 000</v>
          </cell>
          <cell r="O666" t="str">
            <v>Compagnie Internationale de Negoce</v>
          </cell>
          <cell r="P666" t="str">
            <v>Scratch 5 000</v>
          </cell>
          <cell r="Q666" t="str">
            <v>32007</v>
          </cell>
          <cell r="R666" t="str">
            <v>32007Scratch 5 000</v>
          </cell>
          <cell r="S666" t="str">
            <v>2007Scratch 5 000</v>
          </cell>
          <cell r="T666" t="str">
            <v>32007Compagnie Internationale de Negoce</v>
          </cell>
          <cell r="U666" t="str">
            <v>32007Compagnie Internationale de NegoceScratch 5 000</v>
          </cell>
          <cell r="V666" t="str">
            <v>39160Scratch 5 000</v>
          </cell>
          <cell r="W666" t="str">
            <v>2007Compagnie Internationale de Negoce</v>
          </cell>
          <cell r="X666" t="str">
            <v>2007Compagnie Internationale de NegoceScratch 5 000</v>
          </cell>
        </row>
        <row r="667">
          <cell r="I667">
            <v>2007</v>
          </cell>
          <cell r="J667" t="str">
            <v>Compagnie Internationale de NegoceScratch 10 000</v>
          </cell>
          <cell r="L667">
            <v>0</v>
          </cell>
          <cell r="M667" t="str">
            <v>Compagnie Internationale de Negoce</v>
          </cell>
          <cell r="N667" t="str">
            <v>Compagnie Internationale de NegoceScratch 10 000</v>
          </cell>
          <cell r="O667" t="str">
            <v>Compagnie Internationale de Negoce</v>
          </cell>
          <cell r="P667" t="str">
            <v>Scratch 10 000</v>
          </cell>
          <cell r="Q667" t="str">
            <v>32007</v>
          </cell>
          <cell r="R667" t="str">
            <v>32007Scratch 10 000</v>
          </cell>
          <cell r="S667" t="str">
            <v>2007Scratch 10 000</v>
          </cell>
          <cell r="T667" t="str">
            <v>32007Compagnie Internationale de Negoce</v>
          </cell>
          <cell r="U667" t="str">
            <v>32007Compagnie Internationale de NegoceScratch 10 000</v>
          </cell>
          <cell r="V667" t="str">
            <v>39160Scratch 10 000</v>
          </cell>
          <cell r="W667" t="str">
            <v>2007Compagnie Internationale de Negoce</v>
          </cell>
          <cell r="X667" t="str">
            <v>2007Compagnie Internationale de NegoceScratch 10 000</v>
          </cell>
        </row>
        <row r="668">
          <cell r="I668">
            <v>2007</v>
          </cell>
          <cell r="J668" t="str">
            <v>Compagnie Internationale de NegoceScratch 20 000</v>
          </cell>
          <cell r="L668">
            <v>0</v>
          </cell>
          <cell r="M668" t="str">
            <v>Compagnie Internationale de Negoce</v>
          </cell>
          <cell r="N668" t="str">
            <v>Compagnie Internationale de NegoceScratch 20 000</v>
          </cell>
          <cell r="O668" t="str">
            <v>Compagnie Internationale de Negoce</v>
          </cell>
          <cell r="P668" t="str">
            <v>Scratch 20 000</v>
          </cell>
          <cell r="Q668" t="str">
            <v>32007</v>
          </cell>
          <cell r="R668" t="str">
            <v>32007Scratch 20 000</v>
          </cell>
          <cell r="S668" t="str">
            <v>2007Scratch 20 000</v>
          </cell>
          <cell r="T668" t="str">
            <v>32007Compagnie Internationale de Negoce</v>
          </cell>
          <cell r="U668" t="str">
            <v>32007Compagnie Internationale de NegoceScratch 20 000</v>
          </cell>
          <cell r="V668" t="str">
            <v>39160Scratch 20 000</v>
          </cell>
          <cell r="W668" t="str">
            <v>2007Compagnie Internationale de Negoce</v>
          </cell>
          <cell r="X668" t="str">
            <v>2007Compagnie Internationale de NegoceScratch 20 000</v>
          </cell>
        </row>
        <row r="669">
          <cell r="I669">
            <v>2007</v>
          </cell>
          <cell r="J669" t="str">
            <v>MALI COM SarlKit</v>
          </cell>
          <cell r="L669">
            <v>1</v>
          </cell>
          <cell r="M669" t="str">
            <v>1MALI COM Sarl</v>
          </cell>
          <cell r="N669" t="str">
            <v>MALI COM SarlKit</v>
          </cell>
          <cell r="O669" t="str">
            <v>MALI COM Sarl</v>
          </cell>
          <cell r="P669" t="str">
            <v>Kit</v>
          </cell>
          <cell r="Q669" t="str">
            <v>32007</v>
          </cell>
          <cell r="R669" t="str">
            <v>32007Kit</v>
          </cell>
          <cell r="S669" t="str">
            <v>2007Kit</v>
          </cell>
          <cell r="T669" t="str">
            <v>32007MALI COM Sarl</v>
          </cell>
          <cell r="U669" t="str">
            <v>32007MALI COM SarlKit</v>
          </cell>
          <cell r="V669" t="str">
            <v>39161Kit</v>
          </cell>
          <cell r="W669" t="str">
            <v>2007MALI COM Sarl</v>
          </cell>
          <cell r="X669" t="str">
            <v>2007MALI COM SarlKit</v>
          </cell>
        </row>
        <row r="670">
          <cell r="I670">
            <v>2007</v>
          </cell>
          <cell r="J670" t="str">
            <v>Burtel MacsymScratch 1 000</v>
          </cell>
          <cell r="L670">
            <v>1</v>
          </cell>
          <cell r="M670" t="str">
            <v>1Burtel Macsym</v>
          </cell>
          <cell r="N670" t="str">
            <v>Burtel MacsymScratch 1 000</v>
          </cell>
          <cell r="O670" t="str">
            <v>Burtel Macsym</v>
          </cell>
          <cell r="P670" t="str">
            <v>Scratch 1 000</v>
          </cell>
          <cell r="Q670" t="str">
            <v>32007</v>
          </cell>
          <cell r="R670" t="str">
            <v>32007Scratch 1 000</v>
          </cell>
          <cell r="S670" t="str">
            <v>2007Scratch 1 000</v>
          </cell>
          <cell r="T670" t="str">
            <v>32007Burtel Macsym</v>
          </cell>
          <cell r="U670" t="str">
            <v>32007Burtel MacsymScratch 1 000</v>
          </cell>
          <cell r="V670" t="str">
            <v>39161Scratch 1 000</v>
          </cell>
          <cell r="W670" t="str">
            <v>2007Burtel Macsym</v>
          </cell>
          <cell r="X670" t="str">
            <v>2007Burtel MacsymScratch 1 000</v>
          </cell>
        </row>
        <row r="671">
          <cell r="I671">
            <v>2007</v>
          </cell>
          <cell r="J671" t="str">
            <v>Burtel MacsymScratch 2 000</v>
          </cell>
          <cell r="L671">
            <v>0</v>
          </cell>
          <cell r="M671" t="str">
            <v>Burtel Macsym</v>
          </cell>
          <cell r="N671" t="str">
            <v>Burtel MacsymScratch 2 000</v>
          </cell>
          <cell r="O671" t="str">
            <v>Burtel Macsym</v>
          </cell>
          <cell r="P671" t="str">
            <v>Scratch 2 000</v>
          </cell>
          <cell r="Q671" t="str">
            <v>32007</v>
          </cell>
          <cell r="R671" t="str">
            <v>32007Scratch 2 000</v>
          </cell>
          <cell r="S671" t="str">
            <v>2007Scratch 2 000</v>
          </cell>
          <cell r="T671" t="str">
            <v>32007Burtel Macsym</v>
          </cell>
          <cell r="U671" t="str">
            <v>32007Burtel MacsymScratch 2 000</v>
          </cell>
          <cell r="V671" t="str">
            <v>39161Scratch 2 000</v>
          </cell>
          <cell r="W671" t="str">
            <v>2007Burtel Macsym</v>
          </cell>
          <cell r="X671" t="str">
            <v>2007Burtel MacsymScratch 2 000</v>
          </cell>
        </row>
        <row r="672">
          <cell r="I672">
            <v>2007</v>
          </cell>
          <cell r="J672" t="str">
            <v>Burtel MacsymScratch 5 000</v>
          </cell>
          <cell r="L672">
            <v>0</v>
          </cell>
          <cell r="M672" t="str">
            <v>Burtel Macsym</v>
          </cell>
          <cell r="N672" t="str">
            <v>Burtel MacsymScratch 5 000</v>
          </cell>
          <cell r="O672" t="str">
            <v>Burtel Macsym</v>
          </cell>
          <cell r="P672" t="str">
            <v>Scratch 5 000</v>
          </cell>
          <cell r="Q672" t="str">
            <v>32007</v>
          </cell>
          <cell r="R672" t="str">
            <v>32007Scratch 5 000</v>
          </cell>
          <cell r="S672" t="str">
            <v>2007Scratch 5 000</v>
          </cell>
          <cell r="T672" t="str">
            <v>32007Burtel Macsym</v>
          </cell>
          <cell r="U672" t="str">
            <v>32007Burtel MacsymScratch 5 000</v>
          </cell>
          <cell r="V672" t="str">
            <v>39161Scratch 5 000</v>
          </cell>
          <cell r="W672" t="str">
            <v>2007Burtel Macsym</v>
          </cell>
          <cell r="X672" t="str">
            <v>2007Burtel MacsymScratch 5 000</v>
          </cell>
        </row>
        <row r="673">
          <cell r="I673">
            <v>2007</v>
          </cell>
          <cell r="J673" t="str">
            <v>ANKA ServicesScratch 1 000</v>
          </cell>
          <cell r="L673">
            <v>1</v>
          </cell>
          <cell r="M673" t="str">
            <v>1ANKA Services</v>
          </cell>
          <cell r="N673" t="str">
            <v>ANKA ServicesScratch 1 000</v>
          </cell>
          <cell r="O673" t="str">
            <v>ANKA Services</v>
          </cell>
          <cell r="P673" t="str">
            <v>Scratch 1 000</v>
          </cell>
          <cell r="Q673" t="str">
            <v>32007</v>
          </cell>
          <cell r="R673" t="str">
            <v>32007Scratch 1 000</v>
          </cell>
          <cell r="S673" t="str">
            <v>2007Scratch 1 000</v>
          </cell>
          <cell r="T673" t="str">
            <v>32007ANKA Services</v>
          </cell>
          <cell r="U673" t="str">
            <v>32007ANKA ServicesScratch 1 000</v>
          </cell>
          <cell r="V673" t="str">
            <v>39161Scratch 1 000</v>
          </cell>
          <cell r="W673" t="str">
            <v>2007ANKA Services</v>
          </cell>
          <cell r="X673" t="str">
            <v>2007ANKA ServicesScratch 1 000</v>
          </cell>
        </row>
        <row r="674">
          <cell r="I674">
            <v>2007</v>
          </cell>
          <cell r="J674" t="str">
            <v>ANKA ServicesScratch 2 000</v>
          </cell>
          <cell r="L674">
            <v>0</v>
          </cell>
          <cell r="M674" t="str">
            <v>ANKA Services</v>
          </cell>
          <cell r="N674" t="str">
            <v>ANKA ServicesScratch 2 000</v>
          </cell>
          <cell r="O674" t="str">
            <v>ANKA Services</v>
          </cell>
          <cell r="P674" t="str">
            <v>Scratch 2 000</v>
          </cell>
          <cell r="Q674" t="str">
            <v>32007</v>
          </cell>
          <cell r="R674" t="str">
            <v>32007Scratch 2 000</v>
          </cell>
          <cell r="S674" t="str">
            <v>2007Scratch 2 000</v>
          </cell>
          <cell r="T674" t="str">
            <v>32007ANKA Services</v>
          </cell>
          <cell r="U674" t="str">
            <v>32007ANKA ServicesScratch 2 000</v>
          </cell>
          <cell r="V674" t="str">
            <v>39161Scratch 2 000</v>
          </cell>
          <cell r="W674" t="str">
            <v>2007ANKA Services</v>
          </cell>
          <cell r="X674" t="str">
            <v>2007ANKA ServicesScratch 2 000</v>
          </cell>
        </row>
        <row r="675">
          <cell r="I675">
            <v>2007</v>
          </cell>
          <cell r="J675" t="str">
            <v>ANKA ServicesScratch 5 000</v>
          </cell>
          <cell r="L675">
            <v>0</v>
          </cell>
          <cell r="M675" t="str">
            <v>ANKA Services</v>
          </cell>
          <cell r="N675" t="str">
            <v>ANKA ServicesScratch 5 000</v>
          </cell>
          <cell r="O675" t="str">
            <v>ANKA Services</v>
          </cell>
          <cell r="P675" t="str">
            <v>Scratch 5 000</v>
          </cell>
          <cell r="Q675" t="str">
            <v>32007</v>
          </cell>
          <cell r="R675" t="str">
            <v>32007Scratch 5 000</v>
          </cell>
          <cell r="S675" t="str">
            <v>2007Scratch 5 000</v>
          </cell>
          <cell r="T675" t="str">
            <v>32007ANKA Services</v>
          </cell>
          <cell r="U675" t="str">
            <v>32007ANKA ServicesScratch 5 000</v>
          </cell>
          <cell r="V675" t="str">
            <v>39161Scratch 5 000</v>
          </cell>
          <cell r="W675" t="str">
            <v>2007ANKA Services</v>
          </cell>
          <cell r="X675" t="str">
            <v>2007ANKA ServicesScratch 5 000</v>
          </cell>
        </row>
        <row r="676">
          <cell r="I676">
            <v>2007</v>
          </cell>
          <cell r="J676" t="str">
            <v>STS GAMBY &amp; FRERES (SOGAF) SarlScratch 1 000</v>
          </cell>
          <cell r="L676">
            <v>1</v>
          </cell>
          <cell r="M676" t="str">
            <v>1STS GAMBY &amp; FRERES (SOGAF) Sarl</v>
          </cell>
          <cell r="N676" t="str">
            <v>STS GAMBY &amp; FRERES (SOGAF) SarlScratch 1 000</v>
          </cell>
          <cell r="O676" t="str">
            <v>STS GAMBY &amp; FRERES (SOGAF) Sarl</v>
          </cell>
          <cell r="P676" t="str">
            <v>Scratch 1 000</v>
          </cell>
          <cell r="Q676" t="str">
            <v>32007</v>
          </cell>
          <cell r="R676" t="str">
            <v>32007Scratch 1 000</v>
          </cell>
          <cell r="S676" t="str">
            <v>2007Scratch 1 000</v>
          </cell>
          <cell r="T676" t="str">
            <v>32007STS GAMBY &amp; FRERES (SOGAF) Sarl</v>
          </cell>
          <cell r="U676" t="str">
            <v>32007STS GAMBY &amp; FRERES (SOGAF) SarlScratch 1 000</v>
          </cell>
          <cell r="V676" t="str">
            <v>39161Scratch 1 000</v>
          </cell>
          <cell r="W676" t="str">
            <v>2007STS GAMBY &amp; FRERES (SOGAF) Sarl</v>
          </cell>
          <cell r="X676" t="str">
            <v>2007STS GAMBY &amp; FRERES (SOGAF) SarlScratch 1 000</v>
          </cell>
        </row>
        <row r="677">
          <cell r="I677">
            <v>2007</v>
          </cell>
          <cell r="J677" t="str">
            <v>STS GAMBY &amp; FRERES (SOGAF) SarlScratch 2 000</v>
          </cell>
          <cell r="L677">
            <v>0</v>
          </cell>
          <cell r="M677" t="str">
            <v>STS GAMBY &amp; FRERES (SOGAF) Sarl</v>
          </cell>
          <cell r="N677" t="str">
            <v>STS GAMBY &amp; FRERES (SOGAF) SarlScratch 2 000</v>
          </cell>
          <cell r="O677" t="str">
            <v>STS GAMBY &amp; FRERES (SOGAF) Sarl</v>
          </cell>
          <cell r="P677" t="str">
            <v>Scratch 2 000</v>
          </cell>
          <cell r="Q677" t="str">
            <v>32007</v>
          </cell>
          <cell r="R677" t="str">
            <v>32007Scratch 2 000</v>
          </cell>
          <cell r="S677" t="str">
            <v>2007Scratch 2 000</v>
          </cell>
          <cell r="T677" t="str">
            <v>32007STS GAMBY &amp; FRERES (SOGAF) Sarl</v>
          </cell>
          <cell r="U677" t="str">
            <v>32007STS GAMBY &amp; FRERES (SOGAF) SarlScratch 2 000</v>
          </cell>
          <cell r="V677" t="str">
            <v>39161Scratch 2 000</v>
          </cell>
          <cell r="W677" t="str">
            <v>2007STS GAMBY &amp; FRERES (SOGAF) Sarl</v>
          </cell>
          <cell r="X677" t="str">
            <v>2007STS GAMBY &amp; FRERES (SOGAF) SarlScratch 2 000</v>
          </cell>
        </row>
        <row r="678">
          <cell r="I678">
            <v>2007</v>
          </cell>
          <cell r="J678" t="str">
            <v>STS GAMBY &amp; FRERES (SOGAF) SarlScratch 5 000</v>
          </cell>
          <cell r="L678">
            <v>0</v>
          </cell>
          <cell r="M678" t="str">
            <v>STS GAMBY &amp; FRERES (SOGAF) Sarl</v>
          </cell>
          <cell r="N678" t="str">
            <v>STS GAMBY &amp; FRERES (SOGAF) SarlScratch 5 000</v>
          </cell>
          <cell r="O678" t="str">
            <v>STS GAMBY &amp; FRERES (SOGAF) Sarl</v>
          </cell>
          <cell r="P678" t="str">
            <v>Scratch 5 000</v>
          </cell>
          <cell r="Q678" t="str">
            <v>32007</v>
          </cell>
          <cell r="R678" t="str">
            <v>32007Scratch 5 000</v>
          </cell>
          <cell r="S678" t="str">
            <v>2007Scratch 5 000</v>
          </cell>
          <cell r="T678" t="str">
            <v>32007STS GAMBY &amp; FRERES (SOGAF) Sarl</v>
          </cell>
          <cell r="U678" t="str">
            <v>32007STS GAMBY &amp; FRERES (SOGAF) SarlScratch 5 000</v>
          </cell>
          <cell r="V678" t="str">
            <v>39161Scratch 5 000</v>
          </cell>
          <cell r="W678" t="str">
            <v>2007STS GAMBY &amp; FRERES (SOGAF) Sarl</v>
          </cell>
          <cell r="X678" t="str">
            <v>2007STS GAMBY &amp; FRERES (SOGAF) SarlScratch 5 000</v>
          </cell>
        </row>
        <row r="679">
          <cell r="I679">
            <v>2007</v>
          </cell>
          <cell r="J679" t="str">
            <v>STS GAMBY &amp; FRERES (SOGAF) SarlScratch 20 000</v>
          </cell>
          <cell r="L679">
            <v>0</v>
          </cell>
          <cell r="M679" t="str">
            <v>STS GAMBY &amp; FRERES (SOGAF) Sarl</v>
          </cell>
          <cell r="N679" t="str">
            <v>STS GAMBY &amp; FRERES (SOGAF) SarlScratch 20 000</v>
          </cell>
          <cell r="O679" t="str">
            <v>STS GAMBY &amp; FRERES (SOGAF) Sarl</v>
          </cell>
          <cell r="P679" t="str">
            <v>Scratch 20 000</v>
          </cell>
          <cell r="Q679" t="str">
            <v>32007</v>
          </cell>
          <cell r="R679" t="str">
            <v>32007Scratch 20 000</v>
          </cell>
          <cell r="S679" t="str">
            <v>2007Scratch 20 000</v>
          </cell>
          <cell r="T679" t="str">
            <v>32007STS GAMBY &amp; FRERES (SOGAF) Sarl</v>
          </cell>
          <cell r="U679" t="str">
            <v>32007STS GAMBY &amp; FRERES (SOGAF) SarlScratch 20 000</v>
          </cell>
          <cell r="V679" t="str">
            <v>39161Scratch 20 000</v>
          </cell>
          <cell r="W679" t="str">
            <v>2007STS GAMBY &amp; FRERES (SOGAF) Sarl</v>
          </cell>
          <cell r="X679" t="str">
            <v>2007STS GAMBY &amp; FRERES (SOGAF) SarlScratch 20 000</v>
          </cell>
        </row>
        <row r="680">
          <cell r="I680">
            <v>2007</v>
          </cell>
          <cell r="J680" t="str">
            <v>ETS Boubacar TANDIAScratch 1 000</v>
          </cell>
          <cell r="L680">
            <v>1</v>
          </cell>
          <cell r="M680" t="str">
            <v>1ETS Boubacar TANDIA</v>
          </cell>
          <cell r="N680" t="str">
            <v>ETS Boubacar TANDIAScratch 1 000</v>
          </cell>
          <cell r="O680" t="str">
            <v>ETS Boubacar TANDIA</v>
          </cell>
          <cell r="P680" t="str">
            <v>Scratch 1 000</v>
          </cell>
          <cell r="Q680" t="str">
            <v>32007</v>
          </cell>
          <cell r="R680" t="str">
            <v>32007Scratch 1 000</v>
          </cell>
          <cell r="S680" t="str">
            <v>2007Scratch 1 000</v>
          </cell>
          <cell r="T680" t="str">
            <v>32007ETS Boubacar TANDIA</v>
          </cell>
          <cell r="U680" t="str">
            <v>32007ETS Boubacar TANDIAScratch 1 000</v>
          </cell>
          <cell r="V680" t="str">
            <v>39161Scratch 1 000</v>
          </cell>
          <cell r="W680" t="str">
            <v>2007ETS Boubacar TANDIA</v>
          </cell>
          <cell r="X680" t="str">
            <v>2007ETS Boubacar TANDIAScratch 1 000</v>
          </cell>
        </row>
        <row r="681">
          <cell r="I681">
            <v>2007</v>
          </cell>
          <cell r="J681" t="str">
            <v>ETS Boubacar TANDIAScratch 2 000</v>
          </cell>
          <cell r="L681">
            <v>0</v>
          </cell>
          <cell r="M681" t="str">
            <v>ETS Boubacar TANDIA</v>
          </cell>
          <cell r="N681" t="str">
            <v>ETS Boubacar TANDIAScratch 2 000</v>
          </cell>
          <cell r="O681" t="str">
            <v>ETS Boubacar TANDIA</v>
          </cell>
          <cell r="P681" t="str">
            <v>Scratch 2 000</v>
          </cell>
          <cell r="Q681" t="str">
            <v>32007</v>
          </cell>
          <cell r="R681" t="str">
            <v>32007Scratch 2 000</v>
          </cell>
          <cell r="S681" t="str">
            <v>2007Scratch 2 000</v>
          </cell>
          <cell r="T681" t="str">
            <v>32007ETS Boubacar TANDIA</v>
          </cell>
          <cell r="U681" t="str">
            <v>32007ETS Boubacar TANDIAScratch 2 000</v>
          </cell>
          <cell r="V681" t="str">
            <v>39161Scratch 2 000</v>
          </cell>
          <cell r="W681" t="str">
            <v>2007ETS Boubacar TANDIA</v>
          </cell>
          <cell r="X681" t="str">
            <v>2007ETS Boubacar TANDIAScratch 2 000</v>
          </cell>
        </row>
        <row r="682">
          <cell r="I682">
            <v>2007</v>
          </cell>
          <cell r="J682" t="str">
            <v>ETS Boubacar TANDIAScratch 5 000</v>
          </cell>
          <cell r="L682">
            <v>0</v>
          </cell>
          <cell r="M682" t="str">
            <v>ETS Boubacar TANDIA</v>
          </cell>
          <cell r="N682" t="str">
            <v>ETS Boubacar TANDIAScratch 5 000</v>
          </cell>
          <cell r="O682" t="str">
            <v>ETS Boubacar TANDIA</v>
          </cell>
          <cell r="P682" t="str">
            <v>Scratch 5 000</v>
          </cell>
          <cell r="Q682" t="str">
            <v>32007</v>
          </cell>
          <cell r="R682" t="str">
            <v>32007Scratch 5 000</v>
          </cell>
          <cell r="S682" t="str">
            <v>2007Scratch 5 000</v>
          </cell>
          <cell r="T682" t="str">
            <v>32007ETS Boubacar TANDIA</v>
          </cell>
          <cell r="U682" t="str">
            <v>32007ETS Boubacar TANDIAScratch 5 000</v>
          </cell>
          <cell r="V682" t="str">
            <v>39161Scratch 5 000</v>
          </cell>
          <cell r="W682" t="str">
            <v>2007ETS Boubacar TANDIA</v>
          </cell>
          <cell r="X682" t="str">
            <v>2007ETS Boubacar TANDIAScratch 5 000</v>
          </cell>
        </row>
        <row r="683">
          <cell r="I683">
            <v>2007</v>
          </cell>
          <cell r="J683" t="str">
            <v>MALI COM SarlScratch 1 000</v>
          </cell>
          <cell r="L683">
            <v>1</v>
          </cell>
          <cell r="M683" t="str">
            <v>1MALI COM Sarl</v>
          </cell>
          <cell r="N683" t="str">
            <v>MALI COM SarlScratch 1 000</v>
          </cell>
          <cell r="O683" t="str">
            <v>MALI COM Sarl</v>
          </cell>
          <cell r="P683" t="str">
            <v>Scratch 1 000</v>
          </cell>
          <cell r="Q683" t="str">
            <v>32007</v>
          </cell>
          <cell r="R683" t="str">
            <v>32007Scratch 1 000</v>
          </cell>
          <cell r="S683" t="str">
            <v>2007Scratch 1 000</v>
          </cell>
          <cell r="T683" t="str">
            <v>32007MALI COM Sarl</v>
          </cell>
          <cell r="U683" t="str">
            <v>32007MALI COM SarlScratch 1 000</v>
          </cell>
          <cell r="V683" t="str">
            <v>39161Scratch 1 000</v>
          </cell>
          <cell r="W683" t="str">
            <v>2007MALI COM Sarl</v>
          </cell>
          <cell r="X683" t="str">
            <v>2007MALI COM SarlScratch 1 000</v>
          </cell>
        </row>
        <row r="684">
          <cell r="I684">
            <v>2007</v>
          </cell>
          <cell r="J684" t="str">
            <v>MALI COM SarlScratch 2 000</v>
          </cell>
          <cell r="L684">
            <v>0</v>
          </cell>
          <cell r="M684" t="str">
            <v>MALI COM Sarl</v>
          </cell>
          <cell r="N684" t="str">
            <v>MALI COM SarlScratch 2 000</v>
          </cell>
          <cell r="O684" t="str">
            <v>MALI COM Sarl</v>
          </cell>
          <cell r="P684" t="str">
            <v>Scratch 2 000</v>
          </cell>
          <cell r="Q684" t="str">
            <v>32007</v>
          </cell>
          <cell r="R684" t="str">
            <v>32007Scratch 2 000</v>
          </cell>
          <cell r="S684" t="str">
            <v>2007Scratch 2 000</v>
          </cell>
          <cell r="T684" t="str">
            <v>32007MALI COM Sarl</v>
          </cell>
          <cell r="U684" t="str">
            <v>32007MALI COM SarlScratch 2 000</v>
          </cell>
          <cell r="V684" t="str">
            <v>39161Scratch 2 000</v>
          </cell>
          <cell r="W684" t="str">
            <v>2007MALI COM Sarl</v>
          </cell>
          <cell r="X684" t="str">
            <v>2007MALI COM SarlScratch 2 000</v>
          </cell>
        </row>
        <row r="685">
          <cell r="I685">
            <v>2007</v>
          </cell>
          <cell r="J685" t="str">
            <v>MALI COM SarlScratch 5 000</v>
          </cell>
          <cell r="L685">
            <v>0</v>
          </cell>
          <cell r="M685" t="str">
            <v>MALI COM Sarl</v>
          </cell>
          <cell r="N685" t="str">
            <v>MALI COM SarlScratch 5 000</v>
          </cell>
          <cell r="O685" t="str">
            <v>MALI COM Sarl</v>
          </cell>
          <cell r="P685" t="str">
            <v>Scratch 5 000</v>
          </cell>
          <cell r="Q685" t="str">
            <v>32007</v>
          </cell>
          <cell r="R685" t="str">
            <v>32007Scratch 5 000</v>
          </cell>
          <cell r="S685" t="str">
            <v>2007Scratch 5 000</v>
          </cell>
          <cell r="T685" t="str">
            <v>32007MALI COM Sarl</v>
          </cell>
          <cell r="U685" t="str">
            <v>32007MALI COM SarlScratch 5 000</v>
          </cell>
          <cell r="V685" t="str">
            <v>39161Scratch 5 000</v>
          </cell>
          <cell r="W685" t="str">
            <v>2007MALI COM Sarl</v>
          </cell>
          <cell r="X685" t="str">
            <v>2007MALI COM SarlScratch 5 000</v>
          </cell>
        </row>
        <row r="686">
          <cell r="I686">
            <v>2007</v>
          </cell>
          <cell r="J686" t="str">
            <v>MALI COM SarlScratch 20 000</v>
          </cell>
          <cell r="L686">
            <v>0</v>
          </cell>
          <cell r="M686" t="str">
            <v>MALI COM Sarl</v>
          </cell>
          <cell r="N686" t="str">
            <v>MALI COM SarlScratch 20 000</v>
          </cell>
          <cell r="O686" t="str">
            <v>MALI COM Sarl</v>
          </cell>
          <cell r="P686" t="str">
            <v>Scratch 20 000</v>
          </cell>
          <cell r="Q686" t="str">
            <v>32007</v>
          </cell>
          <cell r="R686" t="str">
            <v>32007Scratch 20 000</v>
          </cell>
          <cell r="S686" t="str">
            <v>2007Scratch 20 000</v>
          </cell>
          <cell r="T686" t="str">
            <v>32007MALI COM Sarl</v>
          </cell>
          <cell r="U686" t="str">
            <v>32007MALI COM SarlScratch 20 000</v>
          </cell>
          <cell r="V686" t="str">
            <v>39161Scratch 20 000</v>
          </cell>
          <cell r="W686" t="str">
            <v>2007MALI COM Sarl</v>
          </cell>
          <cell r="X686" t="str">
            <v>2007MALI COM SarlScratch 20 000</v>
          </cell>
        </row>
        <row r="687">
          <cell r="I687">
            <v>2007</v>
          </cell>
          <cell r="J687" t="str">
            <v>GEMATELScratch 1 000</v>
          </cell>
          <cell r="L687">
            <v>1</v>
          </cell>
          <cell r="M687" t="str">
            <v>1GEMATEL</v>
          </cell>
          <cell r="N687" t="str">
            <v>GEMATELScratch 1 000</v>
          </cell>
          <cell r="O687" t="str">
            <v>GEMATEL</v>
          </cell>
          <cell r="P687" t="str">
            <v>Scratch 1 000</v>
          </cell>
          <cell r="Q687" t="str">
            <v>32007</v>
          </cell>
          <cell r="R687" t="str">
            <v>32007Scratch 1 000</v>
          </cell>
          <cell r="S687" t="str">
            <v>2007Scratch 1 000</v>
          </cell>
          <cell r="T687" t="str">
            <v>32007GEMATEL</v>
          </cell>
          <cell r="U687" t="str">
            <v>32007GEMATELScratch 1 000</v>
          </cell>
          <cell r="V687" t="str">
            <v>39161Scratch 1 000</v>
          </cell>
          <cell r="W687" t="str">
            <v>2007GEMATEL</v>
          </cell>
          <cell r="X687" t="str">
            <v>2007GEMATELScratch 1 000</v>
          </cell>
        </row>
        <row r="688">
          <cell r="I688">
            <v>2007</v>
          </cell>
          <cell r="J688" t="str">
            <v>GEMATELScratch 2 000</v>
          </cell>
          <cell r="L688">
            <v>0</v>
          </cell>
          <cell r="M688" t="str">
            <v>GEMATEL</v>
          </cell>
          <cell r="N688" t="str">
            <v>GEMATELScratch 2 000</v>
          </cell>
          <cell r="O688" t="str">
            <v>GEMATEL</v>
          </cell>
          <cell r="P688" t="str">
            <v>Scratch 2 000</v>
          </cell>
          <cell r="Q688" t="str">
            <v>32007</v>
          </cell>
          <cell r="R688" t="str">
            <v>32007Scratch 2 000</v>
          </cell>
          <cell r="S688" t="str">
            <v>2007Scratch 2 000</v>
          </cell>
          <cell r="T688" t="str">
            <v>32007GEMATEL</v>
          </cell>
          <cell r="U688" t="str">
            <v>32007GEMATELScratch 2 000</v>
          </cell>
          <cell r="V688" t="str">
            <v>39161Scratch 2 000</v>
          </cell>
          <cell r="W688" t="str">
            <v>2007GEMATEL</v>
          </cell>
          <cell r="X688" t="str">
            <v>2007GEMATELScratch 2 000</v>
          </cell>
        </row>
        <row r="689">
          <cell r="I689">
            <v>2007</v>
          </cell>
          <cell r="J689" t="str">
            <v>SOLEIL LEVANTKit</v>
          </cell>
          <cell r="L689">
            <v>1</v>
          </cell>
          <cell r="M689" t="str">
            <v>1SOLEIL LEVANT</v>
          </cell>
          <cell r="N689" t="str">
            <v>SOLEIL LEVANTKit</v>
          </cell>
          <cell r="O689" t="str">
            <v>SOLEIL LEVANT</v>
          </cell>
          <cell r="P689" t="str">
            <v>Kit</v>
          </cell>
          <cell r="Q689" t="str">
            <v>32007</v>
          </cell>
          <cell r="R689" t="str">
            <v>32007Kit</v>
          </cell>
          <cell r="S689" t="str">
            <v>2007Kit</v>
          </cell>
          <cell r="T689" t="str">
            <v>32007SOLEIL LEVANT</v>
          </cell>
          <cell r="U689" t="str">
            <v>32007SOLEIL LEVANTKit</v>
          </cell>
          <cell r="V689" t="str">
            <v>39162Kit</v>
          </cell>
          <cell r="W689" t="str">
            <v>2007SOLEIL LEVANT</v>
          </cell>
          <cell r="X689" t="str">
            <v>2007SOLEIL LEVANTKit</v>
          </cell>
        </row>
        <row r="690">
          <cell r="I690">
            <v>2007</v>
          </cell>
          <cell r="J690" t="str">
            <v>ETS Boubacar TANDIAKit</v>
          </cell>
          <cell r="L690">
            <v>0</v>
          </cell>
          <cell r="M690" t="str">
            <v>ETS Boubacar TANDIA</v>
          </cell>
          <cell r="N690" t="str">
            <v>ETS Boubacar TANDIAKit</v>
          </cell>
          <cell r="O690" t="str">
            <v>ETS Boubacar TANDIA</v>
          </cell>
          <cell r="P690" t="str">
            <v>Kit</v>
          </cell>
          <cell r="Q690" t="str">
            <v>32007</v>
          </cell>
          <cell r="R690" t="str">
            <v>32007Kit</v>
          </cell>
          <cell r="S690" t="str">
            <v>2007Kit</v>
          </cell>
          <cell r="T690" t="str">
            <v>32007ETS Boubacar TANDIA</v>
          </cell>
          <cell r="U690" t="str">
            <v>32007ETS Boubacar TANDIAKit</v>
          </cell>
          <cell r="V690" t="str">
            <v>39162Kit</v>
          </cell>
          <cell r="W690" t="str">
            <v>2007ETS Boubacar TANDIA</v>
          </cell>
          <cell r="X690" t="str">
            <v>2007ETS Boubacar TANDIAKit</v>
          </cell>
        </row>
        <row r="691">
          <cell r="I691">
            <v>2007</v>
          </cell>
          <cell r="J691" t="str">
            <v>A.L.S SARLKit</v>
          </cell>
          <cell r="L691">
            <v>0</v>
          </cell>
          <cell r="M691" t="str">
            <v>A.L.S SARL</v>
          </cell>
          <cell r="N691" t="str">
            <v>A.L.S SARLKit</v>
          </cell>
          <cell r="O691" t="str">
            <v>A.L.S SARL</v>
          </cell>
          <cell r="P691" t="str">
            <v>Kit</v>
          </cell>
          <cell r="Q691" t="str">
            <v>32007</v>
          </cell>
          <cell r="R691" t="str">
            <v>32007Kit</v>
          </cell>
          <cell r="S691" t="str">
            <v>2007Kit</v>
          </cell>
          <cell r="T691" t="str">
            <v>32007A.L.S SARL</v>
          </cell>
          <cell r="U691" t="str">
            <v>32007A.L.S SARLKit</v>
          </cell>
          <cell r="V691" t="str">
            <v>39162Kit</v>
          </cell>
          <cell r="W691" t="str">
            <v>2007A.L.S SARL</v>
          </cell>
          <cell r="X691" t="str">
            <v>2007A.L.S SARLKit</v>
          </cell>
        </row>
        <row r="692">
          <cell r="I692">
            <v>2007</v>
          </cell>
          <cell r="J692" t="str">
            <v>Burtel MacsymKit</v>
          </cell>
          <cell r="L692">
            <v>0</v>
          </cell>
          <cell r="M692" t="str">
            <v>Burtel Macsym</v>
          </cell>
          <cell r="N692" t="str">
            <v>Burtel MacsymKit</v>
          </cell>
          <cell r="O692" t="str">
            <v>Burtel Macsym</v>
          </cell>
          <cell r="P692" t="str">
            <v>Kit</v>
          </cell>
          <cell r="Q692" t="str">
            <v>32007</v>
          </cell>
          <cell r="R692" t="str">
            <v>32007Kit</v>
          </cell>
          <cell r="S692" t="str">
            <v>2007Kit</v>
          </cell>
          <cell r="T692" t="str">
            <v>32007Burtel Macsym</v>
          </cell>
          <cell r="U692" t="str">
            <v>32007Burtel MacsymKit</v>
          </cell>
          <cell r="V692" t="str">
            <v>39162Kit</v>
          </cell>
          <cell r="W692" t="str">
            <v>2007Burtel Macsym</v>
          </cell>
          <cell r="X692" t="str">
            <v>2007Burtel MacsymKit</v>
          </cell>
        </row>
        <row r="693">
          <cell r="I693">
            <v>2007</v>
          </cell>
          <cell r="J693" t="str">
            <v>STS GAMBY &amp; FRERES (SOGAF) SarlKit</v>
          </cell>
          <cell r="L693">
            <v>0</v>
          </cell>
          <cell r="M693" t="str">
            <v>STS GAMBY &amp; FRERES (SOGAF) Sarl</v>
          </cell>
          <cell r="N693" t="str">
            <v>STS GAMBY &amp; FRERES (SOGAF) SarlKit</v>
          </cell>
          <cell r="O693" t="str">
            <v>STS GAMBY &amp; FRERES (SOGAF) Sarl</v>
          </cell>
          <cell r="P693" t="str">
            <v>Kit</v>
          </cell>
          <cell r="Q693" t="str">
            <v>32007</v>
          </cell>
          <cell r="R693" t="str">
            <v>32007Kit</v>
          </cell>
          <cell r="S693" t="str">
            <v>2007Kit</v>
          </cell>
          <cell r="T693" t="str">
            <v>32007STS GAMBY &amp; FRERES (SOGAF) Sarl</v>
          </cell>
          <cell r="U693" t="str">
            <v>32007STS GAMBY &amp; FRERES (SOGAF) SarlKit</v>
          </cell>
          <cell r="V693" t="str">
            <v>39162Kit</v>
          </cell>
          <cell r="W693" t="str">
            <v>2007STS GAMBY &amp; FRERES (SOGAF) Sarl</v>
          </cell>
          <cell r="X693" t="str">
            <v>2007STS GAMBY &amp; FRERES (SOGAF) SarlKit</v>
          </cell>
        </row>
        <row r="694">
          <cell r="I694">
            <v>2007</v>
          </cell>
          <cell r="J694" t="str">
            <v>Balmaya TELECOM/ ETS SackoKit</v>
          </cell>
          <cell r="L694">
            <v>0</v>
          </cell>
          <cell r="M694" t="str">
            <v>Balmaya TELECOM/ ETS Sacko</v>
          </cell>
          <cell r="N694" t="str">
            <v>Balmaya TELECOM/ ETS SackoKit</v>
          </cell>
          <cell r="O694" t="str">
            <v>Balmaya TELECOM/ ETS Sacko</v>
          </cell>
          <cell r="P694" t="str">
            <v>Kit</v>
          </cell>
          <cell r="Q694" t="str">
            <v>32007</v>
          </cell>
          <cell r="R694" t="str">
            <v>32007Kit</v>
          </cell>
          <cell r="S694" t="str">
            <v>2007Kit</v>
          </cell>
          <cell r="T694" t="str">
            <v>32007Balmaya TELECOM/ ETS Sacko</v>
          </cell>
          <cell r="U694" t="str">
            <v>32007Balmaya TELECOM/ ETS SackoKit</v>
          </cell>
          <cell r="V694" t="str">
            <v>39162Kit</v>
          </cell>
          <cell r="W694" t="str">
            <v>2007Balmaya TELECOM/ ETS Sacko</v>
          </cell>
          <cell r="X694" t="str">
            <v>2007Balmaya TELECOM/ ETS SackoKit</v>
          </cell>
        </row>
        <row r="695">
          <cell r="I695">
            <v>2007</v>
          </cell>
          <cell r="J695" t="str">
            <v>GEMATELScratch 1 000</v>
          </cell>
          <cell r="L695">
            <v>1</v>
          </cell>
          <cell r="M695" t="str">
            <v>1GEMATEL</v>
          </cell>
          <cell r="N695" t="str">
            <v>GEMATELScratch 1 000</v>
          </cell>
          <cell r="O695" t="str">
            <v>GEMATEL</v>
          </cell>
          <cell r="P695" t="str">
            <v>Scratch 1 000</v>
          </cell>
          <cell r="Q695" t="str">
            <v>32007</v>
          </cell>
          <cell r="R695" t="str">
            <v>32007Scratch 1 000</v>
          </cell>
          <cell r="S695" t="str">
            <v>2007Scratch 1 000</v>
          </cell>
          <cell r="T695" t="str">
            <v>32007GEMATEL</v>
          </cell>
          <cell r="U695" t="str">
            <v>32007GEMATELScratch 1 000</v>
          </cell>
          <cell r="V695" t="str">
            <v>39162Scratch 1 000</v>
          </cell>
          <cell r="W695" t="str">
            <v>2007GEMATEL</v>
          </cell>
          <cell r="X695" t="str">
            <v>2007GEMATELScratch 1 000</v>
          </cell>
        </row>
        <row r="696">
          <cell r="I696">
            <v>2007</v>
          </cell>
          <cell r="J696" t="str">
            <v>SODIBAFScratch 1 000</v>
          </cell>
          <cell r="L696">
            <v>1</v>
          </cell>
          <cell r="M696" t="str">
            <v>1SODIBAF</v>
          </cell>
          <cell r="N696" t="str">
            <v>SODIBAFScratch 1 000</v>
          </cell>
          <cell r="O696" t="str">
            <v>SODIBAF</v>
          </cell>
          <cell r="P696" t="str">
            <v>Scratch 1 000</v>
          </cell>
          <cell r="Q696" t="str">
            <v>32007</v>
          </cell>
          <cell r="R696" t="str">
            <v>32007Scratch 1 000</v>
          </cell>
          <cell r="S696" t="str">
            <v>2007Scratch 1 000</v>
          </cell>
          <cell r="T696" t="str">
            <v>32007SODIBAF</v>
          </cell>
          <cell r="U696" t="str">
            <v>32007SODIBAFScratch 1 000</v>
          </cell>
          <cell r="V696" t="str">
            <v>39162Scratch 1 000</v>
          </cell>
          <cell r="W696" t="str">
            <v>2007SODIBAF</v>
          </cell>
          <cell r="X696" t="str">
            <v>2007SODIBAFScratch 1 000</v>
          </cell>
        </row>
        <row r="697">
          <cell r="I697">
            <v>2007</v>
          </cell>
          <cell r="J697" t="str">
            <v>SODIBAFScratch 2 000</v>
          </cell>
          <cell r="L697">
            <v>0</v>
          </cell>
          <cell r="M697" t="str">
            <v>SODIBAF</v>
          </cell>
          <cell r="N697" t="str">
            <v>SODIBAFScratch 2 000</v>
          </cell>
          <cell r="O697" t="str">
            <v>SODIBAF</v>
          </cell>
          <cell r="P697" t="str">
            <v>Scratch 2 000</v>
          </cell>
          <cell r="Q697" t="str">
            <v>32007</v>
          </cell>
          <cell r="R697" t="str">
            <v>32007Scratch 2 000</v>
          </cell>
          <cell r="S697" t="str">
            <v>2007Scratch 2 000</v>
          </cell>
          <cell r="T697" t="str">
            <v>32007SODIBAF</v>
          </cell>
          <cell r="U697" t="str">
            <v>32007SODIBAFScratch 2 000</v>
          </cell>
          <cell r="V697" t="str">
            <v>39162Scratch 2 000</v>
          </cell>
          <cell r="W697" t="str">
            <v>2007SODIBAF</v>
          </cell>
          <cell r="X697" t="str">
            <v>2007SODIBAFScratch 2 000</v>
          </cell>
        </row>
        <row r="698">
          <cell r="I698">
            <v>2007</v>
          </cell>
          <cell r="J698" t="str">
            <v>STS GAMBY &amp; FRERES (SOGAF) SarlScratch 1 000</v>
          </cell>
          <cell r="L698">
            <v>1</v>
          </cell>
          <cell r="M698" t="str">
            <v>1STS GAMBY &amp; FRERES (SOGAF) Sarl</v>
          </cell>
          <cell r="N698" t="str">
            <v>STS GAMBY &amp; FRERES (SOGAF) SarlScratch 1 000</v>
          </cell>
          <cell r="O698" t="str">
            <v>STS GAMBY &amp; FRERES (SOGAF) Sarl</v>
          </cell>
          <cell r="P698" t="str">
            <v>Scratch 1 000</v>
          </cell>
          <cell r="Q698" t="str">
            <v>32007</v>
          </cell>
          <cell r="R698" t="str">
            <v>32007Scratch 1 000</v>
          </cell>
          <cell r="S698" t="str">
            <v>2007Scratch 1 000</v>
          </cell>
          <cell r="T698" t="str">
            <v>32007STS GAMBY &amp; FRERES (SOGAF) Sarl</v>
          </cell>
          <cell r="U698" t="str">
            <v>32007STS GAMBY &amp; FRERES (SOGAF) SarlScratch 1 000</v>
          </cell>
          <cell r="V698" t="str">
            <v>39162Scratch 1 000</v>
          </cell>
          <cell r="W698" t="str">
            <v>2007STS GAMBY &amp; FRERES (SOGAF) Sarl</v>
          </cell>
          <cell r="X698" t="str">
            <v>2007STS GAMBY &amp; FRERES (SOGAF) SarlScratch 1 000</v>
          </cell>
        </row>
        <row r="699">
          <cell r="I699">
            <v>2007</v>
          </cell>
          <cell r="J699" t="str">
            <v>STS GAMBY &amp; FRERES (SOGAF) SarlScratch 2 000</v>
          </cell>
          <cell r="L699">
            <v>0</v>
          </cell>
          <cell r="M699" t="str">
            <v>STS GAMBY &amp; FRERES (SOGAF) Sarl</v>
          </cell>
          <cell r="N699" t="str">
            <v>STS GAMBY &amp; FRERES (SOGAF) SarlScratch 2 000</v>
          </cell>
          <cell r="O699" t="str">
            <v>STS GAMBY &amp; FRERES (SOGAF) Sarl</v>
          </cell>
          <cell r="P699" t="str">
            <v>Scratch 2 000</v>
          </cell>
          <cell r="Q699" t="str">
            <v>32007</v>
          </cell>
          <cell r="R699" t="str">
            <v>32007Scratch 2 000</v>
          </cell>
          <cell r="S699" t="str">
            <v>2007Scratch 2 000</v>
          </cell>
          <cell r="T699" t="str">
            <v>32007STS GAMBY &amp; FRERES (SOGAF) Sarl</v>
          </cell>
          <cell r="U699" t="str">
            <v>32007STS GAMBY &amp; FRERES (SOGAF) SarlScratch 2 000</v>
          </cell>
          <cell r="V699" t="str">
            <v>39162Scratch 2 000</v>
          </cell>
          <cell r="W699" t="str">
            <v>2007STS GAMBY &amp; FRERES (SOGAF) Sarl</v>
          </cell>
          <cell r="X699" t="str">
            <v>2007STS GAMBY &amp; FRERES (SOGAF) SarlScratch 2 000</v>
          </cell>
        </row>
        <row r="700">
          <cell r="I700">
            <v>2007</v>
          </cell>
          <cell r="J700" t="str">
            <v>STS GAMBY &amp; FRERES (SOGAF) SarlScratch 5 000</v>
          </cell>
          <cell r="L700">
            <v>0</v>
          </cell>
          <cell r="M700" t="str">
            <v>STS GAMBY &amp; FRERES (SOGAF) Sarl</v>
          </cell>
          <cell r="N700" t="str">
            <v>STS GAMBY &amp; FRERES (SOGAF) SarlScratch 5 000</v>
          </cell>
          <cell r="O700" t="str">
            <v>STS GAMBY &amp; FRERES (SOGAF) Sarl</v>
          </cell>
          <cell r="P700" t="str">
            <v>Scratch 5 000</v>
          </cell>
          <cell r="Q700" t="str">
            <v>32007</v>
          </cell>
          <cell r="R700" t="str">
            <v>32007Scratch 5 000</v>
          </cell>
          <cell r="S700" t="str">
            <v>2007Scratch 5 000</v>
          </cell>
          <cell r="T700" t="str">
            <v>32007STS GAMBY &amp; FRERES (SOGAF) Sarl</v>
          </cell>
          <cell r="U700" t="str">
            <v>32007STS GAMBY &amp; FRERES (SOGAF) SarlScratch 5 000</v>
          </cell>
          <cell r="V700" t="str">
            <v>39162Scratch 5 000</v>
          </cell>
          <cell r="W700" t="str">
            <v>2007STS GAMBY &amp; FRERES (SOGAF) Sarl</v>
          </cell>
          <cell r="X700" t="str">
            <v>2007STS GAMBY &amp; FRERES (SOGAF) SarlScratch 5 000</v>
          </cell>
        </row>
        <row r="701">
          <cell r="I701">
            <v>2007</v>
          </cell>
          <cell r="J701" t="str">
            <v>GEMATELScratch 1 000</v>
          </cell>
          <cell r="L701">
            <v>1</v>
          </cell>
          <cell r="M701" t="str">
            <v>1GEMATEL</v>
          </cell>
          <cell r="N701" t="str">
            <v>GEMATELScratch 1 000</v>
          </cell>
          <cell r="O701" t="str">
            <v>GEMATEL</v>
          </cell>
          <cell r="P701" t="str">
            <v>Scratch 1 000</v>
          </cell>
          <cell r="Q701" t="str">
            <v>32007</v>
          </cell>
          <cell r="R701" t="str">
            <v>32007Scratch 1 000</v>
          </cell>
          <cell r="S701" t="str">
            <v>2007Scratch 1 000</v>
          </cell>
          <cell r="T701" t="str">
            <v>32007GEMATEL</v>
          </cell>
          <cell r="U701" t="str">
            <v>32007GEMATELScratch 1 000</v>
          </cell>
          <cell r="V701" t="str">
            <v>39162Scratch 1 000</v>
          </cell>
          <cell r="W701" t="str">
            <v>2007GEMATEL</v>
          </cell>
          <cell r="X701" t="str">
            <v>2007GEMATELScratch 1 000</v>
          </cell>
        </row>
        <row r="702">
          <cell r="I702">
            <v>2007</v>
          </cell>
          <cell r="J702" t="str">
            <v>GEMATELScratch 2 000</v>
          </cell>
          <cell r="L702">
            <v>0</v>
          </cell>
          <cell r="M702" t="str">
            <v>GEMATEL</v>
          </cell>
          <cell r="N702" t="str">
            <v>GEMATELScratch 2 000</v>
          </cell>
          <cell r="O702" t="str">
            <v>GEMATEL</v>
          </cell>
          <cell r="P702" t="str">
            <v>Scratch 2 000</v>
          </cell>
          <cell r="Q702" t="str">
            <v>32007</v>
          </cell>
          <cell r="R702" t="str">
            <v>32007Scratch 2 000</v>
          </cell>
          <cell r="S702" t="str">
            <v>2007Scratch 2 000</v>
          </cell>
          <cell r="T702" t="str">
            <v>32007GEMATEL</v>
          </cell>
          <cell r="U702" t="str">
            <v>32007GEMATELScratch 2 000</v>
          </cell>
          <cell r="V702" t="str">
            <v>39162Scratch 2 000</v>
          </cell>
          <cell r="W702" t="str">
            <v>2007GEMATEL</v>
          </cell>
          <cell r="X702" t="str">
            <v>2007GEMATELScratch 2 000</v>
          </cell>
        </row>
        <row r="703">
          <cell r="I703">
            <v>2007</v>
          </cell>
          <cell r="J703" t="str">
            <v>GEMATELScratch 5 000</v>
          </cell>
          <cell r="L703">
            <v>0</v>
          </cell>
          <cell r="M703" t="str">
            <v>GEMATEL</v>
          </cell>
          <cell r="N703" t="str">
            <v>GEMATELScratch 5 000</v>
          </cell>
          <cell r="O703" t="str">
            <v>GEMATEL</v>
          </cell>
          <cell r="P703" t="str">
            <v>Scratch 5 000</v>
          </cell>
          <cell r="Q703" t="str">
            <v>32007</v>
          </cell>
          <cell r="R703" t="str">
            <v>32007Scratch 5 000</v>
          </cell>
          <cell r="S703" t="str">
            <v>2007Scratch 5 000</v>
          </cell>
          <cell r="T703" t="str">
            <v>32007GEMATEL</v>
          </cell>
          <cell r="U703" t="str">
            <v>32007GEMATELScratch 5 000</v>
          </cell>
          <cell r="V703" t="str">
            <v>39162Scratch 5 000</v>
          </cell>
          <cell r="W703" t="str">
            <v>2007GEMATEL</v>
          </cell>
          <cell r="X703" t="str">
            <v>2007GEMATELScratch 5 000</v>
          </cell>
        </row>
        <row r="704">
          <cell r="I704">
            <v>2007</v>
          </cell>
          <cell r="J704" t="str">
            <v>GEMATELScratch 10 000</v>
          </cell>
          <cell r="L704">
            <v>0</v>
          </cell>
          <cell r="M704" t="str">
            <v>GEMATEL</v>
          </cell>
          <cell r="N704" t="str">
            <v>GEMATELScratch 10 000</v>
          </cell>
          <cell r="O704" t="str">
            <v>GEMATEL</v>
          </cell>
          <cell r="P704" t="str">
            <v>Scratch 10 000</v>
          </cell>
          <cell r="Q704" t="str">
            <v>32007</v>
          </cell>
          <cell r="R704" t="str">
            <v>32007Scratch 10 000</v>
          </cell>
          <cell r="S704" t="str">
            <v>2007Scratch 10 000</v>
          </cell>
          <cell r="T704" t="str">
            <v>32007GEMATEL</v>
          </cell>
          <cell r="U704" t="str">
            <v>32007GEMATELScratch 10 000</v>
          </cell>
          <cell r="V704" t="str">
            <v>39162Scratch 10 000</v>
          </cell>
          <cell r="W704" t="str">
            <v>2007GEMATEL</v>
          </cell>
          <cell r="X704" t="str">
            <v>2007GEMATELScratch 10 000</v>
          </cell>
        </row>
        <row r="705">
          <cell r="I705">
            <v>2007</v>
          </cell>
          <cell r="J705" t="str">
            <v>GEMATELScratch 20 000</v>
          </cell>
          <cell r="L705">
            <v>0</v>
          </cell>
          <cell r="M705" t="str">
            <v>GEMATEL</v>
          </cell>
          <cell r="N705" t="str">
            <v>GEMATELScratch 20 000</v>
          </cell>
          <cell r="O705" t="str">
            <v>GEMATEL</v>
          </cell>
          <cell r="P705" t="str">
            <v>Scratch 20 000</v>
          </cell>
          <cell r="Q705" t="str">
            <v>32007</v>
          </cell>
          <cell r="R705" t="str">
            <v>32007Scratch 20 000</v>
          </cell>
          <cell r="S705" t="str">
            <v>2007Scratch 20 000</v>
          </cell>
          <cell r="T705" t="str">
            <v>32007GEMATEL</v>
          </cell>
          <cell r="U705" t="str">
            <v>32007GEMATELScratch 20 000</v>
          </cell>
          <cell r="V705" t="str">
            <v>39162Scratch 20 000</v>
          </cell>
          <cell r="W705" t="str">
            <v>2007GEMATEL</v>
          </cell>
          <cell r="X705" t="str">
            <v>2007GEMATELScratch 20 000</v>
          </cell>
        </row>
        <row r="706">
          <cell r="I706">
            <v>2007</v>
          </cell>
          <cell r="J706" t="str">
            <v>ANKA ServicesScratch 1 000</v>
          </cell>
          <cell r="L706">
            <v>1</v>
          </cell>
          <cell r="M706" t="str">
            <v>1ANKA Services</v>
          </cell>
          <cell r="N706" t="str">
            <v>ANKA ServicesScratch 1 000</v>
          </cell>
          <cell r="O706" t="str">
            <v>ANKA Services</v>
          </cell>
          <cell r="P706" t="str">
            <v>Scratch 1 000</v>
          </cell>
          <cell r="Q706" t="str">
            <v>32007</v>
          </cell>
          <cell r="R706" t="str">
            <v>32007Scratch 1 000</v>
          </cell>
          <cell r="S706" t="str">
            <v>2007Scratch 1 000</v>
          </cell>
          <cell r="T706" t="str">
            <v>32007ANKA Services</v>
          </cell>
          <cell r="U706" t="str">
            <v>32007ANKA ServicesScratch 1 000</v>
          </cell>
          <cell r="V706" t="str">
            <v>39162Scratch 1 000</v>
          </cell>
          <cell r="W706" t="str">
            <v>2007ANKA Services</v>
          </cell>
          <cell r="X706" t="str">
            <v>2007ANKA ServicesScratch 1 000</v>
          </cell>
        </row>
        <row r="707">
          <cell r="I707">
            <v>2007</v>
          </cell>
          <cell r="J707" t="str">
            <v>ANKA ServicesScratch 2 000</v>
          </cell>
          <cell r="L707">
            <v>0</v>
          </cell>
          <cell r="M707" t="str">
            <v>ANKA Services</v>
          </cell>
          <cell r="N707" t="str">
            <v>ANKA ServicesScratch 2 000</v>
          </cell>
          <cell r="O707" t="str">
            <v>ANKA Services</v>
          </cell>
          <cell r="P707" t="str">
            <v>Scratch 2 000</v>
          </cell>
          <cell r="Q707" t="str">
            <v>32007</v>
          </cell>
          <cell r="R707" t="str">
            <v>32007Scratch 2 000</v>
          </cell>
          <cell r="S707" t="str">
            <v>2007Scratch 2 000</v>
          </cell>
          <cell r="T707" t="str">
            <v>32007ANKA Services</v>
          </cell>
          <cell r="U707" t="str">
            <v>32007ANKA ServicesScratch 2 000</v>
          </cell>
          <cell r="V707" t="str">
            <v>39162Scratch 2 000</v>
          </cell>
          <cell r="W707" t="str">
            <v>2007ANKA Services</v>
          </cell>
          <cell r="X707" t="str">
            <v>2007ANKA ServicesScratch 2 000</v>
          </cell>
        </row>
        <row r="708">
          <cell r="I708">
            <v>2007</v>
          </cell>
          <cell r="J708" t="str">
            <v>ANKA ServicesScratch 5 000</v>
          </cell>
          <cell r="L708">
            <v>0</v>
          </cell>
          <cell r="M708" t="str">
            <v>ANKA Services</v>
          </cell>
          <cell r="N708" t="str">
            <v>ANKA ServicesScratch 5 000</v>
          </cell>
          <cell r="O708" t="str">
            <v>ANKA Services</v>
          </cell>
          <cell r="P708" t="str">
            <v>Scratch 5 000</v>
          </cell>
          <cell r="Q708" t="str">
            <v>32007</v>
          </cell>
          <cell r="R708" t="str">
            <v>32007Scratch 5 000</v>
          </cell>
          <cell r="S708" t="str">
            <v>2007Scratch 5 000</v>
          </cell>
          <cell r="T708" t="str">
            <v>32007ANKA Services</v>
          </cell>
          <cell r="U708" t="str">
            <v>32007ANKA ServicesScratch 5 000</v>
          </cell>
          <cell r="V708" t="str">
            <v>39162Scratch 5 000</v>
          </cell>
          <cell r="W708" t="str">
            <v>2007ANKA Services</v>
          </cell>
          <cell r="X708" t="str">
            <v>2007ANKA ServicesScratch 5 000</v>
          </cell>
        </row>
        <row r="709">
          <cell r="I709">
            <v>2007</v>
          </cell>
          <cell r="J709" t="str">
            <v>GEMATELScratch 1 000</v>
          </cell>
          <cell r="L709">
            <v>1</v>
          </cell>
          <cell r="M709" t="str">
            <v>1GEMATEL</v>
          </cell>
          <cell r="N709" t="str">
            <v>GEMATELScratch 1 000</v>
          </cell>
          <cell r="O709" t="str">
            <v>GEMATEL</v>
          </cell>
          <cell r="P709" t="str">
            <v>Scratch 1 000</v>
          </cell>
          <cell r="Q709" t="str">
            <v>32007</v>
          </cell>
          <cell r="R709" t="str">
            <v>32007Scratch 1 000</v>
          </cell>
          <cell r="S709" t="str">
            <v>2007Scratch 1 000</v>
          </cell>
          <cell r="T709" t="str">
            <v>32007GEMATEL</v>
          </cell>
          <cell r="U709" t="str">
            <v>32007GEMATELScratch 1 000</v>
          </cell>
          <cell r="V709" t="str">
            <v>39162Scratch 1 000</v>
          </cell>
          <cell r="W709" t="str">
            <v>2007GEMATEL</v>
          </cell>
          <cell r="X709" t="str">
            <v>2007GEMATELScratch 1 000</v>
          </cell>
        </row>
        <row r="710">
          <cell r="I710">
            <v>2007</v>
          </cell>
          <cell r="J710" t="str">
            <v>GEMATELScratch 2 000</v>
          </cell>
          <cell r="L710">
            <v>0</v>
          </cell>
          <cell r="M710" t="str">
            <v>GEMATEL</v>
          </cell>
          <cell r="N710" t="str">
            <v>GEMATELScratch 2 000</v>
          </cell>
          <cell r="O710" t="str">
            <v>GEMATEL</v>
          </cell>
          <cell r="P710" t="str">
            <v>Scratch 2 000</v>
          </cell>
          <cell r="Q710" t="str">
            <v>32007</v>
          </cell>
          <cell r="R710" t="str">
            <v>32007Scratch 2 000</v>
          </cell>
          <cell r="S710" t="str">
            <v>2007Scratch 2 000</v>
          </cell>
          <cell r="T710" t="str">
            <v>32007GEMATEL</v>
          </cell>
          <cell r="U710" t="str">
            <v>32007GEMATELScratch 2 000</v>
          </cell>
          <cell r="V710" t="str">
            <v>39163Scratch 2 000</v>
          </cell>
          <cell r="W710" t="str">
            <v>2007GEMATEL</v>
          </cell>
          <cell r="X710" t="str">
            <v>2007GEMATELScratch 2 000</v>
          </cell>
        </row>
        <row r="711">
          <cell r="I711">
            <v>2007</v>
          </cell>
          <cell r="J711" t="str">
            <v>GEMATELScratch 5 000</v>
          </cell>
          <cell r="L711">
            <v>0</v>
          </cell>
          <cell r="M711" t="str">
            <v>GEMATEL</v>
          </cell>
          <cell r="N711" t="str">
            <v>GEMATELScratch 5 000</v>
          </cell>
          <cell r="O711" t="str">
            <v>GEMATEL</v>
          </cell>
          <cell r="P711" t="str">
            <v>Scratch 5 000</v>
          </cell>
          <cell r="Q711" t="str">
            <v>32007</v>
          </cell>
          <cell r="R711" t="str">
            <v>32007Scratch 5 000</v>
          </cell>
          <cell r="S711" t="str">
            <v>2007Scratch 5 000</v>
          </cell>
          <cell r="T711" t="str">
            <v>32007GEMATEL</v>
          </cell>
          <cell r="U711" t="str">
            <v>32007GEMATELScratch 5 000</v>
          </cell>
          <cell r="V711" t="str">
            <v>39163Scratch 5 000</v>
          </cell>
          <cell r="W711" t="str">
            <v>2007GEMATEL</v>
          </cell>
          <cell r="X711" t="str">
            <v>2007GEMATELScratch 5 000</v>
          </cell>
        </row>
        <row r="712">
          <cell r="I712">
            <v>2007</v>
          </cell>
          <cell r="J712" t="str">
            <v>SOLEIL LEVANTKit</v>
          </cell>
          <cell r="L712">
            <v>1</v>
          </cell>
          <cell r="M712" t="str">
            <v>1SOLEIL LEVANT</v>
          </cell>
          <cell r="N712" t="str">
            <v>SOLEIL LEVANTKit</v>
          </cell>
          <cell r="O712" t="str">
            <v>SOLEIL LEVANT</v>
          </cell>
          <cell r="P712" t="str">
            <v>Kit</v>
          </cell>
          <cell r="Q712" t="str">
            <v>32007</v>
          </cell>
          <cell r="R712" t="str">
            <v>32007Kit</v>
          </cell>
          <cell r="S712" t="str">
            <v>2007Kit</v>
          </cell>
          <cell r="T712" t="str">
            <v>32007SOLEIL LEVANT</v>
          </cell>
          <cell r="U712" t="str">
            <v>32007SOLEIL LEVANTKit</v>
          </cell>
          <cell r="V712" t="str">
            <v>39164Kit</v>
          </cell>
          <cell r="W712" t="str">
            <v>2007SOLEIL LEVANT</v>
          </cell>
          <cell r="X712" t="str">
            <v>2007SOLEIL LEVANTKit</v>
          </cell>
        </row>
        <row r="713">
          <cell r="I713">
            <v>2007</v>
          </cell>
          <cell r="J713" t="str">
            <v>ETS Boubacar TANDIAKit</v>
          </cell>
          <cell r="L713">
            <v>0</v>
          </cell>
          <cell r="M713" t="str">
            <v>ETS Boubacar TANDIA</v>
          </cell>
          <cell r="N713" t="str">
            <v>ETS Boubacar TANDIAKit</v>
          </cell>
          <cell r="O713" t="str">
            <v>ETS Boubacar TANDIA</v>
          </cell>
          <cell r="P713" t="str">
            <v>Kit</v>
          </cell>
          <cell r="Q713" t="str">
            <v>32007</v>
          </cell>
          <cell r="R713" t="str">
            <v>32007Kit</v>
          </cell>
          <cell r="S713" t="str">
            <v>2007Kit</v>
          </cell>
          <cell r="T713" t="str">
            <v>32007ETS Boubacar TANDIA</v>
          </cell>
          <cell r="U713" t="str">
            <v>32007ETS Boubacar TANDIAKit</v>
          </cell>
          <cell r="V713" t="str">
            <v>39164Kit</v>
          </cell>
          <cell r="W713" t="str">
            <v>2007ETS Boubacar TANDIA</v>
          </cell>
          <cell r="X713" t="str">
            <v>2007ETS Boubacar TANDIAKit</v>
          </cell>
        </row>
        <row r="714">
          <cell r="I714">
            <v>2007</v>
          </cell>
          <cell r="J714" t="str">
            <v>GEMATELKit</v>
          </cell>
          <cell r="L714">
            <v>0</v>
          </cell>
          <cell r="M714" t="str">
            <v>GEMATEL</v>
          </cell>
          <cell r="N714" t="str">
            <v>GEMATELKit</v>
          </cell>
          <cell r="O714" t="str">
            <v>GEMATEL</v>
          </cell>
          <cell r="P714" t="str">
            <v>Kit</v>
          </cell>
          <cell r="Q714" t="str">
            <v>32007</v>
          </cell>
          <cell r="R714" t="str">
            <v>32007Kit</v>
          </cell>
          <cell r="S714" t="str">
            <v>2007Kit</v>
          </cell>
          <cell r="T714" t="str">
            <v>32007GEMATEL</v>
          </cell>
          <cell r="U714" t="str">
            <v>32007GEMATELKit</v>
          </cell>
          <cell r="V714" t="str">
            <v>39164Kit</v>
          </cell>
          <cell r="W714" t="str">
            <v>2007GEMATEL</v>
          </cell>
          <cell r="X714" t="str">
            <v>2007GEMATELKit</v>
          </cell>
        </row>
        <row r="715">
          <cell r="I715">
            <v>2007</v>
          </cell>
          <cell r="J715" t="str">
            <v>Burtel MacsymKit</v>
          </cell>
          <cell r="L715">
            <v>0</v>
          </cell>
          <cell r="M715" t="str">
            <v>Burtel Macsym</v>
          </cell>
          <cell r="N715" t="str">
            <v>Burtel MacsymKit</v>
          </cell>
          <cell r="O715" t="str">
            <v>Burtel Macsym</v>
          </cell>
          <cell r="P715" t="str">
            <v>Kit</v>
          </cell>
          <cell r="Q715" t="str">
            <v>32007</v>
          </cell>
          <cell r="R715" t="str">
            <v>32007Kit</v>
          </cell>
          <cell r="S715" t="str">
            <v>2007Kit</v>
          </cell>
          <cell r="T715" t="str">
            <v>32007Burtel Macsym</v>
          </cell>
          <cell r="U715" t="str">
            <v>32007Burtel MacsymKit</v>
          </cell>
          <cell r="V715" t="str">
            <v>39164Kit</v>
          </cell>
          <cell r="W715" t="str">
            <v>2007Burtel Macsym</v>
          </cell>
          <cell r="X715" t="str">
            <v>2007Burtel MacsymKit</v>
          </cell>
        </row>
        <row r="716">
          <cell r="I716">
            <v>2007</v>
          </cell>
          <cell r="J716" t="str">
            <v>Bonneterie Nouvelle TelecomKit</v>
          </cell>
          <cell r="L716">
            <v>0</v>
          </cell>
          <cell r="M716" t="str">
            <v>Bonneterie Nouvelle Telecom</v>
          </cell>
          <cell r="N716" t="str">
            <v>Bonneterie Nouvelle TelecomKit</v>
          </cell>
          <cell r="O716" t="str">
            <v>Bonneterie Nouvelle Telecom</v>
          </cell>
          <cell r="P716" t="str">
            <v>Kit</v>
          </cell>
          <cell r="Q716" t="str">
            <v>32007</v>
          </cell>
          <cell r="R716" t="str">
            <v>32007Kit</v>
          </cell>
          <cell r="S716" t="str">
            <v>2007Kit</v>
          </cell>
          <cell r="T716" t="str">
            <v>32007Bonneterie Nouvelle Telecom</v>
          </cell>
          <cell r="U716" t="str">
            <v>32007Bonneterie Nouvelle TelecomKit</v>
          </cell>
          <cell r="V716" t="str">
            <v>39164Kit</v>
          </cell>
          <cell r="W716" t="str">
            <v>2007Bonneterie Nouvelle Telecom</v>
          </cell>
          <cell r="X716" t="str">
            <v>2007Bonneterie Nouvelle TelecomKit</v>
          </cell>
        </row>
        <row r="717">
          <cell r="I717">
            <v>2007</v>
          </cell>
          <cell r="J717" t="str">
            <v>Ets Mamadou GAMBYKit</v>
          </cell>
          <cell r="L717">
            <v>0</v>
          </cell>
          <cell r="M717" t="str">
            <v>Ets Mamadou GAMBY</v>
          </cell>
          <cell r="N717" t="str">
            <v>Ets Mamadou GAMBYKit</v>
          </cell>
          <cell r="O717" t="str">
            <v>Ets Mamadou GAMBY</v>
          </cell>
          <cell r="P717" t="str">
            <v>Kit</v>
          </cell>
          <cell r="Q717" t="str">
            <v>32007</v>
          </cell>
          <cell r="R717" t="str">
            <v>32007Kit</v>
          </cell>
          <cell r="S717" t="str">
            <v>2007Kit</v>
          </cell>
          <cell r="T717" t="str">
            <v>32007Ets Mamadou GAMBY</v>
          </cell>
          <cell r="U717" t="str">
            <v>32007Ets Mamadou GAMBYKit</v>
          </cell>
          <cell r="V717" t="str">
            <v>39164Kit</v>
          </cell>
          <cell r="W717" t="str">
            <v>2007Ets Mamadou GAMBY</v>
          </cell>
          <cell r="X717" t="str">
            <v>2007Ets Mamadou GAMBYKit</v>
          </cell>
        </row>
        <row r="718">
          <cell r="I718">
            <v>2007</v>
          </cell>
          <cell r="J718" t="str">
            <v>Balmaya TELECOM/ ETS SackoKit</v>
          </cell>
          <cell r="L718">
            <v>0</v>
          </cell>
          <cell r="M718" t="str">
            <v>Balmaya TELECOM/ ETS Sacko</v>
          </cell>
          <cell r="N718" t="str">
            <v>Balmaya TELECOM/ ETS SackoKit</v>
          </cell>
          <cell r="O718" t="str">
            <v>Balmaya TELECOM/ ETS Sacko</v>
          </cell>
          <cell r="P718" t="str">
            <v>Kit</v>
          </cell>
          <cell r="Q718" t="str">
            <v>32007</v>
          </cell>
          <cell r="R718" t="str">
            <v>32007Kit</v>
          </cell>
          <cell r="S718" t="str">
            <v>2007Kit</v>
          </cell>
          <cell r="T718" t="str">
            <v>32007Balmaya TELECOM/ ETS Sacko</v>
          </cell>
          <cell r="U718" t="str">
            <v>32007Balmaya TELECOM/ ETS SackoKit</v>
          </cell>
          <cell r="V718" t="str">
            <v>39164Kit</v>
          </cell>
          <cell r="W718" t="str">
            <v>2007Balmaya TELECOM/ ETS Sacko</v>
          </cell>
          <cell r="X718" t="str">
            <v>2007Balmaya TELECOM/ ETS SackoKit</v>
          </cell>
        </row>
        <row r="719">
          <cell r="I719">
            <v>2007</v>
          </cell>
          <cell r="J719" t="str">
            <v>Sté NIANGADOUKit</v>
          </cell>
          <cell r="L719">
            <v>0</v>
          </cell>
          <cell r="M719" t="str">
            <v>Sté NIANGADOU</v>
          </cell>
          <cell r="N719" t="str">
            <v>Sté NIANGADOUKit</v>
          </cell>
          <cell r="O719" t="str">
            <v>Sté NIANGADOU</v>
          </cell>
          <cell r="P719" t="str">
            <v>Kit</v>
          </cell>
          <cell r="Q719" t="str">
            <v>32007</v>
          </cell>
          <cell r="R719" t="str">
            <v>32007Kit</v>
          </cell>
          <cell r="S719" t="str">
            <v>2007Kit</v>
          </cell>
          <cell r="T719" t="str">
            <v>32007Sté NIANGADOU</v>
          </cell>
          <cell r="U719" t="str">
            <v>32007Sté NIANGADOUKit</v>
          </cell>
          <cell r="V719" t="str">
            <v>39164Kit</v>
          </cell>
          <cell r="W719" t="str">
            <v>2007Sté NIANGADOU</v>
          </cell>
          <cell r="X719" t="str">
            <v>2007Sté NIANGADOUKit</v>
          </cell>
        </row>
        <row r="720">
          <cell r="I720">
            <v>2007</v>
          </cell>
          <cell r="J720" t="str">
            <v>ANKA ServicesKit</v>
          </cell>
          <cell r="L720">
            <v>0</v>
          </cell>
          <cell r="M720" t="str">
            <v>ANKA Services</v>
          </cell>
          <cell r="N720" t="str">
            <v>ANKA ServicesKit</v>
          </cell>
          <cell r="O720" t="str">
            <v>ANKA Services</v>
          </cell>
          <cell r="P720" t="str">
            <v>Kit</v>
          </cell>
          <cell r="Q720" t="str">
            <v>32007</v>
          </cell>
          <cell r="R720" t="str">
            <v>32007Kit</v>
          </cell>
          <cell r="S720" t="str">
            <v>2007Kit</v>
          </cell>
          <cell r="T720" t="str">
            <v>32007ANKA Services</v>
          </cell>
          <cell r="U720" t="str">
            <v>32007ANKA ServicesKit</v>
          </cell>
          <cell r="V720" t="str">
            <v>39164Kit</v>
          </cell>
          <cell r="W720" t="str">
            <v>2007ANKA Services</v>
          </cell>
          <cell r="X720" t="str">
            <v>2007ANKA ServicesKit</v>
          </cell>
        </row>
        <row r="721">
          <cell r="I721">
            <v>2007</v>
          </cell>
          <cell r="J721" t="str">
            <v>MALI COM SarlKit</v>
          </cell>
          <cell r="L721">
            <v>0</v>
          </cell>
          <cell r="M721" t="str">
            <v>MALI COM Sarl</v>
          </cell>
          <cell r="N721" t="str">
            <v>MALI COM SarlKit</v>
          </cell>
          <cell r="O721" t="str">
            <v>MALI COM Sarl</v>
          </cell>
          <cell r="P721" t="str">
            <v>Kit</v>
          </cell>
          <cell r="Q721" t="str">
            <v>32007</v>
          </cell>
          <cell r="R721" t="str">
            <v>32007Kit</v>
          </cell>
          <cell r="S721" t="str">
            <v>2007Kit</v>
          </cell>
          <cell r="T721" t="str">
            <v>32007MALI COM Sarl</v>
          </cell>
          <cell r="U721" t="str">
            <v>32007MALI COM SarlKit</v>
          </cell>
          <cell r="V721" t="str">
            <v>39164Kit</v>
          </cell>
          <cell r="W721" t="str">
            <v>2007MALI COM Sarl</v>
          </cell>
          <cell r="X721" t="str">
            <v>2007MALI COM SarlKit</v>
          </cell>
        </row>
        <row r="722">
          <cell r="I722">
            <v>2007</v>
          </cell>
          <cell r="J722" t="str">
            <v>Compagnie Internationale de NegoceKit</v>
          </cell>
          <cell r="L722">
            <v>0</v>
          </cell>
          <cell r="M722" t="str">
            <v>Compagnie Internationale de Negoce</v>
          </cell>
          <cell r="N722" t="str">
            <v>Compagnie Internationale de NegoceKit</v>
          </cell>
          <cell r="O722" t="str">
            <v>Compagnie Internationale de Negoce</v>
          </cell>
          <cell r="P722" t="str">
            <v>Kit</v>
          </cell>
          <cell r="Q722" t="str">
            <v>32007</v>
          </cell>
          <cell r="R722" t="str">
            <v>32007Kit</v>
          </cell>
          <cell r="S722" t="str">
            <v>2007Kit</v>
          </cell>
          <cell r="T722" t="str">
            <v>32007Compagnie Internationale de Negoce</v>
          </cell>
          <cell r="U722" t="str">
            <v>32007Compagnie Internationale de NegoceKit</v>
          </cell>
          <cell r="V722" t="str">
            <v>39164Kit</v>
          </cell>
          <cell r="W722" t="str">
            <v>2007Compagnie Internationale de Negoce</v>
          </cell>
          <cell r="X722" t="str">
            <v>2007Compagnie Internationale de NegoceKit</v>
          </cell>
        </row>
        <row r="723">
          <cell r="I723">
            <v>2007</v>
          </cell>
          <cell r="J723" t="str">
            <v>SODIBAFKit</v>
          </cell>
          <cell r="L723">
            <v>0</v>
          </cell>
          <cell r="M723" t="str">
            <v>SODIBAF</v>
          </cell>
          <cell r="N723" t="str">
            <v>SODIBAFKit</v>
          </cell>
          <cell r="O723" t="str">
            <v>SODIBAF</v>
          </cell>
          <cell r="P723" t="str">
            <v>Kit</v>
          </cell>
          <cell r="Q723" t="str">
            <v>32007</v>
          </cell>
          <cell r="R723" t="str">
            <v>32007Kit</v>
          </cell>
          <cell r="S723" t="str">
            <v>2007Kit</v>
          </cell>
          <cell r="T723" t="str">
            <v>32007SODIBAF</v>
          </cell>
          <cell r="U723" t="str">
            <v>32007SODIBAFKit</v>
          </cell>
          <cell r="V723" t="str">
            <v>39164Kit</v>
          </cell>
          <cell r="W723" t="str">
            <v>2007SODIBAF</v>
          </cell>
          <cell r="X723" t="str">
            <v>2007SODIBAFKit</v>
          </cell>
        </row>
        <row r="724">
          <cell r="I724">
            <v>2007</v>
          </cell>
          <cell r="J724" t="str">
            <v>STS GAMBY &amp; FRERES (SOGAF) SarlKit</v>
          </cell>
          <cell r="L724">
            <v>0</v>
          </cell>
          <cell r="M724" t="str">
            <v>STS GAMBY &amp; FRERES (SOGAF) Sarl</v>
          </cell>
          <cell r="N724" t="str">
            <v>STS GAMBY &amp; FRERES (SOGAF) SarlKit</v>
          </cell>
          <cell r="O724" t="str">
            <v>STS GAMBY &amp; FRERES (SOGAF) Sarl</v>
          </cell>
          <cell r="P724" t="str">
            <v>Kit</v>
          </cell>
          <cell r="Q724" t="str">
            <v>32007</v>
          </cell>
          <cell r="R724" t="str">
            <v>32007Kit</v>
          </cell>
          <cell r="S724" t="str">
            <v>2007Kit</v>
          </cell>
          <cell r="T724" t="str">
            <v>32007STS GAMBY &amp; FRERES (SOGAF) Sarl</v>
          </cell>
          <cell r="U724" t="str">
            <v>32007STS GAMBY &amp; FRERES (SOGAF) SarlKit</v>
          </cell>
          <cell r="V724" t="str">
            <v>39164Kit</v>
          </cell>
          <cell r="W724" t="str">
            <v>2007STS GAMBY &amp; FRERES (SOGAF) Sarl</v>
          </cell>
          <cell r="X724" t="str">
            <v>2007STS GAMBY &amp; FRERES (SOGAF) SarlKit</v>
          </cell>
        </row>
        <row r="725">
          <cell r="I725">
            <v>2007</v>
          </cell>
          <cell r="J725" t="str">
            <v>CellNets MaliKit</v>
          </cell>
          <cell r="L725">
            <v>0</v>
          </cell>
          <cell r="M725" t="str">
            <v>CellNets Mali</v>
          </cell>
          <cell r="N725" t="str">
            <v>CellNets MaliKit</v>
          </cell>
          <cell r="O725" t="str">
            <v>CellNets Mali</v>
          </cell>
          <cell r="P725" t="str">
            <v>Kit</v>
          </cell>
          <cell r="Q725" t="str">
            <v>32007</v>
          </cell>
          <cell r="R725" t="str">
            <v>32007Kit</v>
          </cell>
          <cell r="S725" t="str">
            <v>2007Kit</v>
          </cell>
          <cell r="T725" t="str">
            <v>32007CellNets Mali</v>
          </cell>
          <cell r="U725" t="str">
            <v>32007CellNets MaliKit</v>
          </cell>
          <cell r="V725" t="str">
            <v>39164Kit</v>
          </cell>
          <cell r="W725" t="str">
            <v>2007CellNets Mali</v>
          </cell>
          <cell r="X725" t="str">
            <v>2007CellNets MaliKit</v>
          </cell>
        </row>
        <row r="726">
          <cell r="I726">
            <v>2007</v>
          </cell>
          <cell r="J726" t="str">
            <v>A.L.S SARLKit</v>
          </cell>
          <cell r="L726">
            <v>0</v>
          </cell>
          <cell r="M726" t="str">
            <v>A.L.S SARL</v>
          </cell>
          <cell r="N726" t="str">
            <v>A.L.S SARLKit</v>
          </cell>
          <cell r="O726" t="str">
            <v>A.L.S SARL</v>
          </cell>
          <cell r="P726" t="str">
            <v>Kit</v>
          </cell>
          <cell r="Q726" t="str">
            <v>32007</v>
          </cell>
          <cell r="R726" t="str">
            <v>32007Kit</v>
          </cell>
          <cell r="S726" t="str">
            <v>2007Kit</v>
          </cell>
          <cell r="T726" t="str">
            <v>32007A.L.S SARL</v>
          </cell>
          <cell r="U726" t="str">
            <v>32007A.L.S SARLKit</v>
          </cell>
          <cell r="V726" t="str">
            <v>39164Kit</v>
          </cell>
          <cell r="W726" t="str">
            <v>2007A.L.S SARL</v>
          </cell>
          <cell r="X726" t="str">
            <v>2007A.L.S SARLKit</v>
          </cell>
        </row>
        <row r="727">
          <cell r="I727">
            <v>2007</v>
          </cell>
          <cell r="J727" t="str">
            <v>GEMATELScratch 1 000</v>
          </cell>
          <cell r="L727">
            <v>1</v>
          </cell>
          <cell r="M727" t="str">
            <v>1GEMATEL</v>
          </cell>
          <cell r="N727" t="str">
            <v>GEMATELScratch 1 000</v>
          </cell>
          <cell r="O727" t="str">
            <v>GEMATEL</v>
          </cell>
          <cell r="P727" t="str">
            <v>Scratch 1 000</v>
          </cell>
          <cell r="Q727" t="str">
            <v>32007</v>
          </cell>
          <cell r="R727" t="str">
            <v>32007Scratch 1 000</v>
          </cell>
          <cell r="S727" t="str">
            <v>2007Scratch 1 000</v>
          </cell>
          <cell r="T727" t="str">
            <v>32007GEMATEL</v>
          </cell>
          <cell r="U727" t="str">
            <v>32007GEMATELScratch 1 000</v>
          </cell>
          <cell r="V727" t="str">
            <v>39164Scratch 1 000</v>
          </cell>
          <cell r="W727" t="str">
            <v>2007GEMATEL</v>
          </cell>
          <cell r="X727" t="str">
            <v>2007GEMATELScratch 1 000</v>
          </cell>
        </row>
        <row r="728">
          <cell r="I728">
            <v>2007</v>
          </cell>
          <cell r="J728" t="str">
            <v>GEMATELScratch 2 000</v>
          </cell>
          <cell r="L728">
            <v>0</v>
          </cell>
          <cell r="M728" t="str">
            <v>GEMATEL</v>
          </cell>
          <cell r="N728" t="str">
            <v>GEMATELScratch 2 000</v>
          </cell>
          <cell r="O728" t="str">
            <v>GEMATEL</v>
          </cell>
          <cell r="P728" t="str">
            <v>Scratch 2 000</v>
          </cell>
          <cell r="Q728" t="str">
            <v>32007</v>
          </cell>
          <cell r="R728" t="str">
            <v>32007Scratch 2 000</v>
          </cell>
          <cell r="S728" t="str">
            <v>2007Scratch 2 000</v>
          </cell>
          <cell r="T728" t="str">
            <v>32007GEMATEL</v>
          </cell>
          <cell r="U728" t="str">
            <v>32007GEMATELScratch 2 000</v>
          </cell>
          <cell r="V728" t="str">
            <v>39164Scratch 2 000</v>
          </cell>
          <cell r="W728" t="str">
            <v>2007GEMATEL</v>
          </cell>
          <cell r="X728" t="str">
            <v>2007GEMATELScratch 2 000</v>
          </cell>
        </row>
        <row r="729">
          <cell r="I729">
            <v>2007</v>
          </cell>
          <cell r="J729" t="str">
            <v>GEMATELScratch 5 000</v>
          </cell>
          <cell r="L729">
            <v>0</v>
          </cell>
          <cell r="M729" t="str">
            <v>GEMATEL</v>
          </cell>
          <cell r="N729" t="str">
            <v>GEMATELScratch 5 000</v>
          </cell>
          <cell r="O729" t="str">
            <v>GEMATEL</v>
          </cell>
          <cell r="P729" t="str">
            <v>Scratch 5 000</v>
          </cell>
          <cell r="Q729" t="str">
            <v>32007</v>
          </cell>
          <cell r="R729" t="str">
            <v>32007Scratch 5 000</v>
          </cell>
          <cell r="S729" t="str">
            <v>2007Scratch 5 000</v>
          </cell>
          <cell r="T729" t="str">
            <v>32007GEMATEL</v>
          </cell>
          <cell r="U729" t="str">
            <v>32007GEMATELScratch 5 000</v>
          </cell>
          <cell r="V729" t="str">
            <v>39164Scratch 5 000</v>
          </cell>
          <cell r="W729" t="str">
            <v>2007GEMATEL</v>
          </cell>
          <cell r="X729" t="str">
            <v>2007GEMATELScratch 5 000</v>
          </cell>
        </row>
        <row r="730">
          <cell r="I730">
            <v>2007</v>
          </cell>
          <cell r="J730" t="str">
            <v>GEMATELScratch 10 000</v>
          </cell>
          <cell r="L730">
            <v>0</v>
          </cell>
          <cell r="M730" t="str">
            <v>GEMATEL</v>
          </cell>
          <cell r="N730" t="str">
            <v>GEMATELScratch 10 000</v>
          </cell>
          <cell r="O730" t="str">
            <v>GEMATEL</v>
          </cell>
          <cell r="P730" t="str">
            <v>Scratch 10 000</v>
          </cell>
          <cell r="Q730" t="str">
            <v>32007</v>
          </cell>
          <cell r="R730" t="str">
            <v>32007Scratch 10 000</v>
          </cell>
          <cell r="S730" t="str">
            <v>2007Scratch 10 000</v>
          </cell>
          <cell r="T730" t="str">
            <v>32007GEMATEL</v>
          </cell>
          <cell r="U730" t="str">
            <v>32007GEMATELScratch 10 000</v>
          </cell>
          <cell r="V730" t="str">
            <v>39164Scratch 10 000</v>
          </cell>
          <cell r="W730" t="str">
            <v>2007GEMATEL</v>
          </cell>
          <cell r="X730" t="str">
            <v>2007GEMATELScratch 10 000</v>
          </cell>
        </row>
        <row r="731">
          <cell r="I731">
            <v>2007</v>
          </cell>
          <cell r="J731" t="str">
            <v>GEMATELScratch 20 000</v>
          </cell>
          <cell r="L731">
            <v>0</v>
          </cell>
          <cell r="M731" t="str">
            <v>GEMATEL</v>
          </cell>
          <cell r="N731" t="str">
            <v>GEMATELScratch 20 000</v>
          </cell>
          <cell r="O731" t="str">
            <v>GEMATEL</v>
          </cell>
          <cell r="P731" t="str">
            <v>Scratch 20 000</v>
          </cell>
          <cell r="Q731" t="str">
            <v>32007</v>
          </cell>
          <cell r="R731" t="str">
            <v>32007Scratch 20 000</v>
          </cell>
          <cell r="S731" t="str">
            <v>2007Scratch 20 000</v>
          </cell>
          <cell r="T731" t="str">
            <v>32007GEMATEL</v>
          </cell>
          <cell r="U731" t="str">
            <v>32007GEMATELScratch 20 000</v>
          </cell>
          <cell r="V731" t="str">
            <v>39164Scratch 20 000</v>
          </cell>
          <cell r="W731" t="str">
            <v>2007GEMATEL</v>
          </cell>
          <cell r="X731" t="str">
            <v>2007GEMATELScratch 20 000</v>
          </cell>
        </row>
        <row r="732">
          <cell r="I732">
            <v>2007</v>
          </cell>
          <cell r="J732" t="str">
            <v>Youma Communication SARLKit</v>
          </cell>
          <cell r="L732">
            <v>1</v>
          </cell>
          <cell r="M732" t="str">
            <v>1Youma Communication SARL</v>
          </cell>
          <cell r="N732" t="str">
            <v>Youma Communication SARLKit</v>
          </cell>
          <cell r="O732" t="str">
            <v>Youma Communication SARL</v>
          </cell>
          <cell r="P732" t="str">
            <v>Kit</v>
          </cell>
          <cell r="Q732" t="str">
            <v>32007</v>
          </cell>
          <cell r="R732" t="str">
            <v>32007Kit</v>
          </cell>
          <cell r="S732" t="str">
            <v>2007Kit</v>
          </cell>
          <cell r="T732" t="str">
            <v>32007Youma Communication SARL</v>
          </cell>
          <cell r="U732" t="str">
            <v>32007Youma Communication SARLKit</v>
          </cell>
          <cell r="V732" t="str">
            <v>39168Kit</v>
          </cell>
          <cell r="W732" t="str">
            <v>2007Youma Communication SARL</v>
          </cell>
          <cell r="X732" t="str">
            <v>2007Youma Communication SARLKit</v>
          </cell>
        </row>
        <row r="733">
          <cell r="I733">
            <v>2007</v>
          </cell>
          <cell r="J733" t="str">
            <v>Youma Communication SARLKit</v>
          </cell>
          <cell r="L733">
            <v>0</v>
          </cell>
          <cell r="M733" t="str">
            <v>Youma Communication SARL</v>
          </cell>
          <cell r="N733" t="str">
            <v>Youma Communication SARLKit</v>
          </cell>
          <cell r="O733" t="str">
            <v>Youma Communication SARL</v>
          </cell>
          <cell r="P733" t="str">
            <v>Kit</v>
          </cell>
          <cell r="Q733" t="str">
            <v>32007</v>
          </cell>
          <cell r="R733" t="str">
            <v>32007Kit</v>
          </cell>
          <cell r="S733" t="str">
            <v>2007Kit</v>
          </cell>
          <cell r="T733" t="str">
            <v>32007Youma Communication SARL</v>
          </cell>
          <cell r="U733" t="str">
            <v>32007Youma Communication SARLKit</v>
          </cell>
          <cell r="V733" t="str">
            <v>39168Kit</v>
          </cell>
          <cell r="W733" t="str">
            <v>2007Youma Communication SARL</v>
          </cell>
          <cell r="X733" t="str">
            <v>2007Youma Communication SARLKit</v>
          </cell>
        </row>
        <row r="734">
          <cell r="I734">
            <v>2007</v>
          </cell>
          <cell r="J734" t="str">
            <v>CellNets MaliScratch 1 000</v>
          </cell>
          <cell r="L734">
            <v>1</v>
          </cell>
          <cell r="M734" t="str">
            <v>1CellNets Mali</v>
          </cell>
          <cell r="N734" t="str">
            <v>CellNets MaliScratch 1 000</v>
          </cell>
          <cell r="O734" t="str">
            <v>CellNets Mali</v>
          </cell>
          <cell r="P734" t="str">
            <v>Scratch 1 000</v>
          </cell>
          <cell r="Q734" t="str">
            <v>32007</v>
          </cell>
          <cell r="R734" t="str">
            <v>32007Scratch 1 000</v>
          </cell>
          <cell r="S734" t="str">
            <v>2007Scratch 1 000</v>
          </cell>
          <cell r="T734" t="str">
            <v>32007CellNets Mali</v>
          </cell>
          <cell r="U734" t="str">
            <v>32007CellNets MaliScratch 1 000</v>
          </cell>
          <cell r="V734" t="str">
            <v>39168Scratch 1 000</v>
          </cell>
          <cell r="W734" t="str">
            <v>2007CellNets Mali</v>
          </cell>
          <cell r="X734" t="str">
            <v>2007CellNets MaliScratch 1 000</v>
          </cell>
        </row>
        <row r="735">
          <cell r="I735">
            <v>2007</v>
          </cell>
          <cell r="J735" t="str">
            <v>CellNets MaliScratch 2 000</v>
          </cell>
          <cell r="L735">
            <v>0</v>
          </cell>
          <cell r="M735" t="str">
            <v>CellNets Mali</v>
          </cell>
          <cell r="N735" t="str">
            <v>CellNets MaliScratch 2 000</v>
          </cell>
          <cell r="O735" t="str">
            <v>CellNets Mali</v>
          </cell>
          <cell r="P735" t="str">
            <v>Scratch 2 000</v>
          </cell>
          <cell r="Q735" t="str">
            <v>32007</v>
          </cell>
          <cell r="R735" t="str">
            <v>32007Scratch 2 000</v>
          </cell>
          <cell r="S735" t="str">
            <v>2007Scratch 2 000</v>
          </cell>
          <cell r="T735" t="str">
            <v>32007CellNets Mali</v>
          </cell>
          <cell r="U735" t="str">
            <v>32007CellNets MaliScratch 2 000</v>
          </cell>
          <cell r="V735" t="str">
            <v>39168Scratch 2 000</v>
          </cell>
          <cell r="W735" t="str">
            <v>2007CellNets Mali</v>
          </cell>
          <cell r="X735" t="str">
            <v>2007CellNets MaliScratch 2 000</v>
          </cell>
        </row>
        <row r="736">
          <cell r="I736">
            <v>2007</v>
          </cell>
          <cell r="J736" t="str">
            <v>CellNets MaliScratch 5 000</v>
          </cell>
          <cell r="L736">
            <v>0</v>
          </cell>
          <cell r="M736" t="str">
            <v>CellNets Mali</v>
          </cell>
          <cell r="N736" t="str">
            <v>CellNets MaliScratch 5 000</v>
          </cell>
          <cell r="O736" t="str">
            <v>CellNets Mali</v>
          </cell>
          <cell r="P736" t="str">
            <v>Scratch 5 000</v>
          </cell>
          <cell r="Q736" t="str">
            <v>32007</v>
          </cell>
          <cell r="R736" t="str">
            <v>32007Scratch 5 000</v>
          </cell>
          <cell r="S736" t="str">
            <v>2007Scratch 5 000</v>
          </cell>
          <cell r="T736" t="str">
            <v>32007CellNets Mali</v>
          </cell>
          <cell r="U736" t="str">
            <v>32007CellNets MaliScratch 5 000</v>
          </cell>
          <cell r="V736" t="str">
            <v>39168Scratch 5 000</v>
          </cell>
          <cell r="W736" t="str">
            <v>2007CellNets Mali</v>
          </cell>
          <cell r="X736" t="str">
            <v>2007CellNets MaliScratch 5 000</v>
          </cell>
        </row>
        <row r="737">
          <cell r="I737">
            <v>2007</v>
          </cell>
          <cell r="J737" t="str">
            <v>CellNets MaliScratch 10 000</v>
          </cell>
          <cell r="L737">
            <v>0</v>
          </cell>
          <cell r="M737" t="str">
            <v>CellNets Mali</v>
          </cell>
          <cell r="N737" t="str">
            <v>CellNets MaliScratch 10 000</v>
          </cell>
          <cell r="O737" t="str">
            <v>CellNets Mali</v>
          </cell>
          <cell r="P737" t="str">
            <v>Scratch 10 000</v>
          </cell>
          <cell r="Q737" t="str">
            <v>32007</v>
          </cell>
          <cell r="R737" t="str">
            <v>32007Scratch 10 000</v>
          </cell>
          <cell r="S737" t="str">
            <v>2007Scratch 10 000</v>
          </cell>
          <cell r="T737" t="str">
            <v>32007CellNets Mali</v>
          </cell>
          <cell r="U737" t="str">
            <v>32007CellNets MaliScratch 10 000</v>
          </cell>
          <cell r="V737" t="str">
            <v>39168Scratch 10 000</v>
          </cell>
          <cell r="W737" t="str">
            <v>2007CellNets Mali</v>
          </cell>
          <cell r="X737" t="str">
            <v>2007CellNets MaliScratch 10 000</v>
          </cell>
        </row>
        <row r="738">
          <cell r="I738">
            <v>2007</v>
          </cell>
          <cell r="J738" t="str">
            <v>CellNets MaliScratch 20 000</v>
          </cell>
          <cell r="L738">
            <v>0</v>
          </cell>
          <cell r="M738" t="str">
            <v>CellNets Mali</v>
          </cell>
          <cell r="N738" t="str">
            <v>CellNets MaliScratch 20 000</v>
          </cell>
          <cell r="O738" t="str">
            <v>CellNets Mali</v>
          </cell>
          <cell r="P738" t="str">
            <v>Scratch 20 000</v>
          </cell>
          <cell r="Q738" t="str">
            <v>32007</v>
          </cell>
          <cell r="R738" t="str">
            <v>32007Scratch 20 000</v>
          </cell>
          <cell r="S738" t="str">
            <v>2007Scratch 20 000</v>
          </cell>
          <cell r="T738" t="str">
            <v>32007CellNets Mali</v>
          </cell>
          <cell r="U738" t="str">
            <v>32007CellNets MaliScratch 20 000</v>
          </cell>
          <cell r="V738" t="str">
            <v>39168Scratch 20 000</v>
          </cell>
          <cell r="W738" t="str">
            <v>2007CellNets Mali</v>
          </cell>
          <cell r="X738" t="str">
            <v>2007CellNets MaliScratch 20 000</v>
          </cell>
        </row>
        <row r="739">
          <cell r="I739">
            <v>2007</v>
          </cell>
          <cell r="J739" t="str">
            <v>Compagnie Internationale de NegoceScratch 1 000</v>
          </cell>
          <cell r="L739">
            <v>1</v>
          </cell>
          <cell r="M739" t="str">
            <v>1Compagnie Internationale de Negoce</v>
          </cell>
          <cell r="N739" t="str">
            <v>Compagnie Internationale de NegoceScratch 1 000</v>
          </cell>
          <cell r="O739" t="str">
            <v>Compagnie Internationale de Negoce</v>
          </cell>
          <cell r="P739" t="str">
            <v>Scratch 1 000</v>
          </cell>
          <cell r="Q739" t="str">
            <v>32007</v>
          </cell>
          <cell r="R739" t="str">
            <v>32007Scratch 1 000</v>
          </cell>
          <cell r="S739" t="str">
            <v>2007Scratch 1 000</v>
          </cell>
          <cell r="T739" t="str">
            <v>32007Compagnie Internationale de Negoce</v>
          </cell>
          <cell r="U739" t="str">
            <v>32007Compagnie Internationale de NegoceScratch 1 000</v>
          </cell>
          <cell r="V739" t="str">
            <v>39168Scratch 1 000</v>
          </cell>
          <cell r="W739" t="str">
            <v>2007Compagnie Internationale de Negoce</v>
          </cell>
          <cell r="X739" t="str">
            <v>2007Compagnie Internationale de NegoceScratch 1 000</v>
          </cell>
        </row>
        <row r="740">
          <cell r="I740">
            <v>2007</v>
          </cell>
          <cell r="J740" t="str">
            <v>Compagnie Internationale de NegoceScratch 2 000</v>
          </cell>
          <cell r="L740">
            <v>0</v>
          </cell>
          <cell r="M740" t="str">
            <v>Compagnie Internationale de Negoce</v>
          </cell>
          <cell r="N740" t="str">
            <v>Compagnie Internationale de NegoceScratch 2 000</v>
          </cell>
          <cell r="O740" t="str">
            <v>Compagnie Internationale de Negoce</v>
          </cell>
          <cell r="P740" t="str">
            <v>Scratch 2 000</v>
          </cell>
          <cell r="Q740" t="str">
            <v>32007</v>
          </cell>
          <cell r="R740" t="str">
            <v>32007Scratch 2 000</v>
          </cell>
          <cell r="S740" t="str">
            <v>2007Scratch 2 000</v>
          </cell>
          <cell r="T740" t="str">
            <v>32007Compagnie Internationale de Negoce</v>
          </cell>
          <cell r="U740" t="str">
            <v>32007Compagnie Internationale de NegoceScratch 2 000</v>
          </cell>
          <cell r="V740" t="str">
            <v>39168Scratch 2 000</v>
          </cell>
          <cell r="W740" t="str">
            <v>2007Compagnie Internationale de Negoce</v>
          </cell>
          <cell r="X740" t="str">
            <v>2007Compagnie Internationale de NegoceScratch 2 000</v>
          </cell>
        </row>
        <row r="741">
          <cell r="I741">
            <v>2007</v>
          </cell>
          <cell r="J741" t="str">
            <v>Compagnie Internationale de NegoceScratch 5 000</v>
          </cell>
          <cell r="L741">
            <v>0</v>
          </cell>
          <cell r="M741" t="str">
            <v>Compagnie Internationale de Negoce</v>
          </cell>
          <cell r="N741" t="str">
            <v>Compagnie Internationale de NegoceScratch 5 000</v>
          </cell>
          <cell r="O741" t="str">
            <v>Compagnie Internationale de Negoce</v>
          </cell>
          <cell r="P741" t="str">
            <v>Scratch 5 000</v>
          </cell>
          <cell r="Q741" t="str">
            <v>32007</v>
          </cell>
          <cell r="R741" t="str">
            <v>32007Scratch 5 000</v>
          </cell>
          <cell r="S741" t="str">
            <v>2007Scratch 5 000</v>
          </cell>
          <cell r="T741" t="str">
            <v>32007Compagnie Internationale de Negoce</v>
          </cell>
          <cell r="U741" t="str">
            <v>32007Compagnie Internationale de NegoceScratch 5 000</v>
          </cell>
          <cell r="V741" t="str">
            <v>39168Scratch 5 000</v>
          </cell>
          <cell r="W741" t="str">
            <v>2007Compagnie Internationale de Negoce</v>
          </cell>
          <cell r="X741" t="str">
            <v>2007Compagnie Internationale de NegoceScratch 5 000</v>
          </cell>
        </row>
        <row r="742">
          <cell r="I742">
            <v>2007</v>
          </cell>
          <cell r="J742" t="str">
            <v>Compagnie Internationale de NegoceScratch 20 000</v>
          </cell>
          <cell r="L742">
            <v>0</v>
          </cell>
          <cell r="M742" t="str">
            <v>Compagnie Internationale de Negoce</v>
          </cell>
          <cell r="N742" t="str">
            <v>Compagnie Internationale de NegoceScratch 20 000</v>
          </cell>
          <cell r="O742" t="str">
            <v>Compagnie Internationale de Negoce</v>
          </cell>
          <cell r="P742" t="str">
            <v>Scratch 20 000</v>
          </cell>
          <cell r="Q742" t="str">
            <v>32007</v>
          </cell>
          <cell r="R742" t="str">
            <v>32007Scratch 20 000</v>
          </cell>
          <cell r="S742" t="str">
            <v>2007Scratch 20 000</v>
          </cell>
          <cell r="T742" t="str">
            <v>32007Compagnie Internationale de Negoce</v>
          </cell>
          <cell r="U742" t="str">
            <v>32007Compagnie Internationale de NegoceScratch 20 000</v>
          </cell>
          <cell r="V742" t="str">
            <v>39168Scratch 20 000</v>
          </cell>
          <cell r="W742" t="str">
            <v>2007Compagnie Internationale de Negoce</v>
          </cell>
          <cell r="X742" t="str">
            <v>2007Compagnie Internationale de NegoceScratch 20 000</v>
          </cell>
        </row>
        <row r="743">
          <cell r="I743">
            <v>2007</v>
          </cell>
          <cell r="J743" t="str">
            <v>ANKA ServicesScratch 1 000</v>
          </cell>
          <cell r="L743">
            <v>1</v>
          </cell>
          <cell r="M743" t="str">
            <v>1ANKA Services</v>
          </cell>
          <cell r="N743" t="str">
            <v>ANKA ServicesScratch 1 000</v>
          </cell>
          <cell r="O743" t="str">
            <v>ANKA Services</v>
          </cell>
          <cell r="P743" t="str">
            <v>Scratch 1 000</v>
          </cell>
          <cell r="Q743" t="str">
            <v>32007</v>
          </cell>
          <cell r="R743" t="str">
            <v>32007Scratch 1 000</v>
          </cell>
          <cell r="S743" t="str">
            <v>2007Scratch 1 000</v>
          </cell>
          <cell r="T743" t="str">
            <v>32007ANKA Services</v>
          </cell>
          <cell r="U743" t="str">
            <v>32007ANKA ServicesScratch 1 000</v>
          </cell>
          <cell r="V743" t="str">
            <v>39168Scratch 1 000</v>
          </cell>
          <cell r="W743" t="str">
            <v>2007ANKA Services</v>
          </cell>
          <cell r="X743" t="str">
            <v>2007ANKA ServicesScratch 1 000</v>
          </cell>
        </row>
        <row r="744">
          <cell r="I744">
            <v>2007</v>
          </cell>
          <cell r="J744" t="str">
            <v>ANKA ServicesScratch 2 000</v>
          </cell>
          <cell r="L744">
            <v>0</v>
          </cell>
          <cell r="M744" t="str">
            <v>ANKA Services</v>
          </cell>
          <cell r="N744" t="str">
            <v>ANKA ServicesScratch 2 000</v>
          </cell>
          <cell r="O744" t="str">
            <v>ANKA Services</v>
          </cell>
          <cell r="P744" t="str">
            <v>Scratch 2 000</v>
          </cell>
          <cell r="Q744" t="str">
            <v>32007</v>
          </cell>
          <cell r="R744" t="str">
            <v>32007Scratch 2 000</v>
          </cell>
          <cell r="S744" t="str">
            <v>2007Scratch 2 000</v>
          </cell>
          <cell r="T744" t="str">
            <v>32007ANKA Services</v>
          </cell>
          <cell r="U744" t="str">
            <v>32007ANKA ServicesScratch 2 000</v>
          </cell>
          <cell r="V744" t="str">
            <v>39168Scratch 2 000</v>
          </cell>
          <cell r="W744" t="str">
            <v>2007ANKA Services</v>
          </cell>
          <cell r="X744" t="str">
            <v>2007ANKA ServicesScratch 2 000</v>
          </cell>
        </row>
        <row r="745">
          <cell r="I745">
            <v>2007</v>
          </cell>
          <cell r="J745" t="str">
            <v>ANKA ServicesScratch 5 000</v>
          </cell>
          <cell r="L745">
            <v>0</v>
          </cell>
          <cell r="M745" t="str">
            <v>ANKA Services</v>
          </cell>
          <cell r="N745" t="str">
            <v>ANKA ServicesScratch 5 000</v>
          </cell>
          <cell r="O745" t="str">
            <v>ANKA Services</v>
          </cell>
          <cell r="P745" t="str">
            <v>Scratch 5 000</v>
          </cell>
          <cell r="Q745" t="str">
            <v>32007</v>
          </cell>
          <cell r="R745" t="str">
            <v>32007Scratch 5 000</v>
          </cell>
          <cell r="S745" t="str">
            <v>2007Scratch 5 000</v>
          </cell>
          <cell r="T745" t="str">
            <v>32007ANKA Services</v>
          </cell>
          <cell r="U745" t="str">
            <v>32007ANKA ServicesScratch 5 000</v>
          </cell>
          <cell r="V745" t="str">
            <v>39168Scratch 5 000</v>
          </cell>
          <cell r="W745" t="str">
            <v>2007ANKA Services</v>
          </cell>
          <cell r="X745" t="str">
            <v>2007ANKA ServicesScratch 5 000</v>
          </cell>
        </row>
        <row r="746">
          <cell r="I746">
            <v>2007</v>
          </cell>
          <cell r="J746" t="str">
            <v>MALI COM SarlScratch 1 000</v>
          </cell>
          <cell r="L746">
            <v>1</v>
          </cell>
          <cell r="M746" t="str">
            <v>1MALI COM Sarl</v>
          </cell>
          <cell r="N746" t="str">
            <v>MALI COM SarlScratch 1 000</v>
          </cell>
          <cell r="O746" t="str">
            <v>MALI COM Sarl</v>
          </cell>
          <cell r="P746" t="str">
            <v>Scratch 1 000</v>
          </cell>
          <cell r="Q746" t="str">
            <v>32007</v>
          </cell>
          <cell r="R746" t="str">
            <v>32007Scratch 1 000</v>
          </cell>
          <cell r="S746" t="str">
            <v>2007Scratch 1 000</v>
          </cell>
          <cell r="T746" t="str">
            <v>32007MALI COM Sarl</v>
          </cell>
          <cell r="U746" t="str">
            <v>32007MALI COM SarlScratch 1 000</v>
          </cell>
          <cell r="V746" t="str">
            <v>39168Scratch 1 000</v>
          </cell>
          <cell r="W746" t="str">
            <v>2007MALI COM Sarl</v>
          </cell>
          <cell r="X746" t="str">
            <v>2007MALI COM SarlScratch 1 000</v>
          </cell>
        </row>
        <row r="747">
          <cell r="I747">
            <v>2007</v>
          </cell>
          <cell r="J747" t="str">
            <v>MALI COM SarlScratch 2 000</v>
          </cell>
          <cell r="L747">
            <v>0</v>
          </cell>
          <cell r="M747" t="str">
            <v>MALI COM Sarl</v>
          </cell>
          <cell r="N747" t="str">
            <v>MALI COM SarlScratch 2 000</v>
          </cell>
          <cell r="O747" t="str">
            <v>MALI COM Sarl</v>
          </cell>
          <cell r="P747" t="str">
            <v>Scratch 2 000</v>
          </cell>
          <cell r="Q747" t="str">
            <v>32007</v>
          </cell>
          <cell r="R747" t="str">
            <v>32007Scratch 2 000</v>
          </cell>
          <cell r="S747" t="str">
            <v>2007Scratch 2 000</v>
          </cell>
          <cell r="T747" t="str">
            <v>32007MALI COM Sarl</v>
          </cell>
          <cell r="U747" t="str">
            <v>32007MALI COM SarlScratch 2 000</v>
          </cell>
          <cell r="V747" t="str">
            <v>39168Scratch 2 000</v>
          </cell>
          <cell r="W747" t="str">
            <v>2007MALI COM Sarl</v>
          </cell>
          <cell r="X747" t="str">
            <v>2007MALI COM SarlScratch 2 000</v>
          </cell>
        </row>
        <row r="748">
          <cell r="I748">
            <v>2007</v>
          </cell>
          <cell r="J748" t="str">
            <v>MALI COM SarlScratch 5 000</v>
          </cell>
          <cell r="L748">
            <v>0</v>
          </cell>
          <cell r="M748" t="str">
            <v>MALI COM Sarl</v>
          </cell>
          <cell r="N748" t="str">
            <v>MALI COM SarlScratch 5 000</v>
          </cell>
          <cell r="O748" t="str">
            <v>MALI COM Sarl</v>
          </cell>
          <cell r="P748" t="str">
            <v>Scratch 5 000</v>
          </cell>
          <cell r="Q748" t="str">
            <v>32007</v>
          </cell>
          <cell r="R748" t="str">
            <v>32007Scratch 5 000</v>
          </cell>
          <cell r="S748" t="str">
            <v>2007Scratch 5 000</v>
          </cell>
          <cell r="T748" t="str">
            <v>32007MALI COM Sarl</v>
          </cell>
          <cell r="U748" t="str">
            <v>32007MALI COM SarlScratch 5 000</v>
          </cell>
          <cell r="V748" t="str">
            <v>39168Scratch 5 000</v>
          </cell>
          <cell r="W748" t="str">
            <v>2007MALI COM Sarl</v>
          </cell>
          <cell r="X748" t="str">
            <v>2007MALI COM SarlScratch 5 000</v>
          </cell>
        </row>
        <row r="749">
          <cell r="I749">
            <v>2007</v>
          </cell>
          <cell r="J749" t="str">
            <v>STS GAMBY &amp; FRERES (SOGAF) SarlScratch 1 000</v>
          </cell>
          <cell r="L749">
            <v>1</v>
          </cell>
          <cell r="M749" t="str">
            <v>1STS GAMBY &amp; FRERES (SOGAF) Sarl</v>
          </cell>
          <cell r="N749" t="str">
            <v>STS GAMBY &amp; FRERES (SOGAF) SarlScratch 1 000</v>
          </cell>
          <cell r="O749" t="str">
            <v>STS GAMBY &amp; FRERES (SOGAF) Sarl</v>
          </cell>
          <cell r="P749" t="str">
            <v>Scratch 1 000</v>
          </cell>
          <cell r="Q749" t="str">
            <v>32007</v>
          </cell>
          <cell r="R749" t="str">
            <v>32007Scratch 1 000</v>
          </cell>
          <cell r="S749" t="str">
            <v>2007Scratch 1 000</v>
          </cell>
          <cell r="T749" t="str">
            <v>32007STS GAMBY &amp; FRERES (SOGAF) Sarl</v>
          </cell>
          <cell r="U749" t="str">
            <v>32007STS GAMBY &amp; FRERES (SOGAF) SarlScratch 1 000</v>
          </cell>
          <cell r="V749" t="str">
            <v>39168Scratch 1 000</v>
          </cell>
          <cell r="W749" t="str">
            <v>2007STS GAMBY &amp; FRERES (SOGAF) Sarl</v>
          </cell>
          <cell r="X749" t="str">
            <v>2007STS GAMBY &amp; FRERES (SOGAF) SarlScratch 1 000</v>
          </cell>
        </row>
        <row r="750">
          <cell r="I750">
            <v>2007</v>
          </cell>
          <cell r="J750" t="str">
            <v>STS GAMBY &amp; FRERES (SOGAF) SarlScratch 2 000</v>
          </cell>
          <cell r="L750">
            <v>0</v>
          </cell>
          <cell r="M750" t="str">
            <v>STS GAMBY &amp; FRERES (SOGAF) Sarl</v>
          </cell>
          <cell r="N750" t="str">
            <v>STS GAMBY &amp; FRERES (SOGAF) SarlScratch 2 000</v>
          </cell>
          <cell r="O750" t="str">
            <v>STS GAMBY &amp; FRERES (SOGAF) Sarl</v>
          </cell>
          <cell r="P750" t="str">
            <v>Scratch 2 000</v>
          </cell>
          <cell r="Q750" t="str">
            <v>32007</v>
          </cell>
          <cell r="R750" t="str">
            <v>32007Scratch 2 000</v>
          </cell>
          <cell r="S750" t="str">
            <v>2007Scratch 2 000</v>
          </cell>
          <cell r="T750" t="str">
            <v>32007STS GAMBY &amp; FRERES (SOGAF) Sarl</v>
          </cell>
          <cell r="U750" t="str">
            <v>32007STS GAMBY &amp; FRERES (SOGAF) SarlScratch 2 000</v>
          </cell>
          <cell r="V750" t="str">
            <v>39168Scratch 2 000</v>
          </cell>
          <cell r="W750" t="str">
            <v>2007STS GAMBY &amp; FRERES (SOGAF) Sarl</v>
          </cell>
          <cell r="X750" t="str">
            <v>2007STS GAMBY &amp; FRERES (SOGAF) SarlScratch 2 000</v>
          </cell>
        </row>
        <row r="751">
          <cell r="I751">
            <v>2007</v>
          </cell>
          <cell r="J751" t="str">
            <v>STS GAMBY &amp; FRERES (SOGAF) SarlScratch 5 000</v>
          </cell>
          <cell r="L751">
            <v>0</v>
          </cell>
          <cell r="M751" t="str">
            <v>STS GAMBY &amp; FRERES (SOGAF) Sarl</v>
          </cell>
          <cell r="N751" t="str">
            <v>STS GAMBY &amp; FRERES (SOGAF) SarlScratch 5 000</v>
          </cell>
          <cell r="O751" t="str">
            <v>STS GAMBY &amp; FRERES (SOGAF) Sarl</v>
          </cell>
          <cell r="P751" t="str">
            <v>Scratch 5 000</v>
          </cell>
          <cell r="Q751" t="str">
            <v>32007</v>
          </cell>
          <cell r="R751" t="str">
            <v>32007Scratch 5 000</v>
          </cell>
          <cell r="S751" t="str">
            <v>2007Scratch 5 000</v>
          </cell>
          <cell r="T751" t="str">
            <v>32007STS GAMBY &amp; FRERES (SOGAF) Sarl</v>
          </cell>
          <cell r="U751" t="str">
            <v>32007STS GAMBY &amp; FRERES (SOGAF) SarlScratch 5 000</v>
          </cell>
          <cell r="V751" t="str">
            <v>39168Scratch 5 000</v>
          </cell>
          <cell r="W751" t="str">
            <v>2007STS GAMBY &amp; FRERES (SOGAF) Sarl</v>
          </cell>
          <cell r="X751" t="str">
            <v>2007STS GAMBY &amp; FRERES (SOGAF) SarlScratch 5 000</v>
          </cell>
        </row>
        <row r="752">
          <cell r="I752">
            <v>2007</v>
          </cell>
          <cell r="J752" t="str">
            <v>STS GAMBY &amp; FRERES (SOGAF) SarlScratch 1 000</v>
          </cell>
          <cell r="L752">
            <v>1</v>
          </cell>
          <cell r="M752" t="str">
            <v>1STS GAMBY &amp; FRERES (SOGAF) Sarl</v>
          </cell>
          <cell r="N752" t="str">
            <v>STS GAMBY &amp; FRERES (SOGAF) SarlScratch 1 000</v>
          </cell>
          <cell r="O752" t="str">
            <v>STS GAMBY &amp; FRERES (SOGAF) Sarl</v>
          </cell>
          <cell r="P752" t="str">
            <v>Scratch 1 000</v>
          </cell>
          <cell r="Q752" t="str">
            <v>32007</v>
          </cell>
          <cell r="R752" t="str">
            <v>32007Scratch 1 000</v>
          </cell>
          <cell r="S752" t="str">
            <v>2007Scratch 1 000</v>
          </cell>
          <cell r="T752" t="str">
            <v>32007STS GAMBY &amp; FRERES (SOGAF) Sarl</v>
          </cell>
          <cell r="U752" t="str">
            <v>32007STS GAMBY &amp; FRERES (SOGAF) SarlScratch 1 000</v>
          </cell>
          <cell r="V752" t="str">
            <v>39168Scratch 1 000</v>
          </cell>
          <cell r="W752" t="str">
            <v>2007STS GAMBY &amp; FRERES (SOGAF) Sarl</v>
          </cell>
          <cell r="X752" t="str">
            <v>2007STS GAMBY &amp; FRERES (SOGAF) SarlScratch 1 000</v>
          </cell>
        </row>
        <row r="753">
          <cell r="I753">
            <v>2007</v>
          </cell>
          <cell r="J753" t="str">
            <v>STS GAMBY &amp; FRERES (SOGAF) SarlScratch 2 000</v>
          </cell>
          <cell r="L753">
            <v>0</v>
          </cell>
          <cell r="M753" t="str">
            <v>STS GAMBY &amp; FRERES (SOGAF) Sarl</v>
          </cell>
          <cell r="N753" t="str">
            <v>STS GAMBY &amp; FRERES (SOGAF) SarlScratch 2 000</v>
          </cell>
          <cell r="O753" t="str">
            <v>STS GAMBY &amp; FRERES (SOGAF) Sarl</v>
          </cell>
          <cell r="P753" t="str">
            <v>Scratch 2 000</v>
          </cell>
          <cell r="Q753" t="str">
            <v>32007</v>
          </cell>
          <cell r="R753" t="str">
            <v>32007Scratch 2 000</v>
          </cell>
          <cell r="S753" t="str">
            <v>2007Scratch 2 000</v>
          </cell>
          <cell r="T753" t="str">
            <v>32007STS GAMBY &amp; FRERES (SOGAF) Sarl</v>
          </cell>
          <cell r="U753" t="str">
            <v>32007STS GAMBY &amp; FRERES (SOGAF) SarlScratch 2 000</v>
          </cell>
          <cell r="V753" t="str">
            <v>39168Scratch 2 000</v>
          </cell>
          <cell r="W753" t="str">
            <v>2007STS GAMBY &amp; FRERES (SOGAF) Sarl</v>
          </cell>
          <cell r="X753" t="str">
            <v>2007STS GAMBY &amp; FRERES (SOGAF) SarlScratch 2 000</v>
          </cell>
        </row>
        <row r="754">
          <cell r="I754">
            <v>2007</v>
          </cell>
          <cell r="J754" t="str">
            <v>STS GAMBY &amp; FRERES (SOGAF) SarlScratch 5 000</v>
          </cell>
          <cell r="L754">
            <v>0</v>
          </cell>
          <cell r="M754" t="str">
            <v>STS GAMBY &amp; FRERES (SOGAF) Sarl</v>
          </cell>
          <cell r="N754" t="str">
            <v>STS GAMBY &amp; FRERES (SOGAF) SarlScratch 5 000</v>
          </cell>
          <cell r="O754" t="str">
            <v>STS GAMBY &amp; FRERES (SOGAF) Sarl</v>
          </cell>
          <cell r="P754" t="str">
            <v>Scratch 5 000</v>
          </cell>
          <cell r="Q754" t="str">
            <v>32007</v>
          </cell>
          <cell r="R754" t="str">
            <v>32007Scratch 5 000</v>
          </cell>
          <cell r="S754" t="str">
            <v>2007Scratch 5 000</v>
          </cell>
          <cell r="T754" t="str">
            <v>32007STS GAMBY &amp; FRERES (SOGAF) Sarl</v>
          </cell>
          <cell r="U754" t="str">
            <v>32007STS GAMBY &amp; FRERES (SOGAF) SarlScratch 5 000</v>
          </cell>
          <cell r="V754" t="str">
            <v>39168Scratch 5 000</v>
          </cell>
          <cell r="W754" t="str">
            <v>2007STS GAMBY &amp; FRERES (SOGAF) Sarl</v>
          </cell>
          <cell r="X754" t="str">
            <v>2007STS GAMBY &amp; FRERES (SOGAF) SarlScratch 5 000</v>
          </cell>
        </row>
        <row r="755">
          <cell r="I755">
            <v>2007</v>
          </cell>
          <cell r="J755" t="str">
            <v>GEMATELScratch 1 000</v>
          </cell>
          <cell r="L755">
            <v>1</v>
          </cell>
          <cell r="M755" t="str">
            <v>1GEMATEL</v>
          </cell>
          <cell r="N755" t="str">
            <v>GEMATELScratch 1 000</v>
          </cell>
          <cell r="O755" t="str">
            <v>GEMATEL</v>
          </cell>
          <cell r="P755" t="str">
            <v>Scratch 1 000</v>
          </cell>
          <cell r="Q755" t="str">
            <v>32007</v>
          </cell>
          <cell r="R755" t="str">
            <v>32007Scratch 1 000</v>
          </cell>
          <cell r="S755" t="str">
            <v>2007Scratch 1 000</v>
          </cell>
          <cell r="T755" t="str">
            <v>32007GEMATEL</v>
          </cell>
          <cell r="U755" t="str">
            <v>32007GEMATELScratch 1 000</v>
          </cell>
          <cell r="V755" t="str">
            <v>39169Scratch 1 000</v>
          </cell>
          <cell r="W755" t="str">
            <v>2007GEMATEL</v>
          </cell>
          <cell r="X755" t="str">
            <v>2007GEMATELScratch 1 000</v>
          </cell>
        </row>
        <row r="756">
          <cell r="I756">
            <v>2007</v>
          </cell>
          <cell r="J756" t="str">
            <v>GEMATELScratch 2 000</v>
          </cell>
          <cell r="L756">
            <v>0</v>
          </cell>
          <cell r="M756" t="str">
            <v>GEMATEL</v>
          </cell>
          <cell r="N756" t="str">
            <v>GEMATELScratch 2 000</v>
          </cell>
          <cell r="O756" t="str">
            <v>GEMATEL</v>
          </cell>
          <cell r="P756" t="str">
            <v>Scratch 2 000</v>
          </cell>
          <cell r="Q756" t="str">
            <v>32007</v>
          </cell>
          <cell r="R756" t="str">
            <v>32007Scratch 2 000</v>
          </cell>
          <cell r="S756" t="str">
            <v>2007Scratch 2 000</v>
          </cell>
          <cell r="T756" t="str">
            <v>32007GEMATEL</v>
          </cell>
          <cell r="U756" t="str">
            <v>32007GEMATELScratch 2 000</v>
          </cell>
          <cell r="V756" t="str">
            <v>39169Scratch 2 000</v>
          </cell>
          <cell r="W756" t="str">
            <v>2007GEMATEL</v>
          </cell>
          <cell r="X756" t="str">
            <v>2007GEMATELScratch 2 000</v>
          </cell>
        </row>
        <row r="757">
          <cell r="I757">
            <v>2007</v>
          </cell>
          <cell r="J757" t="str">
            <v>GEMATELScratch 5 000</v>
          </cell>
          <cell r="L757">
            <v>0</v>
          </cell>
          <cell r="M757" t="str">
            <v>GEMATEL</v>
          </cell>
          <cell r="N757" t="str">
            <v>GEMATELScratch 5 000</v>
          </cell>
          <cell r="O757" t="str">
            <v>GEMATEL</v>
          </cell>
          <cell r="P757" t="str">
            <v>Scratch 5 000</v>
          </cell>
          <cell r="Q757" t="str">
            <v>32007</v>
          </cell>
          <cell r="R757" t="str">
            <v>32007Scratch 5 000</v>
          </cell>
          <cell r="S757" t="str">
            <v>2007Scratch 5 000</v>
          </cell>
          <cell r="T757" t="str">
            <v>32007GEMATEL</v>
          </cell>
          <cell r="U757" t="str">
            <v>32007GEMATELScratch 5 000</v>
          </cell>
          <cell r="V757" t="str">
            <v>39169Scratch 5 000</v>
          </cell>
          <cell r="W757" t="str">
            <v>2007GEMATEL</v>
          </cell>
          <cell r="X757" t="str">
            <v>2007GEMATELScratch 5 000</v>
          </cell>
        </row>
        <row r="758">
          <cell r="I758">
            <v>2007</v>
          </cell>
          <cell r="J758" t="str">
            <v>GEMATELScratch 10 000</v>
          </cell>
          <cell r="L758">
            <v>0</v>
          </cell>
          <cell r="M758" t="str">
            <v>GEMATEL</v>
          </cell>
          <cell r="N758" t="str">
            <v>GEMATELScratch 10 000</v>
          </cell>
          <cell r="O758" t="str">
            <v>GEMATEL</v>
          </cell>
          <cell r="P758" t="str">
            <v>Scratch 10 000</v>
          </cell>
          <cell r="Q758" t="str">
            <v>32007</v>
          </cell>
          <cell r="R758" t="str">
            <v>32007Scratch 10 000</v>
          </cell>
          <cell r="S758" t="str">
            <v>2007Scratch 10 000</v>
          </cell>
          <cell r="T758" t="str">
            <v>32007GEMATEL</v>
          </cell>
          <cell r="U758" t="str">
            <v>32007GEMATELScratch 10 000</v>
          </cell>
          <cell r="V758" t="str">
            <v>39169Scratch 10 000</v>
          </cell>
          <cell r="W758" t="str">
            <v>2007GEMATEL</v>
          </cell>
          <cell r="X758" t="str">
            <v>2007GEMATELScratch 10 000</v>
          </cell>
        </row>
        <row r="759">
          <cell r="I759">
            <v>2007</v>
          </cell>
          <cell r="J759" t="str">
            <v>GEMATELScratch 20 000</v>
          </cell>
          <cell r="L759">
            <v>0</v>
          </cell>
          <cell r="M759" t="str">
            <v>GEMATEL</v>
          </cell>
          <cell r="N759" t="str">
            <v>GEMATELScratch 20 000</v>
          </cell>
          <cell r="O759" t="str">
            <v>GEMATEL</v>
          </cell>
          <cell r="P759" t="str">
            <v>Scratch 20 000</v>
          </cell>
          <cell r="Q759" t="str">
            <v>32007</v>
          </cell>
          <cell r="R759" t="str">
            <v>32007Scratch 20 000</v>
          </cell>
          <cell r="S759" t="str">
            <v>2007Scratch 20 000</v>
          </cell>
          <cell r="T759" t="str">
            <v>32007GEMATEL</v>
          </cell>
          <cell r="U759" t="str">
            <v>32007GEMATELScratch 20 000</v>
          </cell>
          <cell r="V759" t="str">
            <v>39169Scratch 20 000</v>
          </cell>
          <cell r="W759" t="str">
            <v>2007GEMATEL</v>
          </cell>
          <cell r="X759" t="str">
            <v>2007GEMATELScratch 20 000</v>
          </cell>
        </row>
        <row r="760">
          <cell r="I760">
            <v>2007</v>
          </cell>
          <cell r="J760" t="str">
            <v>Compagnie Internationale de NegoceScratch 1 000</v>
          </cell>
          <cell r="L760">
            <v>1</v>
          </cell>
          <cell r="M760" t="str">
            <v>1Compagnie Internationale de Negoce</v>
          </cell>
          <cell r="N760" t="str">
            <v>Compagnie Internationale de NegoceScratch 1 000</v>
          </cell>
          <cell r="O760" t="str">
            <v>Compagnie Internationale de Negoce</v>
          </cell>
          <cell r="P760" t="str">
            <v>Scratch 1 000</v>
          </cell>
          <cell r="Q760" t="str">
            <v>32007</v>
          </cell>
          <cell r="R760" t="str">
            <v>32007Scratch 1 000</v>
          </cell>
          <cell r="S760" t="str">
            <v>2007Scratch 1 000</v>
          </cell>
          <cell r="T760" t="str">
            <v>32007Compagnie Internationale de Negoce</v>
          </cell>
          <cell r="U760" t="str">
            <v>32007Compagnie Internationale de NegoceScratch 1 000</v>
          </cell>
          <cell r="V760" t="str">
            <v>39169Scratch 1 000</v>
          </cell>
          <cell r="W760" t="str">
            <v>2007Compagnie Internationale de Negoce</v>
          </cell>
          <cell r="X760" t="str">
            <v>2007Compagnie Internationale de NegoceScratch 1 000</v>
          </cell>
        </row>
        <row r="761">
          <cell r="I761">
            <v>2007</v>
          </cell>
          <cell r="J761" t="str">
            <v>Compagnie Internationale de NegoceScratch 2 000</v>
          </cell>
          <cell r="L761">
            <v>0</v>
          </cell>
          <cell r="M761" t="str">
            <v>Compagnie Internationale de Negoce</v>
          </cell>
          <cell r="N761" t="str">
            <v>Compagnie Internationale de NegoceScratch 2 000</v>
          </cell>
          <cell r="O761" t="str">
            <v>Compagnie Internationale de Negoce</v>
          </cell>
          <cell r="P761" t="str">
            <v>Scratch 2 000</v>
          </cell>
          <cell r="Q761" t="str">
            <v>32007</v>
          </cell>
          <cell r="R761" t="str">
            <v>32007Scratch 2 000</v>
          </cell>
          <cell r="S761" t="str">
            <v>2007Scratch 2 000</v>
          </cell>
          <cell r="T761" t="str">
            <v>32007Compagnie Internationale de Negoce</v>
          </cell>
          <cell r="U761" t="str">
            <v>32007Compagnie Internationale de NegoceScratch 2 000</v>
          </cell>
          <cell r="V761" t="str">
            <v>39169Scratch 2 000</v>
          </cell>
          <cell r="W761" t="str">
            <v>2007Compagnie Internationale de Negoce</v>
          </cell>
          <cell r="X761" t="str">
            <v>2007Compagnie Internationale de NegoceScratch 2 000</v>
          </cell>
        </row>
        <row r="762">
          <cell r="I762">
            <v>2007</v>
          </cell>
          <cell r="J762" t="str">
            <v>Compagnie Internationale de NegoceScratch 5 000</v>
          </cell>
          <cell r="L762">
            <v>0</v>
          </cell>
          <cell r="M762" t="str">
            <v>Compagnie Internationale de Negoce</v>
          </cell>
          <cell r="N762" t="str">
            <v>Compagnie Internationale de NegoceScratch 5 000</v>
          </cell>
          <cell r="O762" t="str">
            <v>Compagnie Internationale de Negoce</v>
          </cell>
          <cell r="P762" t="str">
            <v>Scratch 5 000</v>
          </cell>
          <cell r="Q762" t="str">
            <v>32007</v>
          </cell>
          <cell r="R762" t="str">
            <v>32007Scratch 5 000</v>
          </cell>
          <cell r="S762" t="str">
            <v>2007Scratch 5 000</v>
          </cell>
          <cell r="T762" t="str">
            <v>32007Compagnie Internationale de Negoce</v>
          </cell>
          <cell r="U762" t="str">
            <v>32007Compagnie Internationale de NegoceScratch 5 000</v>
          </cell>
          <cell r="V762" t="str">
            <v>39169Scratch 5 000</v>
          </cell>
          <cell r="W762" t="str">
            <v>2007Compagnie Internationale de Negoce</v>
          </cell>
          <cell r="X762" t="str">
            <v>2007Compagnie Internationale de NegoceScratch 5 000</v>
          </cell>
        </row>
        <row r="763">
          <cell r="I763">
            <v>2007</v>
          </cell>
          <cell r="J763" t="str">
            <v>Compagnie Internationale de NegoceScratch 10 000</v>
          </cell>
          <cell r="L763">
            <v>0</v>
          </cell>
          <cell r="M763" t="str">
            <v>Compagnie Internationale de Negoce</v>
          </cell>
          <cell r="N763" t="str">
            <v>Compagnie Internationale de NegoceScratch 10 000</v>
          </cell>
          <cell r="O763" t="str">
            <v>Compagnie Internationale de Negoce</v>
          </cell>
          <cell r="P763" t="str">
            <v>Scratch 10 000</v>
          </cell>
          <cell r="Q763" t="str">
            <v>32007</v>
          </cell>
          <cell r="R763" t="str">
            <v>32007Scratch 10 000</v>
          </cell>
          <cell r="S763" t="str">
            <v>2007Scratch 10 000</v>
          </cell>
          <cell r="T763" t="str">
            <v>32007Compagnie Internationale de Negoce</v>
          </cell>
          <cell r="U763" t="str">
            <v>32007Compagnie Internationale de NegoceScratch 10 000</v>
          </cell>
          <cell r="V763" t="str">
            <v>39169Scratch 10 000</v>
          </cell>
          <cell r="W763" t="str">
            <v>2007Compagnie Internationale de Negoce</v>
          </cell>
          <cell r="X763" t="str">
            <v>2007Compagnie Internationale de NegoceScratch 10 000</v>
          </cell>
        </row>
        <row r="764">
          <cell r="I764">
            <v>2007</v>
          </cell>
          <cell r="J764" t="str">
            <v>Compagnie Internationale de NegoceScratch 20 000</v>
          </cell>
          <cell r="L764">
            <v>0</v>
          </cell>
          <cell r="M764" t="str">
            <v>Compagnie Internationale de Negoce</v>
          </cell>
          <cell r="N764" t="str">
            <v>Compagnie Internationale de NegoceScratch 20 000</v>
          </cell>
          <cell r="O764" t="str">
            <v>Compagnie Internationale de Negoce</v>
          </cell>
          <cell r="P764" t="str">
            <v>Scratch 20 000</v>
          </cell>
          <cell r="Q764" t="str">
            <v>32007</v>
          </cell>
          <cell r="R764" t="str">
            <v>32007Scratch 20 000</v>
          </cell>
          <cell r="S764" t="str">
            <v>2007Scratch 20 000</v>
          </cell>
          <cell r="T764" t="str">
            <v>32007Compagnie Internationale de Negoce</v>
          </cell>
          <cell r="U764" t="str">
            <v>32007Compagnie Internationale de NegoceScratch 20 000</v>
          </cell>
          <cell r="V764" t="str">
            <v>39169Scratch 20 000</v>
          </cell>
          <cell r="W764" t="str">
            <v>2007Compagnie Internationale de Negoce</v>
          </cell>
          <cell r="X764" t="str">
            <v>2007Compagnie Internationale de NegoceScratch 20 000</v>
          </cell>
        </row>
        <row r="765">
          <cell r="I765">
            <v>2007</v>
          </cell>
          <cell r="J765" t="str">
            <v>ANKA ServicesScratch 1 000</v>
          </cell>
          <cell r="L765">
            <v>1</v>
          </cell>
          <cell r="M765" t="str">
            <v>1ANKA Services</v>
          </cell>
          <cell r="N765" t="str">
            <v>ANKA ServicesScratch 1 000</v>
          </cell>
          <cell r="O765" t="str">
            <v>ANKA Services</v>
          </cell>
          <cell r="P765" t="str">
            <v>Scratch 1 000</v>
          </cell>
          <cell r="Q765" t="str">
            <v>32007</v>
          </cell>
          <cell r="R765" t="str">
            <v>32007Scratch 1 000</v>
          </cell>
          <cell r="S765" t="str">
            <v>2007Scratch 1 000</v>
          </cell>
          <cell r="T765" t="str">
            <v>32007ANKA Services</v>
          </cell>
          <cell r="U765" t="str">
            <v>32007ANKA ServicesScratch 1 000</v>
          </cell>
          <cell r="V765" t="str">
            <v>39169Scratch 1 000</v>
          </cell>
          <cell r="W765" t="str">
            <v>2007ANKA Services</v>
          </cell>
          <cell r="X765" t="str">
            <v>2007ANKA ServicesScratch 1 000</v>
          </cell>
        </row>
        <row r="766">
          <cell r="I766">
            <v>2007</v>
          </cell>
          <cell r="J766" t="str">
            <v>ANKA ServicesScratch 2 000</v>
          </cell>
          <cell r="L766">
            <v>0</v>
          </cell>
          <cell r="M766" t="str">
            <v>ANKA Services</v>
          </cell>
          <cell r="N766" t="str">
            <v>ANKA ServicesScratch 2 000</v>
          </cell>
          <cell r="O766" t="str">
            <v>ANKA Services</v>
          </cell>
          <cell r="P766" t="str">
            <v>Scratch 2 000</v>
          </cell>
          <cell r="Q766" t="str">
            <v>32007</v>
          </cell>
          <cell r="R766" t="str">
            <v>32007Scratch 2 000</v>
          </cell>
          <cell r="S766" t="str">
            <v>2007Scratch 2 000</v>
          </cell>
          <cell r="T766" t="str">
            <v>32007ANKA Services</v>
          </cell>
          <cell r="U766" t="str">
            <v>32007ANKA ServicesScratch 2 000</v>
          </cell>
          <cell r="V766" t="str">
            <v>39169Scratch 2 000</v>
          </cell>
          <cell r="W766" t="str">
            <v>2007ANKA Services</v>
          </cell>
          <cell r="X766" t="str">
            <v>2007ANKA ServicesScratch 2 000</v>
          </cell>
        </row>
        <row r="767">
          <cell r="I767">
            <v>2007</v>
          </cell>
          <cell r="J767" t="str">
            <v>ANKA ServicesScratch 5 000</v>
          </cell>
          <cell r="L767">
            <v>0</v>
          </cell>
          <cell r="M767" t="str">
            <v>ANKA Services</v>
          </cell>
          <cell r="N767" t="str">
            <v>ANKA ServicesScratch 5 000</v>
          </cell>
          <cell r="O767" t="str">
            <v>ANKA Services</v>
          </cell>
          <cell r="P767" t="str">
            <v>Scratch 5 000</v>
          </cell>
          <cell r="Q767" t="str">
            <v>32007</v>
          </cell>
          <cell r="R767" t="str">
            <v>32007Scratch 5 000</v>
          </cell>
          <cell r="S767" t="str">
            <v>2007Scratch 5 000</v>
          </cell>
          <cell r="T767" t="str">
            <v>32007ANKA Services</v>
          </cell>
          <cell r="U767" t="str">
            <v>32007ANKA ServicesScratch 5 000</v>
          </cell>
          <cell r="V767" t="str">
            <v>39169Scratch 5 000</v>
          </cell>
          <cell r="W767" t="str">
            <v>2007ANKA Services</v>
          </cell>
          <cell r="X767" t="str">
            <v>2007ANKA ServicesScratch 5 000</v>
          </cell>
        </row>
        <row r="768">
          <cell r="I768">
            <v>2007</v>
          </cell>
          <cell r="J768" t="str">
            <v>ETS Boubacar TANDIAScratch 1 000</v>
          </cell>
          <cell r="L768">
            <v>1</v>
          </cell>
          <cell r="M768" t="str">
            <v>1ETS Boubacar TANDIA</v>
          </cell>
          <cell r="N768" t="str">
            <v>ETS Boubacar TANDIAScratch 1 000</v>
          </cell>
          <cell r="O768" t="str">
            <v>ETS Boubacar TANDIA</v>
          </cell>
          <cell r="P768" t="str">
            <v>Scratch 1 000</v>
          </cell>
          <cell r="Q768" t="str">
            <v>32007</v>
          </cell>
          <cell r="R768" t="str">
            <v>32007Scratch 1 000</v>
          </cell>
          <cell r="S768" t="str">
            <v>2007Scratch 1 000</v>
          </cell>
          <cell r="T768" t="str">
            <v>32007ETS Boubacar TANDIA</v>
          </cell>
          <cell r="U768" t="str">
            <v>32007ETS Boubacar TANDIAScratch 1 000</v>
          </cell>
          <cell r="V768" t="str">
            <v>39169Scratch 1 000</v>
          </cell>
          <cell r="W768" t="str">
            <v>2007ETS Boubacar TANDIA</v>
          </cell>
          <cell r="X768" t="str">
            <v>2007ETS Boubacar TANDIAScratch 1 000</v>
          </cell>
        </row>
        <row r="769">
          <cell r="I769">
            <v>2007</v>
          </cell>
          <cell r="J769" t="str">
            <v>ETS Boubacar TANDIAScratch 2 000</v>
          </cell>
          <cell r="L769">
            <v>0</v>
          </cell>
          <cell r="M769" t="str">
            <v>ETS Boubacar TANDIA</v>
          </cell>
          <cell r="N769" t="str">
            <v>ETS Boubacar TANDIAScratch 2 000</v>
          </cell>
          <cell r="O769" t="str">
            <v>ETS Boubacar TANDIA</v>
          </cell>
          <cell r="P769" t="str">
            <v>Scratch 2 000</v>
          </cell>
          <cell r="Q769" t="str">
            <v>32007</v>
          </cell>
          <cell r="R769" t="str">
            <v>32007Scratch 2 000</v>
          </cell>
          <cell r="S769" t="str">
            <v>2007Scratch 2 000</v>
          </cell>
          <cell r="T769" t="str">
            <v>32007ETS Boubacar TANDIA</v>
          </cell>
          <cell r="U769" t="str">
            <v>32007ETS Boubacar TANDIAScratch 2 000</v>
          </cell>
          <cell r="V769" t="str">
            <v>39169Scratch 2 000</v>
          </cell>
          <cell r="W769" t="str">
            <v>2007ETS Boubacar TANDIA</v>
          </cell>
          <cell r="X769" t="str">
            <v>2007ETS Boubacar TANDIAScratch 2 000</v>
          </cell>
        </row>
        <row r="770">
          <cell r="I770">
            <v>2007</v>
          </cell>
          <cell r="J770" t="str">
            <v>ETS Boubacar TANDIAScratch 5 000</v>
          </cell>
          <cell r="L770">
            <v>0</v>
          </cell>
          <cell r="M770" t="str">
            <v>ETS Boubacar TANDIA</v>
          </cell>
          <cell r="N770" t="str">
            <v>ETS Boubacar TANDIAScratch 5 000</v>
          </cell>
          <cell r="O770" t="str">
            <v>ETS Boubacar TANDIA</v>
          </cell>
          <cell r="P770" t="str">
            <v>Scratch 5 000</v>
          </cell>
          <cell r="Q770" t="str">
            <v>32007</v>
          </cell>
          <cell r="R770" t="str">
            <v>32007Scratch 5 000</v>
          </cell>
          <cell r="S770" t="str">
            <v>2007Scratch 5 000</v>
          </cell>
          <cell r="T770" t="str">
            <v>32007ETS Boubacar TANDIA</v>
          </cell>
          <cell r="U770" t="str">
            <v>32007ETS Boubacar TANDIAScratch 5 000</v>
          </cell>
          <cell r="V770" t="str">
            <v>39169Scratch 5 000</v>
          </cell>
          <cell r="W770" t="str">
            <v>2007ETS Boubacar TANDIA</v>
          </cell>
          <cell r="X770" t="str">
            <v>2007ETS Boubacar TANDIAScratch 5 000</v>
          </cell>
        </row>
        <row r="771">
          <cell r="I771">
            <v>2007</v>
          </cell>
          <cell r="J771" t="str">
            <v>ETS Boubacar TANDIAScratch 10 000</v>
          </cell>
          <cell r="L771">
            <v>0</v>
          </cell>
          <cell r="M771" t="str">
            <v>ETS Boubacar TANDIA</v>
          </cell>
          <cell r="N771" t="str">
            <v>ETS Boubacar TANDIAScratch 10 000</v>
          </cell>
          <cell r="O771" t="str">
            <v>ETS Boubacar TANDIA</v>
          </cell>
          <cell r="P771" t="str">
            <v>Scratch 10 000</v>
          </cell>
          <cell r="Q771" t="str">
            <v>32007</v>
          </cell>
          <cell r="R771" t="str">
            <v>32007Scratch 10 000</v>
          </cell>
          <cell r="S771" t="str">
            <v>2007Scratch 10 000</v>
          </cell>
          <cell r="T771" t="str">
            <v>32007ETS Boubacar TANDIA</v>
          </cell>
          <cell r="U771" t="str">
            <v>32007ETS Boubacar TANDIAScratch 10 000</v>
          </cell>
          <cell r="V771" t="str">
            <v>39169Scratch 10 000</v>
          </cell>
          <cell r="W771" t="str">
            <v>2007ETS Boubacar TANDIA</v>
          </cell>
          <cell r="X771" t="str">
            <v>2007ETS Boubacar TANDIAScratch 10 000</v>
          </cell>
        </row>
        <row r="772">
          <cell r="I772">
            <v>2007</v>
          </cell>
          <cell r="J772" t="str">
            <v>ETS Boubacar TANDIAScratch 20 000</v>
          </cell>
          <cell r="L772">
            <v>0</v>
          </cell>
          <cell r="M772" t="str">
            <v>ETS Boubacar TANDIA</v>
          </cell>
          <cell r="N772" t="str">
            <v>ETS Boubacar TANDIAScratch 20 000</v>
          </cell>
          <cell r="O772" t="str">
            <v>ETS Boubacar TANDIA</v>
          </cell>
          <cell r="P772" t="str">
            <v>Scratch 20 000</v>
          </cell>
          <cell r="Q772" t="str">
            <v>32007</v>
          </cell>
          <cell r="R772" t="str">
            <v>32007Scratch 20 000</v>
          </cell>
          <cell r="S772" t="str">
            <v>2007Scratch 20 000</v>
          </cell>
          <cell r="T772" t="str">
            <v>32007ETS Boubacar TANDIA</v>
          </cell>
          <cell r="U772" t="str">
            <v>32007ETS Boubacar TANDIAScratch 20 000</v>
          </cell>
          <cell r="V772" t="str">
            <v>39169Scratch 20 000</v>
          </cell>
          <cell r="W772" t="str">
            <v>2007ETS Boubacar TANDIA</v>
          </cell>
          <cell r="X772" t="str">
            <v>2007ETS Boubacar TANDIAScratch 20 000</v>
          </cell>
        </row>
        <row r="773">
          <cell r="I773">
            <v>2007</v>
          </cell>
          <cell r="J773" t="str">
            <v>Ets Mamadou GAMBYScratch 1 000</v>
          </cell>
          <cell r="L773">
            <v>1</v>
          </cell>
          <cell r="M773" t="str">
            <v>1Ets Mamadou GAMBY</v>
          </cell>
          <cell r="N773" t="str">
            <v>Ets Mamadou GAMBYScratch 1 000</v>
          </cell>
          <cell r="O773" t="str">
            <v>Ets Mamadou GAMBY</v>
          </cell>
          <cell r="P773" t="str">
            <v>Scratch 1 000</v>
          </cell>
          <cell r="Q773" t="str">
            <v>32007</v>
          </cell>
          <cell r="R773" t="str">
            <v>32007Scratch 1 000</v>
          </cell>
          <cell r="S773" t="str">
            <v>2007Scratch 1 000</v>
          </cell>
          <cell r="T773" t="str">
            <v>32007Ets Mamadou GAMBY</v>
          </cell>
          <cell r="U773" t="str">
            <v>32007Ets Mamadou GAMBYScratch 1 000</v>
          </cell>
          <cell r="V773" t="str">
            <v>39170Scratch 1 000</v>
          </cell>
          <cell r="W773" t="str">
            <v>2007Ets Mamadou GAMBY</v>
          </cell>
          <cell r="X773" t="str">
            <v>2007Ets Mamadou GAMBYScratch 1 000</v>
          </cell>
        </row>
        <row r="774">
          <cell r="I774">
            <v>2007</v>
          </cell>
          <cell r="J774" t="str">
            <v>Ets Mamadou GAMBYScratch 2 000</v>
          </cell>
          <cell r="L774">
            <v>0</v>
          </cell>
          <cell r="M774" t="str">
            <v>Ets Mamadou GAMBY</v>
          </cell>
          <cell r="N774" t="str">
            <v>Ets Mamadou GAMBYScratch 2 000</v>
          </cell>
          <cell r="O774" t="str">
            <v>Ets Mamadou GAMBY</v>
          </cell>
          <cell r="P774" t="str">
            <v>Scratch 2 000</v>
          </cell>
          <cell r="Q774" t="str">
            <v>32007</v>
          </cell>
          <cell r="R774" t="str">
            <v>32007Scratch 2 000</v>
          </cell>
          <cell r="S774" t="str">
            <v>2007Scratch 2 000</v>
          </cell>
          <cell r="T774" t="str">
            <v>32007Ets Mamadou GAMBY</v>
          </cell>
          <cell r="U774" t="str">
            <v>32007Ets Mamadou GAMBYScratch 2 000</v>
          </cell>
          <cell r="V774" t="str">
            <v>39170Scratch 2 000</v>
          </cell>
          <cell r="W774" t="str">
            <v>2007Ets Mamadou GAMBY</v>
          </cell>
          <cell r="X774" t="str">
            <v>2007Ets Mamadou GAMBYScratch 2 000</v>
          </cell>
        </row>
        <row r="775">
          <cell r="I775">
            <v>2007</v>
          </cell>
          <cell r="J775" t="str">
            <v>Ets Mamadou GAMBYScratch 5 000</v>
          </cell>
          <cell r="L775">
            <v>0</v>
          </cell>
          <cell r="M775" t="str">
            <v>Ets Mamadou GAMBY</v>
          </cell>
          <cell r="N775" t="str">
            <v>Ets Mamadou GAMBYScratch 5 000</v>
          </cell>
          <cell r="O775" t="str">
            <v>Ets Mamadou GAMBY</v>
          </cell>
          <cell r="P775" t="str">
            <v>Scratch 5 000</v>
          </cell>
          <cell r="Q775" t="str">
            <v>32007</v>
          </cell>
          <cell r="R775" t="str">
            <v>32007Scratch 5 000</v>
          </cell>
          <cell r="S775" t="str">
            <v>2007Scratch 5 000</v>
          </cell>
          <cell r="T775" t="str">
            <v>32007Ets Mamadou GAMBY</v>
          </cell>
          <cell r="U775" t="str">
            <v>32007Ets Mamadou GAMBYScratch 5 000</v>
          </cell>
          <cell r="V775" t="str">
            <v>39170Scratch 5 000</v>
          </cell>
          <cell r="W775" t="str">
            <v>2007Ets Mamadou GAMBY</v>
          </cell>
          <cell r="X775" t="str">
            <v>2007Ets Mamadou GAMBYScratch 5 000</v>
          </cell>
        </row>
        <row r="776">
          <cell r="I776">
            <v>2007</v>
          </cell>
          <cell r="J776" t="str">
            <v>MALI COM SarlScratch 1 000</v>
          </cell>
          <cell r="L776">
            <v>1</v>
          </cell>
          <cell r="M776" t="str">
            <v>1MALI COM Sarl</v>
          </cell>
          <cell r="N776" t="str">
            <v>MALI COM SarlScratch 1 000</v>
          </cell>
          <cell r="O776" t="str">
            <v>MALI COM Sarl</v>
          </cell>
          <cell r="P776" t="str">
            <v>Scratch 1 000</v>
          </cell>
          <cell r="Q776" t="str">
            <v>32007</v>
          </cell>
          <cell r="R776" t="str">
            <v>32007Scratch 1 000</v>
          </cell>
          <cell r="S776" t="str">
            <v>2007Scratch 1 000</v>
          </cell>
          <cell r="T776" t="str">
            <v>32007MALI COM Sarl</v>
          </cell>
          <cell r="U776" t="str">
            <v>32007MALI COM SarlScratch 1 000</v>
          </cell>
          <cell r="V776" t="str">
            <v>39170Scratch 1 000</v>
          </cell>
          <cell r="W776" t="str">
            <v>2007MALI COM Sarl</v>
          </cell>
          <cell r="X776" t="str">
            <v>2007MALI COM SarlScratch 1 000</v>
          </cell>
        </row>
        <row r="777">
          <cell r="I777">
            <v>2007</v>
          </cell>
          <cell r="J777" t="str">
            <v>MALI COM SarlScratch 2 000</v>
          </cell>
          <cell r="L777">
            <v>0</v>
          </cell>
          <cell r="M777" t="str">
            <v>MALI COM Sarl</v>
          </cell>
          <cell r="N777" t="str">
            <v>MALI COM SarlScratch 2 000</v>
          </cell>
          <cell r="O777" t="str">
            <v>MALI COM Sarl</v>
          </cell>
          <cell r="P777" t="str">
            <v>Scratch 2 000</v>
          </cell>
          <cell r="Q777" t="str">
            <v>32007</v>
          </cell>
          <cell r="R777" t="str">
            <v>32007Scratch 2 000</v>
          </cell>
          <cell r="S777" t="str">
            <v>2007Scratch 2 000</v>
          </cell>
          <cell r="T777" t="str">
            <v>32007MALI COM Sarl</v>
          </cell>
          <cell r="U777" t="str">
            <v>32007MALI COM SarlScratch 2 000</v>
          </cell>
          <cell r="V777" t="str">
            <v>39170Scratch 2 000</v>
          </cell>
          <cell r="W777" t="str">
            <v>2007MALI COM Sarl</v>
          </cell>
          <cell r="X777" t="str">
            <v>2007MALI COM SarlScratch 2 000</v>
          </cell>
        </row>
        <row r="778">
          <cell r="I778">
            <v>2007</v>
          </cell>
          <cell r="J778" t="str">
            <v>MALI COM SarlScratch 5 000</v>
          </cell>
          <cell r="L778">
            <v>0</v>
          </cell>
          <cell r="M778" t="str">
            <v>MALI COM Sarl</v>
          </cell>
          <cell r="N778" t="str">
            <v>MALI COM SarlScratch 5 000</v>
          </cell>
          <cell r="O778" t="str">
            <v>MALI COM Sarl</v>
          </cell>
          <cell r="P778" t="str">
            <v>Scratch 5 000</v>
          </cell>
          <cell r="Q778" t="str">
            <v>32007</v>
          </cell>
          <cell r="R778" t="str">
            <v>32007Scratch 5 000</v>
          </cell>
          <cell r="S778" t="str">
            <v>2007Scratch 5 000</v>
          </cell>
          <cell r="T778" t="str">
            <v>32007MALI COM Sarl</v>
          </cell>
          <cell r="U778" t="str">
            <v>32007MALI COM SarlScratch 5 000</v>
          </cell>
          <cell r="V778" t="str">
            <v>39170Scratch 5 000</v>
          </cell>
          <cell r="W778" t="str">
            <v>2007MALI COM Sarl</v>
          </cell>
          <cell r="X778" t="str">
            <v>2007MALI COM SarlScratch 5 000</v>
          </cell>
        </row>
        <row r="779">
          <cell r="I779">
            <v>2007</v>
          </cell>
          <cell r="J779" t="str">
            <v>MALI COM SarlScratch 20 000</v>
          </cell>
          <cell r="L779">
            <v>0</v>
          </cell>
          <cell r="M779" t="str">
            <v>MALI COM Sarl</v>
          </cell>
          <cell r="N779" t="str">
            <v>MALI COM SarlScratch 20 000</v>
          </cell>
          <cell r="O779" t="str">
            <v>MALI COM Sarl</v>
          </cell>
          <cell r="P779" t="str">
            <v>Scratch 20 000</v>
          </cell>
          <cell r="Q779" t="str">
            <v>32007</v>
          </cell>
          <cell r="R779" t="str">
            <v>32007Scratch 20 000</v>
          </cell>
          <cell r="S779" t="str">
            <v>2007Scratch 20 000</v>
          </cell>
          <cell r="T779" t="str">
            <v>32007MALI COM Sarl</v>
          </cell>
          <cell r="U779" t="str">
            <v>32007MALI COM SarlScratch 20 000</v>
          </cell>
          <cell r="V779" t="str">
            <v>39170Scratch 20 000</v>
          </cell>
          <cell r="W779" t="str">
            <v>2007MALI COM Sarl</v>
          </cell>
          <cell r="X779" t="str">
            <v>2007MALI COM SarlScratch 20 000</v>
          </cell>
        </row>
        <row r="780">
          <cell r="I780">
            <v>2007</v>
          </cell>
          <cell r="J780" t="str">
            <v>GEMATELScratch 1 000</v>
          </cell>
          <cell r="L780">
            <v>1</v>
          </cell>
          <cell r="M780" t="str">
            <v>1GEMATEL</v>
          </cell>
          <cell r="N780" t="str">
            <v>GEMATELScratch 1 000</v>
          </cell>
          <cell r="O780" t="str">
            <v>GEMATEL</v>
          </cell>
          <cell r="P780" t="str">
            <v>Scratch 1 000</v>
          </cell>
          <cell r="Q780" t="str">
            <v>32007</v>
          </cell>
          <cell r="R780" t="str">
            <v>32007Scratch 1 000</v>
          </cell>
          <cell r="S780" t="str">
            <v>2007Scratch 1 000</v>
          </cell>
          <cell r="T780" t="str">
            <v>32007GEMATEL</v>
          </cell>
          <cell r="U780" t="str">
            <v>32007GEMATELScratch 1 000</v>
          </cell>
          <cell r="V780" t="str">
            <v>39170Scratch 1 000</v>
          </cell>
          <cell r="W780" t="str">
            <v>2007GEMATEL</v>
          </cell>
          <cell r="X780" t="str">
            <v>2007GEMATELScratch 1 000</v>
          </cell>
        </row>
        <row r="781">
          <cell r="I781">
            <v>2007</v>
          </cell>
          <cell r="J781" t="str">
            <v>GEMATELScratch 2 000</v>
          </cell>
          <cell r="L781">
            <v>0</v>
          </cell>
          <cell r="M781" t="str">
            <v>GEMATEL</v>
          </cell>
          <cell r="N781" t="str">
            <v>GEMATELScratch 2 000</v>
          </cell>
          <cell r="O781" t="str">
            <v>GEMATEL</v>
          </cell>
          <cell r="P781" t="str">
            <v>Scratch 2 000</v>
          </cell>
          <cell r="Q781" t="str">
            <v>32007</v>
          </cell>
          <cell r="R781" t="str">
            <v>32007Scratch 2 000</v>
          </cell>
          <cell r="S781" t="str">
            <v>2007Scratch 2 000</v>
          </cell>
          <cell r="T781" t="str">
            <v>32007GEMATEL</v>
          </cell>
          <cell r="U781" t="str">
            <v>32007GEMATELScratch 2 000</v>
          </cell>
          <cell r="V781" t="str">
            <v>39170Scratch 2 000</v>
          </cell>
          <cell r="W781" t="str">
            <v>2007GEMATEL</v>
          </cell>
          <cell r="X781" t="str">
            <v>2007GEMATELScratch 2 000</v>
          </cell>
        </row>
        <row r="782">
          <cell r="I782">
            <v>2007</v>
          </cell>
          <cell r="J782" t="str">
            <v>GEMATELScratch 5 000</v>
          </cell>
          <cell r="L782">
            <v>0</v>
          </cell>
          <cell r="M782" t="str">
            <v>GEMATEL</v>
          </cell>
          <cell r="N782" t="str">
            <v>GEMATELScratch 5 000</v>
          </cell>
          <cell r="O782" t="str">
            <v>GEMATEL</v>
          </cell>
          <cell r="P782" t="str">
            <v>Scratch 5 000</v>
          </cell>
          <cell r="Q782" t="str">
            <v>32007</v>
          </cell>
          <cell r="R782" t="str">
            <v>32007Scratch 5 000</v>
          </cell>
          <cell r="S782" t="str">
            <v>2007Scratch 5 000</v>
          </cell>
          <cell r="T782" t="str">
            <v>32007GEMATEL</v>
          </cell>
          <cell r="U782" t="str">
            <v>32007GEMATELScratch 5 000</v>
          </cell>
          <cell r="V782" t="str">
            <v>39170Scratch 5 000</v>
          </cell>
          <cell r="W782" t="str">
            <v>2007GEMATEL</v>
          </cell>
          <cell r="X782" t="str">
            <v>2007GEMATELScratch 5 000</v>
          </cell>
        </row>
        <row r="783">
          <cell r="I783">
            <v>2007</v>
          </cell>
          <cell r="J783" t="str">
            <v>GEMATELScratch 10 000</v>
          </cell>
          <cell r="L783">
            <v>0</v>
          </cell>
          <cell r="M783" t="str">
            <v>GEMATEL</v>
          </cell>
          <cell r="N783" t="str">
            <v>GEMATELScratch 10 000</v>
          </cell>
          <cell r="O783" t="str">
            <v>GEMATEL</v>
          </cell>
          <cell r="P783" t="str">
            <v>Scratch 10 000</v>
          </cell>
          <cell r="Q783" t="str">
            <v>32007</v>
          </cell>
          <cell r="R783" t="str">
            <v>32007Scratch 10 000</v>
          </cell>
          <cell r="S783" t="str">
            <v>2007Scratch 10 000</v>
          </cell>
          <cell r="T783" t="str">
            <v>32007GEMATEL</v>
          </cell>
          <cell r="U783" t="str">
            <v>32007GEMATELScratch 10 000</v>
          </cell>
          <cell r="V783" t="str">
            <v>39170Scratch 10 000</v>
          </cell>
          <cell r="W783" t="str">
            <v>2007GEMATEL</v>
          </cell>
          <cell r="X783" t="str">
            <v>2007GEMATELScratch 10 000</v>
          </cell>
        </row>
        <row r="784">
          <cell r="I784">
            <v>2007</v>
          </cell>
          <cell r="J784" t="str">
            <v>GEMATELScratch 20 000</v>
          </cell>
          <cell r="L784">
            <v>0</v>
          </cell>
          <cell r="M784" t="str">
            <v>GEMATEL</v>
          </cell>
          <cell r="N784" t="str">
            <v>GEMATELScratch 20 000</v>
          </cell>
          <cell r="O784" t="str">
            <v>GEMATEL</v>
          </cell>
          <cell r="P784" t="str">
            <v>Scratch 20 000</v>
          </cell>
          <cell r="Q784" t="str">
            <v>32007</v>
          </cell>
          <cell r="R784" t="str">
            <v>32007Scratch 20 000</v>
          </cell>
          <cell r="S784" t="str">
            <v>2007Scratch 20 000</v>
          </cell>
          <cell r="T784" t="str">
            <v>32007GEMATEL</v>
          </cell>
          <cell r="U784" t="str">
            <v>32007GEMATELScratch 20 000</v>
          </cell>
          <cell r="V784" t="str">
            <v>39170Scratch 20 000</v>
          </cell>
          <cell r="W784" t="str">
            <v>2007GEMATEL</v>
          </cell>
          <cell r="X784" t="str">
            <v>2007GEMATELScratch 20 000</v>
          </cell>
        </row>
        <row r="785">
          <cell r="I785">
            <v>2007</v>
          </cell>
          <cell r="J785" t="str">
            <v>Bonneterie Nouvelle TelecomScratch 1 000</v>
          </cell>
          <cell r="L785">
            <v>1</v>
          </cell>
          <cell r="M785" t="str">
            <v>1Bonneterie Nouvelle Telecom</v>
          </cell>
          <cell r="N785" t="str">
            <v>Bonneterie Nouvelle TelecomScratch 1 000</v>
          </cell>
          <cell r="O785" t="str">
            <v>Bonneterie Nouvelle Telecom</v>
          </cell>
          <cell r="P785" t="str">
            <v>Scratch 1 000</v>
          </cell>
          <cell r="Q785" t="str">
            <v>32007</v>
          </cell>
          <cell r="R785" t="str">
            <v>32007Scratch 1 000</v>
          </cell>
          <cell r="S785" t="str">
            <v>2007Scratch 1 000</v>
          </cell>
          <cell r="T785" t="str">
            <v>32007Bonneterie Nouvelle Telecom</v>
          </cell>
          <cell r="U785" t="str">
            <v>32007Bonneterie Nouvelle TelecomScratch 1 000</v>
          </cell>
          <cell r="V785" t="str">
            <v>39171Scratch 1 000</v>
          </cell>
          <cell r="W785" t="str">
            <v>2007Bonneterie Nouvelle Telecom</v>
          </cell>
          <cell r="X785" t="str">
            <v>2007Bonneterie Nouvelle TelecomScratch 1 000</v>
          </cell>
        </row>
        <row r="786">
          <cell r="I786">
            <v>2007</v>
          </cell>
          <cell r="J786" t="str">
            <v>Bonneterie Nouvelle TelecomScratch 2 000</v>
          </cell>
          <cell r="L786">
            <v>0</v>
          </cell>
          <cell r="M786" t="str">
            <v>Bonneterie Nouvelle Telecom</v>
          </cell>
          <cell r="N786" t="str">
            <v>Bonneterie Nouvelle TelecomScratch 2 000</v>
          </cell>
          <cell r="O786" t="str">
            <v>Bonneterie Nouvelle Telecom</v>
          </cell>
          <cell r="P786" t="str">
            <v>Scratch 2 000</v>
          </cell>
          <cell r="Q786" t="str">
            <v>32007</v>
          </cell>
          <cell r="R786" t="str">
            <v>32007Scratch 2 000</v>
          </cell>
          <cell r="S786" t="str">
            <v>2007Scratch 2 000</v>
          </cell>
          <cell r="T786" t="str">
            <v>32007Bonneterie Nouvelle Telecom</v>
          </cell>
          <cell r="U786" t="str">
            <v>32007Bonneterie Nouvelle TelecomScratch 2 000</v>
          </cell>
          <cell r="V786" t="str">
            <v>39171Scratch 2 000</v>
          </cell>
          <cell r="W786" t="str">
            <v>2007Bonneterie Nouvelle Telecom</v>
          </cell>
          <cell r="X786" t="str">
            <v>2007Bonneterie Nouvelle TelecomScratch 2 000</v>
          </cell>
        </row>
        <row r="787">
          <cell r="I787">
            <v>2007</v>
          </cell>
          <cell r="J787" t="str">
            <v>Bonneterie Nouvelle TelecomScratch 5 000</v>
          </cell>
          <cell r="L787">
            <v>0</v>
          </cell>
          <cell r="M787" t="str">
            <v>Bonneterie Nouvelle Telecom</v>
          </cell>
          <cell r="N787" t="str">
            <v>Bonneterie Nouvelle TelecomScratch 5 000</v>
          </cell>
          <cell r="O787" t="str">
            <v>Bonneterie Nouvelle Telecom</v>
          </cell>
          <cell r="P787" t="str">
            <v>Scratch 5 000</v>
          </cell>
          <cell r="Q787" t="str">
            <v>32007</v>
          </cell>
          <cell r="R787" t="str">
            <v>32007Scratch 5 000</v>
          </cell>
          <cell r="S787" t="str">
            <v>2007Scratch 5 000</v>
          </cell>
          <cell r="T787" t="str">
            <v>32007Bonneterie Nouvelle Telecom</v>
          </cell>
          <cell r="U787" t="str">
            <v>32007Bonneterie Nouvelle TelecomScratch 5 000</v>
          </cell>
          <cell r="V787" t="str">
            <v>39171Scratch 5 000</v>
          </cell>
          <cell r="W787" t="str">
            <v>2007Bonneterie Nouvelle Telecom</v>
          </cell>
          <cell r="X787" t="str">
            <v>2007Bonneterie Nouvelle TelecomScratch 5 000</v>
          </cell>
        </row>
        <row r="788">
          <cell r="I788">
            <v>2007</v>
          </cell>
          <cell r="J788" t="str">
            <v>Bonneterie Nouvelle TelecomScratch 10 000</v>
          </cell>
          <cell r="L788">
            <v>0</v>
          </cell>
          <cell r="M788" t="str">
            <v>Bonneterie Nouvelle Telecom</v>
          </cell>
          <cell r="N788" t="str">
            <v>Bonneterie Nouvelle TelecomScratch 10 000</v>
          </cell>
          <cell r="O788" t="str">
            <v>Bonneterie Nouvelle Telecom</v>
          </cell>
          <cell r="P788" t="str">
            <v>Scratch 10 000</v>
          </cell>
          <cell r="Q788" t="str">
            <v>32007</v>
          </cell>
          <cell r="R788" t="str">
            <v>32007Scratch 10 000</v>
          </cell>
          <cell r="S788" t="str">
            <v>2007Scratch 10 000</v>
          </cell>
          <cell r="T788" t="str">
            <v>32007Bonneterie Nouvelle Telecom</v>
          </cell>
          <cell r="U788" t="str">
            <v>32007Bonneterie Nouvelle TelecomScratch 10 000</v>
          </cell>
          <cell r="V788" t="str">
            <v>39171Scratch 10 000</v>
          </cell>
          <cell r="W788" t="str">
            <v>2007Bonneterie Nouvelle Telecom</v>
          </cell>
          <cell r="X788" t="str">
            <v>2007Bonneterie Nouvelle TelecomScratch 10 000</v>
          </cell>
        </row>
        <row r="789">
          <cell r="I789">
            <v>2007</v>
          </cell>
          <cell r="J789" t="str">
            <v>GEMATELScratch 1 000</v>
          </cell>
          <cell r="L789">
            <v>1</v>
          </cell>
          <cell r="M789" t="str">
            <v>1GEMATEL</v>
          </cell>
          <cell r="N789" t="str">
            <v>GEMATELScratch 1 000</v>
          </cell>
          <cell r="O789" t="str">
            <v>GEMATEL</v>
          </cell>
          <cell r="P789" t="str">
            <v>Scratch 1 000</v>
          </cell>
          <cell r="Q789" t="str">
            <v>32007</v>
          </cell>
          <cell r="R789" t="str">
            <v>32007Scratch 1 000</v>
          </cell>
          <cell r="S789" t="str">
            <v>2007Scratch 1 000</v>
          </cell>
          <cell r="T789" t="str">
            <v>32007GEMATEL</v>
          </cell>
          <cell r="U789" t="str">
            <v>32007GEMATELScratch 1 000</v>
          </cell>
          <cell r="V789" t="str">
            <v>39171Scratch 1 000</v>
          </cell>
          <cell r="W789" t="str">
            <v>2007GEMATEL</v>
          </cell>
          <cell r="X789" t="str">
            <v>2007GEMATELScratch 1 000</v>
          </cell>
        </row>
        <row r="790">
          <cell r="I790">
            <v>2007</v>
          </cell>
          <cell r="J790" t="str">
            <v>GEMATELScratch 2 000</v>
          </cell>
          <cell r="L790">
            <v>0</v>
          </cell>
          <cell r="M790" t="str">
            <v>GEMATEL</v>
          </cell>
          <cell r="N790" t="str">
            <v>GEMATELScratch 2 000</v>
          </cell>
          <cell r="O790" t="str">
            <v>GEMATEL</v>
          </cell>
          <cell r="P790" t="str">
            <v>Scratch 2 000</v>
          </cell>
          <cell r="Q790" t="str">
            <v>32007</v>
          </cell>
          <cell r="R790" t="str">
            <v>32007Scratch 2 000</v>
          </cell>
          <cell r="S790" t="str">
            <v>2007Scratch 2 000</v>
          </cell>
          <cell r="T790" t="str">
            <v>32007GEMATEL</v>
          </cell>
          <cell r="U790" t="str">
            <v>32007GEMATELScratch 2 000</v>
          </cell>
          <cell r="V790" t="str">
            <v>39171Scratch 2 000</v>
          </cell>
          <cell r="W790" t="str">
            <v>2007GEMATEL</v>
          </cell>
          <cell r="X790" t="str">
            <v>2007GEMATELScratch 2 000</v>
          </cell>
        </row>
        <row r="791">
          <cell r="I791">
            <v>2007</v>
          </cell>
          <cell r="J791" t="str">
            <v>GEMATELScratch 5 000</v>
          </cell>
          <cell r="L791">
            <v>0</v>
          </cell>
          <cell r="M791" t="str">
            <v>GEMATEL</v>
          </cell>
          <cell r="N791" t="str">
            <v>GEMATELScratch 5 000</v>
          </cell>
          <cell r="O791" t="str">
            <v>GEMATEL</v>
          </cell>
          <cell r="P791" t="str">
            <v>Scratch 5 000</v>
          </cell>
          <cell r="Q791" t="str">
            <v>32007</v>
          </cell>
          <cell r="R791" t="str">
            <v>32007Scratch 5 000</v>
          </cell>
          <cell r="S791" t="str">
            <v>2007Scratch 5 000</v>
          </cell>
          <cell r="T791" t="str">
            <v>32007GEMATEL</v>
          </cell>
          <cell r="U791" t="str">
            <v>32007GEMATELScratch 5 000</v>
          </cell>
          <cell r="V791" t="str">
            <v>39171Scratch 5 000</v>
          </cell>
          <cell r="W791" t="str">
            <v>2007GEMATEL</v>
          </cell>
          <cell r="X791" t="str">
            <v>2007GEMATELScratch 5 000</v>
          </cell>
        </row>
        <row r="792">
          <cell r="I792">
            <v>2007</v>
          </cell>
          <cell r="J792" t="str">
            <v>GEMATELScratch 10 000</v>
          </cell>
          <cell r="L792">
            <v>0</v>
          </cell>
          <cell r="M792" t="str">
            <v>GEMATEL</v>
          </cell>
          <cell r="N792" t="str">
            <v>GEMATELScratch 10 000</v>
          </cell>
          <cell r="O792" t="str">
            <v>GEMATEL</v>
          </cell>
          <cell r="P792" t="str">
            <v>Scratch 10 000</v>
          </cell>
          <cell r="Q792" t="str">
            <v>32007</v>
          </cell>
          <cell r="R792" t="str">
            <v>32007Scratch 10 000</v>
          </cell>
          <cell r="S792" t="str">
            <v>2007Scratch 10 000</v>
          </cell>
          <cell r="T792" t="str">
            <v>32007GEMATEL</v>
          </cell>
          <cell r="U792" t="str">
            <v>32007GEMATELScratch 10 000</v>
          </cell>
          <cell r="V792" t="str">
            <v>39171Scratch 10 000</v>
          </cell>
          <cell r="W792" t="str">
            <v>2007GEMATEL</v>
          </cell>
          <cell r="X792" t="str">
            <v>2007GEMATELScratch 10 000</v>
          </cell>
        </row>
        <row r="793">
          <cell r="I793">
            <v>2007</v>
          </cell>
          <cell r="J793" t="str">
            <v>GEMATELScratch 20 000</v>
          </cell>
          <cell r="L793">
            <v>0</v>
          </cell>
          <cell r="M793" t="str">
            <v>GEMATEL</v>
          </cell>
          <cell r="N793" t="str">
            <v>GEMATELScratch 20 000</v>
          </cell>
          <cell r="O793" t="str">
            <v>GEMATEL</v>
          </cell>
          <cell r="P793" t="str">
            <v>Scratch 20 000</v>
          </cell>
          <cell r="Q793" t="str">
            <v>32007</v>
          </cell>
          <cell r="R793" t="str">
            <v>32007Scratch 20 000</v>
          </cell>
          <cell r="S793" t="str">
            <v>2007Scratch 20 000</v>
          </cell>
          <cell r="T793" t="str">
            <v>32007GEMATEL</v>
          </cell>
          <cell r="U793" t="str">
            <v>32007GEMATELScratch 20 000</v>
          </cell>
          <cell r="V793" t="str">
            <v>39171Scratch 20 000</v>
          </cell>
          <cell r="W793" t="str">
            <v>2007GEMATEL</v>
          </cell>
          <cell r="X793" t="str">
            <v>2007GEMATELScratch 20 000</v>
          </cell>
        </row>
        <row r="794">
          <cell r="I794">
            <v>2007</v>
          </cell>
          <cell r="J794" t="str">
            <v>STS GAMBY &amp; FRERES (SOGAF) SarlScratch 1 000</v>
          </cell>
          <cell r="L794">
            <v>1</v>
          </cell>
          <cell r="M794" t="str">
            <v>1STS GAMBY &amp; FRERES (SOGAF) Sarl</v>
          </cell>
          <cell r="N794" t="str">
            <v>STS GAMBY &amp; FRERES (SOGAF) SarlScratch 1 000</v>
          </cell>
          <cell r="O794" t="str">
            <v>STS GAMBY &amp; FRERES (SOGAF) Sarl</v>
          </cell>
          <cell r="P794" t="str">
            <v>Scratch 1 000</v>
          </cell>
          <cell r="Q794" t="str">
            <v>32007</v>
          </cell>
          <cell r="R794" t="str">
            <v>32007Scratch 1 000</v>
          </cell>
          <cell r="S794" t="str">
            <v>2007Scratch 1 000</v>
          </cell>
          <cell r="T794" t="str">
            <v>32007STS GAMBY &amp; FRERES (SOGAF) Sarl</v>
          </cell>
          <cell r="U794" t="str">
            <v>32007STS GAMBY &amp; FRERES (SOGAF) SarlScratch 1 000</v>
          </cell>
          <cell r="V794" t="str">
            <v>39171Scratch 1 000</v>
          </cell>
          <cell r="W794" t="str">
            <v>2007STS GAMBY &amp; FRERES (SOGAF) Sarl</v>
          </cell>
          <cell r="X794" t="str">
            <v>2007STS GAMBY &amp; FRERES (SOGAF) SarlScratch 1 000</v>
          </cell>
        </row>
        <row r="795">
          <cell r="I795">
            <v>2007</v>
          </cell>
          <cell r="J795" t="str">
            <v>STS GAMBY &amp; FRERES (SOGAF) SarlScratch 2 000</v>
          </cell>
          <cell r="L795">
            <v>0</v>
          </cell>
          <cell r="M795" t="str">
            <v>STS GAMBY &amp; FRERES (SOGAF) Sarl</v>
          </cell>
          <cell r="N795" t="str">
            <v>STS GAMBY &amp; FRERES (SOGAF) SarlScratch 2 000</v>
          </cell>
          <cell r="O795" t="str">
            <v>STS GAMBY &amp; FRERES (SOGAF) Sarl</v>
          </cell>
          <cell r="P795" t="str">
            <v>Scratch 2 000</v>
          </cell>
          <cell r="Q795" t="str">
            <v>32007</v>
          </cell>
          <cell r="R795" t="str">
            <v>32007Scratch 2 000</v>
          </cell>
          <cell r="S795" t="str">
            <v>2007Scratch 2 000</v>
          </cell>
          <cell r="T795" t="str">
            <v>32007STS GAMBY &amp; FRERES (SOGAF) Sarl</v>
          </cell>
          <cell r="U795" t="str">
            <v>32007STS GAMBY &amp; FRERES (SOGAF) SarlScratch 2 000</v>
          </cell>
          <cell r="V795" t="str">
            <v>39171Scratch 2 000</v>
          </cell>
          <cell r="W795" t="str">
            <v>2007STS GAMBY &amp; FRERES (SOGAF) Sarl</v>
          </cell>
          <cell r="X795" t="str">
            <v>2007STS GAMBY &amp; FRERES (SOGAF) SarlScratch 2 000</v>
          </cell>
        </row>
        <row r="796">
          <cell r="I796">
            <v>2007</v>
          </cell>
          <cell r="J796" t="str">
            <v>STS GAMBY &amp; FRERES (SOGAF) SarlScratch 5 000</v>
          </cell>
          <cell r="L796">
            <v>0</v>
          </cell>
          <cell r="M796" t="str">
            <v>STS GAMBY &amp; FRERES (SOGAF) Sarl</v>
          </cell>
          <cell r="N796" t="str">
            <v>STS GAMBY &amp; FRERES (SOGAF) SarlScratch 5 000</v>
          </cell>
          <cell r="O796" t="str">
            <v>STS GAMBY &amp; FRERES (SOGAF) Sarl</v>
          </cell>
          <cell r="P796" t="str">
            <v>Scratch 5 000</v>
          </cell>
          <cell r="Q796" t="str">
            <v>32007</v>
          </cell>
          <cell r="R796" t="str">
            <v>32007Scratch 5 000</v>
          </cell>
          <cell r="S796" t="str">
            <v>2007Scratch 5 000</v>
          </cell>
          <cell r="T796" t="str">
            <v>32007STS GAMBY &amp; FRERES (SOGAF) Sarl</v>
          </cell>
          <cell r="U796" t="str">
            <v>32007STS GAMBY &amp; FRERES (SOGAF) SarlScratch 5 000</v>
          </cell>
          <cell r="V796" t="str">
            <v>39171Scratch 5 000</v>
          </cell>
          <cell r="W796" t="str">
            <v>2007STS GAMBY &amp; FRERES (SOGAF) Sarl</v>
          </cell>
          <cell r="X796" t="str">
            <v>2007STS GAMBY &amp; FRERES (SOGAF) SarlScratch 5 000</v>
          </cell>
        </row>
        <row r="797">
          <cell r="I797">
            <v>2007</v>
          </cell>
          <cell r="J797" t="str">
            <v>STS GAMBY &amp; FRERES (SOGAF) SarlScratch 20 000</v>
          </cell>
          <cell r="L797">
            <v>0</v>
          </cell>
          <cell r="M797" t="str">
            <v>STS GAMBY &amp; FRERES (SOGAF) Sarl</v>
          </cell>
          <cell r="N797" t="str">
            <v>STS GAMBY &amp; FRERES (SOGAF) SarlScratch 20 000</v>
          </cell>
          <cell r="O797" t="str">
            <v>STS GAMBY &amp; FRERES (SOGAF) Sarl</v>
          </cell>
          <cell r="P797" t="str">
            <v>Scratch 20 000</v>
          </cell>
          <cell r="Q797" t="str">
            <v>32007</v>
          </cell>
          <cell r="R797" t="str">
            <v>32007Scratch 20 000</v>
          </cell>
          <cell r="S797" t="str">
            <v>2007Scratch 20 000</v>
          </cell>
          <cell r="T797" t="str">
            <v>32007STS GAMBY &amp; FRERES (SOGAF) Sarl</v>
          </cell>
          <cell r="U797" t="str">
            <v>32007STS GAMBY &amp; FRERES (SOGAF) SarlScratch 20 000</v>
          </cell>
          <cell r="V797" t="str">
            <v>39171Scratch 20 000</v>
          </cell>
          <cell r="W797" t="str">
            <v>2007STS GAMBY &amp; FRERES (SOGAF) Sarl</v>
          </cell>
          <cell r="X797" t="str">
            <v>2007STS GAMBY &amp; FRERES (SOGAF) SarlScratch 20 000</v>
          </cell>
        </row>
        <row r="798">
          <cell r="I798">
            <v>2007</v>
          </cell>
          <cell r="J798" t="str">
            <v>ANKA ServicesScratch 1 000</v>
          </cell>
          <cell r="L798">
            <v>1</v>
          </cell>
          <cell r="M798" t="str">
            <v>1ANKA Services</v>
          </cell>
          <cell r="N798" t="str">
            <v>ANKA ServicesScratch 1 000</v>
          </cell>
          <cell r="O798" t="str">
            <v>ANKA Services</v>
          </cell>
          <cell r="P798" t="str">
            <v>Scratch 1 000</v>
          </cell>
          <cell r="Q798" t="str">
            <v>32007</v>
          </cell>
          <cell r="R798" t="str">
            <v>32007Scratch 1 000</v>
          </cell>
          <cell r="S798" t="str">
            <v>2007Scratch 1 000</v>
          </cell>
          <cell r="T798" t="str">
            <v>32007ANKA Services</v>
          </cell>
          <cell r="U798" t="str">
            <v>32007ANKA ServicesScratch 1 000</v>
          </cell>
          <cell r="V798" t="str">
            <v>39171Scratch 1 000</v>
          </cell>
          <cell r="W798" t="str">
            <v>2007ANKA Services</v>
          </cell>
          <cell r="X798" t="str">
            <v>2007ANKA ServicesScratch 1 000</v>
          </cell>
        </row>
        <row r="799">
          <cell r="I799">
            <v>2007</v>
          </cell>
          <cell r="J799" t="str">
            <v>ANKA ServicesScratch 2 000</v>
          </cell>
          <cell r="L799">
            <v>0</v>
          </cell>
          <cell r="M799" t="str">
            <v>ANKA Services</v>
          </cell>
          <cell r="N799" t="str">
            <v>ANKA ServicesScratch 2 000</v>
          </cell>
          <cell r="O799" t="str">
            <v>ANKA Services</v>
          </cell>
          <cell r="P799" t="str">
            <v>Scratch 2 000</v>
          </cell>
          <cell r="Q799" t="str">
            <v>32007</v>
          </cell>
          <cell r="R799" t="str">
            <v>32007Scratch 2 000</v>
          </cell>
          <cell r="S799" t="str">
            <v>2007Scratch 2 000</v>
          </cell>
          <cell r="T799" t="str">
            <v>32007ANKA Services</v>
          </cell>
          <cell r="U799" t="str">
            <v>32007ANKA ServicesScratch 2 000</v>
          </cell>
          <cell r="V799" t="str">
            <v>39171Scratch 2 000</v>
          </cell>
          <cell r="W799" t="str">
            <v>2007ANKA Services</v>
          </cell>
          <cell r="X799" t="str">
            <v>2007ANKA ServicesScratch 2 000</v>
          </cell>
        </row>
        <row r="800">
          <cell r="I800">
            <v>2007</v>
          </cell>
          <cell r="J800" t="str">
            <v>ANKA ServicesScratch 5 000</v>
          </cell>
          <cell r="L800">
            <v>0</v>
          </cell>
          <cell r="M800" t="str">
            <v>ANKA Services</v>
          </cell>
          <cell r="N800" t="str">
            <v>ANKA ServicesScratch 5 000</v>
          </cell>
          <cell r="O800" t="str">
            <v>ANKA Services</v>
          </cell>
          <cell r="P800" t="str">
            <v>Scratch 5 000</v>
          </cell>
          <cell r="Q800" t="str">
            <v>32007</v>
          </cell>
          <cell r="R800" t="str">
            <v>32007Scratch 5 000</v>
          </cell>
          <cell r="S800" t="str">
            <v>2007Scratch 5 000</v>
          </cell>
          <cell r="T800" t="str">
            <v>32007ANKA Services</v>
          </cell>
          <cell r="U800" t="str">
            <v>32007ANKA ServicesScratch 5 000</v>
          </cell>
          <cell r="V800" t="str">
            <v>39171Scratch 5 000</v>
          </cell>
          <cell r="W800" t="str">
            <v>2007ANKA Services</v>
          </cell>
          <cell r="X800" t="str">
            <v>2007ANKA ServicesScratch 5 000</v>
          </cell>
        </row>
        <row r="801">
          <cell r="I801">
            <v>2007</v>
          </cell>
          <cell r="J801" t="str">
            <v>Compagnie Internationale de NegoceScratch 1 000</v>
          </cell>
          <cell r="L801">
            <v>1</v>
          </cell>
          <cell r="M801" t="str">
            <v>1Compagnie Internationale de Negoce</v>
          </cell>
          <cell r="N801" t="str">
            <v>Compagnie Internationale de NegoceScratch 1 000</v>
          </cell>
          <cell r="O801" t="str">
            <v>Compagnie Internationale de Negoce</v>
          </cell>
          <cell r="P801" t="str">
            <v>Scratch 1 000</v>
          </cell>
          <cell r="Q801" t="str">
            <v>32007</v>
          </cell>
          <cell r="R801" t="str">
            <v>32007Scratch 1 000</v>
          </cell>
          <cell r="S801" t="str">
            <v>2007Scratch 1 000</v>
          </cell>
          <cell r="T801" t="str">
            <v>32007Compagnie Internationale de Negoce</v>
          </cell>
          <cell r="U801" t="str">
            <v>32007Compagnie Internationale de NegoceScratch 1 000</v>
          </cell>
          <cell r="V801" t="str">
            <v>39171Scratch 1 000</v>
          </cell>
          <cell r="W801" t="str">
            <v>2007Compagnie Internationale de Negoce</v>
          </cell>
          <cell r="X801" t="str">
            <v>2007Compagnie Internationale de NegoceScratch 1 000</v>
          </cell>
        </row>
        <row r="802">
          <cell r="I802">
            <v>2007</v>
          </cell>
          <cell r="J802" t="str">
            <v>Compagnie Internationale de NegoceScratch 2 000</v>
          </cell>
          <cell r="L802">
            <v>0</v>
          </cell>
          <cell r="M802" t="str">
            <v>Compagnie Internationale de Negoce</v>
          </cell>
          <cell r="N802" t="str">
            <v>Compagnie Internationale de NegoceScratch 2 000</v>
          </cell>
          <cell r="O802" t="str">
            <v>Compagnie Internationale de Negoce</v>
          </cell>
          <cell r="P802" t="str">
            <v>Scratch 2 000</v>
          </cell>
          <cell r="Q802" t="str">
            <v>32007</v>
          </cell>
          <cell r="R802" t="str">
            <v>32007Scratch 2 000</v>
          </cell>
          <cell r="S802" t="str">
            <v>2007Scratch 2 000</v>
          </cell>
          <cell r="T802" t="str">
            <v>32007Compagnie Internationale de Negoce</v>
          </cell>
          <cell r="U802" t="str">
            <v>32007Compagnie Internationale de NegoceScratch 2 000</v>
          </cell>
          <cell r="V802" t="str">
            <v>39171Scratch 2 000</v>
          </cell>
          <cell r="W802" t="str">
            <v>2007Compagnie Internationale de Negoce</v>
          </cell>
          <cell r="X802" t="str">
            <v>2007Compagnie Internationale de NegoceScratch 2 000</v>
          </cell>
        </row>
        <row r="803">
          <cell r="I803">
            <v>2007</v>
          </cell>
          <cell r="J803" t="str">
            <v>CellNets MaliMinutes</v>
          </cell>
          <cell r="L803">
            <v>1</v>
          </cell>
          <cell r="M803" t="str">
            <v>1CellNets Mali</v>
          </cell>
          <cell r="N803" t="str">
            <v>CellNets MaliMinutes</v>
          </cell>
          <cell r="O803" t="str">
            <v>CellNets Mali</v>
          </cell>
          <cell r="P803" t="str">
            <v>Minutes</v>
          </cell>
          <cell r="Q803" t="str">
            <v>32007</v>
          </cell>
          <cell r="R803" t="str">
            <v>32007Minutes</v>
          </cell>
          <cell r="S803" t="str">
            <v>2007Minutes</v>
          </cell>
          <cell r="T803" t="str">
            <v>32007CellNets Mali</v>
          </cell>
          <cell r="U803" t="str">
            <v>32007CellNets MaliMinutes</v>
          </cell>
          <cell r="V803" t="str">
            <v>39147Minutes</v>
          </cell>
          <cell r="W803" t="str">
            <v>2007CellNets Mali</v>
          </cell>
          <cell r="X803" t="str">
            <v>2007CellNets MaliMinutes</v>
          </cell>
        </row>
        <row r="804">
          <cell r="I804">
            <v>2007</v>
          </cell>
          <cell r="J804" t="str">
            <v>CellNets MaliMinutes</v>
          </cell>
          <cell r="L804">
            <v>1</v>
          </cell>
          <cell r="M804" t="str">
            <v>1CellNets Mali</v>
          </cell>
          <cell r="N804" t="str">
            <v>CellNets MaliMinutes</v>
          </cell>
          <cell r="O804" t="str">
            <v>CellNets Mali</v>
          </cell>
          <cell r="P804" t="str">
            <v>Minutes</v>
          </cell>
          <cell r="Q804" t="str">
            <v>32007</v>
          </cell>
          <cell r="R804" t="str">
            <v>32007Minutes</v>
          </cell>
          <cell r="S804" t="str">
            <v>2007Minutes</v>
          </cell>
          <cell r="T804" t="str">
            <v>32007CellNets Mali</v>
          </cell>
          <cell r="U804" t="str">
            <v>32007CellNets MaliMinutes</v>
          </cell>
          <cell r="V804" t="str">
            <v>39150Minutes</v>
          </cell>
          <cell r="W804" t="str">
            <v>2007CellNets Mali</v>
          </cell>
          <cell r="X804" t="str">
            <v>2007CellNets MaliMinutes</v>
          </cell>
        </row>
        <row r="805">
          <cell r="I805">
            <v>2007</v>
          </cell>
          <cell r="J805" t="str">
            <v>CellNets MaliMinutes</v>
          </cell>
          <cell r="L805">
            <v>1</v>
          </cell>
          <cell r="M805" t="str">
            <v>1CellNets Mali</v>
          </cell>
          <cell r="N805" t="str">
            <v>CellNets MaliMinutes</v>
          </cell>
          <cell r="O805" t="str">
            <v>CellNets Mali</v>
          </cell>
          <cell r="P805" t="str">
            <v>Minutes</v>
          </cell>
          <cell r="Q805" t="str">
            <v>32007</v>
          </cell>
          <cell r="R805" t="str">
            <v>32007Minutes</v>
          </cell>
          <cell r="S805" t="str">
            <v>2007Minutes</v>
          </cell>
          <cell r="T805" t="str">
            <v>32007CellNets Mali</v>
          </cell>
          <cell r="U805" t="str">
            <v>32007CellNets MaliMinutes</v>
          </cell>
          <cell r="V805" t="str">
            <v>39155Minutes</v>
          </cell>
          <cell r="W805" t="str">
            <v>2007CellNets Mali</v>
          </cell>
          <cell r="X805" t="str">
            <v>2007CellNets MaliMinutes</v>
          </cell>
        </row>
        <row r="806">
          <cell r="I806">
            <v>2007</v>
          </cell>
          <cell r="J806" t="str">
            <v>CellNets MaliMinutes</v>
          </cell>
          <cell r="L806">
            <v>1</v>
          </cell>
          <cell r="M806" t="str">
            <v>1CellNets Mali</v>
          </cell>
          <cell r="N806" t="str">
            <v>CellNets MaliMinutes</v>
          </cell>
          <cell r="O806" t="str">
            <v>CellNets Mali</v>
          </cell>
          <cell r="P806" t="str">
            <v>Minutes</v>
          </cell>
          <cell r="Q806" t="str">
            <v>32007</v>
          </cell>
          <cell r="R806" t="str">
            <v>32007Minutes</v>
          </cell>
          <cell r="S806" t="str">
            <v>2007Minutes</v>
          </cell>
          <cell r="T806" t="str">
            <v>32007CellNets Mali</v>
          </cell>
          <cell r="U806" t="str">
            <v>32007CellNets MaliMinutes</v>
          </cell>
          <cell r="V806" t="str">
            <v>39163Minutes</v>
          </cell>
          <cell r="W806" t="str">
            <v>2007CellNets Mali</v>
          </cell>
          <cell r="X806" t="str">
            <v>2007CellNets MaliMinutes</v>
          </cell>
        </row>
        <row r="807">
          <cell r="I807">
            <v>2007</v>
          </cell>
          <cell r="J807" t="str">
            <v>CellNets MaliMinutes</v>
          </cell>
          <cell r="L807">
            <v>1</v>
          </cell>
          <cell r="M807" t="str">
            <v>1CellNets Mali</v>
          </cell>
          <cell r="N807" t="str">
            <v>CellNets MaliMinutes</v>
          </cell>
          <cell r="O807" t="str">
            <v>CellNets Mali</v>
          </cell>
          <cell r="P807" t="str">
            <v>Minutes</v>
          </cell>
          <cell r="Q807" t="str">
            <v>32007</v>
          </cell>
          <cell r="R807" t="str">
            <v>32007Minutes</v>
          </cell>
          <cell r="S807" t="str">
            <v>2007Minutes</v>
          </cell>
          <cell r="T807" t="str">
            <v>32007CellNets Mali</v>
          </cell>
          <cell r="U807" t="str">
            <v>32007CellNets MaliMinutes</v>
          </cell>
          <cell r="V807" t="str">
            <v>39169Minutes</v>
          </cell>
          <cell r="W807" t="str">
            <v>2007CellNets Mali</v>
          </cell>
          <cell r="X807" t="str">
            <v>2007CellNets MaliMinutes</v>
          </cell>
        </row>
        <row r="808">
          <cell r="I808">
            <v>2007</v>
          </cell>
          <cell r="J808" t="str">
            <v>CellNets MaliMinutes</v>
          </cell>
          <cell r="L808">
            <v>1</v>
          </cell>
          <cell r="M808" t="str">
            <v>1CellNets Mali</v>
          </cell>
          <cell r="N808" t="str">
            <v>CellNets MaliMinutes</v>
          </cell>
          <cell r="O808" t="str">
            <v>CellNets Mali</v>
          </cell>
          <cell r="P808" t="str">
            <v>Minutes</v>
          </cell>
          <cell r="Q808" t="str">
            <v>32007</v>
          </cell>
          <cell r="R808" t="str">
            <v>32007Minutes</v>
          </cell>
          <cell r="S808" t="str">
            <v>2007Minutes</v>
          </cell>
          <cell r="T808" t="str">
            <v>32007CellNets Mali</v>
          </cell>
          <cell r="U808" t="str">
            <v>32007CellNets MaliMinutes</v>
          </cell>
          <cell r="V808" t="str">
            <v>39171Minutes</v>
          </cell>
          <cell r="W808" t="str">
            <v>2007CellNets Mali</v>
          </cell>
          <cell r="X808" t="str">
            <v>2007CellNets MaliMinutes</v>
          </cell>
        </row>
        <row r="809">
          <cell r="I809">
            <v>2007</v>
          </cell>
          <cell r="J809" t="str">
            <v>Compagnie Internationale de NegoceScratch 5 000</v>
          </cell>
          <cell r="L809">
            <v>1</v>
          </cell>
          <cell r="M809" t="str">
            <v>1Compagnie Internationale de Negoce</v>
          </cell>
          <cell r="N809" t="str">
            <v>Compagnie Internationale de NegoceScratch 5 000</v>
          </cell>
          <cell r="O809" t="str">
            <v>Compagnie Internationale de Negoce</v>
          </cell>
          <cell r="P809" t="str">
            <v>Scratch 5 000</v>
          </cell>
          <cell r="Q809" t="str">
            <v>42007</v>
          </cell>
          <cell r="R809" t="str">
            <v>42007Scratch 5 000</v>
          </cell>
          <cell r="S809" t="str">
            <v>2007Scratch 5 000</v>
          </cell>
          <cell r="T809" t="str">
            <v>42007Compagnie Internationale de Negoce</v>
          </cell>
          <cell r="U809" t="str">
            <v>42007Compagnie Internationale de NegoceScratch 5 000</v>
          </cell>
          <cell r="V809" t="str">
            <v>39174Scratch 5 000</v>
          </cell>
          <cell r="W809" t="str">
            <v>2007Compagnie Internationale de Negoce</v>
          </cell>
          <cell r="X809" t="str">
            <v>2007Compagnie Internationale de NegoceScratch 5 000</v>
          </cell>
        </row>
        <row r="810">
          <cell r="I810">
            <v>2007</v>
          </cell>
          <cell r="J810" t="str">
            <v>STS GAMBY &amp; FRERES (SOGAF) SarlScratch 1 000</v>
          </cell>
          <cell r="L810">
            <v>1</v>
          </cell>
          <cell r="M810" t="str">
            <v>1STS GAMBY &amp; FRERES (SOGAF) Sarl</v>
          </cell>
          <cell r="N810" t="str">
            <v>STS GAMBY &amp; FRERES (SOGAF) SarlScratch 1 000</v>
          </cell>
          <cell r="O810" t="str">
            <v>STS GAMBY &amp; FRERES (SOGAF) Sarl</v>
          </cell>
          <cell r="P810" t="str">
            <v>Scratch 1 000</v>
          </cell>
          <cell r="Q810" t="str">
            <v>42007</v>
          </cell>
          <cell r="R810" t="str">
            <v>42007Scratch 1 000</v>
          </cell>
          <cell r="S810" t="str">
            <v>2007Scratch 1 000</v>
          </cell>
          <cell r="T810" t="str">
            <v>42007STS GAMBY &amp; FRERES (SOGAF) Sarl</v>
          </cell>
          <cell r="U810" t="str">
            <v>42007STS GAMBY &amp; FRERES (SOGAF) SarlScratch 1 000</v>
          </cell>
          <cell r="V810" t="str">
            <v>39174Scratch 1 000</v>
          </cell>
          <cell r="W810" t="str">
            <v>2007STS GAMBY &amp; FRERES (SOGAF) Sarl</v>
          </cell>
          <cell r="X810" t="str">
            <v>2007STS GAMBY &amp; FRERES (SOGAF) SarlScratch 1 000</v>
          </cell>
        </row>
        <row r="811">
          <cell r="I811">
            <v>2007</v>
          </cell>
          <cell r="J811" t="str">
            <v>STS GAMBY &amp; FRERES (SOGAF) SarlScratch 2 000</v>
          </cell>
          <cell r="L811">
            <v>0</v>
          </cell>
          <cell r="M811" t="str">
            <v>STS GAMBY &amp; FRERES (SOGAF) Sarl</v>
          </cell>
          <cell r="N811" t="str">
            <v>STS GAMBY &amp; FRERES (SOGAF) SarlScratch 2 000</v>
          </cell>
          <cell r="O811" t="str">
            <v>STS GAMBY &amp; FRERES (SOGAF) Sarl</v>
          </cell>
          <cell r="P811" t="str">
            <v>Scratch 2 000</v>
          </cell>
          <cell r="Q811" t="str">
            <v>42007</v>
          </cell>
          <cell r="R811" t="str">
            <v>42007Scratch 2 000</v>
          </cell>
          <cell r="S811" t="str">
            <v>2007Scratch 2 000</v>
          </cell>
          <cell r="T811" t="str">
            <v>42007STS GAMBY &amp; FRERES (SOGAF) Sarl</v>
          </cell>
          <cell r="U811" t="str">
            <v>42007STS GAMBY &amp; FRERES (SOGAF) SarlScratch 2 000</v>
          </cell>
          <cell r="V811" t="str">
            <v>39174Scratch 2 000</v>
          </cell>
          <cell r="W811" t="str">
            <v>2007STS GAMBY &amp; FRERES (SOGAF) Sarl</v>
          </cell>
          <cell r="X811" t="str">
            <v>2007STS GAMBY &amp; FRERES (SOGAF) SarlScratch 2 000</v>
          </cell>
        </row>
        <row r="812">
          <cell r="I812">
            <v>2007</v>
          </cell>
          <cell r="J812" t="str">
            <v>STS GAMBY &amp; FRERES (SOGAF) SarlScratch 5 000</v>
          </cell>
          <cell r="L812">
            <v>0</v>
          </cell>
          <cell r="M812" t="str">
            <v>STS GAMBY &amp; FRERES (SOGAF) Sarl</v>
          </cell>
          <cell r="N812" t="str">
            <v>STS GAMBY &amp; FRERES (SOGAF) SarlScratch 5 000</v>
          </cell>
          <cell r="O812" t="str">
            <v>STS GAMBY &amp; FRERES (SOGAF) Sarl</v>
          </cell>
          <cell r="P812" t="str">
            <v>Scratch 5 000</v>
          </cell>
          <cell r="Q812" t="str">
            <v>42007</v>
          </cell>
          <cell r="R812" t="str">
            <v>42007Scratch 5 000</v>
          </cell>
          <cell r="S812" t="str">
            <v>2007Scratch 5 000</v>
          </cell>
          <cell r="T812" t="str">
            <v>42007STS GAMBY &amp; FRERES (SOGAF) Sarl</v>
          </cell>
          <cell r="U812" t="str">
            <v>42007STS GAMBY &amp; FRERES (SOGAF) SarlScratch 5 000</v>
          </cell>
          <cell r="V812" t="str">
            <v>39174Scratch 5 000</v>
          </cell>
          <cell r="W812" t="str">
            <v>2007STS GAMBY &amp; FRERES (SOGAF) Sarl</v>
          </cell>
          <cell r="X812" t="str">
            <v>2007STS GAMBY &amp; FRERES (SOGAF) SarlScratch 5 000</v>
          </cell>
        </row>
        <row r="813">
          <cell r="I813">
            <v>2007</v>
          </cell>
          <cell r="J813" t="str">
            <v>ANKA ServicesScratch 1 000</v>
          </cell>
          <cell r="L813">
            <v>1</v>
          </cell>
          <cell r="M813" t="str">
            <v>1ANKA Services</v>
          </cell>
          <cell r="N813" t="str">
            <v>ANKA ServicesScratch 1 000</v>
          </cell>
          <cell r="O813" t="str">
            <v>ANKA Services</v>
          </cell>
          <cell r="P813" t="str">
            <v>Scratch 1 000</v>
          </cell>
          <cell r="Q813" t="str">
            <v>42007</v>
          </cell>
          <cell r="R813" t="str">
            <v>42007Scratch 1 000</v>
          </cell>
          <cell r="S813" t="str">
            <v>2007Scratch 1 000</v>
          </cell>
          <cell r="T813" t="str">
            <v>42007ANKA Services</v>
          </cell>
          <cell r="U813" t="str">
            <v>42007ANKA ServicesScratch 1 000</v>
          </cell>
          <cell r="V813" t="str">
            <v>39174Scratch 1 000</v>
          </cell>
          <cell r="W813" t="str">
            <v>2007ANKA Services</v>
          </cell>
          <cell r="X813" t="str">
            <v>2007ANKA ServicesScratch 1 000</v>
          </cell>
        </row>
        <row r="814">
          <cell r="I814">
            <v>2007</v>
          </cell>
          <cell r="J814" t="str">
            <v>ANKA ServicesScratch 2 000</v>
          </cell>
          <cell r="L814">
            <v>0</v>
          </cell>
          <cell r="M814" t="str">
            <v>ANKA Services</v>
          </cell>
          <cell r="N814" t="str">
            <v>ANKA ServicesScratch 2 000</v>
          </cell>
          <cell r="O814" t="str">
            <v>ANKA Services</v>
          </cell>
          <cell r="P814" t="str">
            <v>Scratch 2 000</v>
          </cell>
          <cell r="Q814" t="str">
            <v>42007</v>
          </cell>
          <cell r="R814" t="str">
            <v>42007Scratch 2 000</v>
          </cell>
          <cell r="S814" t="str">
            <v>2007Scratch 2 000</v>
          </cell>
          <cell r="T814" t="str">
            <v>42007ANKA Services</v>
          </cell>
          <cell r="U814" t="str">
            <v>42007ANKA ServicesScratch 2 000</v>
          </cell>
          <cell r="V814" t="str">
            <v>39174Scratch 2 000</v>
          </cell>
          <cell r="W814" t="str">
            <v>2007ANKA Services</v>
          </cell>
          <cell r="X814" t="str">
            <v>2007ANKA ServicesScratch 2 000</v>
          </cell>
        </row>
        <row r="815">
          <cell r="I815">
            <v>2007</v>
          </cell>
          <cell r="J815" t="str">
            <v>ANKA ServicesScratch 5 000</v>
          </cell>
          <cell r="L815">
            <v>0</v>
          </cell>
          <cell r="M815" t="str">
            <v>ANKA Services</v>
          </cell>
          <cell r="N815" t="str">
            <v>ANKA ServicesScratch 5 000</v>
          </cell>
          <cell r="O815" t="str">
            <v>ANKA Services</v>
          </cell>
          <cell r="P815" t="str">
            <v>Scratch 5 000</v>
          </cell>
          <cell r="Q815" t="str">
            <v>42007</v>
          </cell>
          <cell r="R815" t="str">
            <v>42007Scratch 5 000</v>
          </cell>
          <cell r="S815" t="str">
            <v>2007Scratch 5 000</v>
          </cell>
          <cell r="T815" t="str">
            <v>42007ANKA Services</v>
          </cell>
          <cell r="U815" t="str">
            <v>42007ANKA ServicesScratch 5 000</v>
          </cell>
          <cell r="V815" t="str">
            <v>39174Scratch 5 000</v>
          </cell>
          <cell r="W815" t="str">
            <v>2007ANKA Services</v>
          </cell>
          <cell r="X815" t="str">
            <v>2007ANKA ServicesScratch 5 000</v>
          </cell>
        </row>
        <row r="816">
          <cell r="I816">
            <v>2007</v>
          </cell>
          <cell r="J816" t="str">
            <v>GEMATELScratch 1 000</v>
          </cell>
          <cell r="L816">
            <v>1</v>
          </cell>
          <cell r="M816" t="str">
            <v>1GEMATEL</v>
          </cell>
          <cell r="N816" t="str">
            <v>GEMATELScratch 1 000</v>
          </cell>
          <cell r="O816" t="str">
            <v>GEMATEL</v>
          </cell>
          <cell r="P816" t="str">
            <v>Scratch 1 000</v>
          </cell>
          <cell r="Q816" t="str">
            <v>42007</v>
          </cell>
          <cell r="R816" t="str">
            <v>42007Scratch 1 000</v>
          </cell>
          <cell r="S816" t="str">
            <v>2007Scratch 1 000</v>
          </cell>
          <cell r="T816" t="str">
            <v>42007GEMATEL</v>
          </cell>
          <cell r="U816" t="str">
            <v>42007GEMATELScratch 1 000</v>
          </cell>
          <cell r="V816" t="str">
            <v>39174Scratch 1 000</v>
          </cell>
          <cell r="W816" t="str">
            <v>2007GEMATEL</v>
          </cell>
          <cell r="X816" t="str">
            <v>2007GEMATELScratch 1 000</v>
          </cell>
        </row>
        <row r="817">
          <cell r="I817">
            <v>2007</v>
          </cell>
          <cell r="J817" t="str">
            <v>GEMATELScratch 2 000</v>
          </cell>
          <cell r="L817">
            <v>0</v>
          </cell>
          <cell r="M817" t="str">
            <v>GEMATEL</v>
          </cell>
          <cell r="N817" t="str">
            <v>GEMATELScratch 2 000</v>
          </cell>
          <cell r="O817" t="str">
            <v>GEMATEL</v>
          </cell>
          <cell r="P817" t="str">
            <v>Scratch 2 000</v>
          </cell>
          <cell r="Q817" t="str">
            <v>42007</v>
          </cell>
          <cell r="R817" t="str">
            <v>42007Scratch 2 000</v>
          </cell>
          <cell r="S817" t="str">
            <v>2007Scratch 2 000</v>
          </cell>
          <cell r="T817" t="str">
            <v>42007GEMATEL</v>
          </cell>
          <cell r="U817" t="str">
            <v>42007GEMATELScratch 2 000</v>
          </cell>
          <cell r="V817" t="str">
            <v>39174Scratch 2 000</v>
          </cell>
          <cell r="W817" t="str">
            <v>2007GEMATEL</v>
          </cell>
          <cell r="X817" t="str">
            <v>2007GEMATELScratch 2 000</v>
          </cell>
        </row>
        <row r="818">
          <cell r="I818">
            <v>2007</v>
          </cell>
          <cell r="J818" t="str">
            <v>GEMATELScratch 5 000</v>
          </cell>
          <cell r="L818">
            <v>0</v>
          </cell>
          <cell r="M818" t="str">
            <v>GEMATEL</v>
          </cell>
          <cell r="N818" t="str">
            <v>GEMATELScratch 5 000</v>
          </cell>
          <cell r="O818" t="str">
            <v>GEMATEL</v>
          </cell>
          <cell r="P818" t="str">
            <v>Scratch 5 000</v>
          </cell>
          <cell r="Q818" t="str">
            <v>42007</v>
          </cell>
          <cell r="R818" t="str">
            <v>42007Scratch 5 000</v>
          </cell>
          <cell r="S818" t="str">
            <v>2007Scratch 5 000</v>
          </cell>
          <cell r="T818" t="str">
            <v>42007GEMATEL</v>
          </cell>
          <cell r="U818" t="str">
            <v>42007GEMATELScratch 5 000</v>
          </cell>
          <cell r="V818" t="str">
            <v>39174Scratch 5 000</v>
          </cell>
          <cell r="W818" t="str">
            <v>2007GEMATEL</v>
          </cell>
          <cell r="X818" t="str">
            <v>2007GEMATELScratch 5 000</v>
          </cell>
        </row>
        <row r="819">
          <cell r="I819">
            <v>2007</v>
          </cell>
          <cell r="J819" t="str">
            <v>GEMATELScratch 20 000</v>
          </cell>
          <cell r="L819">
            <v>0</v>
          </cell>
          <cell r="M819" t="str">
            <v>GEMATEL</v>
          </cell>
          <cell r="N819" t="str">
            <v>GEMATELScratch 20 000</v>
          </cell>
          <cell r="O819" t="str">
            <v>GEMATEL</v>
          </cell>
          <cell r="P819" t="str">
            <v>Scratch 20 000</v>
          </cell>
          <cell r="Q819" t="str">
            <v>42007</v>
          </cell>
          <cell r="R819" t="str">
            <v>42007Scratch 20 000</v>
          </cell>
          <cell r="S819" t="str">
            <v>2007Scratch 20 000</v>
          </cell>
          <cell r="T819" t="str">
            <v>42007GEMATEL</v>
          </cell>
          <cell r="U819" t="str">
            <v>42007GEMATELScratch 20 000</v>
          </cell>
          <cell r="V819" t="str">
            <v>39174Scratch 20 000</v>
          </cell>
          <cell r="W819" t="str">
            <v>2007GEMATEL</v>
          </cell>
          <cell r="X819" t="str">
            <v>2007GEMATELScratch 20 000</v>
          </cell>
        </row>
        <row r="820">
          <cell r="I820">
            <v>2007</v>
          </cell>
          <cell r="J820" t="str">
            <v>MALI COM SarlScratch 1 000</v>
          </cell>
          <cell r="L820">
            <v>1</v>
          </cell>
          <cell r="M820" t="str">
            <v>1MALI COM Sarl</v>
          </cell>
          <cell r="N820" t="str">
            <v>MALI COM SarlScratch 1 000</v>
          </cell>
          <cell r="O820" t="str">
            <v>MALI COM Sarl</v>
          </cell>
          <cell r="P820" t="str">
            <v>Scratch 1 000</v>
          </cell>
          <cell r="Q820" t="str">
            <v>42007</v>
          </cell>
          <cell r="R820" t="str">
            <v>42007Scratch 1 000</v>
          </cell>
          <cell r="S820" t="str">
            <v>2007Scratch 1 000</v>
          </cell>
          <cell r="T820" t="str">
            <v>42007MALI COM Sarl</v>
          </cell>
          <cell r="U820" t="str">
            <v>42007MALI COM SarlScratch 1 000</v>
          </cell>
          <cell r="V820" t="str">
            <v>39174Scratch 1 000</v>
          </cell>
          <cell r="W820" t="str">
            <v>2007MALI COM Sarl</v>
          </cell>
          <cell r="X820" t="str">
            <v>2007MALI COM SarlScratch 1 000</v>
          </cell>
        </row>
        <row r="821">
          <cell r="I821">
            <v>2007</v>
          </cell>
          <cell r="J821" t="str">
            <v>MALI COM SarlScratch 2 000</v>
          </cell>
          <cell r="L821">
            <v>0</v>
          </cell>
          <cell r="M821" t="str">
            <v>MALI COM Sarl</v>
          </cell>
          <cell r="N821" t="str">
            <v>MALI COM SarlScratch 2 000</v>
          </cell>
          <cell r="O821" t="str">
            <v>MALI COM Sarl</v>
          </cell>
          <cell r="P821" t="str">
            <v>Scratch 2 000</v>
          </cell>
          <cell r="Q821" t="str">
            <v>42007</v>
          </cell>
          <cell r="R821" t="str">
            <v>42007Scratch 2 000</v>
          </cell>
          <cell r="S821" t="str">
            <v>2007Scratch 2 000</v>
          </cell>
          <cell r="T821" t="str">
            <v>42007MALI COM Sarl</v>
          </cell>
          <cell r="U821" t="str">
            <v>42007MALI COM SarlScratch 2 000</v>
          </cell>
          <cell r="V821" t="str">
            <v>39174Scratch 2 000</v>
          </cell>
          <cell r="W821" t="str">
            <v>2007MALI COM Sarl</v>
          </cell>
          <cell r="X821" t="str">
            <v>2007MALI COM SarlScratch 2 000</v>
          </cell>
        </row>
        <row r="822">
          <cell r="I822">
            <v>2007</v>
          </cell>
          <cell r="J822" t="str">
            <v>MALI COM SarlScratch 5 000</v>
          </cell>
          <cell r="L822">
            <v>0</v>
          </cell>
          <cell r="M822" t="str">
            <v>MALI COM Sarl</v>
          </cell>
          <cell r="N822" t="str">
            <v>MALI COM SarlScratch 5 000</v>
          </cell>
          <cell r="O822" t="str">
            <v>MALI COM Sarl</v>
          </cell>
          <cell r="P822" t="str">
            <v>Scratch 5 000</v>
          </cell>
          <cell r="Q822" t="str">
            <v>42007</v>
          </cell>
          <cell r="R822" t="str">
            <v>42007Scratch 5 000</v>
          </cell>
          <cell r="S822" t="str">
            <v>2007Scratch 5 000</v>
          </cell>
          <cell r="T822" t="str">
            <v>42007MALI COM Sarl</v>
          </cell>
          <cell r="U822" t="str">
            <v>42007MALI COM SarlScratch 5 000</v>
          </cell>
          <cell r="V822" t="str">
            <v>39174Scratch 5 000</v>
          </cell>
          <cell r="W822" t="str">
            <v>2007MALI COM Sarl</v>
          </cell>
          <cell r="X822" t="str">
            <v>2007MALI COM SarlScratch 5 000</v>
          </cell>
        </row>
        <row r="823">
          <cell r="I823">
            <v>2007</v>
          </cell>
          <cell r="J823" t="str">
            <v>SOLEIL LEVANTScratch 1 000</v>
          </cell>
          <cell r="L823">
            <v>1</v>
          </cell>
          <cell r="M823" t="str">
            <v>1SOLEIL LEVANT</v>
          </cell>
          <cell r="N823" t="str">
            <v>SOLEIL LEVANTScratch 1 000</v>
          </cell>
          <cell r="O823" t="str">
            <v>SOLEIL LEVANT</v>
          </cell>
          <cell r="P823" t="str">
            <v>Scratch 1 000</v>
          </cell>
          <cell r="Q823" t="str">
            <v>42007</v>
          </cell>
          <cell r="R823" t="str">
            <v>42007Scratch 1 000</v>
          </cell>
          <cell r="S823" t="str">
            <v>2007Scratch 1 000</v>
          </cell>
          <cell r="T823" t="str">
            <v>42007SOLEIL LEVANT</v>
          </cell>
          <cell r="U823" t="str">
            <v>42007SOLEIL LEVANTScratch 1 000</v>
          </cell>
          <cell r="V823" t="str">
            <v>39175Scratch 1 000</v>
          </cell>
          <cell r="W823" t="str">
            <v>2007SOLEIL LEVANT</v>
          </cell>
          <cell r="X823" t="str">
            <v>2007SOLEIL LEVANTScratch 1 000</v>
          </cell>
        </row>
        <row r="824">
          <cell r="I824">
            <v>2007</v>
          </cell>
          <cell r="J824" t="str">
            <v>SOLEIL LEVANTScratch 2 000</v>
          </cell>
          <cell r="L824">
            <v>0</v>
          </cell>
          <cell r="M824" t="str">
            <v>SOLEIL LEVANT</v>
          </cell>
          <cell r="N824" t="str">
            <v>SOLEIL LEVANTScratch 2 000</v>
          </cell>
          <cell r="O824" t="str">
            <v>SOLEIL LEVANT</v>
          </cell>
          <cell r="P824" t="str">
            <v>Scratch 2 000</v>
          </cell>
          <cell r="Q824" t="str">
            <v>42007</v>
          </cell>
          <cell r="R824" t="str">
            <v>42007Scratch 2 000</v>
          </cell>
          <cell r="S824" t="str">
            <v>2007Scratch 2 000</v>
          </cell>
          <cell r="T824" t="str">
            <v>42007SOLEIL LEVANT</v>
          </cell>
          <cell r="U824" t="str">
            <v>42007SOLEIL LEVANTScratch 2 000</v>
          </cell>
          <cell r="V824" t="str">
            <v>39175Scratch 2 000</v>
          </cell>
          <cell r="W824" t="str">
            <v>2007SOLEIL LEVANT</v>
          </cell>
          <cell r="X824" t="str">
            <v>2007SOLEIL LEVANTScratch 2 000</v>
          </cell>
        </row>
        <row r="825">
          <cell r="I825">
            <v>2007</v>
          </cell>
          <cell r="J825" t="str">
            <v>SOLEIL LEVANTScratch 5 000</v>
          </cell>
          <cell r="L825">
            <v>0</v>
          </cell>
          <cell r="M825" t="str">
            <v>SOLEIL LEVANT</v>
          </cell>
          <cell r="N825" t="str">
            <v>SOLEIL LEVANTScratch 5 000</v>
          </cell>
          <cell r="O825" t="str">
            <v>SOLEIL LEVANT</v>
          </cell>
          <cell r="P825" t="str">
            <v>Scratch 5 000</v>
          </cell>
          <cell r="Q825" t="str">
            <v>42007</v>
          </cell>
          <cell r="R825" t="str">
            <v>42007Scratch 5 000</v>
          </cell>
          <cell r="S825" t="str">
            <v>2007Scratch 5 000</v>
          </cell>
          <cell r="T825" t="str">
            <v>42007SOLEIL LEVANT</v>
          </cell>
          <cell r="U825" t="str">
            <v>42007SOLEIL LEVANTScratch 5 000</v>
          </cell>
          <cell r="V825" t="str">
            <v>39175Scratch 5 000</v>
          </cell>
          <cell r="W825" t="str">
            <v>2007SOLEIL LEVANT</v>
          </cell>
          <cell r="X825" t="str">
            <v>2007SOLEIL LEVANTScratch 5 000</v>
          </cell>
        </row>
        <row r="826">
          <cell r="I826">
            <v>2007</v>
          </cell>
          <cell r="J826" t="str">
            <v>Compagnie Internationale de NegoceScratch 1 000</v>
          </cell>
          <cell r="L826">
            <v>1</v>
          </cell>
          <cell r="M826" t="str">
            <v>1Compagnie Internationale de Negoce</v>
          </cell>
          <cell r="N826" t="str">
            <v>Compagnie Internationale de NegoceScratch 1 000</v>
          </cell>
          <cell r="O826" t="str">
            <v>Compagnie Internationale de Negoce</v>
          </cell>
          <cell r="P826" t="str">
            <v>Scratch 1 000</v>
          </cell>
          <cell r="Q826" t="str">
            <v>42007</v>
          </cell>
          <cell r="R826" t="str">
            <v>42007Scratch 1 000</v>
          </cell>
          <cell r="S826" t="str">
            <v>2007Scratch 1 000</v>
          </cell>
          <cell r="T826" t="str">
            <v>42007Compagnie Internationale de Negoce</v>
          </cell>
          <cell r="U826" t="str">
            <v>42007Compagnie Internationale de NegoceScratch 1 000</v>
          </cell>
          <cell r="V826" t="str">
            <v>39175Scratch 1 000</v>
          </cell>
          <cell r="W826" t="str">
            <v>2007Compagnie Internationale de Negoce</v>
          </cell>
          <cell r="X826" t="str">
            <v>2007Compagnie Internationale de NegoceScratch 1 000</v>
          </cell>
        </row>
        <row r="827">
          <cell r="I827">
            <v>2007</v>
          </cell>
          <cell r="J827" t="str">
            <v>Compagnie Internationale de NegoceScratch 2 000</v>
          </cell>
          <cell r="L827">
            <v>0</v>
          </cell>
          <cell r="M827" t="str">
            <v>Compagnie Internationale de Negoce</v>
          </cell>
          <cell r="N827" t="str">
            <v>Compagnie Internationale de NegoceScratch 2 000</v>
          </cell>
          <cell r="O827" t="str">
            <v>Compagnie Internationale de Negoce</v>
          </cell>
          <cell r="P827" t="str">
            <v>Scratch 2 000</v>
          </cell>
          <cell r="Q827" t="str">
            <v>42007</v>
          </cell>
          <cell r="R827" t="str">
            <v>42007Scratch 2 000</v>
          </cell>
          <cell r="S827" t="str">
            <v>2007Scratch 2 000</v>
          </cell>
          <cell r="T827" t="str">
            <v>42007Compagnie Internationale de Negoce</v>
          </cell>
          <cell r="U827" t="str">
            <v>42007Compagnie Internationale de NegoceScratch 2 000</v>
          </cell>
          <cell r="V827" t="str">
            <v>39175Scratch 2 000</v>
          </cell>
          <cell r="W827" t="str">
            <v>2007Compagnie Internationale de Negoce</v>
          </cell>
          <cell r="X827" t="str">
            <v>2007Compagnie Internationale de NegoceScratch 2 000</v>
          </cell>
        </row>
        <row r="828">
          <cell r="I828">
            <v>2007</v>
          </cell>
          <cell r="J828" t="str">
            <v>Compagnie Internationale de NegoceScratch 5 000</v>
          </cell>
          <cell r="L828">
            <v>0</v>
          </cell>
          <cell r="M828" t="str">
            <v>Compagnie Internationale de Negoce</v>
          </cell>
          <cell r="N828" t="str">
            <v>Compagnie Internationale de NegoceScratch 5 000</v>
          </cell>
          <cell r="O828" t="str">
            <v>Compagnie Internationale de Negoce</v>
          </cell>
          <cell r="P828" t="str">
            <v>Scratch 5 000</v>
          </cell>
          <cell r="Q828" t="str">
            <v>42007</v>
          </cell>
          <cell r="R828" t="str">
            <v>42007Scratch 5 000</v>
          </cell>
          <cell r="S828" t="str">
            <v>2007Scratch 5 000</v>
          </cell>
          <cell r="T828" t="str">
            <v>42007Compagnie Internationale de Negoce</v>
          </cell>
          <cell r="U828" t="str">
            <v>42007Compagnie Internationale de NegoceScratch 5 000</v>
          </cell>
          <cell r="V828" t="str">
            <v>39175Scratch 5 000</v>
          </cell>
          <cell r="W828" t="str">
            <v>2007Compagnie Internationale de Negoce</v>
          </cell>
          <cell r="X828" t="str">
            <v>2007Compagnie Internationale de NegoceScratch 5 000</v>
          </cell>
        </row>
        <row r="829">
          <cell r="I829">
            <v>2007</v>
          </cell>
          <cell r="J829" t="str">
            <v>Compagnie Internationale de NegoceScratch 10 000</v>
          </cell>
          <cell r="L829">
            <v>0</v>
          </cell>
          <cell r="M829" t="str">
            <v>Compagnie Internationale de Negoce</v>
          </cell>
          <cell r="N829" t="str">
            <v>Compagnie Internationale de NegoceScratch 10 000</v>
          </cell>
          <cell r="O829" t="str">
            <v>Compagnie Internationale de Negoce</v>
          </cell>
          <cell r="P829" t="str">
            <v>Scratch 10 000</v>
          </cell>
          <cell r="Q829" t="str">
            <v>42007</v>
          </cell>
          <cell r="R829" t="str">
            <v>42007Scratch 10 000</v>
          </cell>
          <cell r="S829" t="str">
            <v>2007Scratch 10 000</v>
          </cell>
          <cell r="T829" t="str">
            <v>42007Compagnie Internationale de Negoce</v>
          </cell>
          <cell r="U829" t="str">
            <v>42007Compagnie Internationale de NegoceScratch 10 000</v>
          </cell>
          <cell r="V829" t="str">
            <v>39175Scratch 10 000</v>
          </cell>
          <cell r="W829" t="str">
            <v>2007Compagnie Internationale de Negoce</v>
          </cell>
          <cell r="X829" t="str">
            <v>2007Compagnie Internationale de NegoceScratch 10 000</v>
          </cell>
        </row>
        <row r="830">
          <cell r="I830">
            <v>2007</v>
          </cell>
          <cell r="J830" t="str">
            <v>Compagnie Internationale de NegoceScratch 20 000</v>
          </cell>
          <cell r="L830">
            <v>0</v>
          </cell>
          <cell r="M830" t="str">
            <v>Compagnie Internationale de Negoce</v>
          </cell>
          <cell r="N830" t="str">
            <v>Compagnie Internationale de NegoceScratch 20 000</v>
          </cell>
          <cell r="O830" t="str">
            <v>Compagnie Internationale de Negoce</v>
          </cell>
          <cell r="P830" t="str">
            <v>Scratch 20 000</v>
          </cell>
          <cell r="Q830" t="str">
            <v>42007</v>
          </cell>
          <cell r="R830" t="str">
            <v>42007Scratch 20 000</v>
          </cell>
          <cell r="S830" t="str">
            <v>2007Scratch 20 000</v>
          </cell>
          <cell r="T830" t="str">
            <v>42007Compagnie Internationale de Negoce</v>
          </cell>
          <cell r="U830" t="str">
            <v>42007Compagnie Internationale de NegoceScratch 20 000</v>
          </cell>
          <cell r="V830" t="str">
            <v>39175Scratch 20 000</v>
          </cell>
          <cell r="W830" t="str">
            <v>2007Compagnie Internationale de Negoce</v>
          </cell>
          <cell r="X830" t="str">
            <v>2007Compagnie Internationale de NegoceScratch 20 000</v>
          </cell>
        </row>
        <row r="831">
          <cell r="I831">
            <v>2007</v>
          </cell>
          <cell r="J831" t="str">
            <v>ANKA ServicesScratch 1 000</v>
          </cell>
          <cell r="L831">
            <v>1</v>
          </cell>
          <cell r="M831" t="str">
            <v>1ANKA Services</v>
          </cell>
          <cell r="N831" t="str">
            <v>ANKA ServicesScratch 1 000</v>
          </cell>
          <cell r="O831" t="str">
            <v>ANKA Services</v>
          </cell>
          <cell r="P831" t="str">
            <v>Scratch 1 000</v>
          </cell>
          <cell r="Q831" t="str">
            <v>42007</v>
          </cell>
          <cell r="R831" t="str">
            <v>42007Scratch 1 000</v>
          </cell>
          <cell r="S831" t="str">
            <v>2007Scratch 1 000</v>
          </cell>
          <cell r="T831" t="str">
            <v>42007ANKA Services</v>
          </cell>
          <cell r="U831" t="str">
            <v>42007ANKA ServicesScratch 1 000</v>
          </cell>
          <cell r="V831" t="str">
            <v>39175Scratch 1 000</v>
          </cell>
          <cell r="W831" t="str">
            <v>2007ANKA Services</v>
          </cell>
          <cell r="X831" t="str">
            <v>2007ANKA ServicesScratch 1 000</v>
          </cell>
        </row>
        <row r="832">
          <cell r="I832">
            <v>2007</v>
          </cell>
          <cell r="J832" t="str">
            <v>ANKA ServicesScratch 2 000</v>
          </cell>
          <cell r="L832">
            <v>0</v>
          </cell>
          <cell r="M832" t="str">
            <v>ANKA Services</v>
          </cell>
          <cell r="N832" t="str">
            <v>ANKA ServicesScratch 2 000</v>
          </cell>
          <cell r="O832" t="str">
            <v>ANKA Services</v>
          </cell>
          <cell r="P832" t="str">
            <v>Scratch 2 000</v>
          </cell>
          <cell r="Q832" t="str">
            <v>42007</v>
          </cell>
          <cell r="R832" t="str">
            <v>42007Scratch 2 000</v>
          </cell>
          <cell r="S832" t="str">
            <v>2007Scratch 2 000</v>
          </cell>
          <cell r="T832" t="str">
            <v>42007ANKA Services</v>
          </cell>
          <cell r="U832" t="str">
            <v>42007ANKA ServicesScratch 2 000</v>
          </cell>
          <cell r="V832" t="str">
            <v>39175Scratch 2 000</v>
          </cell>
          <cell r="W832" t="str">
            <v>2007ANKA Services</v>
          </cell>
          <cell r="X832" t="str">
            <v>2007ANKA ServicesScratch 2 000</v>
          </cell>
        </row>
        <row r="833">
          <cell r="I833">
            <v>2007</v>
          </cell>
          <cell r="J833" t="str">
            <v>ANKA ServicesScratch 5 000</v>
          </cell>
          <cell r="L833">
            <v>0</v>
          </cell>
          <cell r="M833" t="str">
            <v>ANKA Services</v>
          </cell>
          <cell r="N833" t="str">
            <v>ANKA ServicesScratch 5 000</v>
          </cell>
          <cell r="O833" t="str">
            <v>ANKA Services</v>
          </cell>
          <cell r="P833" t="str">
            <v>Scratch 5 000</v>
          </cell>
          <cell r="Q833" t="str">
            <v>42007</v>
          </cell>
          <cell r="R833" t="str">
            <v>42007Scratch 5 000</v>
          </cell>
          <cell r="S833" t="str">
            <v>2007Scratch 5 000</v>
          </cell>
          <cell r="T833" t="str">
            <v>42007ANKA Services</v>
          </cell>
          <cell r="U833" t="str">
            <v>42007ANKA ServicesScratch 5 000</v>
          </cell>
          <cell r="V833" t="str">
            <v>39175Scratch 5 000</v>
          </cell>
          <cell r="W833" t="str">
            <v>2007ANKA Services</v>
          </cell>
          <cell r="X833" t="str">
            <v>2007ANKA ServicesScratch 5 000</v>
          </cell>
        </row>
        <row r="834">
          <cell r="I834">
            <v>2007</v>
          </cell>
          <cell r="J834" t="str">
            <v>GEMATELScratch 1 000</v>
          </cell>
          <cell r="L834">
            <v>1</v>
          </cell>
          <cell r="M834" t="str">
            <v>1GEMATEL</v>
          </cell>
          <cell r="N834" t="str">
            <v>GEMATELScratch 1 000</v>
          </cell>
          <cell r="O834" t="str">
            <v>GEMATEL</v>
          </cell>
          <cell r="P834" t="str">
            <v>Scratch 1 000</v>
          </cell>
          <cell r="Q834" t="str">
            <v>42007</v>
          </cell>
          <cell r="R834" t="str">
            <v>42007Scratch 1 000</v>
          </cell>
          <cell r="S834" t="str">
            <v>2007Scratch 1 000</v>
          </cell>
          <cell r="T834" t="str">
            <v>42007GEMATEL</v>
          </cell>
          <cell r="U834" t="str">
            <v>42007GEMATELScratch 1 000</v>
          </cell>
          <cell r="V834" t="str">
            <v>39176Scratch 1 000</v>
          </cell>
          <cell r="W834" t="str">
            <v>2007GEMATEL</v>
          </cell>
          <cell r="X834" t="str">
            <v>2007GEMATELScratch 1 000</v>
          </cell>
        </row>
        <row r="835">
          <cell r="I835">
            <v>2007</v>
          </cell>
          <cell r="J835" t="str">
            <v>GEMATELScratch 2 000</v>
          </cell>
          <cell r="L835">
            <v>0</v>
          </cell>
          <cell r="M835" t="str">
            <v>GEMATEL</v>
          </cell>
          <cell r="N835" t="str">
            <v>GEMATELScratch 2 000</v>
          </cell>
          <cell r="O835" t="str">
            <v>GEMATEL</v>
          </cell>
          <cell r="P835" t="str">
            <v>Scratch 2 000</v>
          </cell>
          <cell r="Q835" t="str">
            <v>42007</v>
          </cell>
          <cell r="R835" t="str">
            <v>42007Scratch 2 000</v>
          </cell>
          <cell r="S835" t="str">
            <v>2007Scratch 2 000</v>
          </cell>
          <cell r="T835" t="str">
            <v>42007GEMATEL</v>
          </cell>
          <cell r="U835" t="str">
            <v>42007GEMATELScratch 2 000</v>
          </cell>
          <cell r="V835" t="str">
            <v>39176Scratch 2 000</v>
          </cell>
          <cell r="W835" t="str">
            <v>2007GEMATEL</v>
          </cell>
          <cell r="X835" t="str">
            <v>2007GEMATELScratch 2 000</v>
          </cell>
        </row>
        <row r="836">
          <cell r="I836">
            <v>2007</v>
          </cell>
          <cell r="J836" t="str">
            <v>GEMATELScratch 5 000</v>
          </cell>
          <cell r="L836">
            <v>0</v>
          </cell>
          <cell r="M836" t="str">
            <v>GEMATEL</v>
          </cell>
          <cell r="N836" t="str">
            <v>GEMATELScratch 5 000</v>
          </cell>
          <cell r="O836" t="str">
            <v>GEMATEL</v>
          </cell>
          <cell r="P836" t="str">
            <v>Scratch 5 000</v>
          </cell>
          <cell r="Q836" t="str">
            <v>42007</v>
          </cell>
          <cell r="R836" t="str">
            <v>42007Scratch 5 000</v>
          </cell>
          <cell r="S836" t="str">
            <v>2007Scratch 5 000</v>
          </cell>
          <cell r="T836" t="str">
            <v>42007GEMATEL</v>
          </cell>
          <cell r="U836" t="str">
            <v>42007GEMATELScratch 5 000</v>
          </cell>
          <cell r="V836" t="str">
            <v>39176Scratch 5 000</v>
          </cell>
          <cell r="W836" t="str">
            <v>2007GEMATEL</v>
          </cell>
          <cell r="X836" t="str">
            <v>2007GEMATELScratch 5 000</v>
          </cell>
        </row>
        <row r="837">
          <cell r="I837">
            <v>2007</v>
          </cell>
          <cell r="J837" t="str">
            <v>GEMATELScratch 10 000</v>
          </cell>
          <cell r="L837">
            <v>0</v>
          </cell>
          <cell r="M837" t="str">
            <v>GEMATEL</v>
          </cell>
          <cell r="N837" t="str">
            <v>GEMATELScratch 10 000</v>
          </cell>
          <cell r="O837" t="str">
            <v>GEMATEL</v>
          </cell>
          <cell r="P837" t="str">
            <v>Scratch 10 000</v>
          </cell>
          <cell r="Q837" t="str">
            <v>42007</v>
          </cell>
          <cell r="R837" t="str">
            <v>42007Scratch 10 000</v>
          </cell>
          <cell r="S837" t="str">
            <v>2007Scratch 10 000</v>
          </cell>
          <cell r="T837" t="str">
            <v>42007GEMATEL</v>
          </cell>
          <cell r="U837" t="str">
            <v>42007GEMATELScratch 10 000</v>
          </cell>
          <cell r="V837" t="str">
            <v>39176Scratch 10 000</v>
          </cell>
          <cell r="W837" t="str">
            <v>2007GEMATEL</v>
          </cell>
          <cell r="X837" t="str">
            <v>2007GEMATELScratch 10 000</v>
          </cell>
        </row>
        <row r="838">
          <cell r="I838">
            <v>2007</v>
          </cell>
          <cell r="J838" t="str">
            <v>GEMATELScratch 20 000</v>
          </cell>
          <cell r="L838">
            <v>0</v>
          </cell>
          <cell r="M838" t="str">
            <v>GEMATEL</v>
          </cell>
          <cell r="N838" t="str">
            <v>GEMATELScratch 20 000</v>
          </cell>
          <cell r="O838" t="str">
            <v>GEMATEL</v>
          </cell>
          <cell r="P838" t="str">
            <v>Scratch 20 000</v>
          </cell>
          <cell r="Q838" t="str">
            <v>42007</v>
          </cell>
          <cell r="R838" t="str">
            <v>42007Scratch 20 000</v>
          </cell>
          <cell r="S838" t="str">
            <v>2007Scratch 20 000</v>
          </cell>
          <cell r="T838" t="str">
            <v>42007GEMATEL</v>
          </cell>
          <cell r="U838" t="str">
            <v>42007GEMATELScratch 20 000</v>
          </cell>
          <cell r="V838" t="str">
            <v>39176Scratch 20 000</v>
          </cell>
          <cell r="W838" t="str">
            <v>2007GEMATEL</v>
          </cell>
          <cell r="X838" t="str">
            <v>2007GEMATELScratch 20 000</v>
          </cell>
        </row>
        <row r="839">
          <cell r="I839">
            <v>2007</v>
          </cell>
          <cell r="J839" t="str">
            <v>STS GAMBY &amp; FRERES (SOGAF) SarlScratch 1 000</v>
          </cell>
          <cell r="L839">
            <v>1</v>
          </cell>
          <cell r="M839" t="str">
            <v>1STS GAMBY &amp; FRERES (SOGAF) Sarl</v>
          </cell>
          <cell r="N839" t="str">
            <v>STS GAMBY &amp; FRERES (SOGAF) SarlScratch 1 000</v>
          </cell>
          <cell r="O839" t="str">
            <v>STS GAMBY &amp; FRERES (SOGAF) Sarl</v>
          </cell>
          <cell r="P839" t="str">
            <v>Scratch 1 000</v>
          </cell>
          <cell r="Q839" t="str">
            <v>42007</v>
          </cell>
          <cell r="R839" t="str">
            <v>42007Scratch 1 000</v>
          </cell>
          <cell r="S839" t="str">
            <v>2007Scratch 1 000</v>
          </cell>
          <cell r="T839" t="str">
            <v>42007STS GAMBY &amp; FRERES (SOGAF) Sarl</v>
          </cell>
          <cell r="U839" t="str">
            <v>42007STS GAMBY &amp; FRERES (SOGAF) SarlScratch 1 000</v>
          </cell>
          <cell r="V839" t="str">
            <v>39176Scratch 1 000</v>
          </cell>
          <cell r="W839" t="str">
            <v>2007STS GAMBY &amp; FRERES (SOGAF) Sarl</v>
          </cell>
          <cell r="X839" t="str">
            <v>2007STS GAMBY &amp; FRERES (SOGAF) SarlScratch 1 000</v>
          </cell>
        </row>
        <row r="840">
          <cell r="I840">
            <v>2007</v>
          </cell>
          <cell r="J840" t="str">
            <v>STS GAMBY &amp; FRERES (SOGAF) SarlScratch 2 000</v>
          </cell>
          <cell r="L840">
            <v>0</v>
          </cell>
          <cell r="M840" t="str">
            <v>STS GAMBY &amp; FRERES (SOGAF) Sarl</v>
          </cell>
          <cell r="N840" t="str">
            <v>STS GAMBY &amp; FRERES (SOGAF) SarlScratch 2 000</v>
          </cell>
          <cell r="O840" t="str">
            <v>STS GAMBY &amp; FRERES (SOGAF) Sarl</v>
          </cell>
          <cell r="P840" t="str">
            <v>Scratch 2 000</v>
          </cell>
          <cell r="Q840" t="str">
            <v>42007</v>
          </cell>
          <cell r="R840" t="str">
            <v>42007Scratch 2 000</v>
          </cell>
          <cell r="S840" t="str">
            <v>2007Scratch 2 000</v>
          </cell>
          <cell r="T840" t="str">
            <v>42007STS GAMBY &amp; FRERES (SOGAF) Sarl</v>
          </cell>
          <cell r="U840" t="str">
            <v>42007STS GAMBY &amp; FRERES (SOGAF) SarlScratch 2 000</v>
          </cell>
          <cell r="V840" t="str">
            <v>39176Scratch 2 000</v>
          </cell>
          <cell r="W840" t="str">
            <v>2007STS GAMBY &amp; FRERES (SOGAF) Sarl</v>
          </cell>
          <cell r="X840" t="str">
            <v>2007STS GAMBY &amp; FRERES (SOGAF) SarlScratch 2 000</v>
          </cell>
        </row>
        <row r="841">
          <cell r="I841">
            <v>2007</v>
          </cell>
          <cell r="J841" t="str">
            <v>STS GAMBY &amp; FRERES (SOGAF) SarlScratch 5 000</v>
          </cell>
          <cell r="L841">
            <v>0</v>
          </cell>
          <cell r="M841" t="str">
            <v>STS GAMBY &amp; FRERES (SOGAF) Sarl</v>
          </cell>
          <cell r="N841" t="str">
            <v>STS GAMBY &amp; FRERES (SOGAF) SarlScratch 5 000</v>
          </cell>
          <cell r="O841" t="str">
            <v>STS GAMBY &amp; FRERES (SOGAF) Sarl</v>
          </cell>
          <cell r="P841" t="str">
            <v>Scratch 5 000</v>
          </cell>
          <cell r="Q841" t="str">
            <v>42007</v>
          </cell>
          <cell r="R841" t="str">
            <v>42007Scratch 5 000</v>
          </cell>
          <cell r="S841" t="str">
            <v>2007Scratch 5 000</v>
          </cell>
          <cell r="T841" t="str">
            <v>42007STS GAMBY &amp; FRERES (SOGAF) Sarl</v>
          </cell>
          <cell r="U841" t="str">
            <v>42007STS GAMBY &amp; FRERES (SOGAF) SarlScratch 5 000</v>
          </cell>
          <cell r="V841" t="str">
            <v>39176Scratch 5 000</v>
          </cell>
          <cell r="W841" t="str">
            <v>2007STS GAMBY &amp; FRERES (SOGAF) Sarl</v>
          </cell>
          <cell r="X841" t="str">
            <v>2007STS GAMBY &amp; FRERES (SOGAF) SarlScratch 5 000</v>
          </cell>
        </row>
        <row r="842">
          <cell r="I842">
            <v>2007</v>
          </cell>
          <cell r="J842" t="str">
            <v>GEMATELScratch 1 000</v>
          </cell>
          <cell r="L842">
            <v>1</v>
          </cell>
          <cell r="M842" t="str">
            <v>1GEMATEL</v>
          </cell>
          <cell r="N842" t="str">
            <v>GEMATELScratch 1 000</v>
          </cell>
          <cell r="O842" t="str">
            <v>GEMATEL</v>
          </cell>
          <cell r="P842" t="str">
            <v>Scratch 1 000</v>
          </cell>
          <cell r="Q842" t="str">
            <v>42007</v>
          </cell>
          <cell r="R842" t="str">
            <v>42007Scratch 1 000</v>
          </cell>
          <cell r="S842" t="str">
            <v>2007Scratch 1 000</v>
          </cell>
          <cell r="T842" t="str">
            <v>42007GEMATEL</v>
          </cell>
          <cell r="U842" t="str">
            <v>42007GEMATELScratch 1 000</v>
          </cell>
          <cell r="V842" t="str">
            <v>39177Scratch 1 000</v>
          </cell>
          <cell r="W842" t="str">
            <v>2007GEMATEL</v>
          </cell>
          <cell r="X842" t="str">
            <v>2007GEMATELScratch 1 000</v>
          </cell>
        </row>
        <row r="843">
          <cell r="I843">
            <v>2007</v>
          </cell>
          <cell r="J843" t="str">
            <v>GEMATELScratch 2 000</v>
          </cell>
          <cell r="L843">
            <v>0</v>
          </cell>
          <cell r="M843" t="str">
            <v>GEMATEL</v>
          </cell>
          <cell r="N843" t="str">
            <v>GEMATELScratch 2 000</v>
          </cell>
          <cell r="O843" t="str">
            <v>GEMATEL</v>
          </cell>
          <cell r="P843" t="str">
            <v>Scratch 2 000</v>
          </cell>
          <cell r="Q843" t="str">
            <v>42007</v>
          </cell>
          <cell r="R843" t="str">
            <v>42007Scratch 2 000</v>
          </cell>
          <cell r="S843" t="str">
            <v>2007Scratch 2 000</v>
          </cell>
          <cell r="T843" t="str">
            <v>42007GEMATEL</v>
          </cell>
          <cell r="U843" t="str">
            <v>42007GEMATELScratch 2 000</v>
          </cell>
          <cell r="V843" t="str">
            <v>39177Scratch 2 000</v>
          </cell>
          <cell r="W843" t="str">
            <v>2007GEMATEL</v>
          </cell>
          <cell r="X843" t="str">
            <v>2007GEMATELScratch 2 000</v>
          </cell>
        </row>
        <row r="844">
          <cell r="I844">
            <v>2007</v>
          </cell>
          <cell r="J844" t="str">
            <v>GEMATELScratch 5 000</v>
          </cell>
          <cell r="L844">
            <v>0</v>
          </cell>
          <cell r="M844" t="str">
            <v>GEMATEL</v>
          </cell>
          <cell r="N844" t="str">
            <v>GEMATELScratch 5 000</v>
          </cell>
          <cell r="O844" t="str">
            <v>GEMATEL</v>
          </cell>
          <cell r="P844" t="str">
            <v>Scratch 5 000</v>
          </cell>
          <cell r="Q844" t="str">
            <v>42007</v>
          </cell>
          <cell r="R844" t="str">
            <v>42007Scratch 5 000</v>
          </cell>
          <cell r="S844" t="str">
            <v>2007Scratch 5 000</v>
          </cell>
          <cell r="T844" t="str">
            <v>42007GEMATEL</v>
          </cell>
          <cell r="U844" t="str">
            <v>42007GEMATELScratch 5 000</v>
          </cell>
          <cell r="V844" t="str">
            <v>39177Scratch 5 000</v>
          </cell>
          <cell r="W844" t="str">
            <v>2007GEMATEL</v>
          </cell>
          <cell r="X844" t="str">
            <v>2007GEMATELScratch 5 000</v>
          </cell>
        </row>
        <row r="845">
          <cell r="I845">
            <v>2007</v>
          </cell>
          <cell r="J845" t="str">
            <v>GEMATELScratch 10 000</v>
          </cell>
          <cell r="L845">
            <v>0</v>
          </cell>
          <cell r="M845" t="str">
            <v>GEMATEL</v>
          </cell>
          <cell r="N845" t="str">
            <v>GEMATELScratch 10 000</v>
          </cell>
          <cell r="O845" t="str">
            <v>GEMATEL</v>
          </cell>
          <cell r="P845" t="str">
            <v>Scratch 10 000</v>
          </cell>
          <cell r="Q845" t="str">
            <v>42007</v>
          </cell>
          <cell r="R845" t="str">
            <v>42007Scratch 10 000</v>
          </cell>
          <cell r="S845" t="str">
            <v>2007Scratch 10 000</v>
          </cell>
          <cell r="T845" t="str">
            <v>42007GEMATEL</v>
          </cell>
          <cell r="U845" t="str">
            <v>42007GEMATELScratch 10 000</v>
          </cell>
          <cell r="V845" t="str">
            <v>39177Scratch 10 000</v>
          </cell>
          <cell r="W845" t="str">
            <v>2007GEMATEL</v>
          </cell>
          <cell r="X845" t="str">
            <v>2007GEMATELScratch 10 000</v>
          </cell>
        </row>
        <row r="846">
          <cell r="I846">
            <v>2007</v>
          </cell>
          <cell r="J846" t="str">
            <v>GEMATELScratch 20 000</v>
          </cell>
          <cell r="L846">
            <v>0</v>
          </cell>
          <cell r="M846" t="str">
            <v>GEMATEL</v>
          </cell>
          <cell r="N846" t="str">
            <v>GEMATELScratch 20 000</v>
          </cell>
          <cell r="O846" t="str">
            <v>GEMATEL</v>
          </cell>
          <cell r="P846" t="str">
            <v>Scratch 20 000</v>
          </cell>
          <cell r="Q846" t="str">
            <v>42007</v>
          </cell>
          <cell r="R846" t="str">
            <v>42007Scratch 20 000</v>
          </cell>
          <cell r="S846" t="str">
            <v>2007Scratch 20 000</v>
          </cell>
          <cell r="T846" t="str">
            <v>42007GEMATEL</v>
          </cell>
          <cell r="U846" t="str">
            <v>42007GEMATELScratch 20 000</v>
          </cell>
          <cell r="V846" t="str">
            <v>39177Scratch 20 000</v>
          </cell>
          <cell r="W846" t="str">
            <v>2007GEMATEL</v>
          </cell>
          <cell r="X846" t="str">
            <v>2007GEMATELScratch 20 000</v>
          </cell>
        </row>
        <row r="847">
          <cell r="I847">
            <v>2007</v>
          </cell>
          <cell r="J847" t="str">
            <v>ETS Boubacar TANDIAScratch 1 000</v>
          </cell>
          <cell r="L847">
            <v>1</v>
          </cell>
          <cell r="M847" t="str">
            <v>1ETS Boubacar TANDIA</v>
          </cell>
          <cell r="N847" t="str">
            <v>ETS Boubacar TANDIAScratch 1 000</v>
          </cell>
          <cell r="O847" t="str">
            <v>ETS Boubacar TANDIA</v>
          </cell>
          <cell r="P847" t="str">
            <v>Scratch 1 000</v>
          </cell>
          <cell r="Q847" t="str">
            <v>42007</v>
          </cell>
          <cell r="R847" t="str">
            <v>42007Scratch 1 000</v>
          </cell>
          <cell r="S847" t="str">
            <v>2007Scratch 1 000</v>
          </cell>
          <cell r="T847" t="str">
            <v>42007ETS Boubacar TANDIA</v>
          </cell>
          <cell r="U847" t="str">
            <v>42007ETS Boubacar TANDIAScratch 1 000</v>
          </cell>
          <cell r="V847" t="str">
            <v>39177Scratch 1 000</v>
          </cell>
          <cell r="W847" t="str">
            <v>2007ETS Boubacar TANDIA</v>
          </cell>
          <cell r="X847" t="str">
            <v>2007ETS Boubacar TANDIAScratch 1 000</v>
          </cell>
        </row>
        <row r="848">
          <cell r="I848">
            <v>2007</v>
          </cell>
          <cell r="J848" t="str">
            <v>ETS Boubacar TANDIAScratch 2 000</v>
          </cell>
          <cell r="L848">
            <v>0</v>
          </cell>
          <cell r="M848" t="str">
            <v>ETS Boubacar TANDIA</v>
          </cell>
          <cell r="N848" t="str">
            <v>ETS Boubacar TANDIAScratch 2 000</v>
          </cell>
          <cell r="O848" t="str">
            <v>ETS Boubacar TANDIA</v>
          </cell>
          <cell r="P848" t="str">
            <v>Scratch 2 000</v>
          </cell>
          <cell r="Q848" t="str">
            <v>42007</v>
          </cell>
          <cell r="R848" t="str">
            <v>42007Scratch 2 000</v>
          </cell>
          <cell r="S848" t="str">
            <v>2007Scratch 2 000</v>
          </cell>
          <cell r="T848" t="str">
            <v>42007ETS Boubacar TANDIA</v>
          </cell>
          <cell r="U848" t="str">
            <v>42007ETS Boubacar TANDIAScratch 2 000</v>
          </cell>
          <cell r="V848" t="str">
            <v>39177Scratch 2 000</v>
          </cell>
          <cell r="W848" t="str">
            <v>2007ETS Boubacar TANDIA</v>
          </cell>
          <cell r="X848" t="str">
            <v>2007ETS Boubacar TANDIAScratch 2 000</v>
          </cell>
        </row>
        <row r="849">
          <cell r="I849">
            <v>2007</v>
          </cell>
          <cell r="J849" t="str">
            <v>ETS Boubacar TANDIAScratch 5 000</v>
          </cell>
          <cell r="L849">
            <v>0</v>
          </cell>
          <cell r="M849" t="str">
            <v>ETS Boubacar TANDIA</v>
          </cell>
          <cell r="N849" t="str">
            <v>ETS Boubacar TANDIAScratch 5 000</v>
          </cell>
          <cell r="O849" t="str">
            <v>ETS Boubacar TANDIA</v>
          </cell>
          <cell r="P849" t="str">
            <v>Scratch 5 000</v>
          </cell>
          <cell r="Q849" t="str">
            <v>42007</v>
          </cell>
          <cell r="R849" t="str">
            <v>42007Scratch 5 000</v>
          </cell>
          <cell r="S849" t="str">
            <v>2007Scratch 5 000</v>
          </cell>
          <cell r="T849" t="str">
            <v>42007ETS Boubacar TANDIA</v>
          </cell>
          <cell r="U849" t="str">
            <v>42007ETS Boubacar TANDIAScratch 5 000</v>
          </cell>
          <cell r="V849" t="str">
            <v>39177Scratch 5 000</v>
          </cell>
          <cell r="W849" t="str">
            <v>2007ETS Boubacar TANDIA</v>
          </cell>
          <cell r="X849" t="str">
            <v>2007ETS Boubacar TANDIAScratch 5 000</v>
          </cell>
        </row>
        <row r="850">
          <cell r="I850">
            <v>2007</v>
          </cell>
          <cell r="J850" t="str">
            <v>ETS Boubacar TANDIAScratch 10 000</v>
          </cell>
          <cell r="L850">
            <v>0</v>
          </cell>
          <cell r="M850" t="str">
            <v>ETS Boubacar TANDIA</v>
          </cell>
          <cell r="N850" t="str">
            <v>ETS Boubacar TANDIAScratch 10 000</v>
          </cell>
          <cell r="O850" t="str">
            <v>ETS Boubacar TANDIA</v>
          </cell>
          <cell r="P850" t="str">
            <v>Scratch 10 000</v>
          </cell>
          <cell r="Q850" t="str">
            <v>42007</v>
          </cell>
          <cell r="R850" t="str">
            <v>42007Scratch 10 000</v>
          </cell>
          <cell r="S850" t="str">
            <v>2007Scratch 10 000</v>
          </cell>
          <cell r="T850" t="str">
            <v>42007ETS Boubacar TANDIA</v>
          </cell>
          <cell r="U850" t="str">
            <v>42007ETS Boubacar TANDIAScratch 10 000</v>
          </cell>
          <cell r="V850" t="str">
            <v>39177Scratch 10 000</v>
          </cell>
          <cell r="W850" t="str">
            <v>2007ETS Boubacar TANDIA</v>
          </cell>
          <cell r="X850" t="str">
            <v>2007ETS Boubacar TANDIAScratch 10 000</v>
          </cell>
        </row>
        <row r="851">
          <cell r="I851">
            <v>2007</v>
          </cell>
          <cell r="J851" t="str">
            <v>ETS Boubacar TANDIAScratch 20 000</v>
          </cell>
          <cell r="L851">
            <v>0</v>
          </cell>
          <cell r="M851" t="str">
            <v>ETS Boubacar TANDIA</v>
          </cell>
          <cell r="N851" t="str">
            <v>ETS Boubacar TANDIAScratch 20 000</v>
          </cell>
          <cell r="O851" t="str">
            <v>ETS Boubacar TANDIA</v>
          </cell>
          <cell r="P851" t="str">
            <v>Scratch 20 000</v>
          </cell>
          <cell r="Q851" t="str">
            <v>42007</v>
          </cell>
          <cell r="R851" t="str">
            <v>42007Scratch 20 000</v>
          </cell>
          <cell r="S851" t="str">
            <v>2007Scratch 20 000</v>
          </cell>
          <cell r="T851" t="str">
            <v>42007ETS Boubacar TANDIA</v>
          </cell>
          <cell r="U851" t="str">
            <v>42007ETS Boubacar TANDIAScratch 20 000</v>
          </cell>
          <cell r="V851" t="str">
            <v>39177Scratch 20 000</v>
          </cell>
          <cell r="W851" t="str">
            <v>2007ETS Boubacar TANDIA</v>
          </cell>
          <cell r="X851" t="str">
            <v>2007ETS Boubacar TANDIAScratch 20 000</v>
          </cell>
        </row>
        <row r="852">
          <cell r="I852">
            <v>2007</v>
          </cell>
          <cell r="J852" t="str">
            <v>ANKA ServicesScratch 1 000</v>
          </cell>
          <cell r="L852">
            <v>1</v>
          </cell>
          <cell r="M852" t="str">
            <v>1ANKA Services</v>
          </cell>
          <cell r="N852" t="str">
            <v>ANKA ServicesScratch 1 000</v>
          </cell>
          <cell r="O852" t="str">
            <v>ANKA Services</v>
          </cell>
          <cell r="P852" t="str">
            <v>Scratch 1 000</v>
          </cell>
          <cell r="Q852" t="str">
            <v>42007</v>
          </cell>
          <cell r="R852" t="str">
            <v>42007Scratch 1 000</v>
          </cell>
          <cell r="S852" t="str">
            <v>2007Scratch 1 000</v>
          </cell>
          <cell r="T852" t="str">
            <v>42007ANKA Services</v>
          </cell>
          <cell r="U852" t="str">
            <v>42007ANKA ServicesScratch 1 000</v>
          </cell>
          <cell r="V852" t="str">
            <v>39177Scratch 1 000</v>
          </cell>
          <cell r="W852" t="str">
            <v>2007ANKA Services</v>
          </cell>
          <cell r="X852" t="str">
            <v>2007ANKA ServicesScratch 1 000</v>
          </cell>
        </row>
        <row r="853">
          <cell r="I853">
            <v>2007</v>
          </cell>
          <cell r="J853" t="str">
            <v>ANKA ServicesScratch 2 000</v>
          </cell>
          <cell r="L853">
            <v>0</v>
          </cell>
          <cell r="M853" t="str">
            <v>ANKA Services</v>
          </cell>
          <cell r="N853" t="str">
            <v>ANKA ServicesScratch 2 000</v>
          </cell>
          <cell r="O853" t="str">
            <v>ANKA Services</v>
          </cell>
          <cell r="P853" t="str">
            <v>Scratch 2 000</v>
          </cell>
          <cell r="Q853" t="str">
            <v>42007</v>
          </cell>
          <cell r="R853" t="str">
            <v>42007Scratch 2 000</v>
          </cell>
          <cell r="S853" t="str">
            <v>2007Scratch 2 000</v>
          </cell>
          <cell r="T853" t="str">
            <v>42007ANKA Services</v>
          </cell>
          <cell r="U853" t="str">
            <v>42007ANKA ServicesScratch 2 000</v>
          </cell>
          <cell r="V853" t="str">
            <v>39177Scratch 2 000</v>
          </cell>
          <cell r="W853" t="str">
            <v>2007ANKA Services</v>
          </cell>
          <cell r="X853" t="str">
            <v>2007ANKA ServicesScratch 2 000</v>
          </cell>
        </row>
        <row r="854">
          <cell r="I854">
            <v>2007</v>
          </cell>
          <cell r="J854" t="str">
            <v>ANKA ServicesScratch 5 000</v>
          </cell>
          <cell r="L854">
            <v>0</v>
          </cell>
          <cell r="M854" t="str">
            <v>ANKA Services</v>
          </cell>
          <cell r="N854" t="str">
            <v>ANKA ServicesScratch 5 000</v>
          </cell>
          <cell r="O854" t="str">
            <v>ANKA Services</v>
          </cell>
          <cell r="P854" t="str">
            <v>Scratch 5 000</v>
          </cell>
          <cell r="Q854" t="str">
            <v>42007</v>
          </cell>
          <cell r="R854" t="str">
            <v>42007Scratch 5 000</v>
          </cell>
          <cell r="S854" t="str">
            <v>2007Scratch 5 000</v>
          </cell>
          <cell r="T854" t="str">
            <v>42007ANKA Services</v>
          </cell>
          <cell r="U854" t="str">
            <v>42007ANKA ServicesScratch 5 000</v>
          </cell>
          <cell r="V854" t="str">
            <v>39177Scratch 5 000</v>
          </cell>
          <cell r="W854" t="str">
            <v>2007ANKA Services</v>
          </cell>
          <cell r="X854" t="str">
            <v>2007ANKA ServicesScratch 5 000</v>
          </cell>
        </row>
        <row r="855">
          <cell r="I855">
            <v>2007</v>
          </cell>
          <cell r="J855" t="str">
            <v>Compagnie Internationale de NegoceScratch 1 000</v>
          </cell>
          <cell r="L855">
            <v>1</v>
          </cell>
          <cell r="M855" t="str">
            <v>1Compagnie Internationale de Negoce</v>
          </cell>
          <cell r="N855" t="str">
            <v>Compagnie Internationale de NegoceScratch 1 000</v>
          </cell>
          <cell r="O855" t="str">
            <v>Compagnie Internationale de Negoce</v>
          </cell>
          <cell r="P855" t="str">
            <v>Scratch 1 000</v>
          </cell>
          <cell r="Q855" t="str">
            <v>42007</v>
          </cell>
          <cell r="R855" t="str">
            <v>42007Scratch 1 000</v>
          </cell>
          <cell r="S855" t="str">
            <v>2007Scratch 1 000</v>
          </cell>
          <cell r="T855" t="str">
            <v>42007Compagnie Internationale de Negoce</v>
          </cell>
          <cell r="U855" t="str">
            <v>42007Compagnie Internationale de NegoceScratch 1 000</v>
          </cell>
          <cell r="V855" t="str">
            <v>39177Scratch 1 000</v>
          </cell>
          <cell r="W855" t="str">
            <v>2007Compagnie Internationale de Negoce</v>
          </cell>
          <cell r="X855" t="str">
            <v>2007Compagnie Internationale de NegoceScratch 1 000</v>
          </cell>
        </row>
        <row r="856">
          <cell r="I856">
            <v>2007</v>
          </cell>
          <cell r="J856" t="str">
            <v>Compagnie Internationale de NegoceScratch 2 000</v>
          </cell>
          <cell r="L856">
            <v>0</v>
          </cell>
          <cell r="M856" t="str">
            <v>Compagnie Internationale de Negoce</v>
          </cell>
          <cell r="N856" t="str">
            <v>Compagnie Internationale de NegoceScratch 2 000</v>
          </cell>
          <cell r="O856" t="str">
            <v>Compagnie Internationale de Negoce</v>
          </cell>
          <cell r="P856" t="str">
            <v>Scratch 2 000</v>
          </cell>
          <cell r="Q856" t="str">
            <v>42007</v>
          </cell>
          <cell r="R856" t="str">
            <v>42007Scratch 2 000</v>
          </cell>
          <cell r="S856" t="str">
            <v>2007Scratch 2 000</v>
          </cell>
          <cell r="T856" t="str">
            <v>42007Compagnie Internationale de Negoce</v>
          </cell>
          <cell r="U856" t="str">
            <v>42007Compagnie Internationale de NegoceScratch 2 000</v>
          </cell>
          <cell r="V856" t="str">
            <v>39177Scratch 2 000</v>
          </cell>
          <cell r="W856" t="str">
            <v>2007Compagnie Internationale de Negoce</v>
          </cell>
          <cell r="X856" t="str">
            <v>2007Compagnie Internationale de NegoceScratch 2 000</v>
          </cell>
        </row>
        <row r="857">
          <cell r="I857">
            <v>2007</v>
          </cell>
          <cell r="J857" t="str">
            <v>Compagnie Internationale de NegoceScratch 5 000</v>
          </cell>
          <cell r="L857">
            <v>0</v>
          </cell>
          <cell r="M857" t="str">
            <v>Compagnie Internationale de Negoce</v>
          </cell>
          <cell r="N857" t="str">
            <v>Compagnie Internationale de NegoceScratch 5 000</v>
          </cell>
          <cell r="O857" t="str">
            <v>Compagnie Internationale de Negoce</v>
          </cell>
          <cell r="P857" t="str">
            <v>Scratch 5 000</v>
          </cell>
          <cell r="Q857" t="str">
            <v>42007</v>
          </cell>
          <cell r="R857" t="str">
            <v>42007Scratch 5 000</v>
          </cell>
          <cell r="S857" t="str">
            <v>2007Scratch 5 000</v>
          </cell>
          <cell r="T857" t="str">
            <v>42007Compagnie Internationale de Negoce</v>
          </cell>
          <cell r="U857" t="str">
            <v>42007Compagnie Internationale de NegoceScratch 5 000</v>
          </cell>
          <cell r="V857" t="str">
            <v>39177Scratch 5 000</v>
          </cell>
          <cell r="W857" t="str">
            <v>2007Compagnie Internationale de Negoce</v>
          </cell>
          <cell r="X857" t="str">
            <v>2007Compagnie Internationale de NegoceScratch 5 000</v>
          </cell>
        </row>
        <row r="858">
          <cell r="I858">
            <v>2007</v>
          </cell>
          <cell r="J858" t="str">
            <v>Compagnie Internationale de NegoceScratch 20 000</v>
          </cell>
          <cell r="L858">
            <v>0</v>
          </cell>
          <cell r="M858" t="str">
            <v>Compagnie Internationale de Negoce</v>
          </cell>
          <cell r="N858" t="str">
            <v>Compagnie Internationale de NegoceScratch 20 000</v>
          </cell>
          <cell r="O858" t="str">
            <v>Compagnie Internationale de Negoce</v>
          </cell>
          <cell r="P858" t="str">
            <v>Scratch 20 000</v>
          </cell>
          <cell r="Q858" t="str">
            <v>42007</v>
          </cell>
          <cell r="R858" t="str">
            <v>42007Scratch 20 000</v>
          </cell>
          <cell r="S858" t="str">
            <v>2007Scratch 20 000</v>
          </cell>
          <cell r="T858" t="str">
            <v>42007Compagnie Internationale de Negoce</v>
          </cell>
          <cell r="U858" t="str">
            <v>42007Compagnie Internationale de NegoceScratch 20 000</v>
          </cell>
          <cell r="V858" t="str">
            <v>39177Scratch 20 000</v>
          </cell>
          <cell r="W858" t="str">
            <v>2007Compagnie Internationale de Negoce</v>
          </cell>
          <cell r="X858" t="str">
            <v>2007Compagnie Internationale de NegoceScratch 20 000</v>
          </cell>
        </row>
        <row r="859">
          <cell r="I859">
            <v>2007</v>
          </cell>
          <cell r="J859" t="str">
            <v>SODIBAFScratch 1 000</v>
          </cell>
          <cell r="L859">
            <v>1</v>
          </cell>
          <cell r="M859" t="str">
            <v>1SODIBAF</v>
          </cell>
          <cell r="N859" t="str">
            <v>SODIBAFScratch 1 000</v>
          </cell>
          <cell r="O859" t="str">
            <v>SODIBAF</v>
          </cell>
          <cell r="P859" t="str">
            <v>Scratch 1 000</v>
          </cell>
          <cell r="Q859" t="str">
            <v>42007</v>
          </cell>
          <cell r="R859" t="str">
            <v>42007Scratch 1 000</v>
          </cell>
          <cell r="S859" t="str">
            <v>2007Scratch 1 000</v>
          </cell>
          <cell r="T859" t="str">
            <v>42007SODIBAF</v>
          </cell>
          <cell r="U859" t="str">
            <v>42007SODIBAFScratch 1 000</v>
          </cell>
          <cell r="V859" t="str">
            <v>39177Scratch 1 000</v>
          </cell>
          <cell r="W859" t="str">
            <v>2007SODIBAF</v>
          </cell>
          <cell r="X859" t="str">
            <v>2007SODIBAFScratch 1 000</v>
          </cell>
        </row>
        <row r="860">
          <cell r="I860">
            <v>2007</v>
          </cell>
          <cell r="J860" t="str">
            <v>SODIBAFScratch 2 000</v>
          </cell>
          <cell r="L860">
            <v>0</v>
          </cell>
          <cell r="M860" t="str">
            <v>SODIBAF</v>
          </cell>
          <cell r="N860" t="str">
            <v>SODIBAFScratch 2 000</v>
          </cell>
          <cell r="O860" t="str">
            <v>SODIBAF</v>
          </cell>
          <cell r="P860" t="str">
            <v>Scratch 2 000</v>
          </cell>
          <cell r="Q860" t="str">
            <v>42007</v>
          </cell>
          <cell r="R860" t="str">
            <v>42007Scratch 2 000</v>
          </cell>
          <cell r="S860" t="str">
            <v>2007Scratch 2 000</v>
          </cell>
          <cell r="T860" t="str">
            <v>42007SODIBAF</v>
          </cell>
          <cell r="U860" t="str">
            <v>42007SODIBAFScratch 2 000</v>
          </cell>
          <cell r="V860" t="str">
            <v>39177Scratch 2 000</v>
          </cell>
          <cell r="W860" t="str">
            <v>2007SODIBAF</v>
          </cell>
          <cell r="X860" t="str">
            <v>2007SODIBAFScratch 2 000</v>
          </cell>
        </row>
        <row r="861">
          <cell r="I861">
            <v>2007</v>
          </cell>
          <cell r="J861" t="str">
            <v>STS GAMBY &amp; FRERES (SOGAF) SarlScratch 1 000</v>
          </cell>
          <cell r="L861">
            <v>1</v>
          </cell>
          <cell r="M861" t="str">
            <v>1STS GAMBY &amp; FRERES (SOGAF) Sarl</v>
          </cell>
          <cell r="N861" t="str">
            <v>STS GAMBY &amp; FRERES (SOGAF) SarlScratch 1 000</v>
          </cell>
          <cell r="O861" t="str">
            <v>STS GAMBY &amp; FRERES (SOGAF) Sarl</v>
          </cell>
          <cell r="P861" t="str">
            <v>Scratch 1 000</v>
          </cell>
          <cell r="Q861" t="str">
            <v>42007</v>
          </cell>
          <cell r="R861" t="str">
            <v>42007Scratch 1 000</v>
          </cell>
          <cell r="S861" t="str">
            <v>2007Scratch 1 000</v>
          </cell>
          <cell r="T861" t="str">
            <v>42007STS GAMBY &amp; FRERES (SOGAF) Sarl</v>
          </cell>
          <cell r="U861" t="str">
            <v>42007STS GAMBY &amp; FRERES (SOGAF) SarlScratch 1 000</v>
          </cell>
          <cell r="V861" t="str">
            <v>39179Scratch 1 000</v>
          </cell>
          <cell r="W861" t="str">
            <v>2007STS GAMBY &amp; FRERES (SOGAF) Sarl</v>
          </cell>
          <cell r="X861" t="str">
            <v>2007STS GAMBY &amp; FRERES (SOGAF) SarlScratch 1 000</v>
          </cell>
        </row>
        <row r="862">
          <cell r="I862">
            <v>2007</v>
          </cell>
          <cell r="J862" t="str">
            <v>STS GAMBY &amp; FRERES (SOGAF) SarlScratch 2 000</v>
          </cell>
          <cell r="L862">
            <v>0</v>
          </cell>
          <cell r="M862" t="str">
            <v>STS GAMBY &amp; FRERES (SOGAF) Sarl</v>
          </cell>
          <cell r="N862" t="str">
            <v>STS GAMBY &amp; FRERES (SOGAF) SarlScratch 2 000</v>
          </cell>
          <cell r="O862" t="str">
            <v>STS GAMBY &amp; FRERES (SOGAF) Sarl</v>
          </cell>
          <cell r="P862" t="str">
            <v>Scratch 2 000</v>
          </cell>
          <cell r="Q862" t="str">
            <v>42007</v>
          </cell>
          <cell r="R862" t="str">
            <v>42007Scratch 2 000</v>
          </cell>
          <cell r="S862" t="str">
            <v>2007Scratch 2 000</v>
          </cell>
          <cell r="T862" t="str">
            <v>42007STS GAMBY &amp; FRERES (SOGAF) Sarl</v>
          </cell>
          <cell r="U862" t="str">
            <v>42007STS GAMBY &amp; FRERES (SOGAF) SarlScratch 2 000</v>
          </cell>
          <cell r="V862" t="str">
            <v>39179Scratch 2 000</v>
          </cell>
          <cell r="W862" t="str">
            <v>2007STS GAMBY &amp; FRERES (SOGAF) Sarl</v>
          </cell>
          <cell r="X862" t="str">
            <v>2007STS GAMBY &amp; FRERES (SOGAF) SarlScratch 2 000</v>
          </cell>
        </row>
        <row r="863">
          <cell r="I863">
            <v>2007</v>
          </cell>
          <cell r="J863" t="str">
            <v>STS GAMBY &amp; FRERES (SOGAF) SarlScratch 5 000</v>
          </cell>
          <cell r="L863">
            <v>0</v>
          </cell>
          <cell r="M863" t="str">
            <v>STS GAMBY &amp; FRERES (SOGAF) Sarl</v>
          </cell>
          <cell r="N863" t="str">
            <v>STS GAMBY &amp; FRERES (SOGAF) SarlScratch 5 000</v>
          </cell>
          <cell r="O863" t="str">
            <v>STS GAMBY &amp; FRERES (SOGAF) Sarl</v>
          </cell>
          <cell r="P863" t="str">
            <v>Scratch 5 000</v>
          </cell>
          <cell r="Q863" t="str">
            <v>42007</v>
          </cell>
          <cell r="R863" t="str">
            <v>42007Scratch 5 000</v>
          </cell>
          <cell r="S863" t="str">
            <v>2007Scratch 5 000</v>
          </cell>
          <cell r="T863" t="str">
            <v>42007STS GAMBY &amp; FRERES (SOGAF) Sarl</v>
          </cell>
          <cell r="U863" t="str">
            <v>42007STS GAMBY &amp; FRERES (SOGAF) SarlScratch 5 000</v>
          </cell>
          <cell r="V863" t="str">
            <v>39179Scratch 5 000</v>
          </cell>
          <cell r="W863" t="str">
            <v>2007STS GAMBY &amp; FRERES (SOGAF) Sarl</v>
          </cell>
          <cell r="X863" t="str">
            <v>2007STS GAMBY &amp; FRERES (SOGAF) SarlScratch 5 000</v>
          </cell>
        </row>
        <row r="864">
          <cell r="I864">
            <v>2007</v>
          </cell>
          <cell r="J864" t="str">
            <v>MALI COM SarlScratch 1 000</v>
          </cell>
          <cell r="L864">
            <v>1</v>
          </cell>
          <cell r="M864" t="str">
            <v>1MALI COM Sarl</v>
          </cell>
          <cell r="N864" t="str">
            <v>MALI COM SarlScratch 1 000</v>
          </cell>
          <cell r="O864" t="str">
            <v>MALI COM Sarl</v>
          </cell>
          <cell r="P864" t="str">
            <v>Scratch 1 000</v>
          </cell>
          <cell r="Q864" t="str">
            <v>42007</v>
          </cell>
          <cell r="R864" t="str">
            <v>42007Scratch 1 000</v>
          </cell>
          <cell r="S864" t="str">
            <v>2007Scratch 1 000</v>
          </cell>
          <cell r="T864" t="str">
            <v>42007MALI COM Sarl</v>
          </cell>
          <cell r="U864" t="str">
            <v>42007MALI COM SarlScratch 1 000</v>
          </cell>
          <cell r="V864" t="str">
            <v>39182Scratch 1 000</v>
          </cell>
          <cell r="W864" t="str">
            <v>2007MALI COM Sarl</v>
          </cell>
          <cell r="X864" t="str">
            <v>2007MALI COM SarlScratch 1 000</v>
          </cell>
        </row>
        <row r="865">
          <cell r="I865">
            <v>2007</v>
          </cell>
          <cell r="J865" t="str">
            <v>MALI COM SarlScratch 2 000</v>
          </cell>
          <cell r="L865">
            <v>0</v>
          </cell>
          <cell r="M865" t="str">
            <v>MALI COM Sarl</v>
          </cell>
          <cell r="N865" t="str">
            <v>MALI COM SarlScratch 2 000</v>
          </cell>
          <cell r="O865" t="str">
            <v>MALI COM Sarl</v>
          </cell>
          <cell r="P865" t="str">
            <v>Scratch 2 000</v>
          </cell>
          <cell r="Q865" t="str">
            <v>42007</v>
          </cell>
          <cell r="R865" t="str">
            <v>42007Scratch 2 000</v>
          </cell>
          <cell r="S865" t="str">
            <v>2007Scratch 2 000</v>
          </cell>
          <cell r="T865" t="str">
            <v>42007MALI COM Sarl</v>
          </cell>
          <cell r="U865" t="str">
            <v>42007MALI COM SarlScratch 2 000</v>
          </cell>
          <cell r="V865" t="str">
            <v>39182Scratch 2 000</v>
          </cell>
          <cell r="W865" t="str">
            <v>2007MALI COM Sarl</v>
          </cell>
          <cell r="X865" t="str">
            <v>2007MALI COM SarlScratch 2 000</v>
          </cell>
        </row>
        <row r="866">
          <cell r="I866">
            <v>2007</v>
          </cell>
          <cell r="J866" t="str">
            <v>MALI COM SarlScratch 5 000</v>
          </cell>
          <cell r="L866">
            <v>0</v>
          </cell>
          <cell r="M866" t="str">
            <v>MALI COM Sarl</v>
          </cell>
          <cell r="N866" t="str">
            <v>MALI COM SarlScratch 5 000</v>
          </cell>
          <cell r="O866" t="str">
            <v>MALI COM Sarl</v>
          </cell>
          <cell r="P866" t="str">
            <v>Scratch 5 000</v>
          </cell>
          <cell r="Q866" t="str">
            <v>42007</v>
          </cell>
          <cell r="R866" t="str">
            <v>42007Scratch 5 000</v>
          </cell>
          <cell r="S866" t="str">
            <v>2007Scratch 5 000</v>
          </cell>
          <cell r="T866" t="str">
            <v>42007MALI COM Sarl</v>
          </cell>
          <cell r="U866" t="str">
            <v>42007MALI COM SarlScratch 5 000</v>
          </cell>
          <cell r="V866" t="str">
            <v>39182Scratch 5 000</v>
          </cell>
          <cell r="W866" t="str">
            <v>2007MALI COM Sarl</v>
          </cell>
          <cell r="X866" t="str">
            <v>2007MALI COM SarlScratch 5 000</v>
          </cell>
        </row>
        <row r="867">
          <cell r="I867">
            <v>2007</v>
          </cell>
          <cell r="J867" t="str">
            <v>MALI COM SarlScratch 10 000</v>
          </cell>
          <cell r="L867">
            <v>0</v>
          </cell>
          <cell r="M867" t="str">
            <v>MALI COM Sarl</v>
          </cell>
          <cell r="N867" t="str">
            <v>MALI COM SarlScratch 10 000</v>
          </cell>
          <cell r="O867" t="str">
            <v>MALI COM Sarl</v>
          </cell>
          <cell r="P867" t="str">
            <v>Scratch 10 000</v>
          </cell>
          <cell r="Q867" t="str">
            <v>42007</v>
          </cell>
          <cell r="R867" t="str">
            <v>42007Scratch 10 000</v>
          </cell>
          <cell r="S867" t="str">
            <v>2007Scratch 10 000</v>
          </cell>
          <cell r="T867" t="str">
            <v>42007MALI COM Sarl</v>
          </cell>
          <cell r="U867" t="str">
            <v>42007MALI COM SarlScratch 10 000</v>
          </cell>
          <cell r="V867" t="str">
            <v>39182Scratch 10 000</v>
          </cell>
          <cell r="W867" t="str">
            <v>2007MALI COM Sarl</v>
          </cell>
          <cell r="X867" t="str">
            <v>2007MALI COM SarlScratch 10 000</v>
          </cell>
        </row>
        <row r="868">
          <cell r="I868">
            <v>2007</v>
          </cell>
          <cell r="J868" t="str">
            <v>MALI COM SarlScratch 20 000</v>
          </cell>
          <cell r="L868">
            <v>0</v>
          </cell>
          <cell r="M868" t="str">
            <v>MALI COM Sarl</v>
          </cell>
          <cell r="N868" t="str">
            <v>MALI COM SarlScratch 20 000</v>
          </cell>
          <cell r="O868" t="str">
            <v>MALI COM Sarl</v>
          </cell>
          <cell r="P868" t="str">
            <v>Scratch 20 000</v>
          </cell>
          <cell r="Q868" t="str">
            <v>42007</v>
          </cell>
          <cell r="R868" t="str">
            <v>42007Scratch 20 000</v>
          </cell>
          <cell r="S868" t="str">
            <v>2007Scratch 20 000</v>
          </cell>
          <cell r="T868" t="str">
            <v>42007MALI COM Sarl</v>
          </cell>
          <cell r="U868" t="str">
            <v>42007MALI COM SarlScratch 20 000</v>
          </cell>
          <cell r="V868" t="str">
            <v>39182Scratch 20 000</v>
          </cell>
          <cell r="W868" t="str">
            <v>2007MALI COM Sarl</v>
          </cell>
          <cell r="X868" t="str">
            <v>2007MALI COM SarlScratch 20 000</v>
          </cell>
        </row>
        <row r="869">
          <cell r="I869">
            <v>2007</v>
          </cell>
          <cell r="J869" t="str">
            <v>GEMATELScratch 1 000</v>
          </cell>
          <cell r="L869">
            <v>1</v>
          </cell>
          <cell r="M869" t="str">
            <v>1GEMATEL</v>
          </cell>
          <cell r="N869" t="str">
            <v>GEMATELScratch 1 000</v>
          </cell>
          <cell r="O869" t="str">
            <v>GEMATEL</v>
          </cell>
          <cell r="P869" t="str">
            <v>Scratch 1 000</v>
          </cell>
          <cell r="Q869" t="str">
            <v>42007</v>
          </cell>
          <cell r="R869" t="str">
            <v>42007Scratch 1 000</v>
          </cell>
          <cell r="S869" t="str">
            <v>2007Scratch 1 000</v>
          </cell>
          <cell r="T869" t="str">
            <v>42007GEMATEL</v>
          </cell>
          <cell r="U869" t="str">
            <v>42007GEMATELScratch 1 000</v>
          </cell>
          <cell r="V869" t="str">
            <v>39182Scratch 1 000</v>
          </cell>
          <cell r="W869" t="str">
            <v>2007GEMATEL</v>
          </cell>
          <cell r="X869" t="str">
            <v>2007GEMATELScratch 1 000</v>
          </cell>
        </row>
        <row r="870">
          <cell r="I870">
            <v>2007</v>
          </cell>
          <cell r="J870" t="str">
            <v>GEMATELScratch 2 000</v>
          </cell>
          <cell r="L870">
            <v>0</v>
          </cell>
          <cell r="M870" t="str">
            <v>GEMATEL</v>
          </cell>
          <cell r="N870" t="str">
            <v>GEMATELScratch 2 000</v>
          </cell>
          <cell r="O870" t="str">
            <v>GEMATEL</v>
          </cell>
          <cell r="P870" t="str">
            <v>Scratch 2 000</v>
          </cell>
          <cell r="Q870" t="str">
            <v>42007</v>
          </cell>
          <cell r="R870" t="str">
            <v>42007Scratch 2 000</v>
          </cell>
          <cell r="S870" t="str">
            <v>2007Scratch 2 000</v>
          </cell>
          <cell r="T870" t="str">
            <v>42007GEMATEL</v>
          </cell>
          <cell r="U870" t="str">
            <v>42007GEMATELScratch 2 000</v>
          </cell>
          <cell r="V870" t="str">
            <v>39182Scratch 2 000</v>
          </cell>
          <cell r="W870" t="str">
            <v>2007GEMATEL</v>
          </cell>
          <cell r="X870" t="str">
            <v>2007GEMATELScratch 2 000</v>
          </cell>
        </row>
        <row r="871">
          <cell r="I871">
            <v>2007</v>
          </cell>
          <cell r="J871" t="str">
            <v>GEMATELScratch 5 000</v>
          </cell>
          <cell r="L871">
            <v>0</v>
          </cell>
          <cell r="M871" t="str">
            <v>GEMATEL</v>
          </cell>
          <cell r="N871" t="str">
            <v>GEMATELScratch 5 000</v>
          </cell>
          <cell r="O871" t="str">
            <v>GEMATEL</v>
          </cell>
          <cell r="P871" t="str">
            <v>Scratch 5 000</v>
          </cell>
          <cell r="Q871" t="str">
            <v>42007</v>
          </cell>
          <cell r="R871" t="str">
            <v>42007Scratch 5 000</v>
          </cell>
          <cell r="S871" t="str">
            <v>2007Scratch 5 000</v>
          </cell>
          <cell r="T871" t="str">
            <v>42007GEMATEL</v>
          </cell>
          <cell r="U871" t="str">
            <v>42007GEMATELScratch 5 000</v>
          </cell>
          <cell r="V871" t="str">
            <v>39182Scratch 5 000</v>
          </cell>
          <cell r="W871" t="str">
            <v>2007GEMATEL</v>
          </cell>
          <cell r="X871" t="str">
            <v>2007GEMATELScratch 5 000</v>
          </cell>
        </row>
        <row r="872">
          <cell r="I872">
            <v>2007</v>
          </cell>
          <cell r="J872" t="str">
            <v>ANKA ServicesScratch 1 000</v>
          </cell>
          <cell r="L872">
            <v>1</v>
          </cell>
          <cell r="M872" t="str">
            <v>1ANKA Services</v>
          </cell>
          <cell r="N872" t="str">
            <v>ANKA ServicesScratch 1 000</v>
          </cell>
          <cell r="O872" t="str">
            <v>ANKA Services</v>
          </cell>
          <cell r="P872" t="str">
            <v>Scratch 1 000</v>
          </cell>
          <cell r="Q872" t="str">
            <v>42007</v>
          </cell>
          <cell r="R872" t="str">
            <v>42007Scratch 1 000</v>
          </cell>
          <cell r="S872" t="str">
            <v>2007Scratch 1 000</v>
          </cell>
          <cell r="T872" t="str">
            <v>42007ANKA Services</v>
          </cell>
          <cell r="U872" t="str">
            <v>42007ANKA ServicesScratch 1 000</v>
          </cell>
          <cell r="V872" t="str">
            <v>39182Scratch 1 000</v>
          </cell>
          <cell r="W872" t="str">
            <v>2007ANKA Services</v>
          </cell>
          <cell r="X872" t="str">
            <v>2007ANKA ServicesScratch 1 000</v>
          </cell>
        </row>
        <row r="873">
          <cell r="I873">
            <v>2007</v>
          </cell>
          <cell r="J873" t="str">
            <v>ANKA ServicesScratch 2 000</v>
          </cell>
          <cell r="L873">
            <v>0</v>
          </cell>
          <cell r="M873" t="str">
            <v>ANKA Services</v>
          </cell>
          <cell r="N873" t="str">
            <v>ANKA ServicesScratch 2 000</v>
          </cell>
          <cell r="O873" t="str">
            <v>ANKA Services</v>
          </cell>
          <cell r="P873" t="str">
            <v>Scratch 2 000</v>
          </cell>
          <cell r="Q873" t="str">
            <v>42007</v>
          </cell>
          <cell r="R873" t="str">
            <v>42007Scratch 2 000</v>
          </cell>
          <cell r="S873" t="str">
            <v>2007Scratch 2 000</v>
          </cell>
          <cell r="T873" t="str">
            <v>42007ANKA Services</v>
          </cell>
          <cell r="U873" t="str">
            <v>42007ANKA ServicesScratch 2 000</v>
          </cell>
          <cell r="V873" t="str">
            <v>39182Scratch 2 000</v>
          </cell>
          <cell r="W873" t="str">
            <v>2007ANKA Services</v>
          </cell>
          <cell r="X873" t="str">
            <v>2007ANKA ServicesScratch 2 000</v>
          </cell>
        </row>
        <row r="874">
          <cell r="I874">
            <v>2007</v>
          </cell>
          <cell r="J874" t="str">
            <v>ANKA ServicesScratch 5 000</v>
          </cell>
          <cell r="L874">
            <v>0</v>
          </cell>
          <cell r="M874" t="str">
            <v>ANKA Services</v>
          </cell>
          <cell r="N874" t="str">
            <v>ANKA ServicesScratch 5 000</v>
          </cell>
          <cell r="O874" t="str">
            <v>ANKA Services</v>
          </cell>
          <cell r="P874" t="str">
            <v>Scratch 5 000</v>
          </cell>
          <cell r="Q874" t="str">
            <v>42007</v>
          </cell>
          <cell r="R874" t="str">
            <v>42007Scratch 5 000</v>
          </cell>
          <cell r="S874" t="str">
            <v>2007Scratch 5 000</v>
          </cell>
          <cell r="T874" t="str">
            <v>42007ANKA Services</v>
          </cell>
          <cell r="U874" t="str">
            <v>42007ANKA ServicesScratch 5 000</v>
          </cell>
          <cell r="V874" t="str">
            <v>39182Scratch 5 000</v>
          </cell>
          <cell r="W874" t="str">
            <v>2007ANKA Services</v>
          </cell>
          <cell r="X874" t="str">
            <v>2007ANKA ServicesScratch 5 000</v>
          </cell>
        </row>
        <row r="875">
          <cell r="I875">
            <v>2007</v>
          </cell>
          <cell r="J875" t="str">
            <v>Compagnie Internationale de NegoceScratch 1 000</v>
          </cell>
          <cell r="L875">
            <v>1</v>
          </cell>
          <cell r="M875" t="str">
            <v>1Compagnie Internationale de Negoce</v>
          </cell>
          <cell r="N875" t="str">
            <v>Compagnie Internationale de NegoceScratch 1 000</v>
          </cell>
          <cell r="O875" t="str">
            <v>Compagnie Internationale de Negoce</v>
          </cell>
          <cell r="P875" t="str">
            <v>Scratch 1 000</v>
          </cell>
          <cell r="Q875" t="str">
            <v>42007</v>
          </cell>
          <cell r="R875" t="str">
            <v>42007Scratch 1 000</v>
          </cell>
          <cell r="S875" t="str">
            <v>2007Scratch 1 000</v>
          </cell>
          <cell r="T875" t="str">
            <v>42007Compagnie Internationale de Negoce</v>
          </cell>
          <cell r="U875" t="str">
            <v>42007Compagnie Internationale de NegoceScratch 1 000</v>
          </cell>
          <cell r="V875" t="str">
            <v>39182Scratch 1 000</v>
          </cell>
          <cell r="W875" t="str">
            <v>2007Compagnie Internationale de Negoce</v>
          </cell>
          <cell r="X875" t="str">
            <v>2007Compagnie Internationale de NegoceScratch 1 000</v>
          </cell>
        </row>
        <row r="876">
          <cell r="I876">
            <v>2007</v>
          </cell>
          <cell r="J876" t="str">
            <v>Compagnie Internationale de NegoceScratch 2 000</v>
          </cell>
          <cell r="L876">
            <v>0</v>
          </cell>
          <cell r="M876" t="str">
            <v>Compagnie Internationale de Negoce</v>
          </cell>
          <cell r="N876" t="str">
            <v>Compagnie Internationale de NegoceScratch 2 000</v>
          </cell>
          <cell r="O876" t="str">
            <v>Compagnie Internationale de Negoce</v>
          </cell>
          <cell r="P876" t="str">
            <v>Scratch 2 000</v>
          </cell>
          <cell r="Q876" t="str">
            <v>42007</v>
          </cell>
          <cell r="R876" t="str">
            <v>42007Scratch 2 000</v>
          </cell>
          <cell r="S876" t="str">
            <v>2007Scratch 2 000</v>
          </cell>
          <cell r="T876" t="str">
            <v>42007Compagnie Internationale de Negoce</v>
          </cell>
          <cell r="U876" t="str">
            <v>42007Compagnie Internationale de NegoceScratch 2 000</v>
          </cell>
          <cell r="V876" t="str">
            <v>39182Scratch 2 000</v>
          </cell>
          <cell r="W876" t="str">
            <v>2007Compagnie Internationale de Negoce</v>
          </cell>
          <cell r="X876" t="str">
            <v>2007Compagnie Internationale de NegoceScratch 2 000</v>
          </cell>
        </row>
        <row r="877">
          <cell r="I877">
            <v>2007</v>
          </cell>
          <cell r="J877" t="str">
            <v>Compagnie Internationale de NegoceScratch 5 000</v>
          </cell>
          <cell r="L877">
            <v>0</v>
          </cell>
          <cell r="M877" t="str">
            <v>Compagnie Internationale de Negoce</v>
          </cell>
          <cell r="N877" t="str">
            <v>Compagnie Internationale de NegoceScratch 5 000</v>
          </cell>
          <cell r="O877" t="str">
            <v>Compagnie Internationale de Negoce</v>
          </cell>
          <cell r="P877" t="str">
            <v>Scratch 5 000</v>
          </cell>
          <cell r="Q877" t="str">
            <v>42007</v>
          </cell>
          <cell r="R877" t="str">
            <v>42007Scratch 5 000</v>
          </cell>
          <cell r="S877" t="str">
            <v>2007Scratch 5 000</v>
          </cell>
          <cell r="T877" t="str">
            <v>42007Compagnie Internationale de Negoce</v>
          </cell>
          <cell r="U877" t="str">
            <v>42007Compagnie Internationale de NegoceScratch 5 000</v>
          </cell>
          <cell r="V877" t="str">
            <v>39182Scratch 5 000</v>
          </cell>
          <cell r="W877" t="str">
            <v>2007Compagnie Internationale de Negoce</v>
          </cell>
          <cell r="X877" t="str">
            <v>2007Compagnie Internationale de NegoceScratch 5 000</v>
          </cell>
        </row>
        <row r="878">
          <cell r="I878">
            <v>2007</v>
          </cell>
          <cell r="J878" t="str">
            <v>Compagnie Internationale de NegoceScratch 10 000</v>
          </cell>
          <cell r="L878">
            <v>0</v>
          </cell>
          <cell r="M878" t="str">
            <v>Compagnie Internationale de Negoce</v>
          </cell>
          <cell r="N878" t="str">
            <v>Compagnie Internationale de NegoceScratch 10 000</v>
          </cell>
          <cell r="O878" t="str">
            <v>Compagnie Internationale de Negoce</v>
          </cell>
          <cell r="P878" t="str">
            <v>Scratch 10 000</v>
          </cell>
          <cell r="Q878" t="str">
            <v>42007</v>
          </cell>
          <cell r="R878" t="str">
            <v>42007Scratch 10 000</v>
          </cell>
          <cell r="S878" t="str">
            <v>2007Scratch 10 000</v>
          </cell>
          <cell r="T878" t="str">
            <v>42007Compagnie Internationale de Negoce</v>
          </cell>
          <cell r="U878" t="str">
            <v>42007Compagnie Internationale de NegoceScratch 10 000</v>
          </cell>
          <cell r="V878" t="str">
            <v>39182Scratch 10 000</v>
          </cell>
          <cell r="W878" t="str">
            <v>2007Compagnie Internationale de Negoce</v>
          </cell>
          <cell r="X878" t="str">
            <v>2007Compagnie Internationale de NegoceScratch 10 000</v>
          </cell>
        </row>
        <row r="879">
          <cell r="I879">
            <v>2007</v>
          </cell>
          <cell r="J879" t="str">
            <v>Compagnie Internationale de NegoceScratch 20 000</v>
          </cell>
          <cell r="L879">
            <v>0</v>
          </cell>
          <cell r="M879" t="str">
            <v>Compagnie Internationale de Negoce</v>
          </cell>
          <cell r="N879" t="str">
            <v>Compagnie Internationale de NegoceScratch 20 000</v>
          </cell>
          <cell r="O879" t="str">
            <v>Compagnie Internationale de Negoce</v>
          </cell>
          <cell r="P879" t="str">
            <v>Scratch 20 000</v>
          </cell>
          <cell r="Q879" t="str">
            <v>42007</v>
          </cell>
          <cell r="R879" t="str">
            <v>42007Scratch 20 000</v>
          </cell>
          <cell r="S879" t="str">
            <v>2007Scratch 20 000</v>
          </cell>
          <cell r="T879" t="str">
            <v>42007Compagnie Internationale de Negoce</v>
          </cell>
          <cell r="U879" t="str">
            <v>42007Compagnie Internationale de NegoceScratch 20 000</v>
          </cell>
          <cell r="V879" t="str">
            <v>39182Scratch 20 000</v>
          </cell>
          <cell r="W879" t="str">
            <v>2007Compagnie Internationale de Negoce</v>
          </cell>
          <cell r="X879" t="str">
            <v>2007Compagnie Internationale de NegoceScratch 20 000</v>
          </cell>
        </row>
        <row r="880">
          <cell r="I880">
            <v>2007</v>
          </cell>
          <cell r="J880" t="str">
            <v>STS GAMBY &amp; FRERES (SOGAF) SarlScratch 1 000</v>
          </cell>
          <cell r="L880">
            <v>1</v>
          </cell>
          <cell r="M880" t="str">
            <v>1STS GAMBY &amp; FRERES (SOGAF) Sarl</v>
          </cell>
          <cell r="N880" t="str">
            <v>STS GAMBY &amp; FRERES (SOGAF) SarlScratch 1 000</v>
          </cell>
          <cell r="O880" t="str">
            <v>STS GAMBY &amp; FRERES (SOGAF) Sarl</v>
          </cell>
          <cell r="P880" t="str">
            <v>Scratch 1 000</v>
          </cell>
          <cell r="Q880" t="str">
            <v>42007</v>
          </cell>
          <cell r="R880" t="str">
            <v>42007Scratch 1 000</v>
          </cell>
          <cell r="S880" t="str">
            <v>2007Scratch 1 000</v>
          </cell>
          <cell r="T880" t="str">
            <v>42007STS GAMBY &amp; FRERES (SOGAF) Sarl</v>
          </cell>
          <cell r="U880" t="str">
            <v>42007STS GAMBY &amp; FRERES (SOGAF) SarlScratch 1 000</v>
          </cell>
          <cell r="V880" t="str">
            <v>39183Scratch 1 000</v>
          </cell>
          <cell r="W880" t="str">
            <v>2007STS GAMBY &amp; FRERES (SOGAF) Sarl</v>
          </cell>
          <cell r="X880" t="str">
            <v>2007STS GAMBY &amp; FRERES (SOGAF) SarlScratch 1 000</v>
          </cell>
        </row>
        <row r="881">
          <cell r="I881">
            <v>2007</v>
          </cell>
          <cell r="J881" t="str">
            <v>STS GAMBY &amp; FRERES (SOGAF) SarlScratch 2 000</v>
          </cell>
          <cell r="L881">
            <v>0</v>
          </cell>
          <cell r="M881" t="str">
            <v>STS GAMBY &amp; FRERES (SOGAF) Sarl</v>
          </cell>
          <cell r="N881" t="str">
            <v>STS GAMBY &amp; FRERES (SOGAF) SarlScratch 2 000</v>
          </cell>
          <cell r="O881" t="str">
            <v>STS GAMBY &amp; FRERES (SOGAF) Sarl</v>
          </cell>
          <cell r="P881" t="str">
            <v>Scratch 2 000</v>
          </cell>
          <cell r="Q881" t="str">
            <v>42007</v>
          </cell>
          <cell r="R881" t="str">
            <v>42007Scratch 2 000</v>
          </cell>
          <cell r="S881" t="str">
            <v>2007Scratch 2 000</v>
          </cell>
          <cell r="T881" t="str">
            <v>42007STS GAMBY &amp; FRERES (SOGAF) Sarl</v>
          </cell>
          <cell r="U881" t="str">
            <v>42007STS GAMBY &amp; FRERES (SOGAF) SarlScratch 2 000</v>
          </cell>
          <cell r="V881" t="str">
            <v>39183Scratch 2 000</v>
          </cell>
          <cell r="W881" t="str">
            <v>2007STS GAMBY &amp; FRERES (SOGAF) Sarl</v>
          </cell>
          <cell r="X881" t="str">
            <v>2007STS GAMBY &amp; FRERES (SOGAF) SarlScratch 2 000</v>
          </cell>
        </row>
        <row r="882">
          <cell r="I882">
            <v>2007</v>
          </cell>
          <cell r="J882" t="str">
            <v>STS GAMBY &amp; FRERES (SOGAF) SarlScratch 5 000</v>
          </cell>
          <cell r="L882">
            <v>0</v>
          </cell>
          <cell r="M882" t="str">
            <v>STS GAMBY &amp; FRERES (SOGAF) Sarl</v>
          </cell>
          <cell r="N882" t="str">
            <v>STS GAMBY &amp; FRERES (SOGAF) SarlScratch 5 000</v>
          </cell>
          <cell r="O882" t="str">
            <v>STS GAMBY &amp; FRERES (SOGAF) Sarl</v>
          </cell>
          <cell r="P882" t="str">
            <v>Scratch 5 000</v>
          </cell>
          <cell r="Q882" t="str">
            <v>42007</v>
          </cell>
          <cell r="R882" t="str">
            <v>42007Scratch 5 000</v>
          </cell>
          <cell r="S882" t="str">
            <v>2007Scratch 5 000</v>
          </cell>
          <cell r="T882" t="str">
            <v>42007STS GAMBY &amp; FRERES (SOGAF) Sarl</v>
          </cell>
          <cell r="U882" t="str">
            <v>42007STS GAMBY &amp; FRERES (SOGAF) SarlScratch 5 000</v>
          </cell>
          <cell r="V882" t="str">
            <v>39183Scratch 5 000</v>
          </cell>
          <cell r="W882" t="str">
            <v>2007STS GAMBY &amp; FRERES (SOGAF) Sarl</v>
          </cell>
          <cell r="X882" t="str">
            <v>2007STS GAMBY &amp; FRERES (SOGAF) SarlScratch 5 000</v>
          </cell>
        </row>
        <row r="883">
          <cell r="I883">
            <v>2007</v>
          </cell>
          <cell r="J883" t="str">
            <v>STS GAMBY &amp; FRERES (SOGAF) SarlScratch 20 000</v>
          </cell>
          <cell r="L883">
            <v>0</v>
          </cell>
          <cell r="M883" t="str">
            <v>STS GAMBY &amp; FRERES (SOGAF) Sarl</v>
          </cell>
          <cell r="N883" t="str">
            <v>STS GAMBY &amp; FRERES (SOGAF) SarlScratch 20 000</v>
          </cell>
          <cell r="O883" t="str">
            <v>STS GAMBY &amp; FRERES (SOGAF) Sarl</v>
          </cell>
          <cell r="P883" t="str">
            <v>Scratch 20 000</v>
          </cell>
          <cell r="Q883" t="str">
            <v>42007</v>
          </cell>
          <cell r="R883" t="str">
            <v>42007Scratch 20 000</v>
          </cell>
          <cell r="S883" t="str">
            <v>2007Scratch 20 000</v>
          </cell>
          <cell r="T883" t="str">
            <v>42007STS GAMBY &amp; FRERES (SOGAF) Sarl</v>
          </cell>
          <cell r="U883" t="str">
            <v>42007STS GAMBY &amp; FRERES (SOGAF) SarlScratch 20 000</v>
          </cell>
          <cell r="V883" t="str">
            <v>39183Scratch 20 000</v>
          </cell>
          <cell r="W883" t="str">
            <v>2007STS GAMBY &amp; FRERES (SOGAF) Sarl</v>
          </cell>
          <cell r="X883" t="str">
            <v>2007STS GAMBY &amp; FRERES (SOGAF) SarlScratch 20 000</v>
          </cell>
        </row>
        <row r="884">
          <cell r="I884">
            <v>2007</v>
          </cell>
          <cell r="J884" t="str">
            <v>GEMATELScratch 1 000</v>
          </cell>
          <cell r="L884">
            <v>1</v>
          </cell>
          <cell r="M884" t="str">
            <v>1GEMATEL</v>
          </cell>
          <cell r="N884" t="str">
            <v>GEMATELScratch 1 000</v>
          </cell>
          <cell r="O884" t="str">
            <v>GEMATEL</v>
          </cell>
          <cell r="P884" t="str">
            <v>Scratch 1 000</v>
          </cell>
          <cell r="Q884" t="str">
            <v>42007</v>
          </cell>
          <cell r="R884" t="str">
            <v>42007Scratch 1 000</v>
          </cell>
          <cell r="S884" t="str">
            <v>2007Scratch 1 000</v>
          </cell>
          <cell r="T884" t="str">
            <v>42007GEMATEL</v>
          </cell>
          <cell r="U884" t="str">
            <v>42007GEMATELScratch 1 000</v>
          </cell>
          <cell r="V884" t="str">
            <v>39183Scratch 1 000</v>
          </cell>
          <cell r="W884" t="str">
            <v>2007GEMATEL</v>
          </cell>
          <cell r="X884" t="str">
            <v>2007GEMATELScratch 1 000</v>
          </cell>
        </row>
        <row r="885">
          <cell r="I885">
            <v>2007</v>
          </cell>
          <cell r="J885" t="str">
            <v>GEMATELScratch 2 000</v>
          </cell>
          <cell r="L885">
            <v>0</v>
          </cell>
          <cell r="M885" t="str">
            <v>GEMATEL</v>
          </cell>
          <cell r="N885" t="str">
            <v>GEMATELScratch 2 000</v>
          </cell>
          <cell r="O885" t="str">
            <v>GEMATEL</v>
          </cell>
          <cell r="P885" t="str">
            <v>Scratch 2 000</v>
          </cell>
          <cell r="Q885" t="str">
            <v>42007</v>
          </cell>
          <cell r="R885" t="str">
            <v>42007Scratch 2 000</v>
          </cell>
          <cell r="S885" t="str">
            <v>2007Scratch 2 000</v>
          </cell>
          <cell r="T885" t="str">
            <v>42007GEMATEL</v>
          </cell>
          <cell r="U885" t="str">
            <v>42007GEMATELScratch 2 000</v>
          </cell>
          <cell r="V885" t="str">
            <v>39183Scratch 2 000</v>
          </cell>
          <cell r="W885" t="str">
            <v>2007GEMATEL</v>
          </cell>
          <cell r="X885" t="str">
            <v>2007GEMATELScratch 2 000</v>
          </cell>
        </row>
        <row r="886">
          <cell r="I886">
            <v>2007</v>
          </cell>
          <cell r="J886" t="str">
            <v>GEMATELScratch 5 000</v>
          </cell>
          <cell r="L886">
            <v>0</v>
          </cell>
          <cell r="M886" t="str">
            <v>GEMATEL</v>
          </cell>
          <cell r="N886" t="str">
            <v>GEMATELScratch 5 000</v>
          </cell>
          <cell r="O886" t="str">
            <v>GEMATEL</v>
          </cell>
          <cell r="P886" t="str">
            <v>Scratch 5 000</v>
          </cell>
          <cell r="Q886" t="str">
            <v>42007</v>
          </cell>
          <cell r="R886" t="str">
            <v>42007Scratch 5 000</v>
          </cell>
          <cell r="S886" t="str">
            <v>2007Scratch 5 000</v>
          </cell>
          <cell r="T886" t="str">
            <v>42007GEMATEL</v>
          </cell>
          <cell r="U886" t="str">
            <v>42007GEMATELScratch 5 000</v>
          </cell>
          <cell r="V886" t="str">
            <v>39183Scratch 5 000</v>
          </cell>
          <cell r="W886" t="str">
            <v>2007GEMATEL</v>
          </cell>
          <cell r="X886" t="str">
            <v>2007GEMATELScratch 5 000</v>
          </cell>
        </row>
        <row r="887">
          <cell r="I887">
            <v>2007</v>
          </cell>
          <cell r="J887" t="str">
            <v>GEMATELScratch 20 000</v>
          </cell>
          <cell r="L887">
            <v>0</v>
          </cell>
          <cell r="M887" t="str">
            <v>GEMATEL</v>
          </cell>
          <cell r="N887" t="str">
            <v>GEMATELScratch 20 000</v>
          </cell>
          <cell r="O887" t="str">
            <v>GEMATEL</v>
          </cell>
          <cell r="P887" t="str">
            <v>Scratch 20 000</v>
          </cell>
          <cell r="Q887" t="str">
            <v>42007</v>
          </cell>
          <cell r="R887" t="str">
            <v>42007Scratch 20 000</v>
          </cell>
          <cell r="S887" t="str">
            <v>2007Scratch 20 000</v>
          </cell>
          <cell r="T887" t="str">
            <v>42007GEMATEL</v>
          </cell>
          <cell r="U887" t="str">
            <v>42007GEMATELScratch 20 000</v>
          </cell>
          <cell r="V887" t="str">
            <v>39183Scratch 20 000</v>
          </cell>
          <cell r="W887" t="str">
            <v>2007GEMATEL</v>
          </cell>
          <cell r="X887" t="str">
            <v>2007GEMATELScratch 20 000</v>
          </cell>
        </row>
        <row r="888">
          <cell r="I888">
            <v>2007</v>
          </cell>
          <cell r="J888" t="str">
            <v>Burtel MacsymScratch 1 000</v>
          </cell>
          <cell r="L888">
            <v>1</v>
          </cell>
          <cell r="M888" t="str">
            <v>1Burtel Macsym</v>
          </cell>
          <cell r="N888" t="str">
            <v>Burtel MacsymScratch 1 000</v>
          </cell>
          <cell r="O888" t="str">
            <v>Burtel Macsym</v>
          </cell>
          <cell r="P888" t="str">
            <v>Scratch 1 000</v>
          </cell>
          <cell r="Q888" t="str">
            <v>42007</v>
          </cell>
          <cell r="R888" t="str">
            <v>42007Scratch 1 000</v>
          </cell>
          <cell r="S888" t="str">
            <v>2007Scratch 1 000</v>
          </cell>
          <cell r="T888" t="str">
            <v>42007Burtel Macsym</v>
          </cell>
          <cell r="U888" t="str">
            <v>42007Burtel MacsymScratch 1 000</v>
          </cell>
          <cell r="V888" t="str">
            <v>39183Scratch 1 000</v>
          </cell>
          <cell r="W888" t="str">
            <v>2007Burtel Macsym</v>
          </cell>
          <cell r="X888" t="str">
            <v>2007Burtel MacsymScratch 1 000</v>
          </cell>
        </row>
        <row r="889">
          <cell r="I889">
            <v>2007</v>
          </cell>
          <cell r="J889" t="str">
            <v>Burtel MacsymScratch 2 000</v>
          </cell>
          <cell r="L889">
            <v>0</v>
          </cell>
          <cell r="M889" t="str">
            <v>Burtel Macsym</v>
          </cell>
          <cell r="N889" t="str">
            <v>Burtel MacsymScratch 2 000</v>
          </cell>
          <cell r="O889" t="str">
            <v>Burtel Macsym</v>
          </cell>
          <cell r="P889" t="str">
            <v>Scratch 2 000</v>
          </cell>
          <cell r="Q889" t="str">
            <v>42007</v>
          </cell>
          <cell r="R889" t="str">
            <v>42007Scratch 2 000</v>
          </cell>
          <cell r="S889" t="str">
            <v>2007Scratch 2 000</v>
          </cell>
          <cell r="T889" t="str">
            <v>42007Burtel Macsym</v>
          </cell>
          <cell r="U889" t="str">
            <v>42007Burtel MacsymScratch 2 000</v>
          </cell>
          <cell r="V889" t="str">
            <v>39183Scratch 2 000</v>
          </cell>
          <cell r="W889" t="str">
            <v>2007Burtel Macsym</v>
          </cell>
          <cell r="X889" t="str">
            <v>2007Burtel MacsymScratch 2 000</v>
          </cell>
        </row>
        <row r="890">
          <cell r="I890">
            <v>2007</v>
          </cell>
          <cell r="J890" t="str">
            <v>Burtel MacsymScratch 5 000</v>
          </cell>
          <cell r="L890">
            <v>0</v>
          </cell>
          <cell r="M890" t="str">
            <v>Burtel Macsym</v>
          </cell>
          <cell r="N890" t="str">
            <v>Burtel MacsymScratch 5 000</v>
          </cell>
          <cell r="O890" t="str">
            <v>Burtel Macsym</v>
          </cell>
          <cell r="P890" t="str">
            <v>Scratch 5 000</v>
          </cell>
          <cell r="Q890" t="str">
            <v>42007</v>
          </cell>
          <cell r="R890" t="str">
            <v>42007Scratch 5 000</v>
          </cell>
          <cell r="S890" t="str">
            <v>2007Scratch 5 000</v>
          </cell>
          <cell r="T890" t="str">
            <v>42007Burtel Macsym</v>
          </cell>
          <cell r="U890" t="str">
            <v>42007Burtel MacsymScratch 5 000</v>
          </cell>
          <cell r="V890" t="str">
            <v>39183Scratch 5 000</v>
          </cell>
          <cell r="W890" t="str">
            <v>2007Burtel Macsym</v>
          </cell>
          <cell r="X890" t="str">
            <v>2007Burtel MacsymScratch 5 000</v>
          </cell>
        </row>
        <row r="891">
          <cell r="I891">
            <v>2007</v>
          </cell>
          <cell r="J891" t="str">
            <v>Burtel MacsymScratch 10 000</v>
          </cell>
          <cell r="L891">
            <v>0</v>
          </cell>
          <cell r="M891" t="str">
            <v>Burtel Macsym</v>
          </cell>
          <cell r="N891" t="str">
            <v>Burtel MacsymScratch 10 000</v>
          </cell>
          <cell r="O891" t="str">
            <v>Burtel Macsym</v>
          </cell>
          <cell r="P891" t="str">
            <v>Scratch 10 000</v>
          </cell>
          <cell r="Q891" t="str">
            <v>42007</v>
          </cell>
          <cell r="R891" t="str">
            <v>42007Scratch 10 000</v>
          </cell>
          <cell r="S891" t="str">
            <v>2007Scratch 10 000</v>
          </cell>
          <cell r="T891" t="str">
            <v>42007Burtel Macsym</v>
          </cell>
          <cell r="U891" t="str">
            <v>42007Burtel MacsymScratch 10 000</v>
          </cell>
          <cell r="V891" t="str">
            <v>39183Scratch 10 000</v>
          </cell>
          <cell r="W891" t="str">
            <v>2007Burtel Macsym</v>
          </cell>
          <cell r="X891" t="str">
            <v>2007Burtel MacsymScratch 10 000</v>
          </cell>
        </row>
        <row r="892">
          <cell r="I892">
            <v>2007</v>
          </cell>
          <cell r="J892" t="str">
            <v>Burtel MacsymScratch 20 000</v>
          </cell>
          <cell r="L892">
            <v>0</v>
          </cell>
          <cell r="M892" t="str">
            <v>Burtel Macsym</v>
          </cell>
          <cell r="N892" t="str">
            <v>Burtel MacsymScratch 20 000</v>
          </cell>
          <cell r="O892" t="str">
            <v>Burtel Macsym</v>
          </cell>
          <cell r="P892" t="str">
            <v>Scratch 20 000</v>
          </cell>
          <cell r="Q892" t="str">
            <v>42007</v>
          </cell>
          <cell r="R892" t="str">
            <v>42007Scratch 20 000</v>
          </cell>
          <cell r="S892" t="str">
            <v>2007Scratch 20 000</v>
          </cell>
          <cell r="T892" t="str">
            <v>42007Burtel Macsym</v>
          </cell>
          <cell r="U892" t="str">
            <v>42007Burtel MacsymScratch 20 000</v>
          </cell>
          <cell r="V892" t="str">
            <v>39183Scratch 20 000</v>
          </cell>
          <cell r="W892" t="str">
            <v>2007Burtel Macsym</v>
          </cell>
          <cell r="X892" t="str">
            <v>2007Burtel MacsymScratch 20 000</v>
          </cell>
        </row>
        <row r="893">
          <cell r="I893">
            <v>2007</v>
          </cell>
          <cell r="J893" t="str">
            <v>Bonneterie Nouvelle TelecomScratch 1 000</v>
          </cell>
          <cell r="L893">
            <v>1</v>
          </cell>
          <cell r="M893" t="str">
            <v>1Bonneterie Nouvelle Telecom</v>
          </cell>
          <cell r="N893" t="str">
            <v>Bonneterie Nouvelle TelecomScratch 1 000</v>
          </cell>
          <cell r="O893" t="str">
            <v>Bonneterie Nouvelle Telecom</v>
          </cell>
          <cell r="P893" t="str">
            <v>Scratch 1 000</v>
          </cell>
          <cell r="Q893" t="str">
            <v>42007</v>
          </cell>
          <cell r="R893" t="str">
            <v>42007Scratch 1 000</v>
          </cell>
          <cell r="S893" t="str">
            <v>2007Scratch 1 000</v>
          </cell>
          <cell r="T893" t="str">
            <v>42007Bonneterie Nouvelle Telecom</v>
          </cell>
          <cell r="U893" t="str">
            <v>42007Bonneterie Nouvelle TelecomScratch 1 000</v>
          </cell>
          <cell r="V893" t="str">
            <v>39183Scratch 1 000</v>
          </cell>
          <cell r="W893" t="str">
            <v>2007Bonneterie Nouvelle Telecom</v>
          </cell>
          <cell r="X893" t="str">
            <v>2007Bonneterie Nouvelle TelecomScratch 1 000</v>
          </cell>
        </row>
        <row r="894">
          <cell r="I894">
            <v>2007</v>
          </cell>
          <cell r="J894" t="str">
            <v>Bonneterie Nouvelle TelecomScratch 2 000</v>
          </cell>
          <cell r="L894">
            <v>0</v>
          </cell>
          <cell r="M894" t="str">
            <v>Bonneterie Nouvelle Telecom</v>
          </cell>
          <cell r="N894" t="str">
            <v>Bonneterie Nouvelle TelecomScratch 2 000</v>
          </cell>
          <cell r="O894" t="str">
            <v>Bonneterie Nouvelle Telecom</v>
          </cell>
          <cell r="P894" t="str">
            <v>Scratch 2 000</v>
          </cell>
          <cell r="Q894" t="str">
            <v>42007</v>
          </cell>
          <cell r="R894" t="str">
            <v>42007Scratch 2 000</v>
          </cell>
          <cell r="S894" t="str">
            <v>2007Scratch 2 000</v>
          </cell>
          <cell r="T894" t="str">
            <v>42007Bonneterie Nouvelle Telecom</v>
          </cell>
          <cell r="U894" t="str">
            <v>42007Bonneterie Nouvelle TelecomScratch 2 000</v>
          </cell>
          <cell r="V894" t="str">
            <v>39183Scratch 2 000</v>
          </cell>
          <cell r="W894" t="str">
            <v>2007Bonneterie Nouvelle Telecom</v>
          </cell>
          <cell r="X894" t="str">
            <v>2007Bonneterie Nouvelle TelecomScratch 2 000</v>
          </cell>
        </row>
        <row r="895">
          <cell r="I895">
            <v>2007</v>
          </cell>
          <cell r="J895" t="str">
            <v>Bonneterie Nouvelle TelecomScratch 5 000</v>
          </cell>
          <cell r="L895">
            <v>0</v>
          </cell>
          <cell r="M895" t="str">
            <v>Bonneterie Nouvelle Telecom</v>
          </cell>
          <cell r="N895" t="str">
            <v>Bonneterie Nouvelle TelecomScratch 5 000</v>
          </cell>
          <cell r="O895" t="str">
            <v>Bonneterie Nouvelle Telecom</v>
          </cell>
          <cell r="P895" t="str">
            <v>Scratch 5 000</v>
          </cell>
          <cell r="Q895" t="str">
            <v>42007</v>
          </cell>
          <cell r="R895" t="str">
            <v>42007Scratch 5 000</v>
          </cell>
          <cell r="S895" t="str">
            <v>2007Scratch 5 000</v>
          </cell>
          <cell r="T895" t="str">
            <v>42007Bonneterie Nouvelle Telecom</v>
          </cell>
          <cell r="U895" t="str">
            <v>42007Bonneterie Nouvelle TelecomScratch 5 000</v>
          </cell>
          <cell r="V895" t="str">
            <v>39183Scratch 5 000</v>
          </cell>
          <cell r="W895" t="str">
            <v>2007Bonneterie Nouvelle Telecom</v>
          </cell>
          <cell r="X895" t="str">
            <v>2007Bonneterie Nouvelle TelecomScratch 5 000</v>
          </cell>
        </row>
        <row r="896">
          <cell r="I896">
            <v>2007</v>
          </cell>
          <cell r="J896" t="str">
            <v>Bonneterie Nouvelle TelecomScratch 20 000</v>
          </cell>
          <cell r="L896">
            <v>0</v>
          </cell>
          <cell r="M896" t="str">
            <v>Bonneterie Nouvelle Telecom</v>
          </cell>
          <cell r="N896" t="str">
            <v>Bonneterie Nouvelle TelecomScratch 20 000</v>
          </cell>
          <cell r="O896" t="str">
            <v>Bonneterie Nouvelle Telecom</v>
          </cell>
          <cell r="P896" t="str">
            <v>Scratch 20 000</v>
          </cell>
          <cell r="Q896" t="str">
            <v>42007</v>
          </cell>
          <cell r="R896" t="str">
            <v>42007Scratch 20 000</v>
          </cell>
          <cell r="S896" t="str">
            <v>2007Scratch 20 000</v>
          </cell>
          <cell r="T896" t="str">
            <v>42007Bonneterie Nouvelle Telecom</v>
          </cell>
          <cell r="U896" t="str">
            <v>42007Bonneterie Nouvelle TelecomScratch 20 000</v>
          </cell>
          <cell r="V896" t="str">
            <v>39183Scratch 20 000</v>
          </cell>
          <cell r="W896" t="str">
            <v>2007Bonneterie Nouvelle Telecom</v>
          </cell>
          <cell r="X896" t="str">
            <v>2007Bonneterie Nouvelle TelecomScratch 20 000</v>
          </cell>
        </row>
        <row r="897">
          <cell r="I897">
            <v>2007</v>
          </cell>
          <cell r="J897" t="str">
            <v>Ets Mamadou GAMBYScratch 1 000</v>
          </cell>
          <cell r="L897">
            <v>1</v>
          </cell>
          <cell r="M897" t="str">
            <v>1Ets Mamadou GAMBY</v>
          </cell>
          <cell r="N897" t="str">
            <v>Ets Mamadou GAMBYScratch 1 000</v>
          </cell>
          <cell r="O897" t="str">
            <v>Ets Mamadou GAMBY</v>
          </cell>
          <cell r="P897" t="str">
            <v>Scratch 1 000</v>
          </cell>
          <cell r="Q897" t="str">
            <v>42007</v>
          </cell>
          <cell r="R897" t="str">
            <v>42007Scratch 1 000</v>
          </cell>
          <cell r="S897" t="str">
            <v>2007Scratch 1 000</v>
          </cell>
          <cell r="T897" t="str">
            <v>42007Ets Mamadou GAMBY</v>
          </cell>
          <cell r="U897" t="str">
            <v>42007Ets Mamadou GAMBYScratch 1 000</v>
          </cell>
          <cell r="V897" t="str">
            <v>39184Scratch 1 000</v>
          </cell>
          <cell r="W897" t="str">
            <v>2007Ets Mamadou GAMBY</v>
          </cell>
          <cell r="X897" t="str">
            <v>2007Ets Mamadou GAMBYScratch 1 000</v>
          </cell>
        </row>
        <row r="898">
          <cell r="I898">
            <v>2007</v>
          </cell>
          <cell r="J898" t="str">
            <v>Ets Mamadou GAMBYScratch 2 000</v>
          </cell>
          <cell r="L898">
            <v>0</v>
          </cell>
          <cell r="M898" t="str">
            <v>Ets Mamadou GAMBY</v>
          </cell>
          <cell r="N898" t="str">
            <v>Ets Mamadou GAMBYScratch 2 000</v>
          </cell>
          <cell r="O898" t="str">
            <v>Ets Mamadou GAMBY</v>
          </cell>
          <cell r="P898" t="str">
            <v>Scratch 2 000</v>
          </cell>
          <cell r="Q898" t="str">
            <v>42007</v>
          </cell>
          <cell r="R898" t="str">
            <v>42007Scratch 2 000</v>
          </cell>
          <cell r="S898" t="str">
            <v>2007Scratch 2 000</v>
          </cell>
          <cell r="T898" t="str">
            <v>42007Ets Mamadou GAMBY</v>
          </cell>
          <cell r="U898" t="str">
            <v>42007Ets Mamadou GAMBYScratch 2 000</v>
          </cell>
          <cell r="V898" t="str">
            <v>39184Scratch 2 000</v>
          </cell>
          <cell r="W898" t="str">
            <v>2007Ets Mamadou GAMBY</v>
          </cell>
          <cell r="X898" t="str">
            <v>2007Ets Mamadou GAMBYScratch 2 000</v>
          </cell>
        </row>
        <row r="899">
          <cell r="I899">
            <v>2007</v>
          </cell>
          <cell r="J899" t="str">
            <v>Ets Mamadou GAMBYScratch 5 000</v>
          </cell>
          <cell r="L899">
            <v>0</v>
          </cell>
          <cell r="M899" t="str">
            <v>Ets Mamadou GAMBY</v>
          </cell>
          <cell r="N899" t="str">
            <v>Ets Mamadou GAMBYScratch 5 000</v>
          </cell>
          <cell r="O899" t="str">
            <v>Ets Mamadou GAMBY</v>
          </cell>
          <cell r="P899" t="str">
            <v>Scratch 5 000</v>
          </cell>
          <cell r="Q899" t="str">
            <v>42007</v>
          </cell>
          <cell r="R899" t="str">
            <v>42007Scratch 5 000</v>
          </cell>
          <cell r="S899" t="str">
            <v>2007Scratch 5 000</v>
          </cell>
          <cell r="T899" t="str">
            <v>42007Ets Mamadou GAMBY</v>
          </cell>
          <cell r="U899" t="str">
            <v>42007Ets Mamadou GAMBYScratch 5 000</v>
          </cell>
          <cell r="V899" t="str">
            <v>39184Scratch 5 000</v>
          </cell>
          <cell r="W899" t="str">
            <v>2007Ets Mamadou GAMBY</v>
          </cell>
          <cell r="X899" t="str">
            <v>2007Ets Mamadou GAMBYScratch 5 000</v>
          </cell>
        </row>
        <row r="900">
          <cell r="I900">
            <v>2007</v>
          </cell>
          <cell r="J900" t="str">
            <v>Ets Mamadou GAMBYScratch 10 000</v>
          </cell>
          <cell r="L900">
            <v>0</v>
          </cell>
          <cell r="M900" t="str">
            <v>Ets Mamadou GAMBY</v>
          </cell>
          <cell r="N900" t="str">
            <v>Ets Mamadou GAMBYScratch 10 000</v>
          </cell>
          <cell r="O900" t="str">
            <v>Ets Mamadou GAMBY</v>
          </cell>
          <cell r="P900" t="str">
            <v>Scratch 10 000</v>
          </cell>
          <cell r="Q900" t="str">
            <v>42007</v>
          </cell>
          <cell r="R900" t="str">
            <v>42007Scratch 10 000</v>
          </cell>
          <cell r="S900" t="str">
            <v>2007Scratch 10 000</v>
          </cell>
          <cell r="T900" t="str">
            <v>42007Ets Mamadou GAMBY</v>
          </cell>
          <cell r="U900" t="str">
            <v>42007Ets Mamadou GAMBYScratch 10 000</v>
          </cell>
          <cell r="V900" t="str">
            <v>39184Scratch 10 000</v>
          </cell>
          <cell r="W900" t="str">
            <v>2007Ets Mamadou GAMBY</v>
          </cell>
          <cell r="X900" t="str">
            <v>2007Ets Mamadou GAMBYScratch 10 000</v>
          </cell>
        </row>
        <row r="901">
          <cell r="I901">
            <v>2007</v>
          </cell>
          <cell r="J901" t="str">
            <v>Burtel MacsymScratch 1 000</v>
          </cell>
          <cell r="L901">
            <v>1</v>
          </cell>
          <cell r="M901" t="str">
            <v>1Burtel Macsym</v>
          </cell>
          <cell r="N901" t="str">
            <v>Burtel MacsymScratch 1 000</v>
          </cell>
          <cell r="O901" t="str">
            <v>Burtel Macsym</v>
          </cell>
          <cell r="P901" t="str">
            <v>Scratch 1 000</v>
          </cell>
          <cell r="Q901" t="str">
            <v>42007</v>
          </cell>
          <cell r="R901" t="str">
            <v>42007Scratch 1 000</v>
          </cell>
          <cell r="S901" t="str">
            <v>2007Scratch 1 000</v>
          </cell>
          <cell r="T901" t="str">
            <v>42007Burtel Macsym</v>
          </cell>
          <cell r="U901" t="str">
            <v>42007Burtel MacsymScratch 1 000</v>
          </cell>
          <cell r="V901" t="str">
            <v>39184Scratch 1 000</v>
          </cell>
          <cell r="W901" t="str">
            <v>2007Burtel Macsym</v>
          </cell>
          <cell r="X901" t="str">
            <v>2007Burtel MacsymScratch 1 000</v>
          </cell>
        </row>
        <row r="902">
          <cell r="I902">
            <v>2007</v>
          </cell>
          <cell r="J902" t="str">
            <v>Burtel MacsymScratch 2 000</v>
          </cell>
          <cell r="L902">
            <v>0</v>
          </cell>
          <cell r="M902" t="str">
            <v>Burtel Macsym</v>
          </cell>
          <cell r="N902" t="str">
            <v>Burtel MacsymScratch 2 000</v>
          </cell>
          <cell r="O902" t="str">
            <v>Burtel Macsym</v>
          </cell>
          <cell r="P902" t="str">
            <v>Scratch 2 000</v>
          </cell>
          <cell r="Q902" t="str">
            <v>42007</v>
          </cell>
          <cell r="R902" t="str">
            <v>42007Scratch 2 000</v>
          </cell>
          <cell r="S902" t="str">
            <v>2007Scratch 2 000</v>
          </cell>
          <cell r="T902" t="str">
            <v>42007Burtel Macsym</v>
          </cell>
          <cell r="U902" t="str">
            <v>42007Burtel MacsymScratch 2 000</v>
          </cell>
          <cell r="V902" t="str">
            <v>39184Scratch 2 000</v>
          </cell>
          <cell r="W902" t="str">
            <v>2007Burtel Macsym</v>
          </cell>
          <cell r="X902" t="str">
            <v>2007Burtel MacsymScratch 2 000</v>
          </cell>
        </row>
        <row r="903">
          <cell r="I903">
            <v>2007</v>
          </cell>
          <cell r="J903" t="str">
            <v>Burtel MacsymScratch 5 000</v>
          </cell>
          <cell r="L903">
            <v>0</v>
          </cell>
          <cell r="M903" t="str">
            <v>Burtel Macsym</v>
          </cell>
          <cell r="N903" t="str">
            <v>Burtel MacsymScratch 5 000</v>
          </cell>
          <cell r="O903" t="str">
            <v>Burtel Macsym</v>
          </cell>
          <cell r="P903" t="str">
            <v>Scratch 5 000</v>
          </cell>
          <cell r="Q903" t="str">
            <v>42007</v>
          </cell>
          <cell r="R903" t="str">
            <v>42007Scratch 5 000</v>
          </cell>
          <cell r="S903" t="str">
            <v>2007Scratch 5 000</v>
          </cell>
          <cell r="T903" t="str">
            <v>42007Burtel Macsym</v>
          </cell>
          <cell r="U903" t="str">
            <v>42007Burtel MacsymScratch 5 000</v>
          </cell>
          <cell r="V903" t="str">
            <v>39184Scratch 5 000</v>
          </cell>
          <cell r="W903" t="str">
            <v>2007Burtel Macsym</v>
          </cell>
          <cell r="X903" t="str">
            <v>2007Burtel MacsymScratch 5 000</v>
          </cell>
        </row>
        <row r="904">
          <cell r="I904">
            <v>2007</v>
          </cell>
          <cell r="J904" t="str">
            <v>Burtel MacsymScratch 10 000</v>
          </cell>
          <cell r="L904">
            <v>0</v>
          </cell>
          <cell r="M904" t="str">
            <v>Burtel Macsym</v>
          </cell>
          <cell r="N904" t="str">
            <v>Burtel MacsymScratch 10 000</v>
          </cell>
          <cell r="O904" t="str">
            <v>Burtel Macsym</v>
          </cell>
          <cell r="P904" t="str">
            <v>Scratch 10 000</v>
          </cell>
          <cell r="Q904" t="str">
            <v>42007</v>
          </cell>
          <cell r="R904" t="str">
            <v>42007Scratch 10 000</v>
          </cell>
          <cell r="S904" t="str">
            <v>2007Scratch 10 000</v>
          </cell>
          <cell r="T904" t="str">
            <v>42007Burtel Macsym</v>
          </cell>
          <cell r="U904" t="str">
            <v>42007Burtel MacsymScratch 10 000</v>
          </cell>
          <cell r="V904" t="str">
            <v>39184Scratch 10 000</v>
          </cell>
          <cell r="W904" t="str">
            <v>2007Burtel Macsym</v>
          </cell>
          <cell r="X904" t="str">
            <v>2007Burtel MacsymScratch 10 000</v>
          </cell>
        </row>
        <row r="905">
          <cell r="I905">
            <v>2007</v>
          </cell>
          <cell r="J905" t="str">
            <v>Burtel MacsymScratch 20 000</v>
          </cell>
          <cell r="L905">
            <v>0</v>
          </cell>
          <cell r="M905" t="str">
            <v>Burtel Macsym</v>
          </cell>
          <cell r="N905" t="str">
            <v>Burtel MacsymScratch 20 000</v>
          </cell>
          <cell r="O905" t="str">
            <v>Burtel Macsym</v>
          </cell>
          <cell r="P905" t="str">
            <v>Scratch 20 000</v>
          </cell>
          <cell r="Q905" t="str">
            <v>42007</v>
          </cell>
          <cell r="R905" t="str">
            <v>42007Scratch 20 000</v>
          </cell>
          <cell r="S905" t="str">
            <v>2007Scratch 20 000</v>
          </cell>
          <cell r="T905" t="str">
            <v>42007Burtel Macsym</v>
          </cell>
          <cell r="U905" t="str">
            <v>42007Burtel MacsymScratch 20 000</v>
          </cell>
          <cell r="V905" t="str">
            <v>39184Scratch 20 000</v>
          </cell>
          <cell r="W905" t="str">
            <v>2007Burtel Macsym</v>
          </cell>
          <cell r="X905" t="str">
            <v>2007Burtel MacsymScratch 20 000</v>
          </cell>
        </row>
        <row r="906">
          <cell r="I906">
            <v>2007</v>
          </cell>
          <cell r="J906" t="str">
            <v>GEMATELScratch 1 000</v>
          </cell>
          <cell r="L906">
            <v>1</v>
          </cell>
          <cell r="M906" t="str">
            <v>1GEMATEL</v>
          </cell>
          <cell r="N906" t="str">
            <v>GEMATELScratch 1 000</v>
          </cell>
          <cell r="O906" t="str">
            <v>GEMATEL</v>
          </cell>
          <cell r="P906" t="str">
            <v>Scratch 1 000</v>
          </cell>
          <cell r="Q906" t="str">
            <v>42007</v>
          </cell>
          <cell r="R906" t="str">
            <v>42007Scratch 1 000</v>
          </cell>
          <cell r="S906" t="str">
            <v>2007Scratch 1 000</v>
          </cell>
          <cell r="T906" t="str">
            <v>42007GEMATEL</v>
          </cell>
          <cell r="U906" t="str">
            <v>42007GEMATELScratch 1 000</v>
          </cell>
          <cell r="V906" t="str">
            <v>39185Scratch 1 000</v>
          </cell>
          <cell r="W906" t="str">
            <v>2007GEMATEL</v>
          </cell>
          <cell r="X906" t="str">
            <v>2007GEMATELScratch 1 000</v>
          </cell>
        </row>
        <row r="907">
          <cell r="I907">
            <v>2007</v>
          </cell>
          <cell r="J907" t="str">
            <v>GEMATELScratch 2 000</v>
          </cell>
          <cell r="L907">
            <v>0</v>
          </cell>
          <cell r="M907" t="str">
            <v>GEMATEL</v>
          </cell>
          <cell r="N907" t="str">
            <v>GEMATELScratch 2 000</v>
          </cell>
          <cell r="O907" t="str">
            <v>GEMATEL</v>
          </cell>
          <cell r="P907" t="str">
            <v>Scratch 2 000</v>
          </cell>
          <cell r="Q907" t="str">
            <v>42007</v>
          </cell>
          <cell r="R907" t="str">
            <v>42007Scratch 2 000</v>
          </cell>
          <cell r="S907" t="str">
            <v>2007Scratch 2 000</v>
          </cell>
          <cell r="T907" t="str">
            <v>42007GEMATEL</v>
          </cell>
          <cell r="U907" t="str">
            <v>42007GEMATELScratch 2 000</v>
          </cell>
          <cell r="V907" t="str">
            <v>39185Scratch 2 000</v>
          </cell>
          <cell r="W907" t="str">
            <v>2007GEMATEL</v>
          </cell>
          <cell r="X907" t="str">
            <v>2007GEMATELScratch 2 000</v>
          </cell>
        </row>
        <row r="908">
          <cell r="I908">
            <v>2007</v>
          </cell>
          <cell r="J908" t="str">
            <v>GEMATELScratch 5 000</v>
          </cell>
          <cell r="L908">
            <v>0</v>
          </cell>
          <cell r="M908" t="str">
            <v>GEMATEL</v>
          </cell>
          <cell r="N908" t="str">
            <v>GEMATELScratch 5 000</v>
          </cell>
          <cell r="O908" t="str">
            <v>GEMATEL</v>
          </cell>
          <cell r="P908" t="str">
            <v>Scratch 5 000</v>
          </cell>
          <cell r="Q908" t="str">
            <v>42007</v>
          </cell>
          <cell r="R908" t="str">
            <v>42007Scratch 5 000</v>
          </cell>
          <cell r="S908" t="str">
            <v>2007Scratch 5 000</v>
          </cell>
          <cell r="T908" t="str">
            <v>42007GEMATEL</v>
          </cell>
          <cell r="U908" t="str">
            <v>42007GEMATELScratch 5 000</v>
          </cell>
          <cell r="V908" t="str">
            <v>39185Scratch 5 000</v>
          </cell>
          <cell r="W908" t="str">
            <v>2007GEMATEL</v>
          </cell>
          <cell r="X908" t="str">
            <v>2007GEMATELScratch 5 000</v>
          </cell>
        </row>
        <row r="909">
          <cell r="I909">
            <v>2007</v>
          </cell>
          <cell r="J909" t="str">
            <v>GEMATELScratch 10 000</v>
          </cell>
          <cell r="L909">
            <v>0</v>
          </cell>
          <cell r="M909" t="str">
            <v>GEMATEL</v>
          </cell>
          <cell r="N909" t="str">
            <v>GEMATELScratch 10 000</v>
          </cell>
          <cell r="O909" t="str">
            <v>GEMATEL</v>
          </cell>
          <cell r="P909" t="str">
            <v>Scratch 10 000</v>
          </cell>
          <cell r="Q909" t="str">
            <v>42007</v>
          </cell>
          <cell r="R909" t="str">
            <v>42007Scratch 10 000</v>
          </cell>
          <cell r="S909" t="str">
            <v>2007Scratch 10 000</v>
          </cell>
          <cell r="T909" t="str">
            <v>42007GEMATEL</v>
          </cell>
          <cell r="U909" t="str">
            <v>42007GEMATELScratch 10 000</v>
          </cell>
          <cell r="V909" t="str">
            <v>39185Scratch 10 000</v>
          </cell>
          <cell r="W909" t="str">
            <v>2007GEMATEL</v>
          </cell>
          <cell r="X909" t="str">
            <v>2007GEMATELScratch 10 000</v>
          </cell>
        </row>
        <row r="910">
          <cell r="I910">
            <v>2007</v>
          </cell>
          <cell r="J910" t="str">
            <v>GEMATELScratch 20 000</v>
          </cell>
          <cell r="L910">
            <v>0</v>
          </cell>
          <cell r="M910" t="str">
            <v>GEMATEL</v>
          </cell>
          <cell r="N910" t="str">
            <v>GEMATELScratch 20 000</v>
          </cell>
          <cell r="O910" t="str">
            <v>GEMATEL</v>
          </cell>
          <cell r="P910" t="str">
            <v>Scratch 20 000</v>
          </cell>
          <cell r="Q910" t="str">
            <v>42007</v>
          </cell>
          <cell r="R910" t="str">
            <v>42007Scratch 20 000</v>
          </cell>
          <cell r="S910" t="str">
            <v>2007Scratch 20 000</v>
          </cell>
          <cell r="T910" t="str">
            <v>42007GEMATEL</v>
          </cell>
          <cell r="U910" t="str">
            <v>42007GEMATELScratch 20 000</v>
          </cell>
          <cell r="V910" t="str">
            <v>39185Scratch 20 000</v>
          </cell>
          <cell r="W910" t="str">
            <v>2007GEMATEL</v>
          </cell>
          <cell r="X910" t="str">
            <v>2007GEMATELScratch 20 000</v>
          </cell>
        </row>
        <row r="911">
          <cell r="I911">
            <v>2007</v>
          </cell>
          <cell r="J911" t="str">
            <v>MALI COM SarlScratch 1 000</v>
          </cell>
          <cell r="L911">
            <v>1</v>
          </cell>
          <cell r="M911" t="str">
            <v>1MALI COM Sarl</v>
          </cell>
          <cell r="N911" t="str">
            <v>MALI COM SarlScratch 1 000</v>
          </cell>
          <cell r="O911" t="str">
            <v>MALI COM Sarl</v>
          </cell>
          <cell r="P911" t="str">
            <v>Scratch 1 000</v>
          </cell>
          <cell r="Q911" t="str">
            <v>42007</v>
          </cell>
          <cell r="R911" t="str">
            <v>42007Scratch 1 000</v>
          </cell>
          <cell r="S911" t="str">
            <v>2007Scratch 1 000</v>
          </cell>
          <cell r="T911" t="str">
            <v>42007MALI COM Sarl</v>
          </cell>
          <cell r="U911" t="str">
            <v>42007MALI COM SarlScratch 1 000</v>
          </cell>
          <cell r="V911" t="str">
            <v>39185Scratch 1 000</v>
          </cell>
          <cell r="W911" t="str">
            <v>2007MALI COM Sarl</v>
          </cell>
          <cell r="X911" t="str">
            <v>2007MALI COM SarlScratch 1 000</v>
          </cell>
        </row>
        <row r="912">
          <cell r="I912">
            <v>2007</v>
          </cell>
          <cell r="J912" t="str">
            <v>MALI COM SarlScratch 2 000</v>
          </cell>
          <cell r="L912">
            <v>0</v>
          </cell>
          <cell r="M912" t="str">
            <v>MALI COM Sarl</v>
          </cell>
          <cell r="N912" t="str">
            <v>MALI COM SarlScratch 2 000</v>
          </cell>
          <cell r="O912" t="str">
            <v>MALI COM Sarl</v>
          </cell>
          <cell r="P912" t="str">
            <v>Scratch 2 000</v>
          </cell>
          <cell r="Q912" t="str">
            <v>42007</v>
          </cell>
          <cell r="R912" t="str">
            <v>42007Scratch 2 000</v>
          </cell>
          <cell r="S912" t="str">
            <v>2007Scratch 2 000</v>
          </cell>
          <cell r="T912" t="str">
            <v>42007MALI COM Sarl</v>
          </cell>
          <cell r="U912" t="str">
            <v>42007MALI COM SarlScratch 2 000</v>
          </cell>
          <cell r="V912" t="str">
            <v>39185Scratch 2 000</v>
          </cell>
          <cell r="W912" t="str">
            <v>2007MALI COM Sarl</v>
          </cell>
          <cell r="X912" t="str">
            <v>2007MALI COM SarlScratch 2 000</v>
          </cell>
        </row>
        <row r="913">
          <cell r="I913">
            <v>2007</v>
          </cell>
          <cell r="J913" t="str">
            <v>MALI COM SarlScratch 5 000</v>
          </cell>
          <cell r="L913">
            <v>0</v>
          </cell>
          <cell r="M913" t="str">
            <v>MALI COM Sarl</v>
          </cell>
          <cell r="N913" t="str">
            <v>MALI COM SarlScratch 5 000</v>
          </cell>
          <cell r="O913" t="str">
            <v>MALI COM Sarl</v>
          </cell>
          <cell r="P913" t="str">
            <v>Scratch 5 000</v>
          </cell>
          <cell r="Q913" t="str">
            <v>42007</v>
          </cell>
          <cell r="R913" t="str">
            <v>42007Scratch 5 000</v>
          </cell>
          <cell r="S913" t="str">
            <v>2007Scratch 5 000</v>
          </cell>
          <cell r="T913" t="str">
            <v>42007MALI COM Sarl</v>
          </cell>
          <cell r="U913" t="str">
            <v>42007MALI COM SarlScratch 5 000</v>
          </cell>
          <cell r="V913" t="str">
            <v>39185Scratch 5 000</v>
          </cell>
          <cell r="W913" t="str">
            <v>2007MALI COM Sarl</v>
          </cell>
          <cell r="X913" t="str">
            <v>2007MALI COM SarlScratch 5 000</v>
          </cell>
        </row>
        <row r="914">
          <cell r="I914">
            <v>2007</v>
          </cell>
          <cell r="J914" t="str">
            <v>MALI COM SarlScratch 20 000</v>
          </cell>
          <cell r="L914">
            <v>0</v>
          </cell>
          <cell r="M914" t="str">
            <v>MALI COM Sarl</v>
          </cell>
          <cell r="N914" t="str">
            <v>MALI COM SarlScratch 20 000</v>
          </cell>
          <cell r="O914" t="str">
            <v>MALI COM Sarl</v>
          </cell>
          <cell r="P914" t="str">
            <v>Scratch 20 000</v>
          </cell>
          <cell r="Q914" t="str">
            <v>42007</v>
          </cell>
          <cell r="R914" t="str">
            <v>42007Scratch 20 000</v>
          </cell>
          <cell r="S914" t="str">
            <v>2007Scratch 20 000</v>
          </cell>
          <cell r="T914" t="str">
            <v>42007MALI COM Sarl</v>
          </cell>
          <cell r="U914" t="str">
            <v>42007MALI COM SarlScratch 20 000</v>
          </cell>
          <cell r="V914" t="str">
            <v>39185Scratch 20 000</v>
          </cell>
          <cell r="W914" t="str">
            <v>2007MALI COM Sarl</v>
          </cell>
          <cell r="X914" t="str">
            <v>2007MALI COM SarlScratch 20 000</v>
          </cell>
        </row>
        <row r="915">
          <cell r="I915">
            <v>2007</v>
          </cell>
          <cell r="J915" t="str">
            <v>SODIBAFScratch 1 000</v>
          </cell>
          <cell r="L915">
            <v>1</v>
          </cell>
          <cell r="M915" t="str">
            <v>1SODIBAF</v>
          </cell>
          <cell r="N915" t="str">
            <v>SODIBAFScratch 1 000</v>
          </cell>
          <cell r="O915" t="str">
            <v>SODIBAF</v>
          </cell>
          <cell r="P915" t="str">
            <v>Scratch 1 000</v>
          </cell>
          <cell r="Q915" t="str">
            <v>42007</v>
          </cell>
          <cell r="R915" t="str">
            <v>42007Scratch 1 000</v>
          </cell>
          <cell r="S915" t="str">
            <v>2007Scratch 1 000</v>
          </cell>
          <cell r="T915" t="str">
            <v>42007SODIBAF</v>
          </cell>
          <cell r="U915" t="str">
            <v>42007SODIBAFScratch 1 000</v>
          </cell>
          <cell r="V915" t="str">
            <v>39185Scratch 1 000</v>
          </cell>
          <cell r="W915" t="str">
            <v>2007SODIBAF</v>
          </cell>
          <cell r="X915" t="str">
            <v>2007SODIBAFScratch 1 000</v>
          </cell>
        </row>
        <row r="916">
          <cell r="I916">
            <v>2007</v>
          </cell>
          <cell r="J916" t="str">
            <v>SODIBAFScratch 2 000</v>
          </cell>
          <cell r="L916">
            <v>0</v>
          </cell>
          <cell r="M916" t="str">
            <v>SODIBAF</v>
          </cell>
          <cell r="N916" t="str">
            <v>SODIBAFScratch 2 000</v>
          </cell>
          <cell r="O916" t="str">
            <v>SODIBAF</v>
          </cell>
          <cell r="P916" t="str">
            <v>Scratch 2 000</v>
          </cell>
          <cell r="Q916" t="str">
            <v>42007</v>
          </cell>
          <cell r="R916" t="str">
            <v>42007Scratch 2 000</v>
          </cell>
          <cell r="S916" t="str">
            <v>2007Scratch 2 000</v>
          </cell>
          <cell r="T916" t="str">
            <v>42007SODIBAF</v>
          </cell>
          <cell r="U916" t="str">
            <v>42007SODIBAFScratch 2 000</v>
          </cell>
          <cell r="V916" t="str">
            <v>39185Scratch 2 000</v>
          </cell>
          <cell r="W916" t="str">
            <v>2007SODIBAF</v>
          </cell>
          <cell r="X916" t="str">
            <v>2007SODIBAFScratch 2 000</v>
          </cell>
        </row>
        <row r="917">
          <cell r="I917">
            <v>2007</v>
          </cell>
          <cell r="J917" t="str">
            <v>ANKA ServicesScratch 1 000</v>
          </cell>
          <cell r="L917">
            <v>1</v>
          </cell>
          <cell r="M917" t="str">
            <v>1ANKA Services</v>
          </cell>
          <cell r="N917" t="str">
            <v>ANKA ServicesScratch 1 000</v>
          </cell>
          <cell r="O917" t="str">
            <v>ANKA Services</v>
          </cell>
          <cell r="P917" t="str">
            <v>Scratch 1 000</v>
          </cell>
          <cell r="Q917" t="str">
            <v>42007</v>
          </cell>
          <cell r="R917" t="str">
            <v>42007Scratch 1 000</v>
          </cell>
          <cell r="S917" t="str">
            <v>2007Scratch 1 000</v>
          </cell>
          <cell r="T917" t="str">
            <v>42007ANKA Services</v>
          </cell>
          <cell r="U917" t="str">
            <v>42007ANKA ServicesScratch 1 000</v>
          </cell>
          <cell r="V917" t="str">
            <v>39185Scratch 1 000</v>
          </cell>
          <cell r="W917" t="str">
            <v>2007ANKA Services</v>
          </cell>
          <cell r="X917" t="str">
            <v>2007ANKA ServicesScratch 1 000</v>
          </cell>
        </row>
        <row r="918">
          <cell r="I918">
            <v>2007</v>
          </cell>
          <cell r="J918" t="str">
            <v>ANKA ServicesScratch 2 000</v>
          </cell>
          <cell r="L918">
            <v>0</v>
          </cell>
          <cell r="M918" t="str">
            <v>ANKA Services</v>
          </cell>
          <cell r="N918" t="str">
            <v>ANKA ServicesScratch 2 000</v>
          </cell>
          <cell r="O918" t="str">
            <v>ANKA Services</v>
          </cell>
          <cell r="P918" t="str">
            <v>Scratch 2 000</v>
          </cell>
          <cell r="Q918" t="str">
            <v>42007</v>
          </cell>
          <cell r="R918" t="str">
            <v>42007Scratch 2 000</v>
          </cell>
          <cell r="S918" t="str">
            <v>2007Scratch 2 000</v>
          </cell>
          <cell r="T918" t="str">
            <v>42007ANKA Services</v>
          </cell>
          <cell r="U918" t="str">
            <v>42007ANKA ServicesScratch 2 000</v>
          </cell>
          <cell r="V918" t="str">
            <v>39185Scratch 2 000</v>
          </cell>
          <cell r="W918" t="str">
            <v>2007ANKA Services</v>
          </cell>
          <cell r="X918" t="str">
            <v>2007ANKA ServicesScratch 2 000</v>
          </cell>
        </row>
        <row r="919">
          <cell r="I919">
            <v>2007</v>
          </cell>
          <cell r="J919" t="str">
            <v>ANKA ServicesScratch 5 000</v>
          </cell>
          <cell r="L919">
            <v>0</v>
          </cell>
          <cell r="M919" t="str">
            <v>ANKA Services</v>
          </cell>
          <cell r="N919" t="str">
            <v>ANKA ServicesScratch 5 000</v>
          </cell>
          <cell r="O919" t="str">
            <v>ANKA Services</v>
          </cell>
          <cell r="P919" t="str">
            <v>Scratch 5 000</v>
          </cell>
          <cell r="Q919" t="str">
            <v>42007</v>
          </cell>
          <cell r="R919" t="str">
            <v>42007Scratch 5 000</v>
          </cell>
          <cell r="S919" t="str">
            <v>2007Scratch 5 000</v>
          </cell>
          <cell r="T919" t="str">
            <v>42007ANKA Services</v>
          </cell>
          <cell r="U919" t="str">
            <v>42007ANKA ServicesScratch 5 000</v>
          </cell>
          <cell r="V919" t="str">
            <v>39185Scratch 5 000</v>
          </cell>
          <cell r="W919" t="str">
            <v>2007ANKA Services</v>
          </cell>
          <cell r="X919" t="str">
            <v>2007ANKA ServicesScratch 5 000</v>
          </cell>
        </row>
        <row r="920">
          <cell r="I920">
            <v>2007</v>
          </cell>
          <cell r="J920" t="str">
            <v>ETS Boubacar TANDIAScratch 1 000</v>
          </cell>
          <cell r="L920">
            <v>1</v>
          </cell>
          <cell r="M920" t="str">
            <v>1ETS Boubacar TANDIA</v>
          </cell>
          <cell r="N920" t="str">
            <v>ETS Boubacar TANDIAScratch 1 000</v>
          </cell>
          <cell r="O920" t="str">
            <v>ETS Boubacar TANDIA</v>
          </cell>
          <cell r="P920" t="str">
            <v>Scratch 1 000</v>
          </cell>
          <cell r="Q920" t="str">
            <v>42007</v>
          </cell>
          <cell r="R920" t="str">
            <v>42007Scratch 1 000</v>
          </cell>
          <cell r="S920" t="str">
            <v>2007Scratch 1 000</v>
          </cell>
          <cell r="T920" t="str">
            <v>42007ETS Boubacar TANDIA</v>
          </cell>
          <cell r="U920" t="str">
            <v>42007ETS Boubacar TANDIAScratch 1 000</v>
          </cell>
          <cell r="V920" t="str">
            <v>39188Scratch 1 000</v>
          </cell>
          <cell r="W920" t="str">
            <v>2007ETS Boubacar TANDIA</v>
          </cell>
          <cell r="X920" t="str">
            <v>2007ETS Boubacar TANDIAScratch 1 000</v>
          </cell>
        </row>
        <row r="921">
          <cell r="I921">
            <v>2007</v>
          </cell>
          <cell r="J921" t="str">
            <v>ETS Boubacar TANDIAScratch 2 000</v>
          </cell>
          <cell r="L921">
            <v>0</v>
          </cell>
          <cell r="M921" t="str">
            <v>ETS Boubacar TANDIA</v>
          </cell>
          <cell r="N921" t="str">
            <v>ETS Boubacar TANDIAScratch 2 000</v>
          </cell>
          <cell r="O921" t="str">
            <v>ETS Boubacar TANDIA</v>
          </cell>
          <cell r="P921" t="str">
            <v>Scratch 2 000</v>
          </cell>
          <cell r="Q921" t="str">
            <v>42007</v>
          </cell>
          <cell r="R921" t="str">
            <v>42007Scratch 2 000</v>
          </cell>
          <cell r="S921" t="str">
            <v>2007Scratch 2 000</v>
          </cell>
          <cell r="T921" t="str">
            <v>42007ETS Boubacar TANDIA</v>
          </cell>
          <cell r="U921" t="str">
            <v>42007ETS Boubacar TANDIAScratch 2 000</v>
          </cell>
          <cell r="V921" t="str">
            <v>39188Scratch 2 000</v>
          </cell>
          <cell r="W921" t="str">
            <v>2007ETS Boubacar TANDIA</v>
          </cell>
          <cell r="X921" t="str">
            <v>2007ETS Boubacar TANDIAScratch 2 000</v>
          </cell>
        </row>
        <row r="922">
          <cell r="I922">
            <v>2007</v>
          </cell>
          <cell r="J922" t="str">
            <v>ETS Boubacar TANDIAScratch 5 000</v>
          </cell>
          <cell r="L922">
            <v>0</v>
          </cell>
          <cell r="M922" t="str">
            <v>ETS Boubacar TANDIA</v>
          </cell>
          <cell r="N922" t="str">
            <v>ETS Boubacar TANDIAScratch 5 000</v>
          </cell>
          <cell r="O922" t="str">
            <v>ETS Boubacar TANDIA</v>
          </cell>
          <cell r="P922" t="str">
            <v>Scratch 5 000</v>
          </cell>
          <cell r="Q922" t="str">
            <v>42007</v>
          </cell>
          <cell r="R922" t="str">
            <v>42007Scratch 5 000</v>
          </cell>
          <cell r="S922" t="str">
            <v>2007Scratch 5 000</v>
          </cell>
          <cell r="T922" t="str">
            <v>42007ETS Boubacar TANDIA</v>
          </cell>
          <cell r="U922" t="str">
            <v>42007ETS Boubacar TANDIAScratch 5 000</v>
          </cell>
          <cell r="V922" t="str">
            <v>39188Scratch 5 000</v>
          </cell>
          <cell r="W922" t="str">
            <v>2007ETS Boubacar TANDIA</v>
          </cell>
          <cell r="X922" t="str">
            <v>2007ETS Boubacar TANDIAScratch 5 000</v>
          </cell>
        </row>
        <row r="923">
          <cell r="I923">
            <v>2007</v>
          </cell>
          <cell r="J923" t="str">
            <v>ETS Boubacar TANDIAScratch 20 000</v>
          </cell>
          <cell r="L923">
            <v>0</v>
          </cell>
          <cell r="M923" t="str">
            <v>ETS Boubacar TANDIA</v>
          </cell>
          <cell r="N923" t="str">
            <v>ETS Boubacar TANDIAScratch 20 000</v>
          </cell>
          <cell r="O923" t="str">
            <v>ETS Boubacar TANDIA</v>
          </cell>
          <cell r="P923" t="str">
            <v>Scratch 20 000</v>
          </cell>
          <cell r="Q923" t="str">
            <v>42007</v>
          </cell>
          <cell r="R923" t="str">
            <v>42007Scratch 20 000</v>
          </cell>
          <cell r="S923" t="str">
            <v>2007Scratch 20 000</v>
          </cell>
          <cell r="T923" t="str">
            <v>42007ETS Boubacar TANDIA</v>
          </cell>
          <cell r="U923" t="str">
            <v>42007ETS Boubacar TANDIAScratch 20 000</v>
          </cell>
          <cell r="V923" t="str">
            <v>39188Scratch 20 000</v>
          </cell>
          <cell r="W923" t="str">
            <v>2007ETS Boubacar TANDIA</v>
          </cell>
          <cell r="X923" t="str">
            <v>2007ETS Boubacar TANDIAScratch 20 000</v>
          </cell>
        </row>
        <row r="924">
          <cell r="I924">
            <v>2007</v>
          </cell>
          <cell r="J924" t="str">
            <v>Compagnie Internationale de NegoceScratch 1 000</v>
          </cell>
          <cell r="L924">
            <v>1</v>
          </cell>
          <cell r="M924" t="str">
            <v>1Compagnie Internationale de Negoce</v>
          </cell>
          <cell r="N924" t="str">
            <v>Compagnie Internationale de NegoceScratch 1 000</v>
          </cell>
          <cell r="O924" t="str">
            <v>Compagnie Internationale de Negoce</v>
          </cell>
          <cell r="P924" t="str">
            <v>Scratch 1 000</v>
          </cell>
          <cell r="Q924" t="str">
            <v>42007</v>
          </cell>
          <cell r="R924" t="str">
            <v>42007Scratch 1 000</v>
          </cell>
          <cell r="S924" t="str">
            <v>2007Scratch 1 000</v>
          </cell>
          <cell r="T924" t="str">
            <v>42007Compagnie Internationale de Negoce</v>
          </cell>
          <cell r="U924" t="str">
            <v>42007Compagnie Internationale de NegoceScratch 1 000</v>
          </cell>
          <cell r="V924" t="str">
            <v>39188Scratch 1 000</v>
          </cell>
          <cell r="W924" t="str">
            <v>2007Compagnie Internationale de Negoce</v>
          </cell>
          <cell r="X924" t="str">
            <v>2007Compagnie Internationale de NegoceScratch 1 000</v>
          </cell>
        </row>
        <row r="925">
          <cell r="I925">
            <v>2007</v>
          </cell>
          <cell r="J925" t="str">
            <v>Compagnie Internationale de NegoceScratch 2 000</v>
          </cell>
          <cell r="L925">
            <v>0</v>
          </cell>
          <cell r="M925" t="str">
            <v>Compagnie Internationale de Negoce</v>
          </cell>
          <cell r="N925" t="str">
            <v>Compagnie Internationale de NegoceScratch 2 000</v>
          </cell>
          <cell r="O925" t="str">
            <v>Compagnie Internationale de Negoce</v>
          </cell>
          <cell r="P925" t="str">
            <v>Scratch 2 000</v>
          </cell>
          <cell r="Q925" t="str">
            <v>42007</v>
          </cell>
          <cell r="R925" t="str">
            <v>42007Scratch 2 000</v>
          </cell>
          <cell r="S925" t="str">
            <v>2007Scratch 2 000</v>
          </cell>
          <cell r="T925" t="str">
            <v>42007Compagnie Internationale de Negoce</v>
          </cell>
          <cell r="U925" t="str">
            <v>42007Compagnie Internationale de NegoceScratch 2 000</v>
          </cell>
          <cell r="V925" t="str">
            <v>39188Scratch 2 000</v>
          </cell>
          <cell r="W925" t="str">
            <v>2007Compagnie Internationale de Negoce</v>
          </cell>
          <cell r="X925" t="str">
            <v>2007Compagnie Internationale de NegoceScratch 2 000</v>
          </cell>
        </row>
        <row r="926">
          <cell r="I926">
            <v>2007</v>
          </cell>
          <cell r="J926" t="str">
            <v>Compagnie Internationale de NegoceScratch 5 000</v>
          </cell>
          <cell r="L926">
            <v>0</v>
          </cell>
          <cell r="M926" t="str">
            <v>Compagnie Internationale de Negoce</v>
          </cell>
          <cell r="N926" t="str">
            <v>Compagnie Internationale de NegoceScratch 5 000</v>
          </cell>
          <cell r="O926" t="str">
            <v>Compagnie Internationale de Negoce</v>
          </cell>
          <cell r="P926" t="str">
            <v>Scratch 5 000</v>
          </cell>
          <cell r="Q926" t="str">
            <v>42007</v>
          </cell>
          <cell r="R926" t="str">
            <v>42007Scratch 5 000</v>
          </cell>
          <cell r="S926" t="str">
            <v>2007Scratch 5 000</v>
          </cell>
          <cell r="T926" t="str">
            <v>42007Compagnie Internationale de Negoce</v>
          </cell>
          <cell r="U926" t="str">
            <v>42007Compagnie Internationale de NegoceScratch 5 000</v>
          </cell>
          <cell r="V926" t="str">
            <v>39188Scratch 5 000</v>
          </cell>
          <cell r="W926" t="str">
            <v>2007Compagnie Internationale de Negoce</v>
          </cell>
          <cell r="X926" t="str">
            <v>2007Compagnie Internationale de NegoceScratch 5 000</v>
          </cell>
        </row>
        <row r="927">
          <cell r="I927">
            <v>2007</v>
          </cell>
          <cell r="J927" t="str">
            <v>Compagnie Internationale de NegoceScratch 20 000</v>
          </cell>
          <cell r="L927">
            <v>0</v>
          </cell>
          <cell r="M927" t="str">
            <v>Compagnie Internationale de Negoce</v>
          </cell>
          <cell r="N927" t="str">
            <v>Compagnie Internationale de NegoceScratch 20 000</v>
          </cell>
          <cell r="O927" t="str">
            <v>Compagnie Internationale de Negoce</v>
          </cell>
          <cell r="P927" t="str">
            <v>Scratch 20 000</v>
          </cell>
          <cell r="Q927" t="str">
            <v>42007</v>
          </cell>
          <cell r="R927" t="str">
            <v>42007Scratch 20 000</v>
          </cell>
          <cell r="S927" t="str">
            <v>2007Scratch 20 000</v>
          </cell>
          <cell r="T927" t="str">
            <v>42007Compagnie Internationale de Negoce</v>
          </cell>
          <cell r="U927" t="str">
            <v>42007Compagnie Internationale de NegoceScratch 20 000</v>
          </cell>
          <cell r="V927" t="str">
            <v>39188Scratch 20 000</v>
          </cell>
          <cell r="W927" t="str">
            <v>2007Compagnie Internationale de Negoce</v>
          </cell>
          <cell r="X927" t="str">
            <v>2007Compagnie Internationale de NegoceScratch 20 000</v>
          </cell>
        </row>
        <row r="928">
          <cell r="I928">
            <v>2007</v>
          </cell>
          <cell r="J928" t="str">
            <v>STS GAMBY &amp; FRERES (SOGAF) SarlScratch 1 000</v>
          </cell>
          <cell r="L928">
            <v>1</v>
          </cell>
          <cell r="M928" t="str">
            <v>1STS GAMBY &amp; FRERES (SOGAF) Sarl</v>
          </cell>
          <cell r="N928" t="str">
            <v>STS GAMBY &amp; FRERES (SOGAF) SarlScratch 1 000</v>
          </cell>
          <cell r="O928" t="str">
            <v>STS GAMBY &amp; FRERES (SOGAF) Sarl</v>
          </cell>
          <cell r="P928" t="str">
            <v>Scratch 1 000</v>
          </cell>
          <cell r="Q928" t="str">
            <v>42007</v>
          </cell>
          <cell r="R928" t="str">
            <v>42007Scratch 1 000</v>
          </cell>
          <cell r="S928" t="str">
            <v>2007Scratch 1 000</v>
          </cell>
          <cell r="T928" t="str">
            <v>42007STS GAMBY &amp; FRERES (SOGAF) Sarl</v>
          </cell>
          <cell r="U928" t="str">
            <v>42007STS GAMBY &amp; FRERES (SOGAF) SarlScratch 1 000</v>
          </cell>
          <cell r="V928" t="str">
            <v>39188Scratch 1 000</v>
          </cell>
          <cell r="W928" t="str">
            <v>2007STS GAMBY &amp; FRERES (SOGAF) Sarl</v>
          </cell>
          <cell r="X928" t="str">
            <v>2007STS GAMBY &amp; FRERES (SOGAF) SarlScratch 1 000</v>
          </cell>
        </row>
        <row r="929">
          <cell r="I929">
            <v>2007</v>
          </cell>
          <cell r="J929" t="str">
            <v>STS GAMBY &amp; FRERES (SOGAF) SarlScratch 2 000</v>
          </cell>
          <cell r="L929">
            <v>0</v>
          </cell>
          <cell r="M929" t="str">
            <v>STS GAMBY &amp; FRERES (SOGAF) Sarl</v>
          </cell>
          <cell r="N929" t="str">
            <v>STS GAMBY &amp; FRERES (SOGAF) SarlScratch 2 000</v>
          </cell>
          <cell r="O929" t="str">
            <v>STS GAMBY &amp; FRERES (SOGAF) Sarl</v>
          </cell>
          <cell r="P929" t="str">
            <v>Scratch 2 000</v>
          </cell>
          <cell r="Q929" t="str">
            <v>42007</v>
          </cell>
          <cell r="R929" t="str">
            <v>42007Scratch 2 000</v>
          </cell>
          <cell r="S929" t="str">
            <v>2007Scratch 2 000</v>
          </cell>
          <cell r="T929" t="str">
            <v>42007STS GAMBY &amp; FRERES (SOGAF) Sarl</v>
          </cell>
          <cell r="U929" t="str">
            <v>42007STS GAMBY &amp; FRERES (SOGAF) SarlScratch 2 000</v>
          </cell>
          <cell r="V929" t="str">
            <v>39188Scratch 2 000</v>
          </cell>
          <cell r="W929" t="str">
            <v>2007STS GAMBY &amp; FRERES (SOGAF) Sarl</v>
          </cell>
          <cell r="X929" t="str">
            <v>2007STS GAMBY &amp; FRERES (SOGAF) SarlScratch 2 000</v>
          </cell>
        </row>
        <row r="930">
          <cell r="I930">
            <v>2007</v>
          </cell>
          <cell r="J930" t="str">
            <v>STS GAMBY &amp; FRERES (SOGAF) SarlScratch 5 000</v>
          </cell>
          <cell r="L930">
            <v>0</v>
          </cell>
          <cell r="M930" t="str">
            <v>STS GAMBY &amp; FRERES (SOGAF) Sarl</v>
          </cell>
          <cell r="N930" t="str">
            <v>STS GAMBY &amp; FRERES (SOGAF) SarlScratch 5 000</v>
          </cell>
          <cell r="O930" t="str">
            <v>STS GAMBY &amp; FRERES (SOGAF) Sarl</v>
          </cell>
          <cell r="P930" t="str">
            <v>Scratch 5 000</v>
          </cell>
          <cell r="Q930" t="str">
            <v>42007</v>
          </cell>
          <cell r="R930" t="str">
            <v>42007Scratch 5 000</v>
          </cell>
          <cell r="S930" t="str">
            <v>2007Scratch 5 000</v>
          </cell>
          <cell r="T930" t="str">
            <v>42007STS GAMBY &amp; FRERES (SOGAF) Sarl</v>
          </cell>
          <cell r="U930" t="str">
            <v>42007STS GAMBY &amp; FRERES (SOGAF) SarlScratch 5 000</v>
          </cell>
          <cell r="V930" t="str">
            <v>39188Scratch 5 000</v>
          </cell>
          <cell r="W930" t="str">
            <v>2007STS GAMBY &amp; FRERES (SOGAF) Sarl</v>
          </cell>
          <cell r="X930" t="str">
            <v>2007STS GAMBY &amp; FRERES (SOGAF) SarlScratch 5 000</v>
          </cell>
        </row>
        <row r="931">
          <cell r="I931">
            <v>2007</v>
          </cell>
          <cell r="J931" t="str">
            <v>STS GAMBY &amp; FRERES (SOGAF) SarlScratch 10 000</v>
          </cell>
          <cell r="L931">
            <v>0</v>
          </cell>
          <cell r="M931" t="str">
            <v>STS GAMBY &amp; FRERES (SOGAF) Sarl</v>
          </cell>
          <cell r="N931" t="str">
            <v>STS GAMBY &amp; FRERES (SOGAF) SarlScratch 10 000</v>
          </cell>
          <cell r="O931" t="str">
            <v>STS GAMBY &amp; FRERES (SOGAF) Sarl</v>
          </cell>
          <cell r="P931" t="str">
            <v>Scratch 10 000</v>
          </cell>
          <cell r="Q931" t="str">
            <v>42007</v>
          </cell>
          <cell r="R931" t="str">
            <v>42007Scratch 10 000</v>
          </cell>
          <cell r="S931" t="str">
            <v>2007Scratch 10 000</v>
          </cell>
          <cell r="T931" t="str">
            <v>42007STS GAMBY &amp; FRERES (SOGAF) Sarl</v>
          </cell>
          <cell r="U931" t="str">
            <v>42007STS GAMBY &amp; FRERES (SOGAF) SarlScratch 10 000</v>
          </cell>
          <cell r="V931" t="str">
            <v>39188Scratch 10 000</v>
          </cell>
          <cell r="W931" t="str">
            <v>2007STS GAMBY &amp; FRERES (SOGAF) Sarl</v>
          </cell>
          <cell r="X931" t="str">
            <v>2007STS GAMBY &amp; FRERES (SOGAF) SarlScratch 10 000</v>
          </cell>
        </row>
        <row r="932">
          <cell r="I932">
            <v>2007</v>
          </cell>
          <cell r="J932" t="str">
            <v>STS GAMBY &amp; FRERES (SOGAF) SarlScratch 20 000</v>
          </cell>
          <cell r="L932">
            <v>0</v>
          </cell>
          <cell r="M932" t="str">
            <v>STS GAMBY &amp; FRERES (SOGAF) Sarl</v>
          </cell>
          <cell r="N932" t="str">
            <v>STS GAMBY &amp; FRERES (SOGAF) SarlScratch 20 000</v>
          </cell>
          <cell r="O932" t="str">
            <v>STS GAMBY &amp; FRERES (SOGAF) Sarl</v>
          </cell>
          <cell r="P932" t="str">
            <v>Scratch 20 000</v>
          </cell>
          <cell r="Q932" t="str">
            <v>42007</v>
          </cell>
          <cell r="R932" t="str">
            <v>42007Scratch 20 000</v>
          </cell>
          <cell r="S932" t="str">
            <v>2007Scratch 20 000</v>
          </cell>
          <cell r="T932" t="str">
            <v>42007STS GAMBY &amp; FRERES (SOGAF) Sarl</v>
          </cell>
          <cell r="U932" t="str">
            <v>42007STS GAMBY &amp; FRERES (SOGAF) SarlScratch 20 000</v>
          </cell>
          <cell r="V932" t="str">
            <v>39188Scratch 20 000</v>
          </cell>
          <cell r="W932" t="str">
            <v>2007STS GAMBY &amp; FRERES (SOGAF) Sarl</v>
          </cell>
          <cell r="X932" t="str">
            <v>2007STS GAMBY &amp; FRERES (SOGAF) SarlScratch 20 000</v>
          </cell>
        </row>
        <row r="933">
          <cell r="I933">
            <v>2007</v>
          </cell>
          <cell r="J933" t="str">
            <v>GEMATELScratch 1 000</v>
          </cell>
          <cell r="L933">
            <v>1</v>
          </cell>
          <cell r="M933" t="str">
            <v>1GEMATEL</v>
          </cell>
          <cell r="N933" t="str">
            <v>GEMATELScratch 1 000</v>
          </cell>
          <cell r="O933" t="str">
            <v>GEMATEL</v>
          </cell>
          <cell r="P933" t="str">
            <v>Scratch 1 000</v>
          </cell>
          <cell r="Q933" t="str">
            <v>42007</v>
          </cell>
          <cell r="R933" t="str">
            <v>42007Scratch 1 000</v>
          </cell>
          <cell r="S933" t="str">
            <v>2007Scratch 1 000</v>
          </cell>
          <cell r="T933" t="str">
            <v>42007GEMATEL</v>
          </cell>
          <cell r="U933" t="str">
            <v>42007GEMATELScratch 1 000</v>
          </cell>
          <cell r="V933" t="str">
            <v>39188Scratch 1 000</v>
          </cell>
          <cell r="W933" t="str">
            <v>2007GEMATEL</v>
          </cell>
          <cell r="X933" t="str">
            <v>2007GEMATELScratch 1 000</v>
          </cell>
        </row>
        <row r="934">
          <cell r="I934">
            <v>2007</v>
          </cell>
          <cell r="J934" t="str">
            <v>GEMATELScratch 2 000</v>
          </cell>
          <cell r="L934">
            <v>0</v>
          </cell>
          <cell r="M934" t="str">
            <v>GEMATEL</v>
          </cell>
          <cell r="N934" t="str">
            <v>GEMATELScratch 2 000</v>
          </cell>
          <cell r="O934" t="str">
            <v>GEMATEL</v>
          </cell>
          <cell r="P934" t="str">
            <v>Scratch 2 000</v>
          </cell>
          <cell r="Q934" t="str">
            <v>42007</v>
          </cell>
          <cell r="R934" t="str">
            <v>42007Scratch 2 000</v>
          </cell>
          <cell r="S934" t="str">
            <v>2007Scratch 2 000</v>
          </cell>
          <cell r="T934" t="str">
            <v>42007GEMATEL</v>
          </cell>
          <cell r="U934" t="str">
            <v>42007GEMATELScratch 2 000</v>
          </cell>
          <cell r="V934" t="str">
            <v>39188Scratch 2 000</v>
          </cell>
          <cell r="W934" t="str">
            <v>2007GEMATEL</v>
          </cell>
          <cell r="X934" t="str">
            <v>2007GEMATELScratch 2 000</v>
          </cell>
        </row>
        <row r="935">
          <cell r="I935">
            <v>2007</v>
          </cell>
          <cell r="J935" t="str">
            <v>GEMATELScratch 5 000</v>
          </cell>
          <cell r="L935">
            <v>0</v>
          </cell>
          <cell r="M935" t="str">
            <v>GEMATEL</v>
          </cell>
          <cell r="N935" t="str">
            <v>GEMATELScratch 5 000</v>
          </cell>
          <cell r="O935" t="str">
            <v>GEMATEL</v>
          </cell>
          <cell r="P935" t="str">
            <v>Scratch 5 000</v>
          </cell>
          <cell r="Q935" t="str">
            <v>42007</v>
          </cell>
          <cell r="R935" t="str">
            <v>42007Scratch 5 000</v>
          </cell>
          <cell r="S935" t="str">
            <v>2007Scratch 5 000</v>
          </cell>
          <cell r="T935" t="str">
            <v>42007GEMATEL</v>
          </cell>
          <cell r="U935" t="str">
            <v>42007GEMATELScratch 5 000</v>
          </cell>
          <cell r="V935" t="str">
            <v>39188Scratch 5 000</v>
          </cell>
          <cell r="W935" t="str">
            <v>2007GEMATEL</v>
          </cell>
          <cell r="X935" t="str">
            <v>2007GEMATELScratch 5 000</v>
          </cell>
        </row>
        <row r="936">
          <cell r="I936">
            <v>2007</v>
          </cell>
          <cell r="J936" t="str">
            <v>GEMATELScratch 10 000</v>
          </cell>
          <cell r="L936">
            <v>0</v>
          </cell>
          <cell r="M936" t="str">
            <v>GEMATEL</v>
          </cell>
          <cell r="N936" t="str">
            <v>GEMATELScratch 10 000</v>
          </cell>
          <cell r="O936" t="str">
            <v>GEMATEL</v>
          </cell>
          <cell r="P936" t="str">
            <v>Scratch 10 000</v>
          </cell>
          <cell r="Q936" t="str">
            <v>42007</v>
          </cell>
          <cell r="R936" t="str">
            <v>42007Scratch 10 000</v>
          </cell>
          <cell r="S936" t="str">
            <v>2007Scratch 10 000</v>
          </cell>
          <cell r="T936" t="str">
            <v>42007GEMATEL</v>
          </cell>
          <cell r="U936" t="str">
            <v>42007GEMATELScratch 10 000</v>
          </cell>
          <cell r="V936" t="str">
            <v>39188Scratch 10 000</v>
          </cell>
          <cell r="W936" t="str">
            <v>2007GEMATEL</v>
          </cell>
          <cell r="X936" t="str">
            <v>2007GEMATELScratch 10 000</v>
          </cell>
        </row>
        <row r="937">
          <cell r="I937">
            <v>2007</v>
          </cell>
          <cell r="J937" t="str">
            <v>GEMATELScratch 20 000</v>
          </cell>
          <cell r="L937">
            <v>0</v>
          </cell>
          <cell r="M937" t="str">
            <v>GEMATEL</v>
          </cell>
          <cell r="N937" t="str">
            <v>GEMATELScratch 20 000</v>
          </cell>
          <cell r="O937" t="str">
            <v>GEMATEL</v>
          </cell>
          <cell r="P937" t="str">
            <v>Scratch 20 000</v>
          </cell>
          <cell r="Q937" t="str">
            <v>42007</v>
          </cell>
          <cell r="R937" t="str">
            <v>42007Scratch 20 000</v>
          </cell>
          <cell r="S937" t="str">
            <v>2007Scratch 20 000</v>
          </cell>
          <cell r="T937" t="str">
            <v>42007GEMATEL</v>
          </cell>
          <cell r="U937" t="str">
            <v>42007GEMATELScratch 20 000</v>
          </cell>
          <cell r="V937" t="str">
            <v>39188Scratch 20 000</v>
          </cell>
          <cell r="W937" t="str">
            <v>2007GEMATEL</v>
          </cell>
          <cell r="X937" t="str">
            <v>2007GEMATELScratch 20 000</v>
          </cell>
        </row>
        <row r="938">
          <cell r="I938">
            <v>2007</v>
          </cell>
          <cell r="J938" t="str">
            <v>ANKA ServicesScratch 1 000</v>
          </cell>
          <cell r="L938">
            <v>1</v>
          </cell>
          <cell r="M938" t="str">
            <v>1ANKA Services</v>
          </cell>
          <cell r="N938" t="str">
            <v>ANKA ServicesScratch 1 000</v>
          </cell>
          <cell r="O938" t="str">
            <v>ANKA Services</v>
          </cell>
          <cell r="P938" t="str">
            <v>Scratch 1 000</v>
          </cell>
          <cell r="Q938" t="str">
            <v>42007</v>
          </cell>
          <cell r="R938" t="str">
            <v>42007Scratch 1 000</v>
          </cell>
          <cell r="S938" t="str">
            <v>2007Scratch 1 000</v>
          </cell>
          <cell r="T938" t="str">
            <v>42007ANKA Services</v>
          </cell>
          <cell r="U938" t="str">
            <v>42007ANKA ServicesScratch 1 000</v>
          </cell>
          <cell r="V938" t="str">
            <v>39188Scratch 1 000</v>
          </cell>
          <cell r="W938" t="str">
            <v>2007ANKA Services</v>
          </cell>
          <cell r="X938" t="str">
            <v>2007ANKA ServicesScratch 1 000</v>
          </cell>
        </row>
        <row r="939">
          <cell r="I939">
            <v>2007</v>
          </cell>
          <cell r="J939" t="str">
            <v>ANKA ServicesScratch 2 000</v>
          </cell>
          <cell r="L939">
            <v>0</v>
          </cell>
          <cell r="M939" t="str">
            <v>ANKA Services</v>
          </cell>
          <cell r="N939" t="str">
            <v>ANKA ServicesScratch 2 000</v>
          </cell>
          <cell r="O939" t="str">
            <v>ANKA Services</v>
          </cell>
          <cell r="P939" t="str">
            <v>Scratch 2 000</v>
          </cell>
          <cell r="Q939" t="str">
            <v>42007</v>
          </cell>
          <cell r="R939" t="str">
            <v>42007Scratch 2 000</v>
          </cell>
          <cell r="S939" t="str">
            <v>2007Scratch 2 000</v>
          </cell>
          <cell r="T939" t="str">
            <v>42007ANKA Services</v>
          </cell>
          <cell r="U939" t="str">
            <v>42007ANKA ServicesScratch 2 000</v>
          </cell>
          <cell r="V939" t="str">
            <v>39188Scratch 2 000</v>
          </cell>
          <cell r="W939" t="str">
            <v>2007ANKA Services</v>
          </cell>
          <cell r="X939" t="str">
            <v>2007ANKA ServicesScratch 2 000</v>
          </cell>
        </row>
        <row r="940">
          <cell r="I940">
            <v>2007</v>
          </cell>
          <cell r="J940" t="str">
            <v>ANKA ServicesScratch 5 000</v>
          </cell>
          <cell r="L940">
            <v>0</v>
          </cell>
          <cell r="M940" t="str">
            <v>ANKA Services</v>
          </cell>
          <cell r="N940" t="str">
            <v>ANKA ServicesScratch 5 000</v>
          </cell>
          <cell r="O940" t="str">
            <v>ANKA Services</v>
          </cell>
          <cell r="P940" t="str">
            <v>Scratch 5 000</v>
          </cell>
          <cell r="Q940" t="str">
            <v>42007</v>
          </cell>
          <cell r="R940" t="str">
            <v>42007Scratch 5 000</v>
          </cell>
          <cell r="S940" t="str">
            <v>2007Scratch 5 000</v>
          </cell>
          <cell r="T940" t="str">
            <v>42007ANKA Services</v>
          </cell>
          <cell r="U940" t="str">
            <v>42007ANKA ServicesScratch 5 000</v>
          </cell>
          <cell r="V940" t="str">
            <v>39188Scratch 5 000</v>
          </cell>
          <cell r="W940" t="str">
            <v>2007ANKA Services</v>
          </cell>
          <cell r="X940" t="str">
            <v>2007ANKA ServicesScratch 5 000</v>
          </cell>
        </row>
        <row r="941">
          <cell r="I941">
            <v>2007</v>
          </cell>
          <cell r="J941" t="str">
            <v>Compagnie Internationale de NegoceScratch 1 000</v>
          </cell>
          <cell r="L941">
            <v>1</v>
          </cell>
          <cell r="M941" t="str">
            <v>1Compagnie Internationale de Negoce</v>
          </cell>
          <cell r="N941" t="str">
            <v>Compagnie Internationale de NegoceScratch 1 000</v>
          </cell>
          <cell r="O941" t="str">
            <v>Compagnie Internationale de Negoce</v>
          </cell>
          <cell r="P941" t="str">
            <v>Scratch 1 000</v>
          </cell>
          <cell r="Q941" t="str">
            <v>42007</v>
          </cell>
          <cell r="R941" t="str">
            <v>42007Scratch 1 000</v>
          </cell>
          <cell r="S941" t="str">
            <v>2007Scratch 1 000</v>
          </cell>
          <cell r="T941" t="str">
            <v>42007Compagnie Internationale de Negoce</v>
          </cell>
          <cell r="U941" t="str">
            <v>42007Compagnie Internationale de NegoceScratch 1 000</v>
          </cell>
          <cell r="V941" t="str">
            <v>39189Scratch 1 000</v>
          </cell>
          <cell r="W941" t="str">
            <v>2007Compagnie Internationale de Negoce</v>
          </cell>
          <cell r="X941" t="str">
            <v>2007Compagnie Internationale de NegoceScratch 1 000</v>
          </cell>
        </row>
        <row r="942">
          <cell r="I942">
            <v>2007</v>
          </cell>
          <cell r="J942" t="str">
            <v>Compagnie Internationale de NegoceScratch 2 000</v>
          </cell>
          <cell r="L942">
            <v>0</v>
          </cell>
          <cell r="M942" t="str">
            <v>Compagnie Internationale de Negoce</v>
          </cell>
          <cell r="N942" t="str">
            <v>Compagnie Internationale de NegoceScratch 2 000</v>
          </cell>
          <cell r="O942" t="str">
            <v>Compagnie Internationale de Negoce</v>
          </cell>
          <cell r="P942" t="str">
            <v>Scratch 2 000</v>
          </cell>
          <cell r="Q942" t="str">
            <v>42007</v>
          </cell>
          <cell r="R942" t="str">
            <v>42007Scratch 2 000</v>
          </cell>
          <cell r="S942" t="str">
            <v>2007Scratch 2 000</v>
          </cell>
          <cell r="T942" t="str">
            <v>42007Compagnie Internationale de Negoce</v>
          </cell>
          <cell r="U942" t="str">
            <v>42007Compagnie Internationale de NegoceScratch 2 000</v>
          </cell>
          <cell r="V942" t="str">
            <v>39189Scratch 2 000</v>
          </cell>
          <cell r="W942" t="str">
            <v>2007Compagnie Internationale de Negoce</v>
          </cell>
          <cell r="X942" t="str">
            <v>2007Compagnie Internationale de NegoceScratch 2 000</v>
          </cell>
        </row>
        <row r="943">
          <cell r="I943">
            <v>2007</v>
          </cell>
          <cell r="J943" t="str">
            <v>Compagnie Internationale de NegoceScratch 5 000</v>
          </cell>
          <cell r="L943">
            <v>0</v>
          </cell>
          <cell r="M943" t="str">
            <v>Compagnie Internationale de Negoce</v>
          </cell>
          <cell r="N943" t="str">
            <v>Compagnie Internationale de NegoceScratch 5 000</v>
          </cell>
          <cell r="O943" t="str">
            <v>Compagnie Internationale de Negoce</v>
          </cell>
          <cell r="P943" t="str">
            <v>Scratch 5 000</v>
          </cell>
          <cell r="Q943" t="str">
            <v>42007</v>
          </cell>
          <cell r="R943" t="str">
            <v>42007Scratch 5 000</v>
          </cell>
          <cell r="S943" t="str">
            <v>2007Scratch 5 000</v>
          </cell>
          <cell r="T943" t="str">
            <v>42007Compagnie Internationale de Negoce</v>
          </cell>
          <cell r="U943" t="str">
            <v>42007Compagnie Internationale de NegoceScratch 5 000</v>
          </cell>
          <cell r="V943" t="str">
            <v>39189Scratch 5 000</v>
          </cell>
          <cell r="W943" t="str">
            <v>2007Compagnie Internationale de Negoce</v>
          </cell>
          <cell r="X943" t="str">
            <v>2007Compagnie Internationale de NegoceScratch 5 000</v>
          </cell>
        </row>
        <row r="944">
          <cell r="I944">
            <v>2007</v>
          </cell>
          <cell r="J944" t="str">
            <v>Compagnie Internationale de NegoceScratch 10 000</v>
          </cell>
          <cell r="L944">
            <v>0</v>
          </cell>
          <cell r="M944" t="str">
            <v>Compagnie Internationale de Negoce</v>
          </cell>
          <cell r="N944" t="str">
            <v>Compagnie Internationale de NegoceScratch 10 000</v>
          </cell>
          <cell r="O944" t="str">
            <v>Compagnie Internationale de Negoce</v>
          </cell>
          <cell r="P944" t="str">
            <v>Scratch 10 000</v>
          </cell>
          <cell r="Q944" t="str">
            <v>42007</v>
          </cell>
          <cell r="R944" t="str">
            <v>42007Scratch 10 000</v>
          </cell>
          <cell r="S944" t="str">
            <v>2007Scratch 10 000</v>
          </cell>
          <cell r="T944" t="str">
            <v>42007Compagnie Internationale de Negoce</v>
          </cell>
          <cell r="U944" t="str">
            <v>42007Compagnie Internationale de NegoceScratch 10 000</v>
          </cell>
          <cell r="V944" t="str">
            <v>39189Scratch 10 000</v>
          </cell>
          <cell r="W944" t="str">
            <v>2007Compagnie Internationale de Negoce</v>
          </cell>
          <cell r="X944" t="str">
            <v>2007Compagnie Internationale de NegoceScratch 10 000</v>
          </cell>
        </row>
        <row r="945">
          <cell r="I945">
            <v>2007</v>
          </cell>
          <cell r="J945" t="str">
            <v>Compagnie Internationale de NegoceScratch 20 000</v>
          </cell>
          <cell r="L945">
            <v>0</v>
          </cell>
          <cell r="M945" t="str">
            <v>Compagnie Internationale de Negoce</v>
          </cell>
          <cell r="N945" t="str">
            <v>Compagnie Internationale de NegoceScratch 20 000</v>
          </cell>
          <cell r="O945" t="str">
            <v>Compagnie Internationale de Negoce</v>
          </cell>
          <cell r="P945" t="str">
            <v>Scratch 20 000</v>
          </cell>
          <cell r="Q945" t="str">
            <v>42007</v>
          </cell>
          <cell r="R945" t="str">
            <v>42007Scratch 20 000</v>
          </cell>
          <cell r="S945" t="str">
            <v>2007Scratch 20 000</v>
          </cell>
          <cell r="T945" t="str">
            <v>42007Compagnie Internationale de Negoce</v>
          </cell>
          <cell r="U945" t="str">
            <v>42007Compagnie Internationale de NegoceScratch 20 000</v>
          </cell>
          <cell r="V945" t="str">
            <v>39189Scratch 20 000</v>
          </cell>
          <cell r="W945" t="str">
            <v>2007Compagnie Internationale de Negoce</v>
          </cell>
          <cell r="X945" t="str">
            <v>2007Compagnie Internationale de NegoceScratch 20 000</v>
          </cell>
        </row>
        <row r="946">
          <cell r="I946">
            <v>2007</v>
          </cell>
          <cell r="J946" t="str">
            <v>Burtel MacsymScratch 1 000</v>
          </cell>
          <cell r="L946">
            <v>1</v>
          </cell>
          <cell r="M946" t="str">
            <v>1Burtel Macsym</v>
          </cell>
          <cell r="N946" t="str">
            <v>Burtel MacsymScratch 1 000</v>
          </cell>
          <cell r="O946" t="str">
            <v>Burtel Macsym</v>
          </cell>
          <cell r="P946" t="str">
            <v>Scratch 1 000</v>
          </cell>
          <cell r="Q946" t="str">
            <v>42007</v>
          </cell>
          <cell r="R946" t="str">
            <v>42007Scratch 1 000</v>
          </cell>
          <cell r="S946" t="str">
            <v>2007Scratch 1 000</v>
          </cell>
          <cell r="T946" t="str">
            <v>42007Burtel Macsym</v>
          </cell>
          <cell r="U946" t="str">
            <v>42007Burtel MacsymScratch 1 000</v>
          </cell>
          <cell r="V946" t="str">
            <v>39189Scratch 1 000</v>
          </cell>
          <cell r="W946" t="str">
            <v>2007Burtel Macsym</v>
          </cell>
          <cell r="X946" t="str">
            <v>2007Burtel MacsymScratch 1 000</v>
          </cell>
        </row>
        <row r="947">
          <cell r="I947">
            <v>2007</v>
          </cell>
          <cell r="J947" t="str">
            <v>Burtel MacsymScratch 2 000</v>
          </cell>
          <cell r="L947">
            <v>0</v>
          </cell>
          <cell r="M947" t="str">
            <v>Burtel Macsym</v>
          </cell>
          <cell r="N947" t="str">
            <v>Burtel MacsymScratch 2 000</v>
          </cell>
          <cell r="O947" t="str">
            <v>Burtel Macsym</v>
          </cell>
          <cell r="P947" t="str">
            <v>Scratch 2 000</v>
          </cell>
          <cell r="Q947" t="str">
            <v>42007</v>
          </cell>
          <cell r="R947" t="str">
            <v>42007Scratch 2 000</v>
          </cell>
          <cell r="S947" t="str">
            <v>2007Scratch 2 000</v>
          </cell>
          <cell r="T947" t="str">
            <v>42007Burtel Macsym</v>
          </cell>
          <cell r="U947" t="str">
            <v>42007Burtel MacsymScratch 2 000</v>
          </cell>
          <cell r="V947" t="str">
            <v>39189Scratch 2 000</v>
          </cell>
          <cell r="W947" t="str">
            <v>2007Burtel Macsym</v>
          </cell>
          <cell r="X947" t="str">
            <v>2007Burtel MacsymScratch 2 000</v>
          </cell>
        </row>
        <row r="948">
          <cell r="I948">
            <v>2007</v>
          </cell>
          <cell r="J948" t="str">
            <v>STS GAMBY &amp; FRERES (SOGAF) SarlScratch 1 000</v>
          </cell>
          <cell r="L948">
            <v>1</v>
          </cell>
          <cell r="M948" t="str">
            <v>1STS GAMBY &amp; FRERES (SOGAF) Sarl</v>
          </cell>
          <cell r="N948" t="str">
            <v>STS GAMBY &amp; FRERES (SOGAF) SarlScratch 1 000</v>
          </cell>
          <cell r="O948" t="str">
            <v>STS GAMBY &amp; FRERES (SOGAF) Sarl</v>
          </cell>
          <cell r="P948" t="str">
            <v>Scratch 1 000</v>
          </cell>
          <cell r="Q948" t="str">
            <v>42007</v>
          </cell>
          <cell r="R948" t="str">
            <v>42007Scratch 1 000</v>
          </cell>
          <cell r="S948" t="str">
            <v>2007Scratch 1 000</v>
          </cell>
          <cell r="T948" t="str">
            <v>42007STS GAMBY &amp; FRERES (SOGAF) Sarl</v>
          </cell>
          <cell r="U948" t="str">
            <v>42007STS GAMBY &amp; FRERES (SOGAF) SarlScratch 1 000</v>
          </cell>
          <cell r="V948" t="str">
            <v>39189Scratch 1 000</v>
          </cell>
          <cell r="W948" t="str">
            <v>2007STS GAMBY &amp; FRERES (SOGAF) Sarl</v>
          </cell>
          <cell r="X948" t="str">
            <v>2007STS GAMBY &amp; FRERES (SOGAF) SarlScratch 1 000</v>
          </cell>
        </row>
        <row r="949">
          <cell r="I949">
            <v>2007</v>
          </cell>
          <cell r="J949" t="str">
            <v>STS GAMBY &amp; FRERES (SOGAF) SarlScratch 2 000</v>
          </cell>
          <cell r="L949">
            <v>0</v>
          </cell>
          <cell r="M949" t="str">
            <v>STS GAMBY &amp; FRERES (SOGAF) Sarl</v>
          </cell>
          <cell r="N949" t="str">
            <v>STS GAMBY &amp; FRERES (SOGAF) SarlScratch 2 000</v>
          </cell>
          <cell r="O949" t="str">
            <v>STS GAMBY &amp; FRERES (SOGAF) Sarl</v>
          </cell>
          <cell r="P949" t="str">
            <v>Scratch 2 000</v>
          </cell>
          <cell r="Q949" t="str">
            <v>42007</v>
          </cell>
          <cell r="R949" t="str">
            <v>42007Scratch 2 000</v>
          </cell>
          <cell r="S949" t="str">
            <v>2007Scratch 2 000</v>
          </cell>
          <cell r="T949" t="str">
            <v>42007STS GAMBY &amp; FRERES (SOGAF) Sarl</v>
          </cell>
          <cell r="U949" t="str">
            <v>42007STS GAMBY &amp; FRERES (SOGAF) SarlScratch 2 000</v>
          </cell>
          <cell r="V949" t="str">
            <v>39189Scratch 2 000</v>
          </cell>
          <cell r="W949" t="str">
            <v>2007STS GAMBY &amp; FRERES (SOGAF) Sarl</v>
          </cell>
          <cell r="X949" t="str">
            <v>2007STS GAMBY &amp; FRERES (SOGAF) SarlScratch 2 000</v>
          </cell>
        </row>
        <row r="950">
          <cell r="I950">
            <v>2007</v>
          </cell>
          <cell r="J950" t="str">
            <v>STS GAMBY &amp; FRERES (SOGAF) SarlScratch 5 000</v>
          </cell>
          <cell r="L950">
            <v>0</v>
          </cell>
          <cell r="M950" t="str">
            <v>STS GAMBY &amp; FRERES (SOGAF) Sarl</v>
          </cell>
          <cell r="N950" t="str">
            <v>STS GAMBY &amp; FRERES (SOGAF) SarlScratch 5 000</v>
          </cell>
          <cell r="O950" t="str">
            <v>STS GAMBY &amp; FRERES (SOGAF) Sarl</v>
          </cell>
          <cell r="P950" t="str">
            <v>Scratch 5 000</v>
          </cell>
          <cell r="Q950" t="str">
            <v>42007</v>
          </cell>
          <cell r="R950" t="str">
            <v>42007Scratch 5 000</v>
          </cell>
          <cell r="S950" t="str">
            <v>2007Scratch 5 000</v>
          </cell>
          <cell r="T950" t="str">
            <v>42007STS GAMBY &amp; FRERES (SOGAF) Sarl</v>
          </cell>
          <cell r="U950" t="str">
            <v>42007STS GAMBY &amp; FRERES (SOGAF) SarlScratch 5 000</v>
          </cell>
          <cell r="V950" t="str">
            <v>39189Scratch 5 000</v>
          </cell>
          <cell r="W950" t="str">
            <v>2007STS GAMBY &amp; FRERES (SOGAF) Sarl</v>
          </cell>
          <cell r="X950" t="str">
            <v>2007STS GAMBY &amp; FRERES (SOGAF) SarlScratch 5 000</v>
          </cell>
        </row>
        <row r="951">
          <cell r="I951">
            <v>2007</v>
          </cell>
          <cell r="J951" t="str">
            <v>GEMATELScratch 1 000</v>
          </cell>
          <cell r="L951">
            <v>1</v>
          </cell>
          <cell r="M951" t="str">
            <v>1GEMATEL</v>
          </cell>
          <cell r="N951" t="str">
            <v>GEMATELScratch 1 000</v>
          </cell>
          <cell r="O951" t="str">
            <v>GEMATEL</v>
          </cell>
          <cell r="P951" t="str">
            <v>Scratch 1 000</v>
          </cell>
          <cell r="Q951" t="str">
            <v>42007</v>
          </cell>
          <cell r="R951" t="str">
            <v>42007Scratch 1 000</v>
          </cell>
          <cell r="S951" t="str">
            <v>2007Scratch 1 000</v>
          </cell>
          <cell r="T951" t="str">
            <v>42007GEMATEL</v>
          </cell>
          <cell r="U951" t="str">
            <v>42007GEMATELScratch 1 000</v>
          </cell>
          <cell r="V951" t="str">
            <v>39190Scratch 1 000</v>
          </cell>
          <cell r="W951" t="str">
            <v>2007GEMATEL</v>
          </cell>
          <cell r="X951" t="str">
            <v>2007GEMATELScratch 1 000</v>
          </cell>
        </row>
        <row r="952">
          <cell r="I952">
            <v>2007</v>
          </cell>
          <cell r="J952" t="str">
            <v>GEMATELScratch 2 000</v>
          </cell>
          <cell r="L952">
            <v>0</v>
          </cell>
          <cell r="M952" t="str">
            <v>GEMATEL</v>
          </cell>
          <cell r="N952" t="str">
            <v>GEMATELScratch 2 000</v>
          </cell>
          <cell r="O952" t="str">
            <v>GEMATEL</v>
          </cell>
          <cell r="P952" t="str">
            <v>Scratch 2 000</v>
          </cell>
          <cell r="Q952" t="str">
            <v>42007</v>
          </cell>
          <cell r="R952" t="str">
            <v>42007Scratch 2 000</v>
          </cell>
          <cell r="S952" t="str">
            <v>2007Scratch 2 000</v>
          </cell>
          <cell r="T952" t="str">
            <v>42007GEMATEL</v>
          </cell>
          <cell r="U952" t="str">
            <v>42007GEMATELScratch 2 000</v>
          </cell>
          <cell r="V952" t="str">
            <v>39190Scratch 2 000</v>
          </cell>
          <cell r="W952" t="str">
            <v>2007GEMATEL</v>
          </cell>
          <cell r="X952" t="str">
            <v>2007GEMATELScratch 2 000</v>
          </cell>
        </row>
        <row r="953">
          <cell r="I953">
            <v>2007</v>
          </cell>
          <cell r="J953" t="str">
            <v>GEMATELScratch 5 000</v>
          </cell>
          <cell r="L953">
            <v>0</v>
          </cell>
          <cell r="M953" t="str">
            <v>GEMATEL</v>
          </cell>
          <cell r="N953" t="str">
            <v>GEMATELScratch 5 000</v>
          </cell>
          <cell r="O953" t="str">
            <v>GEMATEL</v>
          </cell>
          <cell r="P953" t="str">
            <v>Scratch 5 000</v>
          </cell>
          <cell r="Q953" t="str">
            <v>42007</v>
          </cell>
          <cell r="R953" t="str">
            <v>42007Scratch 5 000</v>
          </cell>
          <cell r="S953" t="str">
            <v>2007Scratch 5 000</v>
          </cell>
          <cell r="T953" t="str">
            <v>42007GEMATEL</v>
          </cell>
          <cell r="U953" t="str">
            <v>42007GEMATELScratch 5 000</v>
          </cell>
          <cell r="V953" t="str">
            <v>39190Scratch 5 000</v>
          </cell>
          <cell r="W953" t="str">
            <v>2007GEMATEL</v>
          </cell>
          <cell r="X953" t="str">
            <v>2007GEMATELScratch 5 000</v>
          </cell>
        </row>
        <row r="954">
          <cell r="I954">
            <v>2007</v>
          </cell>
          <cell r="J954" t="str">
            <v>GEMATELScratch 10 000</v>
          </cell>
          <cell r="L954">
            <v>0</v>
          </cell>
          <cell r="M954" t="str">
            <v>GEMATEL</v>
          </cell>
          <cell r="N954" t="str">
            <v>GEMATELScratch 10 000</v>
          </cell>
          <cell r="O954" t="str">
            <v>GEMATEL</v>
          </cell>
          <cell r="P954" t="str">
            <v>Scratch 10 000</v>
          </cell>
          <cell r="Q954" t="str">
            <v>42007</v>
          </cell>
          <cell r="R954" t="str">
            <v>42007Scratch 10 000</v>
          </cell>
          <cell r="S954" t="str">
            <v>2007Scratch 10 000</v>
          </cell>
          <cell r="T954" t="str">
            <v>42007GEMATEL</v>
          </cell>
          <cell r="U954" t="str">
            <v>42007GEMATELScratch 10 000</v>
          </cell>
          <cell r="V954" t="str">
            <v>39190Scratch 10 000</v>
          </cell>
          <cell r="W954" t="str">
            <v>2007GEMATEL</v>
          </cell>
          <cell r="X954" t="str">
            <v>2007GEMATELScratch 10 000</v>
          </cell>
        </row>
        <row r="955">
          <cell r="I955">
            <v>2007</v>
          </cell>
          <cell r="J955" t="str">
            <v>GEMATELScratch 20 000</v>
          </cell>
          <cell r="L955">
            <v>0</v>
          </cell>
          <cell r="M955" t="str">
            <v>GEMATEL</v>
          </cell>
          <cell r="N955" t="str">
            <v>GEMATELScratch 20 000</v>
          </cell>
          <cell r="O955" t="str">
            <v>GEMATEL</v>
          </cell>
          <cell r="P955" t="str">
            <v>Scratch 20 000</v>
          </cell>
          <cell r="Q955" t="str">
            <v>42007</v>
          </cell>
          <cell r="R955" t="str">
            <v>42007Scratch 20 000</v>
          </cell>
          <cell r="S955" t="str">
            <v>2007Scratch 20 000</v>
          </cell>
          <cell r="T955" t="str">
            <v>42007GEMATEL</v>
          </cell>
          <cell r="U955" t="str">
            <v>42007GEMATELScratch 20 000</v>
          </cell>
          <cell r="V955" t="str">
            <v>39190Scratch 20 000</v>
          </cell>
          <cell r="W955" t="str">
            <v>2007GEMATEL</v>
          </cell>
          <cell r="X955" t="str">
            <v>2007GEMATELScratch 20 000</v>
          </cell>
        </row>
        <row r="956">
          <cell r="I956">
            <v>2007</v>
          </cell>
          <cell r="J956" t="str">
            <v>ANKA ServicesScratch 1 000</v>
          </cell>
          <cell r="L956">
            <v>1</v>
          </cell>
          <cell r="M956" t="str">
            <v>1ANKA Services</v>
          </cell>
          <cell r="N956" t="str">
            <v>ANKA ServicesScratch 1 000</v>
          </cell>
          <cell r="O956" t="str">
            <v>ANKA Services</v>
          </cell>
          <cell r="P956" t="str">
            <v>Scratch 1 000</v>
          </cell>
          <cell r="Q956" t="str">
            <v>42007</v>
          </cell>
          <cell r="R956" t="str">
            <v>42007Scratch 1 000</v>
          </cell>
          <cell r="S956" t="str">
            <v>2007Scratch 1 000</v>
          </cell>
          <cell r="T956" t="str">
            <v>42007ANKA Services</v>
          </cell>
          <cell r="U956" t="str">
            <v>42007ANKA ServicesScratch 1 000</v>
          </cell>
          <cell r="V956" t="str">
            <v>39190Scratch 1 000</v>
          </cell>
          <cell r="W956" t="str">
            <v>2007ANKA Services</v>
          </cell>
          <cell r="X956" t="str">
            <v>2007ANKA ServicesScratch 1 000</v>
          </cell>
        </row>
        <row r="957">
          <cell r="I957">
            <v>2007</v>
          </cell>
          <cell r="J957" t="str">
            <v>ANKA ServicesScratch 2 000</v>
          </cell>
          <cell r="L957">
            <v>0</v>
          </cell>
          <cell r="M957" t="str">
            <v>ANKA Services</v>
          </cell>
          <cell r="N957" t="str">
            <v>ANKA ServicesScratch 2 000</v>
          </cell>
          <cell r="O957" t="str">
            <v>ANKA Services</v>
          </cell>
          <cell r="P957" t="str">
            <v>Scratch 2 000</v>
          </cell>
          <cell r="Q957" t="str">
            <v>42007</v>
          </cell>
          <cell r="R957" t="str">
            <v>42007Scratch 2 000</v>
          </cell>
          <cell r="S957" t="str">
            <v>2007Scratch 2 000</v>
          </cell>
          <cell r="T957" t="str">
            <v>42007ANKA Services</v>
          </cell>
          <cell r="U957" t="str">
            <v>42007ANKA ServicesScratch 2 000</v>
          </cell>
          <cell r="V957" t="str">
            <v>39190Scratch 2 000</v>
          </cell>
          <cell r="W957" t="str">
            <v>2007ANKA Services</v>
          </cell>
          <cell r="X957" t="str">
            <v>2007ANKA ServicesScratch 2 000</v>
          </cell>
        </row>
        <row r="958">
          <cell r="I958">
            <v>2007</v>
          </cell>
          <cell r="J958" t="str">
            <v>ANKA ServicesScratch 5 000</v>
          </cell>
          <cell r="L958">
            <v>0</v>
          </cell>
          <cell r="M958" t="str">
            <v>ANKA Services</v>
          </cell>
          <cell r="N958" t="str">
            <v>ANKA ServicesScratch 5 000</v>
          </cell>
          <cell r="O958" t="str">
            <v>ANKA Services</v>
          </cell>
          <cell r="P958" t="str">
            <v>Scratch 5 000</v>
          </cell>
          <cell r="Q958" t="str">
            <v>42007</v>
          </cell>
          <cell r="R958" t="str">
            <v>42007Scratch 5 000</v>
          </cell>
          <cell r="S958" t="str">
            <v>2007Scratch 5 000</v>
          </cell>
          <cell r="T958" t="str">
            <v>42007ANKA Services</v>
          </cell>
          <cell r="U958" t="str">
            <v>42007ANKA ServicesScratch 5 000</v>
          </cell>
          <cell r="V958" t="str">
            <v>39190Scratch 5 000</v>
          </cell>
          <cell r="W958" t="str">
            <v>2007ANKA Services</v>
          </cell>
          <cell r="X958" t="str">
            <v>2007ANKA ServicesScratch 5 000</v>
          </cell>
        </row>
        <row r="959">
          <cell r="I959">
            <v>2007</v>
          </cell>
          <cell r="J959" t="str">
            <v>MALI COM SarlScratch 1 000</v>
          </cell>
          <cell r="L959">
            <v>1</v>
          </cell>
          <cell r="M959" t="str">
            <v>1MALI COM Sarl</v>
          </cell>
          <cell r="N959" t="str">
            <v>MALI COM SarlScratch 1 000</v>
          </cell>
          <cell r="O959" t="str">
            <v>MALI COM Sarl</v>
          </cell>
          <cell r="P959" t="str">
            <v>Scratch 1 000</v>
          </cell>
          <cell r="Q959" t="str">
            <v>42007</v>
          </cell>
          <cell r="R959" t="str">
            <v>42007Scratch 1 000</v>
          </cell>
          <cell r="S959" t="str">
            <v>2007Scratch 1 000</v>
          </cell>
          <cell r="T959" t="str">
            <v>42007MALI COM Sarl</v>
          </cell>
          <cell r="U959" t="str">
            <v>42007MALI COM SarlScratch 1 000</v>
          </cell>
          <cell r="V959" t="str">
            <v>39190Scratch 1 000</v>
          </cell>
          <cell r="W959" t="str">
            <v>2007MALI COM Sarl</v>
          </cell>
          <cell r="X959" t="str">
            <v>2007MALI COM SarlScratch 1 000</v>
          </cell>
        </row>
        <row r="960">
          <cell r="I960">
            <v>2007</v>
          </cell>
          <cell r="J960" t="str">
            <v>MALI COM SarlScratch 2 000</v>
          </cell>
          <cell r="L960">
            <v>0</v>
          </cell>
          <cell r="M960" t="str">
            <v>MALI COM Sarl</v>
          </cell>
          <cell r="N960" t="str">
            <v>MALI COM SarlScratch 2 000</v>
          </cell>
          <cell r="O960" t="str">
            <v>MALI COM Sarl</v>
          </cell>
          <cell r="P960" t="str">
            <v>Scratch 2 000</v>
          </cell>
          <cell r="Q960" t="str">
            <v>42007</v>
          </cell>
          <cell r="R960" t="str">
            <v>42007Scratch 2 000</v>
          </cell>
          <cell r="S960" t="str">
            <v>2007Scratch 2 000</v>
          </cell>
          <cell r="T960" t="str">
            <v>42007MALI COM Sarl</v>
          </cell>
          <cell r="U960" t="str">
            <v>42007MALI COM SarlScratch 2 000</v>
          </cell>
          <cell r="V960" t="str">
            <v>39190Scratch 2 000</v>
          </cell>
          <cell r="W960" t="str">
            <v>2007MALI COM Sarl</v>
          </cell>
          <cell r="X960" t="str">
            <v>2007MALI COM SarlScratch 2 000</v>
          </cell>
        </row>
        <row r="961">
          <cell r="I961">
            <v>2007</v>
          </cell>
          <cell r="J961" t="str">
            <v>MALI COM SarlScratch 5 000</v>
          </cell>
          <cell r="L961">
            <v>0</v>
          </cell>
          <cell r="M961" t="str">
            <v>MALI COM Sarl</v>
          </cell>
          <cell r="N961" t="str">
            <v>MALI COM SarlScratch 5 000</v>
          </cell>
          <cell r="O961" t="str">
            <v>MALI COM Sarl</v>
          </cell>
          <cell r="P961" t="str">
            <v>Scratch 5 000</v>
          </cell>
          <cell r="Q961" t="str">
            <v>42007</v>
          </cell>
          <cell r="R961" t="str">
            <v>42007Scratch 5 000</v>
          </cell>
          <cell r="S961" t="str">
            <v>2007Scratch 5 000</v>
          </cell>
          <cell r="T961" t="str">
            <v>42007MALI COM Sarl</v>
          </cell>
          <cell r="U961" t="str">
            <v>42007MALI COM SarlScratch 5 000</v>
          </cell>
          <cell r="V961" t="str">
            <v>39190Scratch 5 000</v>
          </cell>
          <cell r="W961" t="str">
            <v>2007MALI COM Sarl</v>
          </cell>
          <cell r="X961" t="str">
            <v>2007MALI COM SarlScratch 5 000</v>
          </cell>
        </row>
        <row r="962">
          <cell r="I962">
            <v>2007</v>
          </cell>
          <cell r="J962" t="str">
            <v>SOLEIL LEVANTScratch 1 000</v>
          </cell>
          <cell r="L962">
            <v>1</v>
          </cell>
          <cell r="M962" t="str">
            <v>1SOLEIL LEVANT</v>
          </cell>
          <cell r="N962" t="str">
            <v>SOLEIL LEVANTScratch 1 000</v>
          </cell>
          <cell r="O962" t="str">
            <v>SOLEIL LEVANT</v>
          </cell>
          <cell r="P962" t="str">
            <v>Scratch 1 000</v>
          </cell>
          <cell r="Q962" t="str">
            <v>42007</v>
          </cell>
          <cell r="R962" t="str">
            <v>42007Scratch 1 000</v>
          </cell>
          <cell r="S962" t="str">
            <v>2007Scratch 1 000</v>
          </cell>
          <cell r="T962" t="str">
            <v>42007SOLEIL LEVANT</v>
          </cell>
          <cell r="U962" t="str">
            <v>42007SOLEIL LEVANTScratch 1 000</v>
          </cell>
          <cell r="V962" t="str">
            <v>39191Scratch 1 000</v>
          </cell>
          <cell r="W962" t="str">
            <v>2007SOLEIL LEVANT</v>
          </cell>
          <cell r="X962" t="str">
            <v>2007SOLEIL LEVANTScratch 1 000</v>
          </cell>
        </row>
        <row r="963">
          <cell r="I963">
            <v>2007</v>
          </cell>
          <cell r="J963" t="str">
            <v>SOLEIL LEVANTScratch 2 000</v>
          </cell>
          <cell r="L963">
            <v>0</v>
          </cell>
          <cell r="M963" t="str">
            <v>SOLEIL LEVANT</v>
          </cell>
          <cell r="N963" t="str">
            <v>SOLEIL LEVANTScratch 2 000</v>
          </cell>
          <cell r="O963" t="str">
            <v>SOLEIL LEVANT</v>
          </cell>
          <cell r="P963" t="str">
            <v>Scratch 2 000</v>
          </cell>
          <cell r="Q963" t="str">
            <v>42007</v>
          </cell>
          <cell r="R963" t="str">
            <v>42007Scratch 2 000</v>
          </cell>
          <cell r="S963" t="str">
            <v>2007Scratch 2 000</v>
          </cell>
          <cell r="T963" t="str">
            <v>42007SOLEIL LEVANT</v>
          </cell>
          <cell r="U963" t="str">
            <v>42007SOLEIL LEVANTScratch 2 000</v>
          </cell>
          <cell r="V963" t="str">
            <v>39191Scratch 2 000</v>
          </cell>
          <cell r="W963" t="str">
            <v>2007SOLEIL LEVANT</v>
          </cell>
          <cell r="X963" t="str">
            <v>2007SOLEIL LEVANTScratch 2 000</v>
          </cell>
        </row>
        <row r="964">
          <cell r="I964">
            <v>2007</v>
          </cell>
          <cell r="J964" t="str">
            <v>SOLEIL LEVANTScratch 5 000</v>
          </cell>
          <cell r="L964">
            <v>0</v>
          </cell>
          <cell r="M964" t="str">
            <v>SOLEIL LEVANT</v>
          </cell>
          <cell r="N964" t="str">
            <v>SOLEIL LEVANTScratch 5 000</v>
          </cell>
          <cell r="O964" t="str">
            <v>SOLEIL LEVANT</v>
          </cell>
          <cell r="P964" t="str">
            <v>Scratch 5 000</v>
          </cell>
          <cell r="Q964" t="str">
            <v>42007</v>
          </cell>
          <cell r="R964" t="str">
            <v>42007Scratch 5 000</v>
          </cell>
          <cell r="S964" t="str">
            <v>2007Scratch 5 000</v>
          </cell>
          <cell r="T964" t="str">
            <v>42007SOLEIL LEVANT</v>
          </cell>
          <cell r="U964" t="str">
            <v>42007SOLEIL LEVANTScratch 5 000</v>
          </cell>
          <cell r="V964" t="str">
            <v>39191Scratch 5 000</v>
          </cell>
          <cell r="W964" t="str">
            <v>2007SOLEIL LEVANT</v>
          </cell>
          <cell r="X964" t="str">
            <v>2007SOLEIL LEVANTScratch 5 000</v>
          </cell>
        </row>
        <row r="965">
          <cell r="I965">
            <v>2007</v>
          </cell>
          <cell r="J965" t="str">
            <v>SOMAKOFFScratch 1 000</v>
          </cell>
          <cell r="L965">
            <v>1</v>
          </cell>
          <cell r="M965" t="str">
            <v>1SOMAKOFF</v>
          </cell>
          <cell r="N965" t="str">
            <v>SOMAKOFFScratch 1 000</v>
          </cell>
          <cell r="O965" t="str">
            <v>SOMAKOFF</v>
          </cell>
          <cell r="P965" t="str">
            <v>Scratch 1 000</v>
          </cell>
          <cell r="Q965" t="str">
            <v>42007</v>
          </cell>
          <cell r="R965" t="str">
            <v>42007Scratch 1 000</v>
          </cell>
          <cell r="S965" t="str">
            <v>2007Scratch 1 000</v>
          </cell>
          <cell r="T965" t="str">
            <v>42007SOMAKOFF</v>
          </cell>
          <cell r="U965" t="str">
            <v>42007SOMAKOFFScratch 1 000</v>
          </cell>
          <cell r="V965" t="str">
            <v>39191Scratch 1 000</v>
          </cell>
          <cell r="W965" t="str">
            <v>2007SOMAKOFF</v>
          </cell>
          <cell r="X965" t="str">
            <v>2007SOMAKOFFScratch 1 000</v>
          </cell>
        </row>
        <row r="966">
          <cell r="I966">
            <v>2007</v>
          </cell>
          <cell r="J966" t="str">
            <v>SOMAKOFFScratch 2 000</v>
          </cell>
          <cell r="L966">
            <v>0</v>
          </cell>
          <cell r="M966" t="str">
            <v>SOMAKOFF</v>
          </cell>
          <cell r="N966" t="str">
            <v>SOMAKOFFScratch 2 000</v>
          </cell>
          <cell r="O966" t="str">
            <v>SOMAKOFF</v>
          </cell>
          <cell r="P966" t="str">
            <v>Scratch 2 000</v>
          </cell>
          <cell r="Q966" t="str">
            <v>42007</v>
          </cell>
          <cell r="R966" t="str">
            <v>42007Scratch 2 000</v>
          </cell>
          <cell r="S966" t="str">
            <v>2007Scratch 2 000</v>
          </cell>
          <cell r="T966" t="str">
            <v>42007SOMAKOFF</v>
          </cell>
          <cell r="U966" t="str">
            <v>42007SOMAKOFFScratch 2 000</v>
          </cell>
          <cell r="V966" t="str">
            <v>39191Scratch 2 000</v>
          </cell>
          <cell r="W966" t="str">
            <v>2007SOMAKOFF</v>
          </cell>
          <cell r="X966" t="str">
            <v>2007SOMAKOFFScratch 2 000</v>
          </cell>
        </row>
        <row r="967">
          <cell r="I967">
            <v>2007</v>
          </cell>
          <cell r="J967" t="str">
            <v>SOMAKOFFScratch 5 000</v>
          </cell>
          <cell r="L967">
            <v>0</v>
          </cell>
          <cell r="M967" t="str">
            <v>SOMAKOFF</v>
          </cell>
          <cell r="N967" t="str">
            <v>SOMAKOFFScratch 5 000</v>
          </cell>
          <cell r="O967" t="str">
            <v>SOMAKOFF</v>
          </cell>
          <cell r="P967" t="str">
            <v>Scratch 5 000</v>
          </cell>
          <cell r="Q967" t="str">
            <v>42007</v>
          </cell>
          <cell r="R967" t="str">
            <v>42007Scratch 5 000</v>
          </cell>
          <cell r="S967" t="str">
            <v>2007Scratch 5 000</v>
          </cell>
          <cell r="T967" t="str">
            <v>42007SOMAKOFF</v>
          </cell>
          <cell r="U967" t="str">
            <v>42007SOMAKOFFScratch 5 000</v>
          </cell>
          <cell r="V967" t="str">
            <v>39191Scratch 5 000</v>
          </cell>
          <cell r="W967" t="str">
            <v>2007SOMAKOFF</v>
          </cell>
          <cell r="X967" t="str">
            <v>2007SOMAKOFFScratch 5 000</v>
          </cell>
        </row>
        <row r="968">
          <cell r="I968">
            <v>2007</v>
          </cell>
          <cell r="J968" t="str">
            <v>SOMAKOFFScratch 10 000</v>
          </cell>
          <cell r="L968">
            <v>0</v>
          </cell>
          <cell r="M968" t="str">
            <v>SOMAKOFF</v>
          </cell>
          <cell r="N968" t="str">
            <v>SOMAKOFFScratch 10 000</v>
          </cell>
          <cell r="O968" t="str">
            <v>SOMAKOFF</v>
          </cell>
          <cell r="P968" t="str">
            <v>Scratch 10 000</v>
          </cell>
          <cell r="Q968" t="str">
            <v>42007</v>
          </cell>
          <cell r="R968" t="str">
            <v>42007Scratch 10 000</v>
          </cell>
          <cell r="S968" t="str">
            <v>2007Scratch 10 000</v>
          </cell>
          <cell r="T968" t="str">
            <v>42007SOMAKOFF</v>
          </cell>
          <cell r="U968" t="str">
            <v>42007SOMAKOFFScratch 10 000</v>
          </cell>
          <cell r="V968" t="str">
            <v>39191Scratch 10 000</v>
          </cell>
          <cell r="W968" t="str">
            <v>2007SOMAKOFF</v>
          </cell>
          <cell r="X968" t="str">
            <v>2007SOMAKOFFScratch 10 000</v>
          </cell>
        </row>
        <row r="969">
          <cell r="I969">
            <v>2007</v>
          </cell>
          <cell r="J969" t="str">
            <v>SOMAKOFFScratch 20 000</v>
          </cell>
          <cell r="L969">
            <v>0</v>
          </cell>
          <cell r="M969" t="str">
            <v>SOMAKOFF</v>
          </cell>
          <cell r="N969" t="str">
            <v>SOMAKOFFScratch 20 000</v>
          </cell>
          <cell r="O969" t="str">
            <v>SOMAKOFF</v>
          </cell>
          <cell r="P969" t="str">
            <v>Scratch 20 000</v>
          </cell>
          <cell r="Q969" t="str">
            <v>42007</v>
          </cell>
          <cell r="R969" t="str">
            <v>42007Scratch 20 000</v>
          </cell>
          <cell r="S969" t="str">
            <v>2007Scratch 20 000</v>
          </cell>
          <cell r="T969" t="str">
            <v>42007SOMAKOFF</v>
          </cell>
          <cell r="U969" t="str">
            <v>42007SOMAKOFFScratch 20 000</v>
          </cell>
          <cell r="V969" t="str">
            <v>39191Scratch 20 000</v>
          </cell>
          <cell r="W969" t="str">
            <v>2007SOMAKOFF</v>
          </cell>
          <cell r="X969" t="str">
            <v>2007SOMAKOFFScratch 20 000</v>
          </cell>
        </row>
        <row r="970">
          <cell r="I970">
            <v>2007</v>
          </cell>
          <cell r="J970" t="str">
            <v>Ets Mamadou GAMBYScratch 1 000</v>
          </cell>
          <cell r="L970">
            <v>1</v>
          </cell>
          <cell r="M970" t="str">
            <v>1Ets Mamadou GAMBY</v>
          </cell>
          <cell r="N970" t="str">
            <v>Ets Mamadou GAMBYScratch 1 000</v>
          </cell>
          <cell r="O970" t="str">
            <v>Ets Mamadou GAMBY</v>
          </cell>
          <cell r="P970" t="str">
            <v>Scratch 1 000</v>
          </cell>
          <cell r="Q970" t="str">
            <v>42007</v>
          </cell>
          <cell r="R970" t="str">
            <v>42007Scratch 1 000</v>
          </cell>
          <cell r="S970" t="str">
            <v>2007Scratch 1 000</v>
          </cell>
          <cell r="T970" t="str">
            <v>42007Ets Mamadou GAMBY</v>
          </cell>
          <cell r="U970" t="str">
            <v>42007Ets Mamadou GAMBYScratch 1 000</v>
          </cell>
          <cell r="V970" t="str">
            <v>39191Scratch 1 000</v>
          </cell>
          <cell r="W970" t="str">
            <v>2007Ets Mamadou GAMBY</v>
          </cell>
          <cell r="X970" t="str">
            <v>2007Ets Mamadou GAMBYScratch 1 000</v>
          </cell>
        </row>
        <row r="971">
          <cell r="I971">
            <v>2007</v>
          </cell>
          <cell r="J971" t="str">
            <v>Ets Mamadou GAMBYScratch 2 000</v>
          </cell>
          <cell r="L971">
            <v>0</v>
          </cell>
          <cell r="M971" t="str">
            <v>Ets Mamadou GAMBY</v>
          </cell>
          <cell r="N971" t="str">
            <v>Ets Mamadou GAMBYScratch 2 000</v>
          </cell>
          <cell r="O971" t="str">
            <v>Ets Mamadou GAMBY</v>
          </cell>
          <cell r="P971" t="str">
            <v>Scratch 2 000</v>
          </cell>
          <cell r="Q971" t="str">
            <v>42007</v>
          </cell>
          <cell r="R971" t="str">
            <v>42007Scratch 2 000</v>
          </cell>
          <cell r="S971" t="str">
            <v>2007Scratch 2 000</v>
          </cell>
          <cell r="T971" t="str">
            <v>42007Ets Mamadou GAMBY</v>
          </cell>
          <cell r="U971" t="str">
            <v>42007Ets Mamadou GAMBYScratch 2 000</v>
          </cell>
          <cell r="V971" t="str">
            <v>39191Scratch 2 000</v>
          </cell>
          <cell r="W971" t="str">
            <v>2007Ets Mamadou GAMBY</v>
          </cell>
          <cell r="X971" t="str">
            <v>2007Ets Mamadou GAMBYScratch 2 000</v>
          </cell>
        </row>
        <row r="972">
          <cell r="I972">
            <v>2007</v>
          </cell>
          <cell r="J972" t="str">
            <v>Ets Mamadou GAMBYScratch 5 000</v>
          </cell>
          <cell r="L972">
            <v>0</v>
          </cell>
          <cell r="M972" t="str">
            <v>Ets Mamadou GAMBY</v>
          </cell>
          <cell r="N972" t="str">
            <v>Ets Mamadou GAMBYScratch 5 000</v>
          </cell>
          <cell r="O972" t="str">
            <v>Ets Mamadou GAMBY</v>
          </cell>
          <cell r="P972" t="str">
            <v>Scratch 5 000</v>
          </cell>
          <cell r="Q972" t="str">
            <v>42007</v>
          </cell>
          <cell r="R972" t="str">
            <v>42007Scratch 5 000</v>
          </cell>
          <cell r="S972" t="str">
            <v>2007Scratch 5 000</v>
          </cell>
          <cell r="T972" t="str">
            <v>42007Ets Mamadou GAMBY</v>
          </cell>
          <cell r="U972" t="str">
            <v>42007Ets Mamadou GAMBYScratch 5 000</v>
          </cell>
          <cell r="V972" t="str">
            <v>39191Scratch 5 000</v>
          </cell>
          <cell r="W972" t="str">
            <v>2007Ets Mamadou GAMBY</v>
          </cell>
          <cell r="X972" t="str">
            <v>2007Ets Mamadou GAMBYScratch 5 000</v>
          </cell>
        </row>
        <row r="973">
          <cell r="I973">
            <v>2007</v>
          </cell>
          <cell r="J973" t="str">
            <v>GEMATELScratch 1 000</v>
          </cell>
          <cell r="L973">
            <v>1</v>
          </cell>
          <cell r="M973" t="str">
            <v>1GEMATEL</v>
          </cell>
          <cell r="N973" t="str">
            <v>GEMATELScratch 1 000</v>
          </cell>
          <cell r="O973" t="str">
            <v>GEMATEL</v>
          </cell>
          <cell r="P973" t="str">
            <v>Scratch 1 000</v>
          </cell>
          <cell r="Q973" t="str">
            <v>42007</v>
          </cell>
          <cell r="R973" t="str">
            <v>42007Scratch 1 000</v>
          </cell>
          <cell r="S973" t="str">
            <v>2007Scratch 1 000</v>
          </cell>
          <cell r="T973" t="str">
            <v>42007GEMATEL</v>
          </cell>
          <cell r="U973" t="str">
            <v>42007GEMATELScratch 1 000</v>
          </cell>
          <cell r="V973" t="str">
            <v>39192Scratch 1 000</v>
          </cell>
          <cell r="W973" t="str">
            <v>2007GEMATEL</v>
          </cell>
          <cell r="X973" t="str">
            <v>2007GEMATELScratch 1 000</v>
          </cell>
        </row>
        <row r="974">
          <cell r="I974">
            <v>2007</v>
          </cell>
          <cell r="J974" t="str">
            <v>GEMATELScratch 2 000</v>
          </cell>
          <cell r="L974">
            <v>0</v>
          </cell>
          <cell r="M974" t="str">
            <v>GEMATEL</v>
          </cell>
          <cell r="N974" t="str">
            <v>GEMATELScratch 2 000</v>
          </cell>
          <cell r="O974" t="str">
            <v>GEMATEL</v>
          </cell>
          <cell r="P974" t="str">
            <v>Scratch 2 000</v>
          </cell>
          <cell r="Q974" t="str">
            <v>42007</v>
          </cell>
          <cell r="R974" t="str">
            <v>42007Scratch 2 000</v>
          </cell>
          <cell r="S974" t="str">
            <v>2007Scratch 2 000</v>
          </cell>
          <cell r="T974" t="str">
            <v>42007GEMATEL</v>
          </cell>
          <cell r="U974" t="str">
            <v>42007GEMATELScratch 2 000</v>
          </cell>
          <cell r="V974" t="str">
            <v>39192Scratch 2 000</v>
          </cell>
          <cell r="W974" t="str">
            <v>2007GEMATEL</v>
          </cell>
          <cell r="X974" t="str">
            <v>2007GEMATELScratch 2 000</v>
          </cell>
        </row>
        <row r="975">
          <cell r="I975">
            <v>2007</v>
          </cell>
          <cell r="J975" t="str">
            <v>GEMATELScratch 10 000</v>
          </cell>
          <cell r="L975">
            <v>0</v>
          </cell>
          <cell r="M975" t="str">
            <v>GEMATEL</v>
          </cell>
          <cell r="N975" t="str">
            <v>GEMATELScratch 10 000</v>
          </cell>
          <cell r="O975" t="str">
            <v>GEMATEL</v>
          </cell>
          <cell r="P975" t="str">
            <v>Scratch 10 000</v>
          </cell>
          <cell r="Q975" t="str">
            <v>42007</v>
          </cell>
          <cell r="R975" t="str">
            <v>42007Scratch 10 000</v>
          </cell>
          <cell r="S975" t="str">
            <v>2007Scratch 10 000</v>
          </cell>
          <cell r="T975" t="str">
            <v>42007GEMATEL</v>
          </cell>
          <cell r="U975" t="str">
            <v>42007GEMATELScratch 10 000</v>
          </cell>
          <cell r="V975" t="str">
            <v>39192Scratch 10 000</v>
          </cell>
          <cell r="W975" t="str">
            <v>2007GEMATEL</v>
          </cell>
          <cell r="X975" t="str">
            <v>2007GEMATELScratch 10 000</v>
          </cell>
        </row>
        <row r="976">
          <cell r="I976">
            <v>2007</v>
          </cell>
          <cell r="J976" t="str">
            <v>GEMATELScratch 20 000</v>
          </cell>
          <cell r="L976">
            <v>0</v>
          </cell>
          <cell r="M976" t="str">
            <v>GEMATEL</v>
          </cell>
          <cell r="N976" t="str">
            <v>GEMATELScratch 20 000</v>
          </cell>
          <cell r="O976" t="str">
            <v>GEMATEL</v>
          </cell>
          <cell r="P976" t="str">
            <v>Scratch 20 000</v>
          </cell>
          <cell r="Q976" t="str">
            <v>42007</v>
          </cell>
          <cell r="R976" t="str">
            <v>42007Scratch 20 000</v>
          </cell>
          <cell r="S976" t="str">
            <v>2007Scratch 20 000</v>
          </cell>
          <cell r="T976" t="str">
            <v>42007GEMATEL</v>
          </cell>
          <cell r="U976" t="str">
            <v>42007GEMATELScratch 20 000</v>
          </cell>
          <cell r="V976" t="str">
            <v>39192Scratch 20 000</v>
          </cell>
          <cell r="W976" t="str">
            <v>2007GEMATEL</v>
          </cell>
          <cell r="X976" t="str">
            <v>2007GEMATELScratch 20 000</v>
          </cell>
        </row>
        <row r="977">
          <cell r="I977">
            <v>2007</v>
          </cell>
          <cell r="J977" t="str">
            <v>ANKA ServicesScratch 1 000</v>
          </cell>
          <cell r="L977">
            <v>1</v>
          </cell>
          <cell r="M977" t="str">
            <v>1ANKA Services</v>
          </cell>
          <cell r="N977" t="str">
            <v>ANKA ServicesScratch 1 000</v>
          </cell>
          <cell r="O977" t="str">
            <v>ANKA Services</v>
          </cell>
          <cell r="P977" t="str">
            <v>Scratch 1 000</v>
          </cell>
          <cell r="Q977" t="str">
            <v>42007</v>
          </cell>
          <cell r="R977" t="str">
            <v>42007Scratch 1 000</v>
          </cell>
          <cell r="S977" t="str">
            <v>2007Scratch 1 000</v>
          </cell>
          <cell r="T977" t="str">
            <v>42007ANKA Services</v>
          </cell>
          <cell r="U977" t="str">
            <v>42007ANKA ServicesScratch 1 000</v>
          </cell>
          <cell r="V977" t="str">
            <v>39192Scratch 1 000</v>
          </cell>
          <cell r="W977" t="str">
            <v>2007ANKA Services</v>
          </cell>
          <cell r="X977" t="str">
            <v>2007ANKA ServicesScratch 1 000</v>
          </cell>
        </row>
        <row r="978">
          <cell r="I978">
            <v>2007</v>
          </cell>
          <cell r="J978" t="str">
            <v>ANKA ServicesScratch 2 000</v>
          </cell>
          <cell r="L978">
            <v>0</v>
          </cell>
          <cell r="M978" t="str">
            <v>ANKA Services</v>
          </cell>
          <cell r="N978" t="str">
            <v>ANKA ServicesScratch 2 000</v>
          </cell>
          <cell r="O978" t="str">
            <v>ANKA Services</v>
          </cell>
          <cell r="P978" t="str">
            <v>Scratch 2 000</v>
          </cell>
          <cell r="Q978" t="str">
            <v>42007</v>
          </cell>
          <cell r="R978" t="str">
            <v>42007Scratch 2 000</v>
          </cell>
          <cell r="S978" t="str">
            <v>2007Scratch 2 000</v>
          </cell>
          <cell r="T978" t="str">
            <v>42007ANKA Services</v>
          </cell>
          <cell r="U978" t="str">
            <v>42007ANKA ServicesScratch 2 000</v>
          </cell>
          <cell r="V978" t="str">
            <v>39192Scratch 2 000</v>
          </cell>
          <cell r="W978" t="str">
            <v>2007ANKA Services</v>
          </cell>
          <cell r="X978" t="str">
            <v>2007ANKA ServicesScratch 2 000</v>
          </cell>
        </row>
        <row r="979">
          <cell r="I979">
            <v>2007</v>
          </cell>
          <cell r="J979" t="str">
            <v>Burtel MacsymScratch 1 000</v>
          </cell>
          <cell r="L979">
            <v>1</v>
          </cell>
          <cell r="M979" t="str">
            <v>1Burtel Macsym</v>
          </cell>
          <cell r="N979" t="str">
            <v>Burtel MacsymScratch 1 000</v>
          </cell>
          <cell r="O979" t="str">
            <v>Burtel Macsym</v>
          </cell>
          <cell r="P979" t="str">
            <v>Scratch 1 000</v>
          </cell>
          <cell r="Q979" t="str">
            <v>42007</v>
          </cell>
          <cell r="R979" t="str">
            <v>42007Scratch 1 000</v>
          </cell>
          <cell r="S979" t="str">
            <v>2007Scratch 1 000</v>
          </cell>
          <cell r="T979" t="str">
            <v>42007Burtel Macsym</v>
          </cell>
          <cell r="U979" t="str">
            <v>42007Burtel MacsymScratch 1 000</v>
          </cell>
          <cell r="V979" t="str">
            <v>39195Scratch 1 000</v>
          </cell>
          <cell r="W979" t="str">
            <v>2007Burtel Macsym</v>
          </cell>
          <cell r="X979" t="str">
            <v>2007Burtel MacsymScratch 1 000</v>
          </cell>
        </row>
        <row r="980">
          <cell r="I980">
            <v>2007</v>
          </cell>
          <cell r="J980" t="str">
            <v>Burtel MacsymScratch 2 000</v>
          </cell>
          <cell r="L980">
            <v>0</v>
          </cell>
          <cell r="M980" t="str">
            <v>Burtel Macsym</v>
          </cell>
          <cell r="N980" t="str">
            <v>Burtel MacsymScratch 2 000</v>
          </cell>
          <cell r="O980" t="str">
            <v>Burtel Macsym</v>
          </cell>
          <cell r="P980" t="str">
            <v>Scratch 2 000</v>
          </cell>
          <cell r="Q980" t="str">
            <v>42007</v>
          </cell>
          <cell r="R980" t="str">
            <v>42007Scratch 2 000</v>
          </cell>
          <cell r="S980" t="str">
            <v>2007Scratch 2 000</v>
          </cell>
          <cell r="T980" t="str">
            <v>42007Burtel Macsym</v>
          </cell>
          <cell r="U980" t="str">
            <v>42007Burtel MacsymScratch 2 000</v>
          </cell>
          <cell r="V980" t="str">
            <v>39195Scratch 2 000</v>
          </cell>
          <cell r="W980" t="str">
            <v>2007Burtel Macsym</v>
          </cell>
          <cell r="X980" t="str">
            <v>2007Burtel MacsymScratch 2 000</v>
          </cell>
        </row>
        <row r="981">
          <cell r="I981">
            <v>2007</v>
          </cell>
          <cell r="J981" t="str">
            <v>Burtel MacsymScratch 5 000</v>
          </cell>
          <cell r="L981">
            <v>0</v>
          </cell>
          <cell r="M981" t="str">
            <v>Burtel Macsym</v>
          </cell>
          <cell r="N981" t="str">
            <v>Burtel MacsymScratch 5 000</v>
          </cell>
          <cell r="O981" t="str">
            <v>Burtel Macsym</v>
          </cell>
          <cell r="P981" t="str">
            <v>Scratch 5 000</v>
          </cell>
          <cell r="Q981" t="str">
            <v>42007</v>
          </cell>
          <cell r="R981" t="str">
            <v>42007Scratch 5 000</v>
          </cell>
          <cell r="S981" t="str">
            <v>2007Scratch 5 000</v>
          </cell>
          <cell r="T981" t="str">
            <v>42007Burtel Macsym</v>
          </cell>
          <cell r="U981" t="str">
            <v>42007Burtel MacsymScratch 5 000</v>
          </cell>
          <cell r="V981" t="str">
            <v>39195Scratch 5 000</v>
          </cell>
          <cell r="W981" t="str">
            <v>2007Burtel Macsym</v>
          </cell>
          <cell r="X981" t="str">
            <v>2007Burtel MacsymScratch 5 000</v>
          </cell>
        </row>
        <row r="982">
          <cell r="I982">
            <v>2007</v>
          </cell>
          <cell r="J982" t="str">
            <v>STS GAMBY &amp; FRERES (SOGAF) SarlScratch 1 000</v>
          </cell>
          <cell r="L982">
            <v>1</v>
          </cell>
          <cell r="M982" t="str">
            <v>1STS GAMBY &amp; FRERES (SOGAF) Sarl</v>
          </cell>
          <cell r="N982" t="str">
            <v>STS GAMBY &amp; FRERES (SOGAF) SarlScratch 1 000</v>
          </cell>
          <cell r="O982" t="str">
            <v>STS GAMBY &amp; FRERES (SOGAF) Sarl</v>
          </cell>
          <cell r="P982" t="str">
            <v>Scratch 1 000</v>
          </cell>
          <cell r="Q982" t="str">
            <v>42007</v>
          </cell>
          <cell r="R982" t="str">
            <v>42007Scratch 1 000</v>
          </cell>
          <cell r="S982" t="str">
            <v>2007Scratch 1 000</v>
          </cell>
          <cell r="T982" t="str">
            <v>42007STS GAMBY &amp; FRERES (SOGAF) Sarl</v>
          </cell>
          <cell r="U982" t="str">
            <v>42007STS GAMBY &amp; FRERES (SOGAF) SarlScratch 1 000</v>
          </cell>
          <cell r="V982" t="str">
            <v>39195Scratch 1 000</v>
          </cell>
          <cell r="W982" t="str">
            <v>2007STS GAMBY &amp; FRERES (SOGAF) Sarl</v>
          </cell>
          <cell r="X982" t="str">
            <v>2007STS GAMBY &amp; FRERES (SOGAF) SarlScratch 1 000</v>
          </cell>
        </row>
        <row r="983">
          <cell r="I983">
            <v>2007</v>
          </cell>
          <cell r="J983" t="str">
            <v>STS GAMBY &amp; FRERES (SOGAF) SarlScratch 2 000</v>
          </cell>
          <cell r="L983">
            <v>0</v>
          </cell>
          <cell r="M983" t="str">
            <v>STS GAMBY &amp; FRERES (SOGAF) Sarl</v>
          </cell>
          <cell r="N983" t="str">
            <v>STS GAMBY &amp; FRERES (SOGAF) SarlScratch 2 000</v>
          </cell>
          <cell r="O983" t="str">
            <v>STS GAMBY &amp; FRERES (SOGAF) Sarl</v>
          </cell>
          <cell r="P983" t="str">
            <v>Scratch 2 000</v>
          </cell>
          <cell r="Q983" t="str">
            <v>42007</v>
          </cell>
          <cell r="R983" t="str">
            <v>42007Scratch 2 000</v>
          </cell>
          <cell r="S983" t="str">
            <v>2007Scratch 2 000</v>
          </cell>
          <cell r="T983" t="str">
            <v>42007STS GAMBY &amp; FRERES (SOGAF) Sarl</v>
          </cell>
          <cell r="U983" t="str">
            <v>42007STS GAMBY &amp; FRERES (SOGAF) SarlScratch 2 000</v>
          </cell>
          <cell r="V983" t="str">
            <v>39195Scratch 2 000</v>
          </cell>
          <cell r="W983" t="str">
            <v>2007STS GAMBY &amp; FRERES (SOGAF) Sarl</v>
          </cell>
          <cell r="X983" t="str">
            <v>2007STS GAMBY &amp; FRERES (SOGAF) SarlScratch 2 000</v>
          </cell>
        </row>
        <row r="984">
          <cell r="I984">
            <v>2007</v>
          </cell>
          <cell r="J984" t="str">
            <v>STS GAMBY &amp; FRERES (SOGAF) SarlScratch 5 000</v>
          </cell>
          <cell r="L984">
            <v>0</v>
          </cell>
          <cell r="M984" t="str">
            <v>STS GAMBY &amp; FRERES (SOGAF) Sarl</v>
          </cell>
          <cell r="N984" t="str">
            <v>STS GAMBY &amp; FRERES (SOGAF) SarlScratch 5 000</v>
          </cell>
          <cell r="O984" t="str">
            <v>STS GAMBY &amp; FRERES (SOGAF) Sarl</v>
          </cell>
          <cell r="P984" t="str">
            <v>Scratch 5 000</v>
          </cell>
          <cell r="Q984" t="str">
            <v>42007</v>
          </cell>
          <cell r="R984" t="str">
            <v>42007Scratch 5 000</v>
          </cell>
          <cell r="S984" t="str">
            <v>2007Scratch 5 000</v>
          </cell>
          <cell r="T984" t="str">
            <v>42007STS GAMBY &amp; FRERES (SOGAF) Sarl</v>
          </cell>
          <cell r="U984" t="str">
            <v>42007STS GAMBY &amp; FRERES (SOGAF) SarlScratch 5 000</v>
          </cell>
          <cell r="V984" t="str">
            <v>39195Scratch 5 000</v>
          </cell>
          <cell r="W984" t="str">
            <v>2007STS GAMBY &amp; FRERES (SOGAF) Sarl</v>
          </cell>
          <cell r="X984" t="str">
            <v>2007STS GAMBY &amp; FRERES (SOGAF) SarlScratch 5 000</v>
          </cell>
        </row>
        <row r="985">
          <cell r="I985">
            <v>2007</v>
          </cell>
          <cell r="J985" t="str">
            <v>GEMATELScratch 1 000</v>
          </cell>
          <cell r="L985">
            <v>1</v>
          </cell>
          <cell r="M985" t="str">
            <v>1GEMATEL</v>
          </cell>
          <cell r="N985" t="str">
            <v>GEMATELScratch 1 000</v>
          </cell>
          <cell r="O985" t="str">
            <v>GEMATEL</v>
          </cell>
          <cell r="P985" t="str">
            <v>Scratch 1 000</v>
          </cell>
          <cell r="Q985" t="str">
            <v>42007</v>
          </cell>
          <cell r="R985" t="str">
            <v>42007Scratch 1 000</v>
          </cell>
          <cell r="S985" t="str">
            <v>2007Scratch 1 000</v>
          </cell>
          <cell r="T985" t="str">
            <v>42007GEMATEL</v>
          </cell>
          <cell r="U985" t="str">
            <v>42007GEMATELScratch 1 000</v>
          </cell>
          <cell r="V985" t="str">
            <v>39195Scratch 1 000</v>
          </cell>
          <cell r="W985" t="str">
            <v>2007GEMATEL</v>
          </cell>
          <cell r="X985" t="str">
            <v>2007GEMATELScratch 1 000</v>
          </cell>
        </row>
        <row r="986">
          <cell r="I986">
            <v>2007</v>
          </cell>
          <cell r="J986" t="str">
            <v>GEMATELScratch 5 000</v>
          </cell>
          <cell r="L986">
            <v>0</v>
          </cell>
          <cell r="M986" t="str">
            <v>GEMATEL</v>
          </cell>
          <cell r="N986" t="str">
            <v>GEMATELScratch 5 000</v>
          </cell>
          <cell r="O986" t="str">
            <v>GEMATEL</v>
          </cell>
          <cell r="P986" t="str">
            <v>Scratch 5 000</v>
          </cell>
          <cell r="Q986" t="str">
            <v>42007</v>
          </cell>
          <cell r="R986" t="str">
            <v>42007Scratch 5 000</v>
          </cell>
          <cell r="S986" t="str">
            <v>2007Scratch 5 000</v>
          </cell>
          <cell r="T986" t="str">
            <v>42007GEMATEL</v>
          </cell>
          <cell r="U986" t="str">
            <v>42007GEMATELScratch 5 000</v>
          </cell>
          <cell r="V986" t="str">
            <v>39195Scratch 5 000</v>
          </cell>
          <cell r="W986" t="str">
            <v>2007GEMATEL</v>
          </cell>
          <cell r="X986" t="str">
            <v>2007GEMATELScratch 5 000</v>
          </cell>
        </row>
        <row r="987">
          <cell r="I987">
            <v>2007</v>
          </cell>
          <cell r="J987" t="str">
            <v>GEMATELScratch 20 000</v>
          </cell>
          <cell r="L987">
            <v>0</v>
          </cell>
          <cell r="M987" t="str">
            <v>GEMATEL</v>
          </cell>
          <cell r="N987" t="str">
            <v>GEMATELScratch 20 000</v>
          </cell>
          <cell r="O987" t="str">
            <v>GEMATEL</v>
          </cell>
          <cell r="P987" t="str">
            <v>Scratch 20 000</v>
          </cell>
          <cell r="Q987" t="str">
            <v>42007</v>
          </cell>
          <cell r="R987" t="str">
            <v>42007Scratch 20 000</v>
          </cell>
          <cell r="S987" t="str">
            <v>2007Scratch 20 000</v>
          </cell>
          <cell r="T987" t="str">
            <v>42007GEMATEL</v>
          </cell>
          <cell r="U987" t="str">
            <v>42007GEMATELScratch 20 000</v>
          </cell>
          <cell r="V987" t="str">
            <v>39195Scratch 20 000</v>
          </cell>
          <cell r="W987" t="str">
            <v>2007GEMATEL</v>
          </cell>
          <cell r="X987" t="str">
            <v>2007GEMATELScratch 20 000</v>
          </cell>
        </row>
        <row r="988">
          <cell r="I988">
            <v>2007</v>
          </cell>
          <cell r="J988" t="str">
            <v>ANKA ServicesScratch 1 000</v>
          </cell>
          <cell r="L988">
            <v>1</v>
          </cell>
          <cell r="M988" t="str">
            <v>1ANKA Services</v>
          </cell>
          <cell r="N988" t="str">
            <v>ANKA ServicesScratch 1 000</v>
          </cell>
          <cell r="O988" t="str">
            <v>ANKA Services</v>
          </cell>
          <cell r="P988" t="str">
            <v>Scratch 1 000</v>
          </cell>
          <cell r="Q988" t="str">
            <v>42007</v>
          </cell>
          <cell r="R988" t="str">
            <v>42007Scratch 1 000</v>
          </cell>
          <cell r="S988" t="str">
            <v>2007Scratch 1 000</v>
          </cell>
          <cell r="T988" t="str">
            <v>42007ANKA Services</v>
          </cell>
          <cell r="U988" t="str">
            <v>42007ANKA ServicesScratch 1 000</v>
          </cell>
          <cell r="V988" t="str">
            <v>39196Scratch 1 000</v>
          </cell>
          <cell r="W988" t="str">
            <v>2007ANKA Services</v>
          </cell>
          <cell r="X988" t="str">
            <v>2007ANKA ServicesScratch 1 000</v>
          </cell>
        </row>
        <row r="989">
          <cell r="I989">
            <v>2007</v>
          </cell>
          <cell r="J989" t="str">
            <v>ANKA ServicesScratch 2 000</v>
          </cell>
          <cell r="L989">
            <v>0</v>
          </cell>
          <cell r="M989" t="str">
            <v>ANKA Services</v>
          </cell>
          <cell r="N989" t="str">
            <v>ANKA ServicesScratch 2 000</v>
          </cell>
          <cell r="O989" t="str">
            <v>ANKA Services</v>
          </cell>
          <cell r="P989" t="str">
            <v>Scratch 2 000</v>
          </cell>
          <cell r="Q989" t="str">
            <v>42007</v>
          </cell>
          <cell r="R989" t="str">
            <v>42007Scratch 2 000</v>
          </cell>
          <cell r="S989" t="str">
            <v>2007Scratch 2 000</v>
          </cell>
          <cell r="T989" t="str">
            <v>42007ANKA Services</v>
          </cell>
          <cell r="U989" t="str">
            <v>42007ANKA ServicesScratch 2 000</v>
          </cell>
          <cell r="V989" t="str">
            <v>39196Scratch 2 000</v>
          </cell>
          <cell r="W989" t="str">
            <v>2007ANKA Services</v>
          </cell>
          <cell r="X989" t="str">
            <v>2007ANKA ServicesScratch 2 000</v>
          </cell>
        </row>
        <row r="990">
          <cell r="I990">
            <v>2007</v>
          </cell>
          <cell r="J990" t="str">
            <v>ANKA ServicesScratch 5 000</v>
          </cell>
          <cell r="L990">
            <v>0</v>
          </cell>
          <cell r="M990" t="str">
            <v>ANKA Services</v>
          </cell>
          <cell r="N990" t="str">
            <v>ANKA ServicesScratch 5 000</v>
          </cell>
          <cell r="O990" t="str">
            <v>ANKA Services</v>
          </cell>
          <cell r="P990" t="str">
            <v>Scratch 5 000</v>
          </cell>
          <cell r="Q990" t="str">
            <v>42007</v>
          </cell>
          <cell r="R990" t="str">
            <v>42007Scratch 5 000</v>
          </cell>
          <cell r="S990" t="str">
            <v>2007Scratch 5 000</v>
          </cell>
          <cell r="T990" t="str">
            <v>42007ANKA Services</v>
          </cell>
          <cell r="U990" t="str">
            <v>42007ANKA ServicesScratch 5 000</v>
          </cell>
          <cell r="V990" t="str">
            <v>39196Scratch 5 000</v>
          </cell>
          <cell r="W990" t="str">
            <v>2007ANKA Services</v>
          </cell>
          <cell r="X990" t="str">
            <v>2007ANKA ServicesScratch 5 000</v>
          </cell>
        </row>
        <row r="991">
          <cell r="I991">
            <v>2007</v>
          </cell>
          <cell r="J991" t="str">
            <v>Compagnie Internationale de NegoceScratch 1 000</v>
          </cell>
          <cell r="L991">
            <v>1</v>
          </cell>
          <cell r="M991" t="str">
            <v>1Compagnie Internationale de Negoce</v>
          </cell>
          <cell r="N991" t="str">
            <v>Compagnie Internationale de NegoceScratch 1 000</v>
          </cell>
          <cell r="O991" t="str">
            <v>Compagnie Internationale de Negoce</v>
          </cell>
          <cell r="P991" t="str">
            <v>Scratch 1 000</v>
          </cell>
          <cell r="Q991" t="str">
            <v>42007</v>
          </cell>
          <cell r="R991" t="str">
            <v>42007Scratch 1 000</v>
          </cell>
          <cell r="S991" t="str">
            <v>2007Scratch 1 000</v>
          </cell>
          <cell r="T991" t="str">
            <v>42007Compagnie Internationale de Negoce</v>
          </cell>
          <cell r="U991" t="str">
            <v>42007Compagnie Internationale de NegoceScratch 1 000</v>
          </cell>
          <cell r="V991" t="str">
            <v>39196Scratch 1 000</v>
          </cell>
          <cell r="W991" t="str">
            <v>2007Compagnie Internationale de Negoce</v>
          </cell>
          <cell r="X991" t="str">
            <v>2007Compagnie Internationale de NegoceScratch 1 000</v>
          </cell>
        </row>
        <row r="992">
          <cell r="I992">
            <v>2007</v>
          </cell>
          <cell r="J992" t="str">
            <v>Compagnie Internationale de NegoceScratch 2 000</v>
          </cell>
          <cell r="L992">
            <v>0</v>
          </cell>
          <cell r="M992" t="str">
            <v>Compagnie Internationale de Negoce</v>
          </cell>
          <cell r="N992" t="str">
            <v>Compagnie Internationale de NegoceScratch 2 000</v>
          </cell>
          <cell r="O992" t="str">
            <v>Compagnie Internationale de Negoce</v>
          </cell>
          <cell r="P992" t="str">
            <v>Scratch 2 000</v>
          </cell>
          <cell r="Q992" t="str">
            <v>42007</v>
          </cell>
          <cell r="R992" t="str">
            <v>42007Scratch 2 000</v>
          </cell>
          <cell r="S992" t="str">
            <v>2007Scratch 2 000</v>
          </cell>
          <cell r="T992" t="str">
            <v>42007Compagnie Internationale de Negoce</v>
          </cell>
          <cell r="U992" t="str">
            <v>42007Compagnie Internationale de NegoceScratch 2 000</v>
          </cell>
          <cell r="V992" t="str">
            <v>39196Scratch 2 000</v>
          </cell>
          <cell r="W992" t="str">
            <v>2007Compagnie Internationale de Negoce</v>
          </cell>
          <cell r="X992" t="str">
            <v>2007Compagnie Internationale de NegoceScratch 2 000</v>
          </cell>
        </row>
        <row r="993">
          <cell r="I993">
            <v>2007</v>
          </cell>
          <cell r="J993" t="str">
            <v>Compagnie Internationale de NegoceScratch 5 000</v>
          </cell>
          <cell r="L993">
            <v>0</v>
          </cell>
          <cell r="M993" t="str">
            <v>Compagnie Internationale de Negoce</v>
          </cell>
          <cell r="N993" t="str">
            <v>Compagnie Internationale de NegoceScratch 5 000</v>
          </cell>
          <cell r="O993" t="str">
            <v>Compagnie Internationale de Negoce</v>
          </cell>
          <cell r="P993" t="str">
            <v>Scratch 5 000</v>
          </cell>
          <cell r="Q993" t="str">
            <v>42007</v>
          </cell>
          <cell r="R993" t="str">
            <v>42007Scratch 5 000</v>
          </cell>
          <cell r="S993" t="str">
            <v>2007Scratch 5 000</v>
          </cell>
          <cell r="T993" t="str">
            <v>42007Compagnie Internationale de Negoce</v>
          </cell>
          <cell r="U993" t="str">
            <v>42007Compagnie Internationale de NegoceScratch 5 000</v>
          </cell>
          <cell r="V993" t="str">
            <v>39196Scratch 5 000</v>
          </cell>
          <cell r="W993" t="str">
            <v>2007Compagnie Internationale de Negoce</v>
          </cell>
          <cell r="X993" t="str">
            <v>2007Compagnie Internationale de NegoceScratch 5 000</v>
          </cell>
        </row>
        <row r="994">
          <cell r="I994">
            <v>2007</v>
          </cell>
          <cell r="J994" t="str">
            <v>Bonneterie Nouvelle TelecomScratch 1 000</v>
          </cell>
          <cell r="L994">
            <v>1</v>
          </cell>
          <cell r="M994" t="str">
            <v>1Bonneterie Nouvelle Telecom</v>
          </cell>
          <cell r="N994" t="str">
            <v>Bonneterie Nouvelle TelecomScratch 1 000</v>
          </cell>
          <cell r="O994" t="str">
            <v>Bonneterie Nouvelle Telecom</v>
          </cell>
          <cell r="P994" t="str">
            <v>Scratch 1 000</v>
          </cell>
          <cell r="Q994" t="str">
            <v>42007</v>
          </cell>
          <cell r="R994" t="str">
            <v>42007Scratch 1 000</v>
          </cell>
          <cell r="S994" t="str">
            <v>2007Scratch 1 000</v>
          </cell>
          <cell r="T994" t="str">
            <v>42007Bonneterie Nouvelle Telecom</v>
          </cell>
          <cell r="U994" t="str">
            <v>42007Bonneterie Nouvelle TelecomScratch 1 000</v>
          </cell>
          <cell r="V994" t="str">
            <v>39196Scratch 1 000</v>
          </cell>
          <cell r="W994" t="str">
            <v>2007Bonneterie Nouvelle Telecom</v>
          </cell>
          <cell r="X994" t="str">
            <v>2007Bonneterie Nouvelle TelecomScratch 1 000</v>
          </cell>
        </row>
        <row r="995">
          <cell r="I995">
            <v>2007</v>
          </cell>
          <cell r="J995" t="str">
            <v>Bonneterie Nouvelle TelecomScratch 2 000</v>
          </cell>
          <cell r="L995">
            <v>0</v>
          </cell>
          <cell r="M995" t="str">
            <v>Bonneterie Nouvelle Telecom</v>
          </cell>
          <cell r="N995" t="str">
            <v>Bonneterie Nouvelle TelecomScratch 2 000</v>
          </cell>
          <cell r="O995" t="str">
            <v>Bonneterie Nouvelle Telecom</v>
          </cell>
          <cell r="P995" t="str">
            <v>Scratch 2 000</v>
          </cell>
          <cell r="Q995" t="str">
            <v>42007</v>
          </cell>
          <cell r="R995" t="str">
            <v>42007Scratch 2 000</v>
          </cell>
          <cell r="S995" t="str">
            <v>2007Scratch 2 000</v>
          </cell>
          <cell r="T995" t="str">
            <v>42007Bonneterie Nouvelle Telecom</v>
          </cell>
          <cell r="U995" t="str">
            <v>42007Bonneterie Nouvelle TelecomScratch 2 000</v>
          </cell>
          <cell r="V995" t="str">
            <v>39196Scratch 2 000</v>
          </cell>
          <cell r="W995" t="str">
            <v>2007Bonneterie Nouvelle Telecom</v>
          </cell>
          <cell r="X995" t="str">
            <v>2007Bonneterie Nouvelle TelecomScratch 2 000</v>
          </cell>
        </row>
        <row r="996">
          <cell r="I996">
            <v>2007</v>
          </cell>
          <cell r="J996" t="str">
            <v>Bonneterie Nouvelle TelecomScratch 5 000</v>
          </cell>
          <cell r="L996">
            <v>0</v>
          </cell>
          <cell r="M996" t="str">
            <v>Bonneterie Nouvelle Telecom</v>
          </cell>
          <cell r="N996" t="str">
            <v>Bonneterie Nouvelle TelecomScratch 5 000</v>
          </cell>
          <cell r="O996" t="str">
            <v>Bonneterie Nouvelle Telecom</v>
          </cell>
          <cell r="P996" t="str">
            <v>Scratch 5 000</v>
          </cell>
          <cell r="Q996" t="str">
            <v>42007</v>
          </cell>
          <cell r="R996" t="str">
            <v>42007Scratch 5 000</v>
          </cell>
          <cell r="S996" t="str">
            <v>2007Scratch 5 000</v>
          </cell>
          <cell r="T996" t="str">
            <v>42007Bonneterie Nouvelle Telecom</v>
          </cell>
          <cell r="U996" t="str">
            <v>42007Bonneterie Nouvelle TelecomScratch 5 000</v>
          </cell>
          <cell r="V996" t="str">
            <v>39196Scratch 5 000</v>
          </cell>
          <cell r="W996" t="str">
            <v>2007Bonneterie Nouvelle Telecom</v>
          </cell>
          <cell r="X996" t="str">
            <v>2007Bonneterie Nouvelle TelecomScratch 5 000</v>
          </cell>
        </row>
        <row r="997">
          <cell r="I997">
            <v>2007</v>
          </cell>
          <cell r="J997" t="str">
            <v>Bonneterie Nouvelle TelecomScratch 10 000</v>
          </cell>
          <cell r="L997">
            <v>0</v>
          </cell>
          <cell r="M997" t="str">
            <v>Bonneterie Nouvelle Telecom</v>
          </cell>
          <cell r="N997" t="str">
            <v>Bonneterie Nouvelle TelecomScratch 10 000</v>
          </cell>
          <cell r="O997" t="str">
            <v>Bonneterie Nouvelle Telecom</v>
          </cell>
          <cell r="P997" t="str">
            <v>Scratch 10 000</v>
          </cell>
          <cell r="Q997" t="str">
            <v>42007</v>
          </cell>
          <cell r="R997" t="str">
            <v>42007Scratch 10 000</v>
          </cell>
          <cell r="S997" t="str">
            <v>2007Scratch 10 000</v>
          </cell>
          <cell r="T997" t="str">
            <v>42007Bonneterie Nouvelle Telecom</v>
          </cell>
          <cell r="U997" t="str">
            <v>42007Bonneterie Nouvelle TelecomScratch 10 000</v>
          </cell>
          <cell r="V997" t="str">
            <v>39196Scratch 10 000</v>
          </cell>
          <cell r="W997" t="str">
            <v>2007Bonneterie Nouvelle Telecom</v>
          </cell>
          <cell r="X997" t="str">
            <v>2007Bonneterie Nouvelle TelecomScratch 10 000</v>
          </cell>
        </row>
        <row r="998">
          <cell r="I998">
            <v>2007</v>
          </cell>
          <cell r="J998" t="str">
            <v>Bonneterie Nouvelle TelecomScratch 20 000</v>
          </cell>
          <cell r="L998">
            <v>0</v>
          </cell>
          <cell r="M998" t="str">
            <v>Bonneterie Nouvelle Telecom</v>
          </cell>
          <cell r="N998" t="str">
            <v>Bonneterie Nouvelle TelecomScratch 20 000</v>
          </cell>
          <cell r="O998" t="str">
            <v>Bonneterie Nouvelle Telecom</v>
          </cell>
          <cell r="P998" t="str">
            <v>Scratch 20 000</v>
          </cell>
          <cell r="Q998" t="str">
            <v>42007</v>
          </cell>
          <cell r="R998" t="str">
            <v>42007Scratch 20 000</v>
          </cell>
          <cell r="S998" t="str">
            <v>2007Scratch 20 000</v>
          </cell>
          <cell r="T998" t="str">
            <v>42007Bonneterie Nouvelle Telecom</v>
          </cell>
          <cell r="U998" t="str">
            <v>42007Bonneterie Nouvelle TelecomScratch 20 000</v>
          </cell>
          <cell r="V998" t="str">
            <v>39196Scratch 20 000</v>
          </cell>
          <cell r="W998" t="str">
            <v>2007Bonneterie Nouvelle Telecom</v>
          </cell>
          <cell r="X998" t="str">
            <v>2007Bonneterie Nouvelle TelecomScratch 20 000</v>
          </cell>
        </row>
        <row r="999">
          <cell r="I999">
            <v>2007</v>
          </cell>
          <cell r="J999" t="str">
            <v>ETS Boubacar TANDIAScratch 1 000</v>
          </cell>
          <cell r="L999">
            <v>1</v>
          </cell>
          <cell r="M999" t="str">
            <v>1ETS Boubacar TANDIA</v>
          </cell>
          <cell r="N999" t="str">
            <v>ETS Boubacar TANDIAScratch 1 000</v>
          </cell>
          <cell r="O999" t="str">
            <v>ETS Boubacar TANDIA</v>
          </cell>
          <cell r="P999" t="str">
            <v>Scratch 1 000</v>
          </cell>
          <cell r="Q999" t="str">
            <v>42007</v>
          </cell>
          <cell r="R999" t="str">
            <v>42007Scratch 1 000</v>
          </cell>
          <cell r="S999" t="str">
            <v>2007Scratch 1 000</v>
          </cell>
          <cell r="T999" t="str">
            <v>42007ETS Boubacar TANDIA</v>
          </cell>
          <cell r="U999" t="str">
            <v>42007ETS Boubacar TANDIAScratch 1 000</v>
          </cell>
          <cell r="V999" t="str">
            <v>39196Scratch 1 000</v>
          </cell>
          <cell r="W999" t="str">
            <v>2007ETS Boubacar TANDIA</v>
          </cell>
          <cell r="X999" t="str">
            <v>2007ETS Boubacar TANDIAScratch 1 000</v>
          </cell>
        </row>
        <row r="1000">
          <cell r="I1000">
            <v>2007</v>
          </cell>
          <cell r="J1000" t="str">
            <v>ETS Boubacar TANDIAScratch 2 000</v>
          </cell>
          <cell r="L1000">
            <v>0</v>
          </cell>
          <cell r="M1000" t="str">
            <v>ETS Boubacar TANDIA</v>
          </cell>
          <cell r="N1000" t="str">
            <v>ETS Boubacar TANDIAScratch 2 000</v>
          </cell>
          <cell r="O1000" t="str">
            <v>ETS Boubacar TANDIA</v>
          </cell>
          <cell r="P1000" t="str">
            <v>Scratch 2 000</v>
          </cell>
          <cell r="Q1000" t="str">
            <v>42007</v>
          </cell>
          <cell r="R1000" t="str">
            <v>42007Scratch 2 000</v>
          </cell>
          <cell r="S1000" t="str">
            <v>2007Scratch 2 000</v>
          </cell>
          <cell r="T1000" t="str">
            <v>42007ETS Boubacar TANDIA</v>
          </cell>
          <cell r="U1000" t="str">
            <v>42007ETS Boubacar TANDIAScratch 2 000</v>
          </cell>
          <cell r="V1000" t="str">
            <v>39196Scratch 2 000</v>
          </cell>
          <cell r="W1000" t="str">
            <v>2007ETS Boubacar TANDIA</v>
          </cell>
          <cell r="X1000" t="str">
            <v>2007ETS Boubacar TANDIAScratch 2 000</v>
          </cell>
        </row>
        <row r="1001">
          <cell r="I1001">
            <v>2007</v>
          </cell>
          <cell r="J1001" t="str">
            <v>ETS Boubacar TANDIAScratch 5 000</v>
          </cell>
          <cell r="L1001">
            <v>0</v>
          </cell>
          <cell r="M1001" t="str">
            <v>ETS Boubacar TANDIA</v>
          </cell>
          <cell r="N1001" t="str">
            <v>ETS Boubacar TANDIAScratch 5 000</v>
          </cell>
          <cell r="O1001" t="str">
            <v>ETS Boubacar TANDIA</v>
          </cell>
          <cell r="P1001" t="str">
            <v>Scratch 5 000</v>
          </cell>
          <cell r="Q1001" t="str">
            <v>42007</v>
          </cell>
          <cell r="R1001" t="str">
            <v>42007Scratch 5 000</v>
          </cell>
          <cell r="S1001" t="str">
            <v>2007Scratch 5 000</v>
          </cell>
          <cell r="T1001" t="str">
            <v>42007ETS Boubacar TANDIA</v>
          </cell>
          <cell r="U1001" t="str">
            <v>42007ETS Boubacar TANDIAScratch 5 000</v>
          </cell>
          <cell r="V1001" t="str">
            <v>39196Scratch 5 000</v>
          </cell>
          <cell r="W1001" t="str">
            <v>2007ETS Boubacar TANDIA</v>
          </cell>
          <cell r="X1001" t="str">
            <v>2007ETS Boubacar TANDIAScratch 5 000</v>
          </cell>
        </row>
        <row r="1002">
          <cell r="I1002">
            <v>2007</v>
          </cell>
          <cell r="J1002" t="str">
            <v>ETS Boubacar TANDIAScratch 20 000</v>
          </cell>
          <cell r="L1002">
            <v>0</v>
          </cell>
          <cell r="M1002" t="str">
            <v>ETS Boubacar TANDIA</v>
          </cell>
          <cell r="N1002" t="str">
            <v>ETS Boubacar TANDIAScratch 20 000</v>
          </cell>
          <cell r="O1002" t="str">
            <v>ETS Boubacar TANDIA</v>
          </cell>
          <cell r="P1002" t="str">
            <v>Scratch 20 000</v>
          </cell>
          <cell r="Q1002" t="str">
            <v>42007</v>
          </cell>
          <cell r="R1002" t="str">
            <v>42007Scratch 20 000</v>
          </cell>
          <cell r="S1002" t="str">
            <v>2007Scratch 20 000</v>
          </cell>
          <cell r="T1002" t="str">
            <v>42007ETS Boubacar TANDIA</v>
          </cell>
          <cell r="U1002" t="str">
            <v>42007ETS Boubacar TANDIAScratch 20 000</v>
          </cell>
          <cell r="V1002" t="str">
            <v>39196Scratch 20 000</v>
          </cell>
          <cell r="W1002" t="str">
            <v>2007ETS Boubacar TANDIA</v>
          </cell>
          <cell r="X1002" t="str">
            <v>2007ETS Boubacar TANDIAScratch 20 000</v>
          </cell>
        </row>
        <row r="1003">
          <cell r="I1003">
            <v>2007</v>
          </cell>
          <cell r="J1003" t="str">
            <v>MALI COM SarlScratch 1 000</v>
          </cell>
          <cell r="L1003">
            <v>1</v>
          </cell>
          <cell r="M1003" t="str">
            <v>1MALI COM Sarl</v>
          </cell>
          <cell r="N1003" t="str">
            <v>MALI COM SarlScratch 1 000</v>
          </cell>
          <cell r="O1003" t="str">
            <v>MALI COM Sarl</v>
          </cell>
          <cell r="P1003" t="str">
            <v>Scratch 1 000</v>
          </cell>
          <cell r="Q1003" t="str">
            <v>42007</v>
          </cell>
          <cell r="R1003" t="str">
            <v>42007Scratch 1 000</v>
          </cell>
          <cell r="S1003" t="str">
            <v>2007Scratch 1 000</v>
          </cell>
          <cell r="T1003" t="str">
            <v>42007MALI COM Sarl</v>
          </cell>
          <cell r="U1003" t="str">
            <v>42007MALI COM SarlScratch 1 000</v>
          </cell>
          <cell r="V1003" t="str">
            <v>39196Scratch 1 000</v>
          </cell>
          <cell r="W1003" t="str">
            <v>2007MALI COM Sarl</v>
          </cell>
          <cell r="X1003" t="str">
            <v>2007MALI COM SarlScratch 1 000</v>
          </cell>
        </row>
        <row r="1004">
          <cell r="I1004">
            <v>2007</v>
          </cell>
          <cell r="J1004" t="str">
            <v>MALI COM SarlScratch 2 000</v>
          </cell>
          <cell r="L1004">
            <v>0</v>
          </cell>
          <cell r="M1004" t="str">
            <v>MALI COM Sarl</v>
          </cell>
          <cell r="N1004" t="str">
            <v>MALI COM SarlScratch 2 000</v>
          </cell>
          <cell r="O1004" t="str">
            <v>MALI COM Sarl</v>
          </cell>
          <cell r="P1004" t="str">
            <v>Scratch 2 000</v>
          </cell>
          <cell r="Q1004" t="str">
            <v>42007</v>
          </cell>
          <cell r="R1004" t="str">
            <v>42007Scratch 2 000</v>
          </cell>
          <cell r="S1004" t="str">
            <v>2007Scratch 2 000</v>
          </cell>
          <cell r="T1004" t="str">
            <v>42007MALI COM Sarl</v>
          </cell>
          <cell r="U1004" t="str">
            <v>42007MALI COM SarlScratch 2 000</v>
          </cell>
          <cell r="V1004" t="str">
            <v>39196Scratch 2 000</v>
          </cell>
          <cell r="W1004" t="str">
            <v>2007MALI COM Sarl</v>
          </cell>
          <cell r="X1004" t="str">
            <v>2007MALI COM SarlScratch 2 000</v>
          </cell>
        </row>
        <row r="1005">
          <cell r="I1005">
            <v>2007</v>
          </cell>
          <cell r="J1005" t="str">
            <v>MALI COM SarlScratch 5 000</v>
          </cell>
          <cell r="L1005">
            <v>0</v>
          </cell>
          <cell r="M1005" t="str">
            <v>MALI COM Sarl</v>
          </cell>
          <cell r="N1005" t="str">
            <v>MALI COM SarlScratch 5 000</v>
          </cell>
          <cell r="O1005" t="str">
            <v>MALI COM Sarl</v>
          </cell>
          <cell r="P1005" t="str">
            <v>Scratch 5 000</v>
          </cell>
          <cell r="Q1005" t="str">
            <v>42007</v>
          </cell>
          <cell r="R1005" t="str">
            <v>42007Scratch 5 000</v>
          </cell>
          <cell r="S1005" t="str">
            <v>2007Scratch 5 000</v>
          </cell>
          <cell r="T1005" t="str">
            <v>42007MALI COM Sarl</v>
          </cell>
          <cell r="U1005" t="str">
            <v>42007MALI COM SarlScratch 5 000</v>
          </cell>
          <cell r="V1005" t="str">
            <v>39196Scratch 5 000</v>
          </cell>
          <cell r="W1005" t="str">
            <v>2007MALI COM Sarl</v>
          </cell>
          <cell r="X1005" t="str">
            <v>2007MALI COM SarlScratch 5 000</v>
          </cell>
        </row>
        <row r="1006">
          <cell r="I1006">
            <v>2007</v>
          </cell>
          <cell r="J1006" t="str">
            <v>MALI COM SarlScratch 20 000</v>
          </cell>
          <cell r="L1006">
            <v>0</v>
          </cell>
          <cell r="M1006" t="str">
            <v>MALI COM Sarl</v>
          </cell>
          <cell r="N1006" t="str">
            <v>MALI COM SarlScratch 20 000</v>
          </cell>
          <cell r="O1006" t="str">
            <v>MALI COM Sarl</v>
          </cell>
          <cell r="P1006" t="str">
            <v>Scratch 20 000</v>
          </cell>
          <cell r="Q1006" t="str">
            <v>42007</v>
          </cell>
          <cell r="R1006" t="str">
            <v>42007Scratch 20 000</v>
          </cell>
          <cell r="S1006" t="str">
            <v>2007Scratch 20 000</v>
          </cell>
          <cell r="T1006" t="str">
            <v>42007MALI COM Sarl</v>
          </cell>
          <cell r="U1006" t="str">
            <v>42007MALI COM SarlScratch 20 000</v>
          </cell>
          <cell r="V1006" t="str">
            <v>39196Scratch 20 000</v>
          </cell>
          <cell r="W1006" t="str">
            <v>2007MALI COM Sarl</v>
          </cell>
          <cell r="X1006" t="str">
            <v>2007MALI COM SarlScratch 20 000</v>
          </cell>
        </row>
        <row r="1007">
          <cell r="I1007">
            <v>2007</v>
          </cell>
          <cell r="J1007" t="str">
            <v>Compagnie Internationale de NegoceScratch 1 000</v>
          </cell>
          <cell r="L1007">
            <v>1</v>
          </cell>
          <cell r="M1007" t="str">
            <v>1Compagnie Internationale de Negoce</v>
          </cell>
          <cell r="N1007" t="str">
            <v>Compagnie Internationale de NegoceScratch 1 000</v>
          </cell>
          <cell r="O1007" t="str">
            <v>Compagnie Internationale de Negoce</v>
          </cell>
          <cell r="P1007" t="str">
            <v>Scratch 1 000</v>
          </cell>
          <cell r="Q1007" t="str">
            <v>42007</v>
          </cell>
          <cell r="R1007" t="str">
            <v>42007Scratch 1 000</v>
          </cell>
          <cell r="S1007" t="str">
            <v>2007Scratch 1 000</v>
          </cell>
          <cell r="T1007" t="str">
            <v>42007Compagnie Internationale de Negoce</v>
          </cell>
          <cell r="U1007" t="str">
            <v>42007Compagnie Internationale de NegoceScratch 1 000</v>
          </cell>
          <cell r="V1007" t="str">
            <v>39196Scratch 1 000</v>
          </cell>
          <cell r="W1007" t="str">
            <v>2007Compagnie Internationale de Negoce</v>
          </cell>
          <cell r="X1007" t="str">
            <v>2007Compagnie Internationale de NegoceScratch 1 000</v>
          </cell>
        </row>
        <row r="1008">
          <cell r="I1008">
            <v>2007</v>
          </cell>
          <cell r="J1008" t="str">
            <v>Compagnie Internationale de NegoceScratch 2 000</v>
          </cell>
          <cell r="L1008">
            <v>0</v>
          </cell>
          <cell r="M1008" t="str">
            <v>Compagnie Internationale de Negoce</v>
          </cell>
          <cell r="N1008" t="str">
            <v>Compagnie Internationale de NegoceScratch 2 000</v>
          </cell>
          <cell r="O1008" t="str">
            <v>Compagnie Internationale de Negoce</v>
          </cell>
          <cell r="P1008" t="str">
            <v>Scratch 2 000</v>
          </cell>
          <cell r="Q1008" t="str">
            <v>42007</v>
          </cell>
          <cell r="R1008" t="str">
            <v>42007Scratch 2 000</v>
          </cell>
          <cell r="S1008" t="str">
            <v>2007Scratch 2 000</v>
          </cell>
          <cell r="T1008" t="str">
            <v>42007Compagnie Internationale de Negoce</v>
          </cell>
          <cell r="U1008" t="str">
            <v>42007Compagnie Internationale de NegoceScratch 2 000</v>
          </cell>
          <cell r="V1008" t="str">
            <v>39196Scratch 2 000</v>
          </cell>
          <cell r="W1008" t="str">
            <v>2007Compagnie Internationale de Negoce</v>
          </cell>
          <cell r="X1008" t="str">
            <v>2007Compagnie Internationale de NegoceScratch 2 000</v>
          </cell>
        </row>
        <row r="1009">
          <cell r="I1009">
            <v>2007</v>
          </cell>
          <cell r="J1009" t="str">
            <v>Compagnie Internationale de NegoceScratch 5 000</v>
          </cell>
          <cell r="L1009">
            <v>0</v>
          </cell>
          <cell r="M1009" t="str">
            <v>Compagnie Internationale de Negoce</v>
          </cell>
          <cell r="N1009" t="str">
            <v>Compagnie Internationale de NegoceScratch 5 000</v>
          </cell>
          <cell r="O1009" t="str">
            <v>Compagnie Internationale de Negoce</v>
          </cell>
          <cell r="P1009" t="str">
            <v>Scratch 5 000</v>
          </cell>
          <cell r="Q1009" t="str">
            <v>42007</v>
          </cell>
          <cell r="R1009" t="str">
            <v>42007Scratch 5 000</v>
          </cell>
          <cell r="S1009" t="str">
            <v>2007Scratch 5 000</v>
          </cell>
          <cell r="T1009" t="str">
            <v>42007Compagnie Internationale de Negoce</v>
          </cell>
          <cell r="U1009" t="str">
            <v>42007Compagnie Internationale de NegoceScratch 5 000</v>
          </cell>
          <cell r="V1009" t="str">
            <v>39196Scratch 5 000</v>
          </cell>
          <cell r="W1009" t="str">
            <v>2007Compagnie Internationale de Negoce</v>
          </cell>
          <cell r="X1009" t="str">
            <v>2007Compagnie Internationale de NegoceScratch 5 000</v>
          </cell>
        </row>
        <row r="1010">
          <cell r="I1010">
            <v>2007</v>
          </cell>
          <cell r="J1010" t="str">
            <v>Compagnie Internationale de NegoceScratch 10 000</v>
          </cell>
          <cell r="L1010">
            <v>0</v>
          </cell>
          <cell r="M1010" t="str">
            <v>Compagnie Internationale de Negoce</v>
          </cell>
          <cell r="N1010" t="str">
            <v>Compagnie Internationale de NegoceScratch 10 000</v>
          </cell>
          <cell r="O1010" t="str">
            <v>Compagnie Internationale de Negoce</v>
          </cell>
          <cell r="P1010" t="str">
            <v>Scratch 10 000</v>
          </cell>
          <cell r="Q1010" t="str">
            <v>42007</v>
          </cell>
          <cell r="R1010" t="str">
            <v>42007Scratch 10 000</v>
          </cell>
          <cell r="S1010" t="str">
            <v>2007Scratch 10 000</v>
          </cell>
          <cell r="T1010" t="str">
            <v>42007Compagnie Internationale de Negoce</v>
          </cell>
          <cell r="U1010" t="str">
            <v>42007Compagnie Internationale de NegoceScratch 10 000</v>
          </cell>
          <cell r="V1010" t="str">
            <v>39196Scratch 10 000</v>
          </cell>
          <cell r="W1010" t="str">
            <v>2007Compagnie Internationale de Negoce</v>
          </cell>
          <cell r="X1010" t="str">
            <v>2007Compagnie Internationale de NegoceScratch 10 000</v>
          </cell>
        </row>
        <row r="1011">
          <cell r="I1011">
            <v>2007</v>
          </cell>
          <cell r="J1011" t="str">
            <v>Compagnie Internationale de NegoceScratch 20 000</v>
          </cell>
          <cell r="L1011">
            <v>0</v>
          </cell>
          <cell r="M1011" t="str">
            <v>Compagnie Internationale de Negoce</v>
          </cell>
          <cell r="N1011" t="str">
            <v>Compagnie Internationale de NegoceScratch 20 000</v>
          </cell>
          <cell r="O1011" t="str">
            <v>Compagnie Internationale de Negoce</v>
          </cell>
          <cell r="P1011" t="str">
            <v>Scratch 20 000</v>
          </cell>
          <cell r="Q1011" t="str">
            <v>42007</v>
          </cell>
          <cell r="R1011" t="str">
            <v>42007Scratch 20 000</v>
          </cell>
          <cell r="S1011" t="str">
            <v>2007Scratch 20 000</v>
          </cell>
          <cell r="T1011" t="str">
            <v>42007Compagnie Internationale de Negoce</v>
          </cell>
          <cell r="U1011" t="str">
            <v>42007Compagnie Internationale de NegoceScratch 20 000</v>
          </cell>
          <cell r="V1011" t="str">
            <v>39196Scratch 20 000</v>
          </cell>
          <cell r="W1011" t="str">
            <v>2007Compagnie Internationale de Negoce</v>
          </cell>
          <cell r="X1011" t="str">
            <v>2007Compagnie Internationale de NegoceScratch 20 000</v>
          </cell>
        </row>
        <row r="1012">
          <cell r="I1012">
            <v>2007</v>
          </cell>
          <cell r="J1012" t="str">
            <v>GEMATELScratch 1 000</v>
          </cell>
          <cell r="L1012">
            <v>1</v>
          </cell>
          <cell r="M1012" t="str">
            <v>1GEMATEL</v>
          </cell>
          <cell r="N1012" t="str">
            <v>GEMATELScratch 1 000</v>
          </cell>
          <cell r="O1012" t="str">
            <v>GEMATEL</v>
          </cell>
          <cell r="P1012" t="str">
            <v>Scratch 1 000</v>
          </cell>
          <cell r="Q1012" t="str">
            <v>42007</v>
          </cell>
          <cell r="R1012" t="str">
            <v>42007Scratch 1 000</v>
          </cell>
          <cell r="S1012" t="str">
            <v>2007Scratch 1 000</v>
          </cell>
          <cell r="T1012" t="str">
            <v>42007GEMATEL</v>
          </cell>
          <cell r="U1012" t="str">
            <v>42007GEMATELScratch 1 000</v>
          </cell>
          <cell r="V1012" t="str">
            <v>39196Scratch 1 000</v>
          </cell>
          <cell r="W1012" t="str">
            <v>2007GEMATEL</v>
          </cell>
          <cell r="X1012" t="str">
            <v>2007GEMATELScratch 1 000</v>
          </cell>
        </row>
        <row r="1013">
          <cell r="I1013">
            <v>2007</v>
          </cell>
          <cell r="J1013" t="str">
            <v>GEMATELScratch 2 000</v>
          </cell>
          <cell r="L1013">
            <v>0</v>
          </cell>
          <cell r="M1013" t="str">
            <v>GEMATEL</v>
          </cell>
          <cell r="N1013" t="str">
            <v>GEMATELScratch 2 000</v>
          </cell>
          <cell r="O1013" t="str">
            <v>GEMATEL</v>
          </cell>
          <cell r="P1013" t="str">
            <v>Scratch 2 000</v>
          </cell>
          <cell r="Q1013" t="str">
            <v>42007</v>
          </cell>
          <cell r="R1013" t="str">
            <v>42007Scratch 2 000</v>
          </cell>
          <cell r="S1013" t="str">
            <v>2007Scratch 2 000</v>
          </cell>
          <cell r="T1013" t="str">
            <v>42007GEMATEL</v>
          </cell>
          <cell r="U1013" t="str">
            <v>42007GEMATELScratch 2 000</v>
          </cell>
          <cell r="V1013" t="str">
            <v>39196Scratch 2 000</v>
          </cell>
          <cell r="W1013" t="str">
            <v>2007GEMATEL</v>
          </cell>
          <cell r="X1013" t="str">
            <v>2007GEMATELScratch 2 000</v>
          </cell>
        </row>
        <row r="1014">
          <cell r="I1014">
            <v>2007</v>
          </cell>
          <cell r="J1014" t="str">
            <v>GEMATELScratch 5 000</v>
          </cell>
          <cell r="L1014">
            <v>0</v>
          </cell>
          <cell r="M1014" t="str">
            <v>GEMATEL</v>
          </cell>
          <cell r="N1014" t="str">
            <v>GEMATELScratch 5 000</v>
          </cell>
          <cell r="O1014" t="str">
            <v>GEMATEL</v>
          </cell>
          <cell r="P1014" t="str">
            <v>Scratch 5 000</v>
          </cell>
          <cell r="Q1014" t="str">
            <v>42007</v>
          </cell>
          <cell r="R1014" t="str">
            <v>42007Scratch 5 000</v>
          </cell>
          <cell r="S1014" t="str">
            <v>2007Scratch 5 000</v>
          </cell>
          <cell r="T1014" t="str">
            <v>42007GEMATEL</v>
          </cell>
          <cell r="U1014" t="str">
            <v>42007GEMATELScratch 5 000</v>
          </cell>
          <cell r="V1014" t="str">
            <v>39196Scratch 5 000</v>
          </cell>
          <cell r="W1014" t="str">
            <v>2007GEMATEL</v>
          </cell>
          <cell r="X1014" t="str">
            <v>2007GEMATELScratch 5 000</v>
          </cell>
        </row>
        <row r="1015">
          <cell r="I1015">
            <v>2007</v>
          </cell>
          <cell r="J1015" t="str">
            <v>GEMATELScratch 10 000</v>
          </cell>
          <cell r="L1015">
            <v>0</v>
          </cell>
          <cell r="M1015" t="str">
            <v>GEMATEL</v>
          </cell>
          <cell r="N1015" t="str">
            <v>GEMATELScratch 10 000</v>
          </cell>
          <cell r="O1015" t="str">
            <v>GEMATEL</v>
          </cell>
          <cell r="P1015" t="str">
            <v>Scratch 10 000</v>
          </cell>
          <cell r="Q1015" t="str">
            <v>42007</v>
          </cell>
          <cell r="R1015" t="str">
            <v>42007Scratch 10 000</v>
          </cell>
          <cell r="S1015" t="str">
            <v>2007Scratch 10 000</v>
          </cell>
          <cell r="T1015" t="str">
            <v>42007GEMATEL</v>
          </cell>
          <cell r="U1015" t="str">
            <v>42007GEMATELScratch 10 000</v>
          </cell>
          <cell r="V1015" t="str">
            <v>39196Scratch 10 000</v>
          </cell>
          <cell r="W1015" t="str">
            <v>2007GEMATEL</v>
          </cell>
          <cell r="X1015" t="str">
            <v>2007GEMATELScratch 10 000</v>
          </cell>
        </row>
        <row r="1016">
          <cell r="I1016">
            <v>2007</v>
          </cell>
          <cell r="J1016" t="str">
            <v>GEMATELScratch 20 000</v>
          </cell>
          <cell r="L1016">
            <v>0</v>
          </cell>
          <cell r="M1016" t="str">
            <v>GEMATEL</v>
          </cell>
          <cell r="N1016" t="str">
            <v>GEMATELScratch 20 000</v>
          </cell>
          <cell r="O1016" t="str">
            <v>GEMATEL</v>
          </cell>
          <cell r="P1016" t="str">
            <v>Scratch 20 000</v>
          </cell>
          <cell r="Q1016" t="str">
            <v>42007</v>
          </cell>
          <cell r="R1016" t="str">
            <v>42007Scratch 20 000</v>
          </cell>
          <cell r="S1016" t="str">
            <v>2007Scratch 20 000</v>
          </cell>
          <cell r="T1016" t="str">
            <v>42007GEMATEL</v>
          </cell>
          <cell r="U1016" t="str">
            <v>42007GEMATELScratch 20 000</v>
          </cell>
          <cell r="V1016" t="str">
            <v>39196Scratch 20 000</v>
          </cell>
          <cell r="W1016" t="str">
            <v>2007GEMATEL</v>
          </cell>
          <cell r="X1016" t="str">
            <v>2007GEMATELScratch 20 000</v>
          </cell>
        </row>
        <row r="1017">
          <cell r="I1017">
            <v>2007</v>
          </cell>
          <cell r="J1017" t="str">
            <v>GEMATELScratch 1 000</v>
          </cell>
          <cell r="L1017">
            <v>1</v>
          </cell>
          <cell r="M1017" t="str">
            <v>1GEMATEL</v>
          </cell>
          <cell r="N1017" t="str">
            <v>GEMATELScratch 1 000</v>
          </cell>
          <cell r="O1017" t="str">
            <v>GEMATEL</v>
          </cell>
          <cell r="P1017" t="str">
            <v>Scratch 1 000</v>
          </cell>
          <cell r="Q1017" t="str">
            <v>42007</v>
          </cell>
          <cell r="R1017" t="str">
            <v>42007Scratch 1 000</v>
          </cell>
          <cell r="S1017" t="str">
            <v>2007Scratch 1 000</v>
          </cell>
          <cell r="T1017" t="str">
            <v>42007GEMATEL</v>
          </cell>
          <cell r="U1017" t="str">
            <v>42007GEMATELScratch 1 000</v>
          </cell>
          <cell r="V1017" t="str">
            <v>39198Scratch 1 000</v>
          </cell>
          <cell r="W1017" t="str">
            <v>2007GEMATEL</v>
          </cell>
          <cell r="X1017" t="str">
            <v>2007GEMATELScratch 1 000</v>
          </cell>
        </row>
        <row r="1018">
          <cell r="I1018">
            <v>2007</v>
          </cell>
          <cell r="J1018" t="str">
            <v>GEMATELScratch 2 000</v>
          </cell>
          <cell r="L1018">
            <v>0</v>
          </cell>
          <cell r="M1018" t="str">
            <v>GEMATEL</v>
          </cell>
          <cell r="N1018" t="str">
            <v>GEMATELScratch 2 000</v>
          </cell>
          <cell r="O1018" t="str">
            <v>GEMATEL</v>
          </cell>
          <cell r="P1018" t="str">
            <v>Scratch 2 000</v>
          </cell>
          <cell r="Q1018" t="str">
            <v>42007</v>
          </cell>
          <cell r="R1018" t="str">
            <v>42007Scratch 2 000</v>
          </cell>
          <cell r="S1018" t="str">
            <v>2007Scratch 2 000</v>
          </cell>
          <cell r="T1018" t="str">
            <v>42007GEMATEL</v>
          </cell>
          <cell r="U1018" t="str">
            <v>42007GEMATELScratch 2 000</v>
          </cell>
          <cell r="V1018" t="str">
            <v>39198Scratch 2 000</v>
          </cell>
          <cell r="W1018" t="str">
            <v>2007GEMATEL</v>
          </cell>
          <cell r="X1018" t="str">
            <v>2007GEMATELScratch 2 000</v>
          </cell>
        </row>
        <row r="1019">
          <cell r="I1019">
            <v>2007</v>
          </cell>
          <cell r="J1019" t="str">
            <v>GEMATELScratch 5 000</v>
          </cell>
          <cell r="L1019">
            <v>0</v>
          </cell>
          <cell r="M1019" t="str">
            <v>GEMATEL</v>
          </cell>
          <cell r="N1019" t="str">
            <v>GEMATELScratch 5 000</v>
          </cell>
          <cell r="O1019" t="str">
            <v>GEMATEL</v>
          </cell>
          <cell r="P1019" t="str">
            <v>Scratch 5 000</v>
          </cell>
          <cell r="Q1019" t="str">
            <v>42007</v>
          </cell>
          <cell r="R1019" t="str">
            <v>42007Scratch 5 000</v>
          </cell>
          <cell r="S1019" t="str">
            <v>2007Scratch 5 000</v>
          </cell>
          <cell r="T1019" t="str">
            <v>42007GEMATEL</v>
          </cell>
          <cell r="U1019" t="str">
            <v>42007GEMATELScratch 5 000</v>
          </cell>
          <cell r="V1019" t="str">
            <v>39198Scratch 5 000</v>
          </cell>
          <cell r="W1019" t="str">
            <v>2007GEMATEL</v>
          </cell>
          <cell r="X1019" t="str">
            <v>2007GEMATELScratch 5 000</v>
          </cell>
        </row>
        <row r="1020">
          <cell r="I1020">
            <v>2007</v>
          </cell>
          <cell r="J1020" t="str">
            <v>STS GAMBY &amp; FRERES (SOGAF) SarlScratch 1 000</v>
          </cell>
          <cell r="L1020">
            <v>1</v>
          </cell>
          <cell r="M1020" t="str">
            <v>1STS GAMBY &amp; FRERES (SOGAF) Sarl</v>
          </cell>
          <cell r="N1020" t="str">
            <v>STS GAMBY &amp; FRERES (SOGAF) SarlScratch 1 000</v>
          </cell>
          <cell r="O1020" t="str">
            <v>STS GAMBY &amp; FRERES (SOGAF) Sarl</v>
          </cell>
          <cell r="P1020" t="str">
            <v>Scratch 1 000</v>
          </cell>
          <cell r="Q1020" t="str">
            <v>42007</v>
          </cell>
          <cell r="R1020" t="str">
            <v>42007Scratch 1 000</v>
          </cell>
          <cell r="S1020" t="str">
            <v>2007Scratch 1 000</v>
          </cell>
          <cell r="T1020" t="str">
            <v>42007STS GAMBY &amp; FRERES (SOGAF) Sarl</v>
          </cell>
          <cell r="U1020" t="str">
            <v>42007STS GAMBY &amp; FRERES (SOGAF) SarlScratch 1 000</v>
          </cell>
          <cell r="V1020" t="str">
            <v>39198Scratch 1 000</v>
          </cell>
          <cell r="W1020" t="str">
            <v>2007STS GAMBY &amp; FRERES (SOGAF) Sarl</v>
          </cell>
          <cell r="X1020" t="str">
            <v>2007STS GAMBY &amp; FRERES (SOGAF) SarlScratch 1 000</v>
          </cell>
        </row>
        <row r="1021">
          <cell r="I1021">
            <v>2007</v>
          </cell>
          <cell r="J1021" t="str">
            <v>STS GAMBY &amp; FRERES (SOGAF) SarlScratch 2 000</v>
          </cell>
          <cell r="L1021">
            <v>0</v>
          </cell>
          <cell r="M1021" t="str">
            <v>STS GAMBY &amp; FRERES (SOGAF) Sarl</v>
          </cell>
          <cell r="N1021" t="str">
            <v>STS GAMBY &amp; FRERES (SOGAF) SarlScratch 2 000</v>
          </cell>
          <cell r="O1021" t="str">
            <v>STS GAMBY &amp; FRERES (SOGAF) Sarl</v>
          </cell>
          <cell r="P1021" t="str">
            <v>Scratch 2 000</v>
          </cell>
          <cell r="Q1021" t="str">
            <v>42007</v>
          </cell>
          <cell r="R1021" t="str">
            <v>42007Scratch 2 000</v>
          </cell>
          <cell r="S1021" t="str">
            <v>2007Scratch 2 000</v>
          </cell>
          <cell r="T1021" t="str">
            <v>42007STS GAMBY &amp; FRERES (SOGAF) Sarl</v>
          </cell>
          <cell r="U1021" t="str">
            <v>42007STS GAMBY &amp; FRERES (SOGAF) SarlScratch 2 000</v>
          </cell>
          <cell r="V1021" t="str">
            <v>39198Scratch 2 000</v>
          </cell>
          <cell r="W1021" t="str">
            <v>2007STS GAMBY &amp; FRERES (SOGAF) Sarl</v>
          </cell>
          <cell r="X1021" t="str">
            <v>2007STS GAMBY &amp; FRERES (SOGAF) SarlScratch 2 000</v>
          </cell>
        </row>
        <row r="1022">
          <cell r="I1022">
            <v>2007</v>
          </cell>
          <cell r="J1022" t="str">
            <v>STS GAMBY &amp; FRERES (SOGAF) SarlScratch 5 000</v>
          </cell>
          <cell r="L1022">
            <v>0</v>
          </cell>
          <cell r="M1022" t="str">
            <v>STS GAMBY &amp; FRERES (SOGAF) Sarl</v>
          </cell>
          <cell r="N1022" t="str">
            <v>STS GAMBY &amp; FRERES (SOGAF) SarlScratch 5 000</v>
          </cell>
          <cell r="O1022" t="str">
            <v>STS GAMBY &amp; FRERES (SOGAF) Sarl</v>
          </cell>
          <cell r="P1022" t="str">
            <v>Scratch 5 000</v>
          </cell>
          <cell r="Q1022" t="str">
            <v>42007</v>
          </cell>
          <cell r="R1022" t="str">
            <v>42007Scratch 5 000</v>
          </cell>
          <cell r="S1022" t="str">
            <v>2007Scratch 5 000</v>
          </cell>
          <cell r="T1022" t="str">
            <v>42007STS GAMBY &amp; FRERES (SOGAF) Sarl</v>
          </cell>
          <cell r="U1022" t="str">
            <v>42007STS GAMBY &amp; FRERES (SOGAF) SarlScratch 5 000</v>
          </cell>
          <cell r="V1022" t="str">
            <v>39198Scratch 5 000</v>
          </cell>
          <cell r="W1022" t="str">
            <v>2007STS GAMBY &amp; FRERES (SOGAF) Sarl</v>
          </cell>
          <cell r="X1022" t="str">
            <v>2007STS GAMBY &amp; FRERES (SOGAF) SarlScratch 5 000</v>
          </cell>
        </row>
        <row r="1023">
          <cell r="I1023">
            <v>2007</v>
          </cell>
          <cell r="J1023" t="str">
            <v>STS GAMBY &amp; FRERES (SOGAF) SarlScratch 20 000</v>
          </cell>
          <cell r="L1023">
            <v>0</v>
          </cell>
          <cell r="M1023" t="str">
            <v>STS GAMBY &amp; FRERES (SOGAF) Sarl</v>
          </cell>
          <cell r="N1023" t="str">
            <v>STS GAMBY &amp; FRERES (SOGAF) SarlScratch 20 000</v>
          </cell>
          <cell r="O1023" t="str">
            <v>STS GAMBY &amp; FRERES (SOGAF) Sarl</v>
          </cell>
          <cell r="P1023" t="str">
            <v>Scratch 20 000</v>
          </cell>
          <cell r="Q1023" t="str">
            <v>42007</v>
          </cell>
          <cell r="R1023" t="str">
            <v>42007Scratch 20 000</v>
          </cell>
          <cell r="S1023" t="str">
            <v>2007Scratch 20 000</v>
          </cell>
          <cell r="T1023" t="str">
            <v>42007STS GAMBY &amp; FRERES (SOGAF) Sarl</v>
          </cell>
          <cell r="U1023" t="str">
            <v>42007STS GAMBY &amp; FRERES (SOGAF) SarlScratch 20 000</v>
          </cell>
          <cell r="V1023" t="str">
            <v>39198Scratch 20 000</v>
          </cell>
          <cell r="W1023" t="str">
            <v>2007STS GAMBY &amp; FRERES (SOGAF) Sarl</v>
          </cell>
          <cell r="X1023" t="str">
            <v>2007STS GAMBY &amp; FRERES (SOGAF) SarlScratch 20 000</v>
          </cell>
        </row>
        <row r="1024">
          <cell r="I1024">
            <v>2007</v>
          </cell>
          <cell r="J1024" t="str">
            <v>ANKA ServicesScratch 1 000</v>
          </cell>
          <cell r="L1024">
            <v>1</v>
          </cell>
          <cell r="M1024" t="str">
            <v>1ANKA Services</v>
          </cell>
          <cell r="N1024" t="str">
            <v>ANKA ServicesScratch 1 000</v>
          </cell>
          <cell r="O1024" t="str">
            <v>ANKA Services</v>
          </cell>
          <cell r="P1024" t="str">
            <v>Scratch 1 000</v>
          </cell>
          <cell r="Q1024" t="str">
            <v>42007</v>
          </cell>
          <cell r="R1024" t="str">
            <v>42007Scratch 1 000</v>
          </cell>
          <cell r="S1024" t="str">
            <v>2007Scratch 1 000</v>
          </cell>
          <cell r="T1024" t="str">
            <v>42007ANKA Services</v>
          </cell>
          <cell r="U1024" t="str">
            <v>42007ANKA ServicesScratch 1 000</v>
          </cell>
          <cell r="V1024" t="str">
            <v>39198Scratch 1 000</v>
          </cell>
          <cell r="W1024" t="str">
            <v>2007ANKA Services</v>
          </cell>
          <cell r="X1024" t="str">
            <v>2007ANKA ServicesScratch 1 000</v>
          </cell>
        </row>
        <row r="1025">
          <cell r="I1025">
            <v>2007</v>
          </cell>
          <cell r="J1025" t="str">
            <v>ANKA ServicesScratch 2 000</v>
          </cell>
          <cell r="L1025">
            <v>0</v>
          </cell>
          <cell r="M1025" t="str">
            <v>ANKA Services</v>
          </cell>
          <cell r="N1025" t="str">
            <v>ANKA ServicesScratch 2 000</v>
          </cell>
          <cell r="O1025" t="str">
            <v>ANKA Services</v>
          </cell>
          <cell r="P1025" t="str">
            <v>Scratch 2 000</v>
          </cell>
          <cell r="Q1025" t="str">
            <v>42007</v>
          </cell>
          <cell r="R1025" t="str">
            <v>42007Scratch 2 000</v>
          </cell>
          <cell r="S1025" t="str">
            <v>2007Scratch 2 000</v>
          </cell>
          <cell r="T1025" t="str">
            <v>42007ANKA Services</v>
          </cell>
          <cell r="U1025" t="str">
            <v>42007ANKA ServicesScratch 2 000</v>
          </cell>
          <cell r="V1025" t="str">
            <v>39198Scratch 2 000</v>
          </cell>
          <cell r="W1025" t="str">
            <v>2007ANKA Services</v>
          </cell>
          <cell r="X1025" t="str">
            <v>2007ANKA ServicesScratch 2 000</v>
          </cell>
        </row>
        <row r="1026">
          <cell r="I1026">
            <v>2007</v>
          </cell>
          <cell r="J1026" t="str">
            <v>ANKA ServicesScratch 5 000</v>
          </cell>
          <cell r="L1026">
            <v>0</v>
          </cell>
          <cell r="M1026" t="str">
            <v>ANKA Services</v>
          </cell>
          <cell r="N1026" t="str">
            <v>ANKA ServicesScratch 5 000</v>
          </cell>
          <cell r="O1026" t="str">
            <v>ANKA Services</v>
          </cell>
          <cell r="P1026" t="str">
            <v>Scratch 5 000</v>
          </cell>
          <cell r="Q1026" t="str">
            <v>42007</v>
          </cell>
          <cell r="R1026" t="str">
            <v>42007Scratch 5 000</v>
          </cell>
          <cell r="S1026" t="str">
            <v>2007Scratch 5 000</v>
          </cell>
          <cell r="T1026" t="str">
            <v>42007ANKA Services</v>
          </cell>
          <cell r="U1026" t="str">
            <v>42007ANKA ServicesScratch 5 000</v>
          </cell>
          <cell r="V1026" t="str">
            <v>39198Scratch 5 000</v>
          </cell>
          <cell r="W1026" t="str">
            <v>2007ANKA Services</v>
          </cell>
          <cell r="X1026" t="str">
            <v>2007ANKA ServicesScratch 5 000</v>
          </cell>
        </row>
        <row r="1027">
          <cell r="I1027">
            <v>2007</v>
          </cell>
          <cell r="J1027" t="str">
            <v>ANKA ServicesScratch 1 000</v>
          </cell>
          <cell r="L1027">
            <v>1</v>
          </cell>
          <cell r="M1027" t="str">
            <v>1ANKA Services</v>
          </cell>
          <cell r="N1027" t="str">
            <v>ANKA ServicesScratch 1 000</v>
          </cell>
          <cell r="O1027" t="str">
            <v>ANKA Services</v>
          </cell>
          <cell r="P1027" t="str">
            <v>Scratch 1 000</v>
          </cell>
          <cell r="Q1027" t="str">
            <v>42007</v>
          </cell>
          <cell r="R1027" t="str">
            <v>42007Scratch 1 000</v>
          </cell>
          <cell r="S1027" t="str">
            <v>2007Scratch 1 000</v>
          </cell>
          <cell r="T1027" t="str">
            <v>42007ANKA Services</v>
          </cell>
          <cell r="U1027" t="str">
            <v>42007ANKA ServicesScratch 1 000</v>
          </cell>
          <cell r="V1027" t="str">
            <v>39199Scratch 1 000</v>
          </cell>
          <cell r="W1027" t="str">
            <v>2007ANKA Services</v>
          </cell>
          <cell r="X1027" t="str">
            <v>2007ANKA ServicesScratch 1 000</v>
          </cell>
        </row>
        <row r="1028">
          <cell r="I1028">
            <v>2007</v>
          </cell>
          <cell r="J1028" t="str">
            <v>ANKA ServicesScratch 2 000</v>
          </cell>
          <cell r="L1028">
            <v>0</v>
          </cell>
          <cell r="M1028" t="str">
            <v>ANKA Services</v>
          </cell>
          <cell r="N1028" t="str">
            <v>ANKA ServicesScratch 2 000</v>
          </cell>
          <cell r="O1028" t="str">
            <v>ANKA Services</v>
          </cell>
          <cell r="P1028" t="str">
            <v>Scratch 2 000</v>
          </cell>
          <cell r="Q1028" t="str">
            <v>42007</v>
          </cell>
          <cell r="R1028" t="str">
            <v>42007Scratch 2 000</v>
          </cell>
          <cell r="S1028" t="str">
            <v>2007Scratch 2 000</v>
          </cell>
          <cell r="T1028" t="str">
            <v>42007ANKA Services</v>
          </cell>
          <cell r="U1028" t="str">
            <v>42007ANKA ServicesScratch 2 000</v>
          </cell>
          <cell r="V1028" t="str">
            <v>39199Scratch 2 000</v>
          </cell>
          <cell r="W1028" t="str">
            <v>2007ANKA Services</v>
          </cell>
          <cell r="X1028" t="str">
            <v>2007ANKA ServicesScratch 2 000</v>
          </cell>
        </row>
        <row r="1029">
          <cell r="I1029">
            <v>2007</v>
          </cell>
          <cell r="J1029" t="str">
            <v>ANKA ServicesScratch 5 000</v>
          </cell>
          <cell r="L1029">
            <v>0</v>
          </cell>
          <cell r="M1029" t="str">
            <v>ANKA Services</v>
          </cell>
          <cell r="N1029" t="str">
            <v>ANKA ServicesScratch 5 000</v>
          </cell>
          <cell r="O1029" t="str">
            <v>ANKA Services</v>
          </cell>
          <cell r="P1029" t="str">
            <v>Scratch 5 000</v>
          </cell>
          <cell r="Q1029" t="str">
            <v>42007</v>
          </cell>
          <cell r="R1029" t="str">
            <v>42007Scratch 5 000</v>
          </cell>
          <cell r="S1029" t="str">
            <v>2007Scratch 5 000</v>
          </cell>
          <cell r="T1029" t="str">
            <v>42007ANKA Services</v>
          </cell>
          <cell r="U1029" t="str">
            <v>42007ANKA ServicesScratch 5 000</v>
          </cell>
          <cell r="V1029" t="str">
            <v>39199Scratch 5 000</v>
          </cell>
          <cell r="W1029" t="str">
            <v>2007ANKA Services</v>
          </cell>
          <cell r="X1029" t="str">
            <v>2007ANKA ServicesScratch 5 000</v>
          </cell>
        </row>
        <row r="1030">
          <cell r="I1030">
            <v>2007</v>
          </cell>
          <cell r="J1030" t="str">
            <v>STS GAMBY &amp; FRERES (SOGAF) SarlScratch 1 000</v>
          </cell>
          <cell r="L1030">
            <v>1</v>
          </cell>
          <cell r="M1030" t="str">
            <v>1STS GAMBY &amp; FRERES (SOGAF) Sarl</v>
          </cell>
          <cell r="N1030" t="str">
            <v>STS GAMBY &amp; FRERES (SOGAF) SarlScratch 1 000</v>
          </cell>
          <cell r="O1030" t="str">
            <v>STS GAMBY &amp; FRERES (SOGAF) Sarl</v>
          </cell>
          <cell r="P1030" t="str">
            <v>Scratch 1 000</v>
          </cell>
          <cell r="Q1030" t="str">
            <v>42007</v>
          </cell>
          <cell r="R1030" t="str">
            <v>42007Scratch 1 000</v>
          </cell>
          <cell r="S1030" t="str">
            <v>2007Scratch 1 000</v>
          </cell>
          <cell r="T1030" t="str">
            <v>42007STS GAMBY &amp; FRERES (SOGAF) Sarl</v>
          </cell>
          <cell r="U1030" t="str">
            <v>42007STS GAMBY &amp; FRERES (SOGAF) SarlScratch 1 000</v>
          </cell>
          <cell r="V1030" t="str">
            <v>39199Scratch 1 000</v>
          </cell>
          <cell r="W1030" t="str">
            <v>2007STS GAMBY &amp; FRERES (SOGAF) Sarl</v>
          </cell>
          <cell r="X1030" t="str">
            <v>2007STS GAMBY &amp; FRERES (SOGAF) SarlScratch 1 000</v>
          </cell>
        </row>
        <row r="1031">
          <cell r="I1031">
            <v>2007</v>
          </cell>
          <cell r="J1031" t="str">
            <v>STS GAMBY &amp; FRERES (SOGAF) SarlScratch 2 000</v>
          </cell>
          <cell r="L1031">
            <v>0</v>
          </cell>
          <cell r="M1031" t="str">
            <v>STS GAMBY &amp; FRERES (SOGAF) Sarl</v>
          </cell>
          <cell r="N1031" t="str">
            <v>STS GAMBY &amp; FRERES (SOGAF) SarlScratch 2 000</v>
          </cell>
          <cell r="O1031" t="str">
            <v>STS GAMBY &amp; FRERES (SOGAF) Sarl</v>
          </cell>
          <cell r="P1031" t="str">
            <v>Scratch 2 000</v>
          </cell>
          <cell r="Q1031" t="str">
            <v>42007</v>
          </cell>
          <cell r="R1031" t="str">
            <v>42007Scratch 2 000</v>
          </cell>
          <cell r="S1031" t="str">
            <v>2007Scratch 2 000</v>
          </cell>
          <cell r="T1031" t="str">
            <v>42007STS GAMBY &amp; FRERES (SOGAF) Sarl</v>
          </cell>
          <cell r="U1031" t="str">
            <v>42007STS GAMBY &amp; FRERES (SOGAF) SarlScratch 2 000</v>
          </cell>
          <cell r="V1031" t="str">
            <v>39199Scratch 2 000</v>
          </cell>
          <cell r="W1031" t="str">
            <v>2007STS GAMBY &amp; FRERES (SOGAF) Sarl</v>
          </cell>
          <cell r="X1031" t="str">
            <v>2007STS GAMBY &amp; FRERES (SOGAF) SarlScratch 2 000</v>
          </cell>
        </row>
        <row r="1032">
          <cell r="I1032">
            <v>2007</v>
          </cell>
          <cell r="J1032" t="str">
            <v>STS GAMBY &amp; FRERES (SOGAF) SarlScratch 5 000</v>
          </cell>
          <cell r="L1032">
            <v>0</v>
          </cell>
          <cell r="M1032" t="str">
            <v>STS GAMBY &amp; FRERES (SOGAF) Sarl</v>
          </cell>
          <cell r="N1032" t="str">
            <v>STS GAMBY &amp; FRERES (SOGAF) SarlScratch 5 000</v>
          </cell>
          <cell r="O1032" t="str">
            <v>STS GAMBY &amp; FRERES (SOGAF) Sarl</v>
          </cell>
          <cell r="P1032" t="str">
            <v>Scratch 5 000</v>
          </cell>
          <cell r="Q1032" t="str">
            <v>42007</v>
          </cell>
          <cell r="R1032" t="str">
            <v>42007Scratch 5 000</v>
          </cell>
          <cell r="S1032" t="str">
            <v>2007Scratch 5 000</v>
          </cell>
          <cell r="T1032" t="str">
            <v>42007STS GAMBY &amp; FRERES (SOGAF) Sarl</v>
          </cell>
          <cell r="U1032" t="str">
            <v>42007STS GAMBY &amp; FRERES (SOGAF) SarlScratch 5 000</v>
          </cell>
          <cell r="V1032" t="str">
            <v>39199Scratch 5 000</v>
          </cell>
          <cell r="W1032" t="str">
            <v>2007STS GAMBY &amp; FRERES (SOGAF) Sarl</v>
          </cell>
          <cell r="X1032" t="str">
            <v>2007STS GAMBY &amp; FRERES (SOGAF) SarlScratch 5 000</v>
          </cell>
        </row>
        <row r="1033">
          <cell r="I1033">
            <v>2007</v>
          </cell>
          <cell r="J1033" t="str">
            <v>Burtel MacsymScratch 1 000</v>
          </cell>
          <cell r="L1033">
            <v>1</v>
          </cell>
          <cell r="M1033" t="str">
            <v>1Burtel Macsym</v>
          </cell>
          <cell r="N1033" t="str">
            <v>Burtel MacsymScratch 1 000</v>
          </cell>
          <cell r="O1033" t="str">
            <v>Burtel Macsym</v>
          </cell>
          <cell r="P1033" t="str">
            <v>Scratch 1 000</v>
          </cell>
          <cell r="Q1033" t="str">
            <v>42007</v>
          </cell>
          <cell r="R1033" t="str">
            <v>42007Scratch 1 000</v>
          </cell>
          <cell r="S1033" t="str">
            <v>2007Scratch 1 000</v>
          </cell>
          <cell r="T1033" t="str">
            <v>42007Burtel Macsym</v>
          </cell>
          <cell r="U1033" t="str">
            <v>42007Burtel MacsymScratch 1 000</v>
          </cell>
          <cell r="V1033" t="str">
            <v>39199Scratch 1 000</v>
          </cell>
          <cell r="W1033" t="str">
            <v>2007Burtel Macsym</v>
          </cell>
          <cell r="X1033" t="str">
            <v>2007Burtel MacsymScratch 1 000</v>
          </cell>
        </row>
        <row r="1034">
          <cell r="I1034">
            <v>2007</v>
          </cell>
          <cell r="J1034" t="str">
            <v>Burtel MacsymScratch 2 000</v>
          </cell>
          <cell r="L1034">
            <v>0</v>
          </cell>
          <cell r="M1034" t="str">
            <v>Burtel Macsym</v>
          </cell>
          <cell r="N1034" t="str">
            <v>Burtel MacsymScratch 2 000</v>
          </cell>
          <cell r="O1034" t="str">
            <v>Burtel Macsym</v>
          </cell>
          <cell r="P1034" t="str">
            <v>Scratch 2 000</v>
          </cell>
          <cell r="Q1034" t="str">
            <v>42007</v>
          </cell>
          <cell r="R1034" t="str">
            <v>42007Scratch 2 000</v>
          </cell>
          <cell r="S1034" t="str">
            <v>2007Scratch 2 000</v>
          </cell>
          <cell r="T1034" t="str">
            <v>42007Burtel Macsym</v>
          </cell>
          <cell r="U1034" t="str">
            <v>42007Burtel MacsymScratch 2 000</v>
          </cell>
          <cell r="V1034" t="str">
            <v>39199Scratch 2 000</v>
          </cell>
          <cell r="W1034" t="str">
            <v>2007Burtel Macsym</v>
          </cell>
          <cell r="X1034" t="str">
            <v>2007Burtel MacsymScratch 2 000</v>
          </cell>
        </row>
        <row r="1035">
          <cell r="I1035">
            <v>2007</v>
          </cell>
          <cell r="J1035" t="str">
            <v>Burtel MacsymScratch 5 000</v>
          </cell>
          <cell r="L1035">
            <v>0</v>
          </cell>
          <cell r="M1035" t="str">
            <v>Burtel Macsym</v>
          </cell>
          <cell r="N1035" t="str">
            <v>Burtel MacsymScratch 5 000</v>
          </cell>
          <cell r="O1035" t="str">
            <v>Burtel Macsym</v>
          </cell>
          <cell r="P1035" t="str">
            <v>Scratch 5 000</v>
          </cell>
          <cell r="Q1035" t="str">
            <v>42007</v>
          </cell>
          <cell r="R1035" t="str">
            <v>42007Scratch 5 000</v>
          </cell>
          <cell r="S1035" t="str">
            <v>2007Scratch 5 000</v>
          </cell>
          <cell r="T1035" t="str">
            <v>42007Burtel Macsym</v>
          </cell>
          <cell r="U1035" t="str">
            <v>42007Burtel MacsymScratch 5 000</v>
          </cell>
          <cell r="V1035" t="str">
            <v>39199Scratch 5 000</v>
          </cell>
          <cell r="W1035" t="str">
            <v>2007Burtel Macsym</v>
          </cell>
          <cell r="X1035" t="str">
            <v>2007Burtel MacsymScratch 5 000</v>
          </cell>
        </row>
        <row r="1036">
          <cell r="I1036">
            <v>2007</v>
          </cell>
          <cell r="J1036" t="str">
            <v>Burtel MacsymScratch 20 000</v>
          </cell>
          <cell r="L1036">
            <v>0</v>
          </cell>
          <cell r="M1036" t="str">
            <v>Burtel Macsym</v>
          </cell>
          <cell r="N1036" t="str">
            <v>Burtel MacsymScratch 20 000</v>
          </cell>
          <cell r="O1036" t="str">
            <v>Burtel Macsym</v>
          </cell>
          <cell r="P1036" t="str">
            <v>Scratch 20 000</v>
          </cell>
          <cell r="Q1036" t="str">
            <v>42007</v>
          </cell>
          <cell r="R1036" t="str">
            <v>42007Scratch 20 000</v>
          </cell>
          <cell r="S1036" t="str">
            <v>2007Scratch 20 000</v>
          </cell>
          <cell r="T1036" t="str">
            <v>42007Burtel Macsym</v>
          </cell>
          <cell r="U1036" t="str">
            <v>42007Burtel MacsymScratch 20 000</v>
          </cell>
          <cell r="V1036" t="str">
            <v>39199Scratch 20 000</v>
          </cell>
          <cell r="W1036" t="str">
            <v>2007Burtel Macsym</v>
          </cell>
          <cell r="X1036" t="str">
            <v>2007Burtel MacsymScratch 20 000</v>
          </cell>
        </row>
        <row r="1037">
          <cell r="I1037">
            <v>2007</v>
          </cell>
          <cell r="J1037" t="str">
            <v>GEMATELScratch 1 000</v>
          </cell>
          <cell r="L1037">
            <v>1</v>
          </cell>
          <cell r="M1037" t="str">
            <v>1GEMATEL</v>
          </cell>
          <cell r="N1037" t="str">
            <v>GEMATELScratch 1 000</v>
          </cell>
          <cell r="O1037" t="str">
            <v>GEMATEL</v>
          </cell>
          <cell r="P1037" t="str">
            <v>Scratch 1 000</v>
          </cell>
          <cell r="Q1037" t="str">
            <v>42007</v>
          </cell>
          <cell r="R1037" t="str">
            <v>42007Scratch 1 000</v>
          </cell>
          <cell r="S1037" t="str">
            <v>2007Scratch 1 000</v>
          </cell>
          <cell r="T1037" t="str">
            <v>42007GEMATEL</v>
          </cell>
          <cell r="U1037" t="str">
            <v>42007GEMATELScratch 1 000</v>
          </cell>
          <cell r="V1037" t="str">
            <v>39199Scratch 1 000</v>
          </cell>
          <cell r="W1037" t="str">
            <v>2007GEMATEL</v>
          </cell>
          <cell r="X1037" t="str">
            <v>2007GEMATELScratch 1 000</v>
          </cell>
        </row>
        <row r="1038">
          <cell r="I1038">
            <v>2007</v>
          </cell>
          <cell r="J1038" t="str">
            <v>GEMATELScratch 2 000</v>
          </cell>
          <cell r="L1038">
            <v>0</v>
          </cell>
          <cell r="M1038" t="str">
            <v>GEMATEL</v>
          </cell>
          <cell r="N1038" t="str">
            <v>GEMATELScratch 2 000</v>
          </cell>
          <cell r="O1038" t="str">
            <v>GEMATEL</v>
          </cell>
          <cell r="P1038" t="str">
            <v>Scratch 2 000</v>
          </cell>
          <cell r="Q1038" t="str">
            <v>42007</v>
          </cell>
          <cell r="R1038" t="str">
            <v>42007Scratch 2 000</v>
          </cell>
          <cell r="S1038" t="str">
            <v>2007Scratch 2 000</v>
          </cell>
          <cell r="T1038" t="str">
            <v>42007GEMATEL</v>
          </cell>
          <cell r="U1038" t="str">
            <v>42007GEMATELScratch 2 000</v>
          </cell>
          <cell r="V1038" t="str">
            <v>39199Scratch 2 000</v>
          </cell>
          <cell r="W1038" t="str">
            <v>2007GEMATEL</v>
          </cell>
          <cell r="X1038" t="str">
            <v>2007GEMATELScratch 2 000</v>
          </cell>
        </row>
        <row r="1039">
          <cell r="I1039">
            <v>2007</v>
          </cell>
          <cell r="J1039" t="str">
            <v>GEMATELScratch 5 000</v>
          </cell>
          <cell r="L1039">
            <v>0</v>
          </cell>
          <cell r="M1039" t="str">
            <v>GEMATEL</v>
          </cell>
          <cell r="N1039" t="str">
            <v>GEMATELScratch 5 000</v>
          </cell>
          <cell r="O1039" t="str">
            <v>GEMATEL</v>
          </cell>
          <cell r="P1039" t="str">
            <v>Scratch 5 000</v>
          </cell>
          <cell r="Q1039" t="str">
            <v>42007</v>
          </cell>
          <cell r="R1039" t="str">
            <v>42007Scratch 5 000</v>
          </cell>
          <cell r="S1039" t="str">
            <v>2007Scratch 5 000</v>
          </cell>
          <cell r="T1039" t="str">
            <v>42007GEMATEL</v>
          </cell>
          <cell r="U1039" t="str">
            <v>42007GEMATELScratch 5 000</v>
          </cell>
          <cell r="V1039" t="str">
            <v>39199Scratch 5 000</v>
          </cell>
          <cell r="W1039" t="str">
            <v>2007GEMATEL</v>
          </cell>
          <cell r="X1039" t="str">
            <v>2007GEMATELScratch 5 000</v>
          </cell>
        </row>
        <row r="1040">
          <cell r="I1040">
            <v>2007</v>
          </cell>
          <cell r="J1040" t="str">
            <v>GEMATELScratch 10 000</v>
          </cell>
          <cell r="L1040">
            <v>0</v>
          </cell>
          <cell r="M1040" t="str">
            <v>GEMATEL</v>
          </cell>
          <cell r="N1040" t="str">
            <v>GEMATELScratch 10 000</v>
          </cell>
          <cell r="O1040" t="str">
            <v>GEMATEL</v>
          </cell>
          <cell r="P1040" t="str">
            <v>Scratch 10 000</v>
          </cell>
          <cell r="Q1040" t="str">
            <v>42007</v>
          </cell>
          <cell r="R1040" t="str">
            <v>42007Scratch 10 000</v>
          </cell>
          <cell r="S1040" t="str">
            <v>2007Scratch 10 000</v>
          </cell>
          <cell r="T1040" t="str">
            <v>42007GEMATEL</v>
          </cell>
          <cell r="U1040" t="str">
            <v>42007GEMATELScratch 10 000</v>
          </cell>
          <cell r="V1040" t="str">
            <v>39199Scratch 10 000</v>
          </cell>
          <cell r="W1040" t="str">
            <v>2007GEMATEL</v>
          </cell>
          <cell r="X1040" t="str">
            <v>2007GEMATELScratch 10 000</v>
          </cell>
        </row>
        <row r="1041">
          <cell r="I1041">
            <v>2007</v>
          </cell>
          <cell r="J1041" t="str">
            <v>GEMATELScratch 20 000</v>
          </cell>
          <cell r="L1041">
            <v>0</v>
          </cell>
          <cell r="M1041" t="str">
            <v>GEMATEL</v>
          </cell>
          <cell r="N1041" t="str">
            <v>GEMATELScratch 20 000</v>
          </cell>
          <cell r="O1041" t="str">
            <v>GEMATEL</v>
          </cell>
          <cell r="P1041" t="str">
            <v>Scratch 20 000</v>
          </cell>
          <cell r="Q1041" t="str">
            <v>42007</v>
          </cell>
          <cell r="R1041" t="str">
            <v>42007Scratch 20 000</v>
          </cell>
          <cell r="S1041" t="str">
            <v>2007Scratch 20 000</v>
          </cell>
          <cell r="T1041" t="str">
            <v>42007GEMATEL</v>
          </cell>
          <cell r="U1041" t="str">
            <v>42007GEMATELScratch 20 000</v>
          </cell>
          <cell r="V1041" t="str">
            <v>39199Scratch 20 000</v>
          </cell>
          <cell r="W1041" t="str">
            <v>2007GEMATEL</v>
          </cell>
          <cell r="X1041" t="str">
            <v>2007GEMATELScratch 20 000</v>
          </cell>
        </row>
        <row r="1042">
          <cell r="I1042">
            <v>2007</v>
          </cell>
          <cell r="J1042" t="str">
            <v>ANKA ServicesScratch 1 000</v>
          </cell>
          <cell r="L1042">
            <v>1</v>
          </cell>
          <cell r="M1042" t="str">
            <v>1ANKA Services</v>
          </cell>
          <cell r="N1042" t="str">
            <v>ANKA ServicesScratch 1 000</v>
          </cell>
          <cell r="O1042" t="str">
            <v>ANKA Services</v>
          </cell>
          <cell r="P1042" t="str">
            <v>Scratch 1 000</v>
          </cell>
          <cell r="Q1042" t="str">
            <v>42007</v>
          </cell>
          <cell r="R1042" t="str">
            <v>42007Scratch 1 000</v>
          </cell>
          <cell r="S1042" t="str">
            <v>2007Scratch 1 000</v>
          </cell>
          <cell r="T1042" t="str">
            <v>42007ANKA Services</v>
          </cell>
          <cell r="U1042" t="str">
            <v>42007ANKA ServicesScratch 1 000</v>
          </cell>
          <cell r="V1042" t="str">
            <v>39199Scratch 1 000</v>
          </cell>
          <cell r="W1042" t="str">
            <v>2007ANKA Services</v>
          </cell>
          <cell r="X1042" t="str">
            <v>2007ANKA ServicesScratch 1 000</v>
          </cell>
        </row>
        <row r="1043">
          <cell r="I1043">
            <v>2007</v>
          </cell>
          <cell r="J1043" t="str">
            <v>ANKA ServicesScratch 2 000</v>
          </cell>
          <cell r="L1043">
            <v>0</v>
          </cell>
          <cell r="M1043" t="str">
            <v>ANKA Services</v>
          </cell>
          <cell r="N1043" t="str">
            <v>ANKA ServicesScratch 2 000</v>
          </cell>
          <cell r="O1043" t="str">
            <v>ANKA Services</v>
          </cell>
          <cell r="P1043" t="str">
            <v>Scratch 2 000</v>
          </cell>
          <cell r="Q1043" t="str">
            <v>42007</v>
          </cell>
          <cell r="R1043" t="str">
            <v>42007Scratch 2 000</v>
          </cell>
          <cell r="S1043" t="str">
            <v>2007Scratch 2 000</v>
          </cell>
          <cell r="T1043" t="str">
            <v>42007ANKA Services</v>
          </cell>
          <cell r="U1043" t="str">
            <v>42007ANKA ServicesScratch 2 000</v>
          </cell>
          <cell r="V1043" t="str">
            <v>39199Scratch 2 000</v>
          </cell>
          <cell r="W1043" t="str">
            <v>2007ANKA Services</v>
          </cell>
          <cell r="X1043" t="str">
            <v>2007ANKA ServicesScratch 2 000</v>
          </cell>
        </row>
        <row r="1044">
          <cell r="I1044">
            <v>2007</v>
          </cell>
          <cell r="J1044" t="str">
            <v>ANKA ServicesScratch 5 000</v>
          </cell>
          <cell r="L1044">
            <v>0</v>
          </cell>
          <cell r="M1044" t="str">
            <v>ANKA Services</v>
          </cell>
          <cell r="N1044" t="str">
            <v>ANKA ServicesScratch 5 000</v>
          </cell>
          <cell r="O1044" t="str">
            <v>ANKA Services</v>
          </cell>
          <cell r="P1044" t="str">
            <v>Scratch 5 000</v>
          </cell>
          <cell r="Q1044" t="str">
            <v>42007</v>
          </cell>
          <cell r="R1044" t="str">
            <v>42007Scratch 5 000</v>
          </cell>
          <cell r="S1044" t="str">
            <v>2007Scratch 5 000</v>
          </cell>
          <cell r="T1044" t="str">
            <v>42007ANKA Services</v>
          </cell>
          <cell r="U1044" t="str">
            <v>42007ANKA ServicesScratch 5 000</v>
          </cell>
          <cell r="V1044" t="str">
            <v>39199Scratch 5 000</v>
          </cell>
          <cell r="W1044" t="str">
            <v>2007ANKA Services</v>
          </cell>
          <cell r="X1044" t="str">
            <v>2007ANKA ServicesScratch 5 000</v>
          </cell>
        </row>
        <row r="1045">
          <cell r="I1045">
            <v>2007</v>
          </cell>
          <cell r="J1045" t="str">
            <v>GEMATELScratch 1 000</v>
          </cell>
          <cell r="L1045">
            <v>1</v>
          </cell>
          <cell r="M1045" t="str">
            <v>1GEMATEL</v>
          </cell>
          <cell r="N1045" t="str">
            <v>GEMATELScratch 1 000</v>
          </cell>
          <cell r="O1045" t="str">
            <v>GEMATEL</v>
          </cell>
          <cell r="P1045" t="str">
            <v>Scratch 1 000</v>
          </cell>
          <cell r="Q1045" t="str">
            <v>42007</v>
          </cell>
          <cell r="R1045" t="str">
            <v>42007Scratch 1 000</v>
          </cell>
          <cell r="S1045" t="str">
            <v>2007Scratch 1 000</v>
          </cell>
          <cell r="T1045" t="str">
            <v>42007GEMATEL</v>
          </cell>
          <cell r="U1045" t="str">
            <v>42007GEMATELScratch 1 000</v>
          </cell>
          <cell r="V1045" t="str">
            <v>39202Scratch 1 000</v>
          </cell>
          <cell r="W1045" t="str">
            <v>2007GEMATEL</v>
          </cell>
          <cell r="X1045" t="str">
            <v>2007GEMATELScratch 1 000</v>
          </cell>
        </row>
        <row r="1046">
          <cell r="I1046">
            <v>2007</v>
          </cell>
          <cell r="J1046" t="str">
            <v>GEMATELScratch 2 000</v>
          </cell>
          <cell r="L1046">
            <v>0</v>
          </cell>
          <cell r="M1046" t="str">
            <v>GEMATEL</v>
          </cell>
          <cell r="N1046" t="str">
            <v>GEMATELScratch 2 000</v>
          </cell>
          <cell r="O1046" t="str">
            <v>GEMATEL</v>
          </cell>
          <cell r="P1046" t="str">
            <v>Scratch 2 000</v>
          </cell>
          <cell r="Q1046" t="str">
            <v>42007</v>
          </cell>
          <cell r="R1046" t="str">
            <v>42007Scratch 2 000</v>
          </cell>
          <cell r="S1046" t="str">
            <v>2007Scratch 2 000</v>
          </cell>
          <cell r="T1046" t="str">
            <v>42007GEMATEL</v>
          </cell>
          <cell r="U1046" t="str">
            <v>42007GEMATELScratch 2 000</v>
          </cell>
          <cell r="V1046" t="str">
            <v>39202Scratch 2 000</v>
          </cell>
          <cell r="W1046" t="str">
            <v>2007GEMATEL</v>
          </cell>
          <cell r="X1046" t="str">
            <v>2007GEMATELScratch 2 000</v>
          </cell>
        </row>
        <row r="1047">
          <cell r="I1047">
            <v>2007</v>
          </cell>
          <cell r="J1047" t="str">
            <v>GEMATELScratch 5 000</v>
          </cell>
          <cell r="L1047">
            <v>0</v>
          </cell>
          <cell r="M1047" t="str">
            <v>GEMATEL</v>
          </cell>
          <cell r="N1047" t="str">
            <v>GEMATELScratch 5 000</v>
          </cell>
          <cell r="O1047" t="str">
            <v>GEMATEL</v>
          </cell>
          <cell r="P1047" t="str">
            <v>Scratch 5 000</v>
          </cell>
          <cell r="Q1047" t="str">
            <v>42007</v>
          </cell>
          <cell r="R1047" t="str">
            <v>42007Scratch 5 000</v>
          </cell>
          <cell r="S1047" t="str">
            <v>2007Scratch 5 000</v>
          </cell>
          <cell r="T1047" t="str">
            <v>42007GEMATEL</v>
          </cell>
          <cell r="U1047" t="str">
            <v>42007GEMATELScratch 5 000</v>
          </cell>
          <cell r="V1047" t="str">
            <v>39202Scratch 5 000</v>
          </cell>
          <cell r="W1047" t="str">
            <v>2007GEMATEL</v>
          </cell>
          <cell r="X1047" t="str">
            <v>2007GEMATELScratch 5 000</v>
          </cell>
        </row>
        <row r="1048">
          <cell r="I1048">
            <v>2007</v>
          </cell>
          <cell r="J1048" t="str">
            <v>GEMATELScratch 10 000</v>
          </cell>
          <cell r="L1048">
            <v>0</v>
          </cell>
          <cell r="M1048" t="str">
            <v>GEMATEL</v>
          </cell>
          <cell r="N1048" t="str">
            <v>GEMATELScratch 10 000</v>
          </cell>
          <cell r="O1048" t="str">
            <v>GEMATEL</v>
          </cell>
          <cell r="P1048" t="str">
            <v>Scratch 10 000</v>
          </cell>
          <cell r="Q1048" t="str">
            <v>42007</v>
          </cell>
          <cell r="R1048" t="str">
            <v>42007Scratch 10 000</v>
          </cell>
          <cell r="S1048" t="str">
            <v>2007Scratch 10 000</v>
          </cell>
          <cell r="T1048" t="str">
            <v>42007GEMATEL</v>
          </cell>
          <cell r="U1048" t="str">
            <v>42007GEMATELScratch 10 000</v>
          </cell>
          <cell r="V1048" t="str">
            <v>39202Scratch 10 000</v>
          </cell>
          <cell r="W1048" t="str">
            <v>2007GEMATEL</v>
          </cell>
          <cell r="X1048" t="str">
            <v>2007GEMATELScratch 10 000</v>
          </cell>
        </row>
        <row r="1049">
          <cell r="I1049">
            <v>2007</v>
          </cell>
          <cell r="J1049" t="str">
            <v>GEMATELScratch 20 000</v>
          </cell>
          <cell r="L1049">
            <v>0</v>
          </cell>
          <cell r="M1049" t="str">
            <v>GEMATEL</v>
          </cell>
          <cell r="N1049" t="str">
            <v>GEMATELScratch 20 000</v>
          </cell>
          <cell r="O1049" t="str">
            <v>GEMATEL</v>
          </cell>
          <cell r="P1049" t="str">
            <v>Scratch 20 000</v>
          </cell>
          <cell r="Q1049" t="str">
            <v>42007</v>
          </cell>
          <cell r="R1049" t="str">
            <v>42007Scratch 20 000</v>
          </cell>
          <cell r="S1049" t="str">
            <v>2007Scratch 20 000</v>
          </cell>
          <cell r="T1049" t="str">
            <v>42007GEMATEL</v>
          </cell>
          <cell r="U1049" t="str">
            <v>42007GEMATELScratch 20 000</v>
          </cell>
          <cell r="V1049" t="str">
            <v>39202Scratch 20 000</v>
          </cell>
          <cell r="W1049" t="str">
            <v>2007GEMATEL</v>
          </cell>
          <cell r="X1049" t="str">
            <v>2007GEMATELScratch 20 000</v>
          </cell>
        </row>
        <row r="1050">
          <cell r="I1050">
            <v>2007</v>
          </cell>
          <cell r="J1050" t="str">
            <v>Compagnie Internationale de NegoceScratch 1 000</v>
          </cell>
          <cell r="L1050">
            <v>1</v>
          </cell>
          <cell r="M1050" t="str">
            <v>1Compagnie Internationale de Negoce</v>
          </cell>
          <cell r="N1050" t="str">
            <v>Compagnie Internationale de NegoceScratch 1 000</v>
          </cell>
          <cell r="O1050" t="str">
            <v>Compagnie Internationale de Negoce</v>
          </cell>
          <cell r="P1050" t="str">
            <v>Scratch 1 000</v>
          </cell>
          <cell r="Q1050" t="str">
            <v>42007</v>
          </cell>
          <cell r="R1050" t="str">
            <v>42007Scratch 1 000</v>
          </cell>
          <cell r="S1050" t="str">
            <v>2007Scratch 1 000</v>
          </cell>
          <cell r="T1050" t="str">
            <v>42007Compagnie Internationale de Negoce</v>
          </cell>
          <cell r="U1050" t="str">
            <v>42007Compagnie Internationale de NegoceScratch 1 000</v>
          </cell>
          <cell r="V1050" t="str">
            <v>39202Scratch 1 000</v>
          </cell>
          <cell r="W1050" t="str">
            <v>2007Compagnie Internationale de Negoce</v>
          </cell>
          <cell r="X1050" t="str">
            <v>2007Compagnie Internationale de NegoceScratch 1 000</v>
          </cell>
        </row>
        <row r="1051">
          <cell r="I1051">
            <v>2007</v>
          </cell>
          <cell r="J1051" t="str">
            <v>Compagnie Internationale de NegoceScratch 2 000</v>
          </cell>
          <cell r="L1051">
            <v>0</v>
          </cell>
          <cell r="M1051" t="str">
            <v>Compagnie Internationale de Negoce</v>
          </cell>
          <cell r="N1051" t="str">
            <v>Compagnie Internationale de NegoceScratch 2 000</v>
          </cell>
          <cell r="O1051" t="str">
            <v>Compagnie Internationale de Negoce</v>
          </cell>
          <cell r="P1051" t="str">
            <v>Scratch 2 000</v>
          </cell>
          <cell r="Q1051" t="str">
            <v>42007</v>
          </cell>
          <cell r="R1051" t="str">
            <v>42007Scratch 2 000</v>
          </cell>
          <cell r="S1051" t="str">
            <v>2007Scratch 2 000</v>
          </cell>
          <cell r="T1051" t="str">
            <v>42007Compagnie Internationale de Negoce</v>
          </cell>
          <cell r="U1051" t="str">
            <v>42007Compagnie Internationale de NegoceScratch 2 000</v>
          </cell>
          <cell r="V1051" t="str">
            <v>39202Scratch 2 000</v>
          </cell>
          <cell r="W1051" t="str">
            <v>2007Compagnie Internationale de Negoce</v>
          </cell>
          <cell r="X1051" t="str">
            <v>2007Compagnie Internationale de NegoceScratch 2 000</v>
          </cell>
        </row>
        <row r="1052">
          <cell r="I1052">
            <v>2007</v>
          </cell>
          <cell r="J1052" t="str">
            <v>Compagnie Internationale de NegoceScratch 5 000</v>
          </cell>
          <cell r="L1052">
            <v>0</v>
          </cell>
          <cell r="M1052" t="str">
            <v>Compagnie Internationale de Negoce</v>
          </cell>
          <cell r="N1052" t="str">
            <v>Compagnie Internationale de NegoceScratch 5 000</v>
          </cell>
          <cell r="O1052" t="str">
            <v>Compagnie Internationale de Negoce</v>
          </cell>
          <cell r="P1052" t="str">
            <v>Scratch 5 000</v>
          </cell>
          <cell r="Q1052" t="str">
            <v>42007</v>
          </cell>
          <cell r="R1052" t="str">
            <v>42007Scratch 5 000</v>
          </cell>
          <cell r="S1052" t="str">
            <v>2007Scratch 5 000</v>
          </cell>
          <cell r="T1052" t="str">
            <v>42007Compagnie Internationale de Negoce</v>
          </cell>
          <cell r="U1052" t="str">
            <v>42007Compagnie Internationale de NegoceScratch 5 000</v>
          </cell>
          <cell r="V1052" t="str">
            <v>39202Scratch 5 000</v>
          </cell>
          <cell r="W1052" t="str">
            <v>2007Compagnie Internationale de Negoce</v>
          </cell>
          <cell r="X1052" t="str">
            <v>2007Compagnie Internationale de NegoceScratch 5 000</v>
          </cell>
        </row>
        <row r="1053">
          <cell r="I1053">
            <v>2007</v>
          </cell>
          <cell r="J1053" t="str">
            <v>Compagnie Internationale de NegoceScratch 10 000</v>
          </cell>
          <cell r="L1053">
            <v>0</v>
          </cell>
          <cell r="M1053" t="str">
            <v>Compagnie Internationale de Negoce</v>
          </cell>
          <cell r="N1053" t="str">
            <v>Compagnie Internationale de NegoceScratch 10 000</v>
          </cell>
          <cell r="O1053" t="str">
            <v>Compagnie Internationale de Negoce</v>
          </cell>
          <cell r="P1053" t="str">
            <v>Scratch 10 000</v>
          </cell>
          <cell r="Q1053" t="str">
            <v>42007</v>
          </cell>
          <cell r="R1053" t="str">
            <v>42007Scratch 10 000</v>
          </cell>
          <cell r="S1053" t="str">
            <v>2007Scratch 10 000</v>
          </cell>
          <cell r="T1053" t="str">
            <v>42007Compagnie Internationale de Negoce</v>
          </cell>
          <cell r="U1053" t="str">
            <v>42007Compagnie Internationale de NegoceScratch 10 000</v>
          </cell>
          <cell r="V1053" t="str">
            <v>39202Scratch 10 000</v>
          </cell>
          <cell r="W1053" t="str">
            <v>2007Compagnie Internationale de Negoce</v>
          </cell>
          <cell r="X1053" t="str">
            <v>2007Compagnie Internationale de NegoceScratch 10 000</v>
          </cell>
        </row>
        <row r="1054">
          <cell r="I1054">
            <v>2007</v>
          </cell>
          <cell r="J1054" t="str">
            <v>Compagnie Internationale de NegoceScratch 20 000</v>
          </cell>
          <cell r="L1054">
            <v>0</v>
          </cell>
          <cell r="M1054" t="str">
            <v>Compagnie Internationale de Negoce</v>
          </cell>
          <cell r="N1054" t="str">
            <v>Compagnie Internationale de NegoceScratch 20 000</v>
          </cell>
          <cell r="O1054" t="str">
            <v>Compagnie Internationale de Negoce</v>
          </cell>
          <cell r="P1054" t="str">
            <v>Scratch 20 000</v>
          </cell>
          <cell r="Q1054" t="str">
            <v>42007</v>
          </cell>
          <cell r="R1054" t="str">
            <v>42007Scratch 20 000</v>
          </cell>
          <cell r="S1054" t="str">
            <v>2007Scratch 20 000</v>
          </cell>
          <cell r="T1054" t="str">
            <v>42007Compagnie Internationale de Negoce</v>
          </cell>
          <cell r="U1054" t="str">
            <v>42007Compagnie Internationale de NegoceScratch 20 000</v>
          </cell>
          <cell r="V1054" t="str">
            <v>39202Scratch 20 000</v>
          </cell>
          <cell r="W1054" t="str">
            <v>2007Compagnie Internationale de Negoce</v>
          </cell>
          <cell r="X1054" t="str">
            <v>2007Compagnie Internationale de NegoceScratch 20 000</v>
          </cell>
        </row>
        <row r="1055">
          <cell r="I1055">
            <v>2007</v>
          </cell>
          <cell r="J1055" t="str">
            <v>ANKA ServicesScratch 1 000</v>
          </cell>
          <cell r="L1055">
            <v>1</v>
          </cell>
          <cell r="M1055" t="str">
            <v>1ANKA Services</v>
          </cell>
          <cell r="N1055" t="str">
            <v>ANKA ServicesScratch 1 000</v>
          </cell>
          <cell r="O1055" t="str">
            <v>ANKA Services</v>
          </cell>
          <cell r="P1055" t="str">
            <v>Scratch 1 000</v>
          </cell>
          <cell r="Q1055" t="str">
            <v>42007</v>
          </cell>
          <cell r="R1055" t="str">
            <v>42007Scratch 1 000</v>
          </cell>
          <cell r="S1055" t="str">
            <v>2007Scratch 1 000</v>
          </cell>
          <cell r="T1055" t="str">
            <v>42007ANKA Services</v>
          </cell>
          <cell r="U1055" t="str">
            <v>42007ANKA ServicesScratch 1 000</v>
          </cell>
          <cell r="V1055" t="str">
            <v>39202Scratch 1 000</v>
          </cell>
          <cell r="W1055" t="str">
            <v>2007ANKA Services</v>
          </cell>
          <cell r="X1055" t="str">
            <v>2007ANKA ServicesScratch 1 000</v>
          </cell>
        </row>
        <row r="1056">
          <cell r="I1056">
            <v>2007</v>
          </cell>
          <cell r="J1056" t="str">
            <v>ANKA ServicesScratch 2 000</v>
          </cell>
          <cell r="L1056">
            <v>0</v>
          </cell>
          <cell r="M1056" t="str">
            <v>ANKA Services</v>
          </cell>
          <cell r="N1056" t="str">
            <v>ANKA ServicesScratch 2 000</v>
          </cell>
          <cell r="O1056" t="str">
            <v>ANKA Services</v>
          </cell>
          <cell r="P1056" t="str">
            <v>Scratch 2 000</v>
          </cell>
          <cell r="Q1056" t="str">
            <v>42007</v>
          </cell>
          <cell r="R1056" t="str">
            <v>42007Scratch 2 000</v>
          </cell>
          <cell r="S1056" t="str">
            <v>2007Scratch 2 000</v>
          </cell>
          <cell r="T1056" t="str">
            <v>42007ANKA Services</v>
          </cell>
          <cell r="U1056" t="str">
            <v>42007ANKA ServicesScratch 2 000</v>
          </cell>
          <cell r="V1056" t="str">
            <v>39202Scratch 2 000</v>
          </cell>
          <cell r="W1056" t="str">
            <v>2007ANKA Services</v>
          </cell>
          <cell r="X1056" t="str">
            <v>2007ANKA ServicesScratch 2 000</v>
          </cell>
        </row>
        <row r="1057">
          <cell r="I1057">
            <v>2007</v>
          </cell>
          <cell r="J1057" t="str">
            <v>ANKA ServicesScratch 5 000</v>
          </cell>
          <cell r="L1057">
            <v>0</v>
          </cell>
          <cell r="M1057" t="str">
            <v>ANKA Services</v>
          </cell>
          <cell r="N1057" t="str">
            <v>ANKA ServicesScratch 5 000</v>
          </cell>
          <cell r="O1057" t="str">
            <v>ANKA Services</v>
          </cell>
          <cell r="P1057" t="str">
            <v>Scratch 5 000</v>
          </cell>
          <cell r="Q1057" t="str">
            <v>42007</v>
          </cell>
          <cell r="R1057" t="str">
            <v>42007Scratch 5 000</v>
          </cell>
          <cell r="S1057" t="str">
            <v>2007Scratch 5 000</v>
          </cell>
          <cell r="T1057" t="str">
            <v>42007ANKA Services</v>
          </cell>
          <cell r="U1057" t="str">
            <v>42007ANKA ServicesScratch 5 000</v>
          </cell>
          <cell r="V1057" t="str">
            <v>39202Scratch 5 000</v>
          </cell>
          <cell r="W1057" t="str">
            <v>2007ANKA Services</v>
          </cell>
          <cell r="X1057" t="str">
            <v>2007ANKA ServicesScratch 5 000</v>
          </cell>
        </row>
        <row r="1058">
          <cell r="I1058">
            <v>2007</v>
          </cell>
          <cell r="J1058" t="str">
            <v>ANKA ServicesScratch 10 000</v>
          </cell>
          <cell r="L1058">
            <v>0</v>
          </cell>
          <cell r="M1058" t="str">
            <v>ANKA Services</v>
          </cell>
          <cell r="N1058" t="str">
            <v>ANKA ServicesScratch 10 000</v>
          </cell>
          <cell r="O1058" t="str">
            <v>ANKA Services</v>
          </cell>
          <cell r="P1058" t="str">
            <v>Scratch 10 000</v>
          </cell>
          <cell r="Q1058" t="str">
            <v>42007</v>
          </cell>
          <cell r="R1058" t="str">
            <v>42007Scratch 10 000</v>
          </cell>
          <cell r="S1058" t="str">
            <v>2007Scratch 10 000</v>
          </cell>
          <cell r="T1058" t="str">
            <v>42007ANKA Services</v>
          </cell>
          <cell r="U1058" t="str">
            <v>42007ANKA ServicesScratch 10 000</v>
          </cell>
          <cell r="V1058" t="str">
            <v>39202Scratch 10 000</v>
          </cell>
          <cell r="W1058" t="str">
            <v>2007ANKA Services</v>
          </cell>
          <cell r="X1058" t="str">
            <v>2007ANKA ServicesScratch 10 000</v>
          </cell>
        </row>
        <row r="1059">
          <cell r="I1059">
            <v>2007</v>
          </cell>
          <cell r="J1059" t="str">
            <v>ANKA ServicesScratch 20 000</v>
          </cell>
          <cell r="L1059">
            <v>0</v>
          </cell>
          <cell r="M1059" t="str">
            <v>ANKA Services</v>
          </cell>
          <cell r="N1059" t="str">
            <v>ANKA ServicesScratch 20 000</v>
          </cell>
          <cell r="O1059" t="str">
            <v>ANKA Services</v>
          </cell>
          <cell r="P1059" t="str">
            <v>Scratch 20 000</v>
          </cell>
          <cell r="Q1059" t="str">
            <v>42007</v>
          </cell>
          <cell r="R1059" t="str">
            <v>42007Scratch 20 000</v>
          </cell>
          <cell r="S1059" t="str">
            <v>2007Scratch 20 000</v>
          </cell>
          <cell r="T1059" t="str">
            <v>42007ANKA Services</v>
          </cell>
          <cell r="U1059" t="str">
            <v>42007ANKA ServicesScratch 20 000</v>
          </cell>
          <cell r="V1059" t="str">
            <v>39202Scratch 20 000</v>
          </cell>
          <cell r="W1059" t="str">
            <v>2007ANKA Services</v>
          </cell>
          <cell r="X1059" t="str">
            <v>2007ANKA ServicesScratch 20 000</v>
          </cell>
        </row>
        <row r="1060">
          <cell r="I1060">
            <v>2007</v>
          </cell>
          <cell r="J1060" t="str">
            <v>CellNets MaliMinutes</v>
          </cell>
          <cell r="L1060">
            <v>1</v>
          </cell>
          <cell r="M1060" t="str">
            <v>1CellNets Mali</v>
          </cell>
          <cell r="N1060" t="str">
            <v>CellNets MaliMinutes</v>
          </cell>
          <cell r="O1060" t="str">
            <v>CellNets Mali</v>
          </cell>
          <cell r="P1060" t="str">
            <v>Minutes</v>
          </cell>
          <cell r="Q1060" t="str">
            <v>42007</v>
          </cell>
          <cell r="R1060" t="str">
            <v>42007Minutes</v>
          </cell>
          <cell r="S1060" t="str">
            <v>2007Minutes</v>
          </cell>
          <cell r="T1060" t="str">
            <v>42007CellNets Mali</v>
          </cell>
          <cell r="U1060" t="str">
            <v>42007CellNets MaliMinutes</v>
          </cell>
          <cell r="V1060" t="str">
            <v>39182Minutes</v>
          </cell>
          <cell r="W1060" t="str">
            <v>2007CellNets Mali</v>
          </cell>
          <cell r="X1060" t="str">
            <v>2007CellNets MaliMinutes</v>
          </cell>
        </row>
        <row r="1061">
          <cell r="I1061">
            <v>2007</v>
          </cell>
          <cell r="J1061" t="str">
            <v>CellNets MaliMinutes</v>
          </cell>
          <cell r="L1061">
            <v>1</v>
          </cell>
          <cell r="M1061" t="str">
            <v>1CellNets Mali</v>
          </cell>
          <cell r="N1061" t="str">
            <v>CellNets MaliMinutes</v>
          </cell>
          <cell r="O1061" t="str">
            <v>CellNets Mali</v>
          </cell>
          <cell r="P1061" t="str">
            <v>Minutes</v>
          </cell>
          <cell r="Q1061" t="str">
            <v>42007</v>
          </cell>
          <cell r="R1061" t="str">
            <v>42007Minutes</v>
          </cell>
          <cell r="S1061" t="str">
            <v>2007Minutes</v>
          </cell>
          <cell r="T1061" t="str">
            <v>42007CellNets Mali</v>
          </cell>
          <cell r="U1061" t="str">
            <v>42007CellNets MaliMinutes</v>
          </cell>
          <cell r="V1061" t="str">
            <v>39185Minutes</v>
          </cell>
          <cell r="W1061" t="str">
            <v>2007CellNets Mali</v>
          </cell>
          <cell r="X1061" t="str">
            <v>2007CellNets MaliMinutes</v>
          </cell>
        </row>
        <row r="1062">
          <cell r="I1062">
            <v>2007</v>
          </cell>
          <cell r="J1062" t="str">
            <v>CellNets MaliMinutes</v>
          </cell>
          <cell r="L1062">
            <v>1</v>
          </cell>
          <cell r="M1062" t="str">
            <v>1CellNets Mali</v>
          </cell>
          <cell r="N1062" t="str">
            <v>CellNets MaliMinutes</v>
          </cell>
          <cell r="O1062" t="str">
            <v>CellNets Mali</v>
          </cell>
          <cell r="P1062" t="str">
            <v>Minutes</v>
          </cell>
          <cell r="Q1062" t="str">
            <v>42007</v>
          </cell>
          <cell r="R1062" t="str">
            <v>42007Minutes</v>
          </cell>
          <cell r="S1062" t="str">
            <v>2007Minutes</v>
          </cell>
          <cell r="T1062" t="str">
            <v>42007CellNets Mali</v>
          </cell>
          <cell r="U1062" t="str">
            <v>42007CellNets MaliMinutes</v>
          </cell>
          <cell r="V1062" t="str">
            <v>39190Minutes</v>
          </cell>
          <cell r="W1062" t="str">
            <v>2007CellNets Mali</v>
          </cell>
          <cell r="X1062" t="str">
            <v>2007CellNets MaliMinutes</v>
          </cell>
        </row>
        <row r="1063">
          <cell r="I1063">
            <v>2007</v>
          </cell>
          <cell r="J1063" t="str">
            <v>CellNets MaliMinutes</v>
          </cell>
          <cell r="L1063">
            <v>1</v>
          </cell>
          <cell r="M1063" t="str">
            <v>1CellNets Mali</v>
          </cell>
          <cell r="N1063" t="str">
            <v>CellNets MaliMinutes</v>
          </cell>
          <cell r="O1063" t="str">
            <v>CellNets Mali</v>
          </cell>
          <cell r="P1063" t="str">
            <v>Minutes</v>
          </cell>
          <cell r="Q1063" t="str">
            <v>42007</v>
          </cell>
          <cell r="R1063" t="str">
            <v>42007Minutes</v>
          </cell>
          <cell r="S1063" t="str">
            <v>2007Minutes</v>
          </cell>
          <cell r="T1063" t="str">
            <v>42007CellNets Mali</v>
          </cell>
          <cell r="U1063" t="str">
            <v>42007CellNets MaliMinutes</v>
          </cell>
          <cell r="V1063" t="str">
            <v>39195Minutes</v>
          </cell>
          <cell r="W1063" t="str">
            <v>2007CellNets Mali</v>
          </cell>
          <cell r="X1063" t="str">
            <v>2007CellNets MaliMinutes</v>
          </cell>
        </row>
        <row r="1064">
          <cell r="I1064">
            <v>2007</v>
          </cell>
          <cell r="J1064" t="str">
            <v>MALI COM SarlScratch 1 000</v>
          </cell>
          <cell r="L1064">
            <v>1</v>
          </cell>
          <cell r="M1064" t="str">
            <v>1MALI COM Sarl</v>
          </cell>
          <cell r="N1064" t="str">
            <v>MALI COM SarlScratch 1 000</v>
          </cell>
          <cell r="O1064" t="str">
            <v>MALI COM Sarl</v>
          </cell>
          <cell r="P1064" t="str">
            <v>Scratch 1 000</v>
          </cell>
          <cell r="Q1064" t="str">
            <v>52007</v>
          </cell>
          <cell r="R1064" t="str">
            <v>52007Scratch 1 000</v>
          </cell>
          <cell r="S1064" t="str">
            <v>2007Scratch 1 000</v>
          </cell>
          <cell r="T1064" t="str">
            <v>52007MALI COM Sarl</v>
          </cell>
          <cell r="U1064" t="str">
            <v>52007MALI COM SarlScratch 1 000</v>
          </cell>
          <cell r="V1064" t="str">
            <v>39204Scratch 1 000</v>
          </cell>
          <cell r="W1064" t="str">
            <v>2007MALI COM Sarl</v>
          </cell>
          <cell r="X1064" t="str">
            <v>2007MALI COM SarlScratch 1 000</v>
          </cell>
        </row>
        <row r="1065">
          <cell r="I1065">
            <v>2007</v>
          </cell>
          <cell r="J1065" t="str">
            <v>MALI COM SarlScratch 2 000</v>
          </cell>
          <cell r="L1065">
            <v>0</v>
          </cell>
          <cell r="M1065" t="str">
            <v>MALI COM Sarl</v>
          </cell>
          <cell r="N1065" t="str">
            <v>MALI COM SarlScratch 2 000</v>
          </cell>
          <cell r="O1065" t="str">
            <v>MALI COM Sarl</v>
          </cell>
          <cell r="P1065" t="str">
            <v>Scratch 2 000</v>
          </cell>
          <cell r="Q1065" t="str">
            <v>52007</v>
          </cell>
          <cell r="R1065" t="str">
            <v>52007Scratch 2 000</v>
          </cell>
          <cell r="S1065" t="str">
            <v>2007Scratch 2 000</v>
          </cell>
          <cell r="T1065" t="str">
            <v>52007MALI COM Sarl</v>
          </cell>
          <cell r="U1065" t="str">
            <v>52007MALI COM SarlScratch 2 000</v>
          </cell>
          <cell r="V1065" t="str">
            <v>39204Scratch 2 000</v>
          </cell>
          <cell r="W1065" t="str">
            <v>2007MALI COM Sarl</v>
          </cell>
          <cell r="X1065" t="str">
            <v>2007MALI COM SarlScratch 2 000</v>
          </cell>
        </row>
        <row r="1066">
          <cell r="I1066">
            <v>2007</v>
          </cell>
          <cell r="J1066" t="str">
            <v>MALI COM SarlScratch 5 000</v>
          </cell>
          <cell r="L1066">
            <v>0</v>
          </cell>
          <cell r="M1066" t="str">
            <v>MALI COM Sarl</v>
          </cell>
          <cell r="N1066" t="str">
            <v>MALI COM SarlScratch 5 000</v>
          </cell>
          <cell r="O1066" t="str">
            <v>MALI COM Sarl</v>
          </cell>
          <cell r="P1066" t="str">
            <v>Scratch 5 000</v>
          </cell>
          <cell r="Q1066" t="str">
            <v>52007</v>
          </cell>
          <cell r="R1066" t="str">
            <v>52007Scratch 5 000</v>
          </cell>
          <cell r="S1066" t="str">
            <v>2007Scratch 5 000</v>
          </cell>
          <cell r="T1066" t="str">
            <v>52007MALI COM Sarl</v>
          </cell>
          <cell r="U1066" t="str">
            <v>52007MALI COM SarlScratch 5 000</v>
          </cell>
          <cell r="V1066" t="str">
            <v>39204Scratch 5 000</v>
          </cell>
          <cell r="W1066" t="str">
            <v>2007MALI COM Sarl</v>
          </cell>
          <cell r="X1066" t="str">
            <v>2007MALI COM SarlScratch 5 000</v>
          </cell>
        </row>
        <row r="1067">
          <cell r="I1067">
            <v>2007</v>
          </cell>
          <cell r="J1067" t="str">
            <v>Ets Mamadou GAMBYScratch 1 000</v>
          </cell>
          <cell r="L1067">
            <v>1</v>
          </cell>
          <cell r="M1067" t="str">
            <v>1Ets Mamadou GAMBY</v>
          </cell>
          <cell r="N1067" t="str">
            <v>Ets Mamadou GAMBYScratch 1 000</v>
          </cell>
          <cell r="O1067" t="str">
            <v>Ets Mamadou GAMBY</v>
          </cell>
          <cell r="P1067" t="str">
            <v>Scratch 1 000</v>
          </cell>
          <cell r="Q1067" t="str">
            <v>52007</v>
          </cell>
          <cell r="R1067" t="str">
            <v>52007Scratch 1 000</v>
          </cell>
          <cell r="S1067" t="str">
            <v>2007Scratch 1 000</v>
          </cell>
          <cell r="T1067" t="str">
            <v>52007Ets Mamadou GAMBY</v>
          </cell>
          <cell r="U1067" t="str">
            <v>52007Ets Mamadou GAMBYScratch 1 000</v>
          </cell>
          <cell r="V1067" t="str">
            <v>39204Scratch 1 000</v>
          </cell>
          <cell r="W1067" t="str">
            <v>2007Ets Mamadou GAMBY</v>
          </cell>
          <cell r="X1067" t="str">
            <v>2007Ets Mamadou GAMBYScratch 1 000</v>
          </cell>
        </row>
        <row r="1068">
          <cell r="I1068">
            <v>2007</v>
          </cell>
          <cell r="J1068" t="str">
            <v>Ets Mamadou GAMBYScratch 2 000</v>
          </cell>
          <cell r="L1068">
            <v>0</v>
          </cell>
          <cell r="M1068" t="str">
            <v>Ets Mamadou GAMBY</v>
          </cell>
          <cell r="N1068" t="str">
            <v>Ets Mamadou GAMBYScratch 2 000</v>
          </cell>
          <cell r="O1068" t="str">
            <v>Ets Mamadou GAMBY</v>
          </cell>
          <cell r="P1068" t="str">
            <v>Scratch 2 000</v>
          </cell>
          <cell r="Q1068" t="str">
            <v>52007</v>
          </cell>
          <cell r="R1068" t="str">
            <v>52007Scratch 2 000</v>
          </cell>
          <cell r="S1068" t="str">
            <v>2007Scratch 2 000</v>
          </cell>
          <cell r="T1068" t="str">
            <v>52007Ets Mamadou GAMBY</v>
          </cell>
          <cell r="U1068" t="str">
            <v>52007Ets Mamadou GAMBYScratch 2 000</v>
          </cell>
          <cell r="V1068" t="str">
            <v>39204Scratch 2 000</v>
          </cell>
          <cell r="W1068" t="str">
            <v>2007Ets Mamadou GAMBY</v>
          </cell>
          <cell r="X1068" t="str">
            <v>2007Ets Mamadou GAMBYScratch 2 000</v>
          </cell>
        </row>
        <row r="1069">
          <cell r="I1069">
            <v>2007</v>
          </cell>
          <cell r="J1069" t="str">
            <v>Ets Mamadou GAMBYScratch 5 000</v>
          </cell>
          <cell r="L1069">
            <v>0</v>
          </cell>
          <cell r="M1069" t="str">
            <v>Ets Mamadou GAMBY</v>
          </cell>
          <cell r="N1069" t="str">
            <v>Ets Mamadou GAMBYScratch 5 000</v>
          </cell>
          <cell r="O1069" t="str">
            <v>Ets Mamadou GAMBY</v>
          </cell>
          <cell r="P1069" t="str">
            <v>Scratch 5 000</v>
          </cell>
          <cell r="Q1069" t="str">
            <v>52007</v>
          </cell>
          <cell r="R1069" t="str">
            <v>52007Scratch 5 000</v>
          </cell>
          <cell r="S1069" t="str">
            <v>2007Scratch 5 000</v>
          </cell>
          <cell r="T1069" t="str">
            <v>52007Ets Mamadou GAMBY</v>
          </cell>
          <cell r="U1069" t="str">
            <v>52007Ets Mamadou GAMBYScratch 5 000</v>
          </cell>
          <cell r="V1069" t="str">
            <v>39204Scratch 5 000</v>
          </cell>
          <cell r="W1069" t="str">
            <v>2007Ets Mamadou GAMBY</v>
          </cell>
          <cell r="X1069" t="str">
            <v>2007Ets Mamadou GAMBYScratch 5 000</v>
          </cell>
        </row>
        <row r="1070">
          <cell r="I1070">
            <v>2007</v>
          </cell>
          <cell r="J1070" t="str">
            <v>GEMATELScratch 1 000</v>
          </cell>
          <cell r="L1070">
            <v>1</v>
          </cell>
          <cell r="M1070" t="str">
            <v>1GEMATEL</v>
          </cell>
          <cell r="N1070" t="str">
            <v>GEMATELScratch 1 000</v>
          </cell>
          <cell r="O1070" t="str">
            <v>GEMATEL</v>
          </cell>
          <cell r="P1070" t="str">
            <v>Scratch 1 000</v>
          </cell>
          <cell r="Q1070" t="str">
            <v>52007</v>
          </cell>
          <cell r="R1070" t="str">
            <v>52007Scratch 1 000</v>
          </cell>
          <cell r="S1070" t="str">
            <v>2007Scratch 1 000</v>
          </cell>
          <cell r="T1070" t="str">
            <v>52007GEMATEL</v>
          </cell>
          <cell r="U1070" t="str">
            <v>52007GEMATELScratch 1 000</v>
          </cell>
          <cell r="V1070" t="str">
            <v>39204Scratch 1 000</v>
          </cell>
          <cell r="W1070" t="str">
            <v>2007GEMATEL</v>
          </cell>
          <cell r="X1070" t="str">
            <v>2007GEMATELScratch 1 000</v>
          </cell>
        </row>
        <row r="1071">
          <cell r="I1071">
            <v>2007</v>
          </cell>
          <cell r="J1071" t="str">
            <v>GEMATELScratch 2 000</v>
          </cell>
          <cell r="L1071">
            <v>0</v>
          </cell>
          <cell r="M1071" t="str">
            <v>GEMATEL</v>
          </cell>
          <cell r="N1071" t="str">
            <v>GEMATELScratch 2 000</v>
          </cell>
          <cell r="O1071" t="str">
            <v>GEMATEL</v>
          </cell>
          <cell r="P1071" t="str">
            <v>Scratch 2 000</v>
          </cell>
          <cell r="Q1071" t="str">
            <v>52007</v>
          </cell>
          <cell r="R1071" t="str">
            <v>52007Scratch 2 000</v>
          </cell>
          <cell r="S1071" t="str">
            <v>2007Scratch 2 000</v>
          </cell>
          <cell r="T1071" t="str">
            <v>52007GEMATEL</v>
          </cell>
          <cell r="U1071" t="str">
            <v>52007GEMATELScratch 2 000</v>
          </cell>
          <cell r="V1071" t="str">
            <v>39204Scratch 2 000</v>
          </cell>
          <cell r="W1071" t="str">
            <v>2007GEMATEL</v>
          </cell>
          <cell r="X1071" t="str">
            <v>2007GEMATELScratch 2 000</v>
          </cell>
        </row>
        <row r="1072">
          <cell r="I1072">
            <v>2007</v>
          </cell>
          <cell r="J1072" t="str">
            <v>GEMATELScratch 5 000</v>
          </cell>
          <cell r="L1072">
            <v>0</v>
          </cell>
          <cell r="M1072" t="str">
            <v>GEMATEL</v>
          </cell>
          <cell r="N1072" t="str">
            <v>GEMATELScratch 5 000</v>
          </cell>
          <cell r="O1072" t="str">
            <v>GEMATEL</v>
          </cell>
          <cell r="P1072" t="str">
            <v>Scratch 5 000</v>
          </cell>
          <cell r="Q1072" t="str">
            <v>52007</v>
          </cell>
          <cell r="R1072" t="str">
            <v>52007Scratch 5 000</v>
          </cell>
          <cell r="S1072" t="str">
            <v>2007Scratch 5 000</v>
          </cell>
          <cell r="T1072" t="str">
            <v>52007GEMATEL</v>
          </cell>
          <cell r="U1072" t="str">
            <v>52007GEMATELScratch 5 000</v>
          </cell>
          <cell r="V1072" t="str">
            <v>39204Scratch 5 000</v>
          </cell>
          <cell r="W1072" t="str">
            <v>2007GEMATEL</v>
          </cell>
          <cell r="X1072" t="str">
            <v>2007GEMATELScratch 5 000</v>
          </cell>
        </row>
        <row r="1073">
          <cell r="I1073">
            <v>2007</v>
          </cell>
          <cell r="J1073" t="str">
            <v>GEMATELScratch 10 000</v>
          </cell>
          <cell r="L1073">
            <v>0</v>
          </cell>
          <cell r="M1073" t="str">
            <v>GEMATEL</v>
          </cell>
          <cell r="N1073" t="str">
            <v>GEMATELScratch 10 000</v>
          </cell>
          <cell r="O1073" t="str">
            <v>GEMATEL</v>
          </cell>
          <cell r="P1073" t="str">
            <v>Scratch 10 000</v>
          </cell>
          <cell r="Q1073" t="str">
            <v>52007</v>
          </cell>
          <cell r="R1073" t="str">
            <v>52007Scratch 10 000</v>
          </cell>
          <cell r="S1073" t="str">
            <v>2007Scratch 10 000</v>
          </cell>
          <cell r="T1073" t="str">
            <v>52007GEMATEL</v>
          </cell>
          <cell r="U1073" t="str">
            <v>52007GEMATELScratch 10 000</v>
          </cell>
          <cell r="V1073" t="str">
            <v>39204Scratch 10 000</v>
          </cell>
          <cell r="W1073" t="str">
            <v>2007GEMATEL</v>
          </cell>
          <cell r="X1073" t="str">
            <v>2007GEMATELScratch 10 000</v>
          </cell>
        </row>
        <row r="1074">
          <cell r="I1074">
            <v>2007</v>
          </cell>
          <cell r="J1074" t="str">
            <v>GEMATELScratch 20 000</v>
          </cell>
          <cell r="L1074">
            <v>0</v>
          </cell>
          <cell r="M1074" t="str">
            <v>GEMATEL</v>
          </cell>
          <cell r="N1074" t="str">
            <v>GEMATELScratch 20 000</v>
          </cell>
          <cell r="O1074" t="str">
            <v>GEMATEL</v>
          </cell>
          <cell r="P1074" t="str">
            <v>Scratch 20 000</v>
          </cell>
          <cell r="Q1074" t="str">
            <v>52007</v>
          </cell>
          <cell r="R1074" t="str">
            <v>52007Scratch 20 000</v>
          </cell>
          <cell r="S1074" t="str">
            <v>2007Scratch 20 000</v>
          </cell>
          <cell r="T1074" t="str">
            <v>52007GEMATEL</v>
          </cell>
          <cell r="U1074" t="str">
            <v>52007GEMATELScratch 20 000</v>
          </cell>
          <cell r="V1074" t="str">
            <v>39204Scratch 20 000</v>
          </cell>
          <cell r="W1074" t="str">
            <v>2007GEMATEL</v>
          </cell>
          <cell r="X1074" t="str">
            <v>2007GEMATELScratch 20 000</v>
          </cell>
        </row>
        <row r="1075">
          <cell r="I1075">
            <v>2007</v>
          </cell>
          <cell r="J1075" t="str">
            <v>ANKA ServicesScratch 1 000</v>
          </cell>
          <cell r="L1075">
            <v>1</v>
          </cell>
          <cell r="M1075" t="str">
            <v>1ANKA Services</v>
          </cell>
          <cell r="N1075" t="str">
            <v>ANKA ServicesScratch 1 000</v>
          </cell>
          <cell r="O1075" t="str">
            <v>ANKA Services</v>
          </cell>
          <cell r="P1075" t="str">
            <v>Scratch 1 000</v>
          </cell>
          <cell r="Q1075" t="str">
            <v>52007</v>
          </cell>
          <cell r="R1075" t="str">
            <v>52007Scratch 1 000</v>
          </cell>
          <cell r="S1075" t="str">
            <v>2007Scratch 1 000</v>
          </cell>
          <cell r="T1075" t="str">
            <v>52007ANKA Services</v>
          </cell>
          <cell r="U1075" t="str">
            <v>52007ANKA ServicesScratch 1 000</v>
          </cell>
          <cell r="V1075" t="str">
            <v>39204Scratch 1 000</v>
          </cell>
          <cell r="W1075" t="str">
            <v>2007ANKA Services</v>
          </cell>
          <cell r="X1075" t="str">
            <v>2007ANKA ServicesScratch 1 000</v>
          </cell>
        </row>
        <row r="1076">
          <cell r="I1076">
            <v>2007</v>
          </cell>
          <cell r="J1076" t="str">
            <v>ANKA ServicesScratch 2 000</v>
          </cell>
          <cell r="L1076">
            <v>0</v>
          </cell>
          <cell r="M1076" t="str">
            <v>ANKA Services</v>
          </cell>
          <cell r="N1076" t="str">
            <v>ANKA ServicesScratch 2 000</v>
          </cell>
          <cell r="O1076" t="str">
            <v>ANKA Services</v>
          </cell>
          <cell r="P1076" t="str">
            <v>Scratch 2 000</v>
          </cell>
          <cell r="Q1076" t="str">
            <v>52007</v>
          </cell>
          <cell r="R1076" t="str">
            <v>52007Scratch 2 000</v>
          </cell>
          <cell r="S1076" t="str">
            <v>2007Scratch 2 000</v>
          </cell>
          <cell r="T1076" t="str">
            <v>52007ANKA Services</v>
          </cell>
          <cell r="U1076" t="str">
            <v>52007ANKA ServicesScratch 2 000</v>
          </cell>
          <cell r="V1076" t="str">
            <v>39204Scratch 2 000</v>
          </cell>
          <cell r="W1076" t="str">
            <v>2007ANKA Services</v>
          </cell>
          <cell r="X1076" t="str">
            <v>2007ANKA ServicesScratch 2 000</v>
          </cell>
        </row>
        <row r="1077">
          <cell r="I1077">
            <v>2007</v>
          </cell>
          <cell r="J1077" t="str">
            <v>ANKA ServicesScratch 5 000</v>
          </cell>
          <cell r="L1077">
            <v>0</v>
          </cell>
          <cell r="M1077" t="str">
            <v>ANKA Services</v>
          </cell>
          <cell r="N1077" t="str">
            <v>ANKA ServicesScratch 5 000</v>
          </cell>
          <cell r="O1077" t="str">
            <v>ANKA Services</v>
          </cell>
          <cell r="P1077" t="str">
            <v>Scratch 5 000</v>
          </cell>
          <cell r="Q1077" t="str">
            <v>52007</v>
          </cell>
          <cell r="R1077" t="str">
            <v>52007Scratch 5 000</v>
          </cell>
          <cell r="S1077" t="str">
            <v>2007Scratch 5 000</v>
          </cell>
          <cell r="T1077" t="str">
            <v>52007ANKA Services</v>
          </cell>
          <cell r="U1077" t="str">
            <v>52007ANKA ServicesScratch 5 000</v>
          </cell>
          <cell r="V1077" t="str">
            <v>39204Scratch 5 000</v>
          </cell>
          <cell r="W1077" t="str">
            <v>2007ANKA Services</v>
          </cell>
          <cell r="X1077" t="str">
            <v>2007ANKA ServicesScratch 5 000</v>
          </cell>
        </row>
        <row r="1078">
          <cell r="I1078">
            <v>2007</v>
          </cell>
          <cell r="J1078" t="str">
            <v>STS GAMBY &amp; FRERES (SOGAF) SarlScratch 1 000</v>
          </cell>
          <cell r="L1078">
            <v>1</v>
          </cell>
          <cell r="M1078" t="str">
            <v>1STS GAMBY &amp; FRERES (SOGAF) Sarl</v>
          </cell>
          <cell r="N1078" t="str">
            <v>STS GAMBY &amp; FRERES (SOGAF) SarlScratch 1 000</v>
          </cell>
          <cell r="O1078" t="str">
            <v>STS GAMBY &amp; FRERES (SOGAF) Sarl</v>
          </cell>
          <cell r="P1078" t="str">
            <v>Scratch 1 000</v>
          </cell>
          <cell r="Q1078" t="str">
            <v>52007</v>
          </cell>
          <cell r="R1078" t="str">
            <v>52007Scratch 1 000</v>
          </cell>
          <cell r="S1078" t="str">
            <v>2007Scratch 1 000</v>
          </cell>
          <cell r="T1078" t="str">
            <v>52007STS GAMBY &amp; FRERES (SOGAF) Sarl</v>
          </cell>
          <cell r="U1078" t="str">
            <v>52007STS GAMBY &amp; FRERES (SOGAF) SarlScratch 1 000</v>
          </cell>
          <cell r="V1078" t="str">
            <v>39205Scratch 1 000</v>
          </cell>
          <cell r="W1078" t="str">
            <v>2007STS GAMBY &amp; FRERES (SOGAF) Sarl</v>
          </cell>
          <cell r="X1078" t="str">
            <v>2007STS GAMBY &amp; FRERES (SOGAF) SarlScratch 1 000</v>
          </cell>
        </row>
        <row r="1079">
          <cell r="I1079">
            <v>2007</v>
          </cell>
          <cell r="J1079" t="str">
            <v>STS GAMBY &amp; FRERES (SOGAF) SarlScratch 2 000</v>
          </cell>
          <cell r="L1079">
            <v>0</v>
          </cell>
          <cell r="M1079" t="str">
            <v>STS GAMBY &amp; FRERES (SOGAF) Sarl</v>
          </cell>
          <cell r="N1079" t="str">
            <v>STS GAMBY &amp; FRERES (SOGAF) SarlScratch 2 000</v>
          </cell>
          <cell r="O1079" t="str">
            <v>STS GAMBY &amp; FRERES (SOGAF) Sarl</v>
          </cell>
          <cell r="P1079" t="str">
            <v>Scratch 2 000</v>
          </cell>
          <cell r="Q1079" t="str">
            <v>52007</v>
          </cell>
          <cell r="R1079" t="str">
            <v>52007Scratch 2 000</v>
          </cell>
          <cell r="S1079" t="str">
            <v>2007Scratch 2 000</v>
          </cell>
          <cell r="T1079" t="str">
            <v>52007STS GAMBY &amp; FRERES (SOGAF) Sarl</v>
          </cell>
          <cell r="U1079" t="str">
            <v>52007STS GAMBY &amp; FRERES (SOGAF) SarlScratch 2 000</v>
          </cell>
          <cell r="V1079" t="str">
            <v>39205Scratch 2 000</v>
          </cell>
          <cell r="W1079" t="str">
            <v>2007STS GAMBY &amp; FRERES (SOGAF) Sarl</v>
          </cell>
          <cell r="X1079" t="str">
            <v>2007STS GAMBY &amp; FRERES (SOGAF) SarlScratch 2 000</v>
          </cell>
        </row>
        <row r="1080">
          <cell r="I1080">
            <v>2007</v>
          </cell>
          <cell r="J1080" t="str">
            <v>STS GAMBY &amp; FRERES (SOGAF) SarlScratch 5 000</v>
          </cell>
          <cell r="L1080">
            <v>0</v>
          </cell>
          <cell r="M1080" t="str">
            <v>STS GAMBY &amp; FRERES (SOGAF) Sarl</v>
          </cell>
          <cell r="N1080" t="str">
            <v>STS GAMBY &amp; FRERES (SOGAF) SarlScratch 5 000</v>
          </cell>
          <cell r="O1080" t="str">
            <v>STS GAMBY &amp; FRERES (SOGAF) Sarl</v>
          </cell>
          <cell r="P1080" t="str">
            <v>Scratch 5 000</v>
          </cell>
          <cell r="Q1080" t="str">
            <v>52007</v>
          </cell>
          <cell r="R1080" t="str">
            <v>52007Scratch 5 000</v>
          </cell>
          <cell r="S1080" t="str">
            <v>2007Scratch 5 000</v>
          </cell>
          <cell r="T1080" t="str">
            <v>52007STS GAMBY &amp; FRERES (SOGAF) Sarl</v>
          </cell>
          <cell r="U1080" t="str">
            <v>52007STS GAMBY &amp; FRERES (SOGAF) SarlScratch 5 000</v>
          </cell>
          <cell r="V1080" t="str">
            <v>39205Scratch 5 000</v>
          </cell>
          <cell r="W1080" t="str">
            <v>2007STS GAMBY &amp; FRERES (SOGAF) Sarl</v>
          </cell>
          <cell r="X1080" t="str">
            <v>2007STS GAMBY &amp; FRERES (SOGAF) SarlScratch 5 000</v>
          </cell>
        </row>
        <row r="1081">
          <cell r="I1081">
            <v>2007</v>
          </cell>
          <cell r="J1081" t="str">
            <v>GEMATELScratch 1 000</v>
          </cell>
          <cell r="L1081">
            <v>1</v>
          </cell>
          <cell r="M1081" t="str">
            <v>1GEMATEL</v>
          </cell>
          <cell r="N1081" t="str">
            <v>GEMATELScratch 1 000</v>
          </cell>
          <cell r="O1081" t="str">
            <v>GEMATEL</v>
          </cell>
          <cell r="P1081" t="str">
            <v>Scratch 1 000</v>
          </cell>
          <cell r="Q1081" t="str">
            <v>52007</v>
          </cell>
          <cell r="R1081" t="str">
            <v>52007Scratch 1 000</v>
          </cell>
          <cell r="S1081" t="str">
            <v>2007Scratch 1 000</v>
          </cell>
          <cell r="T1081" t="str">
            <v>52007GEMATEL</v>
          </cell>
          <cell r="U1081" t="str">
            <v>52007GEMATELScratch 1 000</v>
          </cell>
          <cell r="V1081" t="str">
            <v>39205Scratch 1 000</v>
          </cell>
          <cell r="W1081" t="str">
            <v>2007GEMATEL</v>
          </cell>
          <cell r="X1081" t="str">
            <v>2007GEMATELScratch 1 000</v>
          </cell>
        </row>
        <row r="1082">
          <cell r="I1082">
            <v>2007</v>
          </cell>
          <cell r="J1082" t="str">
            <v>GEMATELScratch 2 000</v>
          </cell>
          <cell r="L1082">
            <v>0</v>
          </cell>
          <cell r="M1082" t="str">
            <v>GEMATEL</v>
          </cell>
          <cell r="N1082" t="str">
            <v>GEMATELScratch 2 000</v>
          </cell>
          <cell r="O1082" t="str">
            <v>GEMATEL</v>
          </cell>
          <cell r="P1082" t="str">
            <v>Scratch 2 000</v>
          </cell>
          <cell r="Q1082" t="str">
            <v>52007</v>
          </cell>
          <cell r="R1082" t="str">
            <v>52007Scratch 2 000</v>
          </cell>
          <cell r="S1082" t="str">
            <v>2007Scratch 2 000</v>
          </cell>
          <cell r="T1082" t="str">
            <v>52007GEMATEL</v>
          </cell>
          <cell r="U1082" t="str">
            <v>52007GEMATELScratch 2 000</v>
          </cell>
          <cell r="V1082" t="str">
            <v>39205Scratch 2 000</v>
          </cell>
          <cell r="W1082" t="str">
            <v>2007GEMATEL</v>
          </cell>
          <cell r="X1082" t="str">
            <v>2007GEMATELScratch 2 000</v>
          </cell>
        </row>
        <row r="1083">
          <cell r="I1083">
            <v>2007</v>
          </cell>
          <cell r="J1083" t="str">
            <v>GEMATELScratch 10 000</v>
          </cell>
          <cell r="L1083">
            <v>0</v>
          </cell>
          <cell r="M1083" t="str">
            <v>GEMATEL</v>
          </cell>
          <cell r="N1083" t="str">
            <v>GEMATELScratch 10 000</v>
          </cell>
          <cell r="O1083" t="str">
            <v>GEMATEL</v>
          </cell>
          <cell r="P1083" t="str">
            <v>Scratch 10 000</v>
          </cell>
          <cell r="Q1083" t="str">
            <v>52007</v>
          </cell>
          <cell r="R1083" t="str">
            <v>52007Scratch 10 000</v>
          </cell>
          <cell r="S1083" t="str">
            <v>2007Scratch 10 000</v>
          </cell>
          <cell r="T1083" t="str">
            <v>52007GEMATEL</v>
          </cell>
          <cell r="U1083" t="str">
            <v>52007GEMATELScratch 10 000</v>
          </cell>
          <cell r="V1083" t="str">
            <v>39205Scratch 10 000</v>
          </cell>
          <cell r="W1083" t="str">
            <v>2007GEMATEL</v>
          </cell>
          <cell r="X1083" t="str">
            <v>2007GEMATELScratch 10 000</v>
          </cell>
        </row>
        <row r="1084">
          <cell r="I1084">
            <v>2007</v>
          </cell>
          <cell r="J1084" t="str">
            <v>GEMATELScratch 20 000</v>
          </cell>
          <cell r="L1084">
            <v>0</v>
          </cell>
          <cell r="M1084" t="str">
            <v>GEMATEL</v>
          </cell>
          <cell r="N1084" t="str">
            <v>GEMATELScratch 20 000</v>
          </cell>
          <cell r="O1084" t="str">
            <v>GEMATEL</v>
          </cell>
          <cell r="P1084" t="str">
            <v>Scratch 20 000</v>
          </cell>
          <cell r="Q1084" t="str">
            <v>52007</v>
          </cell>
          <cell r="R1084" t="str">
            <v>52007Scratch 20 000</v>
          </cell>
          <cell r="S1084" t="str">
            <v>2007Scratch 20 000</v>
          </cell>
          <cell r="T1084" t="str">
            <v>52007GEMATEL</v>
          </cell>
          <cell r="U1084" t="str">
            <v>52007GEMATELScratch 20 000</v>
          </cell>
          <cell r="V1084" t="str">
            <v>39205Scratch 20 000</v>
          </cell>
          <cell r="W1084" t="str">
            <v>2007GEMATEL</v>
          </cell>
          <cell r="X1084" t="str">
            <v>2007GEMATELScratch 20 000</v>
          </cell>
        </row>
        <row r="1085">
          <cell r="I1085">
            <v>2007</v>
          </cell>
          <cell r="J1085" t="str">
            <v>ANKA ServicesScratch 1 000</v>
          </cell>
          <cell r="L1085">
            <v>1</v>
          </cell>
          <cell r="M1085" t="str">
            <v>1ANKA Services</v>
          </cell>
          <cell r="N1085" t="str">
            <v>ANKA ServicesScratch 1 000</v>
          </cell>
          <cell r="O1085" t="str">
            <v>ANKA Services</v>
          </cell>
          <cell r="P1085" t="str">
            <v>Scratch 1 000</v>
          </cell>
          <cell r="Q1085" t="str">
            <v>52007</v>
          </cell>
          <cell r="R1085" t="str">
            <v>52007Scratch 1 000</v>
          </cell>
          <cell r="S1085" t="str">
            <v>2007Scratch 1 000</v>
          </cell>
          <cell r="T1085" t="str">
            <v>52007ANKA Services</v>
          </cell>
          <cell r="U1085" t="str">
            <v>52007ANKA ServicesScratch 1 000</v>
          </cell>
          <cell r="V1085" t="str">
            <v>39205Scratch 1 000</v>
          </cell>
          <cell r="W1085" t="str">
            <v>2007ANKA Services</v>
          </cell>
          <cell r="X1085" t="str">
            <v>2007ANKA ServicesScratch 1 000</v>
          </cell>
        </row>
        <row r="1086">
          <cell r="I1086">
            <v>2007</v>
          </cell>
          <cell r="J1086" t="str">
            <v>ANKA ServicesScratch 2 000</v>
          </cell>
          <cell r="L1086">
            <v>0</v>
          </cell>
          <cell r="M1086" t="str">
            <v>ANKA Services</v>
          </cell>
          <cell r="N1086" t="str">
            <v>ANKA ServicesScratch 2 000</v>
          </cell>
          <cell r="O1086" t="str">
            <v>ANKA Services</v>
          </cell>
          <cell r="P1086" t="str">
            <v>Scratch 2 000</v>
          </cell>
          <cell r="Q1086" t="str">
            <v>52007</v>
          </cell>
          <cell r="R1086" t="str">
            <v>52007Scratch 2 000</v>
          </cell>
          <cell r="S1086" t="str">
            <v>2007Scratch 2 000</v>
          </cell>
          <cell r="T1086" t="str">
            <v>52007ANKA Services</v>
          </cell>
          <cell r="U1086" t="str">
            <v>52007ANKA ServicesScratch 2 000</v>
          </cell>
          <cell r="V1086" t="str">
            <v>39205Scratch 2 000</v>
          </cell>
          <cell r="W1086" t="str">
            <v>2007ANKA Services</v>
          </cell>
          <cell r="X1086" t="str">
            <v>2007ANKA ServicesScratch 2 000</v>
          </cell>
        </row>
        <row r="1087">
          <cell r="I1087">
            <v>2007</v>
          </cell>
          <cell r="J1087" t="str">
            <v>ANKA ServicesScratch 5 000</v>
          </cell>
          <cell r="L1087">
            <v>0</v>
          </cell>
          <cell r="M1087" t="str">
            <v>ANKA Services</v>
          </cell>
          <cell r="N1087" t="str">
            <v>ANKA ServicesScratch 5 000</v>
          </cell>
          <cell r="O1087" t="str">
            <v>ANKA Services</v>
          </cell>
          <cell r="P1087" t="str">
            <v>Scratch 5 000</v>
          </cell>
          <cell r="Q1087" t="str">
            <v>52007</v>
          </cell>
          <cell r="R1087" t="str">
            <v>52007Scratch 5 000</v>
          </cell>
          <cell r="S1087" t="str">
            <v>2007Scratch 5 000</v>
          </cell>
          <cell r="T1087" t="str">
            <v>52007ANKA Services</v>
          </cell>
          <cell r="U1087" t="str">
            <v>52007ANKA ServicesScratch 5 000</v>
          </cell>
          <cell r="V1087" t="str">
            <v>39205Scratch 5 000</v>
          </cell>
          <cell r="W1087" t="str">
            <v>2007ANKA Services</v>
          </cell>
          <cell r="X1087" t="str">
            <v>2007ANKA ServicesScratch 5 000</v>
          </cell>
        </row>
        <row r="1088">
          <cell r="I1088">
            <v>2007</v>
          </cell>
          <cell r="J1088" t="str">
            <v>ANKA ServicesScratch 20 000</v>
          </cell>
          <cell r="L1088">
            <v>0</v>
          </cell>
          <cell r="M1088" t="str">
            <v>ANKA Services</v>
          </cell>
          <cell r="N1088" t="str">
            <v>ANKA ServicesScratch 20 000</v>
          </cell>
          <cell r="O1088" t="str">
            <v>ANKA Services</v>
          </cell>
          <cell r="P1088" t="str">
            <v>Scratch 20 000</v>
          </cell>
          <cell r="Q1088" t="str">
            <v>52007</v>
          </cell>
          <cell r="R1088" t="str">
            <v>52007Scratch 20 000</v>
          </cell>
          <cell r="S1088" t="str">
            <v>2007Scratch 20 000</v>
          </cell>
          <cell r="T1088" t="str">
            <v>52007ANKA Services</v>
          </cell>
          <cell r="U1088" t="str">
            <v>52007ANKA ServicesScratch 20 000</v>
          </cell>
          <cell r="V1088" t="str">
            <v>39205Scratch 20 000</v>
          </cell>
          <cell r="W1088" t="str">
            <v>2007ANKA Services</v>
          </cell>
          <cell r="X1088" t="str">
            <v>2007ANKA ServicesScratch 20 000</v>
          </cell>
        </row>
        <row r="1089">
          <cell r="I1089">
            <v>2007</v>
          </cell>
          <cell r="J1089" t="str">
            <v>SOMAKOFFScratch 1 000</v>
          </cell>
          <cell r="L1089">
            <v>1</v>
          </cell>
          <cell r="M1089" t="str">
            <v>1SOMAKOFF</v>
          </cell>
          <cell r="N1089" t="str">
            <v>SOMAKOFFScratch 1 000</v>
          </cell>
          <cell r="O1089" t="str">
            <v>SOMAKOFF</v>
          </cell>
          <cell r="P1089" t="str">
            <v>Scratch 1 000</v>
          </cell>
          <cell r="Q1089" t="str">
            <v>52007</v>
          </cell>
          <cell r="R1089" t="str">
            <v>52007Scratch 1 000</v>
          </cell>
          <cell r="S1089" t="str">
            <v>2007Scratch 1 000</v>
          </cell>
          <cell r="T1089" t="str">
            <v>52007SOMAKOFF</v>
          </cell>
          <cell r="U1089" t="str">
            <v>52007SOMAKOFFScratch 1 000</v>
          </cell>
          <cell r="V1089" t="str">
            <v>39205Scratch 1 000</v>
          </cell>
          <cell r="W1089" t="str">
            <v>2007SOMAKOFF</v>
          </cell>
          <cell r="X1089" t="str">
            <v>2007SOMAKOFFScratch 1 000</v>
          </cell>
        </row>
        <row r="1090">
          <cell r="I1090">
            <v>2007</v>
          </cell>
          <cell r="J1090" t="str">
            <v>SOMAKOFFScratch 2 000</v>
          </cell>
          <cell r="L1090">
            <v>0</v>
          </cell>
          <cell r="M1090" t="str">
            <v>SOMAKOFF</v>
          </cell>
          <cell r="N1090" t="str">
            <v>SOMAKOFFScratch 2 000</v>
          </cell>
          <cell r="O1090" t="str">
            <v>SOMAKOFF</v>
          </cell>
          <cell r="P1090" t="str">
            <v>Scratch 2 000</v>
          </cell>
          <cell r="Q1090" t="str">
            <v>52007</v>
          </cell>
          <cell r="R1090" t="str">
            <v>52007Scratch 2 000</v>
          </cell>
          <cell r="S1090" t="str">
            <v>2007Scratch 2 000</v>
          </cell>
          <cell r="T1090" t="str">
            <v>52007SOMAKOFF</v>
          </cell>
          <cell r="U1090" t="str">
            <v>52007SOMAKOFFScratch 2 000</v>
          </cell>
          <cell r="V1090" t="str">
            <v>39205Scratch 2 000</v>
          </cell>
          <cell r="W1090" t="str">
            <v>2007SOMAKOFF</v>
          </cell>
          <cell r="X1090" t="str">
            <v>2007SOMAKOFFScratch 2 000</v>
          </cell>
        </row>
        <row r="1091">
          <cell r="I1091">
            <v>2007</v>
          </cell>
          <cell r="J1091" t="str">
            <v>SOMAKOFFScratch 5 000</v>
          </cell>
          <cell r="L1091">
            <v>0</v>
          </cell>
          <cell r="M1091" t="str">
            <v>SOMAKOFF</v>
          </cell>
          <cell r="N1091" t="str">
            <v>SOMAKOFFScratch 5 000</v>
          </cell>
          <cell r="O1091" t="str">
            <v>SOMAKOFF</v>
          </cell>
          <cell r="P1091" t="str">
            <v>Scratch 5 000</v>
          </cell>
          <cell r="Q1091" t="str">
            <v>52007</v>
          </cell>
          <cell r="R1091" t="str">
            <v>52007Scratch 5 000</v>
          </cell>
          <cell r="S1091" t="str">
            <v>2007Scratch 5 000</v>
          </cell>
          <cell r="T1091" t="str">
            <v>52007SOMAKOFF</v>
          </cell>
          <cell r="U1091" t="str">
            <v>52007SOMAKOFFScratch 5 000</v>
          </cell>
          <cell r="V1091" t="str">
            <v>39205Scratch 5 000</v>
          </cell>
          <cell r="W1091" t="str">
            <v>2007SOMAKOFF</v>
          </cell>
          <cell r="X1091" t="str">
            <v>2007SOMAKOFFScratch 5 000</v>
          </cell>
        </row>
        <row r="1092">
          <cell r="I1092">
            <v>2007</v>
          </cell>
          <cell r="J1092" t="str">
            <v>Bonneterie Nouvelle TelecomScratch 1 000</v>
          </cell>
          <cell r="L1092">
            <v>1</v>
          </cell>
          <cell r="M1092" t="str">
            <v>1Bonneterie Nouvelle Telecom</v>
          </cell>
          <cell r="N1092" t="str">
            <v>Bonneterie Nouvelle TelecomScratch 1 000</v>
          </cell>
          <cell r="O1092" t="str">
            <v>Bonneterie Nouvelle Telecom</v>
          </cell>
          <cell r="P1092" t="str">
            <v>Scratch 1 000</v>
          </cell>
          <cell r="Q1092" t="str">
            <v>52007</v>
          </cell>
          <cell r="R1092" t="str">
            <v>52007Scratch 1 000</v>
          </cell>
          <cell r="S1092" t="str">
            <v>2007Scratch 1 000</v>
          </cell>
          <cell r="T1092" t="str">
            <v>52007Bonneterie Nouvelle Telecom</v>
          </cell>
          <cell r="U1092" t="str">
            <v>52007Bonneterie Nouvelle TelecomScratch 1 000</v>
          </cell>
          <cell r="V1092" t="str">
            <v>39206Scratch 1 000</v>
          </cell>
          <cell r="W1092" t="str">
            <v>2007Bonneterie Nouvelle Telecom</v>
          </cell>
          <cell r="X1092" t="str">
            <v>2007Bonneterie Nouvelle TelecomScratch 1 000</v>
          </cell>
        </row>
        <row r="1093">
          <cell r="I1093">
            <v>2007</v>
          </cell>
          <cell r="J1093" t="str">
            <v>Bonneterie Nouvelle TelecomScratch 2 000</v>
          </cell>
          <cell r="L1093">
            <v>0</v>
          </cell>
          <cell r="M1093" t="str">
            <v>Bonneterie Nouvelle Telecom</v>
          </cell>
          <cell r="N1093" t="str">
            <v>Bonneterie Nouvelle TelecomScratch 2 000</v>
          </cell>
          <cell r="O1093" t="str">
            <v>Bonneterie Nouvelle Telecom</v>
          </cell>
          <cell r="P1093" t="str">
            <v>Scratch 2 000</v>
          </cell>
          <cell r="Q1093" t="str">
            <v>52007</v>
          </cell>
          <cell r="R1093" t="str">
            <v>52007Scratch 2 000</v>
          </cell>
          <cell r="S1093" t="str">
            <v>2007Scratch 2 000</v>
          </cell>
          <cell r="T1093" t="str">
            <v>52007Bonneterie Nouvelle Telecom</v>
          </cell>
          <cell r="U1093" t="str">
            <v>52007Bonneterie Nouvelle TelecomScratch 2 000</v>
          </cell>
          <cell r="V1093" t="str">
            <v>39206Scratch 2 000</v>
          </cell>
          <cell r="W1093" t="str">
            <v>2007Bonneterie Nouvelle Telecom</v>
          </cell>
          <cell r="X1093" t="str">
            <v>2007Bonneterie Nouvelle TelecomScratch 2 000</v>
          </cell>
        </row>
        <row r="1094">
          <cell r="I1094">
            <v>2007</v>
          </cell>
          <cell r="J1094" t="str">
            <v>Bonneterie Nouvelle TelecomScratch 5 000</v>
          </cell>
          <cell r="L1094">
            <v>0</v>
          </cell>
          <cell r="M1094" t="str">
            <v>Bonneterie Nouvelle Telecom</v>
          </cell>
          <cell r="N1094" t="str">
            <v>Bonneterie Nouvelle TelecomScratch 5 000</v>
          </cell>
          <cell r="O1094" t="str">
            <v>Bonneterie Nouvelle Telecom</v>
          </cell>
          <cell r="P1094" t="str">
            <v>Scratch 5 000</v>
          </cell>
          <cell r="Q1094" t="str">
            <v>52007</v>
          </cell>
          <cell r="R1094" t="str">
            <v>52007Scratch 5 000</v>
          </cell>
          <cell r="S1094" t="str">
            <v>2007Scratch 5 000</v>
          </cell>
          <cell r="T1094" t="str">
            <v>52007Bonneterie Nouvelle Telecom</v>
          </cell>
          <cell r="U1094" t="str">
            <v>52007Bonneterie Nouvelle TelecomScratch 5 000</v>
          </cell>
          <cell r="V1094" t="str">
            <v>39206Scratch 5 000</v>
          </cell>
          <cell r="W1094" t="str">
            <v>2007Bonneterie Nouvelle Telecom</v>
          </cell>
          <cell r="X1094" t="str">
            <v>2007Bonneterie Nouvelle TelecomScratch 5 000</v>
          </cell>
        </row>
        <row r="1095">
          <cell r="I1095">
            <v>2007</v>
          </cell>
          <cell r="J1095" t="str">
            <v>Bonneterie Nouvelle TelecomScratch 20 000</v>
          </cell>
          <cell r="L1095">
            <v>0</v>
          </cell>
          <cell r="M1095" t="str">
            <v>Bonneterie Nouvelle Telecom</v>
          </cell>
          <cell r="N1095" t="str">
            <v>Bonneterie Nouvelle TelecomScratch 20 000</v>
          </cell>
          <cell r="O1095" t="str">
            <v>Bonneterie Nouvelle Telecom</v>
          </cell>
          <cell r="P1095" t="str">
            <v>Scratch 20 000</v>
          </cell>
          <cell r="Q1095" t="str">
            <v>52007</v>
          </cell>
          <cell r="R1095" t="str">
            <v>52007Scratch 20 000</v>
          </cell>
          <cell r="S1095" t="str">
            <v>2007Scratch 20 000</v>
          </cell>
          <cell r="T1095" t="str">
            <v>52007Bonneterie Nouvelle Telecom</v>
          </cell>
          <cell r="U1095" t="str">
            <v>52007Bonneterie Nouvelle TelecomScratch 20 000</v>
          </cell>
          <cell r="V1095" t="str">
            <v>39206Scratch 20 000</v>
          </cell>
          <cell r="W1095" t="str">
            <v>2007Bonneterie Nouvelle Telecom</v>
          </cell>
          <cell r="X1095" t="str">
            <v>2007Bonneterie Nouvelle TelecomScratch 20 000</v>
          </cell>
        </row>
        <row r="1096">
          <cell r="I1096">
            <v>2007</v>
          </cell>
          <cell r="J1096" t="str">
            <v>STS GAMBY &amp; FRERES (SOGAF) SarlScratch 1 000</v>
          </cell>
          <cell r="L1096">
            <v>1</v>
          </cell>
          <cell r="M1096" t="str">
            <v>1STS GAMBY &amp; FRERES (SOGAF) Sarl</v>
          </cell>
          <cell r="N1096" t="str">
            <v>STS GAMBY &amp; FRERES (SOGAF) SarlScratch 1 000</v>
          </cell>
          <cell r="O1096" t="str">
            <v>STS GAMBY &amp; FRERES (SOGAF) Sarl</v>
          </cell>
          <cell r="P1096" t="str">
            <v>Scratch 1 000</v>
          </cell>
          <cell r="Q1096" t="str">
            <v>52007</v>
          </cell>
          <cell r="R1096" t="str">
            <v>52007Scratch 1 000</v>
          </cell>
          <cell r="S1096" t="str">
            <v>2007Scratch 1 000</v>
          </cell>
          <cell r="T1096" t="str">
            <v>52007STS GAMBY &amp; FRERES (SOGAF) Sarl</v>
          </cell>
          <cell r="U1096" t="str">
            <v>52007STS GAMBY &amp; FRERES (SOGAF) SarlScratch 1 000</v>
          </cell>
          <cell r="V1096" t="str">
            <v>39206Scratch 1 000</v>
          </cell>
          <cell r="W1096" t="str">
            <v>2007STS GAMBY &amp; FRERES (SOGAF) Sarl</v>
          </cell>
          <cell r="X1096" t="str">
            <v>2007STS GAMBY &amp; FRERES (SOGAF) SarlScratch 1 000</v>
          </cell>
        </row>
        <row r="1097">
          <cell r="I1097">
            <v>2007</v>
          </cell>
          <cell r="J1097" t="str">
            <v>STS GAMBY &amp; FRERES (SOGAF) SarlScratch 2 000</v>
          </cell>
          <cell r="L1097">
            <v>0</v>
          </cell>
          <cell r="M1097" t="str">
            <v>STS GAMBY &amp; FRERES (SOGAF) Sarl</v>
          </cell>
          <cell r="N1097" t="str">
            <v>STS GAMBY &amp; FRERES (SOGAF) SarlScratch 2 000</v>
          </cell>
          <cell r="O1097" t="str">
            <v>STS GAMBY &amp; FRERES (SOGAF) Sarl</v>
          </cell>
          <cell r="P1097" t="str">
            <v>Scratch 2 000</v>
          </cell>
          <cell r="Q1097" t="str">
            <v>52007</v>
          </cell>
          <cell r="R1097" t="str">
            <v>52007Scratch 2 000</v>
          </cell>
          <cell r="S1097" t="str">
            <v>2007Scratch 2 000</v>
          </cell>
          <cell r="T1097" t="str">
            <v>52007STS GAMBY &amp; FRERES (SOGAF) Sarl</v>
          </cell>
          <cell r="U1097" t="str">
            <v>52007STS GAMBY &amp; FRERES (SOGAF) SarlScratch 2 000</v>
          </cell>
          <cell r="V1097" t="str">
            <v>39206Scratch 2 000</v>
          </cell>
          <cell r="W1097" t="str">
            <v>2007STS GAMBY &amp; FRERES (SOGAF) Sarl</v>
          </cell>
          <cell r="X1097" t="str">
            <v>2007STS GAMBY &amp; FRERES (SOGAF) SarlScratch 2 000</v>
          </cell>
        </row>
        <row r="1098">
          <cell r="I1098">
            <v>2007</v>
          </cell>
          <cell r="J1098" t="str">
            <v>STS GAMBY &amp; FRERES (SOGAF) SarlScratch 5 000</v>
          </cell>
          <cell r="L1098">
            <v>0</v>
          </cell>
          <cell r="M1098" t="str">
            <v>STS GAMBY &amp; FRERES (SOGAF) Sarl</v>
          </cell>
          <cell r="N1098" t="str">
            <v>STS GAMBY &amp; FRERES (SOGAF) SarlScratch 5 000</v>
          </cell>
          <cell r="O1098" t="str">
            <v>STS GAMBY &amp; FRERES (SOGAF) Sarl</v>
          </cell>
          <cell r="P1098" t="str">
            <v>Scratch 5 000</v>
          </cell>
          <cell r="Q1098" t="str">
            <v>52007</v>
          </cell>
          <cell r="R1098" t="str">
            <v>52007Scratch 5 000</v>
          </cell>
          <cell r="S1098" t="str">
            <v>2007Scratch 5 000</v>
          </cell>
          <cell r="T1098" t="str">
            <v>52007STS GAMBY &amp; FRERES (SOGAF) Sarl</v>
          </cell>
          <cell r="U1098" t="str">
            <v>52007STS GAMBY &amp; FRERES (SOGAF) SarlScratch 5 000</v>
          </cell>
          <cell r="V1098" t="str">
            <v>39206Scratch 5 000</v>
          </cell>
          <cell r="W1098" t="str">
            <v>2007STS GAMBY &amp; FRERES (SOGAF) Sarl</v>
          </cell>
          <cell r="X1098" t="str">
            <v>2007STS GAMBY &amp; FRERES (SOGAF) SarlScratch 5 000</v>
          </cell>
        </row>
        <row r="1099">
          <cell r="I1099">
            <v>2007</v>
          </cell>
          <cell r="J1099" t="str">
            <v>GEMATELScratch 1 000</v>
          </cell>
          <cell r="L1099">
            <v>1</v>
          </cell>
          <cell r="M1099" t="str">
            <v>1GEMATEL</v>
          </cell>
          <cell r="N1099" t="str">
            <v>GEMATELScratch 1 000</v>
          </cell>
          <cell r="O1099" t="str">
            <v>GEMATEL</v>
          </cell>
          <cell r="P1099" t="str">
            <v>Scratch 1 000</v>
          </cell>
          <cell r="Q1099" t="str">
            <v>52007</v>
          </cell>
          <cell r="R1099" t="str">
            <v>52007Scratch 1 000</v>
          </cell>
          <cell r="S1099" t="str">
            <v>2007Scratch 1 000</v>
          </cell>
          <cell r="T1099" t="str">
            <v>52007GEMATEL</v>
          </cell>
          <cell r="U1099" t="str">
            <v>52007GEMATELScratch 1 000</v>
          </cell>
          <cell r="V1099" t="str">
            <v>39206Scratch 1 000</v>
          </cell>
          <cell r="W1099" t="str">
            <v>2007GEMATEL</v>
          </cell>
          <cell r="X1099" t="str">
            <v>2007GEMATELScratch 1 000</v>
          </cell>
        </row>
        <row r="1100">
          <cell r="I1100">
            <v>2007</v>
          </cell>
          <cell r="J1100" t="str">
            <v>GEMATELScratch 2 000</v>
          </cell>
          <cell r="L1100">
            <v>0</v>
          </cell>
          <cell r="M1100" t="str">
            <v>GEMATEL</v>
          </cell>
          <cell r="N1100" t="str">
            <v>GEMATELScratch 2 000</v>
          </cell>
          <cell r="O1100" t="str">
            <v>GEMATEL</v>
          </cell>
          <cell r="P1100" t="str">
            <v>Scratch 2 000</v>
          </cell>
          <cell r="Q1100" t="str">
            <v>52007</v>
          </cell>
          <cell r="R1100" t="str">
            <v>52007Scratch 2 000</v>
          </cell>
          <cell r="S1100" t="str">
            <v>2007Scratch 2 000</v>
          </cell>
          <cell r="T1100" t="str">
            <v>52007GEMATEL</v>
          </cell>
          <cell r="U1100" t="str">
            <v>52007GEMATELScratch 2 000</v>
          </cell>
          <cell r="V1100" t="str">
            <v>39206Scratch 2 000</v>
          </cell>
          <cell r="W1100" t="str">
            <v>2007GEMATEL</v>
          </cell>
          <cell r="X1100" t="str">
            <v>2007GEMATELScratch 2 000</v>
          </cell>
        </row>
        <row r="1101">
          <cell r="I1101">
            <v>2007</v>
          </cell>
          <cell r="J1101" t="str">
            <v>GEMATELScratch 5 000</v>
          </cell>
          <cell r="L1101">
            <v>0</v>
          </cell>
          <cell r="M1101" t="str">
            <v>GEMATEL</v>
          </cell>
          <cell r="N1101" t="str">
            <v>GEMATELScratch 5 000</v>
          </cell>
          <cell r="O1101" t="str">
            <v>GEMATEL</v>
          </cell>
          <cell r="P1101" t="str">
            <v>Scratch 5 000</v>
          </cell>
          <cell r="Q1101" t="str">
            <v>52007</v>
          </cell>
          <cell r="R1101" t="str">
            <v>52007Scratch 5 000</v>
          </cell>
          <cell r="S1101" t="str">
            <v>2007Scratch 5 000</v>
          </cell>
          <cell r="T1101" t="str">
            <v>52007GEMATEL</v>
          </cell>
          <cell r="U1101" t="str">
            <v>52007GEMATELScratch 5 000</v>
          </cell>
          <cell r="V1101" t="str">
            <v>39206Scratch 5 000</v>
          </cell>
          <cell r="W1101" t="str">
            <v>2007GEMATEL</v>
          </cell>
          <cell r="X1101" t="str">
            <v>2007GEMATELScratch 5 000</v>
          </cell>
        </row>
        <row r="1102">
          <cell r="I1102">
            <v>2007</v>
          </cell>
          <cell r="J1102" t="str">
            <v>GEMATELScratch 10 000</v>
          </cell>
          <cell r="L1102">
            <v>0</v>
          </cell>
          <cell r="M1102" t="str">
            <v>GEMATEL</v>
          </cell>
          <cell r="N1102" t="str">
            <v>GEMATELScratch 10 000</v>
          </cell>
          <cell r="O1102" t="str">
            <v>GEMATEL</v>
          </cell>
          <cell r="P1102" t="str">
            <v>Scratch 10 000</v>
          </cell>
          <cell r="Q1102" t="str">
            <v>52007</v>
          </cell>
          <cell r="R1102" t="str">
            <v>52007Scratch 10 000</v>
          </cell>
          <cell r="S1102" t="str">
            <v>2007Scratch 10 000</v>
          </cell>
          <cell r="T1102" t="str">
            <v>52007GEMATEL</v>
          </cell>
          <cell r="U1102" t="str">
            <v>52007GEMATELScratch 10 000</v>
          </cell>
          <cell r="V1102" t="str">
            <v>39206Scratch 10 000</v>
          </cell>
          <cell r="W1102" t="str">
            <v>2007GEMATEL</v>
          </cell>
          <cell r="X1102" t="str">
            <v>2007GEMATELScratch 10 000</v>
          </cell>
        </row>
        <row r="1103">
          <cell r="I1103">
            <v>2007</v>
          </cell>
          <cell r="J1103" t="str">
            <v>GEMATELScratch 20 000</v>
          </cell>
          <cell r="L1103">
            <v>0</v>
          </cell>
          <cell r="M1103" t="str">
            <v>GEMATEL</v>
          </cell>
          <cell r="N1103" t="str">
            <v>GEMATELScratch 20 000</v>
          </cell>
          <cell r="O1103" t="str">
            <v>GEMATEL</v>
          </cell>
          <cell r="P1103" t="str">
            <v>Scratch 20 000</v>
          </cell>
          <cell r="Q1103" t="str">
            <v>52007</v>
          </cell>
          <cell r="R1103" t="str">
            <v>52007Scratch 20 000</v>
          </cell>
          <cell r="S1103" t="str">
            <v>2007Scratch 20 000</v>
          </cell>
          <cell r="T1103" t="str">
            <v>52007GEMATEL</v>
          </cell>
          <cell r="U1103" t="str">
            <v>52007GEMATELScratch 20 000</v>
          </cell>
          <cell r="V1103" t="str">
            <v>39206Scratch 20 000</v>
          </cell>
          <cell r="W1103" t="str">
            <v>2007GEMATEL</v>
          </cell>
          <cell r="X1103" t="str">
            <v>2007GEMATELScratch 20 000</v>
          </cell>
        </row>
        <row r="1104">
          <cell r="I1104">
            <v>2007</v>
          </cell>
          <cell r="J1104" t="str">
            <v>ETS Boubacar TANDIAScratch 1 000</v>
          </cell>
          <cell r="L1104">
            <v>1</v>
          </cell>
          <cell r="M1104" t="str">
            <v>1ETS Boubacar TANDIA</v>
          </cell>
          <cell r="N1104" t="str">
            <v>ETS Boubacar TANDIAScratch 1 000</v>
          </cell>
          <cell r="O1104" t="str">
            <v>ETS Boubacar TANDIA</v>
          </cell>
          <cell r="P1104" t="str">
            <v>Scratch 1 000</v>
          </cell>
          <cell r="Q1104" t="str">
            <v>52007</v>
          </cell>
          <cell r="R1104" t="str">
            <v>52007Scratch 1 000</v>
          </cell>
          <cell r="S1104" t="str">
            <v>2007Scratch 1 000</v>
          </cell>
          <cell r="T1104" t="str">
            <v>52007ETS Boubacar TANDIA</v>
          </cell>
          <cell r="U1104" t="str">
            <v>52007ETS Boubacar TANDIAScratch 1 000</v>
          </cell>
          <cell r="V1104" t="str">
            <v>39206Scratch 1 000</v>
          </cell>
          <cell r="W1104" t="str">
            <v>2007ETS Boubacar TANDIA</v>
          </cell>
          <cell r="X1104" t="str">
            <v>2007ETS Boubacar TANDIAScratch 1 000</v>
          </cell>
        </row>
        <row r="1105">
          <cell r="I1105">
            <v>2007</v>
          </cell>
          <cell r="J1105" t="str">
            <v>ETS Boubacar TANDIAScratch 2 000</v>
          </cell>
          <cell r="L1105">
            <v>0</v>
          </cell>
          <cell r="M1105" t="str">
            <v>ETS Boubacar TANDIA</v>
          </cell>
          <cell r="N1105" t="str">
            <v>ETS Boubacar TANDIAScratch 2 000</v>
          </cell>
          <cell r="O1105" t="str">
            <v>ETS Boubacar TANDIA</v>
          </cell>
          <cell r="P1105" t="str">
            <v>Scratch 2 000</v>
          </cell>
          <cell r="Q1105" t="str">
            <v>52007</v>
          </cell>
          <cell r="R1105" t="str">
            <v>52007Scratch 2 000</v>
          </cell>
          <cell r="S1105" t="str">
            <v>2007Scratch 2 000</v>
          </cell>
          <cell r="T1105" t="str">
            <v>52007ETS Boubacar TANDIA</v>
          </cell>
          <cell r="U1105" t="str">
            <v>52007ETS Boubacar TANDIAScratch 2 000</v>
          </cell>
          <cell r="V1105" t="str">
            <v>39206Scratch 2 000</v>
          </cell>
          <cell r="W1105" t="str">
            <v>2007ETS Boubacar TANDIA</v>
          </cell>
          <cell r="X1105" t="str">
            <v>2007ETS Boubacar TANDIAScratch 2 000</v>
          </cell>
        </row>
        <row r="1106">
          <cell r="I1106">
            <v>2007</v>
          </cell>
          <cell r="J1106" t="str">
            <v>ETS Boubacar TANDIAScratch 5 000</v>
          </cell>
          <cell r="L1106">
            <v>0</v>
          </cell>
          <cell r="M1106" t="str">
            <v>ETS Boubacar TANDIA</v>
          </cell>
          <cell r="N1106" t="str">
            <v>ETS Boubacar TANDIAScratch 5 000</v>
          </cell>
          <cell r="O1106" t="str">
            <v>ETS Boubacar TANDIA</v>
          </cell>
          <cell r="P1106" t="str">
            <v>Scratch 5 000</v>
          </cell>
          <cell r="Q1106" t="str">
            <v>52007</v>
          </cell>
          <cell r="R1106" t="str">
            <v>52007Scratch 5 000</v>
          </cell>
          <cell r="S1106" t="str">
            <v>2007Scratch 5 000</v>
          </cell>
          <cell r="T1106" t="str">
            <v>52007ETS Boubacar TANDIA</v>
          </cell>
          <cell r="U1106" t="str">
            <v>52007ETS Boubacar TANDIAScratch 5 000</v>
          </cell>
          <cell r="V1106" t="str">
            <v>39206Scratch 5 000</v>
          </cell>
          <cell r="W1106" t="str">
            <v>2007ETS Boubacar TANDIA</v>
          </cell>
          <cell r="X1106" t="str">
            <v>2007ETS Boubacar TANDIAScratch 5 000</v>
          </cell>
        </row>
        <row r="1107">
          <cell r="I1107">
            <v>2007</v>
          </cell>
          <cell r="J1107" t="str">
            <v>ETS Boubacar TANDIAScratch 10 000</v>
          </cell>
          <cell r="L1107">
            <v>0</v>
          </cell>
          <cell r="M1107" t="str">
            <v>ETS Boubacar TANDIA</v>
          </cell>
          <cell r="N1107" t="str">
            <v>ETS Boubacar TANDIAScratch 10 000</v>
          </cell>
          <cell r="O1107" t="str">
            <v>ETS Boubacar TANDIA</v>
          </cell>
          <cell r="P1107" t="str">
            <v>Scratch 10 000</v>
          </cell>
          <cell r="Q1107" t="str">
            <v>52007</v>
          </cell>
          <cell r="R1107" t="str">
            <v>52007Scratch 10 000</v>
          </cell>
          <cell r="S1107" t="str">
            <v>2007Scratch 10 000</v>
          </cell>
          <cell r="T1107" t="str">
            <v>52007ETS Boubacar TANDIA</v>
          </cell>
          <cell r="U1107" t="str">
            <v>52007ETS Boubacar TANDIAScratch 10 000</v>
          </cell>
          <cell r="V1107" t="str">
            <v>39206Scratch 10 000</v>
          </cell>
          <cell r="W1107" t="str">
            <v>2007ETS Boubacar TANDIA</v>
          </cell>
          <cell r="X1107" t="str">
            <v>2007ETS Boubacar TANDIAScratch 10 000</v>
          </cell>
        </row>
        <row r="1108">
          <cell r="I1108">
            <v>2007</v>
          </cell>
          <cell r="J1108" t="str">
            <v>ETS Boubacar TANDIAScratch 20 000</v>
          </cell>
          <cell r="L1108">
            <v>0</v>
          </cell>
          <cell r="M1108" t="str">
            <v>ETS Boubacar TANDIA</v>
          </cell>
          <cell r="N1108" t="str">
            <v>ETS Boubacar TANDIAScratch 20 000</v>
          </cell>
          <cell r="O1108" t="str">
            <v>ETS Boubacar TANDIA</v>
          </cell>
          <cell r="P1108" t="str">
            <v>Scratch 20 000</v>
          </cell>
          <cell r="Q1108" t="str">
            <v>52007</v>
          </cell>
          <cell r="R1108" t="str">
            <v>52007Scratch 20 000</v>
          </cell>
          <cell r="S1108" t="str">
            <v>2007Scratch 20 000</v>
          </cell>
          <cell r="T1108" t="str">
            <v>52007ETS Boubacar TANDIA</v>
          </cell>
          <cell r="U1108" t="str">
            <v>52007ETS Boubacar TANDIAScratch 20 000</v>
          </cell>
          <cell r="V1108" t="str">
            <v>39206Scratch 20 000</v>
          </cell>
          <cell r="W1108" t="str">
            <v>2007ETS Boubacar TANDIA</v>
          </cell>
          <cell r="X1108" t="str">
            <v>2007ETS Boubacar TANDIAScratch 20 000</v>
          </cell>
        </row>
        <row r="1109">
          <cell r="I1109">
            <v>2007</v>
          </cell>
          <cell r="J1109" t="str">
            <v>Compagnie Internationale de NegoceScratch 1 000</v>
          </cell>
          <cell r="L1109">
            <v>1</v>
          </cell>
          <cell r="M1109" t="str">
            <v>1Compagnie Internationale de Negoce</v>
          </cell>
          <cell r="N1109" t="str">
            <v>Compagnie Internationale de NegoceScratch 1 000</v>
          </cell>
          <cell r="O1109" t="str">
            <v>Compagnie Internationale de Negoce</v>
          </cell>
          <cell r="P1109" t="str">
            <v>Scratch 1 000</v>
          </cell>
          <cell r="Q1109" t="str">
            <v>52007</v>
          </cell>
          <cell r="R1109" t="str">
            <v>52007Scratch 1 000</v>
          </cell>
          <cell r="S1109" t="str">
            <v>2007Scratch 1 000</v>
          </cell>
          <cell r="T1109" t="str">
            <v>52007Compagnie Internationale de Negoce</v>
          </cell>
          <cell r="U1109" t="str">
            <v>52007Compagnie Internationale de NegoceScratch 1 000</v>
          </cell>
          <cell r="V1109" t="str">
            <v>39206Scratch 1 000</v>
          </cell>
          <cell r="W1109" t="str">
            <v>2007Compagnie Internationale de Negoce</v>
          </cell>
          <cell r="X1109" t="str">
            <v>2007Compagnie Internationale de NegoceScratch 1 000</v>
          </cell>
        </row>
        <row r="1110">
          <cell r="I1110">
            <v>2007</v>
          </cell>
          <cell r="J1110" t="str">
            <v>Compagnie Internationale de NegoceScratch 2 000</v>
          </cell>
          <cell r="L1110">
            <v>0</v>
          </cell>
          <cell r="M1110" t="str">
            <v>Compagnie Internationale de Negoce</v>
          </cell>
          <cell r="N1110" t="str">
            <v>Compagnie Internationale de NegoceScratch 2 000</v>
          </cell>
          <cell r="O1110" t="str">
            <v>Compagnie Internationale de Negoce</v>
          </cell>
          <cell r="P1110" t="str">
            <v>Scratch 2 000</v>
          </cell>
          <cell r="Q1110" t="str">
            <v>52007</v>
          </cell>
          <cell r="R1110" t="str">
            <v>52007Scratch 2 000</v>
          </cell>
          <cell r="S1110" t="str">
            <v>2007Scratch 2 000</v>
          </cell>
          <cell r="T1110" t="str">
            <v>52007Compagnie Internationale de Negoce</v>
          </cell>
          <cell r="U1110" t="str">
            <v>52007Compagnie Internationale de NegoceScratch 2 000</v>
          </cell>
          <cell r="V1110" t="str">
            <v>39206Scratch 2 000</v>
          </cell>
          <cell r="W1110" t="str">
            <v>2007Compagnie Internationale de Negoce</v>
          </cell>
          <cell r="X1110" t="str">
            <v>2007Compagnie Internationale de NegoceScratch 2 000</v>
          </cell>
        </row>
        <row r="1111">
          <cell r="I1111">
            <v>2007</v>
          </cell>
          <cell r="J1111" t="str">
            <v>Compagnie Internationale de NegoceScratch 5 000</v>
          </cell>
          <cell r="L1111">
            <v>0</v>
          </cell>
          <cell r="M1111" t="str">
            <v>Compagnie Internationale de Negoce</v>
          </cell>
          <cell r="N1111" t="str">
            <v>Compagnie Internationale de NegoceScratch 5 000</v>
          </cell>
          <cell r="O1111" t="str">
            <v>Compagnie Internationale de Negoce</v>
          </cell>
          <cell r="P1111" t="str">
            <v>Scratch 5 000</v>
          </cell>
          <cell r="Q1111" t="str">
            <v>52007</v>
          </cell>
          <cell r="R1111" t="str">
            <v>52007Scratch 5 000</v>
          </cell>
          <cell r="S1111" t="str">
            <v>2007Scratch 5 000</v>
          </cell>
          <cell r="T1111" t="str">
            <v>52007Compagnie Internationale de Negoce</v>
          </cell>
          <cell r="U1111" t="str">
            <v>52007Compagnie Internationale de NegoceScratch 5 000</v>
          </cell>
          <cell r="V1111" t="str">
            <v>39206Scratch 5 000</v>
          </cell>
          <cell r="W1111" t="str">
            <v>2007Compagnie Internationale de Negoce</v>
          </cell>
          <cell r="X1111" t="str">
            <v>2007Compagnie Internationale de NegoceScratch 5 000</v>
          </cell>
        </row>
        <row r="1112">
          <cell r="I1112">
            <v>2007</v>
          </cell>
          <cell r="J1112" t="str">
            <v>ANKA ServicesScratch 1 000</v>
          </cell>
          <cell r="L1112">
            <v>1</v>
          </cell>
          <cell r="M1112" t="str">
            <v>1ANKA Services</v>
          </cell>
          <cell r="N1112" t="str">
            <v>ANKA ServicesScratch 1 000</v>
          </cell>
          <cell r="O1112" t="str">
            <v>ANKA Services</v>
          </cell>
          <cell r="P1112" t="str">
            <v>Scratch 1 000</v>
          </cell>
          <cell r="Q1112" t="str">
            <v>52007</v>
          </cell>
          <cell r="R1112" t="str">
            <v>52007Scratch 1 000</v>
          </cell>
          <cell r="S1112" t="str">
            <v>2007Scratch 1 000</v>
          </cell>
          <cell r="T1112" t="str">
            <v>52007ANKA Services</v>
          </cell>
          <cell r="U1112" t="str">
            <v>52007ANKA ServicesScratch 1 000</v>
          </cell>
          <cell r="V1112" t="str">
            <v>39206Scratch 1 000</v>
          </cell>
          <cell r="W1112" t="str">
            <v>2007ANKA Services</v>
          </cell>
          <cell r="X1112" t="str">
            <v>2007ANKA ServicesScratch 1 000</v>
          </cell>
        </row>
        <row r="1113">
          <cell r="I1113">
            <v>2007</v>
          </cell>
          <cell r="J1113" t="str">
            <v>ANKA ServicesScratch 2 000</v>
          </cell>
          <cell r="L1113">
            <v>0</v>
          </cell>
          <cell r="M1113" t="str">
            <v>ANKA Services</v>
          </cell>
          <cell r="N1113" t="str">
            <v>ANKA ServicesScratch 2 000</v>
          </cell>
          <cell r="O1113" t="str">
            <v>ANKA Services</v>
          </cell>
          <cell r="P1113" t="str">
            <v>Scratch 2 000</v>
          </cell>
          <cell r="Q1113" t="str">
            <v>52007</v>
          </cell>
          <cell r="R1113" t="str">
            <v>52007Scratch 2 000</v>
          </cell>
          <cell r="S1113" t="str">
            <v>2007Scratch 2 000</v>
          </cell>
          <cell r="T1113" t="str">
            <v>52007ANKA Services</v>
          </cell>
          <cell r="U1113" t="str">
            <v>52007ANKA ServicesScratch 2 000</v>
          </cell>
          <cell r="V1113" t="str">
            <v>39206Scratch 2 000</v>
          </cell>
          <cell r="W1113" t="str">
            <v>2007ANKA Services</v>
          </cell>
          <cell r="X1113" t="str">
            <v>2007ANKA ServicesScratch 2 000</v>
          </cell>
        </row>
        <row r="1114">
          <cell r="I1114">
            <v>2007</v>
          </cell>
          <cell r="J1114" t="str">
            <v>ANKA ServicesScratch 5 000</v>
          </cell>
          <cell r="L1114">
            <v>0</v>
          </cell>
          <cell r="M1114" t="str">
            <v>ANKA Services</v>
          </cell>
          <cell r="N1114" t="str">
            <v>ANKA ServicesScratch 5 000</v>
          </cell>
          <cell r="O1114" t="str">
            <v>ANKA Services</v>
          </cell>
          <cell r="P1114" t="str">
            <v>Scratch 5 000</v>
          </cell>
          <cell r="Q1114" t="str">
            <v>52007</v>
          </cell>
          <cell r="R1114" t="str">
            <v>52007Scratch 5 000</v>
          </cell>
          <cell r="S1114" t="str">
            <v>2007Scratch 5 000</v>
          </cell>
          <cell r="T1114" t="str">
            <v>52007ANKA Services</v>
          </cell>
          <cell r="U1114" t="str">
            <v>52007ANKA ServicesScratch 5 000</v>
          </cell>
          <cell r="V1114" t="str">
            <v>39206Scratch 5 000</v>
          </cell>
          <cell r="W1114" t="str">
            <v>2007ANKA Services</v>
          </cell>
          <cell r="X1114" t="str">
            <v>2007ANKA ServicesScratch 5 000</v>
          </cell>
        </row>
        <row r="1115">
          <cell r="I1115">
            <v>2007</v>
          </cell>
          <cell r="J1115" t="str">
            <v>ANKA ServicesScratch 10 000</v>
          </cell>
          <cell r="L1115">
            <v>0</v>
          </cell>
          <cell r="M1115" t="str">
            <v>ANKA Services</v>
          </cell>
          <cell r="N1115" t="str">
            <v>ANKA ServicesScratch 10 000</v>
          </cell>
          <cell r="O1115" t="str">
            <v>ANKA Services</v>
          </cell>
          <cell r="P1115" t="str">
            <v>Scratch 10 000</v>
          </cell>
          <cell r="Q1115" t="str">
            <v>52007</v>
          </cell>
          <cell r="R1115" t="str">
            <v>52007Scratch 10 000</v>
          </cell>
          <cell r="S1115" t="str">
            <v>2007Scratch 10 000</v>
          </cell>
          <cell r="T1115" t="str">
            <v>52007ANKA Services</v>
          </cell>
          <cell r="U1115" t="str">
            <v>52007ANKA ServicesScratch 10 000</v>
          </cell>
          <cell r="V1115" t="str">
            <v>39206Scratch 10 000</v>
          </cell>
          <cell r="W1115" t="str">
            <v>2007ANKA Services</v>
          </cell>
          <cell r="X1115" t="str">
            <v>2007ANKA ServicesScratch 10 000</v>
          </cell>
        </row>
        <row r="1116">
          <cell r="I1116">
            <v>2007</v>
          </cell>
          <cell r="J1116" t="str">
            <v>STS GAMBY &amp; FRERES (SOGAF) SarlScratch 1 000</v>
          </cell>
          <cell r="L1116">
            <v>1</v>
          </cell>
          <cell r="M1116" t="str">
            <v>1STS GAMBY &amp; FRERES (SOGAF) Sarl</v>
          </cell>
          <cell r="N1116" t="str">
            <v>STS GAMBY &amp; FRERES (SOGAF) SarlScratch 1 000</v>
          </cell>
          <cell r="O1116" t="str">
            <v>STS GAMBY &amp; FRERES (SOGAF) Sarl</v>
          </cell>
          <cell r="P1116" t="str">
            <v>Scratch 1 000</v>
          </cell>
          <cell r="Q1116" t="str">
            <v>52007</v>
          </cell>
          <cell r="R1116" t="str">
            <v>52007Scratch 1 000</v>
          </cell>
          <cell r="S1116" t="str">
            <v>2007Scratch 1 000</v>
          </cell>
          <cell r="T1116" t="str">
            <v>52007STS GAMBY &amp; FRERES (SOGAF) Sarl</v>
          </cell>
          <cell r="U1116" t="str">
            <v>52007STS GAMBY &amp; FRERES (SOGAF) SarlScratch 1 000</v>
          </cell>
          <cell r="V1116" t="str">
            <v>39209Scratch 1 000</v>
          </cell>
          <cell r="W1116" t="str">
            <v>2007STS GAMBY &amp; FRERES (SOGAF) Sarl</v>
          </cell>
          <cell r="X1116" t="str">
            <v>2007STS GAMBY &amp; FRERES (SOGAF) SarlScratch 1 000</v>
          </cell>
        </row>
        <row r="1117">
          <cell r="I1117">
            <v>2007</v>
          </cell>
          <cell r="J1117" t="str">
            <v>STS GAMBY &amp; FRERES (SOGAF) SarlScratch 2 000</v>
          </cell>
          <cell r="L1117">
            <v>0</v>
          </cell>
          <cell r="M1117" t="str">
            <v>STS GAMBY &amp; FRERES (SOGAF) Sarl</v>
          </cell>
          <cell r="N1117" t="str">
            <v>STS GAMBY &amp; FRERES (SOGAF) SarlScratch 2 000</v>
          </cell>
          <cell r="O1117" t="str">
            <v>STS GAMBY &amp; FRERES (SOGAF) Sarl</v>
          </cell>
          <cell r="P1117" t="str">
            <v>Scratch 2 000</v>
          </cell>
          <cell r="Q1117" t="str">
            <v>52007</v>
          </cell>
          <cell r="R1117" t="str">
            <v>52007Scratch 2 000</v>
          </cell>
          <cell r="S1117" t="str">
            <v>2007Scratch 2 000</v>
          </cell>
          <cell r="T1117" t="str">
            <v>52007STS GAMBY &amp; FRERES (SOGAF) Sarl</v>
          </cell>
          <cell r="U1117" t="str">
            <v>52007STS GAMBY &amp; FRERES (SOGAF) SarlScratch 2 000</v>
          </cell>
          <cell r="V1117" t="str">
            <v>39209Scratch 2 000</v>
          </cell>
          <cell r="W1117" t="str">
            <v>2007STS GAMBY &amp; FRERES (SOGAF) Sarl</v>
          </cell>
          <cell r="X1117" t="str">
            <v>2007STS GAMBY &amp; FRERES (SOGAF) SarlScratch 2 000</v>
          </cell>
        </row>
        <row r="1118">
          <cell r="I1118">
            <v>2007</v>
          </cell>
          <cell r="J1118" t="str">
            <v>STS GAMBY &amp; FRERES (SOGAF) SarlScratch 5 000</v>
          </cell>
          <cell r="L1118">
            <v>0</v>
          </cell>
          <cell r="M1118" t="str">
            <v>STS GAMBY &amp; FRERES (SOGAF) Sarl</v>
          </cell>
          <cell r="N1118" t="str">
            <v>STS GAMBY &amp; FRERES (SOGAF) SarlScratch 5 000</v>
          </cell>
          <cell r="O1118" t="str">
            <v>STS GAMBY &amp; FRERES (SOGAF) Sarl</v>
          </cell>
          <cell r="P1118" t="str">
            <v>Scratch 5 000</v>
          </cell>
          <cell r="Q1118" t="str">
            <v>52007</v>
          </cell>
          <cell r="R1118" t="str">
            <v>52007Scratch 5 000</v>
          </cell>
          <cell r="S1118" t="str">
            <v>2007Scratch 5 000</v>
          </cell>
          <cell r="T1118" t="str">
            <v>52007STS GAMBY &amp; FRERES (SOGAF) Sarl</v>
          </cell>
          <cell r="U1118" t="str">
            <v>52007STS GAMBY &amp; FRERES (SOGAF) SarlScratch 5 000</v>
          </cell>
          <cell r="V1118" t="str">
            <v>39209Scratch 5 000</v>
          </cell>
          <cell r="W1118" t="str">
            <v>2007STS GAMBY &amp; FRERES (SOGAF) Sarl</v>
          </cell>
          <cell r="X1118" t="str">
            <v>2007STS GAMBY &amp; FRERES (SOGAF) SarlScratch 5 000</v>
          </cell>
        </row>
        <row r="1119">
          <cell r="I1119">
            <v>2007</v>
          </cell>
          <cell r="J1119" t="str">
            <v>MALI COM SarlScratch 1 000</v>
          </cell>
          <cell r="L1119">
            <v>1</v>
          </cell>
          <cell r="M1119" t="str">
            <v>1MALI COM Sarl</v>
          </cell>
          <cell r="N1119" t="str">
            <v>MALI COM SarlScratch 1 000</v>
          </cell>
          <cell r="O1119" t="str">
            <v>MALI COM Sarl</v>
          </cell>
          <cell r="P1119" t="str">
            <v>Scratch 1 000</v>
          </cell>
          <cell r="Q1119" t="str">
            <v>52007</v>
          </cell>
          <cell r="R1119" t="str">
            <v>52007Scratch 1 000</v>
          </cell>
          <cell r="S1119" t="str">
            <v>2007Scratch 1 000</v>
          </cell>
          <cell r="T1119" t="str">
            <v>52007MALI COM Sarl</v>
          </cell>
          <cell r="U1119" t="str">
            <v>52007MALI COM SarlScratch 1 000</v>
          </cell>
          <cell r="V1119" t="str">
            <v>39209Scratch 1 000</v>
          </cell>
          <cell r="W1119" t="str">
            <v>2007MALI COM Sarl</v>
          </cell>
          <cell r="X1119" t="str">
            <v>2007MALI COM SarlScratch 1 000</v>
          </cell>
        </row>
        <row r="1120">
          <cell r="I1120">
            <v>2007</v>
          </cell>
          <cell r="J1120" t="str">
            <v>MALI COM SarlScratch 2 000</v>
          </cell>
          <cell r="L1120">
            <v>0</v>
          </cell>
          <cell r="M1120" t="str">
            <v>MALI COM Sarl</v>
          </cell>
          <cell r="N1120" t="str">
            <v>MALI COM SarlScratch 2 000</v>
          </cell>
          <cell r="O1120" t="str">
            <v>MALI COM Sarl</v>
          </cell>
          <cell r="P1120" t="str">
            <v>Scratch 2 000</v>
          </cell>
          <cell r="Q1120" t="str">
            <v>52007</v>
          </cell>
          <cell r="R1120" t="str">
            <v>52007Scratch 2 000</v>
          </cell>
          <cell r="S1120" t="str">
            <v>2007Scratch 2 000</v>
          </cell>
          <cell r="T1120" t="str">
            <v>52007MALI COM Sarl</v>
          </cell>
          <cell r="U1120" t="str">
            <v>52007MALI COM SarlScratch 2 000</v>
          </cell>
          <cell r="V1120" t="str">
            <v>39209Scratch 2 000</v>
          </cell>
          <cell r="W1120" t="str">
            <v>2007MALI COM Sarl</v>
          </cell>
          <cell r="X1120" t="str">
            <v>2007MALI COM SarlScratch 2 000</v>
          </cell>
        </row>
        <row r="1121">
          <cell r="I1121">
            <v>2007</v>
          </cell>
          <cell r="J1121" t="str">
            <v>MALI COM SarlScratch 5 000</v>
          </cell>
          <cell r="L1121">
            <v>0</v>
          </cell>
          <cell r="M1121" t="str">
            <v>MALI COM Sarl</v>
          </cell>
          <cell r="N1121" t="str">
            <v>MALI COM SarlScratch 5 000</v>
          </cell>
          <cell r="O1121" t="str">
            <v>MALI COM Sarl</v>
          </cell>
          <cell r="P1121" t="str">
            <v>Scratch 5 000</v>
          </cell>
          <cell r="Q1121" t="str">
            <v>52007</v>
          </cell>
          <cell r="R1121" t="str">
            <v>52007Scratch 5 000</v>
          </cell>
          <cell r="S1121" t="str">
            <v>2007Scratch 5 000</v>
          </cell>
          <cell r="T1121" t="str">
            <v>52007MALI COM Sarl</v>
          </cell>
          <cell r="U1121" t="str">
            <v>52007MALI COM SarlScratch 5 000</v>
          </cell>
          <cell r="V1121" t="str">
            <v>39209Scratch 5 000</v>
          </cell>
          <cell r="W1121" t="str">
            <v>2007MALI COM Sarl</v>
          </cell>
          <cell r="X1121" t="str">
            <v>2007MALI COM SarlScratch 5 000</v>
          </cell>
        </row>
        <row r="1122">
          <cell r="I1122">
            <v>2007</v>
          </cell>
          <cell r="J1122" t="str">
            <v>MALI COM SarlScratch 20 000</v>
          </cell>
          <cell r="L1122">
            <v>0</v>
          </cell>
          <cell r="M1122" t="str">
            <v>MALI COM Sarl</v>
          </cell>
          <cell r="N1122" t="str">
            <v>MALI COM SarlScratch 20 000</v>
          </cell>
          <cell r="O1122" t="str">
            <v>MALI COM Sarl</v>
          </cell>
          <cell r="P1122" t="str">
            <v>Scratch 20 000</v>
          </cell>
          <cell r="Q1122" t="str">
            <v>52007</v>
          </cell>
          <cell r="R1122" t="str">
            <v>52007Scratch 20 000</v>
          </cell>
          <cell r="S1122" t="str">
            <v>2007Scratch 20 000</v>
          </cell>
          <cell r="T1122" t="str">
            <v>52007MALI COM Sarl</v>
          </cell>
          <cell r="U1122" t="str">
            <v>52007MALI COM SarlScratch 20 000</v>
          </cell>
          <cell r="V1122" t="str">
            <v>39209Scratch 20 000</v>
          </cell>
          <cell r="W1122" t="str">
            <v>2007MALI COM Sarl</v>
          </cell>
          <cell r="X1122" t="str">
            <v>2007MALI COM SarlScratch 20 000</v>
          </cell>
        </row>
        <row r="1123">
          <cell r="I1123">
            <v>2007</v>
          </cell>
          <cell r="J1123" t="str">
            <v>ANKA ServicesScratch 1 000</v>
          </cell>
          <cell r="L1123">
            <v>1</v>
          </cell>
          <cell r="M1123" t="str">
            <v>1ANKA Services</v>
          </cell>
          <cell r="N1123" t="str">
            <v>ANKA ServicesScratch 1 000</v>
          </cell>
          <cell r="O1123" t="str">
            <v>ANKA Services</v>
          </cell>
          <cell r="P1123" t="str">
            <v>Scratch 1 000</v>
          </cell>
          <cell r="Q1123" t="str">
            <v>52007</v>
          </cell>
          <cell r="R1123" t="str">
            <v>52007Scratch 1 000</v>
          </cell>
          <cell r="S1123" t="str">
            <v>2007Scratch 1 000</v>
          </cell>
          <cell r="T1123" t="str">
            <v>52007ANKA Services</v>
          </cell>
          <cell r="U1123" t="str">
            <v>52007ANKA ServicesScratch 1 000</v>
          </cell>
          <cell r="V1123" t="str">
            <v>39209Scratch 1 000</v>
          </cell>
          <cell r="W1123" t="str">
            <v>2007ANKA Services</v>
          </cell>
          <cell r="X1123" t="str">
            <v>2007ANKA ServicesScratch 1 000</v>
          </cell>
        </row>
        <row r="1124">
          <cell r="I1124">
            <v>2007</v>
          </cell>
          <cell r="J1124" t="str">
            <v>ANKA ServicesScratch 2 000</v>
          </cell>
          <cell r="L1124">
            <v>0</v>
          </cell>
          <cell r="M1124" t="str">
            <v>ANKA Services</v>
          </cell>
          <cell r="N1124" t="str">
            <v>ANKA ServicesScratch 2 000</v>
          </cell>
          <cell r="O1124" t="str">
            <v>ANKA Services</v>
          </cell>
          <cell r="P1124" t="str">
            <v>Scratch 2 000</v>
          </cell>
          <cell r="Q1124" t="str">
            <v>52007</v>
          </cell>
          <cell r="R1124" t="str">
            <v>52007Scratch 2 000</v>
          </cell>
          <cell r="S1124" t="str">
            <v>2007Scratch 2 000</v>
          </cell>
          <cell r="T1124" t="str">
            <v>52007ANKA Services</v>
          </cell>
          <cell r="U1124" t="str">
            <v>52007ANKA ServicesScratch 2 000</v>
          </cell>
          <cell r="V1124" t="str">
            <v>39209Scratch 2 000</v>
          </cell>
          <cell r="W1124" t="str">
            <v>2007ANKA Services</v>
          </cell>
          <cell r="X1124" t="str">
            <v>2007ANKA ServicesScratch 2 000</v>
          </cell>
        </row>
        <row r="1125">
          <cell r="I1125">
            <v>2007</v>
          </cell>
          <cell r="J1125" t="str">
            <v>ANKA ServicesScratch 5 000</v>
          </cell>
          <cell r="L1125">
            <v>0</v>
          </cell>
          <cell r="M1125" t="str">
            <v>ANKA Services</v>
          </cell>
          <cell r="N1125" t="str">
            <v>ANKA ServicesScratch 5 000</v>
          </cell>
          <cell r="O1125" t="str">
            <v>ANKA Services</v>
          </cell>
          <cell r="P1125" t="str">
            <v>Scratch 5 000</v>
          </cell>
          <cell r="Q1125" t="str">
            <v>52007</v>
          </cell>
          <cell r="R1125" t="str">
            <v>52007Scratch 5 000</v>
          </cell>
          <cell r="S1125" t="str">
            <v>2007Scratch 5 000</v>
          </cell>
          <cell r="T1125" t="str">
            <v>52007ANKA Services</v>
          </cell>
          <cell r="U1125" t="str">
            <v>52007ANKA ServicesScratch 5 000</v>
          </cell>
          <cell r="V1125" t="str">
            <v>39209Scratch 5 000</v>
          </cell>
          <cell r="W1125" t="str">
            <v>2007ANKA Services</v>
          </cell>
          <cell r="X1125" t="str">
            <v>2007ANKA ServicesScratch 5 000</v>
          </cell>
        </row>
        <row r="1126">
          <cell r="I1126">
            <v>2007</v>
          </cell>
          <cell r="J1126" t="str">
            <v>ANKA ServicesScratch 20 000</v>
          </cell>
          <cell r="L1126">
            <v>0</v>
          </cell>
          <cell r="M1126" t="str">
            <v>ANKA Services</v>
          </cell>
          <cell r="N1126" t="str">
            <v>ANKA ServicesScratch 20 000</v>
          </cell>
          <cell r="O1126" t="str">
            <v>ANKA Services</v>
          </cell>
          <cell r="P1126" t="str">
            <v>Scratch 20 000</v>
          </cell>
          <cell r="Q1126" t="str">
            <v>52007</v>
          </cell>
          <cell r="R1126" t="str">
            <v>52007Scratch 20 000</v>
          </cell>
          <cell r="S1126" t="str">
            <v>2007Scratch 20 000</v>
          </cell>
          <cell r="T1126" t="str">
            <v>52007ANKA Services</v>
          </cell>
          <cell r="U1126" t="str">
            <v>52007ANKA ServicesScratch 20 000</v>
          </cell>
          <cell r="V1126" t="str">
            <v>39209Scratch 20 000</v>
          </cell>
          <cell r="W1126" t="str">
            <v>2007ANKA Services</v>
          </cell>
          <cell r="X1126" t="str">
            <v>2007ANKA ServicesScratch 20 000</v>
          </cell>
        </row>
        <row r="1127">
          <cell r="I1127">
            <v>2007</v>
          </cell>
          <cell r="J1127" t="str">
            <v>GEMATELScratch 1 000</v>
          </cell>
          <cell r="L1127">
            <v>1</v>
          </cell>
          <cell r="M1127" t="str">
            <v>1GEMATEL</v>
          </cell>
          <cell r="N1127" t="str">
            <v>GEMATELScratch 1 000</v>
          </cell>
          <cell r="O1127" t="str">
            <v>GEMATEL</v>
          </cell>
          <cell r="P1127" t="str">
            <v>Scratch 1 000</v>
          </cell>
          <cell r="Q1127" t="str">
            <v>52007</v>
          </cell>
          <cell r="R1127" t="str">
            <v>52007Scratch 1 000</v>
          </cell>
          <cell r="S1127" t="str">
            <v>2007Scratch 1 000</v>
          </cell>
          <cell r="T1127" t="str">
            <v>52007GEMATEL</v>
          </cell>
          <cell r="U1127" t="str">
            <v>52007GEMATELScratch 1 000</v>
          </cell>
          <cell r="V1127" t="str">
            <v>39209Scratch 1 000</v>
          </cell>
          <cell r="W1127" t="str">
            <v>2007GEMATEL</v>
          </cell>
          <cell r="X1127" t="str">
            <v>2007GEMATELScratch 1 000</v>
          </cell>
        </row>
        <row r="1128">
          <cell r="I1128">
            <v>2007</v>
          </cell>
          <cell r="J1128" t="str">
            <v>GEMATELScratch 2 000</v>
          </cell>
          <cell r="L1128">
            <v>0</v>
          </cell>
          <cell r="M1128" t="str">
            <v>GEMATEL</v>
          </cell>
          <cell r="N1128" t="str">
            <v>GEMATELScratch 2 000</v>
          </cell>
          <cell r="O1128" t="str">
            <v>GEMATEL</v>
          </cell>
          <cell r="P1128" t="str">
            <v>Scratch 2 000</v>
          </cell>
          <cell r="Q1128" t="str">
            <v>52007</v>
          </cell>
          <cell r="R1128" t="str">
            <v>52007Scratch 2 000</v>
          </cell>
          <cell r="S1128" t="str">
            <v>2007Scratch 2 000</v>
          </cell>
          <cell r="T1128" t="str">
            <v>52007GEMATEL</v>
          </cell>
          <cell r="U1128" t="str">
            <v>52007GEMATELScratch 2 000</v>
          </cell>
          <cell r="V1128" t="str">
            <v>39209Scratch 2 000</v>
          </cell>
          <cell r="W1128" t="str">
            <v>2007GEMATEL</v>
          </cell>
          <cell r="X1128" t="str">
            <v>2007GEMATELScratch 2 000</v>
          </cell>
        </row>
        <row r="1129">
          <cell r="I1129">
            <v>2007</v>
          </cell>
          <cell r="J1129" t="str">
            <v>GEMATELScratch 5 000</v>
          </cell>
          <cell r="L1129">
            <v>0</v>
          </cell>
          <cell r="M1129" t="str">
            <v>GEMATEL</v>
          </cell>
          <cell r="N1129" t="str">
            <v>GEMATELScratch 5 000</v>
          </cell>
          <cell r="O1129" t="str">
            <v>GEMATEL</v>
          </cell>
          <cell r="P1129" t="str">
            <v>Scratch 5 000</v>
          </cell>
          <cell r="Q1129" t="str">
            <v>52007</v>
          </cell>
          <cell r="R1129" t="str">
            <v>52007Scratch 5 000</v>
          </cell>
          <cell r="S1129" t="str">
            <v>2007Scratch 5 000</v>
          </cell>
          <cell r="T1129" t="str">
            <v>52007GEMATEL</v>
          </cell>
          <cell r="U1129" t="str">
            <v>52007GEMATELScratch 5 000</v>
          </cell>
          <cell r="V1129" t="str">
            <v>39209Scratch 5 000</v>
          </cell>
          <cell r="W1129" t="str">
            <v>2007GEMATEL</v>
          </cell>
          <cell r="X1129" t="str">
            <v>2007GEMATELScratch 5 000</v>
          </cell>
        </row>
        <row r="1130">
          <cell r="I1130">
            <v>2007</v>
          </cell>
          <cell r="J1130" t="str">
            <v>Compagnie Internationale de NegoceScratch 1 000</v>
          </cell>
          <cell r="L1130">
            <v>1</v>
          </cell>
          <cell r="M1130" t="str">
            <v>1Compagnie Internationale de Negoce</v>
          </cell>
          <cell r="N1130" t="str">
            <v>Compagnie Internationale de NegoceScratch 1 000</v>
          </cell>
          <cell r="O1130" t="str">
            <v>Compagnie Internationale de Negoce</v>
          </cell>
          <cell r="P1130" t="str">
            <v>Scratch 1 000</v>
          </cell>
          <cell r="Q1130" t="str">
            <v>52007</v>
          </cell>
          <cell r="R1130" t="str">
            <v>52007Scratch 1 000</v>
          </cell>
          <cell r="S1130" t="str">
            <v>2007Scratch 1 000</v>
          </cell>
          <cell r="T1130" t="str">
            <v>52007Compagnie Internationale de Negoce</v>
          </cell>
          <cell r="U1130" t="str">
            <v>52007Compagnie Internationale de NegoceScratch 1 000</v>
          </cell>
          <cell r="V1130" t="str">
            <v>39210Scratch 1 000</v>
          </cell>
          <cell r="W1130" t="str">
            <v>2007Compagnie Internationale de Negoce</v>
          </cell>
          <cell r="X1130" t="str">
            <v>2007Compagnie Internationale de NegoceScratch 1 000</v>
          </cell>
        </row>
        <row r="1131">
          <cell r="I1131">
            <v>2007</v>
          </cell>
          <cell r="J1131" t="str">
            <v>Compagnie Internationale de NegoceScratch 2 000</v>
          </cell>
          <cell r="L1131">
            <v>0</v>
          </cell>
          <cell r="M1131" t="str">
            <v>Compagnie Internationale de Negoce</v>
          </cell>
          <cell r="N1131" t="str">
            <v>Compagnie Internationale de NegoceScratch 2 000</v>
          </cell>
          <cell r="O1131" t="str">
            <v>Compagnie Internationale de Negoce</v>
          </cell>
          <cell r="P1131" t="str">
            <v>Scratch 2 000</v>
          </cell>
          <cell r="Q1131" t="str">
            <v>52007</v>
          </cell>
          <cell r="R1131" t="str">
            <v>52007Scratch 2 000</v>
          </cell>
          <cell r="S1131" t="str">
            <v>2007Scratch 2 000</v>
          </cell>
          <cell r="T1131" t="str">
            <v>52007Compagnie Internationale de Negoce</v>
          </cell>
          <cell r="U1131" t="str">
            <v>52007Compagnie Internationale de NegoceScratch 2 000</v>
          </cell>
          <cell r="V1131" t="str">
            <v>39210Scratch 2 000</v>
          </cell>
          <cell r="W1131" t="str">
            <v>2007Compagnie Internationale de Negoce</v>
          </cell>
          <cell r="X1131" t="str">
            <v>2007Compagnie Internationale de NegoceScratch 2 000</v>
          </cell>
        </row>
        <row r="1132">
          <cell r="I1132">
            <v>2007</v>
          </cell>
          <cell r="J1132" t="str">
            <v>Compagnie Internationale de NegoceScratch 5 000</v>
          </cell>
          <cell r="L1132">
            <v>0</v>
          </cell>
          <cell r="M1132" t="str">
            <v>Compagnie Internationale de Negoce</v>
          </cell>
          <cell r="N1132" t="str">
            <v>Compagnie Internationale de NegoceScratch 5 000</v>
          </cell>
          <cell r="O1132" t="str">
            <v>Compagnie Internationale de Negoce</v>
          </cell>
          <cell r="P1132" t="str">
            <v>Scratch 5 000</v>
          </cell>
          <cell r="Q1132" t="str">
            <v>52007</v>
          </cell>
          <cell r="R1132" t="str">
            <v>52007Scratch 5 000</v>
          </cell>
          <cell r="S1132" t="str">
            <v>2007Scratch 5 000</v>
          </cell>
          <cell r="T1132" t="str">
            <v>52007Compagnie Internationale de Negoce</v>
          </cell>
          <cell r="U1132" t="str">
            <v>52007Compagnie Internationale de NegoceScratch 5 000</v>
          </cell>
          <cell r="V1132" t="str">
            <v>39210Scratch 5 000</v>
          </cell>
          <cell r="W1132" t="str">
            <v>2007Compagnie Internationale de Negoce</v>
          </cell>
          <cell r="X1132" t="str">
            <v>2007Compagnie Internationale de NegoceScratch 5 000</v>
          </cell>
        </row>
        <row r="1133">
          <cell r="I1133">
            <v>2007</v>
          </cell>
          <cell r="J1133" t="str">
            <v>Compagnie Internationale de NegoceScratch 10 000</v>
          </cell>
          <cell r="L1133">
            <v>0</v>
          </cell>
          <cell r="M1133" t="str">
            <v>Compagnie Internationale de Negoce</v>
          </cell>
          <cell r="N1133" t="str">
            <v>Compagnie Internationale de NegoceScratch 10 000</v>
          </cell>
          <cell r="O1133" t="str">
            <v>Compagnie Internationale de Negoce</v>
          </cell>
          <cell r="P1133" t="str">
            <v>Scratch 10 000</v>
          </cell>
          <cell r="Q1133" t="str">
            <v>52007</v>
          </cell>
          <cell r="R1133" t="str">
            <v>52007Scratch 10 000</v>
          </cell>
          <cell r="S1133" t="str">
            <v>2007Scratch 10 000</v>
          </cell>
          <cell r="T1133" t="str">
            <v>52007Compagnie Internationale de Negoce</v>
          </cell>
          <cell r="U1133" t="str">
            <v>52007Compagnie Internationale de NegoceScratch 10 000</v>
          </cell>
          <cell r="V1133" t="str">
            <v>39210Scratch 10 000</v>
          </cell>
          <cell r="W1133" t="str">
            <v>2007Compagnie Internationale de Negoce</v>
          </cell>
          <cell r="X1133" t="str">
            <v>2007Compagnie Internationale de NegoceScratch 10 000</v>
          </cell>
        </row>
        <row r="1134">
          <cell r="I1134">
            <v>2007</v>
          </cell>
          <cell r="J1134" t="str">
            <v>Compagnie Internationale de NegoceScratch 20 000</v>
          </cell>
          <cell r="L1134">
            <v>0</v>
          </cell>
          <cell r="M1134" t="str">
            <v>Compagnie Internationale de Negoce</v>
          </cell>
          <cell r="N1134" t="str">
            <v>Compagnie Internationale de NegoceScratch 20 000</v>
          </cell>
          <cell r="O1134" t="str">
            <v>Compagnie Internationale de Negoce</v>
          </cell>
          <cell r="P1134" t="str">
            <v>Scratch 20 000</v>
          </cell>
          <cell r="Q1134" t="str">
            <v>52007</v>
          </cell>
          <cell r="R1134" t="str">
            <v>52007Scratch 20 000</v>
          </cell>
          <cell r="S1134" t="str">
            <v>2007Scratch 20 000</v>
          </cell>
          <cell r="T1134" t="str">
            <v>52007Compagnie Internationale de Negoce</v>
          </cell>
          <cell r="U1134" t="str">
            <v>52007Compagnie Internationale de NegoceScratch 20 000</v>
          </cell>
          <cell r="V1134" t="str">
            <v>39210Scratch 20 000</v>
          </cell>
          <cell r="W1134" t="str">
            <v>2007Compagnie Internationale de Negoce</v>
          </cell>
          <cell r="X1134" t="str">
            <v>2007Compagnie Internationale de NegoceScratch 20 000</v>
          </cell>
        </row>
        <row r="1135">
          <cell r="I1135">
            <v>2007</v>
          </cell>
          <cell r="J1135" t="str">
            <v>STS GAMBY &amp; FRERES (SOGAF) SarlScratch 1 000</v>
          </cell>
          <cell r="L1135">
            <v>1</v>
          </cell>
          <cell r="M1135" t="str">
            <v>1STS GAMBY &amp; FRERES (SOGAF) Sarl</v>
          </cell>
          <cell r="N1135" t="str">
            <v>STS GAMBY &amp; FRERES (SOGAF) SarlScratch 1 000</v>
          </cell>
          <cell r="O1135" t="str">
            <v>STS GAMBY &amp; FRERES (SOGAF) Sarl</v>
          </cell>
          <cell r="P1135" t="str">
            <v>Scratch 1 000</v>
          </cell>
          <cell r="Q1135" t="str">
            <v>52007</v>
          </cell>
          <cell r="R1135" t="str">
            <v>52007Scratch 1 000</v>
          </cell>
          <cell r="S1135" t="str">
            <v>2007Scratch 1 000</v>
          </cell>
          <cell r="T1135" t="str">
            <v>52007STS GAMBY &amp; FRERES (SOGAF) Sarl</v>
          </cell>
          <cell r="U1135" t="str">
            <v>52007STS GAMBY &amp; FRERES (SOGAF) SarlScratch 1 000</v>
          </cell>
          <cell r="V1135" t="str">
            <v>39210Scratch 1 000</v>
          </cell>
          <cell r="W1135" t="str">
            <v>2007STS GAMBY &amp; FRERES (SOGAF) Sarl</v>
          </cell>
          <cell r="X1135" t="str">
            <v>2007STS GAMBY &amp; FRERES (SOGAF) SarlScratch 1 000</v>
          </cell>
        </row>
        <row r="1136">
          <cell r="I1136">
            <v>2007</v>
          </cell>
          <cell r="J1136" t="str">
            <v>STS GAMBY &amp; FRERES (SOGAF) SarlScratch 2 000</v>
          </cell>
          <cell r="L1136">
            <v>1</v>
          </cell>
          <cell r="M1136" t="str">
            <v>1STS GAMBY &amp; FRERES (SOGAF) Sarl</v>
          </cell>
          <cell r="N1136" t="str">
            <v>STS GAMBY &amp; FRERES (SOGAF) SarlScratch 2 000</v>
          </cell>
          <cell r="O1136" t="str">
            <v>STS GAMBY &amp; FRERES (SOGAF) Sarl</v>
          </cell>
          <cell r="P1136" t="str">
            <v>Scratch 2 000</v>
          </cell>
          <cell r="Q1136" t="str">
            <v>52007</v>
          </cell>
          <cell r="R1136" t="str">
            <v>52007Scratch 2 000</v>
          </cell>
          <cell r="S1136" t="str">
            <v>2007Scratch 2 000</v>
          </cell>
          <cell r="T1136" t="str">
            <v>52007STS GAMBY &amp; FRERES (SOGAF) Sarl</v>
          </cell>
          <cell r="U1136" t="str">
            <v>52007STS GAMBY &amp; FRERES (SOGAF) SarlScratch 2 000</v>
          </cell>
          <cell r="V1136" t="str">
            <v>39210Scratch 2 000</v>
          </cell>
          <cell r="W1136" t="str">
            <v>2007STS GAMBY &amp; FRERES (SOGAF) Sarl</v>
          </cell>
          <cell r="X1136" t="str">
            <v>2007STS GAMBY &amp; FRERES (SOGAF) SarlScratch 2 000</v>
          </cell>
        </row>
        <row r="1137">
          <cell r="I1137">
            <v>2007</v>
          </cell>
          <cell r="J1137" t="str">
            <v>STS GAMBY &amp; FRERES (SOGAF) SarlScratch 5 000</v>
          </cell>
          <cell r="L1137">
            <v>1</v>
          </cell>
          <cell r="M1137" t="str">
            <v>1STS GAMBY &amp; FRERES (SOGAF) Sarl</v>
          </cell>
          <cell r="N1137" t="str">
            <v>STS GAMBY &amp; FRERES (SOGAF) SarlScratch 5 000</v>
          </cell>
          <cell r="O1137" t="str">
            <v>STS GAMBY &amp; FRERES (SOGAF) Sarl</v>
          </cell>
          <cell r="P1137" t="str">
            <v>Scratch 5 000</v>
          </cell>
          <cell r="Q1137" t="str">
            <v>52007</v>
          </cell>
          <cell r="R1137" t="str">
            <v>52007Scratch 5 000</v>
          </cell>
          <cell r="S1137" t="str">
            <v>2007Scratch 5 000</v>
          </cell>
          <cell r="T1137" t="str">
            <v>52007STS GAMBY &amp; FRERES (SOGAF) Sarl</v>
          </cell>
          <cell r="U1137" t="str">
            <v>52007STS GAMBY &amp; FRERES (SOGAF) SarlScratch 5 000</v>
          </cell>
          <cell r="V1137" t="str">
            <v>39210Scratch 5 000</v>
          </cell>
          <cell r="W1137" t="str">
            <v>2007STS GAMBY &amp; FRERES (SOGAF) Sarl</v>
          </cell>
          <cell r="X1137" t="str">
            <v>2007STS GAMBY &amp; FRERES (SOGAF) SarlScratch 5 000</v>
          </cell>
        </row>
        <row r="1138">
          <cell r="I1138">
            <v>2007</v>
          </cell>
          <cell r="J1138" t="str">
            <v>STS GAMBY &amp; FRERES (SOGAF) SarlScratch 10 000</v>
          </cell>
          <cell r="L1138">
            <v>1</v>
          </cell>
          <cell r="M1138" t="str">
            <v>1STS GAMBY &amp; FRERES (SOGAF) Sarl</v>
          </cell>
          <cell r="N1138" t="str">
            <v>STS GAMBY &amp; FRERES (SOGAF) SarlScratch 10 000</v>
          </cell>
          <cell r="O1138" t="str">
            <v>STS GAMBY &amp; FRERES (SOGAF) Sarl</v>
          </cell>
          <cell r="P1138" t="str">
            <v>Scratch 10 000</v>
          </cell>
          <cell r="Q1138" t="str">
            <v>52007</v>
          </cell>
          <cell r="R1138" t="str">
            <v>52007Scratch 10 000</v>
          </cell>
          <cell r="S1138" t="str">
            <v>2007Scratch 10 000</v>
          </cell>
          <cell r="T1138" t="str">
            <v>52007STS GAMBY &amp; FRERES (SOGAF) Sarl</v>
          </cell>
          <cell r="U1138" t="str">
            <v>52007STS GAMBY &amp; FRERES (SOGAF) SarlScratch 10 000</v>
          </cell>
          <cell r="V1138" t="str">
            <v>39210Scratch 10 000</v>
          </cell>
          <cell r="W1138" t="str">
            <v>2007STS GAMBY &amp; FRERES (SOGAF) Sarl</v>
          </cell>
          <cell r="X1138" t="str">
            <v>2007STS GAMBY &amp; FRERES (SOGAF) SarlScratch 10 000</v>
          </cell>
        </row>
        <row r="1139">
          <cell r="I1139">
            <v>2007</v>
          </cell>
          <cell r="J1139" t="str">
            <v>STS GAMBY &amp; FRERES (SOGAF) SarlScratch 20 000</v>
          </cell>
          <cell r="L1139">
            <v>1</v>
          </cell>
          <cell r="M1139" t="str">
            <v>1STS GAMBY &amp; FRERES (SOGAF) Sarl</v>
          </cell>
          <cell r="N1139" t="str">
            <v>STS GAMBY &amp; FRERES (SOGAF) SarlScratch 20 000</v>
          </cell>
          <cell r="O1139" t="str">
            <v>STS GAMBY &amp; FRERES (SOGAF) Sarl</v>
          </cell>
          <cell r="P1139" t="str">
            <v>Scratch 20 000</v>
          </cell>
          <cell r="Q1139" t="str">
            <v>52007</v>
          </cell>
          <cell r="R1139" t="str">
            <v>52007Scratch 20 000</v>
          </cell>
          <cell r="S1139" t="str">
            <v>2007Scratch 20 000</v>
          </cell>
          <cell r="T1139" t="str">
            <v>52007STS GAMBY &amp; FRERES (SOGAF) Sarl</v>
          </cell>
          <cell r="U1139" t="str">
            <v>52007STS GAMBY &amp; FRERES (SOGAF) SarlScratch 20 000</v>
          </cell>
          <cell r="V1139" t="str">
            <v>39210Scratch 20 000</v>
          </cell>
          <cell r="W1139" t="str">
            <v>2007STS GAMBY &amp; FRERES (SOGAF) Sarl</v>
          </cell>
          <cell r="X1139" t="str">
            <v>2007STS GAMBY &amp; FRERES (SOGAF) SarlScratch 20 000</v>
          </cell>
        </row>
        <row r="1140">
          <cell r="I1140">
            <v>2007</v>
          </cell>
          <cell r="J1140" t="str">
            <v>GEMATELScratch 2 000</v>
          </cell>
          <cell r="L1140">
            <v>1</v>
          </cell>
          <cell r="M1140" t="str">
            <v>1GEMATEL</v>
          </cell>
          <cell r="N1140" t="str">
            <v>GEMATELScratch 2 000</v>
          </cell>
          <cell r="O1140" t="str">
            <v>GEMATEL</v>
          </cell>
          <cell r="P1140" t="str">
            <v>Scratch 2 000</v>
          </cell>
          <cell r="Q1140" t="str">
            <v>52007</v>
          </cell>
          <cell r="R1140" t="str">
            <v>52007Scratch 2 000</v>
          </cell>
          <cell r="S1140" t="str">
            <v>2007Scratch 2 000</v>
          </cell>
          <cell r="T1140" t="str">
            <v>52007GEMATEL</v>
          </cell>
          <cell r="U1140" t="str">
            <v>52007GEMATELScratch 2 000</v>
          </cell>
          <cell r="V1140" t="str">
            <v>39210Scratch 2 000</v>
          </cell>
          <cell r="W1140" t="str">
            <v>2007GEMATEL</v>
          </cell>
          <cell r="X1140" t="str">
            <v>2007GEMATELScratch 2 000</v>
          </cell>
        </row>
        <row r="1141">
          <cell r="I1141">
            <v>2007</v>
          </cell>
          <cell r="J1141" t="str">
            <v>GEMATELScratch 5 000</v>
          </cell>
          <cell r="L1141">
            <v>0</v>
          </cell>
          <cell r="M1141" t="str">
            <v>GEMATEL</v>
          </cell>
          <cell r="N1141" t="str">
            <v>GEMATELScratch 5 000</v>
          </cell>
          <cell r="O1141" t="str">
            <v>GEMATEL</v>
          </cell>
          <cell r="P1141" t="str">
            <v>Scratch 5 000</v>
          </cell>
          <cell r="Q1141" t="str">
            <v>52007</v>
          </cell>
          <cell r="R1141" t="str">
            <v>52007Scratch 5 000</v>
          </cell>
          <cell r="S1141" t="str">
            <v>2007Scratch 5 000</v>
          </cell>
          <cell r="T1141" t="str">
            <v>52007GEMATEL</v>
          </cell>
          <cell r="U1141" t="str">
            <v>52007GEMATELScratch 5 000</v>
          </cell>
          <cell r="V1141" t="str">
            <v>39210Scratch 5 000</v>
          </cell>
          <cell r="W1141" t="str">
            <v>2007GEMATEL</v>
          </cell>
          <cell r="X1141" t="str">
            <v>2007GEMATELScratch 5 000</v>
          </cell>
        </row>
        <row r="1142">
          <cell r="I1142">
            <v>2007</v>
          </cell>
          <cell r="J1142" t="str">
            <v>GEMATELScratch 10 000</v>
          </cell>
          <cell r="L1142">
            <v>0</v>
          </cell>
          <cell r="M1142" t="str">
            <v>GEMATEL</v>
          </cell>
          <cell r="N1142" t="str">
            <v>GEMATELScratch 10 000</v>
          </cell>
          <cell r="O1142" t="str">
            <v>GEMATEL</v>
          </cell>
          <cell r="P1142" t="str">
            <v>Scratch 10 000</v>
          </cell>
          <cell r="Q1142" t="str">
            <v>52007</v>
          </cell>
          <cell r="R1142" t="str">
            <v>52007Scratch 10 000</v>
          </cell>
          <cell r="S1142" t="str">
            <v>2007Scratch 10 000</v>
          </cell>
          <cell r="T1142" t="str">
            <v>52007GEMATEL</v>
          </cell>
          <cell r="U1142" t="str">
            <v>52007GEMATELScratch 10 000</v>
          </cell>
          <cell r="V1142" t="str">
            <v>39210Scratch 10 000</v>
          </cell>
          <cell r="W1142" t="str">
            <v>2007GEMATEL</v>
          </cell>
          <cell r="X1142" t="str">
            <v>2007GEMATELScratch 10 000</v>
          </cell>
        </row>
        <row r="1143">
          <cell r="I1143">
            <v>2007</v>
          </cell>
          <cell r="J1143" t="str">
            <v>GEMATELScratch 20 000</v>
          </cell>
          <cell r="L1143">
            <v>0</v>
          </cell>
          <cell r="M1143" t="str">
            <v>GEMATEL</v>
          </cell>
          <cell r="N1143" t="str">
            <v>GEMATELScratch 20 000</v>
          </cell>
          <cell r="O1143" t="str">
            <v>GEMATEL</v>
          </cell>
          <cell r="P1143" t="str">
            <v>Scratch 20 000</v>
          </cell>
          <cell r="Q1143" t="str">
            <v>52007</v>
          </cell>
          <cell r="R1143" t="str">
            <v>52007Scratch 20 000</v>
          </cell>
          <cell r="S1143" t="str">
            <v>2007Scratch 20 000</v>
          </cell>
          <cell r="T1143" t="str">
            <v>52007GEMATEL</v>
          </cell>
          <cell r="U1143" t="str">
            <v>52007GEMATELScratch 20 000</v>
          </cell>
          <cell r="V1143" t="str">
            <v>39210Scratch 20 000</v>
          </cell>
          <cell r="W1143" t="str">
            <v>2007GEMATEL</v>
          </cell>
          <cell r="X1143" t="str">
            <v>2007GEMATELScratch 20 000</v>
          </cell>
        </row>
        <row r="1144">
          <cell r="I1144">
            <v>2007</v>
          </cell>
          <cell r="J1144" t="str">
            <v>ANKA ServicesScratch 1 000</v>
          </cell>
          <cell r="L1144">
            <v>1</v>
          </cell>
          <cell r="M1144" t="str">
            <v>1ANKA Services</v>
          </cell>
          <cell r="N1144" t="str">
            <v>ANKA ServicesScratch 1 000</v>
          </cell>
          <cell r="O1144" t="str">
            <v>ANKA Services</v>
          </cell>
          <cell r="P1144" t="str">
            <v>Scratch 1 000</v>
          </cell>
          <cell r="Q1144" t="str">
            <v>52007</v>
          </cell>
          <cell r="R1144" t="str">
            <v>52007Scratch 1 000</v>
          </cell>
          <cell r="S1144" t="str">
            <v>2007Scratch 1 000</v>
          </cell>
          <cell r="T1144" t="str">
            <v>52007ANKA Services</v>
          </cell>
          <cell r="U1144" t="str">
            <v>52007ANKA ServicesScratch 1 000</v>
          </cell>
          <cell r="V1144" t="str">
            <v>39211Scratch 1 000</v>
          </cell>
          <cell r="W1144" t="str">
            <v>2007ANKA Services</v>
          </cell>
          <cell r="X1144" t="str">
            <v>2007ANKA ServicesScratch 1 000</v>
          </cell>
        </row>
        <row r="1145">
          <cell r="I1145">
            <v>2007</v>
          </cell>
          <cell r="J1145" t="str">
            <v>ANKA ServicesScratch 2 000</v>
          </cell>
          <cell r="L1145">
            <v>0</v>
          </cell>
          <cell r="M1145" t="str">
            <v>ANKA Services</v>
          </cell>
          <cell r="N1145" t="str">
            <v>ANKA ServicesScratch 2 000</v>
          </cell>
          <cell r="O1145" t="str">
            <v>ANKA Services</v>
          </cell>
          <cell r="P1145" t="str">
            <v>Scratch 2 000</v>
          </cell>
          <cell r="Q1145" t="str">
            <v>52007</v>
          </cell>
          <cell r="R1145" t="str">
            <v>52007Scratch 2 000</v>
          </cell>
          <cell r="S1145" t="str">
            <v>2007Scratch 2 000</v>
          </cell>
          <cell r="T1145" t="str">
            <v>52007ANKA Services</v>
          </cell>
          <cell r="U1145" t="str">
            <v>52007ANKA ServicesScratch 2 000</v>
          </cell>
          <cell r="V1145" t="str">
            <v>39211Scratch 2 000</v>
          </cell>
          <cell r="W1145" t="str">
            <v>2007ANKA Services</v>
          </cell>
          <cell r="X1145" t="str">
            <v>2007ANKA ServicesScratch 2 000</v>
          </cell>
        </row>
        <row r="1146">
          <cell r="I1146">
            <v>2007</v>
          </cell>
          <cell r="J1146" t="str">
            <v>ANKA ServicesScratch 5 000</v>
          </cell>
          <cell r="L1146">
            <v>0</v>
          </cell>
          <cell r="M1146" t="str">
            <v>ANKA Services</v>
          </cell>
          <cell r="N1146" t="str">
            <v>ANKA ServicesScratch 5 000</v>
          </cell>
          <cell r="O1146" t="str">
            <v>ANKA Services</v>
          </cell>
          <cell r="P1146" t="str">
            <v>Scratch 5 000</v>
          </cell>
          <cell r="Q1146" t="str">
            <v>52007</v>
          </cell>
          <cell r="R1146" t="str">
            <v>52007Scratch 5 000</v>
          </cell>
          <cell r="S1146" t="str">
            <v>2007Scratch 5 000</v>
          </cell>
          <cell r="T1146" t="str">
            <v>52007ANKA Services</v>
          </cell>
          <cell r="U1146" t="str">
            <v>52007ANKA ServicesScratch 5 000</v>
          </cell>
          <cell r="V1146" t="str">
            <v>39211Scratch 5 000</v>
          </cell>
          <cell r="W1146" t="str">
            <v>2007ANKA Services</v>
          </cell>
          <cell r="X1146" t="str">
            <v>2007ANKA ServicesScratch 5 000</v>
          </cell>
        </row>
        <row r="1147">
          <cell r="I1147">
            <v>2007</v>
          </cell>
          <cell r="J1147" t="str">
            <v>GEMATELScratch 1 000</v>
          </cell>
          <cell r="L1147">
            <v>1</v>
          </cell>
          <cell r="M1147" t="str">
            <v>1GEMATEL</v>
          </cell>
          <cell r="N1147" t="str">
            <v>GEMATELScratch 1 000</v>
          </cell>
          <cell r="O1147" t="str">
            <v>GEMATEL</v>
          </cell>
          <cell r="P1147" t="str">
            <v>Scratch 1 000</v>
          </cell>
          <cell r="Q1147" t="str">
            <v>52007</v>
          </cell>
          <cell r="R1147" t="str">
            <v>52007Scratch 1 000</v>
          </cell>
          <cell r="S1147" t="str">
            <v>2007Scratch 1 000</v>
          </cell>
          <cell r="T1147" t="str">
            <v>52007GEMATEL</v>
          </cell>
          <cell r="U1147" t="str">
            <v>52007GEMATELScratch 1 000</v>
          </cell>
          <cell r="V1147" t="str">
            <v>39211Scratch 1 000</v>
          </cell>
          <cell r="W1147" t="str">
            <v>2007GEMATEL</v>
          </cell>
          <cell r="X1147" t="str">
            <v>2007GEMATELScratch 1 000</v>
          </cell>
        </row>
        <row r="1148">
          <cell r="I1148">
            <v>2007</v>
          </cell>
          <cell r="J1148" t="str">
            <v>GEMATELScratch 2 000</v>
          </cell>
          <cell r="L1148">
            <v>0</v>
          </cell>
          <cell r="M1148" t="str">
            <v>GEMATEL</v>
          </cell>
          <cell r="N1148" t="str">
            <v>GEMATELScratch 2 000</v>
          </cell>
          <cell r="O1148" t="str">
            <v>GEMATEL</v>
          </cell>
          <cell r="P1148" t="str">
            <v>Scratch 2 000</v>
          </cell>
          <cell r="Q1148" t="str">
            <v>52007</v>
          </cell>
          <cell r="R1148" t="str">
            <v>52007Scratch 2 000</v>
          </cell>
          <cell r="S1148" t="str">
            <v>2007Scratch 2 000</v>
          </cell>
          <cell r="T1148" t="str">
            <v>52007GEMATEL</v>
          </cell>
          <cell r="U1148" t="str">
            <v>52007GEMATELScratch 2 000</v>
          </cell>
          <cell r="V1148" t="str">
            <v>39211Scratch 2 000</v>
          </cell>
          <cell r="W1148" t="str">
            <v>2007GEMATEL</v>
          </cell>
          <cell r="X1148" t="str">
            <v>2007GEMATELScratch 2 000</v>
          </cell>
        </row>
        <row r="1149">
          <cell r="I1149">
            <v>2007</v>
          </cell>
          <cell r="J1149" t="str">
            <v>GEMATELScratch 5 000</v>
          </cell>
          <cell r="L1149">
            <v>0</v>
          </cell>
          <cell r="M1149" t="str">
            <v>GEMATEL</v>
          </cell>
          <cell r="N1149" t="str">
            <v>GEMATELScratch 5 000</v>
          </cell>
          <cell r="O1149" t="str">
            <v>GEMATEL</v>
          </cell>
          <cell r="P1149" t="str">
            <v>Scratch 5 000</v>
          </cell>
          <cell r="Q1149" t="str">
            <v>52007</v>
          </cell>
          <cell r="R1149" t="str">
            <v>52007Scratch 5 000</v>
          </cell>
          <cell r="S1149" t="str">
            <v>2007Scratch 5 000</v>
          </cell>
          <cell r="T1149" t="str">
            <v>52007GEMATEL</v>
          </cell>
          <cell r="U1149" t="str">
            <v>52007GEMATELScratch 5 000</v>
          </cell>
          <cell r="V1149" t="str">
            <v>39211Scratch 5 000</v>
          </cell>
          <cell r="W1149" t="str">
            <v>2007GEMATEL</v>
          </cell>
          <cell r="X1149" t="str">
            <v>2007GEMATELScratch 5 000</v>
          </cell>
        </row>
        <row r="1150">
          <cell r="I1150">
            <v>2007</v>
          </cell>
          <cell r="J1150" t="str">
            <v>GEMATELScratch 10 000</v>
          </cell>
          <cell r="L1150">
            <v>0</v>
          </cell>
          <cell r="M1150" t="str">
            <v>GEMATEL</v>
          </cell>
          <cell r="N1150" t="str">
            <v>GEMATELScratch 10 000</v>
          </cell>
          <cell r="O1150" t="str">
            <v>GEMATEL</v>
          </cell>
          <cell r="P1150" t="str">
            <v>Scratch 10 000</v>
          </cell>
          <cell r="Q1150" t="str">
            <v>52007</v>
          </cell>
          <cell r="R1150" t="str">
            <v>52007Scratch 10 000</v>
          </cell>
          <cell r="S1150" t="str">
            <v>2007Scratch 10 000</v>
          </cell>
          <cell r="T1150" t="str">
            <v>52007GEMATEL</v>
          </cell>
          <cell r="U1150" t="str">
            <v>52007GEMATELScratch 10 000</v>
          </cell>
          <cell r="V1150" t="str">
            <v>39211Scratch 10 000</v>
          </cell>
          <cell r="W1150" t="str">
            <v>2007GEMATEL</v>
          </cell>
          <cell r="X1150" t="str">
            <v>2007GEMATELScratch 10 000</v>
          </cell>
        </row>
        <row r="1151">
          <cell r="I1151">
            <v>2007</v>
          </cell>
          <cell r="J1151" t="str">
            <v>GEMATELScratch 20 000</v>
          </cell>
          <cell r="L1151">
            <v>0</v>
          </cell>
          <cell r="M1151" t="str">
            <v>GEMATEL</v>
          </cell>
          <cell r="N1151" t="str">
            <v>GEMATELScratch 20 000</v>
          </cell>
          <cell r="O1151" t="str">
            <v>GEMATEL</v>
          </cell>
          <cell r="P1151" t="str">
            <v>Scratch 20 000</v>
          </cell>
          <cell r="Q1151" t="str">
            <v>52007</v>
          </cell>
          <cell r="R1151" t="str">
            <v>52007Scratch 20 000</v>
          </cell>
          <cell r="S1151" t="str">
            <v>2007Scratch 20 000</v>
          </cell>
          <cell r="T1151" t="str">
            <v>52007GEMATEL</v>
          </cell>
          <cell r="U1151" t="str">
            <v>52007GEMATELScratch 20 000</v>
          </cell>
          <cell r="V1151" t="str">
            <v>39211Scratch 20 000</v>
          </cell>
          <cell r="W1151" t="str">
            <v>2007GEMATEL</v>
          </cell>
          <cell r="X1151" t="str">
            <v>2007GEMATELScratch 20 000</v>
          </cell>
        </row>
        <row r="1152">
          <cell r="I1152">
            <v>2007</v>
          </cell>
          <cell r="J1152" t="str">
            <v>ANKA ServicesScratch 1 000</v>
          </cell>
          <cell r="L1152">
            <v>1</v>
          </cell>
          <cell r="M1152" t="str">
            <v>1ANKA Services</v>
          </cell>
          <cell r="N1152" t="str">
            <v>ANKA ServicesScratch 1 000</v>
          </cell>
          <cell r="O1152" t="str">
            <v>ANKA Services</v>
          </cell>
          <cell r="P1152" t="str">
            <v>Scratch 1 000</v>
          </cell>
          <cell r="Q1152" t="str">
            <v>52007</v>
          </cell>
          <cell r="R1152" t="str">
            <v>52007Scratch 1 000</v>
          </cell>
          <cell r="S1152" t="str">
            <v>2007Scratch 1 000</v>
          </cell>
          <cell r="T1152" t="str">
            <v>52007ANKA Services</v>
          </cell>
          <cell r="U1152" t="str">
            <v>52007ANKA ServicesScratch 1 000</v>
          </cell>
          <cell r="V1152" t="str">
            <v>39211Scratch 1 000</v>
          </cell>
          <cell r="W1152" t="str">
            <v>2007ANKA Services</v>
          </cell>
          <cell r="X1152" t="str">
            <v>2007ANKA ServicesScratch 1 000</v>
          </cell>
        </row>
        <row r="1153">
          <cell r="I1153">
            <v>2007</v>
          </cell>
          <cell r="J1153" t="str">
            <v>ANKA ServicesScratch 2 000</v>
          </cell>
          <cell r="L1153">
            <v>1</v>
          </cell>
          <cell r="M1153" t="str">
            <v>1ANKA Services</v>
          </cell>
          <cell r="N1153" t="str">
            <v>ANKA ServicesScratch 2 000</v>
          </cell>
          <cell r="O1153" t="str">
            <v>ANKA Services</v>
          </cell>
          <cell r="P1153" t="str">
            <v>Scratch 2 000</v>
          </cell>
          <cell r="Q1153" t="str">
            <v>52007</v>
          </cell>
          <cell r="R1153" t="str">
            <v>52007Scratch 2 000</v>
          </cell>
          <cell r="S1153" t="str">
            <v>2007Scratch 2 000</v>
          </cell>
          <cell r="T1153" t="str">
            <v>52007ANKA Services</v>
          </cell>
          <cell r="U1153" t="str">
            <v>52007ANKA ServicesScratch 2 000</v>
          </cell>
          <cell r="V1153" t="str">
            <v>39211Scratch 2 000</v>
          </cell>
          <cell r="W1153" t="str">
            <v>2007ANKA Services</v>
          </cell>
          <cell r="X1153" t="str">
            <v>2007ANKA ServicesScratch 2 000</v>
          </cell>
        </row>
        <row r="1154">
          <cell r="I1154">
            <v>2007</v>
          </cell>
          <cell r="J1154" t="str">
            <v>ANKA ServicesScratch 5 000</v>
          </cell>
          <cell r="L1154">
            <v>1</v>
          </cell>
          <cell r="M1154" t="str">
            <v>1ANKA Services</v>
          </cell>
          <cell r="N1154" t="str">
            <v>ANKA ServicesScratch 5 000</v>
          </cell>
          <cell r="O1154" t="str">
            <v>ANKA Services</v>
          </cell>
          <cell r="P1154" t="str">
            <v>Scratch 5 000</v>
          </cell>
          <cell r="Q1154" t="str">
            <v>52007</v>
          </cell>
          <cell r="R1154" t="str">
            <v>52007Scratch 5 000</v>
          </cell>
          <cell r="S1154" t="str">
            <v>2007Scratch 5 000</v>
          </cell>
          <cell r="T1154" t="str">
            <v>52007ANKA Services</v>
          </cell>
          <cell r="U1154" t="str">
            <v>52007ANKA ServicesScratch 5 000</v>
          </cell>
          <cell r="V1154" t="str">
            <v>39211Scratch 5 000</v>
          </cell>
          <cell r="W1154" t="str">
            <v>2007ANKA Services</v>
          </cell>
          <cell r="X1154" t="str">
            <v>2007ANKA ServicesScratch 5 000</v>
          </cell>
        </row>
        <row r="1155">
          <cell r="I1155">
            <v>2007</v>
          </cell>
          <cell r="J1155" t="str">
            <v>Ets Mamadou GAMBYScratch 1 000</v>
          </cell>
          <cell r="L1155">
            <v>1</v>
          </cell>
          <cell r="M1155" t="str">
            <v>1Ets Mamadou GAMBY</v>
          </cell>
          <cell r="N1155" t="str">
            <v>Ets Mamadou GAMBYScratch 1 000</v>
          </cell>
          <cell r="O1155" t="str">
            <v>Ets Mamadou GAMBY</v>
          </cell>
          <cell r="P1155" t="str">
            <v>Scratch 1 000</v>
          </cell>
          <cell r="Q1155" t="str">
            <v>52007</v>
          </cell>
          <cell r="R1155" t="str">
            <v>52007Scratch 1 000</v>
          </cell>
          <cell r="S1155" t="str">
            <v>2007Scratch 1 000</v>
          </cell>
          <cell r="T1155" t="str">
            <v>52007Ets Mamadou GAMBY</v>
          </cell>
          <cell r="U1155" t="str">
            <v>52007Ets Mamadou GAMBYScratch 1 000</v>
          </cell>
          <cell r="V1155" t="str">
            <v>39212Scratch 1 000</v>
          </cell>
          <cell r="W1155" t="str">
            <v>2007Ets Mamadou GAMBY</v>
          </cell>
          <cell r="X1155" t="str">
            <v>2007Ets Mamadou GAMBYScratch 1 000</v>
          </cell>
        </row>
        <row r="1156">
          <cell r="I1156">
            <v>2007</v>
          </cell>
          <cell r="J1156" t="str">
            <v>Ets Mamadou GAMBYScratch 2 000</v>
          </cell>
          <cell r="L1156">
            <v>0</v>
          </cell>
          <cell r="M1156" t="str">
            <v>Ets Mamadou GAMBY</v>
          </cell>
          <cell r="N1156" t="str">
            <v>Ets Mamadou GAMBYScratch 2 000</v>
          </cell>
          <cell r="O1156" t="str">
            <v>Ets Mamadou GAMBY</v>
          </cell>
          <cell r="P1156" t="str">
            <v>Scratch 2 000</v>
          </cell>
          <cell r="Q1156" t="str">
            <v>52007</v>
          </cell>
          <cell r="R1156" t="str">
            <v>52007Scratch 2 000</v>
          </cell>
          <cell r="S1156" t="str">
            <v>2007Scratch 2 000</v>
          </cell>
          <cell r="T1156" t="str">
            <v>52007Ets Mamadou GAMBY</v>
          </cell>
          <cell r="U1156" t="str">
            <v>52007Ets Mamadou GAMBYScratch 2 000</v>
          </cell>
          <cell r="V1156" t="str">
            <v>39212Scratch 2 000</v>
          </cell>
          <cell r="W1156" t="str">
            <v>2007Ets Mamadou GAMBY</v>
          </cell>
          <cell r="X1156" t="str">
            <v>2007Ets Mamadou GAMBYScratch 2 000</v>
          </cell>
        </row>
        <row r="1157">
          <cell r="I1157">
            <v>2007</v>
          </cell>
          <cell r="J1157" t="str">
            <v>Ets Mamadou GAMBYScratch 5 000</v>
          </cell>
          <cell r="L1157">
            <v>0</v>
          </cell>
          <cell r="M1157" t="str">
            <v>Ets Mamadou GAMBY</v>
          </cell>
          <cell r="N1157" t="str">
            <v>Ets Mamadou GAMBYScratch 5 000</v>
          </cell>
          <cell r="O1157" t="str">
            <v>Ets Mamadou GAMBY</v>
          </cell>
          <cell r="P1157" t="str">
            <v>Scratch 5 000</v>
          </cell>
          <cell r="Q1157" t="str">
            <v>52007</v>
          </cell>
          <cell r="R1157" t="str">
            <v>52007Scratch 5 000</v>
          </cell>
          <cell r="S1157" t="str">
            <v>2007Scratch 5 000</v>
          </cell>
          <cell r="T1157" t="str">
            <v>52007Ets Mamadou GAMBY</v>
          </cell>
          <cell r="U1157" t="str">
            <v>52007Ets Mamadou GAMBYScratch 5 000</v>
          </cell>
          <cell r="V1157" t="str">
            <v>39212Scratch 5 000</v>
          </cell>
          <cell r="W1157" t="str">
            <v>2007Ets Mamadou GAMBY</v>
          </cell>
          <cell r="X1157" t="str">
            <v>2007Ets Mamadou GAMBYScratch 5 000</v>
          </cell>
        </row>
        <row r="1158">
          <cell r="I1158">
            <v>2007</v>
          </cell>
          <cell r="J1158" t="str">
            <v>Ets Mamadou GAMBYScratch 20 000</v>
          </cell>
          <cell r="L1158">
            <v>0</v>
          </cell>
          <cell r="M1158" t="str">
            <v>Ets Mamadou GAMBY</v>
          </cell>
          <cell r="N1158" t="str">
            <v>Ets Mamadou GAMBYScratch 20 000</v>
          </cell>
          <cell r="O1158" t="str">
            <v>Ets Mamadou GAMBY</v>
          </cell>
          <cell r="P1158" t="str">
            <v>Scratch 20 000</v>
          </cell>
          <cell r="Q1158" t="str">
            <v>52007</v>
          </cell>
          <cell r="R1158" t="str">
            <v>52007Scratch 20 000</v>
          </cell>
          <cell r="S1158" t="str">
            <v>2007Scratch 20 000</v>
          </cell>
          <cell r="T1158" t="str">
            <v>52007Ets Mamadou GAMBY</v>
          </cell>
          <cell r="U1158" t="str">
            <v>52007Ets Mamadou GAMBYScratch 20 000</v>
          </cell>
          <cell r="V1158" t="str">
            <v>39212Scratch 20 000</v>
          </cell>
          <cell r="W1158" t="str">
            <v>2007Ets Mamadou GAMBY</v>
          </cell>
          <cell r="X1158" t="str">
            <v>2007Ets Mamadou GAMBYScratch 20 000</v>
          </cell>
        </row>
        <row r="1159">
          <cell r="I1159">
            <v>2007</v>
          </cell>
          <cell r="J1159" t="str">
            <v>SOLEIL LEVANTScratch 1 000</v>
          </cell>
          <cell r="L1159">
            <v>1</v>
          </cell>
          <cell r="M1159" t="str">
            <v>1SOLEIL LEVANT</v>
          </cell>
          <cell r="N1159" t="str">
            <v>SOLEIL LEVANTScratch 1 000</v>
          </cell>
          <cell r="O1159" t="str">
            <v>SOLEIL LEVANT</v>
          </cell>
          <cell r="P1159" t="str">
            <v>Scratch 1 000</v>
          </cell>
          <cell r="Q1159" t="str">
            <v>52007</v>
          </cell>
          <cell r="R1159" t="str">
            <v>52007Scratch 1 000</v>
          </cell>
          <cell r="S1159" t="str">
            <v>2007Scratch 1 000</v>
          </cell>
          <cell r="T1159" t="str">
            <v>52007SOLEIL LEVANT</v>
          </cell>
          <cell r="U1159" t="str">
            <v>52007SOLEIL LEVANTScratch 1 000</v>
          </cell>
          <cell r="V1159" t="str">
            <v>39212Scratch 1 000</v>
          </cell>
          <cell r="W1159" t="str">
            <v>2007SOLEIL LEVANT</v>
          </cell>
          <cell r="X1159" t="str">
            <v>2007SOLEIL LEVANTScratch 1 000</v>
          </cell>
        </row>
        <row r="1160">
          <cell r="I1160">
            <v>2007</v>
          </cell>
          <cell r="J1160" t="str">
            <v>SOLEIL LEVANTScratch 2 000</v>
          </cell>
          <cell r="L1160">
            <v>0</v>
          </cell>
          <cell r="M1160" t="str">
            <v>SOLEIL LEVANT</v>
          </cell>
          <cell r="N1160" t="str">
            <v>SOLEIL LEVANTScratch 2 000</v>
          </cell>
          <cell r="O1160" t="str">
            <v>SOLEIL LEVANT</v>
          </cell>
          <cell r="P1160" t="str">
            <v>Scratch 2 000</v>
          </cell>
          <cell r="Q1160" t="str">
            <v>52007</v>
          </cell>
          <cell r="R1160" t="str">
            <v>52007Scratch 2 000</v>
          </cell>
          <cell r="S1160" t="str">
            <v>2007Scratch 2 000</v>
          </cell>
          <cell r="T1160" t="str">
            <v>52007SOLEIL LEVANT</v>
          </cell>
          <cell r="U1160" t="str">
            <v>52007SOLEIL LEVANTScratch 2 000</v>
          </cell>
          <cell r="V1160" t="str">
            <v>39212Scratch 2 000</v>
          </cell>
          <cell r="W1160" t="str">
            <v>2007SOLEIL LEVANT</v>
          </cell>
          <cell r="X1160" t="str">
            <v>2007SOLEIL LEVANTScratch 2 000</v>
          </cell>
        </row>
        <row r="1161">
          <cell r="I1161">
            <v>2007</v>
          </cell>
          <cell r="J1161" t="str">
            <v>SOLEIL LEVANTScratch 5 000</v>
          </cell>
          <cell r="L1161">
            <v>0</v>
          </cell>
          <cell r="M1161" t="str">
            <v>SOLEIL LEVANT</v>
          </cell>
          <cell r="N1161" t="str">
            <v>SOLEIL LEVANTScratch 5 000</v>
          </cell>
          <cell r="O1161" t="str">
            <v>SOLEIL LEVANT</v>
          </cell>
          <cell r="P1161" t="str">
            <v>Scratch 5 000</v>
          </cell>
          <cell r="Q1161" t="str">
            <v>52007</v>
          </cell>
          <cell r="R1161" t="str">
            <v>52007Scratch 5 000</v>
          </cell>
          <cell r="S1161" t="str">
            <v>2007Scratch 5 000</v>
          </cell>
          <cell r="T1161" t="str">
            <v>52007SOLEIL LEVANT</v>
          </cell>
          <cell r="U1161" t="str">
            <v>52007SOLEIL LEVANTScratch 5 000</v>
          </cell>
          <cell r="V1161" t="str">
            <v>39212Scratch 5 000</v>
          </cell>
          <cell r="W1161" t="str">
            <v>2007SOLEIL LEVANT</v>
          </cell>
          <cell r="X1161" t="str">
            <v>2007SOLEIL LEVANTScratch 5 000</v>
          </cell>
        </row>
        <row r="1162">
          <cell r="I1162">
            <v>2007</v>
          </cell>
          <cell r="J1162" t="str">
            <v>SOLEIL LEVANTScratch 10 000</v>
          </cell>
          <cell r="L1162">
            <v>0</v>
          </cell>
          <cell r="M1162" t="str">
            <v>SOLEIL LEVANT</v>
          </cell>
          <cell r="N1162" t="str">
            <v>SOLEIL LEVANTScratch 10 000</v>
          </cell>
          <cell r="O1162" t="str">
            <v>SOLEIL LEVANT</v>
          </cell>
          <cell r="P1162" t="str">
            <v>Scratch 10 000</v>
          </cell>
          <cell r="Q1162" t="str">
            <v>52007</v>
          </cell>
          <cell r="R1162" t="str">
            <v>52007Scratch 10 000</v>
          </cell>
          <cell r="S1162" t="str">
            <v>2007Scratch 10 000</v>
          </cell>
          <cell r="T1162" t="str">
            <v>52007SOLEIL LEVANT</v>
          </cell>
          <cell r="U1162" t="str">
            <v>52007SOLEIL LEVANTScratch 10 000</v>
          </cell>
          <cell r="V1162" t="str">
            <v>39212Scratch 10 000</v>
          </cell>
          <cell r="W1162" t="str">
            <v>2007SOLEIL LEVANT</v>
          </cell>
          <cell r="X1162" t="str">
            <v>2007SOLEIL LEVANTScratch 10 000</v>
          </cell>
        </row>
        <row r="1163">
          <cell r="I1163">
            <v>2007</v>
          </cell>
          <cell r="J1163" t="str">
            <v>SOLEIL LEVANTScratch 20 000</v>
          </cell>
          <cell r="L1163">
            <v>0</v>
          </cell>
          <cell r="M1163" t="str">
            <v>SOLEIL LEVANT</v>
          </cell>
          <cell r="N1163" t="str">
            <v>SOLEIL LEVANTScratch 20 000</v>
          </cell>
          <cell r="O1163" t="str">
            <v>SOLEIL LEVANT</v>
          </cell>
          <cell r="P1163" t="str">
            <v>Scratch 20 000</v>
          </cell>
          <cell r="Q1163" t="str">
            <v>52007</v>
          </cell>
          <cell r="R1163" t="str">
            <v>52007Scratch 20 000</v>
          </cell>
          <cell r="S1163" t="str">
            <v>2007Scratch 20 000</v>
          </cell>
          <cell r="T1163" t="str">
            <v>52007SOLEIL LEVANT</v>
          </cell>
          <cell r="U1163" t="str">
            <v>52007SOLEIL LEVANTScratch 20 000</v>
          </cell>
          <cell r="V1163" t="str">
            <v>39212Scratch 20 000</v>
          </cell>
          <cell r="W1163" t="str">
            <v>2007SOLEIL LEVANT</v>
          </cell>
          <cell r="X1163" t="str">
            <v>2007SOLEIL LEVANTScratch 20 000</v>
          </cell>
        </row>
        <row r="1164">
          <cell r="I1164">
            <v>2007</v>
          </cell>
          <cell r="J1164" t="str">
            <v>Compagnie Internationale de NegoceScratch 1 000</v>
          </cell>
          <cell r="L1164">
            <v>1</v>
          </cell>
          <cell r="M1164" t="str">
            <v>1Compagnie Internationale de Negoce</v>
          </cell>
          <cell r="N1164" t="str">
            <v>Compagnie Internationale de NegoceScratch 1 000</v>
          </cell>
          <cell r="O1164" t="str">
            <v>Compagnie Internationale de Negoce</v>
          </cell>
          <cell r="P1164" t="str">
            <v>Scratch 1 000</v>
          </cell>
          <cell r="Q1164" t="str">
            <v>52007</v>
          </cell>
          <cell r="R1164" t="str">
            <v>52007Scratch 1 000</v>
          </cell>
          <cell r="S1164" t="str">
            <v>2007Scratch 1 000</v>
          </cell>
          <cell r="T1164" t="str">
            <v>52007Compagnie Internationale de Negoce</v>
          </cell>
          <cell r="U1164" t="str">
            <v>52007Compagnie Internationale de NegoceScratch 1 000</v>
          </cell>
          <cell r="V1164" t="str">
            <v>39212Scratch 1 000</v>
          </cell>
          <cell r="W1164" t="str">
            <v>2007Compagnie Internationale de Negoce</v>
          </cell>
          <cell r="X1164" t="str">
            <v>2007Compagnie Internationale de NegoceScratch 1 000</v>
          </cell>
        </row>
        <row r="1165">
          <cell r="I1165">
            <v>2007</v>
          </cell>
          <cell r="J1165" t="str">
            <v>Compagnie Internationale de NegoceScratch 2 000</v>
          </cell>
          <cell r="L1165">
            <v>0</v>
          </cell>
          <cell r="M1165" t="str">
            <v>Compagnie Internationale de Negoce</v>
          </cell>
          <cell r="N1165" t="str">
            <v>Compagnie Internationale de NegoceScratch 2 000</v>
          </cell>
          <cell r="O1165" t="str">
            <v>Compagnie Internationale de Negoce</v>
          </cell>
          <cell r="P1165" t="str">
            <v>Scratch 2 000</v>
          </cell>
          <cell r="Q1165" t="str">
            <v>52007</v>
          </cell>
          <cell r="R1165" t="str">
            <v>52007Scratch 2 000</v>
          </cell>
          <cell r="S1165" t="str">
            <v>2007Scratch 2 000</v>
          </cell>
          <cell r="T1165" t="str">
            <v>52007Compagnie Internationale de Negoce</v>
          </cell>
          <cell r="U1165" t="str">
            <v>52007Compagnie Internationale de NegoceScratch 2 000</v>
          </cell>
          <cell r="V1165" t="str">
            <v>39212Scratch 2 000</v>
          </cell>
          <cell r="W1165" t="str">
            <v>2007Compagnie Internationale de Negoce</v>
          </cell>
          <cell r="X1165" t="str">
            <v>2007Compagnie Internationale de NegoceScratch 2 000</v>
          </cell>
        </row>
        <row r="1166">
          <cell r="I1166">
            <v>2007</v>
          </cell>
          <cell r="J1166" t="str">
            <v>Compagnie Internationale de NegoceScratch 5 000</v>
          </cell>
          <cell r="L1166">
            <v>0</v>
          </cell>
          <cell r="M1166" t="str">
            <v>Compagnie Internationale de Negoce</v>
          </cell>
          <cell r="N1166" t="str">
            <v>Compagnie Internationale de NegoceScratch 5 000</v>
          </cell>
          <cell r="O1166" t="str">
            <v>Compagnie Internationale de Negoce</v>
          </cell>
          <cell r="P1166" t="str">
            <v>Scratch 5 000</v>
          </cell>
          <cell r="Q1166" t="str">
            <v>52007</v>
          </cell>
          <cell r="R1166" t="str">
            <v>52007Scratch 5 000</v>
          </cell>
          <cell r="S1166" t="str">
            <v>2007Scratch 5 000</v>
          </cell>
          <cell r="T1166" t="str">
            <v>52007Compagnie Internationale de Negoce</v>
          </cell>
          <cell r="U1166" t="str">
            <v>52007Compagnie Internationale de NegoceScratch 5 000</v>
          </cell>
          <cell r="V1166" t="str">
            <v>39212Scratch 5 000</v>
          </cell>
          <cell r="W1166" t="str">
            <v>2007Compagnie Internationale de Negoce</v>
          </cell>
          <cell r="X1166" t="str">
            <v>2007Compagnie Internationale de NegoceScratch 5 000</v>
          </cell>
        </row>
        <row r="1167">
          <cell r="I1167">
            <v>2007</v>
          </cell>
          <cell r="J1167" t="str">
            <v>Compagnie Internationale de NegoceScratch 20 000</v>
          </cell>
          <cell r="L1167">
            <v>0</v>
          </cell>
          <cell r="M1167" t="str">
            <v>Compagnie Internationale de Negoce</v>
          </cell>
          <cell r="N1167" t="str">
            <v>Compagnie Internationale de NegoceScratch 20 000</v>
          </cell>
          <cell r="O1167" t="str">
            <v>Compagnie Internationale de Negoce</v>
          </cell>
          <cell r="P1167" t="str">
            <v>Scratch 20 000</v>
          </cell>
          <cell r="Q1167" t="str">
            <v>52007</v>
          </cell>
          <cell r="R1167" t="str">
            <v>52007Scratch 20 000</v>
          </cell>
          <cell r="S1167" t="str">
            <v>2007Scratch 20 000</v>
          </cell>
          <cell r="T1167" t="str">
            <v>52007Compagnie Internationale de Negoce</v>
          </cell>
          <cell r="U1167" t="str">
            <v>52007Compagnie Internationale de NegoceScratch 20 000</v>
          </cell>
          <cell r="V1167" t="str">
            <v>39212Scratch 20 000</v>
          </cell>
          <cell r="W1167" t="str">
            <v>2007Compagnie Internationale de Negoce</v>
          </cell>
          <cell r="X1167" t="str">
            <v>2007Compagnie Internationale de NegoceScratch 20 000</v>
          </cell>
        </row>
        <row r="1168">
          <cell r="I1168">
            <v>2007</v>
          </cell>
          <cell r="J1168" t="str">
            <v>GEMATELScratch 1 000</v>
          </cell>
          <cell r="L1168">
            <v>1</v>
          </cell>
          <cell r="M1168" t="str">
            <v>1GEMATEL</v>
          </cell>
          <cell r="N1168" t="str">
            <v>GEMATELScratch 1 000</v>
          </cell>
          <cell r="O1168" t="str">
            <v>GEMATEL</v>
          </cell>
          <cell r="P1168" t="str">
            <v>Scratch 1 000</v>
          </cell>
          <cell r="Q1168" t="str">
            <v>52007</v>
          </cell>
          <cell r="R1168" t="str">
            <v>52007Scratch 1 000</v>
          </cell>
          <cell r="S1168" t="str">
            <v>2007Scratch 1 000</v>
          </cell>
          <cell r="T1168" t="str">
            <v>52007GEMATEL</v>
          </cell>
          <cell r="U1168" t="str">
            <v>52007GEMATELScratch 1 000</v>
          </cell>
          <cell r="V1168" t="str">
            <v>39212Scratch 1 000</v>
          </cell>
          <cell r="W1168" t="str">
            <v>2007GEMATEL</v>
          </cell>
          <cell r="X1168" t="str">
            <v>2007GEMATELScratch 1 000</v>
          </cell>
        </row>
        <row r="1169">
          <cell r="I1169">
            <v>2007</v>
          </cell>
          <cell r="J1169" t="str">
            <v>GEMATELScratch 2 000</v>
          </cell>
          <cell r="L1169">
            <v>0</v>
          </cell>
          <cell r="M1169" t="str">
            <v>GEMATEL</v>
          </cell>
          <cell r="N1169" t="str">
            <v>GEMATELScratch 2 000</v>
          </cell>
          <cell r="O1169" t="str">
            <v>GEMATEL</v>
          </cell>
          <cell r="P1169" t="str">
            <v>Scratch 2 000</v>
          </cell>
          <cell r="Q1169" t="str">
            <v>52007</v>
          </cell>
          <cell r="R1169" t="str">
            <v>52007Scratch 2 000</v>
          </cell>
          <cell r="S1169" t="str">
            <v>2007Scratch 2 000</v>
          </cell>
          <cell r="T1169" t="str">
            <v>52007GEMATEL</v>
          </cell>
          <cell r="U1169" t="str">
            <v>52007GEMATELScratch 2 000</v>
          </cell>
          <cell r="V1169" t="str">
            <v>39212Scratch 2 000</v>
          </cell>
          <cell r="W1169" t="str">
            <v>2007GEMATEL</v>
          </cell>
          <cell r="X1169" t="str">
            <v>2007GEMATELScratch 2 000</v>
          </cell>
        </row>
        <row r="1170">
          <cell r="I1170">
            <v>2007</v>
          </cell>
          <cell r="J1170" t="str">
            <v>GEMATELScratch 5 000</v>
          </cell>
          <cell r="L1170">
            <v>0</v>
          </cell>
          <cell r="M1170" t="str">
            <v>GEMATEL</v>
          </cell>
          <cell r="N1170" t="str">
            <v>GEMATELScratch 5 000</v>
          </cell>
          <cell r="O1170" t="str">
            <v>GEMATEL</v>
          </cell>
          <cell r="P1170" t="str">
            <v>Scratch 5 000</v>
          </cell>
          <cell r="Q1170" t="str">
            <v>52007</v>
          </cell>
          <cell r="R1170" t="str">
            <v>52007Scratch 5 000</v>
          </cell>
          <cell r="S1170" t="str">
            <v>2007Scratch 5 000</v>
          </cell>
          <cell r="T1170" t="str">
            <v>52007GEMATEL</v>
          </cell>
          <cell r="U1170" t="str">
            <v>52007GEMATELScratch 5 000</v>
          </cell>
          <cell r="V1170" t="str">
            <v>39212Scratch 5 000</v>
          </cell>
          <cell r="W1170" t="str">
            <v>2007GEMATEL</v>
          </cell>
          <cell r="X1170" t="str">
            <v>2007GEMATELScratch 5 000</v>
          </cell>
        </row>
        <row r="1171">
          <cell r="I1171">
            <v>2007</v>
          </cell>
          <cell r="J1171" t="str">
            <v>GEMATELScratch 10 000</v>
          </cell>
          <cell r="L1171">
            <v>0</v>
          </cell>
          <cell r="M1171" t="str">
            <v>GEMATEL</v>
          </cell>
          <cell r="N1171" t="str">
            <v>GEMATELScratch 10 000</v>
          </cell>
          <cell r="O1171" t="str">
            <v>GEMATEL</v>
          </cell>
          <cell r="P1171" t="str">
            <v>Scratch 10 000</v>
          </cell>
          <cell r="Q1171" t="str">
            <v>52007</v>
          </cell>
          <cell r="R1171" t="str">
            <v>52007Scratch 10 000</v>
          </cell>
          <cell r="S1171" t="str">
            <v>2007Scratch 10 000</v>
          </cell>
          <cell r="T1171" t="str">
            <v>52007GEMATEL</v>
          </cell>
          <cell r="U1171" t="str">
            <v>52007GEMATELScratch 10 000</v>
          </cell>
          <cell r="V1171" t="str">
            <v>39212Scratch 10 000</v>
          </cell>
          <cell r="W1171" t="str">
            <v>2007GEMATEL</v>
          </cell>
          <cell r="X1171" t="str">
            <v>2007GEMATELScratch 10 000</v>
          </cell>
        </row>
        <row r="1172">
          <cell r="I1172">
            <v>2007</v>
          </cell>
          <cell r="J1172" t="str">
            <v>GEMATELScratch 20 000</v>
          </cell>
          <cell r="L1172">
            <v>0</v>
          </cell>
          <cell r="M1172" t="str">
            <v>GEMATEL</v>
          </cell>
          <cell r="N1172" t="str">
            <v>GEMATELScratch 20 000</v>
          </cell>
          <cell r="O1172" t="str">
            <v>GEMATEL</v>
          </cell>
          <cell r="P1172" t="str">
            <v>Scratch 20 000</v>
          </cell>
          <cell r="Q1172" t="str">
            <v>52007</v>
          </cell>
          <cell r="R1172" t="str">
            <v>52007Scratch 20 000</v>
          </cell>
          <cell r="S1172" t="str">
            <v>2007Scratch 20 000</v>
          </cell>
          <cell r="T1172" t="str">
            <v>52007GEMATEL</v>
          </cell>
          <cell r="U1172" t="str">
            <v>52007GEMATELScratch 20 000</v>
          </cell>
          <cell r="V1172" t="str">
            <v>39212Scratch 20 000</v>
          </cell>
          <cell r="W1172" t="str">
            <v>2007GEMATEL</v>
          </cell>
          <cell r="X1172" t="str">
            <v>2007GEMATELScratch 20 000</v>
          </cell>
        </row>
        <row r="1173">
          <cell r="I1173">
            <v>2007</v>
          </cell>
          <cell r="J1173" t="str">
            <v>GEMATELScratch 1 000</v>
          </cell>
          <cell r="L1173">
            <v>1</v>
          </cell>
          <cell r="M1173" t="str">
            <v>1GEMATEL</v>
          </cell>
          <cell r="N1173" t="str">
            <v>GEMATELScratch 1 000</v>
          </cell>
          <cell r="O1173" t="str">
            <v>GEMATEL</v>
          </cell>
          <cell r="P1173" t="str">
            <v>Scratch 1 000</v>
          </cell>
          <cell r="Q1173" t="str">
            <v>52007</v>
          </cell>
          <cell r="R1173" t="str">
            <v>52007Scratch 1 000</v>
          </cell>
          <cell r="S1173" t="str">
            <v>2007Scratch 1 000</v>
          </cell>
          <cell r="T1173" t="str">
            <v>52007GEMATEL</v>
          </cell>
          <cell r="U1173" t="str">
            <v>52007GEMATELScratch 1 000</v>
          </cell>
          <cell r="V1173" t="str">
            <v>39212Scratch 1 000</v>
          </cell>
          <cell r="W1173" t="str">
            <v>2007GEMATEL</v>
          </cell>
          <cell r="X1173" t="str">
            <v>2007GEMATELScratch 1 000</v>
          </cell>
        </row>
        <row r="1174">
          <cell r="I1174">
            <v>2007</v>
          </cell>
          <cell r="J1174" t="str">
            <v>GEMATELScratch 2 000</v>
          </cell>
          <cell r="L1174">
            <v>0</v>
          </cell>
          <cell r="M1174" t="str">
            <v>GEMATEL</v>
          </cell>
          <cell r="N1174" t="str">
            <v>GEMATELScratch 2 000</v>
          </cell>
          <cell r="O1174" t="str">
            <v>GEMATEL</v>
          </cell>
          <cell r="P1174" t="str">
            <v>Scratch 2 000</v>
          </cell>
          <cell r="Q1174" t="str">
            <v>52007</v>
          </cell>
          <cell r="R1174" t="str">
            <v>52007Scratch 2 000</v>
          </cell>
          <cell r="S1174" t="str">
            <v>2007Scratch 2 000</v>
          </cell>
          <cell r="T1174" t="str">
            <v>52007GEMATEL</v>
          </cell>
          <cell r="U1174" t="str">
            <v>52007GEMATELScratch 2 000</v>
          </cell>
          <cell r="V1174" t="str">
            <v>39212Scratch 2 000</v>
          </cell>
          <cell r="W1174" t="str">
            <v>2007GEMATEL</v>
          </cell>
          <cell r="X1174" t="str">
            <v>2007GEMATELScratch 2 000</v>
          </cell>
        </row>
        <row r="1175">
          <cell r="I1175">
            <v>2007</v>
          </cell>
          <cell r="J1175" t="str">
            <v>GEMATELScratch 5 000</v>
          </cell>
          <cell r="L1175">
            <v>0</v>
          </cell>
          <cell r="M1175" t="str">
            <v>GEMATEL</v>
          </cell>
          <cell r="N1175" t="str">
            <v>GEMATELScratch 5 000</v>
          </cell>
          <cell r="O1175" t="str">
            <v>GEMATEL</v>
          </cell>
          <cell r="P1175" t="str">
            <v>Scratch 5 000</v>
          </cell>
          <cell r="Q1175" t="str">
            <v>52007</v>
          </cell>
          <cell r="R1175" t="str">
            <v>52007Scratch 5 000</v>
          </cell>
          <cell r="S1175" t="str">
            <v>2007Scratch 5 000</v>
          </cell>
          <cell r="T1175" t="str">
            <v>52007GEMATEL</v>
          </cell>
          <cell r="U1175" t="str">
            <v>52007GEMATELScratch 5 000</v>
          </cell>
          <cell r="V1175" t="str">
            <v>39212Scratch 5 000</v>
          </cell>
          <cell r="W1175" t="str">
            <v>2007GEMATEL</v>
          </cell>
          <cell r="X1175" t="str">
            <v>2007GEMATELScratch 5 000</v>
          </cell>
        </row>
        <row r="1176">
          <cell r="I1176">
            <v>2007</v>
          </cell>
          <cell r="J1176" t="str">
            <v>GEMATELScratch 20 000</v>
          </cell>
          <cell r="L1176">
            <v>0</v>
          </cell>
          <cell r="M1176" t="str">
            <v>GEMATEL</v>
          </cell>
          <cell r="N1176" t="str">
            <v>GEMATELScratch 20 000</v>
          </cell>
          <cell r="O1176" t="str">
            <v>GEMATEL</v>
          </cell>
          <cell r="P1176" t="str">
            <v>Scratch 20 000</v>
          </cell>
          <cell r="Q1176" t="str">
            <v>52007</v>
          </cell>
          <cell r="R1176" t="str">
            <v>52007Scratch 20 000</v>
          </cell>
          <cell r="S1176" t="str">
            <v>2007Scratch 20 000</v>
          </cell>
          <cell r="T1176" t="str">
            <v>52007GEMATEL</v>
          </cell>
          <cell r="U1176" t="str">
            <v>52007GEMATELScratch 20 000</v>
          </cell>
          <cell r="V1176" t="str">
            <v>39212Scratch 20 000</v>
          </cell>
          <cell r="W1176" t="str">
            <v>2007GEMATEL</v>
          </cell>
          <cell r="X1176" t="str">
            <v>2007GEMATELScratch 20 000</v>
          </cell>
        </row>
        <row r="1177">
          <cell r="I1177">
            <v>2007</v>
          </cell>
          <cell r="J1177" t="str">
            <v>ANKA ServicesScratch 1 000</v>
          </cell>
          <cell r="L1177">
            <v>1</v>
          </cell>
          <cell r="M1177" t="str">
            <v>1ANKA Services</v>
          </cell>
          <cell r="N1177" t="str">
            <v>ANKA ServicesScratch 1 000</v>
          </cell>
          <cell r="O1177" t="str">
            <v>ANKA Services</v>
          </cell>
          <cell r="P1177" t="str">
            <v>Scratch 1 000</v>
          </cell>
          <cell r="Q1177" t="str">
            <v>52007</v>
          </cell>
          <cell r="R1177" t="str">
            <v>52007Scratch 1 000</v>
          </cell>
          <cell r="S1177" t="str">
            <v>2007Scratch 1 000</v>
          </cell>
          <cell r="T1177" t="str">
            <v>52007ANKA Services</v>
          </cell>
          <cell r="U1177" t="str">
            <v>52007ANKA ServicesScratch 1 000</v>
          </cell>
          <cell r="V1177" t="str">
            <v>39212Scratch 1 000</v>
          </cell>
          <cell r="W1177" t="str">
            <v>2007ANKA Services</v>
          </cell>
          <cell r="X1177" t="str">
            <v>2007ANKA ServicesScratch 1 000</v>
          </cell>
        </row>
        <row r="1178">
          <cell r="I1178">
            <v>2007</v>
          </cell>
          <cell r="J1178" t="str">
            <v>ANKA ServicesScratch 2 000</v>
          </cell>
          <cell r="L1178">
            <v>0</v>
          </cell>
          <cell r="M1178" t="str">
            <v>ANKA Services</v>
          </cell>
          <cell r="N1178" t="str">
            <v>ANKA ServicesScratch 2 000</v>
          </cell>
          <cell r="O1178" t="str">
            <v>ANKA Services</v>
          </cell>
          <cell r="P1178" t="str">
            <v>Scratch 2 000</v>
          </cell>
          <cell r="Q1178" t="str">
            <v>52007</v>
          </cell>
          <cell r="R1178" t="str">
            <v>52007Scratch 2 000</v>
          </cell>
          <cell r="S1178" t="str">
            <v>2007Scratch 2 000</v>
          </cell>
          <cell r="T1178" t="str">
            <v>52007ANKA Services</v>
          </cell>
          <cell r="U1178" t="str">
            <v>52007ANKA ServicesScratch 2 000</v>
          </cell>
          <cell r="V1178" t="str">
            <v>39212Scratch 2 000</v>
          </cell>
          <cell r="W1178" t="str">
            <v>2007ANKA Services</v>
          </cell>
          <cell r="X1178" t="str">
            <v>2007ANKA ServicesScratch 2 000</v>
          </cell>
        </row>
        <row r="1179">
          <cell r="I1179">
            <v>2007</v>
          </cell>
          <cell r="J1179" t="str">
            <v>ANKA ServicesScratch 5 000</v>
          </cell>
          <cell r="L1179">
            <v>0</v>
          </cell>
          <cell r="M1179" t="str">
            <v>ANKA Services</v>
          </cell>
          <cell r="N1179" t="str">
            <v>ANKA ServicesScratch 5 000</v>
          </cell>
          <cell r="O1179" t="str">
            <v>ANKA Services</v>
          </cell>
          <cell r="P1179" t="str">
            <v>Scratch 5 000</v>
          </cell>
          <cell r="Q1179" t="str">
            <v>52007</v>
          </cell>
          <cell r="R1179" t="str">
            <v>52007Scratch 5 000</v>
          </cell>
          <cell r="S1179" t="str">
            <v>2007Scratch 5 000</v>
          </cell>
          <cell r="T1179" t="str">
            <v>52007ANKA Services</v>
          </cell>
          <cell r="U1179" t="str">
            <v>52007ANKA ServicesScratch 5 000</v>
          </cell>
          <cell r="V1179" t="str">
            <v>39212Scratch 5 000</v>
          </cell>
          <cell r="W1179" t="str">
            <v>2007ANKA Services</v>
          </cell>
          <cell r="X1179" t="str">
            <v>2007ANKA ServicesScratch 5 000</v>
          </cell>
        </row>
        <row r="1180">
          <cell r="I1180">
            <v>2007</v>
          </cell>
          <cell r="J1180" t="str">
            <v>ANKA ServicesScratch 10 000</v>
          </cell>
          <cell r="L1180">
            <v>0</v>
          </cell>
          <cell r="M1180" t="str">
            <v>ANKA Services</v>
          </cell>
          <cell r="N1180" t="str">
            <v>ANKA ServicesScratch 10 000</v>
          </cell>
          <cell r="O1180" t="str">
            <v>ANKA Services</v>
          </cell>
          <cell r="P1180" t="str">
            <v>Scratch 10 000</v>
          </cell>
          <cell r="Q1180" t="str">
            <v>52007</v>
          </cell>
          <cell r="R1180" t="str">
            <v>52007Scratch 10 000</v>
          </cell>
          <cell r="S1180" t="str">
            <v>2007Scratch 10 000</v>
          </cell>
          <cell r="T1180" t="str">
            <v>52007ANKA Services</v>
          </cell>
          <cell r="U1180" t="str">
            <v>52007ANKA ServicesScratch 10 000</v>
          </cell>
          <cell r="V1180" t="str">
            <v>39212Scratch 10 000</v>
          </cell>
          <cell r="W1180" t="str">
            <v>2007ANKA Services</v>
          </cell>
          <cell r="X1180" t="str">
            <v>2007ANKA ServicesScratch 10 000</v>
          </cell>
        </row>
        <row r="1181">
          <cell r="I1181">
            <v>2007</v>
          </cell>
          <cell r="J1181" t="str">
            <v>ANKA ServicesScratch 20 000</v>
          </cell>
          <cell r="L1181">
            <v>0</v>
          </cell>
          <cell r="M1181" t="str">
            <v>ANKA Services</v>
          </cell>
          <cell r="N1181" t="str">
            <v>ANKA ServicesScratch 20 000</v>
          </cell>
          <cell r="O1181" t="str">
            <v>ANKA Services</v>
          </cell>
          <cell r="P1181" t="str">
            <v>Scratch 20 000</v>
          </cell>
          <cell r="Q1181" t="str">
            <v>52007</v>
          </cell>
          <cell r="R1181" t="str">
            <v>52007Scratch 20 000</v>
          </cell>
          <cell r="S1181" t="str">
            <v>2007Scratch 20 000</v>
          </cell>
          <cell r="T1181" t="str">
            <v>52007ANKA Services</v>
          </cell>
          <cell r="U1181" t="str">
            <v>52007ANKA ServicesScratch 20 000</v>
          </cell>
          <cell r="V1181" t="str">
            <v>39212Scratch 20 000</v>
          </cell>
          <cell r="W1181" t="str">
            <v>2007ANKA Services</v>
          </cell>
          <cell r="X1181" t="str">
            <v>2007ANKA ServicesScratch 20 000</v>
          </cell>
        </row>
        <row r="1182">
          <cell r="I1182">
            <v>2007</v>
          </cell>
          <cell r="J1182" t="str">
            <v>ETS Boubacar TANDIAScratch 1 000</v>
          </cell>
          <cell r="L1182">
            <v>1</v>
          </cell>
          <cell r="M1182" t="str">
            <v>1ETS Boubacar TANDIA</v>
          </cell>
          <cell r="N1182" t="str">
            <v>ETS Boubacar TANDIAScratch 1 000</v>
          </cell>
          <cell r="O1182" t="str">
            <v>ETS Boubacar TANDIA</v>
          </cell>
          <cell r="P1182" t="str">
            <v>Scratch 1 000</v>
          </cell>
          <cell r="Q1182" t="str">
            <v>52007</v>
          </cell>
          <cell r="R1182" t="str">
            <v>52007Scratch 1 000</v>
          </cell>
          <cell r="S1182" t="str">
            <v>2007Scratch 1 000</v>
          </cell>
          <cell r="T1182" t="str">
            <v>52007ETS Boubacar TANDIA</v>
          </cell>
          <cell r="U1182" t="str">
            <v>52007ETS Boubacar TANDIAScratch 1 000</v>
          </cell>
          <cell r="V1182" t="str">
            <v>39213Scratch 1 000</v>
          </cell>
          <cell r="W1182" t="str">
            <v>2007ETS Boubacar TANDIA</v>
          </cell>
          <cell r="X1182" t="str">
            <v>2007ETS Boubacar TANDIAScratch 1 000</v>
          </cell>
        </row>
        <row r="1183">
          <cell r="I1183">
            <v>2007</v>
          </cell>
          <cell r="J1183" t="str">
            <v>ETS Boubacar TANDIAScratch 2 000</v>
          </cell>
          <cell r="L1183">
            <v>0</v>
          </cell>
          <cell r="M1183" t="str">
            <v>ETS Boubacar TANDIA</v>
          </cell>
          <cell r="N1183" t="str">
            <v>ETS Boubacar TANDIAScratch 2 000</v>
          </cell>
          <cell r="O1183" t="str">
            <v>ETS Boubacar TANDIA</v>
          </cell>
          <cell r="P1183" t="str">
            <v>Scratch 2 000</v>
          </cell>
          <cell r="Q1183" t="str">
            <v>52007</v>
          </cell>
          <cell r="R1183" t="str">
            <v>52007Scratch 2 000</v>
          </cell>
          <cell r="S1183" t="str">
            <v>2007Scratch 2 000</v>
          </cell>
          <cell r="T1183" t="str">
            <v>52007ETS Boubacar TANDIA</v>
          </cell>
          <cell r="U1183" t="str">
            <v>52007ETS Boubacar TANDIAScratch 2 000</v>
          </cell>
          <cell r="V1183" t="str">
            <v>39213Scratch 2 000</v>
          </cell>
          <cell r="W1183" t="str">
            <v>2007ETS Boubacar TANDIA</v>
          </cell>
          <cell r="X1183" t="str">
            <v>2007ETS Boubacar TANDIAScratch 2 000</v>
          </cell>
        </row>
        <row r="1184">
          <cell r="I1184">
            <v>2007</v>
          </cell>
          <cell r="J1184" t="str">
            <v>ETS Boubacar TANDIAScratch 5 000</v>
          </cell>
          <cell r="L1184">
            <v>0</v>
          </cell>
          <cell r="M1184" t="str">
            <v>ETS Boubacar TANDIA</v>
          </cell>
          <cell r="N1184" t="str">
            <v>ETS Boubacar TANDIAScratch 5 000</v>
          </cell>
          <cell r="O1184" t="str">
            <v>ETS Boubacar TANDIA</v>
          </cell>
          <cell r="P1184" t="str">
            <v>Scratch 5 000</v>
          </cell>
          <cell r="Q1184" t="str">
            <v>52007</v>
          </cell>
          <cell r="R1184" t="str">
            <v>52007Scratch 5 000</v>
          </cell>
          <cell r="S1184" t="str">
            <v>2007Scratch 5 000</v>
          </cell>
          <cell r="T1184" t="str">
            <v>52007ETS Boubacar TANDIA</v>
          </cell>
          <cell r="U1184" t="str">
            <v>52007ETS Boubacar TANDIAScratch 5 000</v>
          </cell>
          <cell r="V1184" t="str">
            <v>39213Scratch 5 000</v>
          </cell>
          <cell r="W1184" t="str">
            <v>2007ETS Boubacar TANDIA</v>
          </cell>
          <cell r="X1184" t="str">
            <v>2007ETS Boubacar TANDIAScratch 5 000</v>
          </cell>
        </row>
        <row r="1185">
          <cell r="I1185">
            <v>2007</v>
          </cell>
          <cell r="J1185" t="str">
            <v>ETS Boubacar TANDIAScratch 20 000</v>
          </cell>
          <cell r="L1185">
            <v>0</v>
          </cell>
          <cell r="M1185" t="str">
            <v>ETS Boubacar TANDIA</v>
          </cell>
          <cell r="N1185" t="str">
            <v>ETS Boubacar TANDIAScratch 20 000</v>
          </cell>
          <cell r="O1185" t="str">
            <v>ETS Boubacar TANDIA</v>
          </cell>
          <cell r="P1185" t="str">
            <v>Scratch 20 000</v>
          </cell>
          <cell r="Q1185" t="str">
            <v>52007</v>
          </cell>
          <cell r="R1185" t="str">
            <v>52007Scratch 20 000</v>
          </cell>
          <cell r="S1185" t="str">
            <v>2007Scratch 20 000</v>
          </cell>
          <cell r="T1185" t="str">
            <v>52007ETS Boubacar TANDIA</v>
          </cell>
          <cell r="U1185" t="str">
            <v>52007ETS Boubacar TANDIAScratch 20 000</v>
          </cell>
          <cell r="V1185" t="str">
            <v>39213Scratch 20 000</v>
          </cell>
          <cell r="W1185" t="str">
            <v>2007ETS Boubacar TANDIA</v>
          </cell>
          <cell r="X1185" t="str">
            <v>2007ETS Boubacar TANDIAScratch 20 000</v>
          </cell>
        </row>
        <row r="1186">
          <cell r="I1186">
            <v>2007</v>
          </cell>
          <cell r="J1186" t="str">
            <v>GEMATELScratch 1 000</v>
          </cell>
          <cell r="L1186">
            <v>1</v>
          </cell>
          <cell r="M1186" t="str">
            <v>1GEMATEL</v>
          </cell>
          <cell r="N1186" t="str">
            <v>GEMATELScratch 1 000</v>
          </cell>
          <cell r="O1186" t="str">
            <v>GEMATEL</v>
          </cell>
          <cell r="P1186" t="str">
            <v>Scratch 1 000</v>
          </cell>
          <cell r="Q1186" t="str">
            <v>52007</v>
          </cell>
          <cell r="R1186" t="str">
            <v>52007Scratch 1 000</v>
          </cell>
          <cell r="S1186" t="str">
            <v>2007Scratch 1 000</v>
          </cell>
          <cell r="T1186" t="str">
            <v>52007GEMATEL</v>
          </cell>
          <cell r="U1186" t="str">
            <v>52007GEMATELScratch 1 000</v>
          </cell>
          <cell r="V1186" t="str">
            <v>39213Scratch 1 000</v>
          </cell>
          <cell r="W1186" t="str">
            <v>2007GEMATEL</v>
          </cell>
          <cell r="X1186" t="str">
            <v>2007GEMATELScratch 1 000</v>
          </cell>
        </row>
        <row r="1187">
          <cell r="I1187">
            <v>2007</v>
          </cell>
          <cell r="J1187" t="str">
            <v>GEMATELScratch 5 000</v>
          </cell>
          <cell r="L1187">
            <v>0</v>
          </cell>
          <cell r="M1187" t="str">
            <v>GEMATEL</v>
          </cell>
          <cell r="N1187" t="str">
            <v>GEMATELScratch 5 000</v>
          </cell>
          <cell r="O1187" t="str">
            <v>GEMATEL</v>
          </cell>
          <cell r="P1187" t="str">
            <v>Scratch 5 000</v>
          </cell>
          <cell r="Q1187" t="str">
            <v>52007</v>
          </cell>
          <cell r="R1187" t="str">
            <v>52007Scratch 5 000</v>
          </cell>
          <cell r="S1187" t="str">
            <v>2007Scratch 5 000</v>
          </cell>
          <cell r="T1187" t="str">
            <v>52007GEMATEL</v>
          </cell>
          <cell r="U1187" t="str">
            <v>52007GEMATELScratch 5 000</v>
          </cell>
          <cell r="V1187" t="str">
            <v>39213Scratch 5 000</v>
          </cell>
          <cell r="W1187" t="str">
            <v>2007GEMATEL</v>
          </cell>
          <cell r="X1187" t="str">
            <v>2007GEMATELScratch 5 000</v>
          </cell>
        </row>
        <row r="1188">
          <cell r="I1188">
            <v>2007</v>
          </cell>
          <cell r="J1188" t="str">
            <v>ANKA ServicesScratch 1 000</v>
          </cell>
          <cell r="L1188">
            <v>1</v>
          </cell>
          <cell r="M1188" t="str">
            <v>1ANKA Services</v>
          </cell>
          <cell r="N1188" t="str">
            <v>ANKA ServicesScratch 1 000</v>
          </cell>
          <cell r="O1188" t="str">
            <v>ANKA Services</v>
          </cell>
          <cell r="P1188" t="str">
            <v>Scratch 1 000</v>
          </cell>
          <cell r="Q1188" t="str">
            <v>52007</v>
          </cell>
          <cell r="R1188" t="str">
            <v>52007Scratch 1 000</v>
          </cell>
          <cell r="S1188" t="str">
            <v>2007Scratch 1 000</v>
          </cell>
          <cell r="T1188" t="str">
            <v>52007ANKA Services</v>
          </cell>
          <cell r="U1188" t="str">
            <v>52007ANKA ServicesScratch 1 000</v>
          </cell>
          <cell r="V1188" t="str">
            <v>39213Scratch 1 000</v>
          </cell>
          <cell r="W1188" t="str">
            <v>2007ANKA Services</v>
          </cell>
          <cell r="X1188" t="str">
            <v>2007ANKA ServicesScratch 1 000</v>
          </cell>
        </row>
        <row r="1189">
          <cell r="I1189">
            <v>2007</v>
          </cell>
          <cell r="J1189" t="str">
            <v>ANKA ServicesScratch 2 000</v>
          </cell>
          <cell r="L1189">
            <v>0</v>
          </cell>
          <cell r="M1189" t="str">
            <v>ANKA Services</v>
          </cell>
          <cell r="N1189" t="str">
            <v>ANKA ServicesScratch 2 000</v>
          </cell>
          <cell r="O1189" t="str">
            <v>ANKA Services</v>
          </cell>
          <cell r="P1189" t="str">
            <v>Scratch 2 000</v>
          </cell>
          <cell r="Q1189" t="str">
            <v>52007</v>
          </cell>
          <cell r="R1189" t="str">
            <v>52007Scratch 2 000</v>
          </cell>
          <cell r="S1189" t="str">
            <v>2007Scratch 2 000</v>
          </cell>
          <cell r="T1189" t="str">
            <v>52007ANKA Services</v>
          </cell>
          <cell r="U1189" t="str">
            <v>52007ANKA ServicesScratch 2 000</v>
          </cell>
          <cell r="V1189" t="str">
            <v>39213Scratch 2 000</v>
          </cell>
          <cell r="W1189" t="str">
            <v>2007ANKA Services</v>
          </cell>
          <cell r="X1189" t="str">
            <v>2007ANKA ServicesScratch 2 000</v>
          </cell>
        </row>
        <row r="1190">
          <cell r="I1190">
            <v>2007</v>
          </cell>
          <cell r="J1190" t="str">
            <v>ANKA ServicesScratch 5 000</v>
          </cell>
          <cell r="L1190">
            <v>0</v>
          </cell>
          <cell r="M1190" t="str">
            <v>ANKA Services</v>
          </cell>
          <cell r="N1190" t="str">
            <v>ANKA ServicesScratch 5 000</v>
          </cell>
          <cell r="O1190" t="str">
            <v>ANKA Services</v>
          </cell>
          <cell r="P1190" t="str">
            <v>Scratch 5 000</v>
          </cell>
          <cell r="Q1190" t="str">
            <v>52007</v>
          </cell>
          <cell r="R1190" t="str">
            <v>52007Scratch 5 000</v>
          </cell>
          <cell r="S1190" t="str">
            <v>2007Scratch 5 000</v>
          </cell>
          <cell r="T1190" t="str">
            <v>52007ANKA Services</v>
          </cell>
          <cell r="U1190" t="str">
            <v>52007ANKA ServicesScratch 5 000</v>
          </cell>
          <cell r="V1190" t="str">
            <v>39213Scratch 5 000</v>
          </cell>
          <cell r="W1190" t="str">
            <v>2007ANKA Services</v>
          </cell>
          <cell r="X1190" t="str">
            <v>2007ANKA ServicesScratch 5 000</v>
          </cell>
        </row>
        <row r="1191">
          <cell r="I1191">
            <v>2007</v>
          </cell>
          <cell r="J1191" t="str">
            <v>ANKA ServicesScratch 20 000</v>
          </cell>
          <cell r="L1191">
            <v>0</v>
          </cell>
          <cell r="M1191" t="str">
            <v>ANKA Services</v>
          </cell>
          <cell r="N1191" t="str">
            <v>ANKA ServicesScratch 20 000</v>
          </cell>
          <cell r="O1191" t="str">
            <v>ANKA Services</v>
          </cell>
          <cell r="P1191" t="str">
            <v>Scratch 20 000</v>
          </cell>
          <cell r="Q1191" t="str">
            <v>52007</v>
          </cell>
          <cell r="R1191" t="str">
            <v>52007Scratch 20 000</v>
          </cell>
          <cell r="S1191" t="str">
            <v>2007Scratch 20 000</v>
          </cell>
          <cell r="T1191" t="str">
            <v>52007ANKA Services</v>
          </cell>
          <cell r="U1191" t="str">
            <v>52007ANKA ServicesScratch 20 000</v>
          </cell>
          <cell r="V1191" t="str">
            <v>39213Scratch 20 000</v>
          </cell>
          <cell r="W1191" t="str">
            <v>2007ANKA Services</v>
          </cell>
          <cell r="X1191" t="str">
            <v>2007ANKA ServicesScratch 20 000</v>
          </cell>
        </row>
        <row r="1192">
          <cell r="I1192">
            <v>2007</v>
          </cell>
          <cell r="J1192" t="str">
            <v>Ets Mamadou GAMBYScratch 1 000</v>
          </cell>
          <cell r="L1192">
            <v>1</v>
          </cell>
          <cell r="M1192" t="str">
            <v>1Ets Mamadou GAMBY</v>
          </cell>
          <cell r="N1192" t="str">
            <v>Ets Mamadou GAMBYScratch 1 000</v>
          </cell>
          <cell r="O1192" t="str">
            <v>Ets Mamadou GAMBY</v>
          </cell>
          <cell r="P1192" t="str">
            <v>Scratch 1 000</v>
          </cell>
          <cell r="Q1192" t="str">
            <v>52007</v>
          </cell>
          <cell r="R1192" t="str">
            <v>52007Scratch 1 000</v>
          </cell>
          <cell r="S1192" t="str">
            <v>2007Scratch 1 000</v>
          </cell>
          <cell r="T1192" t="str">
            <v>52007Ets Mamadou GAMBY</v>
          </cell>
          <cell r="U1192" t="str">
            <v>52007Ets Mamadou GAMBYScratch 1 000</v>
          </cell>
          <cell r="V1192" t="str">
            <v>39216Scratch 1 000</v>
          </cell>
          <cell r="W1192" t="str">
            <v>2007Ets Mamadou GAMBY</v>
          </cell>
          <cell r="X1192" t="str">
            <v>2007Ets Mamadou GAMBYScratch 1 000</v>
          </cell>
        </row>
        <row r="1193">
          <cell r="I1193">
            <v>2007</v>
          </cell>
          <cell r="J1193" t="str">
            <v>Ets Mamadou GAMBYScratch 2 000</v>
          </cell>
          <cell r="L1193">
            <v>0</v>
          </cell>
          <cell r="M1193" t="str">
            <v>Ets Mamadou GAMBY</v>
          </cell>
          <cell r="N1193" t="str">
            <v>Ets Mamadou GAMBYScratch 2 000</v>
          </cell>
          <cell r="O1193" t="str">
            <v>Ets Mamadou GAMBY</v>
          </cell>
          <cell r="P1193" t="str">
            <v>Scratch 2 000</v>
          </cell>
          <cell r="Q1193" t="str">
            <v>52007</v>
          </cell>
          <cell r="R1193" t="str">
            <v>52007Scratch 2 000</v>
          </cell>
          <cell r="S1193" t="str">
            <v>2007Scratch 2 000</v>
          </cell>
          <cell r="T1193" t="str">
            <v>52007Ets Mamadou GAMBY</v>
          </cell>
          <cell r="U1193" t="str">
            <v>52007Ets Mamadou GAMBYScratch 2 000</v>
          </cell>
          <cell r="V1193" t="str">
            <v>39216Scratch 2 000</v>
          </cell>
          <cell r="W1193" t="str">
            <v>2007Ets Mamadou GAMBY</v>
          </cell>
          <cell r="X1193" t="str">
            <v>2007Ets Mamadou GAMBYScratch 2 000</v>
          </cell>
        </row>
        <row r="1194">
          <cell r="I1194">
            <v>2007</v>
          </cell>
          <cell r="J1194" t="str">
            <v>Ets Mamadou GAMBYScratch 5 000</v>
          </cell>
          <cell r="L1194">
            <v>0</v>
          </cell>
          <cell r="M1194" t="str">
            <v>Ets Mamadou GAMBY</v>
          </cell>
          <cell r="N1194" t="str">
            <v>Ets Mamadou GAMBYScratch 5 000</v>
          </cell>
          <cell r="O1194" t="str">
            <v>Ets Mamadou GAMBY</v>
          </cell>
          <cell r="P1194" t="str">
            <v>Scratch 5 000</v>
          </cell>
          <cell r="Q1194" t="str">
            <v>52007</v>
          </cell>
          <cell r="R1194" t="str">
            <v>52007Scratch 5 000</v>
          </cell>
          <cell r="S1194" t="str">
            <v>2007Scratch 5 000</v>
          </cell>
          <cell r="T1194" t="str">
            <v>52007Ets Mamadou GAMBY</v>
          </cell>
          <cell r="U1194" t="str">
            <v>52007Ets Mamadou GAMBYScratch 5 000</v>
          </cell>
          <cell r="V1194" t="str">
            <v>39216Scratch 5 000</v>
          </cell>
          <cell r="W1194" t="str">
            <v>2007Ets Mamadou GAMBY</v>
          </cell>
          <cell r="X1194" t="str">
            <v>2007Ets Mamadou GAMBYScratch 5 000</v>
          </cell>
        </row>
        <row r="1195">
          <cell r="I1195">
            <v>2007</v>
          </cell>
          <cell r="J1195" t="str">
            <v>MALI COM SarlScratch 1 000</v>
          </cell>
          <cell r="L1195">
            <v>1</v>
          </cell>
          <cell r="M1195" t="str">
            <v>1MALI COM Sarl</v>
          </cell>
          <cell r="N1195" t="str">
            <v>MALI COM SarlScratch 1 000</v>
          </cell>
          <cell r="O1195" t="str">
            <v>MALI COM Sarl</v>
          </cell>
          <cell r="P1195" t="str">
            <v>Scratch 1 000</v>
          </cell>
          <cell r="Q1195" t="str">
            <v>52007</v>
          </cell>
          <cell r="R1195" t="str">
            <v>52007Scratch 1 000</v>
          </cell>
          <cell r="S1195" t="str">
            <v>2007Scratch 1 000</v>
          </cell>
          <cell r="T1195" t="str">
            <v>52007MALI COM Sarl</v>
          </cell>
          <cell r="U1195" t="str">
            <v>52007MALI COM SarlScratch 1 000</v>
          </cell>
          <cell r="V1195" t="str">
            <v>39216Scratch 1 000</v>
          </cell>
          <cell r="W1195" t="str">
            <v>2007MALI COM Sarl</v>
          </cell>
          <cell r="X1195" t="str">
            <v>2007MALI COM SarlScratch 1 000</v>
          </cell>
        </row>
        <row r="1196">
          <cell r="I1196">
            <v>2007</v>
          </cell>
          <cell r="J1196" t="str">
            <v>MALI COM SarlScratch 2 000</v>
          </cell>
          <cell r="L1196">
            <v>0</v>
          </cell>
          <cell r="M1196" t="str">
            <v>MALI COM Sarl</v>
          </cell>
          <cell r="N1196" t="str">
            <v>MALI COM SarlScratch 2 000</v>
          </cell>
          <cell r="O1196" t="str">
            <v>MALI COM Sarl</v>
          </cell>
          <cell r="P1196" t="str">
            <v>Scratch 2 000</v>
          </cell>
          <cell r="Q1196" t="str">
            <v>52007</v>
          </cell>
          <cell r="R1196" t="str">
            <v>52007Scratch 2 000</v>
          </cell>
          <cell r="S1196" t="str">
            <v>2007Scratch 2 000</v>
          </cell>
          <cell r="T1196" t="str">
            <v>52007MALI COM Sarl</v>
          </cell>
          <cell r="U1196" t="str">
            <v>52007MALI COM SarlScratch 2 000</v>
          </cell>
          <cell r="V1196" t="str">
            <v>39216Scratch 2 000</v>
          </cell>
          <cell r="W1196" t="str">
            <v>2007MALI COM Sarl</v>
          </cell>
          <cell r="X1196" t="str">
            <v>2007MALI COM SarlScratch 2 000</v>
          </cell>
        </row>
        <row r="1197">
          <cell r="I1197">
            <v>2007</v>
          </cell>
          <cell r="J1197" t="str">
            <v>MALI COM SarlScratch 5 000</v>
          </cell>
          <cell r="L1197">
            <v>0</v>
          </cell>
          <cell r="M1197" t="str">
            <v>MALI COM Sarl</v>
          </cell>
          <cell r="N1197" t="str">
            <v>MALI COM SarlScratch 5 000</v>
          </cell>
          <cell r="O1197" t="str">
            <v>MALI COM Sarl</v>
          </cell>
          <cell r="P1197" t="str">
            <v>Scratch 5 000</v>
          </cell>
          <cell r="Q1197" t="str">
            <v>52007</v>
          </cell>
          <cell r="R1197" t="str">
            <v>52007Scratch 5 000</v>
          </cell>
          <cell r="S1197" t="str">
            <v>2007Scratch 5 000</v>
          </cell>
          <cell r="T1197" t="str">
            <v>52007MALI COM Sarl</v>
          </cell>
          <cell r="U1197" t="str">
            <v>52007MALI COM SarlScratch 5 000</v>
          </cell>
          <cell r="V1197" t="str">
            <v>39216Scratch 5 000</v>
          </cell>
          <cell r="W1197" t="str">
            <v>2007MALI COM Sarl</v>
          </cell>
          <cell r="X1197" t="str">
            <v>2007MALI COM SarlScratch 5 000</v>
          </cell>
        </row>
        <row r="1198">
          <cell r="I1198">
            <v>2007</v>
          </cell>
          <cell r="J1198" t="str">
            <v>MALI COM SarlScratch 20 000</v>
          </cell>
          <cell r="L1198">
            <v>0</v>
          </cell>
          <cell r="M1198" t="str">
            <v>MALI COM Sarl</v>
          </cell>
          <cell r="N1198" t="str">
            <v>MALI COM SarlScratch 20 000</v>
          </cell>
          <cell r="O1198" t="str">
            <v>MALI COM Sarl</v>
          </cell>
          <cell r="P1198" t="str">
            <v>Scratch 20 000</v>
          </cell>
          <cell r="Q1198" t="str">
            <v>52007</v>
          </cell>
          <cell r="R1198" t="str">
            <v>52007Scratch 20 000</v>
          </cell>
          <cell r="S1198" t="str">
            <v>2007Scratch 20 000</v>
          </cell>
          <cell r="T1198" t="str">
            <v>52007MALI COM Sarl</v>
          </cell>
          <cell r="U1198" t="str">
            <v>52007MALI COM SarlScratch 20 000</v>
          </cell>
          <cell r="V1198" t="str">
            <v>39216Scratch 20 000</v>
          </cell>
          <cell r="W1198" t="str">
            <v>2007MALI COM Sarl</v>
          </cell>
          <cell r="X1198" t="str">
            <v>2007MALI COM SarlScratch 20 000</v>
          </cell>
        </row>
        <row r="1199">
          <cell r="I1199">
            <v>2007</v>
          </cell>
          <cell r="J1199" t="str">
            <v>Compagnie Internationale de NegoceScratch 1 000</v>
          </cell>
          <cell r="L1199">
            <v>1</v>
          </cell>
          <cell r="M1199" t="str">
            <v>1Compagnie Internationale de Negoce</v>
          </cell>
          <cell r="N1199" t="str">
            <v>Compagnie Internationale de NegoceScratch 1 000</v>
          </cell>
          <cell r="O1199" t="str">
            <v>Compagnie Internationale de Negoce</v>
          </cell>
          <cell r="P1199" t="str">
            <v>Scratch 1 000</v>
          </cell>
          <cell r="Q1199" t="str">
            <v>52007</v>
          </cell>
          <cell r="R1199" t="str">
            <v>52007Scratch 1 000</v>
          </cell>
          <cell r="S1199" t="str">
            <v>2007Scratch 1 000</v>
          </cell>
          <cell r="T1199" t="str">
            <v>52007Compagnie Internationale de Negoce</v>
          </cell>
          <cell r="U1199" t="str">
            <v>52007Compagnie Internationale de NegoceScratch 1 000</v>
          </cell>
          <cell r="V1199" t="str">
            <v>39216Scratch 1 000</v>
          </cell>
          <cell r="W1199" t="str">
            <v>2007Compagnie Internationale de Negoce</v>
          </cell>
          <cell r="X1199" t="str">
            <v>2007Compagnie Internationale de NegoceScratch 1 000</v>
          </cell>
        </row>
        <row r="1200">
          <cell r="I1200">
            <v>2007</v>
          </cell>
          <cell r="J1200" t="str">
            <v>Compagnie Internationale de NegoceScratch 2 000</v>
          </cell>
          <cell r="L1200">
            <v>0</v>
          </cell>
          <cell r="M1200" t="str">
            <v>Compagnie Internationale de Negoce</v>
          </cell>
          <cell r="N1200" t="str">
            <v>Compagnie Internationale de NegoceScratch 2 000</v>
          </cell>
          <cell r="O1200" t="str">
            <v>Compagnie Internationale de Negoce</v>
          </cell>
          <cell r="P1200" t="str">
            <v>Scratch 2 000</v>
          </cell>
          <cell r="Q1200" t="str">
            <v>52007</v>
          </cell>
          <cell r="R1200" t="str">
            <v>52007Scratch 2 000</v>
          </cell>
          <cell r="S1200" t="str">
            <v>2007Scratch 2 000</v>
          </cell>
          <cell r="T1200" t="str">
            <v>52007Compagnie Internationale de Negoce</v>
          </cell>
          <cell r="U1200" t="str">
            <v>52007Compagnie Internationale de NegoceScratch 2 000</v>
          </cell>
          <cell r="V1200" t="str">
            <v>39216Scratch 2 000</v>
          </cell>
          <cell r="W1200" t="str">
            <v>2007Compagnie Internationale de Negoce</v>
          </cell>
          <cell r="X1200" t="str">
            <v>2007Compagnie Internationale de NegoceScratch 2 000</v>
          </cell>
        </row>
        <row r="1201">
          <cell r="I1201">
            <v>2007</v>
          </cell>
          <cell r="J1201" t="str">
            <v>Compagnie Internationale de NegoceScratch 5 000</v>
          </cell>
          <cell r="L1201">
            <v>0</v>
          </cell>
          <cell r="M1201" t="str">
            <v>Compagnie Internationale de Negoce</v>
          </cell>
          <cell r="N1201" t="str">
            <v>Compagnie Internationale de NegoceScratch 5 000</v>
          </cell>
          <cell r="O1201" t="str">
            <v>Compagnie Internationale de Negoce</v>
          </cell>
          <cell r="P1201" t="str">
            <v>Scratch 5 000</v>
          </cell>
          <cell r="Q1201" t="str">
            <v>52007</v>
          </cell>
          <cell r="R1201" t="str">
            <v>52007Scratch 5 000</v>
          </cell>
          <cell r="S1201" t="str">
            <v>2007Scratch 5 000</v>
          </cell>
          <cell r="T1201" t="str">
            <v>52007Compagnie Internationale de Negoce</v>
          </cell>
          <cell r="U1201" t="str">
            <v>52007Compagnie Internationale de NegoceScratch 5 000</v>
          </cell>
          <cell r="V1201" t="str">
            <v>39216Scratch 5 000</v>
          </cell>
          <cell r="W1201" t="str">
            <v>2007Compagnie Internationale de Negoce</v>
          </cell>
          <cell r="X1201" t="str">
            <v>2007Compagnie Internationale de NegoceScratch 5 000</v>
          </cell>
        </row>
        <row r="1202">
          <cell r="I1202">
            <v>2007</v>
          </cell>
          <cell r="J1202" t="str">
            <v>GEMATELScratch 1 000</v>
          </cell>
          <cell r="L1202">
            <v>1</v>
          </cell>
          <cell r="M1202" t="str">
            <v>1GEMATEL</v>
          </cell>
          <cell r="N1202" t="str">
            <v>GEMATELScratch 1 000</v>
          </cell>
          <cell r="O1202" t="str">
            <v>GEMATEL</v>
          </cell>
          <cell r="P1202" t="str">
            <v>Scratch 1 000</v>
          </cell>
          <cell r="Q1202" t="str">
            <v>52007</v>
          </cell>
          <cell r="R1202" t="str">
            <v>52007Scratch 1 000</v>
          </cell>
          <cell r="S1202" t="str">
            <v>2007Scratch 1 000</v>
          </cell>
          <cell r="T1202" t="str">
            <v>52007GEMATEL</v>
          </cell>
          <cell r="U1202" t="str">
            <v>52007GEMATELScratch 1 000</v>
          </cell>
          <cell r="V1202" t="str">
            <v>39216Scratch 1 000</v>
          </cell>
          <cell r="W1202" t="str">
            <v>2007GEMATEL</v>
          </cell>
          <cell r="X1202" t="str">
            <v>2007GEMATELScratch 1 000</v>
          </cell>
        </row>
        <row r="1203">
          <cell r="I1203">
            <v>2007</v>
          </cell>
          <cell r="J1203" t="str">
            <v>GEMATELScratch 2 000</v>
          </cell>
          <cell r="L1203">
            <v>0</v>
          </cell>
          <cell r="M1203" t="str">
            <v>GEMATEL</v>
          </cell>
          <cell r="N1203" t="str">
            <v>GEMATELScratch 2 000</v>
          </cell>
          <cell r="O1203" t="str">
            <v>GEMATEL</v>
          </cell>
          <cell r="P1203" t="str">
            <v>Scratch 2 000</v>
          </cell>
          <cell r="Q1203" t="str">
            <v>52007</v>
          </cell>
          <cell r="R1203" t="str">
            <v>52007Scratch 2 000</v>
          </cell>
          <cell r="S1203" t="str">
            <v>2007Scratch 2 000</v>
          </cell>
          <cell r="T1203" t="str">
            <v>52007GEMATEL</v>
          </cell>
          <cell r="U1203" t="str">
            <v>52007GEMATELScratch 2 000</v>
          </cell>
          <cell r="V1203" t="str">
            <v>39216Scratch 2 000</v>
          </cell>
          <cell r="W1203" t="str">
            <v>2007GEMATEL</v>
          </cell>
          <cell r="X1203" t="str">
            <v>2007GEMATELScratch 2 000</v>
          </cell>
        </row>
        <row r="1204">
          <cell r="I1204">
            <v>2007</v>
          </cell>
          <cell r="J1204" t="str">
            <v>GEMATELScratch 5 000</v>
          </cell>
          <cell r="L1204">
            <v>0</v>
          </cell>
          <cell r="M1204" t="str">
            <v>GEMATEL</v>
          </cell>
          <cell r="N1204" t="str">
            <v>GEMATELScratch 5 000</v>
          </cell>
          <cell r="O1204" t="str">
            <v>GEMATEL</v>
          </cell>
          <cell r="P1204" t="str">
            <v>Scratch 5 000</v>
          </cell>
          <cell r="Q1204" t="str">
            <v>52007</v>
          </cell>
          <cell r="R1204" t="str">
            <v>52007Scratch 5 000</v>
          </cell>
          <cell r="S1204" t="str">
            <v>2007Scratch 5 000</v>
          </cell>
          <cell r="T1204" t="str">
            <v>52007GEMATEL</v>
          </cell>
          <cell r="U1204" t="str">
            <v>52007GEMATELScratch 5 000</v>
          </cell>
          <cell r="V1204" t="str">
            <v>39216Scratch 5 000</v>
          </cell>
          <cell r="W1204" t="str">
            <v>2007GEMATEL</v>
          </cell>
          <cell r="X1204" t="str">
            <v>2007GEMATELScratch 5 000</v>
          </cell>
        </row>
        <row r="1205">
          <cell r="I1205">
            <v>2007</v>
          </cell>
          <cell r="J1205" t="str">
            <v>GEMATELScratch 10 000</v>
          </cell>
          <cell r="L1205">
            <v>0</v>
          </cell>
          <cell r="M1205" t="str">
            <v>GEMATEL</v>
          </cell>
          <cell r="N1205" t="str">
            <v>GEMATELScratch 10 000</v>
          </cell>
          <cell r="O1205" t="str">
            <v>GEMATEL</v>
          </cell>
          <cell r="P1205" t="str">
            <v>Scratch 10 000</v>
          </cell>
          <cell r="Q1205" t="str">
            <v>52007</v>
          </cell>
          <cell r="R1205" t="str">
            <v>52007Scratch 10 000</v>
          </cell>
          <cell r="S1205" t="str">
            <v>2007Scratch 10 000</v>
          </cell>
          <cell r="T1205" t="str">
            <v>52007GEMATEL</v>
          </cell>
          <cell r="U1205" t="str">
            <v>52007GEMATELScratch 10 000</v>
          </cell>
          <cell r="V1205" t="str">
            <v>39216Scratch 10 000</v>
          </cell>
          <cell r="W1205" t="str">
            <v>2007GEMATEL</v>
          </cell>
          <cell r="X1205" t="str">
            <v>2007GEMATELScratch 10 000</v>
          </cell>
        </row>
        <row r="1206">
          <cell r="I1206">
            <v>2007</v>
          </cell>
          <cell r="J1206" t="str">
            <v>Bonneterie Nouvelle TelecomScratch 1 000</v>
          </cell>
          <cell r="L1206">
            <v>1</v>
          </cell>
          <cell r="M1206" t="str">
            <v>1Bonneterie Nouvelle Telecom</v>
          </cell>
          <cell r="N1206" t="str">
            <v>Bonneterie Nouvelle TelecomScratch 1 000</v>
          </cell>
          <cell r="O1206" t="str">
            <v>Bonneterie Nouvelle Telecom</v>
          </cell>
          <cell r="P1206" t="str">
            <v>Scratch 1 000</v>
          </cell>
          <cell r="Q1206" t="str">
            <v>52007</v>
          </cell>
          <cell r="R1206" t="str">
            <v>52007Scratch 1 000</v>
          </cell>
          <cell r="S1206" t="str">
            <v>2007Scratch 1 000</v>
          </cell>
          <cell r="T1206" t="str">
            <v>52007Bonneterie Nouvelle Telecom</v>
          </cell>
          <cell r="U1206" t="str">
            <v>52007Bonneterie Nouvelle TelecomScratch 1 000</v>
          </cell>
          <cell r="V1206" t="str">
            <v>39216Scratch 1 000</v>
          </cell>
          <cell r="W1206" t="str">
            <v>2007Bonneterie Nouvelle Telecom</v>
          </cell>
          <cell r="X1206" t="str">
            <v>2007Bonneterie Nouvelle TelecomScratch 1 000</v>
          </cell>
        </row>
        <row r="1207">
          <cell r="I1207">
            <v>2007</v>
          </cell>
          <cell r="J1207" t="str">
            <v>Bonneterie Nouvelle TelecomScratch 2 000</v>
          </cell>
          <cell r="L1207">
            <v>0</v>
          </cell>
          <cell r="M1207" t="str">
            <v>Bonneterie Nouvelle Telecom</v>
          </cell>
          <cell r="N1207" t="str">
            <v>Bonneterie Nouvelle TelecomScratch 2 000</v>
          </cell>
          <cell r="O1207" t="str">
            <v>Bonneterie Nouvelle Telecom</v>
          </cell>
          <cell r="P1207" t="str">
            <v>Scratch 2 000</v>
          </cell>
          <cell r="Q1207" t="str">
            <v>52007</v>
          </cell>
          <cell r="R1207" t="str">
            <v>52007Scratch 2 000</v>
          </cell>
          <cell r="S1207" t="str">
            <v>2007Scratch 2 000</v>
          </cell>
          <cell r="T1207" t="str">
            <v>52007Bonneterie Nouvelle Telecom</v>
          </cell>
          <cell r="U1207" t="str">
            <v>52007Bonneterie Nouvelle TelecomScratch 2 000</v>
          </cell>
          <cell r="V1207" t="str">
            <v>39216Scratch 2 000</v>
          </cell>
          <cell r="W1207" t="str">
            <v>2007Bonneterie Nouvelle Telecom</v>
          </cell>
          <cell r="X1207" t="str">
            <v>2007Bonneterie Nouvelle TelecomScratch 2 000</v>
          </cell>
        </row>
        <row r="1208">
          <cell r="I1208">
            <v>2007</v>
          </cell>
          <cell r="J1208" t="str">
            <v>Bonneterie Nouvelle TelecomScratch 5 000</v>
          </cell>
          <cell r="L1208">
            <v>0</v>
          </cell>
          <cell r="M1208" t="str">
            <v>Bonneterie Nouvelle Telecom</v>
          </cell>
          <cell r="N1208" t="str">
            <v>Bonneterie Nouvelle TelecomScratch 5 000</v>
          </cell>
          <cell r="O1208" t="str">
            <v>Bonneterie Nouvelle Telecom</v>
          </cell>
          <cell r="P1208" t="str">
            <v>Scratch 5 000</v>
          </cell>
          <cell r="Q1208" t="str">
            <v>52007</v>
          </cell>
          <cell r="R1208" t="str">
            <v>52007Scratch 5 000</v>
          </cell>
          <cell r="S1208" t="str">
            <v>2007Scratch 5 000</v>
          </cell>
          <cell r="T1208" t="str">
            <v>52007Bonneterie Nouvelle Telecom</v>
          </cell>
          <cell r="U1208" t="str">
            <v>52007Bonneterie Nouvelle TelecomScratch 5 000</v>
          </cell>
          <cell r="V1208" t="str">
            <v>39216Scratch 5 000</v>
          </cell>
          <cell r="W1208" t="str">
            <v>2007Bonneterie Nouvelle Telecom</v>
          </cell>
          <cell r="X1208" t="str">
            <v>2007Bonneterie Nouvelle TelecomScratch 5 000</v>
          </cell>
        </row>
        <row r="1209">
          <cell r="I1209">
            <v>2007</v>
          </cell>
          <cell r="J1209" t="str">
            <v>ANKA ServicesScratch 1 000</v>
          </cell>
          <cell r="L1209">
            <v>1</v>
          </cell>
          <cell r="M1209" t="str">
            <v>1ANKA Services</v>
          </cell>
          <cell r="N1209" t="str">
            <v>ANKA ServicesScratch 1 000</v>
          </cell>
          <cell r="O1209" t="str">
            <v>ANKA Services</v>
          </cell>
          <cell r="P1209" t="str">
            <v>Scratch 1 000</v>
          </cell>
          <cell r="Q1209" t="str">
            <v>52007</v>
          </cell>
          <cell r="R1209" t="str">
            <v>52007Scratch 1 000</v>
          </cell>
          <cell r="S1209" t="str">
            <v>2007Scratch 1 000</v>
          </cell>
          <cell r="T1209" t="str">
            <v>52007ANKA Services</v>
          </cell>
          <cell r="U1209" t="str">
            <v>52007ANKA ServicesScratch 1 000</v>
          </cell>
          <cell r="V1209" t="str">
            <v>39216Scratch 1 000</v>
          </cell>
          <cell r="W1209" t="str">
            <v>2007ANKA Services</v>
          </cell>
          <cell r="X1209" t="str">
            <v>2007ANKA ServicesScratch 1 000</v>
          </cell>
        </row>
        <row r="1210">
          <cell r="I1210">
            <v>2007</v>
          </cell>
          <cell r="J1210" t="str">
            <v>ANKA ServicesScratch 2 000</v>
          </cell>
          <cell r="L1210">
            <v>0</v>
          </cell>
          <cell r="M1210" t="str">
            <v>ANKA Services</v>
          </cell>
          <cell r="N1210" t="str">
            <v>ANKA ServicesScratch 2 000</v>
          </cell>
          <cell r="O1210" t="str">
            <v>ANKA Services</v>
          </cell>
          <cell r="P1210" t="str">
            <v>Scratch 2 000</v>
          </cell>
          <cell r="Q1210" t="str">
            <v>52007</v>
          </cell>
          <cell r="R1210" t="str">
            <v>52007Scratch 2 000</v>
          </cell>
          <cell r="S1210" t="str">
            <v>2007Scratch 2 000</v>
          </cell>
          <cell r="T1210" t="str">
            <v>52007ANKA Services</v>
          </cell>
          <cell r="U1210" t="str">
            <v>52007ANKA ServicesScratch 2 000</v>
          </cell>
          <cell r="V1210" t="str">
            <v>39216Scratch 2 000</v>
          </cell>
          <cell r="W1210" t="str">
            <v>2007ANKA Services</v>
          </cell>
          <cell r="X1210" t="str">
            <v>2007ANKA ServicesScratch 2 000</v>
          </cell>
        </row>
        <row r="1211">
          <cell r="I1211">
            <v>2007</v>
          </cell>
          <cell r="J1211" t="str">
            <v>ANKA ServicesScratch 5 000</v>
          </cell>
          <cell r="L1211">
            <v>0</v>
          </cell>
          <cell r="M1211" t="str">
            <v>ANKA Services</v>
          </cell>
          <cell r="N1211" t="str">
            <v>ANKA ServicesScratch 5 000</v>
          </cell>
          <cell r="O1211" t="str">
            <v>ANKA Services</v>
          </cell>
          <cell r="P1211" t="str">
            <v>Scratch 5 000</v>
          </cell>
          <cell r="Q1211" t="str">
            <v>52007</v>
          </cell>
          <cell r="R1211" t="str">
            <v>52007Scratch 5 000</v>
          </cell>
          <cell r="S1211" t="str">
            <v>2007Scratch 5 000</v>
          </cell>
          <cell r="T1211" t="str">
            <v>52007ANKA Services</v>
          </cell>
          <cell r="U1211" t="str">
            <v>52007ANKA ServicesScratch 5 000</v>
          </cell>
          <cell r="V1211" t="str">
            <v>39216Scratch 5 000</v>
          </cell>
          <cell r="W1211" t="str">
            <v>2007ANKA Services</v>
          </cell>
          <cell r="X1211" t="str">
            <v>2007ANKA ServicesScratch 5 000</v>
          </cell>
        </row>
        <row r="1212">
          <cell r="I1212">
            <v>2007</v>
          </cell>
          <cell r="J1212" t="str">
            <v>ANKA ServicesScratch 10 000</v>
          </cell>
          <cell r="L1212">
            <v>0</v>
          </cell>
          <cell r="M1212" t="str">
            <v>ANKA Services</v>
          </cell>
          <cell r="N1212" t="str">
            <v>ANKA ServicesScratch 10 000</v>
          </cell>
          <cell r="O1212" t="str">
            <v>ANKA Services</v>
          </cell>
          <cell r="P1212" t="str">
            <v>Scratch 10 000</v>
          </cell>
          <cell r="Q1212" t="str">
            <v>52007</v>
          </cell>
          <cell r="R1212" t="str">
            <v>52007Scratch 10 000</v>
          </cell>
          <cell r="S1212" t="str">
            <v>2007Scratch 10 000</v>
          </cell>
          <cell r="T1212" t="str">
            <v>52007ANKA Services</v>
          </cell>
          <cell r="U1212" t="str">
            <v>52007ANKA ServicesScratch 10 000</v>
          </cell>
          <cell r="V1212" t="str">
            <v>39216Scratch 10 000</v>
          </cell>
          <cell r="W1212" t="str">
            <v>2007ANKA Services</v>
          </cell>
          <cell r="X1212" t="str">
            <v>2007ANKA ServicesScratch 10 000</v>
          </cell>
        </row>
        <row r="1213">
          <cell r="I1213">
            <v>2007</v>
          </cell>
          <cell r="J1213" t="str">
            <v>ANKA ServicesScratch 20 000</v>
          </cell>
          <cell r="L1213">
            <v>0</v>
          </cell>
          <cell r="M1213" t="str">
            <v>ANKA Services</v>
          </cell>
          <cell r="N1213" t="str">
            <v>ANKA ServicesScratch 20 000</v>
          </cell>
          <cell r="O1213" t="str">
            <v>ANKA Services</v>
          </cell>
          <cell r="P1213" t="str">
            <v>Scratch 20 000</v>
          </cell>
          <cell r="Q1213" t="str">
            <v>52007</v>
          </cell>
          <cell r="R1213" t="str">
            <v>52007Scratch 20 000</v>
          </cell>
          <cell r="S1213" t="str">
            <v>2007Scratch 20 000</v>
          </cell>
          <cell r="T1213" t="str">
            <v>52007ANKA Services</v>
          </cell>
          <cell r="U1213" t="str">
            <v>52007ANKA ServicesScratch 20 000</v>
          </cell>
          <cell r="V1213" t="str">
            <v>39216Scratch 20 000</v>
          </cell>
          <cell r="W1213" t="str">
            <v>2007ANKA Services</v>
          </cell>
          <cell r="X1213" t="str">
            <v>2007ANKA ServicesScratch 20 000</v>
          </cell>
        </row>
        <row r="1214">
          <cell r="I1214">
            <v>2007</v>
          </cell>
          <cell r="J1214" t="str">
            <v>GEMATELScratch 1 000</v>
          </cell>
          <cell r="L1214">
            <v>1</v>
          </cell>
          <cell r="M1214" t="str">
            <v>1GEMATEL</v>
          </cell>
          <cell r="N1214" t="str">
            <v>GEMATELScratch 1 000</v>
          </cell>
          <cell r="O1214" t="str">
            <v>GEMATEL</v>
          </cell>
          <cell r="P1214" t="str">
            <v>Scratch 1 000</v>
          </cell>
          <cell r="Q1214" t="str">
            <v>52007</v>
          </cell>
          <cell r="R1214" t="str">
            <v>52007Scratch 1 000</v>
          </cell>
          <cell r="S1214" t="str">
            <v>2007Scratch 1 000</v>
          </cell>
          <cell r="T1214" t="str">
            <v>52007GEMATEL</v>
          </cell>
          <cell r="U1214" t="str">
            <v>52007GEMATELScratch 1 000</v>
          </cell>
          <cell r="V1214" t="str">
            <v>39217Scratch 1 000</v>
          </cell>
          <cell r="W1214" t="str">
            <v>2007GEMATEL</v>
          </cell>
          <cell r="X1214" t="str">
            <v>2007GEMATELScratch 1 000</v>
          </cell>
        </row>
        <row r="1215">
          <cell r="I1215">
            <v>2007</v>
          </cell>
          <cell r="J1215" t="str">
            <v>GEMATELScratch 2 000</v>
          </cell>
          <cell r="L1215">
            <v>0</v>
          </cell>
          <cell r="M1215" t="str">
            <v>GEMATEL</v>
          </cell>
          <cell r="N1215" t="str">
            <v>GEMATELScratch 2 000</v>
          </cell>
          <cell r="O1215" t="str">
            <v>GEMATEL</v>
          </cell>
          <cell r="P1215" t="str">
            <v>Scratch 2 000</v>
          </cell>
          <cell r="Q1215" t="str">
            <v>52007</v>
          </cell>
          <cell r="R1215" t="str">
            <v>52007Scratch 2 000</v>
          </cell>
          <cell r="S1215" t="str">
            <v>2007Scratch 2 000</v>
          </cell>
          <cell r="T1215" t="str">
            <v>52007GEMATEL</v>
          </cell>
          <cell r="U1215" t="str">
            <v>52007GEMATELScratch 2 000</v>
          </cell>
          <cell r="V1215" t="str">
            <v>39217Scratch 2 000</v>
          </cell>
          <cell r="W1215" t="str">
            <v>2007GEMATEL</v>
          </cell>
          <cell r="X1215" t="str">
            <v>2007GEMATELScratch 2 000</v>
          </cell>
        </row>
        <row r="1216">
          <cell r="I1216">
            <v>2007</v>
          </cell>
          <cell r="J1216" t="str">
            <v>GEMATELScratch 10 000</v>
          </cell>
          <cell r="L1216">
            <v>0</v>
          </cell>
          <cell r="M1216" t="str">
            <v>GEMATEL</v>
          </cell>
          <cell r="N1216" t="str">
            <v>GEMATELScratch 10 000</v>
          </cell>
          <cell r="O1216" t="str">
            <v>GEMATEL</v>
          </cell>
          <cell r="P1216" t="str">
            <v>Scratch 10 000</v>
          </cell>
          <cell r="Q1216" t="str">
            <v>52007</v>
          </cell>
          <cell r="R1216" t="str">
            <v>52007Scratch 10 000</v>
          </cell>
          <cell r="S1216" t="str">
            <v>2007Scratch 10 000</v>
          </cell>
          <cell r="T1216" t="str">
            <v>52007GEMATEL</v>
          </cell>
          <cell r="U1216" t="str">
            <v>52007GEMATELScratch 10 000</v>
          </cell>
          <cell r="V1216" t="str">
            <v>39217Scratch 10 000</v>
          </cell>
          <cell r="W1216" t="str">
            <v>2007GEMATEL</v>
          </cell>
          <cell r="X1216" t="str">
            <v>2007GEMATELScratch 10 000</v>
          </cell>
        </row>
        <row r="1217">
          <cell r="I1217">
            <v>2007</v>
          </cell>
          <cell r="J1217" t="str">
            <v>GEMATELScratch 20 000</v>
          </cell>
          <cell r="L1217">
            <v>0</v>
          </cell>
          <cell r="M1217" t="str">
            <v>GEMATEL</v>
          </cell>
          <cell r="N1217" t="str">
            <v>GEMATELScratch 20 000</v>
          </cell>
          <cell r="O1217" t="str">
            <v>GEMATEL</v>
          </cell>
          <cell r="P1217" t="str">
            <v>Scratch 20 000</v>
          </cell>
          <cell r="Q1217" t="str">
            <v>52007</v>
          </cell>
          <cell r="R1217" t="str">
            <v>52007Scratch 20 000</v>
          </cell>
          <cell r="S1217" t="str">
            <v>2007Scratch 20 000</v>
          </cell>
          <cell r="T1217" t="str">
            <v>52007GEMATEL</v>
          </cell>
          <cell r="U1217" t="str">
            <v>52007GEMATELScratch 20 000</v>
          </cell>
          <cell r="V1217" t="str">
            <v>39217Scratch 20 000</v>
          </cell>
          <cell r="W1217" t="str">
            <v>2007GEMATEL</v>
          </cell>
          <cell r="X1217" t="str">
            <v>2007GEMATELScratch 20 000</v>
          </cell>
        </row>
        <row r="1218">
          <cell r="I1218">
            <v>2007</v>
          </cell>
          <cell r="J1218" t="str">
            <v>STS GAMBY &amp; FRERES (SOGAF) SarlScratch 1 000</v>
          </cell>
          <cell r="L1218">
            <v>1</v>
          </cell>
          <cell r="M1218" t="str">
            <v>1STS GAMBY &amp; FRERES (SOGAF) Sarl</v>
          </cell>
          <cell r="N1218" t="str">
            <v>STS GAMBY &amp; FRERES (SOGAF) SarlScratch 1 000</v>
          </cell>
          <cell r="O1218" t="str">
            <v>STS GAMBY &amp; FRERES (SOGAF) Sarl</v>
          </cell>
          <cell r="P1218" t="str">
            <v>Scratch 1 000</v>
          </cell>
          <cell r="Q1218" t="str">
            <v>52007</v>
          </cell>
          <cell r="R1218" t="str">
            <v>52007Scratch 1 000</v>
          </cell>
          <cell r="S1218" t="str">
            <v>2007Scratch 1 000</v>
          </cell>
          <cell r="T1218" t="str">
            <v>52007STS GAMBY &amp; FRERES (SOGAF) Sarl</v>
          </cell>
          <cell r="U1218" t="str">
            <v>52007STS GAMBY &amp; FRERES (SOGAF) SarlScratch 1 000</v>
          </cell>
          <cell r="V1218" t="str">
            <v>39217Scratch 1 000</v>
          </cell>
          <cell r="W1218" t="str">
            <v>2007STS GAMBY &amp; FRERES (SOGAF) Sarl</v>
          </cell>
          <cell r="X1218" t="str">
            <v>2007STS GAMBY &amp; FRERES (SOGAF) SarlScratch 1 000</v>
          </cell>
        </row>
        <row r="1219">
          <cell r="I1219">
            <v>2007</v>
          </cell>
          <cell r="J1219" t="str">
            <v>STS GAMBY &amp; FRERES (SOGAF) SarlScratch 2 000</v>
          </cell>
          <cell r="L1219">
            <v>0</v>
          </cell>
          <cell r="M1219" t="str">
            <v>STS GAMBY &amp; FRERES (SOGAF) Sarl</v>
          </cell>
          <cell r="N1219" t="str">
            <v>STS GAMBY &amp; FRERES (SOGAF) SarlScratch 2 000</v>
          </cell>
          <cell r="O1219" t="str">
            <v>STS GAMBY &amp; FRERES (SOGAF) Sarl</v>
          </cell>
          <cell r="P1219" t="str">
            <v>Scratch 2 000</v>
          </cell>
          <cell r="Q1219" t="str">
            <v>52007</v>
          </cell>
          <cell r="R1219" t="str">
            <v>52007Scratch 2 000</v>
          </cell>
          <cell r="S1219" t="str">
            <v>2007Scratch 2 000</v>
          </cell>
          <cell r="T1219" t="str">
            <v>52007STS GAMBY &amp; FRERES (SOGAF) Sarl</v>
          </cell>
          <cell r="U1219" t="str">
            <v>52007STS GAMBY &amp; FRERES (SOGAF) SarlScratch 2 000</v>
          </cell>
          <cell r="V1219" t="str">
            <v>39217Scratch 2 000</v>
          </cell>
          <cell r="W1219" t="str">
            <v>2007STS GAMBY &amp; FRERES (SOGAF) Sarl</v>
          </cell>
          <cell r="X1219" t="str">
            <v>2007STS GAMBY &amp; FRERES (SOGAF) SarlScratch 2 000</v>
          </cell>
        </row>
        <row r="1220">
          <cell r="I1220">
            <v>2007</v>
          </cell>
          <cell r="J1220" t="str">
            <v>STS GAMBY &amp; FRERES (SOGAF) SarlScratch 1 000</v>
          </cell>
          <cell r="L1220">
            <v>1</v>
          </cell>
          <cell r="M1220" t="str">
            <v>1STS GAMBY &amp; FRERES (SOGAF) Sarl</v>
          </cell>
          <cell r="N1220" t="str">
            <v>STS GAMBY &amp; FRERES (SOGAF) SarlScratch 1 000</v>
          </cell>
          <cell r="O1220" t="str">
            <v>STS GAMBY &amp; FRERES (SOGAF) Sarl</v>
          </cell>
          <cell r="P1220" t="str">
            <v>Scratch 1 000</v>
          </cell>
          <cell r="Q1220" t="str">
            <v>52007</v>
          </cell>
          <cell r="R1220" t="str">
            <v>52007Scratch 1 000</v>
          </cell>
          <cell r="S1220" t="str">
            <v>2007Scratch 1 000</v>
          </cell>
          <cell r="T1220" t="str">
            <v>52007STS GAMBY &amp; FRERES (SOGAF) Sarl</v>
          </cell>
          <cell r="U1220" t="str">
            <v>52007STS GAMBY &amp; FRERES (SOGAF) SarlScratch 1 000</v>
          </cell>
          <cell r="V1220" t="str">
            <v>39218Scratch 1 000</v>
          </cell>
          <cell r="W1220" t="str">
            <v>2007STS GAMBY &amp; FRERES (SOGAF) Sarl</v>
          </cell>
          <cell r="X1220" t="str">
            <v>2007STS GAMBY &amp; FRERES (SOGAF) SarlScratch 1 000</v>
          </cell>
        </row>
        <row r="1221">
          <cell r="I1221">
            <v>2007</v>
          </cell>
          <cell r="J1221" t="str">
            <v>STS GAMBY &amp; FRERES (SOGAF) SarlScratch 2 000</v>
          </cell>
          <cell r="L1221">
            <v>0</v>
          </cell>
          <cell r="M1221" t="str">
            <v>STS GAMBY &amp; FRERES (SOGAF) Sarl</v>
          </cell>
          <cell r="N1221" t="str">
            <v>STS GAMBY &amp; FRERES (SOGAF) SarlScratch 2 000</v>
          </cell>
          <cell r="O1221" t="str">
            <v>STS GAMBY &amp; FRERES (SOGAF) Sarl</v>
          </cell>
          <cell r="P1221" t="str">
            <v>Scratch 2 000</v>
          </cell>
          <cell r="Q1221" t="str">
            <v>52007</v>
          </cell>
          <cell r="R1221" t="str">
            <v>52007Scratch 2 000</v>
          </cell>
          <cell r="S1221" t="str">
            <v>2007Scratch 2 000</v>
          </cell>
          <cell r="T1221" t="str">
            <v>52007STS GAMBY &amp; FRERES (SOGAF) Sarl</v>
          </cell>
          <cell r="U1221" t="str">
            <v>52007STS GAMBY &amp; FRERES (SOGAF) SarlScratch 2 000</v>
          </cell>
          <cell r="V1221" t="str">
            <v>39218Scratch 2 000</v>
          </cell>
          <cell r="W1221" t="str">
            <v>2007STS GAMBY &amp; FRERES (SOGAF) Sarl</v>
          </cell>
          <cell r="X1221" t="str">
            <v>2007STS GAMBY &amp; FRERES (SOGAF) SarlScratch 2 000</v>
          </cell>
        </row>
        <row r="1222">
          <cell r="I1222">
            <v>2007</v>
          </cell>
          <cell r="J1222" t="str">
            <v>STS GAMBY &amp; FRERES (SOGAF) SarlScratch 10 000</v>
          </cell>
          <cell r="L1222">
            <v>0</v>
          </cell>
          <cell r="M1222" t="str">
            <v>STS GAMBY &amp; FRERES (SOGAF) Sarl</v>
          </cell>
          <cell r="N1222" t="str">
            <v>STS GAMBY &amp; FRERES (SOGAF) SarlScratch 10 000</v>
          </cell>
          <cell r="O1222" t="str">
            <v>STS GAMBY &amp; FRERES (SOGAF) Sarl</v>
          </cell>
          <cell r="P1222" t="str">
            <v>Scratch 10 000</v>
          </cell>
          <cell r="Q1222" t="str">
            <v>52007</v>
          </cell>
          <cell r="R1222" t="str">
            <v>52007Scratch 10 000</v>
          </cell>
          <cell r="S1222" t="str">
            <v>2007Scratch 10 000</v>
          </cell>
          <cell r="T1222" t="str">
            <v>52007STS GAMBY &amp; FRERES (SOGAF) Sarl</v>
          </cell>
          <cell r="U1222" t="str">
            <v>52007STS GAMBY &amp; FRERES (SOGAF) SarlScratch 10 000</v>
          </cell>
          <cell r="V1222" t="str">
            <v>39218Scratch 10 000</v>
          </cell>
          <cell r="W1222" t="str">
            <v>2007STS GAMBY &amp; FRERES (SOGAF) Sarl</v>
          </cell>
          <cell r="X1222" t="str">
            <v>2007STS GAMBY &amp; FRERES (SOGAF) SarlScratch 10 000</v>
          </cell>
        </row>
        <row r="1223">
          <cell r="I1223">
            <v>2007</v>
          </cell>
          <cell r="J1223" t="str">
            <v>STS GAMBY &amp; FRERES (SOGAF) SarlScratch 20 000</v>
          </cell>
          <cell r="L1223">
            <v>0</v>
          </cell>
          <cell r="M1223" t="str">
            <v>STS GAMBY &amp; FRERES (SOGAF) Sarl</v>
          </cell>
          <cell r="N1223" t="str">
            <v>STS GAMBY &amp; FRERES (SOGAF) SarlScratch 20 000</v>
          </cell>
          <cell r="O1223" t="str">
            <v>STS GAMBY &amp; FRERES (SOGAF) Sarl</v>
          </cell>
          <cell r="P1223" t="str">
            <v>Scratch 20 000</v>
          </cell>
          <cell r="Q1223" t="str">
            <v>52007</v>
          </cell>
          <cell r="R1223" t="str">
            <v>52007Scratch 20 000</v>
          </cell>
          <cell r="S1223" t="str">
            <v>2007Scratch 20 000</v>
          </cell>
          <cell r="T1223" t="str">
            <v>52007STS GAMBY &amp; FRERES (SOGAF) Sarl</v>
          </cell>
          <cell r="U1223" t="str">
            <v>52007STS GAMBY &amp; FRERES (SOGAF) SarlScratch 20 000</v>
          </cell>
          <cell r="V1223" t="str">
            <v>39218Scratch 20 000</v>
          </cell>
          <cell r="W1223" t="str">
            <v>2007STS GAMBY &amp; FRERES (SOGAF) Sarl</v>
          </cell>
          <cell r="X1223" t="str">
            <v>2007STS GAMBY &amp; FRERES (SOGAF) SarlScratch 20 000</v>
          </cell>
        </row>
        <row r="1224">
          <cell r="I1224">
            <v>2007</v>
          </cell>
          <cell r="J1224" t="str">
            <v>GEMATELScratch 1 000</v>
          </cell>
          <cell r="L1224">
            <v>1</v>
          </cell>
          <cell r="M1224" t="str">
            <v>1GEMATEL</v>
          </cell>
          <cell r="N1224" t="str">
            <v>GEMATELScratch 1 000</v>
          </cell>
          <cell r="O1224" t="str">
            <v>GEMATEL</v>
          </cell>
          <cell r="P1224" t="str">
            <v>Scratch 1 000</v>
          </cell>
          <cell r="Q1224" t="str">
            <v>52007</v>
          </cell>
          <cell r="R1224" t="str">
            <v>52007Scratch 1 000</v>
          </cell>
          <cell r="S1224" t="str">
            <v>2007Scratch 1 000</v>
          </cell>
          <cell r="T1224" t="str">
            <v>52007GEMATEL</v>
          </cell>
          <cell r="U1224" t="str">
            <v>52007GEMATELScratch 1 000</v>
          </cell>
          <cell r="V1224" t="str">
            <v>39218Scratch 1 000</v>
          </cell>
          <cell r="W1224" t="str">
            <v>2007GEMATEL</v>
          </cell>
          <cell r="X1224" t="str">
            <v>2007GEMATELScratch 1 000</v>
          </cell>
        </row>
        <row r="1225">
          <cell r="I1225">
            <v>2007</v>
          </cell>
          <cell r="J1225" t="str">
            <v>GEMATELScratch 2 000</v>
          </cell>
          <cell r="L1225">
            <v>0</v>
          </cell>
          <cell r="M1225" t="str">
            <v>GEMATEL</v>
          </cell>
          <cell r="N1225" t="str">
            <v>GEMATELScratch 2 000</v>
          </cell>
          <cell r="O1225" t="str">
            <v>GEMATEL</v>
          </cell>
          <cell r="P1225" t="str">
            <v>Scratch 2 000</v>
          </cell>
          <cell r="Q1225" t="str">
            <v>52007</v>
          </cell>
          <cell r="R1225" t="str">
            <v>52007Scratch 2 000</v>
          </cell>
          <cell r="S1225" t="str">
            <v>2007Scratch 2 000</v>
          </cell>
          <cell r="T1225" t="str">
            <v>52007GEMATEL</v>
          </cell>
          <cell r="U1225" t="str">
            <v>52007GEMATELScratch 2 000</v>
          </cell>
          <cell r="V1225" t="str">
            <v>39218Scratch 2 000</v>
          </cell>
          <cell r="W1225" t="str">
            <v>2007GEMATEL</v>
          </cell>
          <cell r="X1225" t="str">
            <v>2007GEMATELScratch 2 000</v>
          </cell>
        </row>
        <row r="1226">
          <cell r="I1226">
            <v>2007</v>
          </cell>
          <cell r="J1226" t="str">
            <v>GEMATELScratch 10 000</v>
          </cell>
          <cell r="L1226">
            <v>0</v>
          </cell>
          <cell r="M1226" t="str">
            <v>GEMATEL</v>
          </cell>
          <cell r="N1226" t="str">
            <v>GEMATELScratch 10 000</v>
          </cell>
          <cell r="O1226" t="str">
            <v>GEMATEL</v>
          </cell>
          <cell r="P1226" t="str">
            <v>Scratch 10 000</v>
          </cell>
          <cell r="Q1226" t="str">
            <v>52007</v>
          </cell>
          <cell r="R1226" t="str">
            <v>52007Scratch 10 000</v>
          </cell>
          <cell r="S1226" t="str">
            <v>2007Scratch 10 000</v>
          </cell>
          <cell r="T1226" t="str">
            <v>52007GEMATEL</v>
          </cell>
          <cell r="U1226" t="str">
            <v>52007GEMATELScratch 10 000</v>
          </cell>
          <cell r="V1226" t="str">
            <v>39218Scratch 10 000</v>
          </cell>
          <cell r="W1226" t="str">
            <v>2007GEMATEL</v>
          </cell>
          <cell r="X1226" t="str">
            <v>2007GEMATELScratch 10 000</v>
          </cell>
        </row>
        <row r="1227">
          <cell r="I1227">
            <v>2007</v>
          </cell>
          <cell r="J1227" t="str">
            <v>GEMATELScratch 20 000</v>
          </cell>
          <cell r="L1227">
            <v>0</v>
          </cell>
          <cell r="M1227" t="str">
            <v>GEMATEL</v>
          </cell>
          <cell r="N1227" t="str">
            <v>GEMATELScratch 20 000</v>
          </cell>
          <cell r="O1227" t="str">
            <v>GEMATEL</v>
          </cell>
          <cell r="P1227" t="str">
            <v>Scratch 20 000</v>
          </cell>
          <cell r="Q1227" t="str">
            <v>52007</v>
          </cell>
          <cell r="R1227" t="str">
            <v>52007Scratch 20 000</v>
          </cell>
          <cell r="S1227" t="str">
            <v>2007Scratch 20 000</v>
          </cell>
          <cell r="T1227" t="str">
            <v>52007GEMATEL</v>
          </cell>
          <cell r="U1227" t="str">
            <v>52007GEMATELScratch 20 000</v>
          </cell>
          <cell r="V1227" t="str">
            <v>39218Scratch 20 000</v>
          </cell>
          <cell r="W1227" t="str">
            <v>2007GEMATEL</v>
          </cell>
          <cell r="X1227" t="str">
            <v>2007GEMATELScratch 20 000</v>
          </cell>
        </row>
        <row r="1228">
          <cell r="I1228">
            <v>2007</v>
          </cell>
          <cell r="J1228" t="str">
            <v>ANKA ServicesScratch 1 000</v>
          </cell>
          <cell r="L1228">
            <v>1</v>
          </cell>
          <cell r="M1228" t="str">
            <v>1ANKA Services</v>
          </cell>
          <cell r="N1228" t="str">
            <v>ANKA ServicesScratch 1 000</v>
          </cell>
          <cell r="O1228" t="str">
            <v>ANKA Services</v>
          </cell>
          <cell r="P1228" t="str">
            <v>Scratch 1 000</v>
          </cell>
          <cell r="Q1228" t="str">
            <v>52007</v>
          </cell>
          <cell r="R1228" t="str">
            <v>52007Scratch 1 000</v>
          </cell>
          <cell r="S1228" t="str">
            <v>2007Scratch 1 000</v>
          </cell>
          <cell r="T1228" t="str">
            <v>52007ANKA Services</v>
          </cell>
          <cell r="U1228" t="str">
            <v>52007ANKA ServicesScratch 1 000</v>
          </cell>
          <cell r="V1228" t="str">
            <v>39218Scratch 1 000</v>
          </cell>
          <cell r="W1228" t="str">
            <v>2007ANKA Services</v>
          </cell>
          <cell r="X1228" t="str">
            <v>2007ANKA ServicesScratch 1 000</v>
          </cell>
        </row>
        <row r="1229">
          <cell r="I1229">
            <v>2007</v>
          </cell>
          <cell r="J1229" t="str">
            <v>ANKA ServicesScratch 2 000</v>
          </cell>
          <cell r="L1229">
            <v>0</v>
          </cell>
          <cell r="M1229" t="str">
            <v>ANKA Services</v>
          </cell>
          <cell r="N1229" t="str">
            <v>ANKA ServicesScratch 2 000</v>
          </cell>
          <cell r="O1229" t="str">
            <v>ANKA Services</v>
          </cell>
          <cell r="P1229" t="str">
            <v>Scratch 2 000</v>
          </cell>
          <cell r="Q1229" t="str">
            <v>52007</v>
          </cell>
          <cell r="R1229" t="str">
            <v>52007Scratch 2 000</v>
          </cell>
          <cell r="S1229" t="str">
            <v>2007Scratch 2 000</v>
          </cell>
          <cell r="T1229" t="str">
            <v>52007ANKA Services</v>
          </cell>
          <cell r="U1229" t="str">
            <v>52007ANKA ServicesScratch 2 000</v>
          </cell>
          <cell r="V1229" t="str">
            <v>39218Scratch 2 000</v>
          </cell>
          <cell r="W1229" t="str">
            <v>2007ANKA Services</v>
          </cell>
          <cell r="X1229" t="str">
            <v>2007ANKA ServicesScratch 2 000</v>
          </cell>
        </row>
        <row r="1230">
          <cell r="I1230">
            <v>2007</v>
          </cell>
          <cell r="J1230" t="str">
            <v>ANKA ServicesScratch 10 000</v>
          </cell>
          <cell r="L1230">
            <v>0</v>
          </cell>
          <cell r="M1230" t="str">
            <v>ANKA Services</v>
          </cell>
          <cell r="N1230" t="str">
            <v>ANKA ServicesScratch 10 000</v>
          </cell>
          <cell r="O1230" t="str">
            <v>ANKA Services</v>
          </cell>
          <cell r="P1230" t="str">
            <v>Scratch 10 000</v>
          </cell>
          <cell r="Q1230" t="str">
            <v>52007</v>
          </cell>
          <cell r="R1230" t="str">
            <v>52007Scratch 10 000</v>
          </cell>
          <cell r="S1230" t="str">
            <v>2007Scratch 10 000</v>
          </cell>
          <cell r="T1230" t="str">
            <v>52007ANKA Services</v>
          </cell>
          <cell r="U1230" t="str">
            <v>52007ANKA ServicesScratch 10 000</v>
          </cell>
          <cell r="V1230" t="str">
            <v>39218Scratch 10 000</v>
          </cell>
          <cell r="W1230" t="str">
            <v>2007ANKA Services</v>
          </cell>
          <cell r="X1230" t="str">
            <v>2007ANKA ServicesScratch 10 000</v>
          </cell>
        </row>
        <row r="1231">
          <cell r="I1231">
            <v>2007</v>
          </cell>
          <cell r="J1231" t="str">
            <v>ANKA ServicesScratch 20 000</v>
          </cell>
          <cell r="L1231">
            <v>0</v>
          </cell>
          <cell r="M1231" t="str">
            <v>ANKA Services</v>
          </cell>
          <cell r="N1231" t="str">
            <v>ANKA ServicesScratch 20 000</v>
          </cell>
          <cell r="O1231" t="str">
            <v>ANKA Services</v>
          </cell>
          <cell r="P1231" t="str">
            <v>Scratch 20 000</v>
          </cell>
          <cell r="Q1231" t="str">
            <v>52007</v>
          </cell>
          <cell r="R1231" t="str">
            <v>52007Scratch 20 000</v>
          </cell>
          <cell r="S1231" t="str">
            <v>2007Scratch 20 000</v>
          </cell>
          <cell r="T1231" t="str">
            <v>52007ANKA Services</v>
          </cell>
          <cell r="U1231" t="str">
            <v>52007ANKA ServicesScratch 20 000</v>
          </cell>
          <cell r="V1231" t="str">
            <v>39218Scratch 20 000</v>
          </cell>
          <cell r="W1231" t="str">
            <v>2007ANKA Services</v>
          </cell>
          <cell r="X1231" t="str">
            <v>2007ANKA ServicesScratch 20 000</v>
          </cell>
        </row>
        <row r="1232">
          <cell r="I1232">
            <v>2007</v>
          </cell>
          <cell r="J1232" t="str">
            <v>SOMAKOFFScratch 1 000</v>
          </cell>
          <cell r="L1232">
            <v>1</v>
          </cell>
          <cell r="M1232" t="str">
            <v>1SOMAKOFF</v>
          </cell>
          <cell r="N1232" t="str">
            <v>SOMAKOFFScratch 1 000</v>
          </cell>
          <cell r="O1232" t="str">
            <v>SOMAKOFF</v>
          </cell>
          <cell r="P1232" t="str">
            <v>Scratch 1 000</v>
          </cell>
          <cell r="Q1232" t="str">
            <v>52007</v>
          </cell>
          <cell r="R1232" t="str">
            <v>52007Scratch 1 000</v>
          </cell>
          <cell r="S1232" t="str">
            <v>2007Scratch 1 000</v>
          </cell>
          <cell r="T1232" t="str">
            <v>52007SOMAKOFF</v>
          </cell>
          <cell r="U1232" t="str">
            <v>52007SOMAKOFFScratch 1 000</v>
          </cell>
          <cell r="V1232" t="str">
            <v>39219Scratch 1 000</v>
          </cell>
          <cell r="W1232" t="str">
            <v>2007SOMAKOFF</v>
          </cell>
          <cell r="X1232" t="str">
            <v>2007SOMAKOFFScratch 1 000</v>
          </cell>
        </row>
        <row r="1233">
          <cell r="I1233">
            <v>2007</v>
          </cell>
          <cell r="J1233" t="str">
            <v>SOMAKOFFScratch 2 000</v>
          </cell>
          <cell r="L1233">
            <v>0</v>
          </cell>
          <cell r="M1233" t="str">
            <v>SOMAKOFF</v>
          </cell>
          <cell r="N1233" t="str">
            <v>SOMAKOFFScratch 2 000</v>
          </cell>
          <cell r="O1233" t="str">
            <v>SOMAKOFF</v>
          </cell>
          <cell r="P1233" t="str">
            <v>Scratch 2 000</v>
          </cell>
          <cell r="Q1233" t="str">
            <v>52007</v>
          </cell>
          <cell r="R1233" t="str">
            <v>52007Scratch 2 000</v>
          </cell>
          <cell r="S1233" t="str">
            <v>2007Scratch 2 000</v>
          </cell>
          <cell r="T1233" t="str">
            <v>52007SOMAKOFF</v>
          </cell>
          <cell r="U1233" t="str">
            <v>52007SOMAKOFFScratch 2 000</v>
          </cell>
          <cell r="V1233" t="str">
            <v>39219Scratch 2 000</v>
          </cell>
          <cell r="W1233" t="str">
            <v>2007SOMAKOFF</v>
          </cell>
          <cell r="X1233" t="str">
            <v>2007SOMAKOFFScratch 2 000</v>
          </cell>
        </row>
        <row r="1234">
          <cell r="I1234">
            <v>2007</v>
          </cell>
          <cell r="J1234" t="str">
            <v>ANKA ServicesScratch 1 000</v>
          </cell>
          <cell r="L1234">
            <v>1</v>
          </cell>
          <cell r="M1234" t="str">
            <v>1ANKA Services</v>
          </cell>
          <cell r="N1234" t="str">
            <v>ANKA ServicesScratch 1 000</v>
          </cell>
          <cell r="O1234" t="str">
            <v>ANKA Services</v>
          </cell>
          <cell r="P1234" t="str">
            <v>Scratch 1 000</v>
          </cell>
          <cell r="Q1234" t="str">
            <v>52007</v>
          </cell>
          <cell r="R1234" t="str">
            <v>52007Scratch 1 000</v>
          </cell>
          <cell r="S1234" t="str">
            <v>2007Scratch 1 000</v>
          </cell>
          <cell r="T1234" t="str">
            <v>52007ANKA Services</v>
          </cell>
          <cell r="U1234" t="str">
            <v>52007ANKA ServicesScratch 1 000</v>
          </cell>
          <cell r="V1234" t="str">
            <v>39219Scratch 1 000</v>
          </cell>
          <cell r="W1234" t="str">
            <v>2007ANKA Services</v>
          </cell>
          <cell r="X1234" t="str">
            <v>2007ANKA ServicesScratch 1 000</v>
          </cell>
        </row>
        <row r="1235">
          <cell r="I1235">
            <v>2007</v>
          </cell>
          <cell r="J1235" t="str">
            <v>ANKA ServicesScratch 2 000</v>
          </cell>
          <cell r="L1235">
            <v>0</v>
          </cell>
          <cell r="M1235" t="str">
            <v>ANKA Services</v>
          </cell>
          <cell r="N1235" t="str">
            <v>ANKA ServicesScratch 2 000</v>
          </cell>
          <cell r="O1235" t="str">
            <v>ANKA Services</v>
          </cell>
          <cell r="P1235" t="str">
            <v>Scratch 2 000</v>
          </cell>
          <cell r="Q1235" t="str">
            <v>52007</v>
          </cell>
          <cell r="R1235" t="str">
            <v>52007Scratch 2 000</v>
          </cell>
          <cell r="S1235" t="str">
            <v>2007Scratch 2 000</v>
          </cell>
          <cell r="T1235" t="str">
            <v>52007ANKA Services</v>
          </cell>
          <cell r="U1235" t="str">
            <v>52007ANKA ServicesScratch 2 000</v>
          </cell>
          <cell r="V1235" t="str">
            <v>39219Scratch 2 000</v>
          </cell>
          <cell r="W1235" t="str">
            <v>2007ANKA Services</v>
          </cell>
          <cell r="X1235" t="str">
            <v>2007ANKA ServicesScratch 2 000</v>
          </cell>
        </row>
        <row r="1236">
          <cell r="I1236">
            <v>2007</v>
          </cell>
          <cell r="J1236" t="str">
            <v>ANKA ServicesScratch 5 000</v>
          </cell>
          <cell r="L1236">
            <v>0</v>
          </cell>
          <cell r="M1236" t="str">
            <v>ANKA Services</v>
          </cell>
          <cell r="N1236" t="str">
            <v>ANKA ServicesScratch 5 000</v>
          </cell>
          <cell r="O1236" t="str">
            <v>ANKA Services</v>
          </cell>
          <cell r="P1236" t="str">
            <v>Scratch 5 000</v>
          </cell>
          <cell r="Q1236" t="str">
            <v>52007</v>
          </cell>
          <cell r="R1236" t="str">
            <v>52007Scratch 5 000</v>
          </cell>
          <cell r="S1236" t="str">
            <v>2007Scratch 5 000</v>
          </cell>
          <cell r="T1236" t="str">
            <v>52007ANKA Services</v>
          </cell>
          <cell r="U1236" t="str">
            <v>52007ANKA ServicesScratch 5 000</v>
          </cell>
          <cell r="V1236" t="str">
            <v>39219Scratch 5 000</v>
          </cell>
          <cell r="W1236" t="str">
            <v>2007ANKA Services</v>
          </cell>
          <cell r="X1236" t="str">
            <v>2007ANKA ServicesScratch 5 000</v>
          </cell>
        </row>
        <row r="1237">
          <cell r="I1237">
            <v>2007</v>
          </cell>
          <cell r="J1237" t="str">
            <v>ANKA ServicesScratch 20 000</v>
          </cell>
          <cell r="L1237">
            <v>0</v>
          </cell>
          <cell r="M1237" t="str">
            <v>ANKA Services</v>
          </cell>
          <cell r="N1237" t="str">
            <v>ANKA ServicesScratch 20 000</v>
          </cell>
          <cell r="O1237" t="str">
            <v>ANKA Services</v>
          </cell>
          <cell r="P1237" t="str">
            <v>Scratch 20 000</v>
          </cell>
          <cell r="Q1237" t="str">
            <v>52007</v>
          </cell>
          <cell r="R1237" t="str">
            <v>52007Scratch 20 000</v>
          </cell>
          <cell r="S1237" t="str">
            <v>2007Scratch 20 000</v>
          </cell>
          <cell r="T1237" t="str">
            <v>52007ANKA Services</v>
          </cell>
          <cell r="U1237" t="str">
            <v>52007ANKA ServicesScratch 20 000</v>
          </cell>
          <cell r="V1237" t="str">
            <v>39219Scratch 20 000</v>
          </cell>
          <cell r="W1237" t="str">
            <v>2007ANKA Services</v>
          </cell>
          <cell r="X1237" t="str">
            <v>2007ANKA ServicesScratch 20 000</v>
          </cell>
        </row>
        <row r="1238">
          <cell r="I1238">
            <v>2007</v>
          </cell>
          <cell r="J1238" t="str">
            <v>SOMAKOFFScratch 5 000</v>
          </cell>
          <cell r="L1238">
            <v>1</v>
          </cell>
          <cell r="M1238" t="str">
            <v>1SOMAKOFF</v>
          </cell>
          <cell r="N1238" t="str">
            <v>SOMAKOFFScratch 5 000</v>
          </cell>
          <cell r="O1238" t="str">
            <v>SOMAKOFF</v>
          </cell>
          <cell r="P1238" t="str">
            <v>Scratch 5 000</v>
          </cell>
          <cell r="Q1238" t="str">
            <v>52007</v>
          </cell>
          <cell r="R1238" t="str">
            <v>52007Scratch 5 000</v>
          </cell>
          <cell r="S1238" t="str">
            <v>2007Scratch 5 000</v>
          </cell>
          <cell r="T1238" t="str">
            <v>52007SOMAKOFF</v>
          </cell>
          <cell r="U1238" t="str">
            <v>52007SOMAKOFFScratch 5 000</v>
          </cell>
          <cell r="V1238" t="str">
            <v>39219Scratch 5 000</v>
          </cell>
          <cell r="W1238" t="str">
            <v>2007SOMAKOFF</v>
          </cell>
          <cell r="X1238" t="str">
            <v>2007SOMAKOFFScratch 5 000</v>
          </cell>
        </row>
        <row r="1239">
          <cell r="I1239">
            <v>2007</v>
          </cell>
          <cell r="J1239" t="str">
            <v>GEMATELScratch 1 000</v>
          </cell>
          <cell r="L1239">
            <v>1</v>
          </cell>
          <cell r="M1239" t="str">
            <v>1GEMATEL</v>
          </cell>
          <cell r="N1239" t="str">
            <v>GEMATELScratch 1 000</v>
          </cell>
          <cell r="O1239" t="str">
            <v>GEMATEL</v>
          </cell>
          <cell r="P1239" t="str">
            <v>Scratch 1 000</v>
          </cell>
          <cell r="Q1239" t="str">
            <v>52007</v>
          </cell>
          <cell r="R1239" t="str">
            <v>52007Scratch 1 000</v>
          </cell>
          <cell r="S1239" t="str">
            <v>2007Scratch 1 000</v>
          </cell>
          <cell r="T1239" t="str">
            <v>52007GEMATEL</v>
          </cell>
          <cell r="U1239" t="str">
            <v>52007GEMATELScratch 1 000</v>
          </cell>
          <cell r="V1239" t="str">
            <v>39219Scratch 1 000</v>
          </cell>
          <cell r="W1239" t="str">
            <v>2007GEMATEL</v>
          </cell>
          <cell r="X1239" t="str">
            <v>2007GEMATELScratch 1 000</v>
          </cell>
        </row>
        <row r="1240">
          <cell r="I1240">
            <v>2007</v>
          </cell>
          <cell r="J1240" t="str">
            <v>GEMATELScratch 2 000</v>
          </cell>
          <cell r="L1240">
            <v>0</v>
          </cell>
          <cell r="M1240" t="str">
            <v>GEMATEL</v>
          </cell>
          <cell r="N1240" t="str">
            <v>GEMATELScratch 2 000</v>
          </cell>
          <cell r="O1240" t="str">
            <v>GEMATEL</v>
          </cell>
          <cell r="P1240" t="str">
            <v>Scratch 2 000</v>
          </cell>
          <cell r="Q1240" t="str">
            <v>52007</v>
          </cell>
          <cell r="R1240" t="str">
            <v>52007Scratch 2 000</v>
          </cell>
          <cell r="S1240" t="str">
            <v>2007Scratch 2 000</v>
          </cell>
          <cell r="T1240" t="str">
            <v>52007GEMATEL</v>
          </cell>
          <cell r="U1240" t="str">
            <v>52007GEMATELScratch 2 000</v>
          </cell>
          <cell r="V1240" t="str">
            <v>39219Scratch 2 000</v>
          </cell>
          <cell r="W1240" t="str">
            <v>2007GEMATEL</v>
          </cell>
          <cell r="X1240" t="str">
            <v>2007GEMATELScratch 2 000</v>
          </cell>
        </row>
        <row r="1241">
          <cell r="I1241">
            <v>2007</v>
          </cell>
          <cell r="J1241" t="str">
            <v>GEMATELScratch 5 000</v>
          </cell>
          <cell r="L1241">
            <v>0</v>
          </cell>
          <cell r="M1241" t="str">
            <v>GEMATEL</v>
          </cell>
          <cell r="N1241" t="str">
            <v>GEMATELScratch 5 000</v>
          </cell>
          <cell r="O1241" t="str">
            <v>GEMATEL</v>
          </cell>
          <cell r="P1241" t="str">
            <v>Scratch 5 000</v>
          </cell>
          <cell r="Q1241" t="str">
            <v>52007</v>
          </cell>
          <cell r="R1241" t="str">
            <v>52007Scratch 5 000</v>
          </cell>
          <cell r="S1241" t="str">
            <v>2007Scratch 5 000</v>
          </cell>
          <cell r="T1241" t="str">
            <v>52007GEMATEL</v>
          </cell>
          <cell r="U1241" t="str">
            <v>52007GEMATELScratch 5 000</v>
          </cell>
          <cell r="V1241" t="str">
            <v>39219Scratch 5 000</v>
          </cell>
          <cell r="W1241" t="str">
            <v>2007GEMATEL</v>
          </cell>
          <cell r="X1241" t="str">
            <v>2007GEMATELScratch 5 000</v>
          </cell>
        </row>
        <row r="1242">
          <cell r="I1242">
            <v>2007</v>
          </cell>
          <cell r="J1242" t="str">
            <v>ANKA ServicesScratch 1 000</v>
          </cell>
          <cell r="L1242">
            <v>1</v>
          </cell>
          <cell r="M1242" t="str">
            <v>1ANKA Services</v>
          </cell>
          <cell r="N1242" t="str">
            <v>ANKA ServicesScratch 1 000</v>
          </cell>
          <cell r="O1242" t="str">
            <v>ANKA Services</v>
          </cell>
          <cell r="P1242" t="str">
            <v>Scratch 1 000</v>
          </cell>
          <cell r="Q1242" t="str">
            <v>52007</v>
          </cell>
          <cell r="R1242" t="str">
            <v>52007Scratch 1 000</v>
          </cell>
          <cell r="S1242" t="str">
            <v>2007Scratch 1 000</v>
          </cell>
          <cell r="T1242" t="str">
            <v>52007ANKA Services</v>
          </cell>
          <cell r="U1242" t="str">
            <v>52007ANKA ServicesScratch 1 000</v>
          </cell>
          <cell r="V1242" t="str">
            <v>39219Scratch 1 000</v>
          </cell>
          <cell r="W1242" t="str">
            <v>2007ANKA Services</v>
          </cell>
          <cell r="X1242" t="str">
            <v>2007ANKA ServicesScratch 1 000</v>
          </cell>
        </row>
        <row r="1243">
          <cell r="I1243">
            <v>2007</v>
          </cell>
          <cell r="J1243" t="str">
            <v>ANKA ServicesScratch 2 000</v>
          </cell>
          <cell r="L1243">
            <v>0</v>
          </cell>
          <cell r="M1243" t="str">
            <v>ANKA Services</v>
          </cell>
          <cell r="N1243" t="str">
            <v>ANKA ServicesScratch 2 000</v>
          </cell>
          <cell r="O1243" t="str">
            <v>ANKA Services</v>
          </cell>
          <cell r="P1243" t="str">
            <v>Scratch 2 000</v>
          </cell>
          <cell r="Q1243" t="str">
            <v>52007</v>
          </cell>
          <cell r="R1243" t="str">
            <v>52007Scratch 2 000</v>
          </cell>
          <cell r="S1243" t="str">
            <v>2007Scratch 2 000</v>
          </cell>
          <cell r="T1243" t="str">
            <v>52007ANKA Services</v>
          </cell>
          <cell r="U1243" t="str">
            <v>52007ANKA ServicesScratch 2 000</v>
          </cell>
          <cell r="V1243" t="str">
            <v>39219Scratch 2 000</v>
          </cell>
          <cell r="W1243" t="str">
            <v>2007ANKA Services</v>
          </cell>
          <cell r="X1243" t="str">
            <v>2007ANKA ServicesScratch 2 000</v>
          </cell>
        </row>
        <row r="1244">
          <cell r="I1244">
            <v>2007</v>
          </cell>
          <cell r="J1244" t="str">
            <v>ANKA ServicesScratch 5 000</v>
          </cell>
          <cell r="L1244">
            <v>0</v>
          </cell>
          <cell r="M1244" t="str">
            <v>ANKA Services</v>
          </cell>
          <cell r="N1244" t="str">
            <v>ANKA ServicesScratch 5 000</v>
          </cell>
          <cell r="O1244" t="str">
            <v>ANKA Services</v>
          </cell>
          <cell r="P1244" t="str">
            <v>Scratch 5 000</v>
          </cell>
          <cell r="Q1244" t="str">
            <v>52007</v>
          </cell>
          <cell r="R1244" t="str">
            <v>52007Scratch 5 000</v>
          </cell>
          <cell r="S1244" t="str">
            <v>2007Scratch 5 000</v>
          </cell>
          <cell r="T1244" t="str">
            <v>52007ANKA Services</v>
          </cell>
          <cell r="U1244" t="str">
            <v>52007ANKA ServicesScratch 5 000</v>
          </cell>
          <cell r="V1244" t="str">
            <v>39219Scratch 5 000</v>
          </cell>
          <cell r="W1244" t="str">
            <v>2007ANKA Services</v>
          </cell>
          <cell r="X1244" t="str">
            <v>2007ANKA ServicesScratch 5 000</v>
          </cell>
        </row>
        <row r="1245">
          <cell r="I1245">
            <v>2007</v>
          </cell>
          <cell r="J1245" t="str">
            <v>STS GAMBY &amp; FRERES (SOGAF) SarlScratch 1 000</v>
          </cell>
          <cell r="L1245">
            <v>1</v>
          </cell>
          <cell r="M1245" t="str">
            <v>1STS GAMBY &amp; FRERES (SOGAF) Sarl</v>
          </cell>
          <cell r="N1245" t="str">
            <v>STS GAMBY &amp; FRERES (SOGAF) SarlScratch 1 000</v>
          </cell>
          <cell r="O1245" t="str">
            <v>STS GAMBY &amp; FRERES (SOGAF) Sarl</v>
          </cell>
          <cell r="P1245" t="str">
            <v>Scratch 1 000</v>
          </cell>
          <cell r="Q1245" t="str">
            <v>52007</v>
          </cell>
          <cell r="R1245" t="str">
            <v>52007Scratch 1 000</v>
          </cell>
          <cell r="S1245" t="str">
            <v>2007Scratch 1 000</v>
          </cell>
          <cell r="T1245" t="str">
            <v>52007STS GAMBY &amp; FRERES (SOGAF) Sarl</v>
          </cell>
          <cell r="U1245" t="str">
            <v>52007STS GAMBY &amp; FRERES (SOGAF) SarlScratch 1 000</v>
          </cell>
          <cell r="V1245" t="str">
            <v>39220Scratch 1 000</v>
          </cell>
          <cell r="W1245" t="str">
            <v>2007STS GAMBY &amp; FRERES (SOGAF) Sarl</v>
          </cell>
          <cell r="X1245" t="str">
            <v>2007STS GAMBY &amp; FRERES (SOGAF) SarlScratch 1 000</v>
          </cell>
        </row>
        <row r="1246">
          <cell r="I1246">
            <v>2007</v>
          </cell>
          <cell r="J1246" t="str">
            <v>STS GAMBY &amp; FRERES (SOGAF) SarlScratch 2 000</v>
          </cell>
          <cell r="L1246">
            <v>0</v>
          </cell>
          <cell r="M1246" t="str">
            <v>STS GAMBY &amp; FRERES (SOGAF) Sarl</v>
          </cell>
          <cell r="N1246" t="str">
            <v>STS GAMBY &amp; FRERES (SOGAF) SarlScratch 2 000</v>
          </cell>
          <cell r="O1246" t="str">
            <v>STS GAMBY &amp; FRERES (SOGAF) Sarl</v>
          </cell>
          <cell r="P1246" t="str">
            <v>Scratch 2 000</v>
          </cell>
          <cell r="Q1246" t="str">
            <v>52007</v>
          </cell>
          <cell r="R1246" t="str">
            <v>52007Scratch 2 000</v>
          </cell>
          <cell r="S1246" t="str">
            <v>2007Scratch 2 000</v>
          </cell>
          <cell r="T1246" t="str">
            <v>52007STS GAMBY &amp; FRERES (SOGAF) Sarl</v>
          </cell>
          <cell r="U1246" t="str">
            <v>52007STS GAMBY &amp; FRERES (SOGAF) SarlScratch 2 000</v>
          </cell>
          <cell r="V1246" t="str">
            <v>39220Scratch 2 000</v>
          </cell>
          <cell r="W1246" t="str">
            <v>2007STS GAMBY &amp; FRERES (SOGAF) Sarl</v>
          </cell>
          <cell r="X1246" t="str">
            <v>2007STS GAMBY &amp; FRERES (SOGAF) SarlScratch 2 000</v>
          </cell>
        </row>
        <row r="1247">
          <cell r="I1247">
            <v>2007</v>
          </cell>
          <cell r="J1247" t="str">
            <v>STS GAMBY &amp; FRERES (SOGAF) SarlScratch 5 000</v>
          </cell>
          <cell r="L1247">
            <v>0</v>
          </cell>
          <cell r="M1247" t="str">
            <v>STS GAMBY &amp; FRERES (SOGAF) Sarl</v>
          </cell>
          <cell r="N1247" t="str">
            <v>STS GAMBY &amp; FRERES (SOGAF) SarlScratch 5 000</v>
          </cell>
          <cell r="O1247" t="str">
            <v>STS GAMBY &amp; FRERES (SOGAF) Sarl</v>
          </cell>
          <cell r="P1247" t="str">
            <v>Scratch 5 000</v>
          </cell>
          <cell r="Q1247" t="str">
            <v>52007</v>
          </cell>
          <cell r="R1247" t="str">
            <v>52007Scratch 5 000</v>
          </cell>
          <cell r="S1247" t="str">
            <v>2007Scratch 5 000</v>
          </cell>
          <cell r="T1247" t="str">
            <v>52007STS GAMBY &amp; FRERES (SOGAF) Sarl</v>
          </cell>
          <cell r="U1247" t="str">
            <v>52007STS GAMBY &amp; FRERES (SOGAF) SarlScratch 5 000</v>
          </cell>
          <cell r="V1247" t="str">
            <v>39220Scratch 5 000</v>
          </cell>
          <cell r="W1247" t="str">
            <v>2007STS GAMBY &amp; FRERES (SOGAF) Sarl</v>
          </cell>
          <cell r="X1247" t="str">
            <v>2007STS GAMBY &amp; FRERES (SOGAF) SarlScratch 5 000</v>
          </cell>
        </row>
        <row r="1248">
          <cell r="I1248">
            <v>2007</v>
          </cell>
          <cell r="J1248" t="str">
            <v>STS GAMBY &amp; FRERES (SOGAF) SarlScratch 20 000</v>
          </cell>
          <cell r="L1248">
            <v>0</v>
          </cell>
          <cell r="M1248" t="str">
            <v>STS GAMBY &amp; FRERES (SOGAF) Sarl</v>
          </cell>
          <cell r="N1248" t="str">
            <v>STS GAMBY &amp; FRERES (SOGAF) SarlScratch 20 000</v>
          </cell>
          <cell r="O1248" t="str">
            <v>STS GAMBY &amp; FRERES (SOGAF) Sarl</v>
          </cell>
          <cell r="P1248" t="str">
            <v>Scratch 20 000</v>
          </cell>
          <cell r="Q1248" t="str">
            <v>52007</v>
          </cell>
          <cell r="R1248" t="str">
            <v>52007Scratch 20 000</v>
          </cell>
          <cell r="S1248" t="str">
            <v>2007Scratch 20 000</v>
          </cell>
          <cell r="T1248" t="str">
            <v>52007STS GAMBY &amp; FRERES (SOGAF) Sarl</v>
          </cell>
          <cell r="U1248" t="str">
            <v>52007STS GAMBY &amp; FRERES (SOGAF) SarlScratch 20 000</v>
          </cell>
          <cell r="V1248" t="str">
            <v>39220Scratch 20 000</v>
          </cell>
          <cell r="W1248" t="str">
            <v>2007STS GAMBY &amp; FRERES (SOGAF) Sarl</v>
          </cell>
          <cell r="X1248" t="str">
            <v>2007STS GAMBY &amp; FRERES (SOGAF) SarlScratch 20 000</v>
          </cell>
        </row>
        <row r="1249">
          <cell r="I1249">
            <v>2007</v>
          </cell>
          <cell r="J1249" t="str">
            <v>ETS Boubacar TANDIAScratch 1 000</v>
          </cell>
          <cell r="L1249">
            <v>1</v>
          </cell>
          <cell r="M1249" t="str">
            <v>1ETS Boubacar TANDIA</v>
          </cell>
          <cell r="N1249" t="str">
            <v>ETS Boubacar TANDIAScratch 1 000</v>
          </cell>
          <cell r="O1249" t="str">
            <v>ETS Boubacar TANDIA</v>
          </cell>
          <cell r="P1249" t="str">
            <v>Scratch 1 000</v>
          </cell>
          <cell r="Q1249" t="str">
            <v>52007</v>
          </cell>
          <cell r="R1249" t="str">
            <v>52007Scratch 1 000</v>
          </cell>
          <cell r="S1249" t="str">
            <v>2007Scratch 1 000</v>
          </cell>
          <cell r="T1249" t="str">
            <v>52007ETS Boubacar TANDIA</v>
          </cell>
          <cell r="U1249" t="str">
            <v>52007ETS Boubacar TANDIAScratch 1 000</v>
          </cell>
          <cell r="V1249" t="str">
            <v>39220Scratch 1 000</v>
          </cell>
          <cell r="W1249" t="str">
            <v>2007ETS Boubacar TANDIA</v>
          </cell>
          <cell r="X1249" t="str">
            <v>2007ETS Boubacar TANDIAScratch 1 000</v>
          </cell>
        </row>
        <row r="1250">
          <cell r="I1250">
            <v>2007</v>
          </cell>
          <cell r="J1250" t="str">
            <v>ETS Boubacar TANDIAScratch 2 000</v>
          </cell>
          <cell r="L1250">
            <v>0</v>
          </cell>
          <cell r="M1250" t="str">
            <v>ETS Boubacar TANDIA</v>
          </cell>
          <cell r="N1250" t="str">
            <v>ETS Boubacar TANDIAScratch 2 000</v>
          </cell>
          <cell r="O1250" t="str">
            <v>ETS Boubacar TANDIA</v>
          </cell>
          <cell r="P1250" t="str">
            <v>Scratch 2 000</v>
          </cell>
          <cell r="Q1250" t="str">
            <v>52007</v>
          </cell>
          <cell r="R1250" t="str">
            <v>52007Scratch 2 000</v>
          </cell>
          <cell r="S1250" t="str">
            <v>2007Scratch 2 000</v>
          </cell>
          <cell r="T1250" t="str">
            <v>52007ETS Boubacar TANDIA</v>
          </cell>
          <cell r="U1250" t="str">
            <v>52007ETS Boubacar TANDIAScratch 2 000</v>
          </cell>
          <cell r="V1250" t="str">
            <v>39220Scratch 2 000</v>
          </cell>
          <cell r="W1250" t="str">
            <v>2007ETS Boubacar TANDIA</v>
          </cell>
          <cell r="X1250" t="str">
            <v>2007ETS Boubacar TANDIAScratch 2 000</v>
          </cell>
        </row>
        <row r="1251">
          <cell r="I1251">
            <v>2007</v>
          </cell>
          <cell r="J1251" t="str">
            <v>ETS Boubacar TANDIAScratch 5 000</v>
          </cell>
          <cell r="L1251">
            <v>0</v>
          </cell>
          <cell r="M1251" t="str">
            <v>ETS Boubacar TANDIA</v>
          </cell>
          <cell r="N1251" t="str">
            <v>ETS Boubacar TANDIAScratch 5 000</v>
          </cell>
          <cell r="O1251" t="str">
            <v>ETS Boubacar TANDIA</v>
          </cell>
          <cell r="P1251" t="str">
            <v>Scratch 5 000</v>
          </cell>
          <cell r="Q1251" t="str">
            <v>52007</v>
          </cell>
          <cell r="R1251" t="str">
            <v>52007Scratch 5 000</v>
          </cell>
          <cell r="S1251" t="str">
            <v>2007Scratch 5 000</v>
          </cell>
          <cell r="T1251" t="str">
            <v>52007ETS Boubacar TANDIA</v>
          </cell>
          <cell r="U1251" t="str">
            <v>52007ETS Boubacar TANDIAScratch 5 000</v>
          </cell>
          <cell r="V1251" t="str">
            <v>39220Scratch 5 000</v>
          </cell>
          <cell r="W1251" t="str">
            <v>2007ETS Boubacar TANDIA</v>
          </cell>
          <cell r="X1251" t="str">
            <v>2007ETS Boubacar TANDIAScratch 5 000</v>
          </cell>
        </row>
        <row r="1252">
          <cell r="I1252">
            <v>2007</v>
          </cell>
          <cell r="J1252" t="str">
            <v>ETS Boubacar TANDIAScratch 10 000</v>
          </cell>
          <cell r="L1252">
            <v>0</v>
          </cell>
          <cell r="M1252" t="str">
            <v>ETS Boubacar TANDIA</v>
          </cell>
          <cell r="N1252" t="str">
            <v>ETS Boubacar TANDIAScratch 10 000</v>
          </cell>
          <cell r="O1252" t="str">
            <v>ETS Boubacar TANDIA</v>
          </cell>
          <cell r="P1252" t="str">
            <v>Scratch 10 000</v>
          </cell>
          <cell r="Q1252" t="str">
            <v>52007</v>
          </cell>
          <cell r="R1252" t="str">
            <v>52007Scratch 10 000</v>
          </cell>
          <cell r="S1252" t="str">
            <v>2007Scratch 10 000</v>
          </cell>
          <cell r="T1252" t="str">
            <v>52007ETS Boubacar TANDIA</v>
          </cell>
          <cell r="U1252" t="str">
            <v>52007ETS Boubacar TANDIAScratch 10 000</v>
          </cell>
          <cell r="V1252" t="str">
            <v>39220Scratch 10 000</v>
          </cell>
          <cell r="W1252" t="str">
            <v>2007ETS Boubacar TANDIA</v>
          </cell>
          <cell r="X1252" t="str">
            <v>2007ETS Boubacar TANDIAScratch 10 000</v>
          </cell>
        </row>
        <row r="1253">
          <cell r="I1253">
            <v>2007</v>
          </cell>
          <cell r="J1253" t="str">
            <v>ETS Boubacar TANDIAScratch 20 000</v>
          </cell>
          <cell r="L1253">
            <v>0</v>
          </cell>
          <cell r="M1253" t="str">
            <v>ETS Boubacar TANDIA</v>
          </cell>
          <cell r="N1253" t="str">
            <v>ETS Boubacar TANDIAScratch 20 000</v>
          </cell>
          <cell r="O1253" t="str">
            <v>ETS Boubacar TANDIA</v>
          </cell>
          <cell r="P1253" t="str">
            <v>Scratch 20 000</v>
          </cell>
          <cell r="Q1253" t="str">
            <v>52007</v>
          </cell>
          <cell r="R1253" t="str">
            <v>52007Scratch 20 000</v>
          </cell>
          <cell r="S1253" t="str">
            <v>2007Scratch 20 000</v>
          </cell>
          <cell r="T1253" t="str">
            <v>52007ETS Boubacar TANDIA</v>
          </cell>
          <cell r="U1253" t="str">
            <v>52007ETS Boubacar TANDIAScratch 20 000</v>
          </cell>
          <cell r="V1253" t="str">
            <v>39220Scratch 20 000</v>
          </cell>
          <cell r="W1253" t="str">
            <v>2007ETS Boubacar TANDIA</v>
          </cell>
          <cell r="X1253" t="str">
            <v>2007ETS Boubacar TANDIAScratch 20 000</v>
          </cell>
        </row>
        <row r="1254">
          <cell r="I1254">
            <v>2007</v>
          </cell>
          <cell r="J1254" t="str">
            <v>GEMATELScratch 1 000</v>
          </cell>
          <cell r="L1254">
            <v>1</v>
          </cell>
          <cell r="M1254" t="str">
            <v>1GEMATEL</v>
          </cell>
          <cell r="N1254" t="str">
            <v>GEMATELScratch 1 000</v>
          </cell>
          <cell r="O1254" t="str">
            <v>GEMATEL</v>
          </cell>
          <cell r="P1254" t="str">
            <v>Scratch 1 000</v>
          </cell>
          <cell r="Q1254" t="str">
            <v>52007</v>
          </cell>
          <cell r="R1254" t="str">
            <v>52007Scratch 1 000</v>
          </cell>
          <cell r="S1254" t="str">
            <v>2007Scratch 1 000</v>
          </cell>
          <cell r="T1254" t="str">
            <v>52007GEMATEL</v>
          </cell>
          <cell r="U1254" t="str">
            <v>52007GEMATELScratch 1 000</v>
          </cell>
          <cell r="V1254" t="str">
            <v>39220Scratch 1 000</v>
          </cell>
          <cell r="W1254" t="str">
            <v>2007GEMATEL</v>
          </cell>
          <cell r="X1254" t="str">
            <v>2007GEMATELScratch 1 000</v>
          </cell>
        </row>
        <row r="1255">
          <cell r="I1255">
            <v>2007</v>
          </cell>
          <cell r="J1255" t="str">
            <v>GEMATELScratch 2 000</v>
          </cell>
          <cell r="L1255">
            <v>0</v>
          </cell>
          <cell r="M1255" t="str">
            <v>GEMATEL</v>
          </cell>
          <cell r="N1255" t="str">
            <v>GEMATELScratch 2 000</v>
          </cell>
          <cell r="O1255" t="str">
            <v>GEMATEL</v>
          </cell>
          <cell r="P1255" t="str">
            <v>Scratch 2 000</v>
          </cell>
          <cell r="Q1255" t="str">
            <v>52007</v>
          </cell>
          <cell r="R1255" t="str">
            <v>52007Scratch 2 000</v>
          </cell>
          <cell r="S1255" t="str">
            <v>2007Scratch 2 000</v>
          </cell>
          <cell r="T1255" t="str">
            <v>52007GEMATEL</v>
          </cell>
          <cell r="U1255" t="str">
            <v>52007GEMATELScratch 2 000</v>
          </cell>
          <cell r="V1255" t="str">
            <v>39220Scratch 2 000</v>
          </cell>
          <cell r="W1255" t="str">
            <v>2007GEMATEL</v>
          </cell>
          <cell r="X1255" t="str">
            <v>2007GEMATELScratch 2 000</v>
          </cell>
        </row>
        <row r="1256">
          <cell r="I1256">
            <v>2007</v>
          </cell>
          <cell r="J1256" t="str">
            <v>GEMATELScratch 5 000</v>
          </cell>
          <cell r="L1256">
            <v>0</v>
          </cell>
          <cell r="M1256" t="str">
            <v>GEMATEL</v>
          </cell>
          <cell r="N1256" t="str">
            <v>GEMATELScratch 5 000</v>
          </cell>
          <cell r="O1256" t="str">
            <v>GEMATEL</v>
          </cell>
          <cell r="P1256" t="str">
            <v>Scratch 5 000</v>
          </cell>
          <cell r="Q1256" t="str">
            <v>52007</v>
          </cell>
          <cell r="R1256" t="str">
            <v>52007Scratch 5 000</v>
          </cell>
          <cell r="S1256" t="str">
            <v>2007Scratch 5 000</v>
          </cell>
          <cell r="T1256" t="str">
            <v>52007GEMATEL</v>
          </cell>
          <cell r="U1256" t="str">
            <v>52007GEMATELScratch 5 000</v>
          </cell>
          <cell r="V1256" t="str">
            <v>39220Scratch 5 000</v>
          </cell>
          <cell r="W1256" t="str">
            <v>2007GEMATEL</v>
          </cell>
          <cell r="X1256" t="str">
            <v>2007GEMATELScratch 5 000</v>
          </cell>
        </row>
        <row r="1257">
          <cell r="I1257">
            <v>2007</v>
          </cell>
          <cell r="J1257" t="str">
            <v>ANKA ServicesScratch 1 000</v>
          </cell>
          <cell r="L1257">
            <v>1</v>
          </cell>
          <cell r="M1257" t="str">
            <v>1ANKA Services</v>
          </cell>
          <cell r="N1257" t="str">
            <v>ANKA ServicesScratch 1 000</v>
          </cell>
          <cell r="O1257" t="str">
            <v>ANKA Services</v>
          </cell>
          <cell r="P1257" t="str">
            <v>Scratch 1 000</v>
          </cell>
          <cell r="Q1257" t="str">
            <v>52007</v>
          </cell>
          <cell r="R1257" t="str">
            <v>52007Scratch 1 000</v>
          </cell>
          <cell r="S1257" t="str">
            <v>2007Scratch 1 000</v>
          </cell>
          <cell r="T1257" t="str">
            <v>52007ANKA Services</v>
          </cell>
          <cell r="U1257" t="str">
            <v>52007ANKA ServicesScratch 1 000</v>
          </cell>
          <cell r="V1257" t="str">
            <v>39220Scratch 1 000</v>
          </cell>
          <cell r="W1257" t="str">
            <v>2007ANKA Services</v>
          </cell>
          <cell r="X1257" t="str">
            <v>2007ANKA ServicesScratch 1 000</v>
          </cell>
        </row>
        <row r="1258">
          <cell r="I1258">
            <v>2007</v>
          </cell>
          <cell r="J1258" t="str">
            <v>ANKA ServicesScratch 2 000</v>
          </cell>
          <cell r="L1258">
            <v>0</v>
          </cell>
          <cell r="M1258" t="str">
            <v>ANKA Services</v>
          </cell>
          <cell r="N1258" t="str">
            <v>ANKA ServicesScratch 2 000</v>
          </cell>
          <cell r="O1258" t="str">
            <v>ANKA Services</v>
          </cell>
          <cell r="P1258" t="str">
            <v>Scratch 2 000</v>
          </cell>
          <cell r="Q1258" t="str">
            <v>52007</v>
          </cell>
          <cell r="R1258" t="str">
            <v>52007Scratch 2 000</v>
          </cell>
          <cell r="S1258" t="str">
            <v>2007Scratch 2 000</v>
          </cell>
          <cell r="T1258" t="str">
            <v>52007ANKA Services</v>
          </cell>
          <cell r="U1258" t="str">
            <v>52007ANKA ServicesScratch 2 000</v>
          </cell>
          <cell r="V1258" t="str">
            <v>39220Scratch 2 000</v>
          </cell>
          <cell r="W1258" t="str">
            <v>2007ANKA Services</v>
          </cell>
          <cell r="X1258" t="str">
            <v>2007ANKA ServicesScratch 2 000</v>
          </cell>
        </row>
        <row r="1259">
          <cell r="I1259">
            <v>2007</v>
          </cell>
          <cell r="J1259" t="str">
            <v>ANKA ServicesScratch 5 000</v>
          </cell>
          <cell r="L1259">
            <v>0</v>
          </cell>
          <cell r="M1259" t="str">
            <v>ANKA Services</v>
          </cell>
          <cell r="N1259" t="str">
            <v>ANKA ServicesScratch 5 000</v>
          </cell>
          <cell r="O1259" t="str">
            <v>ANKA Services</v>
          </cell>
          <cell r="P1259" t="str">
            <v>Scratch 5 000</v>
          </cell>
          <cell r="Q1259" t="str">
            <v>52007</v>
          </cell>
          <cell r="R1259" t="str">
            <v>52007Scratch 5 000</v>
          </cell>
          <cell r="S1259" t="str">
            <v>2007Scratch 5 000</v>
          </cell>
          <cell r="T1259" t="str">
            <v>52007ANKA Services</v>
          </cell>
          <cell r="U1259" t="str">
            <v>52007ANKA ServicesScratch 5 000</v>
          </cell>
          <cell r="V1259" t="str">
            <v>39220Scratch 5 000</v>
          </cell>
          <cell r="W1259" t="str">
            <v>2007ANKA Services</v>
          </cell>
          <cell r="X1259" t="str">
            <v>2007ANKA ServicesScratch 5 000</v>
          </cell>
        </row>
        <row r="1260">
          <cell r="I1260">
            <v>2007</v>
          </cell>
          <cell r="J1260" t="str">
            <v>ANKA ServicesScratch 20 000</v>
          </cell>
          <cell r="L1260">
            <v>0</v>
          </cell>
          <cell r="M1260" t="str">
            <v>ANKA Services</v>
          </cell>
          <cell r="N1260" t="str">
            <v>ANKA ServicesScratch 20 000</v>
          </cell>
          <cell r="O1260" t="str">
            <v>ANKA Services</v>
          </cell>
          <cell r="P1260" t="str">
            <v>Scratch 20 000</v>
          </cell>
          <cell r="Q1260" t="str">
            <v>52007</v>
          </cell>
          <cell r="R1260" t="str">
            <v>52007Scratch 20 000</v>
          </cell>
          <cell r="S1260" t="str">
            <v>2007Scratch 20 000</v>
          </cell>
          <cell r="T1260" t="str">
            <v>52007ANKA Services</v>
          </cell>
          <cell r="U1260" t="str">
            <v>52007ANKA ServicesScratch 20 000</v>
          </cell>
          <cell r="V1260" t="str">
            <v>39220Scratch 20 000</v>
          </cell>
          <cell r="W1260" t="str">
            <v>2007ANKA Services</v>
          </cell>
          <cell r="X1260" t="str">
            <v>2007ANKA ServicesScratch 20 000</v>
          </cell>
        </row>
        <row r="1261">
          <cell r="I1261">
            <v>2007</v>
          </cell>
          <cell r="J1261" t="str">
            <v>Ets Mamadou GAMBYScratch 1 000</v>
          </cell>
          <cell r="L1261">
            <v>1</v>
          </cell>
          <cell r="M1261" t="str">
            <v>1Ets Mamadou GAMBY</v>
          </cell>
          <cell r="N1261" t="str">
            <v>Ets Mamadou GAMBYScratch 1 000</v>
          </cell>
          <cell r="O1261" t="str">
            <v>Ets Mamadou GAMBY</v>
          </cell>
          <cell r="P1261" t="str">
            <v>Scratch 1 000</v>
          </cell>
          <cell r="Q1261" t="str">
            <v>52007</v>
          </cell>
          <cell r="R1261" t="str">
            <v>52007Scratch 1 000</v>
          </cell>
          <cell r="S1261" t="str">
            <v>2007Scratch 1 000</v>
          </cell>
          <cell r="T1261" t="str">
            <v>52007Ets Mamadou GAMBY</v>
          </cell>
          <cell r="U1261" t="str">
            <v>52007Ets Mamadou GAMBYScratch 1 000</v>
          </cell>
          <cell r="V1261" t="str">
            <v>39223Scratch 1 000</v>
          </cell>
          <cell r="W1261" t="str">
            <v>2007Ets Mamadou GAMBY</v>
          </cell>
          <cell r="X1261" t="str">
            <v>2007Ets Mamadou GAMBYScratch 1 000</v>
          </cell>
        </row>
        <row r="1262">
          <cell r="I1262">
            <v>2007</v>
          </cell>
          <cell r="J1262" t="str">
            <v>Ets Mamadou GAMBYScratch 2 000</v>
          </cell>
          <cell r="L1262">
            <v>0</v>
          </cell>
          <cell r="M1262" t="str">
            <v>Ets Mamadou GAMBY</v>
          </cell>
          <cell r="N1262" t="str">
            <v>Ets Mamadou GAMBYScratch 2 000</v>
          </cell>
          <cell r="O1262" t="str">
            <v>Ets Mamadou GAMBY</v>
          </cell>
          <cell r="P1262" t="str">
            <v>Scratch 2 000</v>
          </cell>
          <cell r="Q1262" t="str">
            <v>52007</v>
          </cell>
          <cell r="R1262" t="str">
            <v>52007Scratch 2 000</v>
          </cell>
          <cell r="S1262" t="str">
            <v>2007Scratch 2 000</v>
          </cell>
          <cell r="T1262" t="str">
            <v>52007Ets Mamadou GAMBY</v>
          </cell>
          <cell r="U1262" t="str">
            <v>52007Ets Mamadou GAMBYScratch 2 000</v>
          </cell>
          <cell r="V1262" t="str">
            <v>39223Scratch 2 000</v>
          </cell>
          <cell r="W1262" t="str">
            <v>2007Ets Mamadou GAMBY</v>
          </cell>
          <cell r="X1262" t="str">
            <v>2007Ets Mamadou GAMBYScratch 2 000</v>
          </cell>
        </row>
        <row r="1263">
          <cell r="I1263">
            <v>2007</v>
          </cell>
          <cell r="J1263" t="str">
            <v>Ets Mamadou GAMBYScratch 5 000</v>
          </cell>
          <cell r="L1263">
            <v>0</v>
          </cell>
          <cell r="M1263" t="str">
            <v>Ets Mamadou GAMBY</v>
          </cell>
          <cell r="N1263" t="str">
            <v>Ets Mamadou GAMBYScratch 5 000</v>
          </cell>
          <cell r="O1263" t="str">
            <v>Ets Mamadou GAMBY</v>
          </cell>
          <cell r="P1263" t="str">
            <v>Scratch 5 000</v>
          </cell>
          <cell r="Q1263" t="str">
            <v>52007</v>
          </cell>
          <cell r="R1263" t="str">
            <v>52007Scratch 5 000</v>
          </cell>
          <cell r="S1263" t="str">
            <v>2007Scratch 5 000</v>
          </cell>
          <cell r="T1263" t="str">
            <v>52007Ets Mamadou GAMBY</v>
          </cell>
          <cell r="U1263" t="str">
            <v>52007Ets Mamadou GAMBYScratch 5 000</v>
          </cell>
          <cell r="V1263" t="str">
            <v>39223Scratch 5 000</v>
          </cell>
          <cell r="W1263" t="str">
            <v>2007Ets Mamadou GAMBY</v>
          </cell>
          <cell r="X1263" t="str">
            <v>2007Ets Mamadou GAMBYScratch 5 000</v>
          </cell>
        </row>
        <row r="1264">
          <cell r="I1264">
            <v>2007</v>
          </cell>
          <cell r="J1264" t="str">
            <v>GEMATELScratch 1 000</v>
          </cell>
          <cell r="L1264">
            <v>1</v>
          </cell>
          <cell r="M1264" t="str">
            <v>1GEMATEL</v>
          </cell>
          <cell r="N1264" t="str">
            <v>GEMATELScratch 1 000</v>
          </cell>
          <cell r="O1264" t="str">
            <v>GEMATEL</v>
          </cell>
          <cell r="P1264" t="str">
            <v>Scratch 1 000</v>
          </cell>
          <cell r="Q1264" t="str">
            <v>52007</v>
          </cell>
          <cell r="R1264" t="str">
            <v>52007Scratch 1 000</v>
          </cell>
          <cell r="S1264" t="str">
            <v>2007Scratch 1 000</v>
          </cell>
          <cell r="T1264" t="str">
            <v>52007GEMATEL</v>
          </cell>
          <cell r="U1264" t="str">
            <v>52007GEMATELScratch 1 000</v>
          </cell>
          <cell r="V1264" t="str">
            <v>39223Scratch 1 000</v>
          </cell>
          <cell r="W1264" t="str">
            <v>2007GEMATEL</v>
          </cell>
          <cell r="X1264" t="str">
            <v>2007GEMATELScratch 1 000</v>
          </cell>
        </row>
        <row r="1265">
          <cell r="I1265">
            <v>2007</v>
          </cell>
          <cell r="J1265" t="str">
            <v>GEMATELScratch 2 000</v>
          </cell>
          <cell r="L1265">
            <v>0</v>
          </cell>
          <cell r="M1265" t="str">
            <v>GEMATEL</v>
          </cell>
          <cell r="N1265" t="str">
            <v>GEMATELScratch 2 000</v>
          </cell>
          <cell r="O1265" t="str">
            <v>GEMATEL</v>
          </cell>
          <cell r="P1265" t="str">
            <v>Scratch 2 000</v>
          </cell>
          <cell r="Q1265" t="str">
            <v>52007</v>
          </cell>
          <cell r="R1265" t="str">
            <v>52007Scratch 2 000</v>
          </cell>
          <cell r="S1265" t="str">
            <v>2007Scratch 2 000</v>
          </cell>
          <cell r="T1265" t="str">
            <v>52007GEMATEL</v>
          </cell>
          <cell r="U1265" t="str">
            <v>52007GEMATELScratch 2 000</v>
          </cell>
          <cell r="V1265" t="str">
            <v>39223Scratch 2 000</v>
          </cell>
          <cell r="W1265" t="str">
            <v>2007GEMATEL</v>
          </cell>
          <cell r="X1265" t="str">
            <v>2007GEMATELScratch 2 000</v>
          </cell>
        </row>
        <row r="1266">
          <cell r="I1266">
            <v>2007</v>
          </cell>
          <cell r="J1266" t="str">
            <v>GEMATELScratch 5 000</v>
          </cell>
          <cell r="L1266">
            <v>0</v>
          </cell>
          <cell r="M1266" t="str">
            <v>GEMATEL</v>
          </cell>
          <cell r="N1266" t="str">
            <v>GEMATELScratch 5 000</v>
          </cell>
          <cell r="O1266" t="str">
            <v>GEMATEL</v>
          </cell>
          <cell r="P1266" t="str">
            <v>Scratch 5 000</v>
          </cell>
          <cell r="Q1266" t="str">
            <v>52007</v>
          </cell>
          <cell r="R1266" t="str">
            <v>52007Scratch 5 000</v>
          </cell>
          <cell r="S1266" t="str">
            <v>2007Scratch 5 000</v>
          </cell>
          <cell r="T1266" t="str">
            <v>52007GEMATEL</v>
          </cell>
          <cell r="U1266" t="str">
            <v>52007GEMATELScratch 5 000</v>
          </cell>
          <cell r="V1266" t="str">
            <v>39223Scratch 5 000</v>
          </cell>
          <cell r="W1266" t="str">
            <v>2007GEMATEL</v>
          </cell>
          <cell r="X1266" t="str">
            <v>2007GEMATELScratch 5 000</v>
          </cell>
        </row>
        <row r="1267">
          <cell r="I1267">
            <v>2007</v>
          </cell>
          <cell r="J1267" t="str">
            <v>GEMATELScratch 10 000</v>
          </cell>
          <cell r="L1267">
            <v>0</v>
          </cell>
          <cell r="M1267" t="str">
            <v>GEMATEL</v>
          </cell>
          <cell r="N1267" t="str">
            <v>GEMATELScratch 10 000</v>
          </cell>
          <cell r="O1267" t="str">
            <v>GEMATEL</v>
          </cell>
          <cell r="P1267" t="str">
            <v>Scratch 10 000</v>
          </cell>
          <cell r="Q1267" t="str">
            <v>52007</v>
          </cell>
          <cell r="R1267" t="str">
            <v>52007Scratch 10 000</v>
          </cell>
          <cell r="S1267" t="str">
            <v>2007Scratch 10 000</v>
          </cell>
          <cell r="T1267" t="str">
            <v>52007GEMATEL</v>
          </cell>
          <cell r="U1267" t="str">
            <v>52007GEMATELScratch 10 000</v>
          </cell>
          <cell r="V1267" t="str">
            <v>39223Scratch 10 000</v>
          </cell>
          <cell r="W1267" t="str">
            <v>2007GEMATEL</v>
          </cell>
          <cell r="X1267" t="str">
            <v>2007GEMATELScratch 10 000</v>
          </cell>
        </row>
        <row r="1268">
          <cell r="I1268">
            <v>2007</v>
          </cell>
          <cell r="J1268" t="str">
            <v>GEMATELScratch 20 000</v>
          </cell>
          <cell r="L1268">
            <v>0</v>
          </cell>
          <cell r="M1268" t="str">
            <v>GEMATEL</v>
          </cell>
          <cell r="N1268" t="str">
            <v>GEMATELScratch 20 000</v>
          </cell>
          <cell r="O1268" t="str">
            <v>GEMATEL</v>
          </cell>
          <cell r="P1268" t="str">
            <v>Scratch 20 000</v>
          </cell>
          <cell r="Q1268" t="str">
            <v>52007</v>
          </cell>
          <cell r="R1268" t="str">
            <v>52007Scratch 20 000</v>
          </cell>
          <cell r="S1268" t="str">
            <v>2007Scratch 20 000</v>
          </cell>
          <cell r="T1268" t="str">
            <v>52007GEMATEL</v>
          </cell>
          <cell r="U1268" t="str">
            <v>52007GEMATELScratch 20 000</v>
          </cell>
          <cell r="V1268" t="str">
            <v>39223Scratch 20 000</v>
          </cell>
          <cell r="W1268" t="str">
            <v>2007GEMATEL</v>
          </cell>
          <cell r="X1268" t="str">
            <v>2007GEMATELScratch 20 000</v>
          </cell>
        </row>
        <row r="1269">
          <cell r="I1269">
            <v>2007</v>
          </cell>
          <cell r="J1269" t="str">
            <v>ANKA ServicesScratch 1 000</v>
          </cell>
          <cell r="L1269">
            <v>1</v>
          </cell>
          <cell r="M1269" t="str">
            <v>1ANKA Services</v>
          </cell>
          <cell r="N1269" t="str">
            <v>ANKA ServicesScratch 1 000</v>
          </cell>
          <cell r="O1269" t="str">
            <v>ANKA Services</v>
          </cell>
          <cell r="P1269" t="str">
            <v>Scratch 1 000</v>
          </cell>
          <cell r="Q1269" t="str">
            <v>52007</v>
          </cell>
          <cell r="R1269" t="str">
            <v>52007Scratch 1 000</v>
          </cell>
          <cell r="S1269" t="str">
            <v>2007Scratch 1 000</v>
          </cell>
          <cell r="T1269" t="str">
            <v>52007ANKA Services</v>
          </cell>
          <cell r="U1269" t="str">
            <v>52007ANKA ServicesScratch 1 000</v>
          </cell>
          <cell r="V1269" t="str">
            <v>39223Scratch 1 000</v>
          </cell>
          <cell r="W1269" t="str">
            <v>2007ANKA Services</v>
          </cell>
          <cell r="X1269" t="str">
            <v>2007ANKA ServicesScratch 1 000</v>
          </cell>
        </row>
        <row r="1270">
          <cell r="I1270">
            <v>2007</v>
          </cell>
          <cell r="J1270" t="str">
            <v>ANKA ServicesScratch 2 000</v>
          </cell>
          <cell r="L1270">
            <v>0</v>
          </cell>
          <cell r="M1270" t="str">
            <v>ANKA Services</v>
          </cell>
          <cell r="N1270" t="str">
            <v>ANKA ServicesScratch 2 000</v>
          </cell>
          <cell r="O1270" t="str">
            <v>ANKA Services</v>
          </cell>
          <cell r="P1270" t="str">
            <v>Scratch 2 000</v>
          </cell>
          <cell r="Q1270" t="str">
            <v>52007</v>
          </cell>
          <cell r="R1270" t="str">
            <v>52007Scratch 2 000</v>
          </cell>
          <cell r="S1270" t="str">
            <v>2007Scratch 2 000</v>
          </cell>
          <cell r="T1270" t="str">
            <v>52007ANKA Services</v>
          </cell>
          <cell r="U1270" t="str">
            <v>52007ANKA ServicesScratch 2 000</v>
          </cell>
          <cell r="V1270" t="str">
            <v>39223Scratch 2 000</v>
          </cell>
          <cell r="W1270" t="str">
            <v>2007ANKA Services</v>
          </cell>
          <cell r="X1270" t="str">
            <v>2007ANKA ServicesScratch 2 000</v>
          </cell>
        </row>
        <row r="1271">
          <cell r="I1271">
            <v>2007</v>
          </cell>
          <cell r="J1271" t="str">
            <v>ANKA ServicesScratch 5 000</v>
          </cell>
          <cell r="L1271">
            <v>0</v>
          </cell>
          <cell r="M1271" t="str">
            <v>ANKA Services</v>
          </cell>
          <cell r="N1271" t="str">
            <v>ANKA ServicesScratch 5 000</v>
          </cell>
          <cell r="O1271" t="str">
            <v>ANKA Services</v>
          </cell>
          <cell r="P1271" t="str">
            <v>Scratch 5 000</v>
          </cell>
          <cell r="Q1271" t="str">
            <v>52007</v>
          </cell>
          <cell r="R1271" t="str">
            <v>52007Scratch 5 000</v>
          </cell>
          <cell r="S1271" t="str">
            <v>2007Scratch 5 000</v>
          </cell>
          <cell r="T1271" t="str">
            <v>52007ANKA Services</v>
          </cell>
          <cell r="U1271" t="str">
            <v>52007ANKA ServicesScratch 5 000</v>
          </cell>
          <cell r="V1271" t="str">
            <v>39223Scratch 5 000</v>
          </cell>
          <cell r="W1271" t="str">
            <v>2007ANKA Services</v>
          </cell>
          <cell r="X1271" t="str">
            <v>2007ANKA ServicesScratch 5 000</v>
          </cell>
        </row>
        <row r="1272">
          <cell r="I1272">
            <v>2007</v>
          </cell>
          <cell r="J1272" t="str">
            <v>ANKA ServicesScratch 10 000</v>
          </cell>
          <cell r="L1272">
            <v>0</v>
          </cell>
          <cell r="M1272" t="str">
            <v>ANKA Services</v>
          </cell>
          <cell r="N1272" t="str">
            <v>ANKA ServicesScratch 10 000</v>
          </cell>
          <cell r="O1272" t="str">
            <v>ANKA Services</v>
          </cell>
          <cell r="P1272" t="str">
            <v>Scratch 10 000</v>
          </cell>
          <cell r="Q1272" t="str">
            <v>52007</v>
          </cell>
          <cell r="R1272" t="str">
            <v>52007Scratch 10 000</v>
          </cell>
          <cell r="S1272" t="str">
            <v>2007Scratch 10 000</v>
          </cell>
          <cell r="T1272" t="str">
            <v>52007ANKA Services</v>
          </cell>
          <cell r="U1272" t="str">
            <v>52007ANKA ServicesScratch 10 000</v>
          </cell>
          <cell r="V1272" t="str">
            <v>39223Scratch 10 000</v>
          </cell>
          <cell r="W1272" t="str">
            <v>2007ANKA Services</v>
          </cell>
          <cell r="X1272" t="str">
            <v>2007ANKA ServicesScratch 10 000</v>
          </cell>
        </row>
        <row r="1273">
          <cell r="I1273">
            <v>2007</v>
          </cell>
          <cell r="J1273" t="str">
            <v>ANKA ServicesScratch 20 000</v>
          </cell>
          <cell r="L1273">
            <v>0</v>
          </cell>
          <cell r="M1273" t="str">
            <v>ANKA Services</v>
          </cell>
          <cell r="N1273" t="str">
            <v>ANKA ServicesScratch 20 000</v>
          </cell>
          <cell r="O1273" t="str">
            <v>ANKA Services</v>
          </cell>
          <cell r="P1273" t="str">
            <v>Scratch 20 000</v>
          </cell>
          <cell r="Q1273" t="str">
            <v>52007</v>
          </cell>
          <cell r="R1273" t="str">
            <v>52007Scratch 20 000</v>
          </cell>
          <cell r="S1273" t="str">
            <v>2007Scratch 20 000</v>
          </cell>
          <cell r="T1273" t="str">
            <v>52007ANKA Services</v>
          </cell>
          <cell r="U1273" t="str">
            <v>52007ANKA ServicesScratch 20 000</v>
          </cell>
          <cell r="V1273" t="str">
            <v>39223Scratch 20 000</v>
          </cell>
          <cell r="W1273" t="str">
            <v>2007ANKA Services</v>
          </cell>
          <cell r="X1273" t="str">
            <v>2007ANKA ServicesScratch 20 000</v>
          </cell>
        </row>
        <row r="1274">
          <cell r="I1274">
            <v>2007</v>
          </cell>
          <cell r="J1274" t="str">
            <v>Bonneterie Nouvelle TelecomScratch 1 000</v>
          </cell>
          <cell r="L1274">
            <v>1</v>
          </cell>
          <cell r="M1274" t="str">
            <v>1Bonneterie Nouvelle Telecom</v>
          </cell>
          <cell r="N1274" t="str">
            <v>Bonneterie Nouvelle TelecomScratch 1 000</v>
          </cell>
          <cell r="O1274" t="str">
            <v>Bonneterie Nouvelle Telecom</v>
          </cell>
          <cell r="P1274" t="str">
            <v>Scratch 1 000</v>
          </cell>
          <cell r="Q1274" t="str">
            <v>52007</v>
          </cell>
          <cell r="R1274" t="str">
            <v>52007Scratch 1 000</v>
          </cell>
          <cell r="S1274" t="str">
            <v>2007Scratch 1 000</v>
          </cell>
          <cell r="T1274" t="str">
            <v>52007Bonneterie Nouvelle Telecom</v>
          </cell>
          <cell r="U1274" t="str">
            <v>52007Bonneterie Nouvelle TelecomScratch 1 000</v>
          </cell>
          <cell r="V1274" t="str">
            <v>39223Scratch 1 000</v>
          </cell>
          <cell r="W1274" t="str">
            <v>2007Bonneterie Nouvelle Telecom</v>
          </cell>
          <cell r="X1274" t="str">
            <v>2007Bonneterie Nouvelle TelecomScratch 1 000</v>
          </cell>
        </row>
        <row r="1275">
          <cell r="I1275">
            <v>2007</v>
          </cell>
          <cell r="J1275" t="str">
            <v>Bonneterie Nouvelle TelecomScratch 2 000</v>
          </cell>
          <cell r="L1275">
            <v>0</v>
          </cell>
          <cell r="M1275" t="str">
            <v>Bonneterie Nouvelle Telecom</v>
          </cell>
          <cell r="N1275" t="str">
            <v>Bonneterie Nouvelle TelecomScratch 2 000</v>
          </cell>
          <cell r="O1275" t="str">
            <v>Bonneterie Nouvelle Telecom</v>
          </cell>
          <cell r="P1275" t="str">
            <v>Scratch 2 000</v>
          </cell>
          <cell r="Q1275" t="str">
            <v>52007</v>
          </cell>
          <cell r="R1275" t="str">
            <v>52007Scratch 2 000</v>
          </cell>
          <cell r="S1275" t="str">
            <v>2007Scratch 2 000</v>
          </cell>
          <cell r="T1275" t="str">
            <v>52007Bonneterie Nouvelle Telecom</v>
          </cell>
          <cell r="U1275" t="str">
            <v>52007Bonneterie Nouvelle TelecomScratch 2 000</v>
          </cell>
          <cell r="V1275" t="str">
            <v>39223Scratch 2 000</v>
          </cell>
          <cell r="W1275" t="str">
            <v>2007Bonneterie Nouvelle Telecom</v>
          </cell>
          <cell r="X1275" t="str">
            <v>2007Bonneterie Nouvelle TelecomScratch 2 000</v>
          </cell>
        </row>
        <row r="1276">
          <cell r="I1276">
            <v>2007</v>
          </cell>
          <cell r="J1276" t="str">
            <v>Bonneterie Nouvelle TelecomScratch 5 000</v>
          </cell>
          <cell r="L1276">
            <v>0</v>
          </cell>
          <cell r="M1276" t="str">
            <v>Bonneterie Nouvelle Telecom</v>
          </cell>
          <cell r="N1276" t="str">
            <v>Bonneterie Nouvelle TelecomScratch 5 000</v>
          </cell>
          <cell r="O1276" t="str">
            <v>Bonneterie Nouvelle Telecom</v>
          </cell>
          <cell r="P1276" t="str">
            <v>Scratch 5 000</v>
          </cell>
          <cell r="Q1276" t="str">
            <v>52007</v>
          </cell>
          <cell r="R1276" t="str">
            <v>52007Scratch 5 000</v>
          </cell>
          <cell r="S1276" t="str">
            <v>2007Scratch 5 000</v>
          </cell>
          <cell r="T1276" t="str">
            <v>52007Bonneterie Nouvelle Telecom</v>
          </cell>
          <cell r="U1276" t="str">
            <v>52007Bonneterie Nouvelle TelecomScratch 5 000</v>
          </cell>
          <cell r="V1276" t="str">
            <v>39223Scratch 5 000</v>
          </cell>
          <cell r="W1276" t="str">
            <v>2007Bonneterie Nouvelle Telecom</v>
          </cell>
          <cell r="X1276" t="str">
            <v>2007Bonneterie Nouvelle TelecomScratch 5 000</v>
          </cell>
        </row>
        <row r="1277">
          <cell r="I1277">
            <v>2007</v>
          </cell>
          <cell r="J1277" t="str">
            <v>Bonneterie Nouvelle TelecomScratch 10 000</v>
          </cell>
          <cell r="L1277">
            <v>0</v>
          </cell>
          <cell r="M1277" t="str">
            <v>Bonneterie Nouvelle Telecom</v>
          </cell>
          <cell r="N1277" t="str">
            <v>Bonneterie Nouvelle TelecomScratch 10 000</v>
          </cell>
          <cell r="O1277" t="str">
            <v>Bonneterie Nouvelle Telecom</v>
          </cell>
          <cell r="P1277" t="str">
            <v>Scratch 10 000</v>
          </cell>
          <cell r="Q1277" t="str">
            <v>52007</v>
          </cell>
          <cell r="R1277" t="str">
            <v>52007Scratch 10 000</v>
          </cell>
          <cell r="S1277" t="str">
            <v>2007Scratch 10 000</v>
          </cell>
          <cell r="T1277" t="str">
            <v>52007Bonneterie Nouvelle Telecom</v>
          </cell>
          <cell r="U1277" t="str">
            <v>52007Bonneterie Nouvelle TelecomScratch 10 000</v>
          </cell>
          <cell r="V1277" t="str">
            <v>39223Scratch 10 000</v>
          </cell>
          <cell r="W1277" t="str">
            <v>2007Bonneterie Nouvelle Telecom</v>
          </cell>
          <cell r="X1277" t="str">
            <v>2007Bonneterie Nouvelle TelecomScratch 10 000</v>
          </cell>
        </row>
        <row r="1278">
          <cell r="I1278">
            <v>2007</v>
          </cell>
          <cell r="J1278" t="str">
            <v>Bonneterie Nouvelle TelecomScratch 20 000</v>
          </cell>
          <cell r="L1278">
            <v>0</v>
          </cell>
          <cell r="M1278" t="str">
            <v>Bonneterie Nouvelle Telecom</v>
          </cell>
          <cell r="N1278" t="str">
            <v>Bonneterie Nouvelle TelecomScratch 20 000</v>
          </cell>
          <cell r="O1278" t="str">
            <v>Bonneterie Nouvelle Telecom</v>
          </cell>
          <cell r="P1278" t="str">
            <v>Scratch 20 000</v>
          </cell>
          <cell r="Q1278" t="str">
            <v>52007</v>
          </cell>
          <cell r="R1278" t="str">
            <v>52007Scratch 20 000</v>
          </cell>
          <cell r="S1278" t="str">
            <v>2007Scratch 20 000</v>
          </cell>
          <cell r="T1278" t="str">
            <v>52007Bonneterie Nouvelle Telecom</v>
          </cell>
          <cell r="U1278" t="str">
            <v>52007Bonneterie Nouvelle TelecomScratch 20 000</v>
          </cell>
          <cell r="V1278" t="str">
            <v>39223Scratch 20 000</v>
          </cell>
          <cell r="W1278" t="str">
            <v>2007Bonneterie Nouvelle Telecom</v>
          </cell>
          <cell r="X1278" t="str">
            <v>2007Bonneterie Nouvelle TelecomScratch 20 000</v>
          </cell>
        </row>
        <row r="1279">
          <cell r="I1279">
            <v>2007</v>
          </cell>
          <cell r="J1279" t="str">
            <v>Compagnie Internationale de NegoceScratch 1 000</v>
          </cell>
          <cell r="L1279">
            <v>1</v>
          </cell>
          <cell r="M1279" t="str">
            <v>1Compagnie Internationale de Negoce</v>
          </cell>
          <cell r="N1279" t="str">
            <v>Compagnie Internationale de NegoceScratch 1 000</v>
          </cell>
          <cell r="O1279" t="str">
            <v>Compagnie Internationale de Negoce</v>
          </cell>
          <cell r="P1279" t="str">
            <v>Scratch 1 000</v>
          </cell>
          <cell r="Q1279" t="str">
            <v>52007</v>
          </cell>
          <cell r="R1279" t="str">
            <v>52007Scratch 1 000</v>
          </cell>
          <cell r="S1279" t="str">
            <v>2007Scratch 1 000</v>
          </cell>
          <cell r="T1279" t="str">
            <v>52007Compagnie Internationale de Negoce</v>
          </cell>
          <cell r="U1279" t="str">
            <v>52007Compagnie Internationale de NegoceScratch 1 000</v>
          </cell>
          <cell r="V1279" t="str">
            <v>39224Scratch 1 000</v>
          </cell>
          <cell r="W1279" t="str">
            <v>2007Compagnie Internationale de Negoce</v>
          </cell>
          <cell r="X1279" t="str">
            <v>2007Compagnie Internationale de NegoceScratch 1 000</v>
          </cell>
        </row>
        <row r="1280">
          <cell r="I1280">
            <v>2007</v>
          </cell>
          <cell r="J1280" t="str">
            <v>Compagnie Internationale de NegoceScratch 2 000</v>
          </cell>
          <cell r="L1280">
            <v>0</v>
          </cell>
          <cell r="M1280" t="str">
            <v>Compagnie Internationale de Negoce</v>
          </cell>
          <cell r="N1280" t="str">
            <v>Compagnie Internationale de NegoceScratch 2 000</v>
          </cell>
          <cell r="O1280" t="str">
            <v>Compagnie Internationale de Negoce</v>
          </cell>
          <cell r="P1280" t="str">
            <v>Scratch 2 000</v>
          </cell>
          <cell r="Q1280" t="str">
            <v>52007</v>
          </cell>
          <cell r="R1280" t="str">
            <v>52007Scratch 2 000</v>
          </cell>
          <cell r="S1280" t="str">
            <v>2007Scratch 2 000</v>
          </cell>
          <cell r="T1280" t="str">
            <v>52007Compagnie Internationale de Negoce</v>
          </cell>
          <cell r="U1280" t="str">
            <v>52007Compagnie Internationale de NegoceScratch 2 000</v>
          </cell>
          <cell r="V1280" t="str">
            <v>39224Scratch 2 000</v>
          </cell>
          <cell r="W1280" t="str">
            <v>2007Compagnie Internationale de Negoce</v>
          </cell>
          <cell r="X1280" t="str">
            <v>2007Compagnie Internationale de NegoceScratch 2 000</v>
          </cell>
        </row>
        <row r="1281">
          <cell r="I1281">
            <v>2007</v>
          </cell>
          <cell r="J1281" t="str">
            <v>Compagnie Internationale de NegoceScratch 5 000</v>
          </cell>
          <cell r="L1281">
            <v>0</v>
          </cell>
          <cell r="M1281" t="str">
            <v>Compagnie Internationale de Negoce</v>
          </cell>
          <cell r="N1281" t="str">
            <v>Compagnie Internationale de NegoceScratch 5 000</v>
          </cell>
          <cell r="O1281" t="str">
            <v>Compagnie Internationale de Negoce</v>
          </cell>
          <cell r="P1281" t="str">
            <v>Scratch 5 000</v>
          </cell>
          <cell r="Q1281" t="str">
            <v>52007</v>
          </cell>
          <cell r="R1281" t="str">
            <v>52007Scratch 5 000</v>
          </cell>
          <cell r="S1281" t="str">
            <v>2007Scratch 5 000</v>
          </cell>
          <cell r="T1281" t="str">
            <v>52007Compagnie Internationale de Negoce</v>
          </cell>
          <cell r="U1281" t="str">
            <v>52007Compagnie Internationale de NegoceScratch 5 000</v>
          </cell>
          <cell r="V1281" t="str">
            <v>39224Scratch 5 000</v>
          </cell>
          <cell r="W1281" t="str">
            <v>2007Compagnie Internationale de Negoce</v>
          </cell>
          <cell r="X1281" t="str">
            <v>2007Compagnie Internationale de NegoceScratch 5 000</v>
          </cell>
        </row>
        <row r="1282">
          <cell r="I1282">
            <v>2007</v>
          </cell>
          <cell r="J1282" t="str">
            <v>Compagnie Internationale de NegoceScratch 10 000</v>
          </cell>
          <cell r="L1282">
            <v>0</v>
          </cell>
          <cell r="M1282" t="str">
            <v>Compagnie Internationale de Negoce</v>
          </cell>
          <cell r="N1282" t="str">
            <v>Compagnie Internationale de NegoceScratch 10 000</v>
          </cell>
          <cell r="O1282" t="str">
            <v>Compagnie Internationale de Negoce</v>
          </cell>
          <cell r="P1282" t="str">
            <v>Scratch 10 000</v>
          </cell>
          <cell r="Q1282" t="str">
            <v>52007</v>
          </cell>
          <cell r="R1282" t="str">
            <v>52007Scratch 10 000</v>
          </cell>
          <cell r="S1282" t="str">
            <v>2007Scratch 10 000</v>
          </cell>
          <cell r="T1282" t="str">
            <v>52007Compagnie Internationale de Negoce</v>
          </cell>
          <cell r="U1282" t="str">
            <v>52007Compagnie Internationale de NegoceScratch 10 000</v>
          </cell>
          <cell r="V1282" t="str">
            <v>39224Scratch 10 000</v>
          </cell>
          <cell r="W1282" t="str">
            <v>2007Compagnie Internationale de Negoce</v>
          </cell>
          <cell r="X1282" t="str">
            <v>2007Compagnie Internationale de NegoceScratch 10 000</v>
          </cell>
        </row>
        <row r="1283">
          <cell r="I1283">
            <v>2007</v>
          </cell>
          <cell r="J1283" t="str">
            <v>Compagnie Internationale de NegoceScratch 20 000</v>
          </cell>
          <cell r="L1283">
            <v>0</v>
          </cell>
          <cell r="M1283" t="str">
            <v>Compagnie Internationale de Negoce</v>
          </cell>
          <cell r="N1283" t="str">
            <v>Compagnie Internationale de NegoceScratch 20 000</v>
          </cell>
          <cell r="O1283" t="str">
            <v>Compagnie Internationale de Negoce</v>
          </cell>
          <cell r="P1283" t="str">
            <v>Scratch 20 000</v>
          </cell>
          <cell r="Q1283" t="str">
            <v>52007</v>
          </cell>
          <cell r="R1283" t="str">
            <v>52007Scratch 20 000</v>
          </cell>
          <cell r="S1283" t="str">
            <v>2007Scratch 20 000</v>
          </cell>
          <cell r="T1283" t="str">
            <v>52007Compagnie Internationale de Negoce</v>
          </cell>
          <cell r="U1283" t="str">
            <v>52007Compagnie Internationale de NegoceScratch 20 000</v>
          </cell>
          <cell r="V1283" t="str">
            <v>39224Scratch 20 000</v>
          </cell>
          <cell r="W1283" t="str">
            <v>2007Compagnie Internationale de Negoce</v>
          </cell>
          <cell r="X1283" t="str">
            <v>2007Compagnie Internationale de NegoceScratch 20 000</v>
          </cell>
        </row>
        <row r="1284">
          <cell r="I1284">
            <v>2007</v>
          </cell>
          <cell r="J1284" t="str">
            <v>MALI COM SarlScratch 1 000</v>
          </cell>
          <cell r="L1284">
            <v>1</v>
          </cell>
          <cell r="M1284" t="str">
            <v>1MALI COM Sarl</v>
          </cell>
          <cell r="N1284" t="str">
            <v>MALI COM SarlScratch 1 000</v>
          </cell>
          <cell r="O1284" t="str">
            <v>MALI COM Sarl</v>
          </cell>
          <cell r="P1284" t="str">
            <v>Scratch 1 000</v>
          </cell>
          <cell r="Q1284" t="str">
            <v>52007</v>
          </cell>
          <cell r="R1284" t="str">
            <v>52007Scratch 1 000</v>
          </cell>
          <cell r="S1284" t="str">
            <v>2007Scratch 1 000</v>
          </cell>
          <cell r="T1284" t="str">
            <v>52007MALI COM Sarl</v>
          </cell>
          <cell r="U1284" t="str">
            <v>52007MALI COM SarlScratch 1 000</v>
          </cell>
          <cell r="V1284" t="str">
            <v>39224Scratch 1 000</v>
          </cell>
          <cell r="W1284" t="str">
            <v>2007MALI COM Sarl</v>
          </cell>
          <cell r="X1284" t="str">
            <v>2007MALI COM SarlScratch 1 000</v>
          </cell>
        </row>
        <row r="1285">
          <cell r="I1285">
            <v>2007</v>
          </cell>
          <cell r="J1285" t="str">
            <v>MALI COM SarlScratch 2 000</v>
          </cell>
          <cell r="L1285">
            <v>0</v>
          </cell>
          <cell r="M1285" t="str">
            <v>MALI COM Sarl</v>
          </cell>
          <cell r="N1285" t="str">
            <v>MALI COM SarlScratch 2 000</v>
          </cell>
          <cell r="O1285" t="str">
            <v>MALI COM Sarl</v>
          </cell>
          <cell r="P1285" t="str">
            <v>Scratch 2 000</v>
          </cell>
          <cell r="Q1285" t="str">
            <v>52007</v>
          </cell>
          <cell r="R1285" t="str">
            <v>52007Scratch 2 000</v>
          </cell>
          <cell r="S1285" t="str">
            <v>2007Scratch 2 000</v>
          </cell>
          <cell r="T1285" t="str">
            <v>52007MALI COM Sarl</v>
          </cell>
          <cell r="U1285" t="str">
            <v>52007MALI COM SarlScratch 2 000</v>
          </cell>
          <cell r="V1285" t="str">
            <v>39224Scratch 2 000</v>
          </cell>
          <cell r="W1285" t="str">
            <v>2007MALI COM Sarl</v>
          </cell>
          <cell r="X1285" t="str">
            <v>2007MALI COM SarlScratch 2 000</v>
          </cell>
        </row>
        <row r="1286">
          <cell r="I1286">
            <v>2007</v>
          </cell>
          <cell r="J1286" t="str">
            <v>MALI COM SarlScratch 5 000</v>
          </cell>
          <cell r="L1286">
            <v>0</v>
          </cell>
          <cell r="M1286" t="str">
            <v>MALI COM Sarl</v>
          </cell>
          <cell r="N1286" t="str">
            <v>MALI COM SarlScratch 5 000</v>
          </cell>
          <cell r="O1286" t="str">
            <v>MALI COM Sarl</v>
          </cell>
          <cell r="P1286" t="str">
            <v>Scratch 5 000</v>
          </cell>
          <cell r="Q1286" t="str">
            <v>52007</v>
          </cell>
          <cell r="R1286" t="str">
            <v>52007Scratch 5 000</v>
          </cell>
          <cell r="S1286" t="str">
            <v>2007Scratch 5 000</v>
          </cell>
          <cell r="T1286" t="str">
            <v>52007MALI COM Sarl</v>
          </cell>
          <cell r="U1286" t="str">
            <v>52007MALI COM SarlScratch 5 000</v>
          </cell>
          <cell r="V1286" t="str">
            <v>39224Scratch 5 000</v>
          </cell>
          <cell r="W1286" t="str">
            <v>2007MALI COM Sarl</v>
          </cell>
          <cell r="X1286" t="str">
            <v>2007MALI COM SarlScratch 5 000</v>
          </cell>
        </row>
        <row r="1287">
          <cell r="I1287">
            <v>2007</v>
          </cell>
          <cell r="J1287" t="str">
            <v>MALI COM SarlScratch 20 000</v>
          </cell>
          <cell r="L1287">
            <v>0</v>
          </cell>
          <cell r="M1287" t="str">
            <v>MALI COM Sarl</v>
          </cell>
          <cell r="N1287" t="str">
            <v>MALI COM SarlScratch 20 000</v>
          </cell>
          <cell r="O1287" t="str">
            <v>MALI COM Sarl</v>
          </cell>
          <cell r="P1287" t="str">
            <v>Scratch 20 000</v>
          </cell>
          <cell r="Q1287" t="str">
            <v>52007</v>
          </cell>
          <cell r="R1287" t="str">
            <v>52007Scratch 20 000</v>
          </cell>
          <cell r="S1287" t="str">
            <v>2007Scratch 20 000</v>
          </cell>
          <cell r="T1287" t="str">
            <v>52007MALI COM Sarl</v>
          </cell>
          <cell r="U1287" t="str">
            <v>52007MALI COM SarlScratch 20 000</v>
          </cell>
          <cell r="V1287" t="str">
            <v>39224Scratch 20 000</v>
          </cell>
          <cell r="W1287" t="str">
            <v>2007MALI COM Sarl</v>
          </cell>
          <cell r="X1287" t="str">
            <v>2007MALI COM SarlScratch 20 000</v>
          </cell>
        </row>
        <row r="1288">
          <cell r="I1288">
            <v>2007</v>
          </cell>
          <cell r="J1288" t="str">
            <v>GEMATELScratch 1 000</v>
          </cell>
          <cell r="L1288">
            <v>1</v>
          </cell>
          <cell r="M1288" t="str">
            <v>1GEMATEL</v>
          </cell>
          <cell r="N1288" t="str">
            <v>GEMATELScratch 1 000</v>
          </cell>
          <cell r="O1288" t="str">
            <v>GEMATEL</v>
          </cell>
          <cell r="P1288" t="str">
            <v>Scratch 1 000</v>
          </cell>
          <cell r="Q1288" t="str">
            <v>52007</v>
          </cell>
          <cell r="R1288" t="str">
            <v>52007Scratch 1 000</v>
          </cell>
          <cell r="S1288" t="str">
            <v>2007Scratch 1 000</v>
          </cell>
          <cell r="T1288" t="str">
            <v>52007GEMATEL</v>
          </cell>
          <cell r="U1288" t="str">
            <v>52007GEMATELScratch 1 000</v>
          </cell>
          <cell r="V1288" t="str">
            <v>39224Scratch 1 000</v>
          </cell>
          <cell r="W1288" t="str">
            <v>2007GEMATEL</v>
          </cell>
          <cell r="X1288" t="str">
            <v>2007GEMATELScratch 1 000</v>
          </cell>
        </row>
        <row r="1289">
          <cell r="I1289">
            <v>2007</v>
          </cell>
          <cell r="J1289" t="str">
            <v>GEMATELScratch 2 000</v>
          </cell>
          <cell r="L1289">
            <v>0</v>
          </cell>
          <cell r="M1289" t="str">
            <v>GEMATEL</v>
          </cell>
          <cell r="N1289" t="str">
            <v>GEMATELScratch 2 000</v>
          </cell>
          <cell r="O1289" t="str">
            <v>GEMATEL</v>
          </cell>
          <cell r="P1289" t="str">
            <v>Scratch 2 000</v>
          </cell>
          <cell r="Q1289" t="str">
            <v>52007</v>
          </cell>
          <cell r="R1289" t="str">
            <v>52007Scratch 2 000</v>
          </cell>
          <cell r="S1289" t="str">
            <v>2007Scratch 2 000</v>
          </cell>
          <cell r="T1289" t="str">
            <v>52007GEMATEL</v>
          </cell>
          <cell r="U1289" t="str">
            <v>52007GEMATELScratch 2 000</v>
          </cell>
          <cell r="V1289" t="str">
            <v>39224Scratch 2 000</v>
          </cell>
          <cell r="W1289" t="str">
            <v>2007GEMATEL</v>
          </cell>
          <cell r="X1289" t="str">
            <v>2007GEMATELScratch 2 000</v>
          </cell>
        </row>
        <row r="1290">
          <cell r="I1290">
            <v>2007</v>
          </cell>
          <cell r="J1290" t="str">
            <v>GEMATELScratch 5 000</v>
          </cell>
          <cell r="L1290">
            <v>0</v>
          </cell>
          <cell r="M1290" t="str">
            <v>GEMATEL</v>
          </cell>
          <cell r="N1290" t="str">
            <v>GEMATELScratch 5 000</v>
          </cell>
          <cell r="O1290" t="str">
            <v>GEMATEL</v>
          </cell>
          <cell r="P1290" t="str">
            <v>Scratch 5 000</v>
          </cell>
          <cell r="Q1290" t="str">
            <v>52007</v>
          </cell>
          <cell r="R1290" t="str">
            <v>52007Scratch 5 000</v>
          </cell>
          <cell r="S1290" t="str">
            <v>2007Scratch 5 000</v>
          </cell>
          <cell r="T1290" t="str">
            <v>52007GEMATEL</v>
          </cell>
          <cell r="U1290" t="str">
            <v>52007GEMATELScratch 5 000</v>
          </cell>
          <cell r="V1290" t="str">
            <v>39224Scratch 5 000</v>
          </cell>
          <cell r="W1290" t="str">
            <v>2007GEMATEL</v>
          </cell>
          <cell r="X1290" t="str">
            <v>2007GEMATELScratch 5 000</v>
          </cell>
        </row>
        <row r="1291">
          <cell r="I1291">
            <v>2007</v>
          </cell>
          <cell r="J1291" t="str">
            <v>GEMATELScratch 10 000</v>
          </cell>
          <cell r="L1291">
            <v>0</v>
          </cell>
          <cell r="M1291" t="str">
            <v>GEMATEL</v>
          </cell>
          <cell r="N1291" t="str">
            <v>GEMATELScratch 10 000</v>
          </cell>
          <cell r="O1291" t="str">
            <v>GEMATEL</v>
          </cell>
          <cell r="P1291" t="str">
            <v>Scratch 10 000</v>
          </cell>
          <cell r="Q1291" t="str">
            <v>52007</v>
          </cell>
          <cell r="R1291" t="str">
            <v>52007Scratch 10 000</v>
          </cell>
          <cell r="S1291" t="str">
            <v>2007Scratch 10 000</v>
          </cell>
          <cell r="T1291" t="str">
            <v>52007GEMATEL</v>
          </cell>
          <cell r="U1291" t="str">
            <v>52007GEMATELScratch 10 000</v>
          </cell>
          <cell r="V1291" t="str">
            <v>39224Scratch 10 000</v>
          </cell>
          <cell r="W1291" t="str">
            <v>2007GEMATEL</v>
          </cell>
          <cell r="X1291" t="str">
            <v>2007GEMATELScratch 10 000</v>
          </cell>
        </row>
        <row r="1292">
          <cell r="I1292">
            <v>2007</v>
          </cell>
          <cell r="J1292" t="str">
            <v>STS GAMBY &amp; FRERES (SOGAF) SarlScratch 1 000</v>
          </cell>
          <cell r="L1292">
            <v>1</v>
          </cell>
          <cell r="M1292" t="str">
            <v>1STS GAMBY &amp; FRERES (SOGAF) Sarl</v>
          </cell>
          <cell r="N1292" t="str">
            <v>STS GAMBY &amp; FRERES (SOGAF) SarlScratch 1 000</v>
          </cell>
          <cell r="O1292" t="str">
            <v>STS GAMBY &amp; FRERES (SOGAF) Sarl</v>
          </cell>
          <cell r="P1292" t="str">
            <v>Scratch 1 000</v>
          </cell>
          <cell r="Q1292" t="str">
            <v>52007</v>
          </cell>
          <cell r="R1292" t="str">
            <v>52007Scratch 1 000</v>
          </cell>
          <cell r="S1292" t="str">
            <v>2007Scratch 1 000</v>
          </cell>
          <cell r="T1292" t="str">
            <v>52007STS GAMBY &amp; FRERES (SOGAF) Sarl</v>
          </cell>
          <cell r="U1292" t="str">
            <v>52007STS GAMBY &amp; FRERES (SOGAF) SarlScratch 1 000</v>
          </cell>
          <cell r="V1292" t="str">
            <v>39224Scratch 1 000</v>
          </cell>
          <cell r="W1292" t="str">
            <v>2007STS GAMBY &amp; FRERES (SOGAF) Sarl</v>
          </cell>
          <cell r="X1292" t="str">
            <v>2007STS GAMBY &amp; FRERES (SOGAF) SarlScratch 1 000</v>
          </cell>
        </row>
        <row r="1293">
          <cell r="I1293">
            <v>2007</v>
          </cell>
          <cell r="J1293" t="str">
            <v>STS GAMBY &amp; FRERES (SOGAF) SarlScratch 2 000</v>
          </cell>
          <cell r="L1293">
            <v>0</v>
          </cell>
          <cell r="M1293" t="str">
            <v>STS GAMBY &amp; FRERES (SOGAF) Sarl</v>
          </cell>
          <cell r="N1293" t="str">
            <v>STS GAMBY &amp; FRERES (SOGAF) SarlScratch 2 000</v>
          </cell>
          <cell r="O1293" t="str">
            <v>STS GAMBY &amp; FRERES (SOGAF) Sarl</v>
          </cell>
          <cell r="P1293" t="str">
            <v>Scratch 2 000</v>
          </cell>
          <cell r="Q1293" t="str">
            <v>52007</v>
          </cell>
          <cell r="R1293" t="str">
            <v>52007Scratch 2 000</v>
          </cell>
          <cell r="S1293" t="str">
            <v>2007Scratch 2 000</v>
          </cell>
          <cell r="T1293" t="str">
            <v>52007STS GAMBY &amp; FRERES (SOGAF) Sarl</v>
          </cell>
          <cell r="U1293" t="str">
            <v>52007STS GAMBY &amp; FRERES (SOGAF) SarlScratch 2 000</v>
          </cell>
          <cell r="V1293" t="str">
            <v>39224Scratch 2 000</v>
          </cell>
          <cell r="W1293" t="str">
            <v>2007STS GAMBY &amp; FRERES (SOGAF) Sarl</v>
          </cell>
          <cell r="X1293" t="str">
            <v>2007STS GAMBY &amp; FRERES (SOGAF) SarlScratch 2 000</v>
          </cell>
        </row>
        <row r="1294">
          <cell r="I1294">
            <v>2007</v>
          </cell>
          <cell r="J1294" t="str">
            <v>STS GAMBY &amp; FRERES (SOGAF) SarlScratch 5 000</v>
          </cell>
          <cell r="L1294">
            <v>0</v>
          </cell>
          <cell r="M1294" t="str">
            <v>STS GAMBY &amp; FRERES (SOGAF) Sarl</v>
          </cell>
          <cell r="N1294" t="str">
            <v>STS GAMBY &amp; FRERES (SOGAF) SarlScratch 5 000</v>
          </cell>
          <cell r="O1294" t="str">
            <v>STS GAMBY &amp; FRERES (SOGAF) Sarl</v>
          </cell>
          <cell r="P1294" t="str">
            <v>Scratch 5 000</v>
          </cell>
          <cell r="Q1294" t="str">
            <v>52007</v>
          </cell>
          <cell r="R1294" t="str">
            <v>52007Scratch 5 000</v>
          </cell>
          <cell r="S1294" t="str">
            <v>2007Scratch 5 000</v>
          </cell>
          <cell r="T1294" t="str">
            <v>52007STS GAMBY &amp; FRERES (SOGAF) Sarl</v>
          </cell>
          <cell r="U1294" t="str">
            <v>52007STS GAMBY &amp; FRERES (SOGAF) SarlScratch 5 000</v>
          </cell>
          <cell r="V1294" t="str">
            <v>39224Scratch 5 000</v>
          </cell>
          <cell r="W1294" t="str">
            <v>2007STS GAMBY &amp; FRERES (SOGAF) Sarl</v>
          </cell>
          <cell r="X1294" t="str">
            <v>2007STS GAMBY &amp; FRERES (SOGAF) SarlScratch 5 000</v>
          </cell>
        </row>
        <row r="1295">
          <cell r="I1295">
            <v>2007</v>
          </cell>
          <cell r="J1295" t="str">
            <v>GEMATELScratch 1 000</v>
          </cell>
          <cell r="L1295">
            <v>1</v>
          </cell>
          <cell r="M1295" t="str">
            <v>1GEMATEL</v>
          </cell>
          <cell r="N1295" t="str">
            <v>GEMATELScratch 1 000</v>
          </cell>
          <cell r="O1295" t="str">
            <v>GEMATEL</v>
          </cell>
          <cell r="P1295" t="str">
            <v>Scratch 1 000</v>
          </cell>
          <cell r="Q1295" t="str">
            <v>52007</v>
          </cell>
          <cell r="R1295" t="str">
            <v>52007Scratch 1 000</v>
          </cell>
          <cell r="S1295" t="str">
            <v>2007Scratch 1 000</v>
          </cell>
          <cell r="T1295" t="str">
            <v>52007GEMATEL</v>
          </cell>
          <cell r="U1295" t="str">
            <v>52007GEMATELScratch 1 000</v>
          </cell>
          <cell r="V1295" t="str">
            <v>39224Scratch 1 000</v>
          </cell>
          <cell r="W1295" t="str">
            <v>2007GEMATEL</v>
          </cell>
          <cell r="X1295" t="str">
            <v>2007GEMATELScratch 1 000</v>
          </cell>
        </row>
        <row r="1296">
          <cell r="I1296">
            <v>2007</v>
          </cell>
          <cell r="J1296" t="str">
            <v>GEMATELScratch 2 000</v>
          </cell>
          <cell r="L1296">
            <v>0</v>
          </cell>
          <cell r="M1296" t="str">
            <v>GEMATEL</v>
          </cell>
          <cell r="N1296" t="str">
            <v>GEMATELScratch 2 000</v>
          </cell>
          <cell r="O1296" t="str">
            <v>GEMATEL</v>
          </cell>
          <cell r="P1296" t="str">
            <v>Scratch 2 000</v>
          </cell>
          <cell r="Q1296" t="str">
            <v>52007</v>
          </cell>
          <cell r="R1296" t="str">
            <v>52007Scratch 2 000</v>
          </cell>
          <cell r="S1296" t="str">
            <v>2007Scratch 2 000</v>
          </cell>
          <cell r="T1296" t="str">
            <v>52007GEMATEL</v>
          </cell>
          <cell r="U1296" t="str">
            <v>52007GEMATELScratch 2 000</v>
          </cell>
          <cell r="V1296" t="str">
            <v>39224Scratch 2 000</v>
          </cell>
          <cell r="W1296" t="str">
            <v>2007GEMATEL</v>
          </cell>
          <cell r="X1296" t="str">
            <v>2007GEMATELScratch 2 000</v>
          </cell>
        </row>
        <row r="1297">
          <cell r="I1297">
            <v>2007</v>
          </cell>
          <cell r="J1297" t="str">
            <v>GEMATELScratch 5 000</v>
          </cell>
          <cell r="L1297">
            <v>0</v>
          </cell>
          <cell r="M1297" t="str">
            <v>GEMATEL</v>
          </cell>
          <cell r="N1297" t="str">
            <v>GEMATELScratch 5 000</v>
          </cell>
          <cell r="O1297" t="str">
            <v>GEMATEL</v>
          </cell>
          <cell r="P1297" t="str">
            <v>Scratch 5 000</v>
          </cell>
          <cell r="Q1297" t="str">
            <v>52007</v>
          </cell>
          <cell r="R1297" t="str">
            <v>52007Scratch 5 000</v>
          </cell>
          <cell r="S1297" t="str">
            <v>2007Scratch 5 000</v>
          </cell>
          <cell r="T1297" t="str">
            <v>52007GEMATEL</v>
          </cell>
          <cell r="U1297" t="str">
            <v>52007GEMATELScratch 5 000</v>
          </cell>
          <cell r="V1297" t="str">
            <v>39224Scratch 5 000</v>
          </cell>
          <cell r="W1297" t="str">
            <v>2007GEMATEL</v>
          </cell>
          <cell r="X1297" t="str">
            <v>2007GEMATELScratch 5 000</v>
          </cell>
        </row>
        <row r="1298">
          <cell r="I1298">
            <v>2007</v>
          </cell>
          <cell r="J1298" t="str">
            <v>SOMAKOFFScratch 1 000</v>
          </cell>
          <cell r="L1298">
            <v>1</v>
          </cell>
          <cell r="M1298" t="str">
            <v>1SOMAKOFF</v>
          </cell>
          <cell r="N1298" t="str">
            <v>SOMAKOFFScratch 1 000</v>
          </cell>
          <cell r="O1298" t="str">
            <v>SOMAKOFF</v>
          </cell>
          <cell r="P1298" t="str">
            <v>Scratch 1 000</v>
          </cell>
          <cell r="Q1298" t="str">
            <v>52007</v>
          </cell>
          <cell r="R1298" t="str">
            <v>52007Scratch 1 000</v>
          </cell>
          <cell r="S1298" t="str">
            <v>2007Scratch 1 000</v>
          </cell>
          <cell r="T1298" t="str">
            <v>52007SOMAKOFF</v>
          </cell>
          <cell r="U1298" t="str">
            <v>52007SOMAKOFFScratch 1 000</v>
          </cell>
          <cell r="V1298" t="str">
            <v>39224Scratch 1 000</v>
          </cell>
          <cell r="W1298" t="str">
            <v>2007SOMAKOFF</v>
          </cell>
          <cell r="X1298" t="str">
            <v>2007SOMAKOFFScratch 1 000</v>
          </cell>
        </row>
        <row r="1299">
          <cell r="I1299">
            <v>2007</v>
          </cell>
          <cell r="J1299" t="str">
            <v>SOMAKOFFScratch 2 000</v>
          </cell>
          <cell r="L1299">
            <v>0</v>
          </cell>
          <cell r="M1299" t="str">
            <v>SOMAKOFF</v>
          </cell>
          <cell r="N1299" t="str">
            <v>SOMAKOFFScratch 2 000</v>
          </cell>
          <cell r="O1299" t="str">
            <v>SOMAKOFF</v>
          </cell>
          <cell r="P1299" t="str">
            <v>Scratch 2 000</v>
          </cell>
          <cell r="Q1299" t="str">
            <v>52007</v>
          </cell>
          <cell r="R1299" t="str">
            <v>52007Scratch 2 000</v>
          </cell>
          <cell r="S1299" t="str">
            <v>2007Scratch 2 000</v>
          </cell>
          <cell r="T1299" t="str">
            <v>52007SOMAKOFF</v>
          </cell>
          <cell r="U1299" t="str">
            <v>52007SOMAKOFFScratch 2 000</v>
          </cell>
          <cell r="V1299" t="str">
            <v>39224Scratch 2 000</v>
          </cell>
          <cell r="W1299" t="str">
            <v>2007SOMAKOFF</v>
          </cell>
          <cell r="X1299" t="str">
            <v>2007SOMAKOFFScratch 2 000</v>
          </cell>
        </row>
        <row r="1300">
          <cell r="I1300">
            <v>2007</v>
          </cell>
          <cell r="J1300" t="str">
            <v>SOMAKOFFScratch 5 000</v>
          </cell>
          <cell r="L1300">
            <v>0</v>
          </cell>
          <cell r="M1300" t="str">
            <v>SOMAKOFF</v>
          </cell>
          <cell r="N1300" t="str">
            <v>SOMAKOFFScratch 5 000</v>
          </cell>
          <cell r="O1300" t="str">
            <v>SOMAKOFF</v>
          </cell>
          <cell r="P1300" t="str">
            <v>Scratch 5 000</v>
          </cell>
          <cell r="Q1300" t="str">
            <v>52007</v>
          </cell>
          <cell r="R1300" t="str">
            <v>52007Scratch 5 000</v>
          </cell>
          <cell r="S1300" t="str">
            <v>2007Scratch 5 000</v>
          </cell>
          <cell r="T1300" t="str">
            <v>52007SOMAKOFF</v>
          </cell>
          <cell r="U1300" t="str">
            <v>52007SOMAKOFFScratch 5 000</v>
          </cell>
          <cell r="V1300" t="str">
            <v>39224Scratch 5 000</v>
          </cell>
          <cell r="W1300" t="str">
            <v>2007SOMAKOFF</v>
          </cell>
          <cell r="X1300" t="str">
            <v>2007SOMAKOFFScratch 5 000</v>
          </cell>
        </row>
        <row r="1301">
          <cell r="I1301">
            <v>2007</v>
          </cell>
          <cell r="J1301" t="str">
            <v>STS GAMBY &amp; FRERES (SOGAF) SarlScratch 1 000</v>
          </cell>
          <cell r="L1301">
            <v>1</v>
          </cell>
          <cell r="M1301" t="str">
            <v>1STS GAMBY &amp; FRERES (SOGAF) Sarl</v>
          </cell>
          <cell r="N1301" t="str">
            <v>STS GAMBY &amp; FRERES (SOGAF) SarlScratch 1 000</v>
          </cell>
          <cell r="O1301" t="str">
            <v>STS GAMBY &amp; FRERES (SOGAF) Sarl</v>
          </cell>
          <cell r="P1301" t="str">
            <v>Scratch 1 000</v>
          </cell>
          <cell r="Q1301" t="str">
            <v>52007</v>
          </cell>
          <cell r="R1301" t="str">
            <v>52007Scratch 1 000</v>
          </cell>
          <cell r="S1301" t="str">
            <v>2007Scratch 1 000</v>
          </cell>
          <cell r="T1301" t="str">
            <v>52007STS GAMBY &amp; FRERES (SOGAF) Sarl</v>
          </cell>
          <cell r="U1301" t="str">
            <v>52007STS GAMBY &amp; FRERES (SOGAF) SarlScratch 1 000</v>
          </cell>
          <cell r="V1301" t="str">
            <v>39226Scratch 1 000</v>
          </cell>
          <cell r="W1301" t="str">
            <v>2007STS GAMBY &amp; FRERES (SOGAF) Sarl</v>
          </cell>
          <cell r="X1301" t="str">
            <v>2007STS GAMBY &amp; FRERES (SOGAF) SarlScratch 1 000</v>
          </cell>
        </row>
        <row r="1302">
          <cell r="I1302">
            <v>2007</v>
          </cell>
          <cell r="J1302" t="str">
            <v>STS GAMBY &amp; FRERES (SOGAF) SarlScratch 2 000</v>
          </cell>
          <cell r="L1302">
            <v>0</v>
          </cell>
          <cell r="M1302" t="str">
            <v>STS GAMBY &amp; FRERES (SOGAF) Sarl</v>
          </cell>
          <cell r="N1302" t="str">
            <v>STS GAMBY &amp; FRERES (SOGAF) SarlScratch 2 000</v>
          </cell>
          <cell r="O1302" t="str">
            <v>STS GAMBY &amp; FRERES (SOGAF) Sarl</v>
          </cell>
          <cell r="P1302" t="str">
            <v>Scratch 2 000</v>
          </cell>
          <cell r="Q1302" t="str">
            <v>52007</v>
          </cell>
          <cell r="R1302" t="str">
            <v>52007Scratch 2 000</v>
          </cell>
          <cell r="S1302" t="str">
            <v>2007Scratch 2 000</v>
          </cell>
          <cell r="T1302" t="str">
            <v>52007STS GAMBY &amp; FRERES (SOGAF) Sarl</v>
          </cell>
          <cell r="U1302" t="str">
            <v>52007STS GAMBY &amp; FRERES (SOGAF) SarlScratch 2 000</v>
          </cell>
          <cell r="V1302" t="str">
            <v>39226Scratch 2 000</v>
          </cell>
          <cell r="W1302" t="str">
            <v>2007STS GAMBY &amp; FRERES (SOGAF) Sarl</v>
          </cell>
          <cell r="X1302" t="str">
            <v>2007STS GAMBY &amp; FRERES (SOGAF) SarlScratch 2 000</v>
          </cell>
        </row>
        <row r="1303">
          <cell r="I1303">
            <v>2007</v>
          </cell>
          <cell r="J1303" t="str">
            <v>STS GAMBY &amp; FRERES (SOGAF) SarlScratch 5 000</v>
          </cell>
          <cell r="L1303">
            <v>0</v>
          </cell>
          <cell r="M1303" t="str">
            <v>STS GAMBY &amp; FRERES (SOGAF) Sarl</v>
          </cell>
          <cell r="N1303" t="str">
            <v>STS GAMBY &amp; FRERES (SOGAF) SarlScratch 5 000</v>
          </cell>
          <cell r="O1303" t="str">
            <v>STS GAMBY &amp; FRERES (SOGAF) Sarl</v>
          </cell>
          <cell r="P1303" t="str">
            <v>Scratch 5 000</v>
          </cell>
          <cell r="Q1303" t="str">
            <v>52007</v>
          </cell>
          <cell r="R1303" t="str">
            <v>52007Scratch 5 000</v>
          </cell>
          <cell r="S1303" t="str">
            <v>2007Scratch 5 000</v>
          </cell>
          <cell r="T1303" t="str">
            <v>52007STS GAMBY &amp; FRERES (SOGAF) Sarl</v>
          </cell>
          <cell r="U1303" t="str">
            <v>52007STS GAMBY &amp; FRERES (SOGAF) SarlScratch 5 000</v>
          </cell>
          <cell r="V1303" t="str">
            <v>39226Scratch 5 000</v>
          </cell>
          <cell r="W1303" t="str">
            <v>2007STS GAMBY &amp; FRERES (SOGAF) Sarl</v>
          </cell>
          <cell r="X1303" t="str">
            <v>2007STS GAMBY &amp; FRERES (SOGAF) SarlScratch 5 000</v>
          </cell>
        </row>
        <row r="1304">
          <cell r="I1304">
            <v>2007</v>
          </cell>
          <cell r="J1304" t="str">
            <v>STS GAMBY &amp; FRERES (SOGAF) SarlScratch 20 000</v>
          </cell>
          <cell r="L1304">
            <v>0</v>
          </cell>
          <cell r="M1304" t="str">
            <v>STS GAMBY &amp; FRERES (SOGAF) Sarl</v>
          </cell>
          <cell r="N1304" t="str">
            <v>STS GAMBY &amp; FRERES (SOGAF) SarlScratch 20 000</v>
          </cell>
          <cell r="O1304" t="str">
            <v>STS GAMBY &amp; FRERES (SOGAF) Sarl</v>
          </cell>
          <cell r="P1304" t="str">
            <v>Scratch 20 000</v>
          </cell>
          <cell r="Q1304" t="str">
            <v>52007</v>
          </cell>
          <cell r="R1304" t="str">
            <v>52007Scratch 20 000</v>
          </cell>
          <cell r="S1304" t="str">
            <v>2007Scratch 20 000</v>
          </cell>
          <cell r="T1304" t="str">
            <v>52007STS GAMBY &amp; FRERES (SOGAF) Sarl</v>
          </cell>
          <cell r="U1304" t="str">
            <v>52007STS GAMBY &amp; FRERES (SOGAF) SarlScratch 20 000</v>
          </cell>
          <cell r="V1304" t="str">
            <v>39226Scratch 20 000</v>
          </cell>
          <cell r="W1304" t="str">
            <v>2007STS GAMBY &amp; FRERES (SOGAF) Sarl</v>
          </cell>
          <cell r="X1304" t="str">
            <v>2007STS GAMBY &amp; FRERES (SOGAF) SarlScratch 20 000</v>
          </cell>
        </row>
        <row r="1305">
          <cell r="I1305">
            <v>2007</v>
          </cell>
          <cell r="J1305" t="str">
            <v>Compagnie Internationale de NegoceScratch 1 000</v>
          </cell>
          <cell r="L1305">
            <v>1</v>
          </cell>
          <cell r="M1305" t="str">
            <v>1Compagnie Internationale de Negoce</v>
          </cell>
          <cell r="N1305" t="str">
            <v>Compagnie Internationale de NegoceScratch 1 000</v>
          </cell>
          <cell r="O1305" t="str">
            <v>Compagnie Internationale de Negoce</v>
          </cell>
          <cell r="P1305" t="str">
            <v>Scratch 1 000</v>
          </cell>
          <cell r="Q1305" t="str">
            <v>52007</v>
          </cell>
          <cell r="R1305" t="str">
            <v>52007Scratch 1 000</v>
          </cell>
          <cell r="S1305" t="str">
            <v>2007Scratch 1 000</v>
          </cell>
          <cell r="T1305" t="str">
            <v>52007Compagnie Internationale de Negoce</v>
          </cell>
          <cell r="U1305" t="str">
            <v>52007Compagnie Internationale de NegoceScratch 1 000</v>
          </cell>
          <cell r="V1305" t="str">
            <v>39226Scratch 1 000</v>
          </cell>
          <cell r="W1305" t="str">
            <v>2007Compagnie Internationale de Negoce</v>
          </cell>
          <cell r="X1305" t="str">
            <v>2007Compagnie Internationale de NegoceScratch 1 000</v>
          </cell>
        </row>
        <row r="1306">
          <cell r="I1306">
            <v>2007</v>
          </cell>
          <cell r="J1306" t="str">
            <v>Compagnie Internationale de NegoceScratch 2 000</v>
          </cell>
          <cell r="L1306">
            <v>0</v>
          </cell>
          <cell r="M1306" t="str">
            <v>Compagnie Internationale de Negoce</v>
          </cell>
          <cell r="N1306" t="str">
            <v>Compagnie Internationale de NegoceScratch 2 000</v>
          </cell>
          <cell r="O1306" t="str">
            <v>Compagnie Internationale de Negoce</v>
          </cell>
          <cell r="P1306" t="str">
            <v>Scratch 2 000</v>
          </cell>
          <cell r="Q1306" t="str">
            <v>52007</v>
          </cell>
          <cell r="R1306" t="str">
            <v>52007Scratch 2 000</v>
          </cell>
          <cell r="S1306" t="str">
            <v>2007Scratch 2 000</v>
          </cell>
          <cell r="T1306" t="str">
            <v>52007Compagnie Internationale de Negoce</v>
          </cell>
          <cell r="U1306" t="str">
            <v>52007Compagnie Internationale de NegoceScratch 2 000</v>
          </cell>
          <cell r="V1306" t="str">
            <v>39226Scratch 2 000</v>
          </cell>
          <cell r="W1306" t="str">
            <v>2007Compagnie Internationale de Negoce</v>
          </cell>
          <cell r="X1306" t="str">
            <v>2007Compagnie Internationale de NegoceScratch 2 000</v>
          </cell>
        </row>
        <row r="1307">
          <cell r="I1307">
            <v>2007</v>
          </cell>
          <cell r="J1307" t="str">
            <v>Compagnie Internationale de NegoceScratch 5 000</v>
          </cell>
          <cell r="L1307">
            <v>0</v>
          </cell>
          <cell r="M1307" t="str">
            <v>Compagnie Internationale de Negoce</v>
          </cell>
          <cell r="N1307" t="str">
            <v>Compagnie Internationale de NegoceScratch 5 000</v>
          </cell>
          <cell r="O1307" t="str">
            <v>Compagnie Internationale de Negoce</v>
          </cell>
          <cell r="P1307" t="str">
            <v>Scratch 5 000</v>
          </cell>
          <cell r="Q1307" t="str">
            <v>52007</v>
          </cell>
          <cell r="R1307" t="str">
            <v>52007Scratch 5 000</v>
          </cell>
          <cell r="S1307" t="str">
            <v>2007Scratch 5 000</v>
          </cell>
          <cell r="T1307" t="str">
            <v>52007Compagnie Internationale de Negoce</v>
          </cell>
          <cell r="U1307" t="str">
            <v>52007Compagnie Internationale de NegoceScratch 5 000</v>
          </cell>
          <cell r="V1307" t="str">
            <v>39226Scratch 5 000</v>
          </cell>
          <cell r="W1307" t="str">
            <v>2007Compagnie Internationale de Negoce</v>
          </cell>
          <cell r="X1307" t="str">
            <v>2007Compagnie Internationale de NegoceScratch 5 000</v>
          </cell>
        </row>
        <row r="1308">
          <cell r="I1308">
            <v>2007</v>
          </cell>
          <cell r="J1308" t="str">
            <v>ETS Boubacar TANDIAScratch 1 000</v>
          </cell>
          <cell r="L1308">
            <v>1</v>
          </cell>
          <cell r="M1308" t="str">
            <v>1ETS Boubacar TANDIA</v>
          </cell>
          <cell r="N1308" t="str">
            <v>ETS Boubacar TANDIAScratch 1 000</v>
          </cell>
          <cell r="O1308" t="str">
            <v>ETS Boubacar TANDIA</v>
          </cell>
          <cell r="P1308" t="str">
            <v>Scratch 1 000</v>
          </cell>
          <cell r="Q1308" t="str">
            <v>52007</v>
          </cell>
          <cell r="R1308" t="str">
            <v>52007Scratch 1 000</v>
          </cell>
          <cell r="S1308" t="str">
            <v>2007Scratch 1 000</v>
          </cell>
          <cell r="T1308" t="str">
            <v>52007ETS Boubacar TANDIA</v>
          </cell>
          <cell r="U1308" t="str">
            <v>52007ETS Boubacar TANDIAScratch 1 000</v>
          </cell>
          <cell r="V1308" t="str">
            <v>39226Scratch 1 000</v>
          </cell>
          <cell r="W1308" t="str">
            <v>2007ETS Boubacar TANDIA</v>
          </cell>
          <cell r="X1308" t="str">
            <v>2007ETS Boubacar TANDIAScratch 1 000</v>
          </cell>
        </row>
        <row r="1309">
          <cell r="I1309">
            <v>2007</v>
          </cell>
          <cell r="J1309" t="str">
            <v>ETS Boubacar TANDIAScratch 2 000</v>
          </cell>
          <cell r="L1309">
            <v>0</v>
          </cell>
          <cell r="M1309" t="str">
            <v>ETS Boubacar TANDIA</v>
          </cell>
          <cell r="N1309" t="str">
            <v>ETS Boubacar TANDIAScratch 2 000</v>
          </cell>
          <cell r="O1309" t="str">
            <v>ETS Boubacar TANDIA</v>
          </cell>
          <cell r="P1309" t="str">
            <v>Scratch 2 000</v>
          </cell>
          <cell r="Q1309" t="str">
            <v>52007</v>
          </cell>
          <cell r="R1309" t="str">
            <v>52007Scratch 2 000</v>
          </cell>
          <cell r="S1309" t="str">
            <v>2007Scratch 2 000</v>
          </cell>
          <cell r="T1309" t="str">
            <v>52007ETS Boubacar TANDIA</v>
          </cell>
          <cell r="U1309" t="str">
            <v>52007ETS Boubacar TANDIAScratch 2 000</v>
          </cell>
          <cell r="V1309" t="str">
            <v>39226Scratch 2 000</v>
          </cell>
          <cell r="W1309" t="str">
            <v>2007ETS Boubacar TANDIA</v>
          </cell>
          <cell r="X1309" t="str">
            <v>2007ETS Boubacar TANDIAScratch 2 000</v>
          </cell>
        </row>
        <row r="1310">
          <cell r="I1310">
            <v>2007</v>
          </cell>
          <cell r="J1310" t="str">
            <v>ETS Boubacar TANDIAScratch 5 000</v>
          </cell>
          <cell r="L1310">
            <v>0</v>
          </cell>
          <cell r="M1310" t="str">
            <v>ETS Boubacar TANDIA</v>
          </cell>
          <cell r="N1310" t="str">
            <v>ETS Boubacar TANDIAScratch 5 000</v>
          </cell>
          <cell r="O1310" t="str">
            <v>ETS Boubacar TANDIA</v>
          </cell>
          <cell r="P1310" t="str">
            <v>Scratch 5 000</v>
          </cell>
          <cell r="Q1310" t="str">
            <v>52007</v>
          </cell>
          <cell r="R1310" t="str">
            <v>52007Scratch 5 000</v>
          </cell>
          <cell r="S1310" t="str">
            <v>2007Scratch 5 000</v>
          </cell>
          <cell r="T1310" t="str">
            <v>52007ETS Boubacar TANDIA</v>
          </cell>
          <cell r="U1310" t="str">
            <v>52007ETS Boubacar TANDIAScratch 5 000</v>
          </cell>
          <cell r="V1310" t="str">
            <v>39226Scratch 5 000</v>
          </cell>
          <cell r="W1310" t="str">
            <v>2007ETS Boubacar TANDIA</v>
          </cell>
          <cell r="X1310" t="str">
            <v>2007ETS Boubacar TANDIAScratch 5 000</v>
          </cell>
        </row>
        <row r="1311">
          <cell r="I1311">
            <v>2007</v>
          </cell>
          <cell r="J1311" t="str">
            <v>ETS Boubacar TANDIAScratch 20 000</v>
          </cell>
          <cell r="L1311">
            <v>0</v>
          </cell>
          <cell r="M1311" t="str">
            <v>ETS Boubacar TANDIA</v>
          </cell>
          <cell r="N1311" t="str">
            <v>ETS Boubacar TANDIAScratch 20 000</v>
          </cell>
          <cell r="O1311" t="str">
            <v>ETS Boubacar TANDIA</v>
          </cell>
          <cell r="P1311" t="str">
            <v>Scratch 20 000</v>
          </cell>
          <cell r="Q1311" t="str">
            <v>52007</v>
          </cell>
          <cell r="R1311" t="str">
            <v>52007Scratch 20 000</v>
          </cell>
          <cell r="S1311" t="str">
            <v>2007Scratch 20 000</v>
          </cell>
          <cell r="T1311" t="str">
            <v>52007ETS Boubacar TANDIA</v>
          </cell>
          <cell r="U1311" t="str">
            <v>52007ETS Boubacar TANDIAScratch 20 000</v>
          </cell>
          <cell r="V1311" t="str">
            <v>39226Scratch 20 000</v>
          </cell>
          <cell r="W1311" t="str">
            <v>2007ETS Boubacar TANDIA</v>
          </cell>
          <cell r="X1311" t="str">
            <v>2007ETS Boubacar TANDIAScratch 20 000</v>
          </cell>
        </row>
        <row r="1312">
          <cell r="I1312">
            <v>2007</v>
          </cell>
          <cell r="J1312" t="str">
            <v>GEMATELScratch 1 000</v>
          </cell>
          <cell r="L1312">
            <v>1</v>
          </cell>
          <cell r="M1312" t="str">
            <v>1GEMATEL</v>
          </cell>
          <cell r="N1312" t="str">
            <v>GEMATELScratch 1 000</v>
          </cell>
          <cell r="O1312" t="str">
            <v>GEMATEL</v>
          </cell>
          <cell r="P1312" t="str">
            <v>Scratch 1 000</v>
          </cell>
          <cell r="Q1312" t="str">
            <v>52007</v>
          </cell>
          <cell r="R1312" t="str">
            <v>52007Scratch 1 000</v>
          </cell>
          <cell r="S1312" t="str">
            <v>2007Scratch 1 000</v>
          </cell>
          <cell r="T1312" t="str">
            <v>52007GEMATEL</v>
          </cell>
          <cell r="U1312" t="str">
            <v>52007GEMATELScratch 1 000</v>
          </cell>
          <cell r="V1312" t="str">
            <v>39226Scratch 1 000</v>
          </cell>
          <cell r="W1312" t="str">
            <v>2007GEMATEL</v>
          </cell>
          <cell r="X1312" t="str">
            <v>2007GEMATELScratch 1 000</v>
          </cell>
        </row>
        <row r="1313">
          <cell r="I1313">
            <v>2007</v>
          </cell>
          <cell r="J1313" t="str">
            <v>GEMATELScratch 2 000</v>
          </cell>
          <cell r="L1313">
            <v>0</v>
          </cell>
          <cell r="M1313" t="str">
            <v>GEMATEL</v>
          </cell>
          <cell r="N1313" t="str">
            <v>GEMATELScratch 2 000</v>
          </cell>
          <cell r="O1313" t="str">
            <v>GEMATEL</v>
          </cell>
          <cell r="P1313" t="str">
            <v>Scratch 2 000</v>
          </cell>
          <cell r="Q1313" t="str">
            <v>52007</v>
          </cell>
          <cell r="R1313" t="str">
            <v>52007Scratch 2 000</v>
          </cell>
          <cell r="S1313" t="str">
            <v>2007Scratch 2 000</v>
          </cell>
          <cell r="T1313" t="str">
            <v>52007GEMATEL</v>
          </cell>
          <cell r="U1313" t="str">
            <v>52007GEMATELScratch 2 000</v>
          </cell>
          <cell r="V1313" t="str">
            <v>39226Scratch 2 000</v>
          </cell>
          <cell r="W1313" t="str">
            <v>2007GEMATEL</v>
          </cell>
          <cell r="X1313" t="str">
            <v>2007GEMATELScratch 2 000</v>
          </cell>
        </row>
        <row r="1314">
          <cell r="I1314">
            <v>2007</v>
          </cell>
          <cell r="J1314" t="str">
            <v>GEMATELScratch 5 000</v>
          </cell>
          <cell r="L1314">
            <v>0</v>
          </cell>
          <cell r="M1314" t="str">
            <v>GEMATEL</v>
          </cell>
          <cell r="N1314" t="str">
            <v>GEMATELScratch 5 000</v>
          </cell>
          <cell r="O1314" t="str">
            <v>GEMATEL</v>
          </cell>
          <cell r="P1314" t="str">
            <v>Scratch 5 000</v>
          </cell>
          <cell r="Q1314" t="str">
            <v>52007</v>
          </cell>
          <cell r="R1314" t="str">
            <v>52007Scratch 5 000</v>
          </cell>
          <cell r="S1314" t="str">
            <v>2007Scratch 5 000</v>
          </cell>
          <cell r="T1314" t="str">
            <v>52007GEMATEL</v>
          </cell>
          <cell r="U1314" t="str">
            <v>52007GEMATELScratch 5 000</v>
          </cell>
          <cell r="V1314" t="str">
            <v>39226Scratch 5 000</v>
          </cell>
          <cell r="W1314" t="str">
            <v>2007GEMATEL</v>
          </cell>
          <cell r="X1314" t="str">
            <v>2007GEMATELScratch 5 000</v>
          </cell>
        </row>
        <row r="1315">
          <cell r="I1315">
            <v>2007</v>
          </cell>
          <cell r="J1315" t="str">
            <v>ANKA ServicesScratch 1 000</v>
          </cell>
          <cell r="L1315">
            <v>1</v>
          </cell>
          <cell r="M1315" t="str">
            <v>1ANKA Services</v>
          </cell>
          <cell r="N1315" t="str">
            <v>ANKA ServicesScratch 1 000</v>
          </cell>
          <cell r="O1315" t="str">
            <v>ANKA Services</v>
          </cell>
          <cell r="P1315" t="str">
            <v>Scratch 1 000</v>
          </cell>
          <cell r="Q1315" t="str">
            <v>52007</v>
          </cell>
          <cell r="R1315" t="str">
            <v>52007Scratch 1 000</v>
          </cell>
          <cell r="S1315" t="str">
            <v>2007Scratch 1 000</v>
          </cell>
          <cell r="T1315" t="str">
            <v>52007ANKA Services</v>
          </cell>
          <cell r="U1315" t="str">
            <v>52007ANKA ServicesScratch 1 000</v>
          </cell>
          <cell r="V1315" t="str">
            <v>39226Scratch 1 000</v>
          </cell>
          <cell r="W1315" t="str">
            <v>2007ANKA Services</v>
          </cell>
          <cell r="X1315" t="str">
            <v>2007ANKA ServicesScratch 1 000</v>
          </cell>
        </row>
        <row r="1316">
          <cell r="I1316">
            <v>2007</v>
          </cell>
          <cell r="J1316" t="str">
            <v>ANKA ServicesScratch 2 000</v>
          </cell>
          <cell r="L1316">
            <v>0</v>
          </cell>
          <cell r="M1316" t="str">
            <v>ANKA Services</v>
          </cell>
          <cell r="N1316" t="str">
            <v>ANKA ServicesScratch 2 000</v>
          </cell>
          <cell r="O1316" t="str">
            <v>ANKA Services</v>
          </cell>
          <cell r="P1316" t="str">
            <v>Scratch 2 000</v>
          </cell>
          <cell r="Q1316" t="str">
            <v>52007</v>
          </cell>
          <cell r="R1316" t="str">
            <v>52007Scratch 2 000</v>
          </cell>
          <cell r="S1316" t="str">
            <v>2007Scratch 2 000</v>
          </cell>
          <cell r="T1316" t="str">
            <v>52007ANKA Services</v>
          </cell>
          <cell r="U1316" t="str">
            <v>52007ANKA ServicesScratch 2 000</v>
          </cell>
          <cell r="V1316" t="str">
            <v>39226Scratch 2 000</v>
          </cell>
          <cell r="W1316" t="str">
            <v>2007ANKA Services</v>
          </cell>
          <cell r="X1316" t="str">
            <v>2007ANKA ServicesScratch 2 000</v>
          </cell>
        </row>
        <row r="1317">
          <cell r="I1317">
            <v>2007</v>
          </cell>
          <cell r="J1317" t="str">
            <v>ANKA ServicesScratch 5 000</v>
          </cell>
          <cell r="L1317">
            <v>0</v>
          </cell>
          <cell r="M1317" t="str">
            <v>ANKA Services</v>
          </cell>
          <cell r="N1317" t="str">
            <v>ANKA ServicesScratch 5 000</v>
          </cell>
          <cell r="O1317" t="str">
            <v>ANKA Services</v>
          </cell>
          <cell r="P1317" t="str">
            <v>Scratch 5 000</v>
          </cell>
          <cell r="Q1317" t="str">
            <v>52007</v>
          </cell>
          <cell r="R1317" t="str">
            <v>52007Scratch 5 000</v>
          </cell>
          <cell r="S1317" t="str">
            <v>2007Scratch 5 000</v>
          </cell>
          <cell r="T1317" t="str">
            <v>52007ANKA Services</v>
          </cell>
          <cell r="U1317" t="str">
            <v>52007ANKA ServicesScratch 5 000</v>
          </cell>
          <cell r="V1317" t="str">
            <v>39226Scratch 5 000</v>
          </cell>
          <cell r="W1317" t="str">
            <v>2007ANKA Services</v>
          </cell>
          <cell r="X1317" t="str">
            <v>2007ANKA ServicesScratch 5 000</v>
          </cell>
        </row>
        <row r="1318">
          <cell r="I1318">
            <v>2007</v>
          </cell>
          <cell r="J1318" t="str">
            <v>STS GAMBY &amp; FRERES (SOGAF) SarlScratch 1 000</v>
          </cell>
          <cell r="L1318">
            <v>1</v>
          </cell>
          <cell r="M1318" t="str">
            <v>1STS GAMBY &amp; FRERES (SOGAF) Sarl</v>
          </cell>
          <cell r="N1318" t="str">
            <v>STS GAMBY &amp; FRERES (SOGAF) SarlScratch 1 000</v>
          </cell>
          <cell r="O1318" t="str">
            <v>STS GAMBY &amp; FRERES (SOGAF) Sarl</v>
          </cell>
          <cell r="P1318" t="str">
            <v>Scratch 1 000</v>
          </cell>
          <cell r="Q1318" t="str">
            <v>52007</v>
          </cell>
          <cell r="R1318" t="str">
            <v>52007Scratch 1 000</v>
          </cell>
          <cell r="S1318" t="str">
            <v>2007Scratch 1 000</v>
          </cell>
          <cell r="T1318" t="str">
            <v>52007STS GAMBY &amp; FRERES (SOGAF) Sarl</v>
          </cell>
          <cell r="U1318" t="str">
            <v>52007STS GAMBY &amp; FRERES (SOGAF) SarlScratch 1 000</v>
          </cell>
          <cell r="V1318" t="str">
            <v>39230Scratch 1 000</v>
          </cell>
          <cell r="W1318" t="str">
            <v>2007STS GAMBY &amp; FRERES (SOGAF) Sarl</v>
          </cell>
          <cell r="X1318" t="str">
            <v>2007STS GAMBY &amp; FRERES (SOGAF) SarlScratch 1 000</v>
          </cell>
        </row>
        <row r="1319">
          <cell r="I1319">
            <v>2007</v>
          </cell>
          <cell r="J1319" t="str">
            <v>STS GAMBY &amp; FRERES (SOGAF) SarlScratch 2 000</v>
          </cell>
          <cell r="L1319">
            <v>0</v>
          </cell>
          <cell r="M1319" t="str">
            <v>STS GAMBY &amp; FRERES (SOGAF) Sarl</v>
          </cell>
          <cell r="N1319" t="str">
            <v>STS GAMBY &amp; FRERES (SOGAF) SarlScratch 2 000</v>
          </cell>
          <cell r="O1319" t="str">
            <v>STS GAMBY &amp; FRERES (SOGAF) Sarl</v>
          </cell>
          <cell r="P1319" t="str">
            <v>Scratch 2 000</v>
          </cell>
          <cell r="Q1319" t="str">
            <v>52007</v>
          </cell>
          <cell r="R1319" t="str">
            <v>52007Scratch 2 000</v>
          </cell>
          <cell r="S1319" t="str">
            <v>2007Scratch 2 000</v>
          </cell>
          <cell r="T1319" t="str">
            <v>52007STS GAMBY &amp; FRERES (SOGAF) Sarl</v>
          </cell>
          <cell r="U1319" t="str">
            <v>52007STS GAMBY &amp; FRERES (SOGAF) SarlScratch 2 000</v>
          </cell>
          <cell r="V1319" t="str">
            <v>39230Scratch 2 000</v>
          </cell>
          <cell r="W1319" t="str">
            <v>2007STS GAMBY &amp; FRERES (SOGAF) Sarl</v>
          </cell>
          <cell r="X1319" t="str">
            <v>2007STS GAMBY &amp; FRERES (SOGAF) SarlScratch 2 000</v>
          </cell>
        </row>
        <row r="1320">
          <cell r="I1320">
            <v>2007</v>
          </cell>
          <cell r="J1320" t="str">
            <v>STS GAMBY &amp; FRERES (SOGAF) SarlScratch 5 000</v>
          </cell>
          <cell r="L1320">
            <v>0</v>
          </cell>
          <cell r="M1320" t="str">
            <v>STS GAMBY &amp; FRERES (SOGAF) Sarl</v>
          </cell>
          <cell r="N1320" t="str">
            <v>STS GAMBY &amp; FRERES (SOGAF) SarlScratch 5 000</v>
          </cell>
          <cell r="O1320" t="str">
            <v>STS GAMBY &amp; FRERES (SOGAF) Sarl</v>
          </cell>
          <cell r="P1320" t="str">
            <v>Scratch 5 000</v>
          </cell>
          <cell r="Q1320" t="str">
            <v>52007</v>
          </cell>
          <cell r="R1320" t="str">
            <v>52007Scratch 5 000</v>
          </cell>
          <cell r="S1320" t="str">
            <v>2007Scratch 5 000</v>
          </cell>
          <cell r="T1320" t="str">
            <v>52007STS GAMBY &amp; FRERES (SOGAF) Sarl</v>
          </cell>
          <cell r="U1320" t="str">
            <v>52007STS GAMBY &amp; FRERES (SOGAF) SarlScratch 5 000</v>
          </cell>
          <cell r="V1320" t="str">
            <v>39230Scratch 5 000</v>
          </cell>
          <cell r="W1320" t="str">
            <v>2007STS GAMBY &amp; FRERES (SOGAF) Sarl</v>
          </cell>
          <cell r="X1320" t="str">
            <v>2007STS GAMBY &amp; FRERES (SOGAF) SarlScratch 5 000</v>
          </cell>
        </row>
        <row r="1321">
          <cell r="I1321">
            <v>2007</v>
          </cell>
          <cell r="J1321" t="str">
            <v>STS GAMBY &amp; FRERES (SOGAF) SarlScratch 10 000</v>
          </cell>
          <cell r="L1321">
            <v>0</v>
          </cell>
          <cell r="M1321" t="str">
            <v>STS GAMBY &amp; FRERES (SOGAF) Sarl</v>
          </cell>
          <cell r="N1321" t="str">
            <v>STS GAMBY &amp; FRERES (SOGAF) SarlScratch 10 000</v>
          </cell>
          <cell r="O1321" t="str">
            <v>STS GAMBY &amp; FRERES (SOGAF) Sarl</v>
          </cell>
          <cell r="P1321" t="str">
            <v>Scratch 10 000</v>
          </cell>
          <cell r="Q1321" t="str">
            <v>52007</v>
          </cell>
          <cell r="R1321" t="str">
            <v>52007Scratch 10 000</v>
          </cell>
          <cell r="S1321" t="str">
            <v>2007Scratch 10 000</v>
          </cell>
          <cell r="T1321" t="str">
            <v>52007STS GAMBY &amp; FRERES (SOGAF) Sarl</v>
          </cell>
          <cell r="U1321" t="str">
            <v>52007STS GAMBY &amp; FRERES (SOGAF) SarlScratch 10 000</v>
          </cell>
          <cell r="V1321" t="str">
            <v>39230Scratch 10 000</v>
          </cell>
          <cell r="W1321" t="str">
            <v>2007STS GAMBY &amp; FRERES (SOGAF) Sarl</v>
          </cell>
          <cell r="X1321" t="str">
            <v>2007STS GAMBY &amp; FRERES (SOGAF) SarlScratch 10 000</v>
          </cell>
        </row>
        <row r="1322">
          <cell r="I1322">
            <v>2007</v>
          </cell>
          <cell r="J1322" t="str">
            <v>GEMATELScratch 1 000</v>
          </cell>
          <cell r="L1322">
            <v>1</v>
          </cell>
          <cell r="M1322" t="str">
            <v>1GEMATEL</v>
          </cell>
          <cell r="N1322" t="str">
            <v>GEMATELScratch 1 000</v>
          </cell>
          <cell r="O1322" t="str">
            <v>GEMATEL</v>
          </cell>
          <cell r="P1322" t="str">
            <v>Scratch 1 000</v>
          </cell>
          <cell r="Q1322" t="str">
            <v>52007</v>
          </cell>
          <cell r="R1322" t="str">
            <v>52007Scratch 1 000</v>
          </cell>
          <cell r="S1322" t="str">
            <v>2007Scratch 1 000</v>
          </cell>
          <cell r="T1322" t="str">
            <v>52007GEMATEL</v>
          </cell>
          <cell r="U1322" t="str">
            <v>52007GEMATELScratch 1 000</v>
          </cell>
          <cell r="V1322" t="str">
            <v>39230Scratch 1 000</v>
          </cell>
          <cell r="W1322" t="str">
            <v>2007GEMATEL</v>
          </cell>
          <cell r="X1322" t="str">
            <v>2007GEMATELScratch 1 000</v>
          </cell>
        </row>
        <row r="1323">
          <cell r="I1323">
            <v>2007</v>
          </cell>
          <cell r="J1323" t="str">
            <v>GEMATELScratch 2 000</v>
          </cell>
          <cell r="L1323">
            <v>0</v>
          </cell>
          <cell r="M1323" t="str">
            <v>GEMATEL</v>
          </cell>
          <cell r="N1323" t="str">
            <v>GEMATELScratch 2 000</v>
          </cell>
          <cell r="O1323" t="str">
            <v>GEMATEL</v>
          </cell>
          <cell r="P1323" t="str">
            <v>Scratch 2 000</v>
          </cell>
          <cell r="Q1323" t="str">
            <v>52007</v>
          </cell>
          <cell r="R1323" t="str">
            <v>52007Scratch 2 000</v>
          </cell>
          <cell r="S1323" t="str">
            <v>2007Scratch 2 000</v>
          </cell>
          <cell r="T1323" t="str">
            <v>52007GEMATEL</v>
          </cell>
          <cell r="U1323" t="str">
            <v>52007GEMATELScratch 2 000</v>
          </cell>
          <cell r="V1323" t="str">
            <v>39230Scratch 2 000</v>
          </cell>
          <cell r="W1323" t="str">
            <v>2007GEMATEL</v>
          </cell>
          <cell r="X1323" t="str">
            <v>2007GEMATELScratch 2 000</v>
          </cell>
        </row>
        <row r="1324">
          <cell r="I1324">
            <v>2007</v>
          </cell>
          <cell r="J1324" t="str">
            <v>GEMATELScratch 5 000</v>
          </cell>
          <cell r="L1324">
            <v>0</v>
          </cell>
          <cell r="M1324" t="str">
            <v>GEMATEL</v>
          </cell>
          <cell r="N1324" t="str">
            <v>GEMATELScratch 5 000</v>
          </cell>
          <cell r="O1324" t="str">
            <v>GEMATEL</v>
          </cell>
          <cell r="P1324" t="str">
            <v>Scratch 5 000</v>
          </cell>
          <cell r="Q1324" t="str">
            <v>52007</v>
          </cell>
          <cell r="R1324" t="str">
            <v>52007Scratch 5 000</v>
          </cell>
          <cell r="S1324" t="str">
            <v>2007Scratch 5 000</v>
          </cell>
          <cell r="T1324" t="str">
            <v>52007GEMATEL</v>
          </cell>
          <cell r="U1324" t="str">
            <v>52007GEMATELScratch 5 000</v>
          </cell>
          <cell r="V1324" t="str">
            <v>39230Scratch 5 000</v>
          </cell>
          <cell r="W1324" t="str">
            <v>2007GEMATEL</v>
          </cell>
          <cell r="X1324" t="str">
            <v>2007GEMATELScratch 5 000</v>
          </cell>
        </row>
        <row r="1325">
          <cell r="I1325">
            <v>2007</v>
          </cell>
          <cell r="J1325" t="str">
            <v>GEMATELScratch 10 000</v>
          </cell>
          <cell r="L1325">
            <v>0</v>
          </cell>
          <cell r="M1325" t="str">
            <v>GEMATEL</v>
          </cell>
          <cell r="N1325" t="str">
            <v>GEMATELScratch 10 000</v>
          </cell>
          <cell r="O1325" t="str">
            <v>GEMATEL</v>
          </cell>
          <cell r="P1325" t="str">
            <v>Scratch 10 000</v>
          </cell>
          <cell r="Q1325" t="str">
            <v>52007</v>
          </cell>
          <cell r="R1325" t="str">
            <v>52007Scratch 10 000</v>
          </cell>
          <cell r="S1325" t="str">
            <v>2007Scratch 10 000</v>
          </cell>
          <cell r="T1325" t="str">
            <v>52007GEMATEL</v>
          </cell>
          <cell r="U1325" t="str">
            <v>52007GEMATELScratch 10 000</v>
          </cell>
          <cell r="V1325" t="str">
            <v>39230Scratch 10 000</v>
          </cell>
          <cell r="W1325" t="str">
            <v>2007GEMATEL</v>
          </cell>
          <cell r="X1325" t="str">
            <v>2007GEMATELScratch 10 000</v>
          </cell>
        </row>
        <row r="1326">
          <cell r="I1326">
            <v>2007</v>
          </cell>
          <cell r="J1326" t="str">
            <v>GEMATELScratch 20 000</v>
          </cell>
          <cell r="L1326">
            <v>0</v>
          </cell>
          <cell r="M1326" t="str">
            <v>GEMATEL</v>
          </cell>
          <cell r="N1326" t="str">
            <v>GEMATELScratch 20 000</v>
          </cell>
          <cell r="O1326" t="str">
            <v>GEMATEL</v>
          </cell>
          <cell r="P1326" t="str">
            <v>Scratch 20 000</v>
          </cell>
          <cell r="Q1326" t="str">
            <v>52007</v>
          </cell>
          <cell r="R1326" t="str">
            <v>52007Scratch 20 000</v>
          </cell>
          <cell r="S1326" t="str">
            <v>2007Scratch 20 000</v>
          </cell>
          <cell r="T1326" t="str">
            <v>52007GEMATEL</v>
          </cell>
          <cell r="U1326" t="str">
            <v>52007GEMATELScratch 20 000</v>
          </cell>
          <cell r="V1326" t="str">
            <v>39230Scratch 20 000</v>
          </cell>
          <cell r="W1326" t="str">
            <v>2007GEMATEL</v>
          </cell>
          <cell r="X1326" t="str">
            <v>2007GEMATELScratch 20 000</v>
          </cell>
        </row>
        <row r="1327">
          <cell r="I1327">
            <v>2007</v>
          </cell>
          <cell r="J1327" t="str">
            <v>Compagnie Internationale de NegoceScratch 1 000</v>
          </cell>
          <cell r="L1327">
            <v>1</v>
          </cell>
          <cell r="M1327" t="str">
            <v>1Compagnie Internationale de Negoce</v>
          </cell>
          <cell r="N1327" t="str">
            <v>Compagnie Internationale de NegoceScratch 1 000</v>
          </cell>
          <cell r="O1327" t="str">
            <v>Compagnie Internationale de Negoce</v>
          </cell>
          <cell r="P1327" t="str">
            <v>Scratch 1 000</v>
          </cell>
          <cell r="Q1327" t="str">
            <v>52007</v>
          </cell>
          <cell r="R1327" t="str">
            <v>52007Scratch 1 000</v>
          </cell>
          <cell r="S1327" t="str">
            <v>2007Scratch 1 000</v>
          </cell>
          <cell r="T1327" t="str">
            <v>52007Compagnie Internationale de Negoce</v>
          </cell>
          <cell r="U1327" t="str">
            <v>52007Compagnie Internationale de NegoceScratch 1 000</v>
          </cell>
          <cell r="V1327" t="str">
            <v>39230Scratch 1 000</v>
          </cell>
          <cell r="W1327" t="str">
            <v>2007Compagnie Internationale de Negoce</v>
          </cell>
          <cell r="X1327" t="str">
            <v>2007Compagnie Internationale de NegoceScratch 1 000</v>
          </cell>
        </row>
        <row r="1328">
          <cell r="I1328">
            <v>2007</v>
          </cell>
          <cell r="J1328" t="str">
            <v>Compagnie Internationale de NegoceScratch 2 000</v>
          </cell>
          <cell r="L1328">
            <v>0</v>
          </cell>
          <cell r="M1328" t="str">
            <v>Compagnie Internationale de Negoce</v>
          </cell>
          <cell r="N1328" t="str">
            <v>Compagnie Internationale de NegoceScratch 2 000</v>
          </cell>
          <cell r="O1328" t="str">
            <v>Compagnie Internationale de Negoce</v>
          </cell>
          <cell r="P1328" t="str">
            <v>Scratch 2 000</v>
          </cell>
          <cell r="Q1328" t="str">
            <v>52007</v>
          </cell>
          <cell r="R1328" t="str">
            <v>52007Scratch 2 000</v>
          </cell>
          <cell r="S1328" t="str">
            <v>2007Scratch 2 000</v>
          </cell>
          <cell r="T1328" t="str">
            <v>52007Compagnie Internationale de Negoce</v>
          </cell>
          <cell r="U1328" t="str">
            <v>52007Compagnie Internationale de NegoceScratch 2 000</v>
          </cell>
          <cell r="V1328" t="str">
            <v>39230Scratch 2 000</v>
          </cell>
          <cell r="W1328" t="str">
            <v>2007Compagnie Internationale de Negoce</v>
          </cell>
          <cell r="X1328" t="str">
            <v>2007Compagnie Internationale de NegoceScratch 2 000</v>
          </cell>
        </row>
        <row r="1329">
          <cell r="I1329">
            <v>2007</v>
          </cell>
          <cell r="J1329" t="str">
            <v>Compagnie Internationale de NegoceScratch 5 000</v>
          </cell>
          <cell r="L1329">
            <v>0</v>
          </cell>
          <cell r="M1329" t="str">
            <v>Compagnie Internationale de Negoce</v>
          </cell>
          <cell r="N1329" t="str">
            <v>Compagnie Internationale de NegoceScratch 5 000</v>
          </cell>
          <cell r="O1329" t="str">
            <v>Compagnie Internationale de Negoce</v>
          </cell>
          <cell r="P1329" t="str">
            <v>Scratch 5 000</v>
          </cell>
          <cell r="Q1329" t="str">
            <v>52007</v>
          </cell>
          <cell r="R1329" t="str">
            <v>52007Scratch 5 000</v>
          </cell>
          <cell r="S1329" t="str">
            <v>2007Scratch 5 000</v>
          </cell>
          <cell r="T1329" t="str">
            <v>52007Compagnie Internationale de Negoce</v>
          </cell>
          <cell r="U1329" t="str">
            <v>52007Compagnie Internationale de NegoceScratch 5 000</v>
          </cell>
          <cell r="V1329" t="str">
            <v>39230Scratch 5 000</v>
          </cell>
          <cell r="W1329" t="str">
            <v>2007Compagnie Internationale de Negoce</v>
          </cell>
          <cell r="X1329" t="str">
            <v>2007Compagnie Internationale de NegoceScratch 5 000</v>
          </cell>
        </row>
        <row r="1330">
          <cell r="I1330">
            <v>2007</v>
          </cell>
          <cell r="J1330" t="str">
            <v>Compagnie Internationale de NegoceScratch 10 000</v>
          </cell>
          <cell r="L1330">
            <v>0</v>
          </cell>
          <cell r="M1330" t="str">
            <v>Compagnie Internationale de Negoce</v>
          </cell>
          <cell r="N1330" t="str">
            <v>Compagnie Internationale de NegoceScratch 10 000</v>
          </cell>
          <cell r="O1330" t="str">
            <v>Compagnie Internationale de Negoce</v>
          </cell>
          <cell r="P1330" t="str">
            <v>Scratch 10 000</v>
          </cell>
          <cell r="Q1330" t="str">
            <v>52007</v>
          </cell>
          <cell r="R1330" t="str">
            <v>52007Scratch 10 000</v>
          </cell>
          <cell r="S1330" t="str">
            <v>2007Scratch 10 000</v>
          </cell>
          <cell r="T1330" t="str">
            <v>52007Compagnie Internationale de Negoce</v>
          </cell>
          <cell r="U1330" t="str">
            <v>52007Compagnie Internationale de NegoceScratch 10 000</v>
          </cell>
          <cell r="V1330" t="str">
            <v>39230Scratch 10 000</v>
          </cell>
          <cell r="W1330" t="str">
            <v>2007Compagnie Internationale de Negoce</v>
          </cell>
          <cell r="X1330" t="str">
            <v>2007Compagnie Internationale de NegoceScratch 10 000</v>
          </cell>
        </row>
        <row r="1331">
          <cell r="I1331">
            <v>2007</v>
          </cell>
          <cell r="J1331" t="str">
            <v>Compagnie Internationale de NegoceScratch 20 000</v>
          </cell>
          <cell r="L1331">
            <v>0</v>
          </cell>
          <cell r="M1331" t="str">
            <v>Compagnie Internationale de Negoce</v>
          </cell>
          <cell r="N1331" t="str">
            <v>Compagnie Internationale de NegoceScratch 20 000</v>
          </cell>
          <cell r="O1331" t="str">
            <v>Compagnie Internationale de Negoce</v>
          </cell>
          <cell r="P1331" t="str">
            <v>Scratch 20 000</v>
          </cell>
          <cell r="Q1331" t="str">
            <v>52007</v>
          </cell>
          <cell r="R1331" t="str">
            <v>52007Scratch 20 000</v>
          </cell>
          <cell r="S1331" t="str">
            <v>2007Scratch 20 000</v>
          </cell>
          <cell r="T1331" t="str">
            <v>52007Compagnie Internationale de Negoce</v>
          </cell>
          <cell r="U1331" t="str">
            <v>52007Compagnie Internationale de NegoceScratch 20 000</v>
          </cell>
          <cell r="V1331" t="str">
            <v>39230Scratch 20 000</v>
          </cell>
          <cell r="W1331" t="str">
            <v>2007Compagnie Internationale de Negoce</v>
          </cell>
          <cell r="X1331" t="str">
            <v>2007Compagnie Internationale de NegoceScratch 20 000</v>
          </cell>
        </row>
        <row r="1332">
          <cell r="I1332">
            <v>2007</v>
          </cell>
          <cell r="J1332" t="str">
            <v>SOMAKOFFScratch 1 000</v>
          </cell>
          <cell r="L1332">
            <v>1</v>
          </cell>
          <cell r="M1332" t="str">
            <v>1SOMAKOFF</v>
          </cell>
          <cell r="N1332" t="str">
            <v>SOMAKOFFScratch 1 000</v>
          </cell>
          <cell r="O1332" t="str">
            <v>SOMAKOFF</v>
          </cell>
          <cell r="P1332" t="str">
            <v>Scratch 1 000</v>
          </cell>
          <cell r="Q1332" t="str">
            <v>52007</v>
          </cell>
          <cell r="R1332" t="str">
            <v>52007Scratch 1 000</v>
          </cell>
          <cell r="S1332" t="str">
            <v>2007Scratch 1 000</v>
          </cell>
          <cell r="T1332" t="str">
            <v>52007SOMAKOFF</v>
          </cell>
          <cell r="U1332" t="str">
            <v>52007SOMAKOFFScratch 1 000</v>
          </cell>
          <cell r="V1332" t="str">
            <v>39230Scratch 1 000</v>
          </cell>
          <cell r="W1332" t="str">
            <v>2007SOMAKOFF</v>
          </cell>
          <cell r="X1332" t="str">
            <v>2007SOMAKOFFScratch 1 000</v>
          </cell>
        </row>
        <row r="1333">
          <cell r="I1333">
            <v>2007</v>
          </cell>
          <cell r="J1333" t="str">
            <v>SOMAKOFFScratch 2 000</v>
          </cell>
          <cell r="L1333">
            <v>0</v>
          </cell>
          <cell r="M1333" t="str">
            <v>SOMAKOFF</v>
          </cell>
          <cell r="N1333" t="str">
            <v>SOMAKOFFScratch 2 000</v>
          </cell>
          <cell r="O1333" t="str">
            <v>SOMAKOFF</v>
          </cell>
          <cell r="P1333" t="str">
            <v>Scratch 2 000</v>
          </cell>
          <cell r="Q1333" t="str">
            <v>52007</v>
          </cell>
          <cell r="R1333" t="str">
            <v>52007Scratch 2 000</v>
          </cell>
          <cell r="S1333" t="str">
            <v>2007Scratch 2 000</v>
          </cell>
          <cell r="T1333" t="str">
            <v>52007SOMAKOFF</v>
          </cell>
          <cell r="U1333" t="str">
            <v>52007SOMAKOFFScratch 2 000</v>
          </cell>
          <cell r="V1333" t="str">
            <v>39230Scratch 2 000</v>
          </cell>
          <cell r="W1333" t="str">
            <v>2007SOMAKOFF</v>
          </cell>
          <cell r="X1333" t="str">
            <v>2007SOMAKOFFScratch 2 000</v>
          </cell>
        </row>
        <row r="1334">
          <cell r="I1334">
            <v>2007</v>
          </cell>
          <cell r="J1334" t="str">
            <v>SOMAKOFFScratch 5 000</v>
          </cell>
          <cell r="L1334">
            <v>0</v>
          </cell>
          <cell r="M1334" t="str">
            <v>SOMAKOFF</v>
          </cell>
          <cell r="N1334" t="str">
            <v>SOMAKOFFScratch 5 000</v>
          </cell>
          <cell r="O1334" t="str">
            <v>SOMAKOFF</v>
          </cell>
          <cell r="P1334" t="str">
            <v>Scratch 5 000</v>
          </cell>
          <cell r="Q1334" t="str">
            <v>52007</v>
          </cell>
          <cell r="R1334" t="str">
            <v>52007Scratch 5 000</v>
          </cell>
          <cell r="S1334" t="str">
            <v>2007Scratch 5 000</v>
          </cell>
          <cell r="T1334" t="str">
            <v>52007SOMAKOFF</v>
          </cell>
          <cell r="U1334" t="str">
            <v>52007SOMAKOFFScratch 5 000</v>
          </cell>
          <cell r="V1334" t="str">
            <v>39230Scratch 5 000</v>
          </cell>
          <cell r="W1334" t="str">
            <v>2007SOMAKOFF</v>
          </cell>
          <cell r="X1334" t="str">
            <v>2007SOMAKOFFScratch 5 000</v>
          </cell>
        </row>
        <row r="1335">
          <cell r="I1335">
            <v>2007</v>
          </cell>
          <cell r="J1335" t="str">
            <v>SOMAKOFFScratch 10 000</v>
          </cell>
          <cell r="L1335">
            <v>0</v>
          </cell>
          <cell r="M1335" t="str">
            <v>SOMAKOFF</v>
          </cell>
          <cell r="N1335" t="str">
            <v>SOMAKOFFScratch 10 000</v>
          </cell>
          <cell r="O1335" t="str">
            <v>SOMAKOFF</v>
          </cell>
          <cell r="P1335" t="str">
            <v>Scratch 10 000</v>
          </cell>
          <cell r="Q1335" t="str">
            <v>52007</v>
          </cell>
          <cell r="R1335" t="str">
            <v>52007Scratch 10 000</v>
          </cell>
          <cell r="S1335" t="str">
            <v>2007Scratch 10 000</v>
          </cell>
          <cell r="T1335" t="str">
            <v>52007SOMAKOFF</v>
          </cell>
          <cell r="U1335" t="str">
            <v>52007SOMAKOFFScratch 10 000</v>
          </cell>
          <cell r="V1335" t="str">
            <v>39230Scratch 10 000</v>
          </cell>
          <cell r="W1335" t="str">
            <v>2007SOMAKOFF</v>
          </cell>
          <cell r="X1335" t="str">
            <v>2007SOMAKOFFScratch 10 000</v>
          </cell>
        </row>
        <row r="1336">
          <cell r="I1336">
            <v>2007</v>
          </cell>
          <cell r="J1336" t="str">
            <v>SOMAKOFFScratch 20 000</v>
          </cell>
          <cell r="L1336">
            <v>0</v>
          </cell>
          <cell r="M1336" t="str">
            <v>SOMAKOFF</v>
          </cell>
          <cell r="N1336" t="str">
            <v>SOMAKOFFScratch 20 000</v>
          </cell>
          <cell r="O1336" t="str">
            <v>SOMAKOFF</v>
          </cell>
          <cell r="P1336" t="str">
            <v>Scratch 20 000</v>
          </cell>
          <cell r="Q1336" t="str">
            <v>52007</v>
          </cell>
          <cell r="R1336" t="str">
            <v>52007Scratch 20 000</v>
          </cell>
          <cell r="S1336" t="str">
            <v>2007Scratch 20 000</v>
          </cell>
          <cell r="T1336" t="str">
            <v>52007SOMAKOFF</v>
          </cell>
          <cell r="U1336" t="str">
            <v>52007SOMAKOFFScratch 20 000</v>
          </cell>
          <cell r="V1336" t="str">
            <v>39230Scratch 20 000</v>
          </cell>
          <cell r="W1336" t="str">
            <v>2007SOMAKOFF</v>
          </cell>
          <cell r="X1336" t="str">
            <v>2007SOMAKOFFScratch 20 000</v>
          </cell>
        </row>
        <row r="1337">
          <cell r="I1337">
            <v>2007</v>
          </cell>
          <cell r="J1337" t="str">
            <v>ANKA ServicesScratch 1 000</v>
          </cell>
          <cell r="L1337">
            <v>1</v>
          </cell>
          <cell r="M1337" t="str">
            <v>1ANKA Services</v>
          </cell>
          <cell r="N1337" t="str">
            <v>ANKA ServicesScratch 1 000</v>
          </cell>
          <cell r="O1337" t="str">
            <v>ANKA Services</v>
          </cell>
          <cell r="P1337" t="str">
            <v>Scratch 1 000</v>
          </cell>
          <cell r="Q1337" t="str">
            <v>52007</v>
          </cell>
          <cell r="R1337" t="str">
            <v>52007Scratch 1 000</v>
          </cell>
          <cell r="S1337" t="str">
            <v>2007Scratch 1 000</v>
          </cell>
          <cell r="T1337" t="str">
            <v>52007ANKA Services</v>
          </cell>
          <cell r="U1337" t="str">
            <v>52007ANKA ServicesScratch 1 000</v>
          </cell>
          <cell r="V1337" t="str">
            <v>39230Scratch 1 000</v>
          </cell>
          <cell r="W1337" t="str">
            <v>2007ANKA Services</v>
          </cell>
          <cell r="X1337" t="str">
            <v>2007ANKA ServicesScratch 1 000</v>
          </cell>
        </row>
        <row r="1338">
          <cell r="I1338">
            <v>2007</v>
          </cell>
          <cell r="J1338" t="str">
            <v>ANKA ServicesScratch 2 000</v>
          </cell>
          <cell r="L1338">
            <v>0</v>
          </cell>
          <cell r="M1338" t="str">
            <v>ANKA Services</v>
          </cell>
          <cell r="N1338" t="str">
            <v>ANKA ServicesScratch 2 000</v>
          </cell>
          <cell r="O1338" t="str">
            <v>ANKA Services</v>
          </cell>
          <cell r="P1338" t="str">
            <v>Scratch 2 000</v>
          </cell>
          <cell r="Q1338" t="str">
            <v>52007</v>
          </cell>
          <cell r="R1338" t="str">
            <v>52007Scratch 2 000</v>
          </cell>
          <cell r="S1338" t="str">
            <v>2007Scratch 2 000</v>
          </cell>
          <cell r="T1338" t="str">
            <v>52007ANKA Services</v>
          </cell>
          <cell r="U1338" t="str">
            <v>52007ANKA ServicesScratch 2 000</v>
          </cell>
          <cell r="V1338" t="str">
            <v>39230Scratch 2 000</v>
          </cell>
          <cell r="W1338" t="str">
            <v>2007ANKA Services</v>
          </cell>
          <cell r="X1338" t="str">
            <v>2007ANKA ServicesScratch 2 000</v>
          </cell>
        </row>
        <row r="1339">
          <cell r="I1339">
            <v>2007</v>
          </cell>
          <cell r="J1339" t="str">
            <v>ANKA ServicesScratch 5 000</v>
          </cell>
          <cell r="L1339">
            <v>0</v>
          </cell>
          <cell r="M1339" t="str">
            <v>ANKA Services</v>
          </cell>
          <cell r="N1339" t="str">
            <v>ANKA ServicesScratch 5 000</v>
          </cell>
          <cell r="O1339" t="str">
            <v>ANKA Services</v>
          </cell>
          <cell r="P1339" t="str">
            <v>Scratch 5 000</v>
          </cell>
          <cell r="Q1339" t="str">
            <v>52007</v>
          </cell>
          <cell r="R1339" t="str">
            <v>52007Scratch 5 000</v>
          </cell>
          <cell r="S1339" t="str">
            <v>2007Scratch 5 000</v>
          </cell>
          <cell r="T1339" t="str">
            <v>52007ANKA Services</v>
          </cell>
          <cell r="U1339" t="str">
            <v>52007ANKA ServicesScratch 5 000</v>
          </cell>
          <cell r="V1339" t="str">
            <v>39230Scratch 5 000</v>
          </cell>
          <cell r="W1339" t="str">
            <v>2007ANKA Services</v>
          </cell>
          <cell r="X1339" t="str">
            <v>2007ANKA ServicesScratch 5 000</v>
          </cell>
        </row>
        <row r="1340">
          <cell r="I1340">
            <v>2007</v>
          </cell>
          <cell r="J1340" t="str">
            <v>ANKA ServicesScratch 20 000</v>
          </cell>
          <cell r="L1340">
            <v>0</v>
          </cell>
          <cell r="M1340" t="str">
            <v>ANKA Services</v>
          </cell>
          <cell r="N1340" t="str">
            <v>ANKA ServicesScratch 20 000</v>
          </cell>
          <cell r="O1340" t="str">
            <v>ANKA Services</v>
          </cell>
          <cell r="P1340" t="str">
            <v>Scratch 20 000</v>
          </cell>
          <cell r="Q1340" t="str">
            <v>52007</v>
          </cell>
          <cell r="R1340" t="str">
            <v>52007Scratch 20 000</v>
          </cell>
          <cell r="S1340" t="str">
            <v>2007Scratch 20 000</v>
          </cell>
          <cell r="T1340" t="str">
            <v>52007ANKA Services</v>
          </cell>
          <cell r="U1340" t="str">
            <v>52007ANKA ServicesScratch 20 000</v>
          </cell>
          <cell r="V1340" t="str">
            <v>39230Scratch 20 000</v>
          </cell>
          <cell r="W1340" t="str">
            <v>2007ANKA Services</v>
          </cell>
          <cell r="X1340" t="str">
            <v>2007ANKA ServicesScratch 20 000</v>
          </cell>
        </row>
        <row r="1341">
          <cell r="I1341">
            <v>2007</v>
          </cell>
          <cell r="J1341" t="str">
            <v>Ets Mamadou GAMBYScratch 1 000</v>
          </cell>
          <cell r="L1341">
            <v>1</v>
          </cell>
          <cell r="M1341" t="str">
            <v>1Ets Mamadou GAMBY</v>
          </cell>
          <cell r="N1341" t="str">
            <v>Ets Mamadou GAMBYScratch 1 000</v>
          </cell>
          <cell r="O1341" t="str">
            <v>Ets Mamadou GAMBY</v>
          </cell>
          <cell r="P1341" t="str">
            <v>Scratch 1 000</v>
          </cell>
          <cell r="Q1341" t="str">
            <v>52007</v>
          </cell>
          <cell r="R1341" t="str">
            <v>52007Scratch 1 000</v>
          </cell>
          <cell r="S1341" t="str">
            <v>2007Scratch 1 000</v>
          </cell>
          <cell r="T1341" t="str">
            <v>52007Ets Mamadou GAMBY</v>
          </cell>
          <cell r="U1341" t="str">
            <v>52007Ets Mamadou GAMBYScratch 1 000</v>
          </cell>
          <cell r="V1341" t="str">
            <v>39230Scratch 1 000</v>
          </cell>
          <cell r="W1341" t="str">
            <v>2007Ets Mamadou GAMBY</v>
          </cell>
          <cell r="X1341" t="str">
            <v>2007Ets Mamadou GAMBYScratch 1 000</v>
          </cell>
        </row>
        <row r="1342">
          <cell r="I1342">
            <v>2007</v>
          </cell>
          <cell r="J1342" t="str">
            <v>Ets Mamadou GAMBYScratch 2 000</v>
          </cell>
          <cell r="L1342">
            <v>0</v>
          </cell>
          <cell r="M1342" t="str">
            <v>Ets Mamadou GAMBY</v>
          </cell>
          <cell r="N1342" t="str">
            <v>Ets Mamadou GAMBYScratch 2 000</v>
          </cell>
          <cell r="O1342" t="str">
            <v>Ets Mamadou GAMBY</v>
          </cell>
          <cell r="P1342" t="str">
            <v>Scratch 2 000</v>
          </cell>
          <cell r="Q1342" t="str">
            <v>52007</v>
          </cell>
          <cell r="R1342" t="str">
            <v>52007Scratch 2 000</v>
          </cell>
          <cell r="S1342" t="str">
            <v>2007Scratch 2 000</v>
          </cell>
          <cell r="T1342" t="str">
            <v>52007Ets Mamadou GAMBY</v>
          </cell>
          <cell r="U1342" t="str">
            <v>52007Ets Mamadou GAMBYScratch 2 000</v>
          </cell>
          <cell r="V1342" t="str">
            <v>39230Scratch 2 000</v>
          </cell>
          <cell r="W1342" t="str">
            <v>2007Ets Mamadou GAMBY</v>
          </cell>
          <cell r="X1342" t="str">
            <v>2007Ets Mamadou GAMBYScratch 2 000</v>
          </cell>
        </row>
        <row r="1343">
          <cell r="I1343">
            <v>2007</v>
          </cell>
          <cell r="J1343" t="str">
            <v>Ets Mamadou GAMBYScratch 5 000</v>
          </cell>
          <cell r="L1343">
            <v>0</v>
          </cell>
          <cell r="M1343" t="str">
            <v>Ets Mamadou GAMBY</v>
          </cell>
          <cell r="N1343" t="str">
            <v>Ets Mamadou GAMBYScratch 5 000</v>
          </cell>
          <cell r="O1343" t="str">
            <v>Ets Mamadou GAMBY</v>
          </cell>
          <cell r="P1343" t="str">
            <v>Scratch 5 000</v>
          </cell>
          <cell r="Q1343" t="str">
            <v>52007</v>
          </cell>
          <cell r="R1343" t="str">
            <v>52007Scratch 5 000</v>
          </cell>
          <cell r="S1343" t="str">
            <v>2007Scratch 5 000</v>
          </cell>
          <cell r="T1343" t="str">
            <v>52007Ets Mamadou GAMBY</v>
          </cell>
          <cell r="U1343" t="str">
            <v>52007Ets Mamadou GAMBYScratch 5 000</v>
          </cell>
          <cell r="V1343" t="str">
            <v>39230Scratch 5 000</v>
          </cell>
          <cell r="W1343" t="str">
            <v>2007Ets Mamadou GAMBY</v>
          </cell>
          <cell r="X1343" t="str">
            <v>2007Ets Mamadou GAMBYScratch 5 000</v>
          </cell>
        </row>
        <row r="1344">
          <cell r="I1344">
            <v>2007</v>
          </cell>
          <cell r="J1344" t="str">
            <v>Bonneterie Nouvelle TelecomScratch 1 000</v>
          </cell>
          <cell r="L1344">
            <v>1</v>
          </cell>
          <cell r="M1344" t="str">
            <v>1Bonneterie Nouvelle Telecom</v>
          </cell>
          <cell r="N1344" t="str">
            <v>Bonneterie Nouvelle TelecomScratch 1 000</v>
          </cell>
          <cell r="O1344" t="str">
            <v>Bonneterie Nouvelle Telecom</v>
          </cell>
          <cell r="P1344" t="str">
            <v>Scratch 1 000</v>
          </cell>
          <cell r="Q1344" t="str">
            <v>52007</v>
          </cell>
          <cell r="R1344" t="str">
            <v>52007Scratch 1 000</v>
          </cell>
          <cell r="S1344" t="str">
            <v>2007Scratch 1 000</v>
          </cell>
          <cell r="T1344" t="str">
            <v>52007Bonneterie Nouvelle Telecom</v>
          </cell>
          <cell r="U1344" t="str">
            <v>52007Bonneterie Nouvelle TelecomScratch 1 000</v>
          </cell>
          <cell r="V1344" t="str">
            <v>39230Scratch 1 000</v>
          </cell>
          <cell r="W1344" t="str">
            <v>2007Bonneterie Nouvelle Telecom</v>
          </cell>
          <cell r="X1344" t="str">
            <v>2007Bonneterie Nouvelle TelecomScratch 1 000</v>
          </cell>
        </row>
        <row r="1345">
          <cell r="I1345">
            <v>2007</v>
          </cell>
          <cell r="J1345" t="str">
            <v>Bonneterie Nouvelle TelecomScratch 2 000</v>
          </cell>
          <cell r="L1345">
            <v>0</v>
          </cell>
          <cell r="M1345" t="str">
            <v>Bonneterie Nouvelle Telecom</v>
          </cell>
          <cell r="N1345" t="str">
            <v>Bonneterie Nouvelle TelecomScratch 2 000</v>
          </cell>
          <cell r="O1345" t="str">
            <v>Bonneterie Nouvelle Telecom</v>
          </cell>
          <cell r="P1345" t="str">
            <v>Scratch 2 000</v>
          </cell>
          <cell r="Q1345" t="str">
            <v>52007</v>
          </cell>
          <cell r="R1345" t="str">
            <v>52007Scratch 2 000</v>
          </cell>
          <cell r="S1345" t="str">
            <v>2007Scratch 2 000</v>
          </cell>
          <cell r="T1345" t="str">
            <v>52007Bonneterie Nouvelle Telecom</v>
          </cell>
          <cell r="U1345" t="str">
            <v>52007Bonneterie Nouvelle TelecomScratch 2 000</v>
          </cell>
          <cell r="V1345" t="str">
            <v>39230Scratch 2 000</v>
          </cell>
          <cell r="W1345" t="str">
            <v>2007Bonneterie Nouvelle Telecom</v>
          </cell>
          <cell r="X1345" t="str">
            <v>2007Bonneterie Nouvelle TelecomScratch 2 000</v>
          </cell>
        </row>
        <row r="1346">
          <cell r="I1346">
            <v>2007</v>
          </cell>
          <cell r="J1346" t="str">
            <v>Bonneterie Nouvelle TelecomScratch 5 000</v>
          </cell>
          <cell r="L1346">
            <v>0</v>
          </cell>
          <cell r="M1346" t="str">
            <v>Bonneterie Nouvelle Telecom</v>
          </cell>
          <cell r="N1346" t="str">
            <v>Bonneterie Nouvelle TelecomScratch 5 000</v>
          </cell>
          <cell r="O1346" t="str">
            <v>Bonneterie Nouvelle Telecom</v>
          </cell>
          <cell r="P1346" t="str">
            <v>Scratch 5 000</v>
          </cell>
          <cell r="Q1346" t="str">
            <v>52007</v>
          </cell>
          <cell r="R1346" t="str">
            <v>52007Scratch 5 000</v>
          </cell>
          <cell r="S1346" t="str">
            <v>2007Scratch 5 000</v>
          </cell>
          <cell r="T1346" t="str">
            <v>52007Bonneterie Nouvelle Telecom</v>
          </cell>
          <cell r="U1346" t="str">
            <v>52007Bonneterie Nouvelle TelecomScratch 5 000</v>
          </cell>
          <cell r="V1346" t="str">
            <v>39230Scratch 5 000</v>
          </cell>
          <cell r="W1346" t="str">
            <v>2007Bonneterie Nouvelle Telecom</v>
          </cell>
          <cell r="X1346" t="str">
            <v>2007Bonneterie Nouvelle TelecomScratch 5 000</v>
          </cell>
        </row>
        <row r="1347">
          <cell r="I1347">
            <v>2007</v>
          </cell>
          <cell r="J1347" t="str">
            <v>Bonneterie Nouvelle TelecomScratch 20 000</v>
          </cell>
          <cell r="L1347">
            <v>0</v>
          </cell>
          <cell r="M1347" t="str">
            <v>Bonneterie Nouvelle Telecom</v>
          </cell>
          <cell r="N1347" t="str">
            <v>Bonneterie Nouvelle TelecomScratch 20 000</v>
          </cell>
          <cell r="O1347" t="str">
            <v>Bonneterie Nouvelle Telecom</v>
          </cell>
          <cell r="P1347" t="str">
            <v>Scratch 20 000</v>
          </cell>
          <cell r="Q1347" t="str">
            <v>52007</v>
          </cell>
          <cell r="R1347" t="str">
            <v>52007Scratch 20 000</v>
          </cell>
          <cell r="S1347" t="str">
            <v>2007Scratch 20 000</v>
          </cell>
          <cell r="T1347" t="str">
            <v>52007Bonneterie Nouvelle Telecom</v>
          </cell>
          <cell r="U1347" t="str">
            <v>52007Bonneterie Nouvelle TelecomScratch 20 000</v>
          </cell>
          <cell r="V1347" t="str">
            <v>39230Scratch 20 000</v>
          </cell>
          <cell r="W1347" t="str">
            <v>2007Bonneterie Nouvelle Telecom</v>
          </cell>
          <cell r="X1347" t="str">
            <v>2007Bonneterie Nouvelle TelecomScratch 20 000</v>
          </cell>
        </row>
        <row r="1348">
          <cell r="I1348">
            <v>2007</v>
          </cell>
          <cell r="J1348" t="str">
            <v>MALI COM SarlScratch 1 000</v>
          </cell>
          <cell r="L1348">
            <v>1</v>
          </cell>
          <cell r="M1348" t="str">
            <v>1MALI COM Sarl</v>
          </cell>
          <cell r="N1348" t="str">
            <v>MALI COM SarlScratch 1 000</v>
          </cell>
          <cell r="O1348" t="str">
            <v>MALI COM Sarl</v>
          </cell>
          <cell r="P1348" t="str">
            <v>Scratch 1 000</v>
          </cell>
          <cell r="Q1348" t="str">
            <v>52007</v>
          </cell>
          <cell r="R1348" t="str">
            <v>52007Scratch 1 000</v>
          </cell>
          <cell r="S1348" t="str">
            <v>2007Scratch 1 000</v>
          </cell>
          <cell r="T1348" t="str">
            <v>52007MALI COM Sarl</v>
          </cell>
          <cell r="U1348" t="str">
            <v>52007MALI COM SarlScratch 1 000</v>
          </cell>
          <cell r="V1348" t="str">
            <v>39230Scratch 1 000</v>
          </cell>
          <cell r="W1348" t="str">
            <v>2007MALI COM Sarl</v>
          </cell>
          <cell r="X1348" t="str">
            <v>2007MALI COM SarlScratch 1 000</v>
          </cell>
        </row>
        <row r="1349">
          <cell r="I1349">
            <v>2007</v>
          </cell>
          <cell r="J1349" t="str">
            <v>MALI COM SarlScratch 2 000</v>
          </cell>
          <cell r="L1349">
            <v>0</v>
          </cell>
          <cell r="M1349" t="str">
            <v>MALI COM Sarl</v>
          </cell>
          <cell r="N1349" t="str">
            <v>MALI COM SarlScratch 2 000</v>
          </cell>
          <cell r="O1349" t="str">
            <v>MALI COM Sarl</v>
          </cell>
          <cell r="P1349" t="str">
            <v>Scratch 2 000</v>
          </cell>
          <cell r="Q1349" t="str">
            <v>52007</v>
          </cell>
          <cell r="R1349" t="str">
            <v>52007Scratch 2 000</v>
          </cell>
          <cell r="S1349" t="str">
            <v>2007Scratch 2 000</v>
          </cell>
          <cell r="T1349" t="str">
            <v>52007MALI COM Sarl</v>
          </cell>
          <cell r="U1349" t="str">
            <v>52007MALI COM SarlScratch 2 000</v>
          </cell>
          <cell r="V1349" t="str">
            <v>39230Scratch 2 000</v>
          </cell>
          <cell r="W1349" t="str">
            <v>2007MALI COM Sarl</v>
          </cell>
          <cell r="X1349" t="str">
            <v>2007MALI COM SarlScratch 2 000</v>
          </cell>
        </row>
        <row r="1350">
          <cell r="I1350">
            <v>2007</v>
          </cell>
          <cell r="J1350" t="str">
            <v>MALI COM SarlScratch 5 000</v>
          </cell>
          <cell r="L1350">
            <v>0</v>
          </cell>
          <cell r="M1350" t="str">
            <v>MALI COM Sarl</v>
          </cell>
          <cell r="N1350" t="str">
            <v>MALI COM SarlScratch 5 000</v>
          </cell>
          <cell r="O1350" t="str">
            <v>MALI COM Sarl</v>
          </cell>
          <cell r="P1350" t="str">
            <v>Scratch 5 000</v>
          </cell>
          <cell r="Q1350" t="str">
            <v>52007</v>
          </cell>
          <cell r="R1350" t="str">
            <v>52007Scratch 5 000</v>
          </cell>
          <cell r="S1350" t="str">
            <v>2007Scratch 5 000</v>
          </cell>
          <cell r="T1350" t="str">
            <v>52007MALI COM Sarl</v>
          </cell>
          <cell r="U1350" t="str">
            <v>52007MALI COM SarlScratch 5 000</v>
          </cell>
          <cell r="V1350" t="str">
            <v>39230Scratch 5 000</v>
          </cell>
          <cell r="W1350" t="str">
            <v>2007MALI COM Sarl</v>
          </cell>
          <cell r="X1350" t="str">
            <v>2007MALI COM SarlScratch 5 000</v>
          </cell>
        </row>
        <row r="1351">
          <cell r="I1351">
            <v>2007</v>
          </cell>
          <cell r="J1351" t="str">
            <v>MALI COM SarlScratch 10 000</v>
          </cell>
          <cell r="L1351">
            <v>0</v>
          </cell>
          <cell r="M1351" t="str">
            <v>MALI COM Sarl</v>
          </cell>
          <cell r="N1351" t="str">
            <v>MALI COM SarlScratch 10 000</v>
          </cell>
          <cell r="O1351" t="str">
            <v>MALI COM Sarl</v>
          </cell>
          <cell r="P1351" t="str">
            <v>Scratch 10 000</v>
          </cell>
          <cell r="Q1351" t="str">
            <v>52007</v>
          </cell>
          <cell r="R1351" t="str">
            <v>52007Scratch 10 000</v>
          </cell>
          <cell r="S1351" t="str">
            <v>2007Scratch 10 000</v>
          </cell>
          <cell r="T1351" t="str">
            <v>52007MALI COM Sarl</v>
          </cell>
          <cell r="U1351" t="str">
            <v>52007MALI COM SarlScratch 10 000</v>
          </cell>
          <cell r="V1351" t="str">
            <v>39230Scratch 10 000</v>
          </cell>
          <cell r="W1351" t="str">
            <v>2007MALI COM Sarl</v>
          </cell>
          <cell r="X1351" t="str">
            <v>2007MALI COM SarlScratch 10 000</v>
          </cell>
        </row>
        <row r="1352">
          <cell r="I1352">
            <v>2007</v>
          </cell>
          <cell r="J1352" t="str">
            <v>MALI COM SarlScratch 20 000</v>
          </cell>
          <cell r="L1352">
            <v>0</v>
          </cell>
          <cell r="M1352" t="str">
            <v>MALI COM Sarl</v>
          </cell>
          <cell r="N1352" t="str">
            <v>MALI COM SarlScratch 20 000</v>
          </cell>
          <cell r="O1352" t="str">
            <v>MALI COM Sarl</v>
          </cell>
          <cell r="P1352" t="str">
            <v>Scratch 20 000</v>
          </cell>
          <cell r="Q1352" t="str">
            <v>52007</v>
          </cell>
          <cell r="R1352" t="str">
            <v>52007Scratch 20 000</v>
          </cell>
          <cell r="S1352" t="str">
            <v>2007Scratch 20 000</v>
          </cell>
          <cell r="T1352" t="str">
            <v>52007MALI COM Sarl</v>
          </cell>
          <cell r="U1352" t="str">
            <v>52007MALI COM SarlScratch 20 000</v>
          </cell>
          <cell r="V1352" t="str">
            <v>39230Scratch 20 000</v>
          </cell>
          <cell r="W1352" t="str">
            <v>2007MALI COM Sarl</v>
          </cell>
          <cell r="X1352" t="str">
            <v>2007MALI COM SarlScratch 20 000</v>
          </cell>
        </row>
        <row r="1353">
          <cell r="I1353">
            <v>2007</v>
          </cell>
          <cell r="J1353" t="str">
            <v>STS GAMBY &amp; FRERES (SOGAF) SarlScratch 1 000</v>
          </cell>
          <cell r="L1353">
            <v>1</v>
          </cell>
          <cell r="M1353" t="str">
            <v>1STS GAMBY &amp; FRERES (SOGAF) Sarl</v>
          </cell>
          <cell r="N1353" t="str">
            <v>STS GAMBY &amp; FRERES (SOGAF) SarlScratch 1 000</v>
          </cell>
          <cell r="O1353" t="str">
            <v>STS GAMBY &amp; FRERES (SOGAF) Sarl</v>
          </cell>
          <cell r="P1353" t="str">
            <v>Scratch 1 000</v>
          </cell>
          <cell r="Q1353" t="str">
            <v>52007</v>
          </cell>
          <cell r="R1353" t="str">
            <v>52007Scratch 1 000</v>
          </cell>
          <cell r="S1353" t="str">
            <v>2007Scratch 1 000</v>
          </cell>
          <cell r="T1353" t="str">
            <v>52007STS GAMBY &amp; FRERES (SOGAF) Sarl</v>
          </cell>
          <cell r="U1353" t="str">
            <v>52007STS GAMBY &amp; FRERES (SOGAF) SarlScratch 1 000</v>
          </cell>
          <cell r="V1353" t="str">
            <v>39231Scratch 1 000</v>
          </cell>
          <cell r="W1353" t="str">
            <v>2007STS GAMBY &amp; FRERES (SOGAF) Sarl</v>
          </cell>
          <cell r="X1353" t="str">
            <v>2007STS GAMBY &amp; FRERES (SOGAF) SarlScratch 1 000</v>
          </cell>
        </row>
        <row r="1354">
          <cell r="I1354">
            <v>2007</v>
          </cell>
          <cell r="J1354" t="str">
            <v>STS GAMBY &amp; FRERES (SOGAF) SarlScratch 2 000</v>
          </cell>
          <cell r="L1354">
            <v>0</v>
          </cell>
          <cell r="M1354" t="str">
            <v>STS GAMBY &amp; FRERES (SOGAF) Sarl</v>
          </cell>
          <cell r="N1354" t="str">
            <v>STS GAMBY &amp; FRERES (SOGAF) SarlScratch 2 000</v>
          </cell>
          <cell r="O1354" t="str">
            <v>STS GAMBY &amp; FRERES (SOGAF) Sarl</v>
          </cell>
          <cell r="P1354" t="str">
            <v>Scratch 2 000</v>
          </cell>
          <cell r="Q1354" t="str">
            <v>52007</v>
          </cell>
          <cell r="R1354" t="str">
            <v>52007Scratch 2 000</v>
          </cell>
          <cell r="S1354" t="str">
            <v>2007Scratch 2 000</v>
          </cell>
          <cell r="T1354" t="str">
            <v>52007STS GAMBY &amp; FRERES (SOGAF) Sarl</v>
          </cell>
          <cell r="U1354" t="str">
            <v>52007STS GAMBY &amp; FRERES (SOGAF) SarlScratch 2 000</v>
          </cell>
          <cell r="V1354" t="str">
            <v>39231Scratch 2 000</v>
          </cell>
          <cell r="W1354" t="str">
            <v>2007STS GAMBY &amp; FRERES (SOGAF) Sarl</v>
          </cell>
          <cell r="X1354" t="str">
            <v>2007STS GAMBY &amp; FRERES (SOGAF) SarlScratch 2 000</v>
          </cell>
        </row>
        <row r="1355">
          <cell r="I1355">
            <v>2007</v>
          </cell>
          <cell r="J1355" t="str">
            <v>STS GAMBY &amp; FRERES (SOGAF) SarlScratch 5 000</v>
          </cell>
          <cell r="L1355">
            <v>0</v>
          </cell>
          <cell r="M1355" t="str">
            <v>STS GAMBY &amp; FRERES (SOGAF) Sarl</v>
          </cell>
          <cell r="N1355" t="str">
            <v>STS GAMBY &amp; FRERES (SOGAF) SarlScratch 5 000</v>
          </cell>
          <cell r="O1355" t="str">
            <v>STS GAMBY &amp; FRERES (SOGAF) Sarl</v>
          </cell>
          <cell r="P1355" t="str">
            <v>Scratch 5 000</v>
          </cell>
          <cell r="Q1355" t="str">
            <v>52007</v>
          </cell>
          <cell r="R1355" t="str">
            <v>52007Scratch 5 000</v>
          </cell>
          <cell r="S1355" t="str">
            <v>2007Scratch 5 000</v>
          </cell>
          <cell r="T1355" t="str">
            <v>52007STS GAMBY &amp; FRERES (SOGAF) Sarl</v>
          </cell>
          <cell r="U1355" t="str">
            <v>52007STS GAMBY &amp; FRERES (SOGAF) SarlScratch 5 000</v>
          </cell>
          <cell r="V1355" t="str">
            <v>39231Scratch 5 000</v>
          </cell>
          <cell r="W1355" t="str">
            <v>2007STS GAMBY &amp; FRERES (SOGAF) Sarl</v>
          </cell>
          <cell r="X1355" t="str">
            <v>2007STS GAMBY &amp; FRERES (SOGAF) SarlScratch 5 000</v>
          </cell>
        </row>
        <row r="1356">
          <cell r="I1356">
            <v>2007</v>
          </cell>
          <cell r="J1356" t="str">
            <v>Compagnie Internationale de NegoceScratch 1 000</v>
          </cell>
          <cell r="L1356">
            <v>1</v>
          </cell>
          <cell r="M1356" t="str">
            <v>1Compagnie Internationale de Negoce</v>
          </cell>
          <cell r="N1356" t="str">
            <v>Compagnie Internationale de NegoceScratch 1 000</v>
          </cell>
          <cell r="O1356" t="str">
            <v>Compagnie Internationale de Negoce</v>
          </cell>
          <cell r="P1356" t="str">
            <v>Scratch 1 000</v>
          </cell>
          <cell r="Q1356" t="str">
            <v>52007</v>
          </cell>
          <cell r="R1356" t="str">
            <v>52007Scratch 1 000</v>
          </cell>
          <cell r="S1356" t="str">
            <v>2007Scratch 1 000</v>
          </cell>
          <cell r="T1356" t="str">
            <v>52007Compagnie Internationale de Negoce</v>
          </cell>
          <cell r="U1356" t="str">
            <v>52007Compagnie Internationale de NegoceScratch 1 000</v>
          </cell>
          <cell r="V1356" t="str">
            <v>39231Scratch 1 000</v>
          </cell>
          <cell r="W1356" t="str">
            <v>2007Compagnie Internationale de Negoce</v>
          </cell>
          <cell r="X1356" t="str">
            <v>2007Compagnie Internationale de NegoceScratch 1 000</v>
          </cell>
        </row>
        <row r="1357">
          <cell r="I1357">
            <v>2007</v>
          </cell>
          <cell r="J1357" t="str">
            <v>Compagnie Internationale de NegoceScratch 2 000</v>
          </cell>
          <cell r="L1357">
            <v>0</v>
          </cell>
          <cell r="M1357" t="str">
            <v>Compagnie Internationale de Negoce</v>
          </cell>
          <cell r="N1357" t="str">
            <v>Compagnie Internationale de NegoceScratch 2 000</v>
          </cell>
          <cell r="O1357" t="str">
            <v>Compagnie Internationale de Negoce</v>
          </cell>
          <cell r="P1357" t="str">
            <v>Scratch 2 000</v>
          </cell>
          <cell r="Q1357" t="str">
            <v>52007</v>
          </cell>
          <cell r="R1357" t="str">
            <v>52007Scratch 2 000</v>
          </cell>
          <cell r="S1357" t="str">
            <v>2007Scratch 2 000</v>
          </cell>
          <cell r="T1357" t="str">
            <v>52007Compagnie Internationale de Negoce</v>
          </cell>
          <cell r="U1357" t="str">
            <v>52007Compagnie Internationale de NegoceScratch 2 000</v>
          </cell>
          <cell r="V1357" t="str">
            <v>39231Scratch 2 000</v>
          </cell>
          <cell r="W1357" t="str">
            <v>2007Compagnie Internationale de Negoce</v>
          </cell>
          <cell r="X1357" t="str">
            <v>2007Compagnie Internationale de NegoceScratch 2 000</v>
          </cell>
        </row>
        <row r="1358">
          <cell r="I1358">
            <v>2007</v>
          </cell>
          <cell r="J1358" t="str">
            <v>Compagnie Internationale de NegoceScratch 5 000</v>
          </cell>
          <cell r="L1358">
            <v>0</v>
          </cell>
          <cell r="M1358" t="str">
            <v>Compagnie Internationale de Negoce</v>
          </cell>
          <cell r="N1358" t="str">
            <v>Compagnie Internationale de NegoceScratch 5 000</v>
          </cell>
          <cell r="O1358" t="str">
            <v>Compagnie Internationale de Negoce</v>
          </cell>
          <cell r="P1358" t="str">
            <v>Scratch 5 000</v>
          </cell>
          <cell r="Q1358" t="str">
            <v>52007</v>
          </cell>
          <cell r="R1358" t="str">
            <v>52007Scratch 5 000</v>
          </cell>
          <cell r="S1358" t="str">
            <v>2007Scratch 5 000</v>
          </cell>
          <cell r="T1358" t="str">
            <v>52007Compagnie Internationale de Negoce</v>
          </cell>
          <cell r="U1358" t="str">
            <v>52007Compagnie Internationale de NegoceScratch 5 000</v>
          </cell>
          <cell r="V1358" t="str">
            <v>39231Scratch 5 000</v>
          </cell>
          <cell r="W1358" t="str">
            <v>2007Compagnie Internationale de Negoce</v>
          </cell>
          <cell r="X1358" t="str">
            <v>2007Compagnie Internationale de NegoceScratch 5 000</v>
          </cell>
        </row>
        <row r="1359">
          <cell r="I1359">
            <v>2007</v>
          </cell>
          <cell r="J1359" t="str">
            <v>Compagnie Internationale de NegoceScratch 20 000</v>
          </cell>
          <cell r="L1359">
            <v>0</v>
          </cell>
          <cell r="M1359" t="str">
            <v>Compagnie Internationale de Negoce</v>
          </cell>
          <cell r="N1359" t="str">
            <v>Compagnie Internationale de NegoceScratch 20 000</v>
          </cell>
          <cell r="O1359" t="str">
            <v>Compagnie Internationale de Negoce</v>
          </cell>
          <cell r="P1359" t="str">
            <v>Scratch 20 000</v>
          </cell>
          <cell r="Q1359" t="str">
            <v>52007</v>
          </cell>
          <cell r="R1359" t="str">
            <v>52007Scratch 20 000</v>
          </cell>
          <cell r="S1359" t="str">
            <v>2007Scratch 20 000</v>
          </cell>
          <cell r="T1359" t="str">
            <v>52007Compagnie Internationale de Negoce</v>
          </cell>
          <cell r="U1359" t="str">
            <v>52007Compagnie Internationale de NegoceScratch 20 000</v>
          </cell>
          <cell r="V1359" t="str">
            <v>39231Scratch 20 000</v>
          </cell>
          <cell r="W1359" t="str">
            <v>2007Compagnie Internationale de Negoce</v>
          </cell>
          <cell r="X1359" t="str">
            <v>2007Compagnie Internationale de NegoceScratch 20 000</v>
          </cell>
        </row>
        <row r="1360">
          <cell r="I1360">
            <v>2007</v>
          </cell>
          <cell r="J1360" t="str">
            <v>GEMATELScratch 1 000</v>
          </cell>
          <cell r="L1360">
            <v>1</v>
          </cell>
          <cell r="M1360" t="str">
            <v>1GEMATEL</v>
          </cell>
          <cell r="N1360" t="str">
            <v>GEMATELScratch 1 000</v>
          </cell>
          <cell r="O1360" t="str">
            <v>GEMATEL</v>
          </cell>
          <cell r="P1360" t="str">
            <v>Scratch 1 000</v>
          </cell>
          <cell r="Q1360" t="str">
            <v>52007</v>
          </cell>
          <cell r="R1360" t="str">
            <v>52007Scratch 1 000</v>
          </cell>
          <cell r="S1360" t="str">
            <v>2007Scratch 1 000</v>
          </cell>
          <cell r="T1360" t="str">
            <v>52007GEMATEL</v>
          </cell>
          <cell r="U1360" t="str">
            <v>52007GEMATELScratch 1 000</v>
          </cell>
          <cell r="V1360" t="str">
            <v>39231Scratch 1 000</v>
          </cell>
          <cell r="W1360" t="str">
            <v>2007GEMATEL</v>
          </cell>
          <cell r="X1360" t="str">
            <v>2007GEMATELScratch 1 000</v>
          </cell>
        </row>
        <row r="1361">
          <cell r="I1361">
            <v>2007</v>
          </cell>
          <cell r="J1361" t="str">
            <v>GEMATELScratch 2 000</v>
          </cell>
          <cell r="L1361">
            <v>0</v>
          </cell>
          <cell r="M1361" t="str">
            <v>GEMATEL</v>
          </cell>
          <cell r="N1361" t="str">
            <v>GEMATELScratch 2 000</v>
          </cell>
          <cell r="O1361" t="str">
            <v>GEMATEL</v>
          </cell>
          <cell r="P1361" t="str">
            <v>Scratch 2 000</v>
          </cell>
          <cell r="Q1361" t="str">
            <v>52007</v>
          </cell>
          <cell r="R1361" t="str">
            <v>52007Scratch 2 000</v>
          </cell>
          <cell r="S1361" t="str">
            <v>2007Scratch 2 000</v>
          </cell>
          <cell r="T1361" t="str">
            <v>52007GEMATEL</v>
          </cell>
          <cell r="U1361" t="str">
            <v>52007GEMATELScratch 2 000</v>
          </cell>
          <cell r="V1361" t="str">
            <v>39231Scratch 2 000</v>
          </cell>
          <cell r="W1361" t="str">
            <v>2007GEMATEL</v>
          </cell>
          <cell r="X1361" t="str">
            <v>2007GEMATELScratch 2 000</v>
          </cell>
        </row>
        <row r="1362">
          <cell r="I1362">
            <v>2007</v>
          </cell>
          <cell r="J1362" t="str">
            <v>GEMATELScratch 5 000</v>
          </cell>
          <cell r="L1362">
            <v>0</v>
          </cell>
          <cell r="M1362" t="str">
            <v>GEMATEL</v>
          </cell>
          <cell r="N1362" t="str">
            <v>GEMATELScratch 5 000</v>
          </cell>
          <cell r="O1362" t="str">
            <v>GEMATEL</v>
          </cell>
          <cell r="P1362" t="str">
            <v>Scratch 5 000</v>
          </cell>
          <cell r="Q1362" t="str">
            <v>52007</v>
          </cell>
          <cell r="R1362" t="str">
            <v>52007Scratch 5 000</v>
          </cell>
          <cell r="S1362" t="str">
            <v>2007Scratch 5 000</v>
          </cell>
          <cell r="T1362" t="str">
            <v>52007GEMATEL</v>
          </cell>
          <cell r="U1362" t="str">
            <v>52007GEMATELScratch 5 000</v>
          </cell>
          <cell r="V1362" t="str">
            <v>39231Scratch 5 000</v>
          </cell>
          <cell r="W1362" t="str">
            <v>2007GEMATEL</v>
          </cell>
          <cell r="X1362" t="str">
            <v>2007GEMATELScratch 5 000</v>
          </cell>
        </row>
        <row r="1363">
          <cell r="I1363">
            <v>2007</v>
          </cell>
          <cell r="J1363" t="str">
            <v>GEMATELScratch 20 000</v>
          </cell>
          <cell r="L1363">
            <v>0</v>
          </cell>
          <cell r="M1363" t="str">
            <v>GEMATEL</v>
          </cell>
          <cell r="N1363" t="str">
            <v>GEMATELScratch 20 000</v>
          </cell>
          <cell r="O1363" t="str">
            <v>GEMATEL</v>
          </cell>
          <cell r="P1363" t="str">
            <v>Scratch 20 000</v>
          </cell>
          <cell r="Q1363" t="str">
            <v>52007</v>
          </cell>
          <cell r="R1363" t="str">
            <v>52007Scratch 20 000</v>
          </cell>
          <cell r="S1363" t="str">
            <v>2007Scratch 20 000</v>
          </cell>
          <cell r="T1363" t="str">
            <v>52007GEMATEL</v>
          </cell>
          <cell r="U1363" t="str">
            <v>52007GEMATELScratch 20 000</v>
          </cell>
          <cell r="V1363" t="str">
            <v>39231Scratch 20 000</v>
          </cell>
          <cell r="W1363" t="str">
            <v>2007GEMATEL</v>
          </cell>
          <cell r="X1363" t="str">
            <v>2007GEMATELScratch 20 000</v>
          </cell>
        </row>
        <row r="1364">
          <cell r="I1364">
            <v>2007</v>
          </cell>
          <cell r="J1364" t="str">
            <v>ANKA ServicesScratch 1 000</v>
          </cell>
          <cell r="L1364">
            <v>1</v>
          </cell>
          <cell r="M1364" t="str">
            <v>1ANKA Services</v>
          </cell>
          <cell r="N1364" t="str">
            <v>ANKA ServicesScratch 1 000</v>
          </cell>
          <cell r="O1364" t="str">
            <v>ANKA Services</v>
          </cell>
          <cell r="P1364" t="str">
            <v>Scratch 1 000</v>
          </cell>
          <cell r="Q1364" t="str">
            <v>52007</v>
          </cell>
          <cell r="R1364" t="str">
            <v>52007Scratch 1 000</v>
          </cell>
          <cell r="S1364" t="str">
            <v>2007Scratch 1 000</v>
          </cell>
          <cell r="T1364" t="str">
            <v>52007ANKA Services</v>
          </cell>
          <cell r="U1364" t="str">
            <v>52007ANKA ServicesScratch 1 000</v>
          </cell>
          <cell r="V1364" t="str">
            <v>39231Scratch 1 000</v>
          </cell>
          <cell r="W1364" t="str">
            <v>2007ANKA Services</v>
          </cell>
          <cell r="X1364" t="str">
            <v>2007ANKA ServicesScratch 1 000</v>
          </cell>
        </row>
        <row r="1365">
          <cell r="I1365">
            <v>2007</v>
          </cell>
          <cell r="J1365" t="str">
            <v>ANKA ServicesScratch 2 000</v>
          </cell>
          <cell r="L1365">
            <v>0</v>
          </cell>
          <cell r="M1365" t="str">
            <v>ANKA Services</v>
          </cell>
          <cell r="N1365" t="str">
            <v>ANKA ServicesScratch 2 000</v>
          </cell>
          <cell r="O1365" t="str">
            <v>ANKA Services</v>
          </cell>
          <cell r="P1365" t="str">
            <v>Scratch 2 000</v>
          </cell>
          <cell r="Q1365" t="str">
            <v>52007</v>
          </cell>
          <cell r="R1365" t="str">
            <v>52007Scratch 2 000</v>
          </cell>
          <cell r="S1365" t="str">
            <v>2007Scratch 2 000</v>
          </cell>
          <cell r="T1365" t="str">
            <v>52007ANKA Services</v>
          </cell>
          <cell r="U1365" t="str">
            <v>52007ANKA ServicesScratch 2 000</v>
          </cell>
          <cell r="V1365" t="str">
            <v>39231Scratch 2 000</v>
          </cell>
          <cell r="W1365" t="str">
            <v>2007ANKA Services</v>
          </cell>
          <cell r="X1365" t="str">
            <v>2007ANKA ServicesScratch 2 000</v>
          </cell>
        </row>
        <row r="1366">
          <cell r="I1366">
            <v>2007</v>
          </cell>
          <cell r="J1366" t="str">
            <v>ANKA ServicesScratch 5 000</v>
          </cell>
          <cell r="L1366">
            <v>0</v>
          </cell>
          <cell r="M1366" t="str">
            <v>ANKA Services</v>
          </cell>
          <cell r="N1366" t="str">
            <v>ANKA ServicesScratch 5 000</v>
          </cell>
          <cell r="O1366" t="str">
            <v>ANKA Services</v>
          </cell>
          <cell r="P1366" t="str">
            <v>Scratch 5 000</v>
          </cell>
          <cell r="Q1366" t="str">
            <v>52007</v>
          </cell>
          <cell r="R1366" t="str">
            <v>52007Scratch 5 000</v>
          </cell>
          <cell r="S1366" t="str">
            <v>2007Scratch 5 000</v>
          </cell>
          <cell r="T1366" t="str">
            <v>52007ANKA Services</v>
          </cell>
          <cell r="U1366" t="str">
            <v>52007ANKA ServicesScratch 5 000</v>
          </cell>
          <cell r="V1366" t="str">
            <v>39231Scratch 5 000</v>
          </cell>
          <cell r="W1366" t="str">
            <v>2007ANKA Services</v>
          </cell>
          <cell r="X1366" t="str">
            <v>2007ANKA ServicesScratch 5 000</v>
          </cell>
        </row>
        <row r="1367">
          <cell r="I1367">
            <v>2007</v>
          </cell>
          <cell r="J1367" t="str">
            <v>SOLEIL LEVANTScratch 1 000</v>
          </cell>
          <cell r="L1367">
            <v>1</v>
          </cell>
          <cell r="M1367" t="str">
            <v>1SOLEIL LEVANT</v>
          </cell>
          <cell r="N1367" t="str">
            <v>SOLEIL LEVANTScratch 1 000</v>
          </cell>
          <cell r="O1367" t="str">
            <v>SOLEIL LEVANT</v>
          </cell>
          <cell r="P1367" t="str">
            <v>Scratch 1 000</v>
          </cell>
          <cell r="Q1367" t="str">
            <v>52007</v>
          </cell>
          <cell r="R1367" t="str">
            <v>52007Scratch 1 000</v>
          </cell>
          <cell r="S1367" t="str">
            <v>2007Scratch 1 000</v>
          </cell>
          <cell r="T1367" t="str">
            <v>52007SOLEIL LEVANT</v>
          </cell>
          <cell r="U1367" t="str">
            <v>52007SOLEIL LEVANTScratch 1 000</v>
          </cell>
          <cell r="V1367" t="str">
            <v>39232Scratch 1 000</v>
          </cell>
          <cell r="W1367" t="str">
            <v>2007SOLEIL LEVANT</v>
          </cell>
          <cell r="X1367" t="str">
            <v>2007SOLEIL LEVANTScratch 1 000</v>
          </cell>
        </row>
        <row r="1368">
          <cell r="I1368">
            <v>2007</v>
          </cell>
          <cell r="J1368" t="str">
            <v>SOLEIL LEVANTScratch 2 000</v>
          </cell>
          <cell r="L1368">
            <v>0</v>
          </cell>
          <cell r="M1368" t="str">
            <v>SOLEIL LEVANT</v>
          </cell>
          <cell r="N1368" t="str">
            <v>SOLEIL LEVANTScratch 2 000</v>
          </cell>
          <cell r="O1368" t="str">
            <v>SOLEIL LEVANT</v>
          </cell>
          <cell r="P1368" t="str">
            <v>Scratch 2 000</v>
          </cell>
          <cell r="Q1368" t="str">
            <v>52007</v>
          </cell>
          <cell r="R1368" t="str">
            <v>52007Scratch 2 000</v>
          </cell>
          <cell r="S1368" t="str">
            <v>2007Scratch 2 000</v>
          </cell>
          <cell r="T1368" t="str">
            <v>52007SOLEIL LEVANT</v>
          </cell>
          <cell r="U1368" t="str">
            <v>52007SOLEIL LEVANTScratch 2 000</v>
          </cell>
          <cell r="V1368" t="str">
            <v>39232Scratch 2 000</v>
          </cell>
          <cell r="W1368" t="str">
            <v>2007SOLEIL LEVANT</v>
          </cell>
          <cell r="X1368" t="str">
            <v>2007SOLEIL LEVANTScratch 2 000</v>
          </cell>
        </row>
        <row r="1369">
          <cell r="I1369">
            <v>2007</v>
          </cell>
          <cell r="J1369" t="str">
            <v>SOLEIL LEVANTScratch 5 000</v>
          </cell>
          <cell r="L1369">
            <v>0</v>
          </cell>
          <cell r="M1369" t="str">
            <v>SOLEIL LEVANT</v>
          </cell>
          <cell r="N1369" t="str">
            <v>SOLEIL LEVANTScratch 5 000</v>
          </cell>
          <cell r="O1369" t="str">
            <v>SOLEIL LEVANT</v>
          </cell>
          <cell r="P1369" t="str">
            <v>Scratch 5 000</v>
          </cell>
          <cell r="Q1369" t="str">
            <v>52007</v>
          </cell>
          <cell r="R1369" t="str">
            <v>52007Scratch 5 000</v>
          </cell>
          <cell r="S1369" t="str">
            <v>2007Scratch 5 000</v>
          </cell>
          <cell r="T1369" t="str">
            <v>52007SOLEIL LEVANT</v>
          </cell>
          <cell r="U1369" t="str">
            <v>52007SOLEIL LEVANTScratch 5 000</v>
          </cell>
          <cell r="V1369" t="str">
            <v>39232Scratch 5 000</v>
          </cell>
          <cell r="W1369" t="str">
            <v>2007SOLEIL LEVANT</v>
          </cell>
          <cell r="X1369" t="str">
            <v>2007SOLEIL LEVANTScratch 5 000</v>
          </cell>
        </row>
        <row r="1370">
          <cell r="I1370">
            <v>2007</v>
          </cell>
          <cell r="J1370" t="str">
            <v>GEMATELScratch 1 000</v>
          </cell>
          <cell r="L1370">
            <v>1</v>
          </cell>
          <cell r="M1370" t="str">
            <v>1GEMATEL</v>
          </cell>
          <cell r="N1370" t="str">
            <v>GEMATELScratch 1 000</v>
          </cell>
          <cell r="O1370" t="str">
            <v>GEMATEL</v>
          </cell>
          <cell r="P1370" t="str">
            <v>Scratch 1 000</v>
          </cell>
          <cell r="Q1370" t="str">
            <v>52007</v>
          </cell>
          <cell r="R1370" t="str">
            <v>52007Scratch 1 000</v>
          </cell>
          <cell r="S1370" t="str">
            <v>2007Scratch 1 000</v>
          </cell>
          <cell r="T1370" t="str">
            <v>52007GEMATEL</v>
          </cell>
          <cell r="U1370" t="str">
            <v>52007GEMATELScratch 1 000</v>
          </cell>
          <cell r="V1370" t="str">
            <v>39232Scratch 1 000</v>
          </cell>
          <cell r="W1370" t="str">
            <v>2007GEMATEL</v>
          </cell>
          <cell r="X1370" t="str">
            <v>2007GEMATELScratch 1 000</v>
          </cell>
        </row>
        <row r="1371">
          <cell r="I1371">
            <v>2007</v>
          </cell>
          <cell r="J1371" t="str">
            <v>GEMATELScratch 2 000</v>
          </cell>
          <cell r="L1371">
            <v>0</v>
          </cell>
          <cell r="M1371" t="str">
            <v>GEMATEL</v>
          </cell>
          <cell r="N1371" t="str">
            <v>GEMATELScratch 2 000</v>
          </cell>
          <cell r="O1371" t="str">
            <v>GEMATEL</v>
          </cell>
          <cell r="P1371" t="str">
            <v>Scratch 2 000</v>
          </cell>
          <cell r="Q1371" t="str">
            <v>52007</v>
          </cell>
          <cell r="R1371" t="str">
            <v>52007Scratch 2 000</v>
          </cell>
          <cell r="S1371" t="str">
            <v>2007Scratch 2 000</v>
          </cell>
          <cell r="T1371" t="str">
            <v>52007GEMATEL</v>
          </cell>
          <cell r="U1371" t="str">
            <v>52007GEMATELScratch 2 000</v>
          </cell>
          <cell r="V1371" t="str">
            <v>39232Scratch 2 000</v>
          </cell>
          <cell r="W1371" t="str">
            <v>2007GEMATEL</v>
          </cell>
          <cell r="X1371" t="str">
            <v>2007GEMATELScratch 2 000</v>
          </cell>
        </row>
        <row r="1372">
          <cell r="I1372">
            <v>2007</v>
          </cell>
          <cell r="J1372" t="str">
            <v>GEMATELScratch 5 000</v>
          </cell>
          <cell r="L1372">
            <v>0</v>
          </cell>
          <cell r="M1372" t="str">
            <v>GEMATEL</v>
          </cell>
          <cell r="N1372" t="str">
            <v>GEMATELScratch 5 000</v>
          </cell>
          <cell r="O1372" t="str">
            <v>GEMATEL</v>
          </cell>
          <cell r="P1372" t="str">
            <v>Scratch 5 000</v>
          </cell>
          <cell r="Q1372" t="str">
            <v>52007</v>
          </cell>
          <cell r="R1372" t="str">
            <v>52007Scratch 5 000</v>
          </cell>
          <cell r="S1372" t="str">
            <v>2007Scratch 5 000</v>
          </cell>
          <cell r="T1372" t="str">
            <v>52007GEMATEL</v>
          </cell>
          <cell r="U1372" t="str">
            <v>52007GEMATELScratch 5 000</v>
          </cell>
          <cell r="V1372" t="str">
            <v>39232Scratch 5 000</v>
          </cell>
          <cell r="W1372" t="str">
            <v>2007GEMATEL</v>
          </cell>
          <cell r="X1372" t="str">
            <v>2007GEMATELScratch 5 000</v>
          </cell>
        </row>
        <row r="1373">
          <cell r="I1373">
            <v>2007</v>
          </cell>
          <cell r="J1373" t="str">
            <v>STS GAMBY &amp; FRERES (SOGAF) SarlScratch 1 000</v>
          </cell>
          <cell r="L1373">
            <v>1</v>
          </cell>
          <cell r="M1373" t="str">
            <v>1STS GAMBY &amp; FRERES (SOGAF) Sarl</v>
          </cell>
          <cell r="N1373" t="str">
            <v>STS GAMBY &amp; FRERES (SOGAF) SarlScratch 1 000</v>
          </cell>
          <cell r="O1373" t="str">
            <v>STS GAMBY &amp; FRERES (SOGAF) Sarl</v>
          </cell>
          <cell r="P1373" t="str">
            <v>Scratch 1 000</v>
          </cell>
          <cell r="Q1373" t="str">
            <v>52007</v>
          </cell>
          <cell r="R1373" t="str">
            <v>52007Scratch 1 000</v>
          </cell>
          <cell r="S1373" t="str">
            <v>2007Scratch 1 000</v>
          </cell>
          <cell r="T1373" t="str">
            <v>52007STS GAMBY &amp; FRERES (SOGAF) Sarl</v>
          </cell>
          <cell r="U1373" t="str">
            <v>52007STS GAMBY &amp; FRERES (SOGAF) SarlScratch 1 000</v>
          </cell>
          <cell r="V1373" t="str">
            <v>39232Scratch 1 000</v>
          </cell>
          <cell r="W1373" t="str">
            <v>2007STS GAMBY &amp; FRERES (SOGAF) Sarl</v>
          </cell>
          <cell r="X1373" t="str">
            <v>2007STS GAMBY &amp; FRERES (SOGAF) SarlScratch 1 000</v>
          </cell>
        </row>
        <row r="1374">
          <cell r="I1374">
            <v>2007</v>
          </cell>
          <cell r="J1374" t="str">
            <v>STS GAMBY &amp; FRERES (SOGAF) SarlScratch 2 000</v>
          </cell>
          <cell r="L1374">
            <v>0</v>
          </cell>
          <cell r="M1374" t="str">
            <v>STS GAMBY &amp; FRERES (SOGAF) Sarl</v>
          </cell>
          <cell r="N1374" t="str">
            <v>STS GAMBY &amp; FRERES (SOGAF) SarlScratch 2 000</v>
          </cell>
          <cell r="O1374" t="str">
            <v>STS GAMBY &amp; FRERES (SOGAF) Sarl</v>
          </cell>
          <cell r="P1374" t="str">
            <v>Scratch 2 000</v>
          </cell>
          <cell r="Q1374" t="str">
            <v>52007</v>
          </cell>
          <cell r="R1374" t="str">
            <v>52007Scratch 2 000</v>
          </cell>
          <cell r="S1374" t="str">
            <v>2007Scratch 2 000</v>
          </cell>
          <cell r="T1374" t="str">
            <v>52007STS GAMBY &amp; FRERES (SOGAF) Sarl</v>
          </cell>
          <cell r="U1374" t="str">
            <v>52007STS GAMBY &amp; FRERES (SOGAF) SarlScratch 2 000</v>
          </cell>
          <cell r="V1374" t="str">
            <v>39232Scratch 2 000</v>
          </cell>
          <cell r="W1374" t="str">
            <v>2007STS GAMBY &amp; FRERES (SOGAF) Sarl</v>
          </cell>
          <cell r="X1374" t="str">
            <v>2007STS GAMBY &amp; FRERES (SOGAF) SarlScratch 2 000</v>
          </cell>
        </row>
        <row r="1375">
          <cell r="I1375">
            <v>2007</v>
          </cell>
          <cell r="J1375" t="str">
            <v>STS GAMBY &amp; FRERES (SOGAF) SarlScratch 5 000</v>
          </cell>
          <cell r="L1375">
            <v>0</v>
          </cell>
          <cell r="M1375" t="str">
            <v>STS GAMBY &amp; FRERES (SOGAF) Sarl</v>
          </cell>
          <cell r="N1375" t="str">
            <v>STS GAMBY &amp; FRERES (SOGAF) SarlScratch 5 000</v>
          </cell>
          <cell r="O1375" t="str">
            <v>STS GAMBY &amp; FRERES (SOGAF) Sarl</v>
          </cell>
          <cell r="P1375" t="str">
            <v>Scratch 5 000</v>
          </cell>
          <cell r="Q1375" t="str">
            <v>52007</v>
          </cell>
          <cell r="R1375" t="str">
            <v>52007Scratch 5 000</v>
          </cell>
          <cell r="S1375" t="str">
            <v>2007Scratch 5 000</v>
          </cell>
          <cell r="T1375" t="str">
            <v>52007STS GAMBY &amp; FRERES (SOGAF) Sarl</v>
          </cell>
          <cell r="U1375" t="str">
            <v>52007STS GAMBY &amp; FRERES (SOGAF) SarlScratch 5 000</v>
          </cell>
          <cell r="V1375" t="str">
            <v>39232Scratch 5 000</v>
          </cell>
          <cell r="W1375" t="str">
            <v>2007STS GAMBY &amp; FRERES (SOGAF) Sarl</v>
          </cell>
          <cell r="X1375" t="str">
            <v>2007STS GAMBY &amp; FRERES (SOGAF) SarlScratch 5 000</v>
          </cell>
        </row>
        <row r="1376">
          <cell r="I1376">
            <v>2007</v>
          </cell>
          <cell r="J1376" t="str">
            <v>GEMATELScratch 1 000</v>
          </cell>
          <cell r="L1376">
            <v>1</v>
          </cell>
          <cell r="M1376" t="str">
            <v>1GEMATEL</v>
          </cell>
          <cell r="N1376" t="str">
            <v>GEMATELScratch 1 000</v>
          </cell>
          <cell r="O1376" t="str">
            <v>GEMATEL</v>
          </cell>
          <cell r="P1376" t="str">
            <v>Scratch 1 000</v>
          </cell>
          <cell r="Q1376" t="str">
            <v>52007</v>
          </cell>
          <cell r="R1376" t="str">
            <v>52007Scratch 1 000</v>
          </cell>
          <cell r="S1376" t="str">
            <v>2007Scratch 1 000</v>
          </cell>
          <cell r="T1376" t="str">
            <v>52007GEMATEL</v>
          </cell>
          <cell r="U1376" t="str">
            <v>52007GEMATELScratch 1 000</v>
          </cell>
          <cell r="V1376" t="str">
            <v>39232Scratch 1 000</v>
          </cell>
          <cell r="W1376" t="str">
            <v>2007GEMATEL</v>
          </cell>
          <cell r="X1376" t="str">
            <v>2007GEMATELScratch 1 000</v>
          </cell>
        </row>
        <row r="1377">
          <cell r="I1377">
            <v>2007</v>
          </cell>
          <cell r="J1377" t="str">
            <v>GEMATELScratch 2 000</v>
          </cell>
          <cell r="L1377">
            <v>0</v>
          </cell>
          <cell r="M1377" t="str">
            <v>GEMATEL</v>
          </cell>
          <cell r="N1377" t="str">
            <v>GEMATELScratch 2 000</v>
          </cell>
          <cell r="O1377" t="str">
            <v>GEMATEL</v>
          </cell>
          <cell r="P1377" t="str">
            <v>Scratch 2 000</v>
          </cell>
          <cell r="Q1377" t="str">
            <v>52007</v>
          </cell>
          <cell r="R1377" t="str">
            <v>52007Scratch 2 000</v>
          </cell>
          <cell r="S1377" t="str">
            <v>2007Scratch 2 000</v>
          </cell>
          <cell r="T1377" t="str">
            <v>52007GEMATEL</v>
          </cell>
          <cell r="U1377" t="str">
            <v>52007GEMATELScratch 2 000</v>
          </cell>
          <cell r="V1377" t="str">
            <v>39232Scratch 2 000</v>
          </cell>
          <cell r="W1377" t="str">
            <v>2007GEMATEL</v>
          </cell>
          <cell r="X1377" t="str">
            <v>2007GEMATELScratch 2 000</v>
          </cell>
        </row>
        <row r="1378">
          <cell r="I1378">
            <v>2007</v>
          </cell>
          <cell r="J1378" t="str">
            <v>GEMATELScratch 5 000</v>
          </cell>
          <cell r="L1378">
            <v>0</v>
          </cell>
          <cell r="M1378" t="str">
            <v>GEMATEL</v>
          </cell>
          <cell r="N1378" t="str">
            <v>GEMATELScratch 5 000</v>
          </cell>
          <cell r="O1378" t="str">
            <v>GEMATEL</v>
          </cell>
          <cell r="P1378" t="str">
            <v>Scratch 5 000</v>
          </cell>
          <cell r="Q1378" t="str">
            <v>52007</v>
          </cell>
          <cell r="R1378" t="str">
            <v>52007Scratch 5 000</v>
          </cell>
          <cell r="S1378" t="str">
            <v>2007Scratch 5 000</v>
          </cell>
          <cell r="T1378" t="str">
            <v>52007GEMATEL</v>
          </cell>
          <cell r="U1378" t="str">
            <v>52007GEMATELScratch 5 000</v>
          </cell>
          <cell r="V1378" t="str">
            <v>39232Scratch 5 000</v>
          </cell>
          <cell r="W1378" t="str">
            <v>2007GEMATEL</v>
          </cell>
          <cell r="X1378" t="str">
            <v>2007GEMATELScratch 5 000</v>
          </cell>
        </row>
        <row r="1379">
          <cell r="I1379">
            <v>2007</v>
          </cell>
          <cell r="J1379" t="str">
            <v>GEMATELScratch 10 000</v>
          </cell>
          <cell r="L1379">
            <v>0</v>
          </cell>
          <cell r="M1379" t="str">
            <v>GEMATEL</v>
          </cell>
          <cell r="N1379" t="str">
            <v>GEMATELScratch 10 000</v>
          </cell>
          <cell r="O1379" t="str">
            <v>GEMATEL</v>
          </cell>
          <cell r="P1379" t="str">
            <v>Scratch 10 000</v>
          </cell>
          <cell r="Q1379" t="str">
            <v>52007</v>
          </cell>
          <cell r="R1379" t="str">
            <v>52007Scratch 10 000</v>
          </cell>
          <cell r="S1379" t="str">
            <v>2007Scratch 10 000</v>
          </cell>
          <cell r="T1379" t="str">
            <v>52007GEMATEL</v>
          </cell>
          <cell r="U1379" t="str">
            <v>52007GEMATELScratch 10 000</v>
          </cell>
          <cell r="V1379" t="str">
            <v>39232Scratch 10 000</v>
          </cell>
          <cell r="W1379" t="str">
            <v>2007GEMATEL</v>
          </cell>
          <cell r="X1379" t="str">
            <v>2007GEMATELScratch 10 000</v>
          </cell>
        </row>
        <row r="1380">
          <cell r="I1380">
            <v>2007</v>
          </cell>
          <cell r="J1380" t="str">
            <v>GEMATELScratch 20 000</v>
          </cell>
          <cell r="L1380">
            <v>0</v>
          </cell>
          <cell r="M1380" t="str">
            <v>GEMATEL</v>
          </cell>
          <cell r="N1380" t="str">
            <v>GEMATELScratch 20 000</v>
          </cell>
          <cell r="O1380" t="str">
            <v>GEMATEL</v>
          </cell>
          <cell r="P1380" t="str">
            <v>Scratch 20 000</v>
          </cell>
          <cell r="Q1380" t="str">
            <v>52007</v>
          </cell>
          <cell r="R1380" t="str">
            <v>52007Scratch 20 000</v>
          </cell>
          <cell r="S1380" t="str">
            <v>2007Scratch 20 000</v>
          </cell>
          <cell r="T1380" t="str">
            <v>52007GEMATEL</v>
          </cell>
          <cell r="U1380" t="str">
            <v>52007GEMATELScratch 20 000</v>
          </cell>
          <cell r="V1380" t="str">
            <v>39232Scratch 20 000</v>
          </cell>
          <cell r="W1380" t="str">
            <v>2007GEMATEL</v>
          </cell>
          <cell r="X1380" t="str">
            <v>2007GEMATELScratch 20 000</v>
          </cell>
        </row>
        <row r="1381">
          <cell r="I1381">
            <v>2007</v>
          </cell>
          <cell r="J1381" t="str">
            <v>ANKA ServicesScratch 1 000</v>
          </cell>
          <cell r="L1381">
            <v>1</v>
          </cell>
          <cell r="M1381" t="str">
            <v>1ANKA Services</v>
          </cell>
          <cell r="N1381" t="str">
            <v>ANKA ServicesScratch 1 000</v>
          </cell>
          <cell r="O1381" t="str">
            <v>ANKA Services</v>
          </cell>
          <cell r="P1381" t="str">
            <v>Scratch 1 000</v>
          </cell>
          <cell r="Q1381" t="str">
            <v>52007</v>
          </cell>
          <cell r="R1381" t="str">
            <v>52007Scratch 1 000</v>
          </cell>
          <cell r="S1381" t="str">
            <v>2007Scratch 1 000</v>
          </cell>
          <cell r="T1381" t="str">
            <v>52007ANKA Services</v>
          </cell>
          <cell r="U1381" t="str">
            <v>52007ANKA ServicesScratch 1 000</v>
          </cell>
          <cell r="V1381" t="str">
            <v>39232Scratch 1 000</v>
          </cell>
          <cell r="W1381" t="str">
            <v>2007ANKA Services</v>
          </cell>
          <cell r="X1381" t="str">
            <v>2007ANKA ServicesScratch 1 000</v>
          </cell>
        </row>
        <row r="1382">
          <cell r="I1382">
            <v>2007</v>
          </cell>
          <cell r="J1382" t="str">
            <v>ANKA ServicesScratch 2 000</v>
          </cell>
          <cell r="L1382">
            <v>0</v>
          </cell>
          <cell r="M1382" t="str">
            <v>ANKA Services</v>
          </cell>
          <cell r="N1382" t="str">
            <v>ANKA ServicesScratch 2 000</v>
          </cell>
          <cell r="O1382" t="str">
            <v>ANKA Services</v>
          </cell>
          <cell r="P1382" t="str">
            <v>Scratch 2 000</v>
          </cell>
          <cell r="Q1382" t="str">
            <v>52007</v>
          </cell>
          <cell r="R1382" t="str">
            <v>52007Scratch 2 000</v>
          </cell>
          <cell r="S1382" t="str">
            <v>2007Scratch 2 000</v>
          </cell>
          <cell r="T1382" t="str">
            <v>52007ANKA Services</v>
          </cell>
          <cell r="U1382" t="str">
            <v>52007ANKA ServicesScratch 2 000</v>
          </cell>
          <cell r="V1382" t="str">
            <v>39232Scratch 2 000</v>
          </cell>
          <cell r="W1382" t="str">
            <v>2007ANKA Services</v>
          </cell>
          <cell r="X1382" t="str">
            <v>2007ANKA ServicesScratch 2 000</v>
          </cell>
        </row>
        <row r="1383">
          <cell r="I1383">
            <v>2007</v>
          </cell>
          <cell r="J1383" t="str">
            <v>ANKA ServicesScratch 5 000</v>
          </cell>
          <cell r="L1383">
            <v>0</v>
          </cell>
          <cell r="M1383" t="str">
            <v>ANKA Services</v>
          </cell>
          <cell r="N1383" t="str">
            <v>ANKA ServicesScratch 5 000</v>
          </cell>
          <cell r="O1383" t="str">
            <v>ANKA Services</v>
          </cell>
          <cell r="P1383" t="str">
            <v>Scratch 5 000</v>
          </cell>
          <cell r="Q1383" t="str">
            <v>52007</v>
          </cell>
          <cell r="R1383" t="str">
            <v>52007Scratch 5 000</v>
          </cell>
          <cell r="S1383" t="str">
            <v>2007Scratch 5 000</v>
          </cell>
          <cell r="T1383" t="str">
            <v>52007ANKA Services</v>
          </cell>
          <cell r="U1383" t="str">
            <v>52007ANKA ServicesScratch 5 000</v>
          </cell>
          <cell r="V1383" t="str">
            <v>39232Scratch 5 000</v>
          </cell>
          <cell r="W1383" t="str">
            <v>2007ANKA Services</v>
          </cell>
          <cell r="X1383" t="str">
            <v>2007ANKA ServicesScratch 5 000</v>
          </cell>
        </row>
        <row r="1384">
          <cell r="I1384">
            <v>2007</v>
          </cell>
          <cell r="J1384" t="str">
            <v>STS GAMBY &amp; FRERES (SOGAF) SarlScratch 1 000</v>
          </cell>
          <cell r="L1384">
            <v>1</v>
          </cell>
          <cell r="M1384" t="str">
            <v>1STS GAMBY &amp; FRERES (SOGAF) Sarl</v>
          </cell>
          <cell r="N1384" t="str">
            <v>STS GAMBY &amp; FRERES (SOGAF) SarlScratch 1 000</v>
          </cell>
          <cell r="O1384" t="str">
            <v>STS GAMBY &amp; FRERES (SOGAF) Sarl</v>
          </cell>
          <cell r="P1384" t="str">
            <v>Scratch 1 000</v>
          </cell>
          <cell r="Q1384" t="str">
            <v>52007</v>
          </cell>
          <cell r="R1384" t="str">
            <v>52007Scratch 1 000</v>
          </cell>
          <cell r="S1384" t="str">
            <v>2007Scratch 1 000</v>
          </cell>
          <cell r="T1384" t="str">
            <v>52007STS GAMBY &amp; FRERES (SOGAF) Sarl</v>
          </cell>
          <cell r="U1384" t="str">
            <v>52007STS GAMBY &amp; FRERES (SOGAF) SarlScratch 1 000</v>
          </cell>
          <cell r="V1384" t="str">
            <v>39233Scratch 1 000</v>
          </cell>
          <cell r="W1384" t="str">
            <v>2007STS GAMBY &amp; FRERES (SOGAF) Sarl</v>
          </cell>
          <cell r="X1384" t="str">
            <v>2007STS GAMBY &amp; FRERES (SOGAF) SarlScratch 1 000</v>
          </cell>
        </row>
        <row r="1385">
          <cell r="I1385">
            <v>2007</v>
          </cell>
          <cell r="J1385" t="str">
            <v>STS GAMBY &amp; FRERES (SOGAF) SarlScratch 2 000</v>
          </cell>
          <cell r="L1385">
            <v>0</v>
          </cell>
          <cell r="M1385" t="str">
            <v>STS GAMBY &amp; FRERES (SOGAF) Sarl</v>
          </cell>
          <cell r="N1385" t="str">
            <v>STS GAMBY &amp; FRERES (SOGAF) SarlScratch 2 000</v>
          </cell>
          <cell r="O1385" t="str">
            <v>STS GAMBY &amp; FRERES (SOGAF) Sarl</v>
          </cell>
          <cell r="P1385" t="str">
            <v>Scratch 2 000</v>
          </cell>
          <cell r="Q1385" t="str">
            <v>52007</v>
          </cell>
          <cell r="R1385" t="str">
            <v>52007Scratch 2 000</v>
          </cell>
          <cell r="S1385" t="str">
            <v>2007Scratch 2 000</v>
          </cell>
          <cell r="T1385" t="str">
            <v>52007STS GAMBY &amp; FRERES (SOGAF) Sarl</v>
          </cell>
          <cell r="U1385" t="str">
            <v>52007STS GAMBY &amp; FRERES (SOGAF) SarlScratch 2 000</v>
          </cell>
          <cell r="V1385" t="str">
            <v>39233Scratch 2 000</v>
          </cell>
          <cell r="W1385" t="str">
            <v>2007STS GAMBY &amp; FRERES (SOGAF) Sarl</v>
          </cell>
          <cell r="X1385" t="str">
            <v>2007STS GAMBY &amp; FRERES (SOGAF) SarlScratch 2 000</v>
          </cell>
        </row>
        <row r="1386">
          <cell r="I1386">
            <v>2007</v>
          </cell>
          <cell r="J1386" t="str">
            <v>STS GAMBY &amp; FRERES (SOGAF) SarlScratch 5 000</v>
          </cell>
          <cell r="L1386">
            <v>0</v>
          </cell>
          <cell r="M1386" t="str">
            <v>STS GAMBY &amp; FRERES (SOGAF) Sarl</v>
          </cell>
          <cell r="N1386" t="str">
            <v>STS GAMBY &amp; FRERES (SOGAF) SarlScratch 5 000</v>
          </cell>
          <cell r="O1386" t="str">
            <v>STS GAMBY &amp; FRERES (SOGAF) Sarl</v>
          </cell>
          <cell r="P1386" t="str">
            <v>Scratch 5 000</v>
          </cell>
          <cell r="Q1386" t="str">
            <v>52007</v>
          </cell>
          <cell r="R1386" t="str">
            <v>52007Scratch 5 000</v>
          </cell>
          <cell r="S1386" t="str">
            <v>2007Scratch 5 000</v>
          </cell>
          <cell r="T1386" t="str">
            <v>52007STS GAMBY &amp; FRERES (SOGAF) Sarl</v>
          </cell>
          <cell r="U1386" t="str">
            <v>52007STS GAMBY &amp; FRERES (SOGAF) SarlScratch 5 000</v>
          </cell>
          <cell r="V1386" t="str">
            <v>39233Scratch 5 000</v>
          </cell>
          <cell r="W1386" t="str">
            <v>2007STS GAMBY &amp; FRERES (SOGAF) Sarl</v>
          </cell>
          <cell r="X1386" t="str">
            <v>2007STS GAMBY &amp; FRERES (SOGAF) SarlScratch 5 000</v>
          </cell>
        </row>
        <row r="1387">
          <cell r="I1387">
            <v>2007</v>
          </cell>
          <cell r="J1387" t="str">
            <v>STS GAMBY &amp; FRERES (SOGAF) SarlScratch 20 000</v>
          </cell>
          <cell r="L1387">
            <v>0</v>
          </cell>
          <cell r="M1387" t="str">
            <v>STS GAMBY &amp; FRERES (SOGAF) Sarl</v>
          </cell>
          <cell r="N1387" t="str">
            <v>STS GAMBY &amp; FRERES (SOGAF) SarlScratch 20 000</v>
          </cell>
          <cell r="O1387" t="str">
            <v>STS GAMBY &amp; FRERES (SOGAF) Sarl</v>
          </cell>
          <cell r="P1387" t="str">
            <v>Scratch 20 000</v>
          </cell>
          <cell r="Q1387" t="str">
            <v>52007</v>
          </cell>
          <cell r="R1387" t="str">
            <v>52007Scratch 20 000</v>
          </cell>
          <cell r="S1387" t="str">
            <v>2007Scratch 20 000</v>
          </cell>
          <cell r="T1387" t="str">
            <v>52007STS GAMBY &amp; FRERES (SOGAF) Sarl</v>
          </cell>
          <cell r="U1387" t="str">
            <v>52007STS GAMBY &amp; FRERES (SOGAF) SarlScratch 20 000</v>
          </cell>
          <cell r="V1387" t="str">
            <v>39233Scratch 20 000</v>
          </cell>
          <cell r="W1387" t="str">
            <v>2007STS GAMBY &amp; FRERES (SOGAF) Sarl</v>
          </cell>
          <cell r="X1387" t="str">
            <v>2007STS GAMBY &amp; FRERES (SOGAF) SarlScratch 20 000</v>
          </cell>
        </row>
        <row r="1388">
          <cell r="I1388">
            <v>2007</v>
          </cell>
          <cell r="J1388" t="str">
            <v>GEMATELScratch 1 000</v>
          </cell>
          <cell r="L1388">
            <v>1</v>
          </cell>
          <cell r="M1388" t="str">
            <v>1GEMATEL</v>
          </cell>
          <cell r="N1388" t="str">
            <v>GEMATELScratch 1 000</v>
          </cell>
          <cell r="O1388" t="str">
            <v>GEMATEL</v>
          </cell>
          <cell r="P1388" t="str">
            <v>Scratch 1 000</v>
          </cell>
          <cell r="Q1388" t="str">
            <v>52007</v>
          </cell>
          <cell r="R1388" t="str">
            <v>52007Scratch 1 000</v>
          </cell>
          <cell r="S1388" t="str">
            <v>2007Scratch 1 000</v>
          </cell>
          <cell r="T1388" t="str">
            <v>52007GEMATEL</v>
          </cell>
          <cell r="U1388" t="str">
            <v>52007GEMATELScratch 1 000</v>
          </cell>
          <cell r="V1388" t="str">
            <v>39233Scratch 1 000</v>
          </cell>
          <cell r="W1388" t="str">
            <v>2007GEMATEL</v>
          </cell>
          <cell r="X1388" t="str">
            <v>2007GEMATELScratch 1 000</v>
          </cell>
        </row>
        <row r="1389">
          <cell r="I1389">
            <v>2007</v>
          </cell>
          <cell r="J1389" t="str">
            <v>GEMATELScratch 2 000</v>
          </cell>
          <cell r="L1389">
            <v>0</v>
          </cell>
          <cell r="M1389" t="str">
            <v>GEMATEL</v>
          </cell>
          <cell r="N1389" t="str">
            <v>GEMATELScratch 2 000</v>
          </cell>
          <cell r="O1389" t="str">
            <v>GEMATEL</v>
          </cell>
          <cell r="P1389" t="str">
            <v>Scratch 2 000</v>
          </cell>
          <cell r="Q1389" t="str">
            <v>52007</v>
          </cell>
          <cell r="R1389" t="str">
            <v>52007Scratch 2 000</v>
          </cell>
          <cell r="S1389" t="str">
            <v>2007Scratch 2 000</v>
          </cell>
          <cell r="T1389" t="str">
            <v>52007GEMATEL</v>
          </cell>
          <cell r="U1389" t="str">
            <v>52007GEMATELScratch 2 000</v>
          </cell>
          <cell r="V1389" t="str">
            <v>39233Scratch 2 000</v>
          </cell>
          <cell r="W1389" t="str">
            <v>2007GEMATEL</v>
          </cell>
          <cell r="X1389" t="str">
            <v>2007GEMATELScratch 2 000</v>
          </cell>
        </row>
        <row r="1390">
          <cell r="I1390">
            <v>2007</v>
          </cell>
          <cell r="J1390" t="str">
            <v>GEMATELScratch 5 000</v>
          </cell>
          <cell r="L1390">
            <v>0</v>
          </cell>
          <cell r="M1390" t="str">
            <v>GEMATEL</v>
          </cell>
          <cell r="N1390" t="str">
            <v>GEMATELScratch 5 000</v>
          </cell>
          <cell r="O1390" t="str">
            <v>GEMATEL</v>
          </cell>
          <cell r="P1390" t="str">
            <v>Scratch 5 000</v>
          </cell>
          <cell r="Q1390" t="str">
            <v>52007</v>
          </cell>
          <cell r="R1390" t="str">
            <v>52007Scratch 5 000</v>
          </cell>
          <cell r="S1390" t="str">
            <v>2007Scratch 5 000</v>
          </cell>
          <cell r="T1390" t="str">
            <v>52007GEMATEL</v>
          </cell>
          <cell r="U1390" t="str">
            <v>52007GEMATELScratch 5 000</v>
          </cell>
          <cell r="V1390" t="str">
            <v>39233Scratch 5 000</v>
          </cell>
          <cell r="W1390" t="str">
            <v>2007GEMATEL</v>
          </cell>
          <cell r="X1390" t="str">
            <v>2007GEMATELScratch 5 000</v>
          </cell>
        </row>
        <row r="1391">
          <cell r="I1391">
            <v>2007</v>
          </cell>
          <cell r="J1391" t="str">
            <v>GEMATELScratch 20 000</v>
          </cell>
          <cell r="L1391">
            <v>0</v>
          </cell>
          <cell r="M1391" t="str">
            <v>GEMATEL</v>
          </cell>
          <cell r="N1391" t="str">
            <v>GEMATELScratch 20 000</v>
          </cell>
          <cell r="O1391" t="str">
            <v>GEMATEL</v>
          </cell>
          <cell r="P1391" t="str">
            <v>Scratch 20 000</v>
          </cell>
          <cell r="Q1391" t="str">
            <v>52007</v>
          </cell>
          <cell r="R1391" t="str">
            <v>52007Scratch 20 000</v>
          </cell>
          <cell r="S1391" t="str">
            <v>2007Scratch 20 000</v>
          </cell>
          <cell r="T1391" t="str">
            <v>52007GEMATEL</v>
          </cell>
          <cell r="U1391" t="str">
            <v>52007GEMATELScratch 20 000</v>
          </cell>
          <cell r="V1391" t="str">
            <v>39233Scratch 20 000</v>
          </cell>
          <cell r="W1391" t="str">
            <v>2007GEMATEL</v>
          </cell>
          <cell r="X1391" t="str">
            <v>2007GEMATELScratch 20 000</v>
          </cell>
        </row>
        <row r="1392">
          <cell r="I1392">
            <v>2007</v>
          </cell>
          <cell r="J1392" t="str">
            <v>CellNets MaliMinutes</v>
          </cell>
          <cell r="L1392">
            <v>1</v>
          </cell>
          <cell r="M1392" t="str">
            <v>1CellNets Mali</v>
          </cell>
          <cell r="N1392" t="str">
            <v>CellNets MaliMinutes</v>
          </cell>
          <cell r="O1392" t="str">
            <v>CellNets Mali</v>
          </cell>
          <cell r="P1392" t="str">
            <v>Minutes</v>
          </cell>
          <cell r="Q1392" t="str">
            <v>52007</v>
          </cell>
          <cell r="R1392" t="str">
            <v>52007Minutes</v>
          </cell>
          <cell r="S1392" t="str">
            <v>2007Minutes</v>
          </cell>
          <cell r="T1392" t="str">
            <v>52007CellNets Mali</v>
          </cell>
          <cell r="U1392" t="str">
            <v>52007CellNets MaliMinutes</v>
          </cell>
          <cell r="V1392" t="str">
            <v>39204Minutes</v>
          </cell>
          <cell r="W1392" t="str">
            <v>2007CellNets Mali</v>
          </cell>
          <cell r="X1392" t="str">
            <v>2007CellNets MaliMinutes</v>
          </cell>
        </row>
        <row r="1393">
          <cell r="I1393">
            <v>2007</v>
          </cell>
          <cell r="J1393" t="str">
            <v>CellNets MaliMinutes</v>
          </cell>
          <cell r="L1393">
            <v>1</v>
          </cell>
          <cell r="M1393" t="str">
            <v>1CellNets Mali</v>
          </cell>
          <cell r="N1393" t="str">
            <v>CellNets MaliMinutes</v>
          </cell>
          <cell r="O1393" t="str">
            <v>CellNets Mali</v>
          </cell>
          <cell r="P1393" t="str">
            <v>Minutes</v>
          </cell>
          <cell r="Q1393" t="str">
            <v>52007</v>
          </cell>
          <cell r="R1393" t="str">
            <v>52007Minutes</v>
          </cell>
          <cell r="S1393" t="str">
            <v>2007Minutes</v>
          </cell>
          <cell r="T1393" t="str">
            <v>52007CellNets Mali</v>
          </cell>
          <cell r="U1393" t="str">
            <v>52007CellNets MaliMinutes</v>
          </cell>
          <cell r="V1393" t="str">
            <v>39211Minutes</v>
          </cell>
          <cell r="W1393" t="str">
            <v>2007CellNets Mali</v>
          </cell>
          <cell r="X1393" t="str">
            <v>2007CellNets MaliMinutes</v>
          </cell>
        </row>
        <row r="1394">
          <cell r="I1394">
            <v>2007</v>
          </cell>
          <cell r="J1394" t="str">
            <v>CellNets MaliMinutes</v>
          </cell>
          <cell r="L1394">
            <v>1</v>
          </cell>
          <cell r="M1394" t="str">
            <v>1CellNets Mali</v>
          </cell>
          <cell r="N1394" t="str">
            <v>CellNets MaliMinutes</v>
          </cell>
          <cell r="O1394" t="str">
            <v>CellNets Mali</v>
          </cell>
          <cell r="P1394" t="str">
            <v>Minutes</v>
          </cell>
          <cell r="Q1394" t="str">
            <v>52007</v>
          </cell>
          <cell r="R1394" t="str">
            <v>52007Minutes</v>
          </cell>
          <cell r="S1394" t="str">
            <v>2007Minutes</v>
          </cell>
          <cell r="T1394" t="str">
            <v>52007CellNets Mali</v>
          </cell>
          <cell r="U1394" t="str">
            <v>52007CellNets MaliMinutes</v>
          </cell>
          <cell r="V1394" t="str">
            <v>39217Minutes</v>
          </cell>
          <cell r="W1394" t="str">
            <v>2007CellNets Mali</v>
          </cell>
          <cell r="X1394" t="str">
            <v>2007CellNets MaliMinutes</v>
          </cell>
        </row>
        <row r="1395">
          <cell r="I1395">
            <v>2007</v>
          </cell>
          <cell r="J1395" t="str">
            <v>CellNets MaliMinutes</v>
          </cell>
          <cell r="L1395">
            <v>1</v>
          </cell>
          <cell r="M1395" t="str">
            <v>1CellNets Mali</v>
          </cell>
          <cell r="N1395" t="str">
            <v>CellNets MaliMinutes</v>
          </cell>
          <cell r="O1395" t="str">
            <v>CellNets Mali</v>
          </cell>
          <cell r="P1395" t="str">
            <v>Minutes</v>
          </cell>
          <cell r="Q1395" t="str">
            <v>52007</v>
          </cell>
          <cell r="R1395" t="str">
            <v>52007Minutes</v>
          </cell>
          <cell r="S1395" t="str">
            <v>2007Minutes</v>
          </cell>
          <cell r="T1395" t="str">
            <v>52007CellNets Mali</v>
          </cell>
          <cell r="U1395" t="str">
            <v>52007CellNets MaliMinutes</v>
          </cell>
          <cell r="V1395" t="str">
            <v>39224Minutes</v>
          </cell>
          <cell r="W1395" t="str">
            <v>2007CellNets Mali</v>
          </cell>
          <cell r="X1395" t="str">
            <v>2007CellNets MaliMinutes</v>
          </cell>
        </row>
        <row r="1396">
          <cell r="I1396">
            <v>2007</v>
          </cell>
          <cell r="J1396" t="str">
            <v>CellNets MaliMinutes</v>
          </cell>
          <cell r="L1396">
            <v>1</v>
          </cell>
          <cell r="M1396" t="str">
            <v>1CellNets Mali</v>
          </cell>
          <cell r="N1396" t="str">
            <v>CellNets MaliMinutes</v>
          </cell>
          <cell r="O1396" t="str">
            <v>CellNets Mali</v>
          </cell>
          <cell r="P1396" t="str">
            <v>Minutes</v>
          </cell>
          <cell r="Q1396" t="str">
            <v>52007</v>
          </cell>
          <cell r="R1396" t="str">
            <v>52007Minutes</v>
          </cell>
          <cell r="S1396" t="str">
            <v>2007Minutes</v>
          </cell>
          <cell r="T1396" t="str">
            <v>52007CellNets Mali</v>
          </cell>
          <cell r="U1396" t="str">
            <v>52007CellNets MaliMinutes</v>
          </cell>
          <cell r="V1396" t="str">
            <v>39233Minutes</v>
          </cell>
          <cell r="W1396" t="str">
            <v>2007CellNets Mali</v>
          </cell>
          <cell r="X1396" t="str">
            <v>2007CellNets MaliMinutes</v>
          </cell>
        </row>
        <row r="1397">
          <cell r="I1397">
            <v>2007</v>
          </cell>
          <cell r="J1397" t="str">
            <v>MALI COM SarlScratch 1 000</v>
          </cell>
          <cell r="L1397">
            <v>1</v>
          </cell>
          <cell r="M1397" t="str">
            <v>1MALI COM Sarl</v>
          </cell>
          <cell r="N1397" t="str">
            <v>MALI COM SarlScratch 1 000</v>
          </cell>
          <cell r="O1397" t="str">
            <v>MALI COM Sarl</v>
          </cell>
          <cell r="P1397" t="str">
            <v>Scratch 1 000</v>
          </cell>
          <cell r="Q1397" t="str">
            <v>62007</v>
          </cell>
          <cell r="R1397" t="str">
            <v>62007Scratch 1 000</v>
          </cell>
          <cell r="S1397" t="str">
            <v>2007Scratch 1 000</v>
          </cell>
          <cell r="T1397" t="str">
            <v>62007MALI COM Sarl</v>
          </cell>
          <cell r="U1397" t="str">
            <v>62007MALI COM SarlScratch 1 000</v>
          </cell>
          <cell r="V1397" t="str">
            <v>39234Scratch 1 000</v>
          </cell>
          <cell r="W1397" t="str">
            <v>2007MALI COM Sarl</v>
          </cell>
          <cell r="X1397" t="str">
            <v>2007MALI COM SarlScratch 1 000</v>
          </cell>
        </row>
        <row r="1398">
          <cell r="I1398">
            <v>2007</v>
          </cell>
          <cell r="J1398" t="str">
            <v>MALI COM SarlScratch 2 000</v>
          </cell>
          <cell r="L1398">
            <v>0</v>
          </cell>
          <cell r="M1398" t="str">
            <v>MALI COM Sarl</v>
          </cell>
          <cell r="N1398" t="str">
            <v>MALI COM SarlScratch 2 000</v>
          </cell>
          <cell r="O1398" t="str">
            <v>MALI COM Sarl</v>
          </cell>
          <cell r="P1398" t="str">
            <v>Scratch 2 000</v>
          </cell>
          <cell r="Q1398" t="str">
            <v>62007</v>
          </cell>
          <cell r="R1398" t="str">
            <v>62007Scratch 2 000</v>
          </cell>
          <cell r="S1398" t="str">
            <v>2007Scratch 2 000</v>
          </cell>
          <cell r="T1398" t="str">
            <v>62007MALI COM Sarl</v>
          </cell>
          <cell r="U1398" t="str">
            <v>62007MALI COM SarlScratch 2 000</v>
          </cell>
          <cell r="V1398" t="str">
            <v>39234Scratch 2 000</v>
          </cell>
          <cell r="W1398" t="str">
            <v>2007MALI COM Sarl</v>
          </cell>
          <cell r="X1398" t="str">
            <v>2007MALI COM SarlScratch 2 000</v>
          </cell>
        </row>
        <row r="1399">
          <cell r="I1399">
            <v>2007</v>
          </cell>
          <cell r="J1399" t="str">
            <v>MALI COM SarlScratch 5 000</v>
          </cell>
          <cell r="L1399">
            <v>0</v>
          </cell>
          <cell r="M1399" t="str">
            <v>MALI COM Sarl</v>
          </cell>
          <cell r="N1399" t="str">
            <v>MALI COM SarlScratch 5 000</v>
          </cell>
          <cell r="O1399" t="str">
            <v>MALI COM Sarl</v>
          </cell>
          <cell r="P1399" t="str">
            <v>Scratch 5 000</v>
          </cell>
          <cell r="Q1399" t="str">
            <v>62007</v>
          </cell>
          <cell r="R1399" t="str">
            <v>62007Scratch 5 000</v>
          </cell>
          <cell r="S1399" t="str">
            <v>2007Scratch 5 000</v>
          </cell>
          <cell r="T1399" t="str">
            <v>62007MALI COM Sarl</v>
          </cell>
          <cell r="U1399" t="str">
            <v>62007MALI COM SarlScratch 5 000</v>
          </cell>
          <cell r="V1399" t="str">
            <v>39234Scratch 5 000</v>
          </cell>
          <cell r="W1399" t="str">
            <v>2007MALI COM Sarl</v>
          </cell>
          <cell r="X1399" t="str">
            <v>2007MALI COM SarlScratch 5 000</v>
          </cell>
        </row>
        <row r="1400">
          <cell r="I1400">
            <v>2007</v>
          </cell>
          <cell r="J1400" t="str">
            <v>ETS Boubacar TANDIAScratch 1 000</v>
          </cell>
          <cell r="L1400">
            <v>1</v>
          </cell>
          <cell r="M1400" t="str">
            <v>1ETS Boubacar TANDIA</v>
          </cell>
          <cell r="N1400" t="str">
            <v>ETS Boubacar TANDIAScratch 1 000</v>
          </cell>
          <cell r="O1400" t="str">
            <v>ETS Boubacar TANDIA</v>
          </cell>
          <cell r="P1400" t="str">
            <v>Scratch 1 000</v>
          </cell>
          <cell r="Q1400" t="str">
            <v>62007</v>
          </cell>
          <cell r="R1400" t="str">
            <v>62007Scratch 1 000</v>
          </cell>
          <cell r="S1400" t="str">
            <v>2007Scratch 1 000</v>
          </cell>
          <cell r="T1400" t="str">
            <v>62007ETS Boubacar TANDIA</v>
          </cell>
          <cell r="U1400" t="str">
            <v>62007ETS Boubacar TANDIAScratch 1 000</v>
          </cell>
          <cell r="V1400" t="str">
            <v>39234Scratch 1 000</v>
          </cell>
          <cell r="W1400" t="str">
            <v>2007ETS Boubacar TANDIA</v>
          </cell>
          <cell r="X1400" t="str">
            <v>2007ETS Boubacar TANDIAScratch 1 000</v>
          </cell>
        </row>
        <row r="1401">
          <cell r="I1401">
            <v>2007</v>
          </cell>
          <cell r="J1401" t="str">
            <v>ETS Boubacar TANDIAScratch 2 000</v>
          </cell>
          <cell r="L1401">
            <v>0</v>
          </cell>
          <cell r="M1401" t="str">
            <v>ETS Boubacar TANDIA</v>
          </cell>
          <cell r="N1401" t="str">
            <v>ETS Boubacar TANDIAScratch 2 000</v>
          </cell>
          <cell r="O1401" t="str">
            <v>ETS Boubacar TANDIA</v>
          </cell>
          <cell r="P1401" t="str">
            <v>Scratch 2 000</v>
          </cell>
          <cell r="Q1401" t="str">
            <v>62007</v>
          </cell>
          <cell r="R1401" t="str">
            <v>62007Scratch 2 000</v>
          </cell>
          <cell r="S1401" t="str">
            <v>2007Scratch 2 000</v>
          </cell>
          <cell r="T1401" t="str">
            <v>62007ETS Boubacar TANDIA</v>
          </cell>
          <cell r="U1401" t="str">
            <v>62007ETS Boubacar TANDIAScratch 2 000</v>
          </cell>
          <cell r="V1401" t="str">
            <v>39234Scratch 2 000</v>
          </cell>
          <cell r="W1401" t="str">
            <v>2007ETS Boubacar TANDIA</v>
          </cell>
          <cell r="X1401" t="str">
            <v>2007ETS Boubacar TANDIAScratch 2 000</v>
          </cell>
        </row>
        <row r="1402">
          <cell r="I1402">
            <v>2007</v>
          </cell>
          <cell r="J1402" t="str">
            <v>ETS Boubacar TANDIAScratch 5 000</v>
          </cell>
          <cell r="L1402">
            <v>0</v>
          </cell>
          <cell r="M1402" t="str">
            <v>ETS Boubacar TANDIA</v>
          </cell>
          <cell r="N1402" t="str">
            <v>ETS Boubacar TANDIAScratch 5 000</v>
          </cell>
          <cell r="O1402" t="str">
            <v>ETS Boubacar TANDIA</v>
          </cell>
          <cell r="P1402" t="str">
            <v>Scratch 5 000</v>
          </cell>
          <cell r="Q1402" t="str">
            <v>62007</v>
          </cell>
          <cell r="R1402" t="str">
            <v>62007Scratch 5 000</v>
          </cell>
          <cell r="S1402" t="str">
            <v>2007Scratch 5 000</v>
          </cell>
          <cell r="T1402" t="str">
            <v>62007ETS Boubacar TANDIA</v>
          </cell>
          <cell r="U1402" t="str">
            <v>62007ETS Boubacar TANDIAScratch 5 000</v>
          </cell>
          <cell r="V1402" t="str">
            <v>39234Scratch 5 000</v>
          </cell>
          <cell r="W1402" t="str">
            <v>2007ETS Boubacar TANDIA</v>
          </cell>
          <cell r="X1402" t="str">
            <v>2007ETS Boubacar TANDIAScratch 5 000</v>
          </cell>
        </row>
        <row r="1403">
          <cell r="I1403">
            <v>2007</v>
          </cell>
          <cell r="J1403" t="str">
            <v>ETS Boubacar TANDIAScratch 20 000</v>
          </cell>
          <cell r="L1403">
            <v>0</v>
          </cell>
          <cell r="M1403" t="str">
            <v>ETS Boubacar TANDIA</v>
          </cell>
          <cell r="N1403" t="str">
            <v>ETS Boubacar TANDIAScratch 20 000</v>
          </cell>
          <cell r="O1403" t="str">
            <v>ETS Boubacar TANDIA</v>
          </cell>
          <cell r="P1403" t="str">
            <v>Scratch 20 000</v>
          </cell>
          <cell r="Q1403" t="str">
            <v>62007</v>
          </cell>
          <cell r="R1403" t="str">
            <v>62007Scratch 20 000</v>
          </cell>
          <cell r="S1403" t="str">
            <v>2007Scratch 20 000</v>
          </cell>
          <cell r="T1403" t="str">
            <v>62007ETS Boubacar TANDIA</v>
          </cell>
          <cell r="U1403" t="str">
            <v>62007ETS Boubacar TANDIAScratch 20 000</v>
          </cell>
          <cell r="V1403" t="str">
            <v>39234Scratch 20 000</v>
          </cell>
          <cell r="W1403" t="str">
            <v>2007ETS Boubacar TANDIA</v>
          </cell>
          <cell r="X1403" t="str">
            <v>2007ETS Boubacar TANDIAScratch 20 000</v>
          </cell>
        </row>
        <row r="1404">
          <cell r="I1404">
            <v>2007</v>
          </cell>
          <cell r="J1404" t="str">
            <v>ANKA ServicesScratch 1 000</v>
          </cell>
          <cell r="L1404">
            <v>1</v>
          </cell>
          <cell r="M1404" t="str">
            <v>1ANKA Services</v>
          </cell>
          <cell r="N1404" t="str">
            <v>ANKA ServicesScratch 1 000</v>
          </cell>
          <cell r="O1404" t="str">
            <v>ANKA Services</v>
          </cell>
          <cell r="P1404" t="str">
            <v>Scratch 1 000</v>
          </cell>
          <cell r="Q1404" t="str">
            <v>62007</v>
          </cell>
          <cell r="R1404" t="str">
            <v>62007Scratch 1 000</v>
          </cell>
          <cell r="S1404" t="str">
            <v>2007Scratch 1 000</v>
          </cell>
          <cell r="T1404" t="str">
            <v>62007ANKA Services</v>
          </cell>
          <cell r="U1404" t="str">
            <v>62007ANKA ServicesScratch 1 000</v>
          </cell>
          <cell r="V1404" t="str">
            <v>39234Scratch 1 000</v>
          </cell>
          <cell r="W1404" t="str">
            <v>2007ANKA Services</v>
          </cell>
          <cell r="X1404" t="str">
            <v>2007ANKA ServicesScratch 1 000</v>
          </cell>
        </row>
        <row r="1405">
          <cell r="I1405">
            <v>2007</v>
          </cell>
          <cell r="J1405" t="str">
            <v>ANKA ServicesScratch 2 000</v>
          </cell>
          <cell r="L1405">
            <v>0</v>
          </cell>
          <cell r="M1405" t="str">
            <v>ANKA Services</v>
          </cell>
          <cell r="N1405" t="str">
            <v>ANKA ServicesScratch 2 000</v>
          </cell>
          <cell r="O1405" t="str">
            <v>ANKA Services</v>
          </cell>
          <cell r="P1405" t="str">
            <v>Scratch 2 000</v>
          </cell>
          <cell r="Q1405" t="str">
            <v>62007</v>
          </cell>
          <cell r="R1405" t="str">
            <v>62007Scratch 2 000</v>
          </cell>
          <cell r="S1405" t="str">
            <v>2007Scratch 2 000</v>
          </cell>
          <cell r="T1405" t="str">
            <v>62007ANKA Services</v>
          </cell>
          <cell r="U1405" t="str">
            <v>62007ANKA ServicesScratch 2 000</v>
          </cell>
          <cell r="V1405" t="str">
            <v>39234Scratch 2 000</v>
          </cell>
          <cell r="W1405" t="str">
            <v>2007ANKA Services</v>
          </cell>
          <cell r="X1405" t="str">
            <v>2007ANKA ServicesScratch 2 000</v>
          </cell>
        </row>
        <row r="1406">
          <cell r="I1406">
            <v>2007</v>
          </cell>
          <cell r="J1406" t="str">
            <v>ANKA ServicesScratch 5 000</v>
          </cell>
          <cell r="L1406">
            <v>0</v>
          </cell>
          <cell r="M1406" t="str">
            <v>ANKA Services</v>
          </cell>
          <cell r="N1406" t="str">
            <v>ANKA ServicesScratch 5 000</v>
          </cell>
          <cell r="O1406" t="str">
            <v>ANKA Services</v>
          </cell>
          <cell r="P1406" t="str">
            <v>Scratch 5 000</v>
          </cell>
          <cell r="Q1406" t="str">
            <v>62007</v>
          </cell>
          <cell r="R1406" t="str">
            <v>62007Scratch 5 000</v>
          </cell>
          <cell r="S1406" t="str">
            <v>2007Scratch 5 000</v>
          </cell>
          <cell r="T1406" t="str">
            <v>62007ANKA Services</v>
          </cell>
          <cell r="U1406" t="str">
            <v>62007ANKA ServicesScratch 5 000</v>
          </cell>
          <cell r="V1406" t="str">
            <v>39234Scratch 5 000</v>
          </cell>
          <cell r="W1406" t="str">
            <v>2007ANKA Services</v>
          </cell>
          <cell r="X1406" t="str">
            <v>2007ANKA ServicesScratch 5 000</v>
          </cell>
        </row>
        <row r="1407">
          <cell r="I1407">
            <v>2007</v>
          </cell>
          <cell r="J1407" t="str">
            <v>ANKA ServicesScratch 20 000</v>
          </cell>
          <cell r="L1407">
            <v>0</v>
          </cell>
          <cell r="M1407" t="str">
            <v>ANKA Services</v>
          </cell>
          <cell r="N1407" t="str">
            <v>ANKA ServicesScratch 20 000</v>
          </cell>
          <cell r="O1407" t="str">
            <v>ANKA Services</v>
          </cell>
          <cell r="P1407" t="str">
            <v>Scratch 20 000</v>
          </cell>
          <cell r="Q1407" t="str">
            <v>62007</v>
          </cell>
          <cell r="R1407" t="str">
            <v>62007Scratch 20 000</v>
          </cell>
          <cell r="S1407" t="str">
            <v>2007Scratch 20 000</v>
          </cell>
          <cell r="T1407" t="str">
            <v>62007ANKA Services</v>
          </cell>
          <cell r="U1407" t="str">
            <v>62007ANKA ServicesScratch 20 000</v>
          </cell>
          <cell r="V1407" t="str">
            <v>39234Scratch 20 000</v>
          </cell>
          <cell r="W1407" t="str">
            <v>2007ANKA Services</v>
          </cell>
          <cell r="X1407" t="str">
            <v>2007ANKA ServicesScratch 20 000</v>
          </cell>
        </row>
        <row r="1408">
          <cell r="I1408">
            <v>2007</v>
          </cell>
          <cell r="J1408" t="str">
            <v>GEMATELScratch 1 000</v>
          </cell>
          <cell r="L1408">
            <v>1</v>
          </cell>
          <cell r="M1408" t="str">
            <v>1GEMATEL</v>
          </cell>
          <cell r="N1408" t="str">
            <v>GEMATELScratch 1 000</v>
          </cell>
          <cell r="O1408" t="str">
            <v>GEMATEL</v>
          </cell>
          <cell r="P1408" t="str">
            <v>Scratch 1 000</v>
          </cell>
          <cell r="Q1408" t="str">
            <v>62007</v>
          </cell>
          <cell r="R1408" t="str">
            <v>62007Scratch 1 000</v>
          </cell>
          <cell r="S1408" t="str">
            <v>2007Scratch 1 000</v>
          </cell>
          <cell r="T1408" t="str">
            <v>62007GEMATEL</v>
          </cell>
          <cell r="U1408" t="str">
            <v>62007GEMATELScratch 1 000</v>
          </cell>
          <cell r="V1408" t="str">
            <v>39234Scratch 1 000</v>
          </cell>
          <cell r="W1408" t="str">
            <v>2007GEMATEL</v>
          </cell>
          <cell r="X1408" t="str">
            <v>2007GEMATELScratch 1 000</v>
          </cell>
        </row>
        <row r="1409">
          <cell r="I1409">
            <v>2007</v>
          </cell>
          <cell r="J1409" t="str">
            <v>GEMATELScratch 2 000</v>
          </cell>
          <cell r="L1409">
            <v>0</v>
          </cell>
          <cell r="M1409" t="str">
            <v>GEMATEL</v>
          </cell>
          <cell r="N1409" t="str">
            <v>GEMATELScratch 2 000</v>
          </cell>
          <cell r="O1409" t="str">
            <v>GEMATEL</v>
          </cell>
          <cell r="P1409" t="str">
            <v>Scratch 2 000</v>
          </cell>
          <cell r="Q1409" t="str">
            <v>62007</v>
          </cell>
          <cell r="R1409" t="str">
            <v>62007Scratch 2 000</v>
          </cell>
          <cell r="S1409" t="str">
            <v>2007Scratch 2 000</v>
          </cell>
          <cell r="T1409" t="str">
            <v>62007GEMATEL</v>
          </cell>
          <cell r="U1409" t="str">
            <v>62007GEMATELScratch 2 000</v>
          </cell>
          <cell r="V1409" t="str">
            <v>39234Scratch 2 000</v>
          </cell>
          <cell r="W1409" t="str">
            <v>2007GEMATEL</v>
          </cell>
          <cell r="X1409" t="str">
            <v>2007GEMATELScratch 2 000</v>
          </cell>
        </row>
        <row r="1410">
          <cell r="I1410">
            <v>2007</v>
          </cell>
          <cell r="J1410" t="str">
            <v>GEMATELScratch 5 000</v>
          </cell>
          <cell r="L1410">
            <v>0</v>
          </cell>
          <cell r="M1410" t="str">
            <v>GEMATEL</v>
          </cell>
          <cell r="N1410" t="str">
            <v>GEMATELScratch 5 000</v>
          </cell>
          <cell r="O1410" t="str">
            <v>GEMATEL</v>
          </cell>
          <cell r="P1410" t="str">
            <v>Scratch 5 000</v>
          </cell>
          <cell r="Q1410" t="str">
            <v>62007</v>
          </cell>
          <cell r="R1410" t="str">
            <v>62007Scratch 5 000</v>
          </cell>
          <cell r="S1410" t="str">
            <v>2007Scratch 5 000</v>
          </cell>
          <cell r="T1410" t="str">
            <v>62007GEMATEL</v>
          </cell>
          <cell r="U1410" t="str">
            <v>62007GEMATELScratch 5 000</v>
          </cell>
          <cell r="V1410" t="str">
            <v>39234Scratch 5 000</v>
          </cell>
          <cell r="W1410" t="str">
            <v>2007GEMATEL</v>
          </cell>
          <cell r="X1410" t="str">
            <v>2007GEMATELScratch 5 000</v>
          </cell>
        </row>
        <row r="1411">
          <cell r="I1411">
            <v>2007</v>
          </cell>
          <cell r="J1411" t="str">
            <v>Ets Mamadou GAMBYScratch 1 000</v>
          </cell>
          <cell r="L1411">
            <v>1</v>
          </cell>
          <cell r="M1411" t="str">
            <v>1Ets Mamadou GAMBY</v>
          </cell>
          <cell r="N1411" t="str">
            <v>Ets Mamadou GAMBYScratch 1 000</v>
          </cell>
          <cell r="O1411" t="str">
            <v>Ets Mamadou GAMBY</v>
          </cell>
          <cell r="P1411" t="str">
            <v>Scratch 1 000</v>
          </cell>
          <cell r="Q1411" t="str">
            <v>62007</v>
          </cell>
          <cell r="R1411" t="str">
            <v>62007Scratch 1 000</v>
          </cell>
          <cell r="S1411" t="str">
            <v>2007Scratch 1 000</v>
          </cell>
          <cell r="T1411" t="str">
            <v>62007Ets Mamadou GAMBY</v>
          </cell>
          <cell r="U1411" t="str">
            <v>62007Ets Mamadou GAMBYScratch 1 000</v>
          </cell>
          <cell r="V1411" t="str">
            <v>39237Scratch 1 000</v>
          </cell>
          <cell r="W1411" t="str">
            <v>2007Ets Mamadou GAMBY</v>
          </cell>
          <cell r="X1411" t="str">
            <v>2007Ets Mamadou GAMBYScratch 1 000</v>
          </cell>
        </row>
        <row r="1412">
          <cell r="I1412">
            <v>2007</v>
          </cell>
          <cell r="J1412" t="str">
            <v>Ets Mamadou GAMBYScratch 2 000</v>
          </cell>
          <cell r="L1412">
            <v>0</v>
          </cell>
          <cell r="M1412" t="str">
            <v>Ets Mamadou GAMBY</v>
          </cell>
          <cell r="N1412" t="str">
            <v>Ets Mamadou GAMBYScratch 2 000</v>
          </cell>
          <cell r="O1412" t="str">
            <v>Ets Mamadou GAMBY</v>
          </cell>
          <cell r="P1412" t="str">
            <v>Scratch 2 000</v>
          </cell>
          <cell r="Q1412" t="str">
            <v>62007</v>
          </cell>
          <cell r="R1412" t="str">
            <v>62007Scratch 2 000</v>
          </cell>
          <cell r="S1412" t="str">
            <v>2007Scratch 2 000</v>
          </cell>
          <cell r="T1412" t="str">
            <v>62007Ets Mamadou GAMBY</v>
          </cell>
          <cell r="U1412" t="str">
            <v>62007Ets Mamadou GAMBYScratch 2 000</v>
          </cell>
          <cell r="V1412" t="str">
            <v>39237Scratch 2 000</v>
          </cell>
          <cell r="W1412" t="str">
            <v>2007Ets Mamadou GAMBY</v>
          </cell>
          <cell r="X1412" t="str">
            <v>2007Ets Mamadou GAMBYScratch 2 000</v>
          </cell>
        </row>
        <row r="1413">
          <cell r="I1413">
            <v>2007</v>
          </cell>
          <cell r="J1413" t="str">
            <v>Ets Mamadou GAMBYScratch 5 000</v>
          </cell>
          <cell r="L1413">
            <v>0</v>
          </cell>
          <cell r="M1413" t="str">
            <v>Ets Mamadou GAMBY</v>
          </cell>
          <cell r="N1413" t="str">
            <v>Ets Mamadou GAMBYScratch 5 000</v>
          </cell>
          <cell r="O1413" t="str">
            <v>Ets Mamadou GAMBY</v>
          </cell>
          <cell r="P1413" t="str">
            <v>Scratch 5 000</v>
          </cell>
          <cell r="Q1413" t="str">
            <v>62007</v>
          </cell>
          <cell r="R1413" t="str">
            <v>62007Scratch 5 000</v>
          </cell>
          <cell r="S1413" t="str">
            <v>2007Scratch 5 000</v>
          </cell>
          <cell r="T1413" t="str">
            <v>62007Ets Mamadou GAMBY</v>
          </cell>
          <cell r="U1413" t="str">
            <v>62007Ets Mamadou GAMBYScratch 5 000</v>
          </cell>
          <cell r="V1413" t="str">
            <v>39237Scratch 5 000</v>
          </cell>
          <cell r="W1413" t="str">
            <v>2007Ets Mamadou GAMBY</v>
          </cell>
          <cell r="X1413" t="str">
            <v>2007Ets Mamadou GAMBYScratch 5 000</v>
          </cell>
        </row>
        <row r="1414">
          <cell r="I1414">
            <v>2007</v>
          </cell>
          <cell r="J1414" t="str">
            <v>ANKA ServicesScratch 1 000</v>
          </cell>
          <cell r="L1414">
            <v>1</v>
          </cell>
          <cell r="M1414" t="str">
            <v>1ANKA Services</v>
          </cell>
          <cell r="N1414" t="str">
            <v>ANKA ServicesScratch 1 000</v>
          </cell>
          <cell r="O1414" t="str">
            <v>ANKA Services</v>
          </cell>
          <cell r="P1414" t="str">
            <v>Scratch 1 000</v>
          </cell>
          <cell r="Q1414" t="str">
            <v>62007</v>
          </cell>
          <cell r="R1414" t="str">
            <v>62007Scratch 1 000</v>
          </cell>
          <cell r="S1414" t="str">
            <v>2007Scratch 1 000</v>
          </cell>
          <cell r="T1414" t="str">
            <v>62007ANKA Services</v>
          </cell>
          <cell r="U1414" t="str">
            <v>62007ANKA ServicesScratch 1 000</v>
          </cell>
          <cell r="V1414" t="str">
            <v>39237Scratch 1 000</v>
          </cell>
          <cell r="W1414" t="str">
            <v>2007ANKA Services</v>
          </cell>
          <cell r="X1414" t="str">
            <v>2007ANKA ServicesScratch 1 000</v>
          </cell>
        </row>
        <row r="1415">
          <cell r="I1415">
            <v>2007</v>
          </cell>
          <cell r="J1415" t="str">
            <v>ANKA ServicesScratch 2 000</v>
          </cell>
          <cell r="L1415">
            <v>0</v>
          </cell>
          <cell r="M1415" t="str">
            <v>ANKA Services</v>
          </cell>
          <cell r="N1415" t="str">
            <v>ANKA ServicesScratch 2 000</v>
          </cell>
          <cell r="O1415" t="str">
            <v>ANKA Services</v>
          </cell>
          <cell r="P1415" t="str">
            <v>Scratch 2 000</v>
          </cell>
          <cell r="Q1415" t="str">
            <v>62007</v>
          </cell>
          <cell r="R1415" t="str">
            <v>62007Scratch 2 000</v>
          </cell>
          <cell r="S1415" t="str">
            <v>2007Scratch 2 000</v>
          </cell>
          <cell r="T1415" t="str">
            <v>62007ANKA Services</v>
          </cell>
          <cell r="U1415" t="str">
            <v>62007ANKA ServicesScratch 2 000</v>
          </cell>
          <cell r="V1415" t="str">
            <v>39237Scratch 2 000</v>
          </cell>
          <cell r="W1415" t="str">
            <v>2007ANKA Services</v>
          </cell>
          <cell r="X1415" t="str">
            <v>2007ANKA ServicesScratch 2 000</v>
          </cell>
        </row>
        <row r="1416">
          <cell r="I1416">
            <v>2007</v>
          </cell>
          <cell r="J1416" t="str">
            <v>ANKA ServicesScratch 5 000</v>
          </cell>
          <cell r="L1416">
            <v>0</v>
          </cell>
          <cell r="M1416" t="str">
            <v>ANKA Services</v>
          </cell>
          <cell r="N1416" t="str">
            <v>ANKA ServicesScratch 5 000</v>
          </cell>
          <cell r="O1416" t="str">
            <v>ANKA Services</v>
          </cell>
          <cell r="P1416" t="str">
            <v>Scratch 5 000</v>
          </cell>
          <cell r="Q1416" t="str">
            <v>62007</v>
          </cell>
          <cell r="R1416" t="str">
            <v>62007Scratch 5 000</v>
          </cell>
          <cell r="S1416" t="str">
            <v>2007Scratch 5 000</v>
          </cell>
          <cell r="T1416" t="str">
            <v>62007ANKA Services</v>
          </cell>
          <cell r="U1416" t="str">
            <v>62007ANKA ServicesScratch 5 000</v>
          </cell>
          <cell r="V1416" t="str">
            <v>39237Scratch 5 000</v>
          </cell>
          <cell r="W1416" t="str">
            <v>2007ANKA Services</v>
          </cell>
          <cell r="X1416" t="str">
            <v>2007ANKA ServicesScratch 5 000</v>
          </cell>
        </row>
        <row r="1417">
          <cell r="I1417">
            <v>2007</v>
          </cell>
          <cell r="J1417" t="str">
            <v>ANKA ServicesScratch 10 000</v>
          </cell>
          <cell r="L1417">
            <v>0</v>
          </cell>
          <cell r="M1417" t="str">
            <v>ANKA Services</v>
          </cell>
          <cell r="N1417" t="str">
            <v>ANKA ServicesScratch 10 000</v>
          </cell>
          <cell r="O1417" t="str">
            <v>ANKA Services</v>
          </cell>
          <cell r="P1417" t="str">
            <v>Scratch 10 000</v>
          </cell>
          <cell r="Q1417" t="str">
            <v>62007</v>
          </cell>
          <cell r="R1417" t="str">
            <v>62007Scratch 10 000</v>
          </cell>
          <cell r="S1417" t="str">
            <v>2007Scratch 10 000</v>
          </cell>
          <cell r="T1417" t="str">
            <v>62007ANKA Services</v>
          </cell>
          <cell r="U1417" t="str">
            <v>62007ANKA ServicesScratch 10 000</v>
          </cell>
          <cell r="V1417" t="str">
            <v>39237Scratch 10 000</v>
          </cell>
          <cell r="W1417" t="str">
            <v>2007ANKA Services</v>
          </cell>
          <cell r="X1417" t="str">
            <v>2007ANKA ServicesScratch 10 000</v>
          </cell>
        </row>
        <row r="1418">
          <cell r="I1418">
            <v>2007</v>
          </cell>
          <cell r="J1418" t="str">
            <v>ANKA ServicesScratch 20 000</v>
          </cell>
          <cell r="L1418">
            <v>0</v>
          </cell>
          <cell r="M1418" t="str">
            <v>ANKA Services</v>
          </cell>
          <cell r="N1418" t="str">
            <v>ANKA ServicesScratch 20 000</v>
          </cell>
          <cell r="O1418" t="str">
            <v>ANKA Services</v>
          </cell>
          <cell r="P1418" t="str">
            <v>Scratch 20 000</v>
          </cell>
          <cell r="Q1418" t="str">
            <v>62007</v>
          </cell>
          <cell r="R1418" t="str">
            <v>62007Scratch 20 000</v>
          </cell>
          <cell r="S1418" t="str">
            <v>2007Scratch 20 000</v>
          </cell>
          <cell r="T1418" t="str">
            <v>62007ANKA Services</v>
          </cell>
          <cell r="U1418" t="str">
            <v>62007ANKA ServicesScratch 20 000</v>
          </cell>
          <cell r="V1418" t="str">
            <v>39237Scratch 20 000</v>
          </cell>
          <cell r="W1418" t="str">
            <v>2007ANKA Services</v>
          </cell>
          <cell r="X1418" t="str">
            <v>2007ANKA ServicesScratch 20 000</v>
          </cell>
        </row>
        <row r="1419">
          <cell r="I1419">
            <v>2007</v>
          </cell>
          <cell r="J1419" t="str">
            <v>Bonneterie Nouvelle TelecomScratch 1 000</v>
          </cell>
          <cell r="L1419">
            <v>1</v>
          </cell>
          <cell r="M1419" t="str">
            <v>1Bonneterie Nouvelle Telecom</v>
          </cell>
          <cell r="N1419" t="str">
            <v>Bonneterie Nouvelle TelecomScratch 1 000</v>
          </cell>
          <cell r="O1419" t="str">
            <v>Bonneterie Nouvelle Telecom</v>
          </cell>
          <cell r="P1419" t="str">
            <v>Scratch 1 000</v>
          </cell>
          <cell r="Q1419" t="str">
            <v>62007</v>
          </cell>
          <cell r="R1419" t="str">
            <v>62007Scratch 1 000</v>
          </cell>
          <cell r="S1419" t="str">
            <v>2007Scratch 1 000</v>
          </cell>
          <cell r="T1419" t="str">
            <v>62007Bonneterie Nouvelle Telecom</v>
          </cell>
          <cell r="U1419" t="str">
            <v>62007Bonneterie Nouvelle TelecomScratch 1 000</v>
          </cell>
          <cell r="V1419" t="str">
            <v>39237Scratch 1 000</v>
          </cell>
          <cell r="W1419" t="str">
            <v>2007Bonneterie Nouvelle Telecom</v>
          </cell>
          <cell r="X1419" t="str">
            <v>2007Bonneterie Nouvelle TelecomScratch 1 000</v>
          </cell>
        </row>
        <row r="1420">
          <cell r="I1420">
            <v>2007</v>
          </cell>
          <cell r="J1420" t="str">
            <v>Bonneterie Nouvelle TelecomScratch 2 000</v>
          </cell>
          <cell r="L1420">
            <v>0</v>
          </cell>
          <cell r="M1420" t="str">
            <v>Bonneterie Nouvelle Telecom</v>
          </cell>
          <cell r="N1420" t="str">
            <v>Bonneterie Nouvelle TelecomScratch 2 000</v>
          </cell>
          <cell r="O1420" t="str">
            <v>Bonneterie Nouvelle Telecom</v>
          </cell>
          <cell r="P1420" t="str">
            <v>Scratch 2 000</v>
          </cell>
          <cell r="Q1420" t="str">
            <v>62007</v>
          </cell>
          <cell r="R1420" t="str">
            <v>62007Scratch 2 000</v>
          </cell>
          <cell r="S1420" t="str">
            <v>2007Scratch 2 000</v>
          </cell>
          <cell r="T1420" t="str">
            <v>62007Bonneterie Nouvelle Telecom</v>
          </cell>
          <cell r="U1420" t="str">
            <v>62007Bonneterie Nouvelle TelecomScratch 2 000</v>
          </cell>
          <cell r="V1420" t="str">
            <v>39237Scratch 2 000</v>
          </cell>
          <cell r="W1420" t="str">
            <v>2007Bonneterie Nouvelle Telecom</v>
          </cell>
          <cell r="X1420" t="str">
            <v>2007Bonneterie Nouvelle TelecomScratch 2 000</v>
          </cell>
        </row>
        <row r="1421">
          <cell r="I1421">
            <v>2007</v>
          </cell>
          <cell r="J1421" t="str">
            <v>Bonneterie Nouvelle TelecomScratch 5 000</v>
          </cell>
          <cell r="L1421">
            <v>0</v>
          </cell>
          <cell r="M1421" t="str">
            <v>Bonneterie Nouvelle Telecom</v>
          </cell>
          <cell r="N1421" t="str">
            <v>Bonneterie Nouvelle TelecomScratch 5 000</v>
          </cell>
          <cell r="O1421" t="str">
            <v>Bonneterie Nouvelle Telecom</v>
          </cell>
          <cell r="P1421" t="str">
            <v>Scratch 5 000</v>
          </cell>
          <cell r="Q1421" t="str">
            <v>62007</v>
          </cell>
          <cell r="R1421" t="str">
            <v>62007Scratch 5 000</v>
          </cell>
          <cell r="S1421" t="str">
            <v>2007Scratch 5 000</v>
          </cell>
          <cell r="T1421" t="str">
            <v>62007Bonneterie Nouvelle Telecom</v>
          </cell>
          <cell r="U1421" t="str">
            <v>62007Bonneterie Nouvelle TelecomScratch 5 000</v>
          </cell>
          <cell r="V1421" t="str">
            <v>39237Scratch 5 000</v>
          </cell>
          <cell r="W1421" t="str">
            <v>2007Bonneterie Nouvelle Telecom</v>
          </cell>
          <cell r="X1421" t="str">
            <v>2007Bonneterie Nouvelle TelecomScratch 5 000</v>
          </cell>
        </row>
        <row r="1422">
          <cell r="I1422">
            <v>2007</v>
          </cell>
          <cell r="J1422" t="str">
            <v>Bonneterie Nouvelle TelecomScratch 10 000</v>
          </cell>
          <cell r="L1422">
            <v>0</v>
          </cell>
          <cell r="M1422" t="str">
            <v>Bonneterie Nouvelle Telecom</v>
          </cell>
          <cell r="N1422" t="str">
            <v>Bonneterie Nouvelle TelecomScratch 10 000</v>
          </cell>
          <cell r="O1422" t="str">
            <v>Bonneterie Nouvelle Telecom</v>
          </cell>
          <cell r="P1422" t="str">
            <v>Scratch 10 000</v>
          </cell>
          <cell r="Q1422" t="str">
            <v>62007</v>
          </cell>
          <cell r="R1422" t="str">
            <v>62007Scratch 10 000</v>
          </cell>
          <cell r="S1422" t="str">
            <v>2007Scratch 10 000</v>
          </cell>
          <cell r="T1422" t="str">
            <v>62007Bonneterie Nouvelle Telecom</v>
          </cell>
          <cell r="U1422" t="str">
            <v>62007Bonneterie Nouvelle TelecomScratch 10 000</v>
          </cell>
          <cell r="V1422" t="str">
            <v>39237Scratch 10 000</v>
          </cell>
          <cell r="W1422" t="str">
            <v>2007Bonneterie Nouvelle Telecom</v>
          </cell>
          <cell r="X1422" t="str">
            <v>2007Bonneterie Nouvelle TelecomScratch 10 000</v>
          </cell>
        </row>
        <row r="1423">
          <cell r="I1423">
            <v>2007</v>
          </cell>
          <cell r="J1423" t="str">
            <v>Bonneterie Nouvelle TelecomScratch 20 000</v>
          </cell>
          <cell r="L1423">
            <v>0</v>
          </cell>
          <cell r="M1423" t="str">
            <v>Bonneterie Nouvelle Telecom</v>
          </cell>
          <cell r="N1423" t="str">
            <v>Bonneterie Nouvelle TelecomScratch 20 000</v>
          </cell>
          <cell r="O1423" t="str">
            <v>Bonneterie Nouvelle Telecom</v>
          </cell>
          <cell r="P1423" t="str">
            <v>Scratch 20 000</v>
          </cell>
          <cell r="Q1423" t="str">
            <v>62007</v>
          </cell>
          <cell r="R1423" t="str">
            <v>62007Scratch 20 000</v>
          </cell>
          <cell r="S1423" t="str">
            <v>2007Scratch 20 000</v>
          </cell>
          <cell r="T1423" t="str">
            <v>62007Bonneterie Nouvelle Telecom</v>
          </cell>
          <cell r="U1423" t="str">
            <v>62007Bonneterie Nouvelle TelecomScratch 20 000</v>
          </cell>
          <cell r="V1423" t="str">
            <v>39237Scratch 20 000</v>
          </cell>
          <cell r="W1423" t="str">
            <v>2007Bonneterie Nouvelle Telecom</v>
          </cell>
          <cell r="X1423" t="str">
            <v>2007Bonneterie Nouvelle TelecomScratch 20 000</v>
          </cell>
        </row>
        <row r="1424">
          <cell r="I1424">
            <v>2007</v>
          </cell>
          <cell r="J1424" t="str">
            <v>Compagnie Internationale de NegoceScratch 1 000</v>
          </cell>
          <cell r="L1424">
            <v>1</v>
          </cell>
          <cell r="M1424" t="str">
            <v>1Compagnie Internationale de Negoce</v>
          </cell>
          <cell r="N1424" t="str">
            <v>Compagnie Internationale de NegoceScratch 1 000</v>
          </cell>
          <cell r="O1424" t="str">
            <v>Compagnie Internationale de Negoce</v>
          </cell>
          <cell r="P1424" t="str">
            <v>Scratch 1 000</v>
          </cell>
          <cell r="Q1424" t="str">
            <v>62007</v>
          </cell>
          <cell r="R1424" t="str">
            <v>62007Scratch 1 000</v>
          </cell>
          <cell r="S1424" t="str">
            <v>2007Scratch 1 000</v>
          </cell>
          <cell r="T1424" t="str">
            <v>62007Compagnie Internationale de Negoce</v>
          </cell>
          <cell r="U1424" t="str">
            <v>62007Compagnie Internationale de NegoceScratch 1 000</v>
          </cell>
          <cell r="V1424" t="str">
            <v>39237Scratch 1 000</v>
          </cell>
          <cell r="W1424" t="str">
            <v>2007Compagnie Internationale de Negoce</v>
          </cell>
          <cell r="X1424" t="str">
            <v>2007Compagnie Internationale de NegoceScratch 1 000</v>
          </cell>
        </row>
        <row r="1425">
          <cell r="I1425">
            <v>2007</v>
          </cell>
          <cell r="J1425" t="str">
            <v>Compagnie Internationale de NegoceScratch 2 000</v>
          </cell>
          <cell r="L1425">
            <v>0</v>
          </cell>
          <cell r="M1425" t="str">
            <v>Compagnie Internationale de Negoce</v>
          </cell>
          <cell r="N1425" t="str">
            <v>Compagnie Internationale de NegoceScratch 2 000</v>
          </cell>
          <cell r="O1425" t="str">
            <v>Compagnie Internationale de Negoce</v>
          </cell>
          <cell r="P1425" t="str">
            <v>Scratch 2 000</v>
          </cell>
          <cell r="Q1425" t="str">
            <v>62007</v>
          </cell>
          <cell r="R1425" t="str">
            <v>62007Scratch 2 000</v>
          </cell>
          <cell r="S1425" t="str">
            <v>2007Scratch 2 000</v>
          </cell>
          <cell r="T1425" t="str">
            <v>62007Compagnie Internationale de Negoce</v>
          </cell>
          <cell r="U1425" t="str">
            <v>62007Compagnie Internationale de NegoceScratch 2 000</v>
          </cell>
          <cell r="V1425" t="str">
            <v>39237Scratch 2 000</v>
          </cell>
          <cell r="W1425" t="str">
            <v>2007Compagnie Internationale de Negoce</v>
          </cell>
          <cell r="X1425" t="str">
            <v>2007Compagnie Internationale de NegoceScratch 2 000</v>
          </cell>
        </row>
        <row r="1426">
          <cell r="I1426">
            <v>2007</v>
          </cell>
          <cell r="J1426" t="str">
            <v>Compagnie Internationale de NegoceScratch 5 000</v>
          </cell>
          <cell r="L1426">
            <v>0</v>
          </cell>
          <cell r="M1426" t="str">
            <v>Compagnie Internationale de Negoce</v>
          </cell>
          <cell r="N1426" t="str">
            <v>Compagnie Internationale de NegoceScratch 5 000</v>
          </cell>
          <cell r="O1426" t="str">
            <v>Compagnie Internationale de Negoce</v>
          </cell>
          <cell r="P1426" t="str">
            <v>Scratch 5 000</v>
          </cell>
          <cell r="Q1426" t="str">
            <v>62007</v>
          </cell>
          <cell r="R1426" t="str">
            <v>62007Scratch 5 000</v>
          </cell>
          <cell r="S1426" t="str">
            <v>2007Scratch 5 000</v>
          </cell>
          <cell r="T1426" t="str">
            <v>62007Compagnie Internationale de Negoce</v>
          </cell>
          <cell r="U1426" t="str">
            <v>62007Compagnie Internationale de NegoceScratch 5 000</v>
          </cell>
          <cell r="V1426" t="str">
            <v>39237Scratch 5 000</v>
          </cell>
          <cell r="W1426" t="str">
            <v>2007Compagnie Internationale de Negoce</v>
          </cell>
          <cell r="X1426" t="str">
            <v>2007Compagnie Internationale de NegoceScratch 5 000</v>
          </cell>
        </row>
        <row r="1427">
          <cell r="I1427">
            <v>2007</v>
          </cell>
          <cell r="J1427" t="str">
            <v>Compagnie Internationale de NegoceScratch 10 000</v>
          </cell>
          <cell r="L1427">
            <v>0</v>
          </cell>
          <cell r="M1427" t="str">
            <v>Compagnie Internationale de Negoce</v>
          </cell>
          <cell r="N1427" t="str">
            <v>Compagnie Internationale de NegoceScratch 10 000</v>
          </cell>
          <cell r="O1427" t="str">
            <v>Compagnie Internationale de Negoce</v>
          </cell>
          <cell r="P1427" t="str">
            <v>Scratch 10 000</v>
          </cell>
          <cell r="Q1427" t="str">
            <v>62007</v>
          </cell>
          <cell r="R1427" t="str">
            <v>62007Scratch 10 000</v>
          </cell>
          <cell r="S1427" t="str">
            <v>2007Scratch 10 000</v>
          </cell>
          <cell r="T1427" t="str">
            <v>62007Compagnie Internationale de Negoce</v>
          </cell>
          <cell r="U1427" t="str">
            <v>62007Compagnie Internationale de NegoceScratch 10 000</v>
          </cell>
          <cell r="V1427" t="str">
            <v>39237Scratch 10 000</v>
          </cell>
          <cell r="W1427" t="str">
            <v>2007Compagnie Internationale de Negoce</v>
          </cell>
          <cell r="X1427" t="str">
            <v>2007Compagnie Internationale de NegoceScratch 10 000</v>
          </cell>
        </row>
        <row r="1428">
          <cell r="I1428">
            <v>2007</v>
          </cell>
          <cell r="J1428" t="str">
            <v>Compagnie Internationale de NegoceScratch 20 000</v>
          </cell>
          <cell r="L1428">
            <v>0</v>
          </cell>
          <cell r="M1428" t="str">
            <v>Compagnie Internationale de Negoce</v>
          </cell>
          <cell r="N1428" t="str">
            <v>Compagnie Internationale de NegoceScratch 20 000</v>
          </cell>
          <cell r="O1428" t="str">
            <v>Compagnie Internationale de Negoce</v>
          </cell>
          <cell r="P1428" t="str">
            <v>Scratch 20 000</v>
          </cell>
          <cell r="Q1428" t="str">
            <v>62007</v>
          </cell>
          <cell r="R1428" t="str">
            <v>62007Scratch 20 000</v>
          </cell>
          <cell r="S1428" t="str">
            <v>2007Scratch 20 000</v>
          </cell>
          <cell r="T1428" t="str">
            <v>62007Compagnie Internationale de Negoce</v>
          </cell>
          <cell r="U1428" t="str">
            <v>62007Compagnie Internationale de NegoceScratch 20 000</v>
          </cell>
          <cell r="V1428" t="str">
            <v>39237Scratch 20 000</v>
          </cell>
          <cell r="W1428" t="str">
            <v>2007Compagnie Internationale de Negoce</v>
          </cell>
          <cell r="X1428" t="str">
            <v>2007Compagnie Internationale de NegoceScratch 20 000</v>
          </cell>
        </row>
        <row r="1429">
          <cell r="I1429">
            <v>2007</v>
          </cell>
          <cell r="J1429" t="str">
            <v>GEMATELScratch 1 000</v>
          </cell>
          <cell r="L1429">
            <v>1</v>
          </cell>
          <cell r="M1429" t="str">
            <v>1GEMATEL</v>
          </cell>
          <cell r="N1429" t="str">
            <v>GEMATELScratch 1 000</v>
          </cell>
          <cell r="O1429" t="str">
            <v>GEMATEL</v>
          </cell>
          <cell r="P1429" t="str">
            <v>Scratch 1 000</v>
          </cell>
          <cell r="Q1429" t="str">
            <v>62007</v>
          </cell>
          <cell r="R1429" t="str">
            <v>62007Scratch 1 000</v>
          </cell>
          <cell r="S1429" t="str">
            <v>2007Scratch 1 000</v>
          </cell>
          <cell r="T1429" t="str">
            <v>62007GEMATEL</v>
          </cell>
          <cell r="U1429" t="str">
            <v>62007GEMATELScratch 1 000</v>
          </cell>
          <cell r="V1429" t="str">
            <v>39237Scratch 1 000</v>
          </cell>
          <cell r="W1429" t="str">
            <v>2007GEMATEL</v>
          </cell>
          <cell r="X1429" t="str">
            <v>2007GEMATELScratch 1 000</v>
          </cell>
        </row>
        <row r="1430">
          <cell r="I1430">
            <v>2007</v>
          </cell>
          <cell r="J1430" t="str">
            <v>GEMATELScratch 2 000</v>
          </cell>
          <cell r="L1430">
            <v>0</v>
          </cell>
          <cell r="M1430" t="str">
            <v>GEMATEL</v>
          </cell>
          <cell r="N1430" t="str">
            <v>GEMATELScratch 2 000</v>
          </cell>
          <cell r="O1430" t="str">
            <v>GEMATEL</v>
          </cell>
          <cell r="P1430" t="str">
            <v>Scratch 2 000</v>
          </cell>
          <cell r="Q1430" t="str">
            <v>62007</v>
          </cell>
          <cell r="R1430" t="str">
            <v>62007Scratch 2 000</v>
          </cell>
          <cell r="S1430" t="str">
            <v>2007Scratch 2 000</v>
          </cell>
          <cell r="T1430" t="str">
            <v>62007GEMATEL</v>
          </cell>
          <cell r="U1430" t="str">
            <v>62007GEMATELScratch 2 000</v>
          </cell>
          <cell r="V1430" t="str">
            <v>39237Scratch 2 000</v>
          </cell>
          <cell r="W1430" t="str">
            <v>2007GEMATEL</v>
          </cell>
          <cell r="X1430" t="str">
            <v>2007GEMATELScratch 2 000</v>
          </cell>
        </row>
        <row r="1431">
          <cell r="I1431">
            <v>2007</v>
          </cell>
          <cell r="J1431" t="str">
            <v>GEMATELScratch 5 000</v>
          </cell>
          <cell r="L1431">
            <v>0</v>
          </cell>
          <cell r="M1431" t="str">
            <v>GEMATEL</v>
          </cell>
          <cell r="N1431" t="str">
            <v>GEMATELScratch 5 000</v>
          </cell>
          <cell r="O1431" t="str">
            <v>GEMATEL</v>
          </cell>
          <cell r="P1431" t="str">
            <v>Scratch 5 000</v>
          </cell>
          <cell r="Q1431" t="str">
            <v>62007</v>
          </cell>
          <cell r="R1431" t="str">
            <v>62007Scratch 5 000</v>
          </cell>
          <cell r="S1431" t="str">
            <v>2007Scratch 5 000</v>
          </cell>
          <cell r="T1431" t="str">
            <v>62007GEMATEL</v>
          </cell>
          <cell r="U1431" t="str">
            <v>62007GEMATELScratch 5 000</v>
          </cell>
          <cell r="V1431" t="str">
            <v>39237Scratch 5 000</v>
          </cell>
          <cell r="W1431" t="str">
            <v>2007GEMATEL</v>
          </cell>
          <cell r="X1431" t="str">
            <v>2007GEMATELScratch 5 000</v>
          </cell>
        </row>
        <row r="1432">
          <cell r="I1432">
            <v>2007</v>
          </cell>
          <cell r="J1432" t="str">
            <v>GEMATELScratch 20 000</v>
          </cell>
          <cell r="L1432">
            <v>0</v>
          </cell>
          <cell r="M1432" t="str">
            <v>GEMATEL</v>
          </cell>
          <cell r="N1432" t="str">
            <v>GEMATELScratch 20 000</v>
          </cell>
          <cell r="O1432" t="str">
            <v>GEMATEL</v>
          </cell>
          <cell r="P1432" t="str">
            <v>Scratch 20 000</v>
          </cell>
          <cell r="Q1432" t="str">
            <v>62007</v>
          </cell>
          <cell r="R1432" t="str">
            <v>62007Scratch 20 000</v>
          </cell>
          <cell r="S1432" t="str">
            <v>2007Scratch 20 000</v>
          </cell>
          <cell r="T1432" t="str">
            <v>62007GEMATEL</v>
          </cell>
          <cell r="U1432" t="str">
            <v>62007GEMATELScratch 20 000</v>
          </cell>
          <cell r="V1432" t="str">
            <v>39237Scratch 20 000</v>
          </cell>
          <cell r="W1432" t="str">
            <v>2007GEMATEL</v>
          </cell>
          <cell r="X1432" t="str">
            <v>2007GEMATELScratch 20 000</v>
          </cell>
        </row>
        <row r="1433">
          <cell r="I1433">
            <v>2007</v>
          </cell>
          <cell r="J1433" t="str">
            <v>STS GAMBY &amp; FRERES (SOGAF) SarlScratch 1 000</v>
          </cell>
          <cell r="L1433">
            <v>1</v>
          </cell>
          <cell r="M1433" t="str">
            <v>1STS GAMBY &amp; FRERES (SOGAF) Sarl</v>
          </cell>
          <cell r="N1433" t="str">
            <v>STS GAMBY &amp; FRERES (SOGAF) SarlScratch 1 000</v>
          </cell>
          <cell r="O1433" t="str">
            <v>STS GAMBY &amp; FRERES (SOGAF) Sarl</v>
          </cell>
          <cell r="P1433" t="str">
            <v>Scratch 1 000</v>
          </cell>
          <cell r="Q1433" t="str">
            <v>62007</v>
          </cell>
          <cell r="R1433" t="str">
            <v>62007Scratch 1 000</v>
          </cell>
          <cell r="S1433" t="str">
            <v>2007Scratch 1 000</v>
          </cell>
          <cell r="T1433" t="str">
            <v>62007STS GAMBY &amp; FRERES (SOGAF) Sarl</v>
          </cell>
          <cell r="U1433" t="str">
            <v>62007STS GAMBY &amp; FRERES (SOGAF) SarlScratch 1 000</v>
          </cell>
          <cell r="V1433" t="str">
            <v>39238Scratch 1 000</v>
          </cell>
          <cell r="W1433" t="str">
            <v>2007STS GAMBY &amp; FRERES (SOGAF) Sarl</v>
          </cell>
          <cell r="X1433" t="str">
            <v>2007STS GAMBY &amp; FRERES (SOGAF) SarlScratch 1 000</v>
          </cell>
        </row>
        <row r="1434">
          <cell r="I1434">
            <v>2007</v>
          </cell>
          <cell r="J1434" t="str">
            <v>STS GAMBY &amp; FRERES (SOGAF) SarlScratch 2 000</v>
          </cell>
          <cell r="L1434">
            <v>0</v>
          </cell>
          <cell r="M1434" t="str">
            <v>STS GAMBY &amp; FRERES (SOGAF) Sarl</v>
          </cell>
          <cell r="N1434" t="str">
            <v>STS GAMBY &amp; FRERES (SOGAF) SarlScratch 2 000</v>
          </cell>
          <cell r="O1434" t="str">
            <v>STS GAMBY &amp; FRERES (SOGAF) Sarl</v>
          </cell>
          <cell r="P1434" t="str">
            <v>Scratch 2 000</v>
          </cell>
          <cell r="Q1434" t="str">
            <v>62007</v>
          </cell>
          <cell r="R1434" t="str">
            <v>62007Scratch 2 000</v>
          </cell>
          <cell r="S1434" t="str">
            <v>2007Scratch 2 000</v>
          </cell>
          <cell r="T1434" t="str">
            <v>62007STS GAMBY &amp; FRERES (SOGAF) Sarl</v>
          </cell>
          <cell r="U1434" t="str">
            <v>62007STS GAMBY &amp; FRERES (SOGAF) SarlScratch 2 000</v>
          </cell>
          <cell r="V1434" t="str">
            <v>39238Scratch 2 000</v>
          </cell>
          <cell r="W1434" t="str">
            <v>2007STS GAMBY &amp; FRERES (SOGAF) Sarl</v>
          </cell>
          <cell r="X1434" t="str">
            <v>2007STS GAMBY &amp; FRERES (SOGAF) SarlScratch 2 000</v>
          </cell>
        </row>
        <row r="1435">
          <cell r="I1435">
            <v>2007</v>
          </cell>
          <cell r="J1435" t="str">
            <v>STS GAMBY &amp; FRERES (SOGAF) SarlScratch 5 000</v>
          </cell>
          <cell r="L1435">
            <v>0</v>
          </cell>
          <cell r="M1435" t="str">
            <v>STS GAMBY &amp; FRERES (SOGAF) Sarl</v>
          </cell>
          <cell r="N1435" t="str">
            <v>STS GAMBY &amp; FRERES (SOGAF) SarlScratch 5 000</v>
          </cell>
          <cell r="O1435" t="str">
            <v>STS GAMBY &amp; FRERES (SOGAF) Sarl</v>
          </cell>
          <cell r="P1435" t="str">
            <v>Scratch 5 000</v>
          </cell>
          <cell r="Q1435" t="str">
            <v>62007</v>
          </cell>
          <cell r="R1435" t="str">
            <v>62007Scratch 5 000</v>
          </cell>
          <cell r="S1435" t="str">
            <v>2007Scratch 5 000</v>
          </cell>
          <cell r="T1435" t="str">
            <v>62007STS GAMBY &amp; FRERES (SOGAF) Sarl</v>
          </cell>
          <cell r="U1435" t="str">
            <v>62007STS GAMBY &amp; FRERES (SOGAF) SarlScratch 5 000</v>
          </cell>
          <cell r="V1435" t="str">
            <v>39238Scratch 5 000</v>
          </cell>
          <cell r="W1435" t="str">
            <v>2007STS GAMBY &amp; FRERES (SOGAF) Sarl</v>
          </cell>
          <cell r="X1435" t="str">
            <v>2007STS GAMBY &amp; FRERES (SOGAF) SarlScratch 5 000</v>
          </cell>
        </row>
        <row r="1436">
          <cell r="I1436">
            <v>2007</v>
          </cell>
          <cell r="J1436" t="str">
            <v>STS GAMBY &amp; FRERES (SOGAF) SarlScratch 20 000</v>
          </cell>
          <cell r="L1436">
            <v>0</v>
          </cell>
          <cell r="M1436" t="str">
            <v>STS GAMBY &amp; FRERES (SOGAF) Sarl</v>
          </cell>
          <cell r="N1436" t="str">
            <v>STS GAMBY &amp; FRERES (SOGAF) SarlScratch 20 000</v>
          </cell>
          <cell r="O1436" t="str">
            <v>STS GAMBY &amp; FRERES (SOGAF) Sarl</v>
          </cell>
          <cell r="P1436" t="str">
            <v>Scratch 20 000</v>
          </cell>
          <cell r="Q1436" t="str">
            <v>62007</v>
          </cell>
          <cell r="R1436" t="str">
            <v>62007Scratch 20 000</v>
          </cell>
          <cell r="S1436" t="str">
            <v>2007Scratch 20 000</v>
          </cell>
          <cell r="T1436" t="str">
            <v>62007STS GAMBY &amp; FRERES (SOGAF) Sarl</v>
          </cell>
          <cell r="U1436" t="str">
            <v>62007STS GAMBY &amp; FRERES (SOGAF) SarlScratch 20 000</v>
          </cell>
          <cell r="V1436" t="str">
            <v>39238Scratch 20 000</v>
          </cell>
          <cell r="W1436" t="str">
            <v>2007STS GAMBY &amp; FRERES (SOGAF) Sarl</v>
          </cell>
          <cell r="X1436" t="str">
            <v>2007STS GAMBY &amp; FRERES (SOGAF) SarlScratch 20 000</v>
          </cell>
        </row>
        <row r="1437">
          <cell r="I1437">
            <v>2007</v>
          </cell>
          <cell r="J1437" t="str">
            <v>MALI COM SarlScratch 1 000</v>
          </cell>
          <cell r="L1437">
            <v>1</v>
          </cell>
          <cell r="M1437" t="str">
            <v>1MALI COM Sarl</v>
          </cell>
          <cell r="N1437" t="str">
            <v>MALI COM SarlScratch 1 000</v>
          </cell>
          <cell r="O1437" t="str">
            <v>MALI COM Sarl</v>
          </cell>
          <cell r="P1437" t="str">
            <v>Scratch 1 000</v>
          </cell>
          <cell r="Q1437" t="str">
            <v>62007</v>
          </cell>
          <cell r="R1437" t="str">
            <v>62007Scratch 1 000</v>
          </cell>
          <cell r="S1437" t="str">
            <v>2007Scratch 1 000</v>
          </cell>
          <cell r="T1437" t="str">
            <v>62007MALI COM Sarl</v>
          </cell>
          <cell r="U1437" t="str">
            <v>62007MALI COM SarlScratch 1 000</v>
          </cell>
          <cell r="V1437" t="str">
            <v>39238Scratch 1 000</v>
          </cell>
          <cell r="W1437" t="str">
            <v>2007MALI COM Sarl</v>
          </cell>
          <cell r="X1437" t="str">
            <v>2007MALI COM SarlScratch 1 000</v>
          </cell>
        </row>
        <row r="1438">
          <cell r="I1438">
            <v>2007</v>
          </cell>
          <cell r="J1438" t="str">
            <v>MALI COM SarlScratch 2 000</v>
          </cell>
          <cell r="L1438">
            <v>0</v>
          </cell>
          <cell r="M1438" t="str">
            <v>MALI COM Sarl</v>
          </cell>
          <cell r="N1438" t="str">
            <v>MALI COM SarlScratch 2 000</v>
          </cell>
          <cell r="O1438" t="str">
            <v>MALI COM Sarl</v>
          </cell>
          <cell r="P1438" t="str">
            <v>Scratch 2 000</v>
          </cell>
          <cell r="Q1438" t="str">
            <v>62007</v>
          </cell>
          <cell r="R1438" t="str">
            <v>62007Scratch 2 000</v>
          </cell>
          <cell r="S1438" t="str">
            <v>2007Scratch 2 000</v>
          </cell>
          <cell r="T1438" t="str">
            <v>62007MALI COM Sarl</v>
          </cell>
          <cell r="U1438" t="str">
            <v>62007MALI COM SarlScratch 2 000</v>
          </cell>
          <cell r="V1438" t="str">
            <v>39238Scratch 2 000</v>
          </cell>
          <cell r="W1438" t="str">
            <v>2007MALI COM Sarl</v>
          </cell>
          <cell r="X1438" t="str">
            <v>2007MALI COM SarlScratch 2 000</v>
          </cell>
        </row>
        <row r="1439">
          <cell r="I1439">
            <v>2007</v>
          </cell>
          <cell r="J1439" t="str">
            <v>MALI COM SarlScratch 5 000</v>
          </cell>
          <cell r="L1439">
            <v>0</v>
          </cell>
          <cell r="M1439" t="str">
            <v>MALI COM Sarl</v>
          </cell>
          <cell r="N1439" t="str">
            <v>MALI COM SarlScratch 5 000</v>
          </cell>
          <cell r="O1439" t="str">
            <v>MALI COM Sarl</v>
          </cell>
          <cell r="P1439" t="str">
            <v>Scratch 5 000</v>
          </cell>
          <cell r="Q1439" t="str">
            <v>62007</v>
          </cell>
          <cell r="R1439" t="str">
            <v>62007Scratch 5 000</v>
          </cell>
          <cell r="S1439" t="str">
            <v>2007Scratch 5 000</v>
          </cell>
          <cell r="T1439" t="str">
            <v>62007MALI COM Sarl</v>
          </cell>
          <cell r="U1439" t="str">
            <v>62007MALI COM SarlScratch 5 000</v>
          </cell>
          <cell r="V1439" t="str">
            <v>39238Scratch 5 000</v>
          </cell>
          <cell r="W1439" t="str">
            <v>2007MALI COM Sarl</v>
          </cell>
          <cell r="X1439" t="str">
            <v>2007MALI COM SarlScratch 5 000</v>
          </cell>
        </row>
        <row r="1440">
          <cell r="I1440">
            <v>2007</v>
          </cell>
          <cell r="J1440" t="str">
            <v>MALI COM SarlScratch 20 000</v>
          </cell>
          <cell r="L1440">
            <v>0</v>
          </cell>
          <cell r="M1440" t="str">
            <v>MALI COM Sarl</v>
          </cell>
          <cell r="N1440" t="str">
            <v>MALI COM SarlScratch 20 000</v>
          </cell>
          <cell r="O1440" t="str">
            <v>MALI COM Sarl</v>
          </cell>
          <cell r="P1440" t="str">
            <v>Scratch 20 000</v>
          </cell>
          <cell r="Q1440" t="str">
            <v>62007</v>
          </cell>
          <cell r="R1440" t="str">
            <v>62007Scratch 20 000</v>
          </cell>
          <cell r="S1440" t="str">
            <v>2007Scratch 20 000</v>
          </cell>
          <cell r="T1440" t="str">
            <v>62007MALI COM Sarl</v>
          </cell>
          <cell r="U1440" t="str">
            <v>62007MALI COM SarlScratch 20 000</v>
          </cell>
          <cell r="V1440" t="str">
            <v>39238Scratch 20 000</v>
          </cell>
          <cell r="W1440" t="str">
            <v>2007MALI COM Sarl</v>
          </cell>
          <cell r="X1440" t="str">
            <v>2007MALI COM SarlScratch 20 000</v>
          </cell>
        </row>
        <row r="1441">
          <cell r="I1441">
            <v>2007</v>
          </cell>
          <cell r="J1441" t="str">
            <v>Compagnie Internationale de NegoceScratch 1 000</v>
          </cell>
          <cell r="L1441">
            <v>1</v>
          </cell>
          <cell r="M1441" t="str">
            <v>1Compagnie Internationale de Negoce</v>
          </cell>
          <cell r="N1441" t="str">
            <v>Compagnie Internationale de NegoceScratch 1 000</v>
          </cell>
          <cell r="O1441" t="str">
            <v>Compagnie Internationale de Negoce</v>
          </cell>
          <cell r="P1441" t="str">
            <v>Scratch 1 000</v>
          </cell>
          <cell r="Q1441" t="str">
            <v>62007</v>
          </cell>
          <cell r="R1441" t="str">
            <v>62007Scratch 1 000</v>
          </cell>
          <cell r="S1441" t="str">
            <v>2007Scratch 1 000</v>
          </cell>
          <cell r="T1441" t="str">
            <v>62007Compagnie Internationale de Negoce</v>
          </cell>
          <cell r="U1441" t="str">
            <v>62007Compagnie Internationale de NegoceScratch 1 000</v>
          </cell>
          <cell r="V1441" t="str">
            <v>39238Scratch 1 000</v>
          </cell>
          <cell r="W1441" t="str">
            <v>2007Compagnie Internationale de Negoce</v>
          </cell>
          <cell r="X1441" t="str">
            <v>2007Compagnie Internationale de NegoceScratch 1 000</v>
          </cell>
        </row>
        <row r="1442">
          <cell r="I1442">
            <v>2007</v>
          </cell>
          <cell r="J1442" t="str">
            <v>Compagnie Internationale de NegoceScratch 2 000</v>
          </cell>
          <cell r="L1442">
            <v>0</v>
          </cell>
          <cell r="M1442" t="str">
            <v>Compagnie Internationale de Negoce</v>
          </cell>
          <cell r="N1442" t="str">
            <v>Compagnie Internationale de NegoceScratch 2 000</v>
          </cell>
          <cell r="O1442" t="str">
            <v>Compagnie Internationale de Negoce</v>
          </cell>
          <cell r="P1442" t="str">
            <v>Scratch 2 000</v>
          </cell>
          <cell r="Q1442" t="str">
            <v>62007</v>
          </cell>
          <cell r="R1442" t="str">
            <v>62007Scratch 2 000</v>
          </cell>
          <cell r="S1442" t="str">
            <v>2007Scratch 2 000</v>
          </cell>
          <cell r="T1442" t="str">
            <v>62007Compagnie Internationale de Negoce</v>
          </cell>
          <cell r="U1442" t="str">
            <v>62007Compagnie Internationale de NegoceScratch 2 000</v>
          </cell>
          <cell r="V1442" t="str">
            <v>39238Scratch 2 000</v>
          </cell>
          <cell r="W1442" t="str">
            <v>2007Compagnie Internationale de Negoce</v>
          </cell>
          <cell r="X1442" t="str">
            <v>2007Compagnie Internationale de NegoceScratch 2 000</v>
          </cell>
        </row>
        <row r="1443">
          <cell r="I1443">
            <v>2007</v>
          </cell>
          <cell r="J1443" t="str">
            <v>Compagnie Internationale de NegoceScratch 5 000</v>
          </cell>
          <cell r="L1443">
            <v>0</v>
          </cell>
          <cell r="M1443" t="str">
            <v>Compagnie Internationale de Negoce</v>
          </cell>
          <cell r="N1443" t="str">
            <v>Compagnie Internationale de NegoceScratch 5 000</v>
          </cell>
          <cell r="O1443" t="str">
            <v>Compagnie Internationale de Negoce</v>
          </cell>
          <cell r="P1443" t="str">
            <v>Scratch 5 000</v>
          </cell>
          <cell r="Q1443" t="str">
            <v>62007</v>
          </cell>
          <cell r="R1443" t="str">
            <v>62007Scratch 5 000</v>
          </cell>
          <cell r="S1443" t="str">
            <v>2007Scratch 5 000</v>
          </cell>
          <cell r="T1443" t="str">
            <v>62007Compagnie Internationale de Negoce</v>
          </cell>
          <cell r="U1443" t="str">
            <v>62007Compagnie Internationale de NegoceScratch 5 000</v>
          </cell>
          <cell r="V1443" t="str">
            <v>39238Scratch 5 000</v>
          </cell>
          <cell r="W1443" t="str">
            <v>2007Compagnie Internationale de Negoce</v>
          </cell>
          <cell r="X1443" t="str">
            <v>2007Compagnie Internationale de NegoceScratch 5 000</v>
          </cell>
        </row>
        <row r="1444">
          <cell r="I1444">
            <v>2007</v>
          </cell>
          <cell r="J1444" t="str">
            <v>ANKA ServicesScratch 1 000</v>
          </cell>
          <cell r="L1444">
            <v>1</v>
          </cell>
          <cell r="M1444" t="str">
            <v>1ANKA Services</v>
          </cell>
          <cell r="N1444" t="str">
            <v>ANKA ServicesScratch 1 000</v>
          </cell>
          <cell r="O1444" t="str">
            <v>ANKA Services</v>
          </cell>
          <cell r="P1444" t="str">
            <v>Scratch 1 000</v>
          </cell>
          <cell r="Q1444" t="str">
            <v>62007</v>
          </cell>
          <cell r="R1444" t="str">
            <v>62007Scratch 1 000</v>
          </cell>
          <cell r="S1444" t="str">
            <v>2007Scratch 1 000</v>
          </cell>
          <cell r="T1444" t="str">
            <v>62007ANKA Services</v>
          </cell>
          <cell r="U1444" t="str">
            <v>62007ANKA ServicesScratch 1 000</v>
          </cell>
          <cell r="V1444" t="str">
            <v>39238Scratch 1 000</v>
          </cell>
          <cell r="W1444" t="str">
            <v>2007ANKA Services</v>
          </cell>
          <cell r="X1444" t="str">
            <v>2007ANKA ServicesScratch 1 000</v>
          </cell>
        </row>
        <row r="1445">
          <cell r="I1445">
            <v>2007</v>
          </cell>
          <cell r="J1445" t="str">
            <v>ANKA ServicesScratch 2 000</v>
          </cell>
          <cell r="L1445">
            <v>0</v>
          </cell>
          <cell r="M1445" t="str">
            <v>ANKA Services</v>
          </cell>
          <cell r="N1445" t="str">
            <v>ANKA ServicesScratch 2 000</v>
          </cell>
          <cell r="O1445" t="str">
            <v>ANKA Services</v>
          </cell>
          <cell r="P1445" t="str">
            <v>Scratch 2 000</v>
          </cell>
          <cell r="Q1445" t="str">
            <v>62007</v>
          </cell>
          <cell r="R1445" t="str">
            <v>62007Scratch 2 000</v>
          </cell>
          <cell r="S1445" t="str">
            <v>2007Scratch 2 000</v>
          </cell>
          <cell r="T1445" t="str">
            <v>62007ANKA Services</v>
          </cell>
          <cell r="U1445" t="str">
            <v>62007ANKA ServicesScratch 2 000</v>
          </cell>
          <cell r="V1445" t="str">
            <v>39238Scratch 2 000</v>
          </cell>
          <cell r="W1445" t="str">
            <v>2007ANKA Services</v>
          </cell>
          <cell r="X1445" t="str">
            <v>2007ANKA ServicesScratch 2 000</v>
          </cell>
        </row>
        <row r="1446">
          <cell r="I1446">
            <v>2007</v>
          </cell>
          <cell r="J1446" t="str">
            <v>ANKA ServicesScratch 5 000</v>
          </cell>
          <cell r="L1446">
            <v>0</v>
          </cell>
          <cell r="M1446" t="str">
            <v>ANKA Services</v>
          </cell>
          <cell r="N1446" t="str">
            <v>ANKA ServicesScratch 5 000</v>
          </cell>
          <cell r="O1446" t="str">
            <v>ANKA Services</v>
          </cell>
          <cell r="P1446" t="str">
            <v>Scratch 5 000</v>
          </cell>
          <cell r="Q1446" t="str">
            <v>62007</v>
          </cell>
          <cell r="R1446" t="str">
            <v>62007Scratch 5 000</v>
          </cell>
          <cell r="S1446" t="str">
            <v>2007Scratch 5 000</v>
          </cell>
          <cell r="T1446" t="str">
            <v>62007ANKA Services</v>
          </cell>
          <cell r="U1446" t="str">
            <v>62007ANKA ServicesScratch 5 000</v>
          </cell>
          <cell r="V1446" t="str">
            <v>39238Scratch 5 000</v>
          </cell>
          <cell r="W1446" t="str">
            <v>2007ANKA Services</v>
          </cell>
          <cell r="X1446" t="str">
            <v>2007ANKA ServicesScratch 5 000</v>
          </cell>
        </row>
        <row r="1447">
          <cell r="I1447">
            <v>2007</v>
          </cell>
          <cell r="J1447" t="str">
            <v>GEMATELScratch 1 000</v>
          </cell>
          <cell r="L1447">
            <v>1</v>
          </cell>
          <cell r="M1447" t="str">
            <v>1GEMATEL</v>
          </cell>
          <cell r="N1447" t="str">
            <v>GEMATELScratch 1 000</v>
          </cell>
          <cell r="O1447" t="str">
            <v>GEMATEL</v>
          </cell>
          <cell r="P1447" t="str">
            <v>Scratch 1 000</v>
          </cell>
          <cell r="Q1447" t="str">
            <v>62007</v>
          </cell>
          <cell r="R1447" t="str">
            <v>62007Scratch 1 000</v>
          </cell>
          <cell r="S1447" t="str">
            <v>2007Scratch 1 000</v>
          </cell>
          <cell r="T1447" t="str">
            <v>62007GEMATEL</v>
          </cell>
          <cell r="U1447" t="str">
            <v>62007GEMATELScratch 1 000</v>
          </cell>
          <cell r="V1447" t="str">
            <v>39238Scratch 1 000</v>
          </cell>
          <cell r="W1447" t="str">
            <v>2007GEMATEL</v>
          </cell>
          <cell r="X1447" t="str">
            <v>2007GEMATELScratch 1 000</v>
          </cell>
        </row>
        <row r="1448">
          <cell r="I1448">
            <v>2007</v>
          </cell>
          <cell r="J1448" t="str">
            <v>GEMATELScratch 2 000</v>
          </cell>
          <cell r="L1448">
            <v>0</v>
          </cell>
          <cell r="M1448" t="str">
            <v>GEMATEL</v>
          </cell>
          <cell r="N1448" t="str">
            <v>GEMATELScratch 2 000</v>
          </cell>
          <cell r="O1448" t="str">
            <v>GEMATEL</v>
          </cell>
          <cell r="P1448" t="str">
            <v>Scratch 2 000</v>
          </cell>
          <cell r="Q1448" t="str">
            <v>62007</v>
          </cell>
          <cell r="R1448" t="str">
            <v>62007Scratch 2 000</v>
          </cell>
          <cell r="S1448" t="str">
            <v>2007Scratch 2 000</v>
          </cell>
          <cell r="T1448" t="str">
            <v>62007GEMATEL</v>
          </cell>
          <cell r="U1448" t="str">
            <v>62007GEMATELScratch 2 000</v>
          </cell>
          <cell r="V1448" t="str">
            <v>39238Scratch 2 000</v>
          </cell>
          <cell r="W1448" t="str">
            <v>2007GEMATEL</v>
          </cell>
          <cell r="X1448" t="str">
            <v>2007GEMATELScratch 2 000</v>
          </cell>
        </row>
        <row r="1449">
          <cell r="I1449">
            <v>2007</v>
          </cell>
          <cell r="J1449" t="str">
            <v>GEMATELScratch 5 000</v>
          </cell>
          <cell r="L1449">
            <v>0</v>
          </cell>
          <cell r="M1449" t="str">
            <v>GEMATEL</v>
          </cell>
          <cell r="N1449" t="str">
            <v>GEMATELScratch 5 000</v>
          </cell>
          <cell r="O1449" t="str">
            <v>GEMATEL</v>
          </cell>
          <cell r="P1449" t="str">
            <v>Scratch 5 000</v>
          </cell>
          <cell r="Q1449" t="str">
            <v>62007</v>
          </cell>
          <cell r="R1449" t="str">
            <v>62007Scratch 5 000</v>
          </cell>
          <cell r="S1449" t="str">
            <v>2007Scratch 5 000</v>
          </cell>
          <cell r="T1449" t="str">
            <v>62007GEMATEL</v>
          </cell>
          <cell r="U1449" t="str">
            <v>62007GEMATELScratch 5 000</v>
          </cell>
          <cell r="V1449" t="str">
            <v>39238Scratch 5 000</v>
          </cell>
          <cell r="W1449" t="str">
            <v>2007GEMATEL</v>
          </cell>
          <cell r="X1449" t="str">
            <v>2007GEMATELScratch 5 000</v>
          </cell>
        </row>
        <row r="1450">
          <cell r="I1450">
            <v>2007</v>
          </cell>
          <cell r="J1450" t="str">
            <v>GEMATELScratch 10 000</v>
          </cell>
          <cell r="L1450">
            <v>0</v>
          </cell>
          <cell r="M1450" t="str">
            <v>GEMATEL</v>
          </cell>
          <cell r="N1450" t="str">
            <v>GEMATELScratch 10 000</v>
          </cell>
          <cell r="O1450" t="str">
            <v>GEMATEL</v>
          </cell>
          <cell r="P1450" t="str">
            <v>Scratch 10 000</v>
          </cell>
          <cell r="Q1450" t="str">
            <v>62007</v>
          </cell>
          <cell r="R1450" t="str">
            <v>62007Scratch 10 000</v>
          </cell>
          <cell r="S1450" t="str">
            <v>2007Scratch 10 000</v>
          </cell>
          <cell r="T1450" t="str">
            <v>62007GEMATEL</v>
          </cell>
          <cell r="U1450" t="str">
            <v>62007GEMATELScratch 10 000</v>
          </cell>
          <cell r="V1450" t="str">
            <v>39238Scratch 10 000</v>
          </cell>
          <cell r="W1450" t="str">
            <v>2007GEMATEL</v>
          </cell>
          <cell r="X1450" t="str">
            <v>2007GEMATELScratch 10 000</v>
          </cell>
        </row>
        <row r="1451">
          <cell r="I1451">
            <v>2007</v>
          </cell>
          <cell r="J1451" t="str">
            <v>GEMATELScratch 20 000</v>
          </cell>
          <cell r="L1451">
            <v>0</v>
          </cell>
          <cell r="M1451" t="str">
            <v>GEMATEL</v>
          </cell>
          <cell r="N1451" t="str">
            <v>GEMATELScratch 20 000</v>
          </cell>
          <cell r="O1451" t="str">
            <v>GEMATEL</v>
          </cell>
          <cell r="P1451" t="str">
            <v>Scratch 20 000</v>
          </cell>
          <cell r="Q1451" t="str">
            <v>62007</v>
          </cell>
          <cell r="R1451" t="str">
            <v>62007Scratch 20 000</v>
          </cell>
          <cell r="S1451" t="str">
            <v>2007Scratch 20 000</v>
          </cell>
          <cell r="T1451" t="str">
            <v>62007GEMATEL</v>
          </cell>
          <cell r="U1451" t="str">
            <v>62007GEMATELScratch 20 000</v>
          </cell>
          <cell r="V1451" t="str">
            <v>39238Scratch 20 000</v>
          </cell>
          <cell r="W1451" t="str">
            <v>2007GEMATEL</v>
          </cell>
          <cell r="X1451" t="str">
            <v>2007GEMATELScratch 20 000</v>
          </cell>
        </row>
        <row r="1452">
          <cell r="I1452">
            <v>2007</v>
          </cell>
          <cell r="J1452" t="str">
            <v>STS GAMBY &amp; FRERES (SOGAF) SarlScratch 2 000</v>
          </cell>
          <cell r="L1452">
            <v>1</v>
          </cell>
          <cell r="M1452" t="str">
            <v>1STS GAMBY &amp; FRERES (SOGAF) Sarl</v>
          </cell>
          <cell r="N1452" t="str">
            <v>STS GAMBY &amp; FRERES (SOGAF) SarlScratch 2 000</v>
          </cell>
          <cell r="O1452" t="str">
            <v>STS GAMBY &amp; FRERES (SOGAF) Sarl</v>
          </cell>
          <cell r="P1452" t="str">
            <v>Scratch 2 000</v>
          </cell>
          <cell r="Q1452" t="str">
            <v>62007</v>
          </cell>
          <cell r="R1452" t="str">
            <v>62007Scratch 2 000</v>
          </cell>
          <cell r="S1452" t="str">
            <v>2007Scratch 2 000</v>
          </cell>
          <cell r="T1452" t="str">
            <v>62007STS GAMBY &amp; FRERES (SOGAF) Sarl</v>
          </cell>
          <cell r="U1452" t="str">
            <v>62007STS GAMBY &amp; FRERES (SOGAF) SarlScratch 2 000</v>
          </cell>
          <cell r="V1452" t="str">
            <v>39239Scratch 2 000</v>
          </cell>
          <cell r="W1452" t="str">
            <v>2007STS GAMBY &amp; FRERES (SOGAF) Sarl</v>
          </cell>
          <cell r="X1452" t="str">
            <v>2007STS GAMBY &amp; FRERES (SOGAF) SarlScratch 2 000</v>
          </cell>
        </row>
        <row r="1453">
          <cell r="I1453">
            <v>2007</v>
          </cell>
          <cell r="J1453" t="str">
            <v>STS GAMBY &amp; FRERES (SOGAF) SarlScratch 5 000</v>
          </cell>
          <cell r="L1453">
            <v>0</v>
          </cell>
          <cell r="M1453" t="str">
            <v>STS GAMBY &amp; FRERES (SOGAF) Sarl</v>
          </cell>
          <cell r="N1453" t="str">
            <v>STS GAMBY &amp; FRERES (SOGAF) SarlScratch 5 000</v>
          </cell>
          <cell r="O1453" t="str">
            <v>STS GAMBY &amp; FRERES (SOGAF) Sarl</v>
          </cell>
          <cell r="P1453" t="str">
            <v>Scratch 5 000</v>
          </cell>
          <cell r="Q1453" t="str">
            <v>62007</v>
          </cell>
          <cell r="R1453" t="str">
            <v>62007Scratch 5 000</v>
          </cell>
          <cell r="S1453" t="str">
            <v>2007Scratch 5 000</v>
          </cell>
          <cell r="T1453" t="str">
            <v>62007STS GAMBY &amp; FRERES (SOGAF) Sarl</v>
          </cell>
          <cell r="U1453" t="str">
            <v>62007STS GAMBY &amp; FRERES (SOGAF) SarlScratch 5 000</v>
          </cell>
          <cell r="V1453" t="str">
            <v>39239Scratch 5 000</v>
          </cell>
          <cell r="W1453" t="str">
            <v>2007STS GAMBY &amp; FRERES (SOGAF) Sarl</v>
          </cell>
          <cell r="X1453" t="str">
            <v>2007STS GAMBY &amp; FRERES (SOGAF) SarlScratch 5 000</v>
          </cell>
        </row>
        <row r="1454">
          <cell r="I1454">
            <v>2007</v>
          </cell>
          <cell r="J1454" t="str">
            <v>STS GAMBY &amp; FRERES (SOGAF) SarlScratch 10 000</v>
          </cell>
          <cell r="L1454">
            <v>0</v>
          </cell>
          <cell r="M1454" t="str">
            <v>STS GAMBY &amp; FRERES (SOGAF) Sarl</v>
          </cell>
          <cell r="N1454" t="str">
            <v>STS GAMBY &amp; FRERES (SOGAF) SarlScratch 10 000</v>
          </cell>
          <cell r="O1454" t="str">
            <v>STS GAMBY &amp; FRERES (SOGAF) Sarl</v>
          </cell>
          <cell r="P1454" t="str">
            <v>Scratch 10 000</v>
          </cell>
          <cell r="Q1454" t="str">
            <v>62007</v>
          </cell>
          <cell r="R1454" t="str">
            <v>62007Scratch 10 000</v>
          </cell>
          <cell r="S1454" t="str">
            <v>2007Scratch 10 000</v>
          </cell>
          <cell r="T1454" t="str">
            <v>62007STS GAMBY &amp; FRERES (SOGAF) Sarl</v>
          </cell>
          <cell r="U1454" t="str">
            <v>62007STS GAMBY &amp; FRERES (SOGAF) SarlScratch 10 000</v>
          </cell>
          <cell r="V1454" t="str">
            <v>39239Scratch 10 000</v>
          </cell>
          <cell r="W1454" t="str">
            <v>2007STS GAMBY &amp; FRERES (SOGAF) Sarl</v>
          </cell>
          <cell r="X1454" t="str">
            <v>2007STS GAMBY &amp; FRERES (SOGAF) SarlScratch 10 000</v>
          </cell>
        </row>
        <row r="1455">
          <cell r="I1455">
            <v>2007</v>
          </cell>
          <cell r="J1455" t="str">
            <v>STS GAMBY &amp; FRERES (SOGAF) SarlScratch 20 000</v>
          </cell>
          <cell r="L1455">
            <v>0</v>
          </cell>
          <cell r="M1455" t="str">
            <v>STS GAMBY &amp; FRERES (SOGAF) Sarl</v>
          </cell>
          <cell r="N1455" t="str">
            <v>STS GAMBY &amp; FRERES (SOGAF) SarlScratch 20 000</v>
          </cell>
          <cell r="O1455" t="str">
            <v>STS GAMBY &amp; FRERES (SOGAF) Sarl</v>
          </cell>
          <cell r="P1455" t="str">
            <v>Scratch 20 000</v>
          </cell>
          <cell r="Q1455" t="str">
            <v>62007</v>
          </cell>
          <cell r="R1455" t="str">
            <v>62007Scratch 20 000</v>
          </cell>
          <cell r="S1455" t="str">
            <v>2007Scratch 20 000</v>
          </cell>
          <cell r="T1455" t="str">
            <v>62007STS GAMBY &amp; FRERES (SOGAF) Sarl</v>
          </cell>
          <cell r="U1455" t="str">
            <v>62007STS GAMBY &amp; FRERES (SOGAF) SarlScratch 20 000</v>
          </cell>
          <cell r="V1455" t="str">
            <v>39239Scratch 20 000</v>
          </cell>
          <cell r="W1455" t="str">
            <v>2007STS GAMBY &amp; FRERES (SOGAF) Sarl</v>
          </cell>
          <cell r="X1455" t="str">
            <v>2007STS GAMBY &amp; FRERES (SOGAF) SarlScratch 20 000</v>
          </cell>
        </row>
        <row r="1456">
          <cell r="I1456">
            <v>2007</v>
          </cell>
          <cell r="J1456" t="str">
            <v>GEMATELScratch 2 000</v>
          </cell>
          <cell r="L1456">
            <v>1</v>
          </cell>
          <cell r="M1456" t="str">
            <v>1GEMATEL</v>
          </cell>
          <cell r="N1456" t="str">
            <v>GEMATELScratch 2 000</v>
          </cell>
          <cell r="O1456" t="str">
            <v>GEMATEL</v>
          </cell>
          <cell r="P1456" t="str">
            <v>Scratch 2 000</v>
          </cell>
          <cell r="Q1456" t="str">
            <v>62007</v>
          </cell>
          <cell r="R1456" t="str">
            <v>62007Scratch 2 000</v>
          </cell>
          <cell r="S1456" t="str">
            <v>2007Scratch 2 000</v>
          </cell>
          <cell r="T1456" t="str">
            <v>62007GEMATEL</v>
          </cell>
          <cell r="U1456" t="str">
            <v>62007GEMATELScratch 2 000</v>
          </cell>
          <cell r="V1456" t="str">
            <v>39239Scratch 2 000</v>
          </cell>
          <cell r="W1456" t="str">
            <v>2007GEMATEL</v>
          </cell>
          <cell r="X1456" t="str">
            <v>2007GEMATELScratch 2 000</v>
          </cell>
        </row>
        <row r="1457">
          <cell r="I1457">
            <v>2007</v>
          </cell>
          <cell r="J1457" t="str">
            <v>GEMATELScratch 5 000</v>
          </cell>
          <cell r="L1457">
            <v>0</v>
          </cell>
          <cell r="M1457" t="str">
            <v>GEMATEL</v>
          </cell>
          <cell r="N1457" t="str">
            <v>GEMATELScratch 5 000</v>
          </cell>
          <cell r="O1457" t="str">
            <v>GEMATEL</v>
          </cell>
          <cell r="P1457" t="str">
            <v>Scratch 5 000</v>
          </cell>
          <cell r="Q1457" t="str">
            <v>62007</v>
          </cell>
          <cell r="R1457" t="str">
            <v>62007Scratch 5 000</v>
          </cell>
          <cell r="S1457" t="str">
            <v>2007Scratch 5 000</v>
          </cell>
          <cell r="T1457" t="str">
            <v>62007GEMATEL</v>
          </cell>
          <cell r="U1457" t="str">
            <v>62007GEMATELScratch 5 000</v>
          </cell>
          <cell r="V1457" t="str">
            <v>39239Scratch 5 000</v>
          </cell>
          <cell r="W1457" t="str">
            <v>2007GEMATEL</v>
          </cell>
          <cell r="X1457" t="str">
            <v>2007GEMATELScratch 5 000</v>
          </cell>
        </row>
        <row r="1458">
          <cell r="I1458">
            <v>2007</v>
          </cell>
          <cell r="J1458" t="str">
            <v>GEMATELScratch 10 000</v>
          </cell>
          <cell r="L1458">
            <v>0</v>
          </cell>
          <cell r="M1458" t="str">
            <v>GEMATEL</v>
          </cell>
          <cell r="N1458" t="str">
            <v>GEMATELScratch 10 000</v>
          </cell>
          <cell r="O1458" t="str">
            <v>GEMATEL</v>
          </cell>
          <cell r="P1458" t="str">
            <v>Scratch 10 000</v>
          </cell>
          <cell r="Q1458" t="str">
            <v>62007</v>
          </cell>
          <cell r="R1458" t="str">
            <v>62007Scratch 10 000</v>
          </cell>
          <cell r="S1458" t="str">
            <v>2007Scratch 10 000</v>
          </cell>
          <cell r="T1458" t="str">
            <v>62007GEMATEL</v>
          </cell>
          <cell r="U1458" t="str">
            <v>62007GEMATELScratch 10 000</v>
          </cell>
          <cell r="V1458" t="str">
            <v>39239Scratch 10 000</v>
          </cell>
          <cell r="W1458" t="str">
            <v>2007GEMATEL</v>
          </cell>
          <cell r="X1458" t="str">
            <v>2007GEMATELScratch 10 000</v>
          </cell>
        </row>
        <row r="1459">
          <cell r="I1459">
            <v>2007</v>
          </cell>
          <cell r="J1459" t="str">
            <v>GEMATELScratch 20 000</v>
          </cell>
          <cell r="L1459">
            <v>0</v>
          </cell>
          <cell r="M1459" t="str">
            <v>GEMATEL</v>
          </cell>
          <cell r="N1459" t="str">
            <v>GEMATELScratch 20 000</v>
          </cell>
          <cell r="O1459" t="str">
            <v>GEMATEL</v>
          </cell>
          <cell r="P1459" t="str">
            <v>Scratch 20 000</v>
          </cell>
          <cell r="Q1459" t="str">
            <v>62007</v>
          </cell>
          <cell r="R1459" t="str">
            <v>62007Scratch 20 000</v>
          </cell>
          <cell r="S1459" t="str">
            <v>2007Scratch 20 000</v>
          </cell>
          <cell r="T1459" t="str">
            <v>62007GEMATEL</v>
          </cell>
          <cell r="U1459" t="str">
            <v>62007GEMATELScratch 20 000</v>
          </cell>
          <cell r="V1459" t="str">
            <v>39239Scratch 20 000</v>
          </cell>
          <cell r="W1459" t="str">
            <v>2007GEMATEL</v>
          </cell>
          <cell r="X1459" t="str">
            <v>2007GEMATELScratch 20 000</v>
          </cell>
        </row>
        <row r="1460">
          <cell r="I1460">
            <v>2007</v>
          </cell>
          <cell r="J1460" t="str">
            <v>STS GAMBY &amp; FRERES (SOGAF) SarlScratch 2 000</v>
          </cell>
          <cell r="L1460">
            <v>1</v>
          </cell>
          <cell r="M1460" t="str">
            <v>1STS GAMBY &amp; FRERES (SOGAF) Sarl</v>
          </cell>
          <cell r="N1460" t="str">
            <v>STS GAMBY &amp; FRERES (SOGAF) SarlScratch 2 000</v>
          </cell>
          <cell r="O1460" t="str">
            <v>STS GAMBY &amp; FRERES (SOGAF) Sarl</v>
          </cell>
          <cell r="P1460" t="str">
            <v>Scratch 2 000</v>
          </cell>
          <cell r="Q1460" t="str">
            <v>62007</v>
          </cell>
          <cell r="R1460" t="str">
            <v>62007Scratch 2 000</v>
          </cell>
          <cell r="S1460" t="str">
            <v>2007Scratch 2 000</v>
          </cell>
          <cell r="T1460" t="str">
            <v>62007STS GAMBY &amp; FRERES (SOGAF) Sarl</v>
          </cell>
          <cell r="U1460" t="str">
            <v>62007STS GAMBY &amp; FRERES (SOGAF) SarlScratch 2 000</v>
          </cell>
          <cell r="V1460" t="str">
            <v>39240Scratch 2 000</v>
          </cell>
          <cell r="W1460" t="str">
            <v>2007STS GAMBY &amp; FRERES (SOGAF) Sarl</v>
          </cell>
          <cell r="X1460" t="str">
            <v>2007STS GAMBY &amp; FRERES (SOGAF) SarlScratch 2 000</v>
          </cell>
        </row>
        <row r="1461">
          <cell r="I1461">
            <v>2007</v>
          </cell>
          <cell r="J1461" t="str">
            <v>STS GAMBY &amp; FRERES (SOGAF) SarlScratch 5 000</v>
          </cell>
          <cell r="L1461">
            <v>0</v>
          </cell>
          <cell r="M1461" t="str">
            <v>STS GAMBY &amp; FRERES (SOGAF) Sarl</v>
          </cell>
          <cell r="N1461" t="str">
            <v>STS GAMBY &amp; FRERES (SOGAF) SarlScratch 5 000</v>
          </cell>
          <cell r="O1461" t="str">
            <v>STS GAMBY &amp; FRERES (SOGAF) Sarl</v>
          </cell>
          <cell r="P1461" t="str">
            <v>Scratch 5 000</v>
          </cell>
          <cell r="Q1461" t="str">
            <v>62007</v>
          </cell>
          <cell r="R1461" t="str">
            <v>62007Scratch 5 000</v>
          </cell>
          <cell r="S1461" t="str">
            <v>2007Scratch 5 000</v>
          </cell>
          <cell r="T1461" t="str">
            <v>62007STS GAMBY &amp; FRERES (SOGAF) Sarl</v>
          </cell>
          <cell r="U1461" t="str">
            <v>62007STS GAMBY &amp; FRERES (SOGAF) SarlScratch 5 000</v>
          </cell>
          <cell r="V1461" t="str">
            <v>39240Scratch 5 000</v>
          </cell>
          <cell r="W1461" t="str">
            <v>2007STS GAMBY &amp; FRERES (SOGAF) Sarl</v>
          </cell>
          <cell r="X1461" t="str">
            <v>2007STS GAMBY &amp; FRERES (SOGAF) SarlScratch 5 000</v>
          </cell>
        </row>
        <row r="1462">
          <cell r="I1462">
            <v>2007</v>
          </cell>
          <cell r="J1462" t="str">
            <v>STS GAMBY &amp; FRERES (SOGAF) SarlScratch 20 000</v>
          </cell>
          <cell r="L1462">
            <v>0</v>
          </cell>
          <cell r="M1462" t="str">
            <v>STS GAMBY &amp; FRERES (SOGAF) Sarl</v>
          </cell>
          <cell r="N1462" t="str">
            <v>STS GAMBY &amp; FRERES (SOGAF) SarlScratch 20 000</v>
          </cell>
          <cell r="O1462" t="str">
            <v>STS GAMBY &amp; FRERES (SOGAF) Sarl</v>
          </cell>
          <cell r="P1462" t="str">
            <v>Scratch 20 000</v>
          </cell>
          <cell r="Q1462" t="str">
            <v>62007</v>
          </cell>
          <cell r="R1462" t="str">
            <v>62007Scratch 20 000</v>
          </cell>
          <cell r="S1462" t="str">
            <v>2007Scratch 20 000</v>
          </cell>
          <cell r="T1462" t="str">
            <v>62007STS GAMBY &amp; FRERES (SOGAF) Sarl</v>
          </cell>
          <cell r="U1462" t="str">
            <v>62007STS GAMBY &amp; FRERES (SOGAF) SarlScratch 20 000</v>
          </cell>
          <cell r="V1462" t="str">
            <v>39240Scratch 20 000</v>
          </cell>
          <cell r="W1462" t="str">
            <v>2007STS GAMBY &amp; FRERES (SOGAF) Sarl</v>
          </cell>
          <cell r="X1462" t="str">
            <v>2007STS GAMBY &amp; FRERES (SOGAF) SarlScratch 20 000</v>
          </cell>
        </row>
        <row r="1463">
          <cell r="I1463">
            <v>2007</v>
          </cell>
          <cell r="J1463" t="str">
            <v>SOLEIL LEVANTScratch 2 000</v>
          </cell>
          <cell r="L1463">
            <v>1</v>
          </cell>
          <cell r="M1463" t="str">
            <v>1SOLEIL LEVANT</v>
          </cell>
          <cell r="N1463" t="str">
            <v>SOLEIL LEVANTScratch 2 000</v>
          </cell>
          <cell r="O1463" t="str">
            <v>SOLEIL LEVANT</v>
          </cell>
          <cell r="P1463" t="str">
            <v>Scratch 2 000</v>
          </cell>
          <cell r="Q1463" t="str">
            <v>62007</v>
          </cell>
          <cell r="R1463" t="str">
            <v>62007Scratch 2 000</v>
          </cell>
          <cell r="S1463" t="str">
            <v>2007Scratch 2 000</v>
          </cell>
          <cell r="T1463" t="str">
            <v>62007SOLEIL LEVANT</v>
          </cell>
          <cell r="U1463" t="str">
            <v>62007SOLEIL LEVANTScratch 2 000</v>
          </cell>
          <cell r="V1463" t="str">
            <v>39240Scratch 2 000</v>
          </cell>
          <cell r="W1463" t="str">
            <v>2007SOLEIL LEVANT</v>
          </cell>
          <cell r="X1463" t="str">
            <v>2007SOLEIL LEVANTScratch 2 000</v>
          </cell>
        </row>
        <row r="1464">
          <cell r="I1464">
            <v>2007</v>
          </cell>
          <cell r="J1464" t="str">
            <v>SOLEIL LEVANTScratch 5 000</v>
          </cell>
          <cell r="L1464">
            <v>0</v>
          </cell>
          <cell r="M1464" t="str">
            <v>SOLEIL LEVANT</v>
          </cell>
          <cell r="N1464" t="str">
            <v>SOLEIL LEVANTScratch 5 000</v>
          </cell>
          <cell r="O1464" t="str">
            <v>SOLEIL LEVANT</v>
          </cell>
          <cell r="P1464" t="str">
            <v>Scratch 5 000</v>
          </cell>
          <cell r="Q1464" t="str">
            <v>62007</v>
          </cell>
          <cell r="R1464" t="str">
            <v>62007Scratch 5 000</v>
          </cell>
          <cell r="S1464" t="str">
            <v>2007Scratch 5 000</v>
          </cell>
          <cell r="T1464" t="str">
            <v>62007SOLEIL LEVANT</v>
          </cell>
          <cell r="U1464" t="str">
            <v>62007SOLEIL LEVANTScratch 5 000</v>
          </cell>
          <cell r="V1464" t="str">
            <v>39240Scratch 5 000</v>
          </cell>
          <cell r="W1464" t="str">
            <v>2007SOLEIL LEVANT</v>
          </cell>
          <cell r="X1464" t="str">
            <v>2007SOLEIL LEVANTScratch 5 000</v>
          </cell>
        </row>
        <row r="1465">
          <cell r="I1465">
            <v>2007</v>
          </cell>
          <cell r="J1465" t="str">
            <v>ANKA ServicesScratch 2 000</v>
          </cell>
          <cell r="L1465">
            <v>1</v>
          </cell>
          <cell r="M1465" t="str">
            <v>1ANKA Services</v>
          </cell>
          <cell r="N1465" t="str">
            <v>ANKA ServicesScratch 2 000</v>
          </cell>
          <cell r="O1465" t="str">
            <v>ANKA Services</v>
          </cell>
          <cell r="P1465" t="str">
            <v>Scratch 2 000</v>
          </cell>
          <cell r="Q1465" t="str">
            <v>62007</v>
          </cell>
          <cell r="R1465" t="str">
            <v>62007Scratch 2 000</v>
          </cell>
          <cell r="S1465" t="str">
            <v>2007Scratch 2 000</v>
          </cell>
          <cell r="T1465" t="str">
            <v>62007ANKA Services</v>
          </cell>
          <cell r="U1465" t="str">
            <v>62007ANKA ServicesScratch 2 000</v>
          </cell>
          <cell r="V1465" t="str">
            <v>39240Scratch 2 000</v>
          </cell>
          <cell r="W1465" t="str">
            <v>2007ANKA Services</v>
          </cell>
          <cell r="X1465" t="str">
            <v>2007ANKA ServicesScratch 2 000</v>
          </cell>
        </row>
        <row r="1466">
          <cell r="I1466">
            <v>2007</v>
          </cell>
          <cell r="J1466" t="str">
            <v>ANKA ServicesScratch 5 000</v>
          </cell>
          <cell r="L1466">
            <v>0</v>
          </cell>
          <cell r="M1466" t="str">
            <v>ANKA Services</v>
          </cell>
          <cell r="N1466" t="str">
            <v>ANKA ServicesScratch 5 000</v>
          </cell>
          <cell r="O1466" t="str">
            <v>ANKA Services</v>
          </cell>
          <cell r="P1466" t="str">
            <v>Scratch 5 000</v>
          </cell>
          <cell r="Q1466" t="str">
            <v>62007</v>
          </cell>
          <cell r="R1466" t="str">
            <v>62007Scratch 5 000</v>
          </cell>
          <cell r="S1466" t="str">
            <v>2007Scratch 5 000</v>
          </cell>
          <cell r="T1466" t="str">
            <v>62007ANKA Services</v>
          </cell>
          <cell r="U1466" t="str">
            <v>62007ANKA ServicesScratch 5 000</v>
          </cell>
          <cell r="V1466" t="str">
            <v>39240Scratch 5 000</v>
          </cell>
          <cell r="W1466" t="str">
            <v>2007ANKA Services</v>
          </cell>
          <cell r="X1466" t="str">
            <v>2007ANKA ServicesScratch 5 000</v>
          </cell>
        </row>
        <row r="1467">
          <cell r="I1467">
            <v>2007</v>
          </cell>
          <cell r="J1467" t="str">
            <v>ANKA ServicesScratch 10 000</v>
          </cell>
          <cell r="L1467">
            <v>0</v>
          </cell>
          <cell r="M1467" t="str">
            <v>ANKA Services</v>
          </cell>
          <cell r="N1467" t="str">
            <v>ANKA ServicesScratch 10 000</v>
          </cell>
          <cell r="O1467" t="str">
            <v>ANKA Services</v>
          </cell>
          <cell r="P1467" t="str">
            <v>Scratch 10 000</v>
          </cell>
          <cell r="Q1467" t="str">
            <v>62007</v>
          </cell>
          <cell r="R1467" t="str">
            <v>62007Scratch 10 000</v>
          </cell>
          <cell r="S1467" t="str">
            <v>2007Scratch 10 000</v>
          </cell>
          <cell r="T1467" t="str">
            <v>62007ANKA Services</v>
          </cell>
          <cell r="U1467" t="str">
            <v>62007ANKA ServicesScratch 10 000</v>
          </cell>
          <cell r="V1467" t="str">
            <v>39240Scratch 10 000</v>
          </cell>
          <cell r="W1467" t="str">
            <v>2007ANKA Services</v>
          </cell>
          <cell r="X1467" t="str">
            <v>2007ANKA ServicesScratch 10 000</v>
          </cell>
        </row>
        <row r="1468">
          <cell r="I1468">
            <v>2007</v>
          </cell>
          <cell r="J1468" t="str">
            <v>GEMATELScratch 2 000</v>
          </cell>
          <cell r="L1468">
            <v>1</v>
          </cell>
          <cell r="M1468" t="str">
            <v>1GEMATEL</v>
          </cell>
          <cell r="N1468" t="str">
            <v>GEMATELScratch 2 000</v>
          </cell>
          <cell r="O1468" t="str">
            <v>GEMATEL</v>
          </cell>
          <cell r="P1468" t="str">
            <v>Scratch 2 000</v>
          </cell>
          <cell r="Q1468" t="str">
            <v>62007</v>
          </cell>
          <cell r="R1468" t="str">
            <v>62007Scratch 2 000</v>
          </cell>
          <cell r="S1468" t="str">
            <v>2007Scratch 2 000</v>
          </cell>
          <cell r="T1468" t="str">
            <v>62007GEMATEL</v>
          </cell>
          <cell r="U1468" t="str">
            <v>62007GEMATELScratch 2 000</v>
          </cell>
          <cell r="V1468" t="str">
            <v>39240Scratch 2 000</v>
          </cell>
          <cell r="W1468" t="str">
            <v>2007GEMATEL</v>
          </cell>
          <cell r="X1468" t="str">
            <v>2007GEMATELScratch 2 000</v>
          </cell>
        </row>
        <row r="1469">
          <cell r="I1469">
            <v>2007</v>
          </cell>
          <cell r="J1469" t="str">
            <v>GEMATELScratch 5 000</v>
          </cell>
          <cell r="L1469">
            <v>0</v>
          </cell>
          <cell r="M1469" t="str">
            <v>GEMATEL</v>
          </cell>
          <cell r="N1469" t="str">
            <v>GEMATELScratch 5 000</v>
          </cell>
          <cell r="O1469" t="str">
            <v>GEMATEL</v>
          </cell>
          <cell r="P1469" t="str">
            <v>Scratch 5 000</v>
          </cell>
          <cell r="Q1469" t="str">
            <v>62007</v>
          </cell>
          <cell r="R1469" t="str">
            <v>62007Scratch 5 000</v>
          </cell>
          <cell r="S1469" t="str">
            <v>2007Scratch 5 000</v>
          </cell>
          <cell r="T1469" t="str">
            <v>62007GEMATEL</v>
          </cell>
          <cell r="U1469" t="str">
            <v>62007GEMATELScratch 5 000</v>
          </cell>
          <cell r="V1469" t="str">
            <v>39240Scratch 5 000</v>
          </cell>
          <cell r="W1469" t="str">
            <v>2007GEMATEL</v>
          </cell>
          <cell r="X1469" t="str">
            <v>2007GEMATELScratch 5 000</v>
          </cell>
        </row>
        <row r="1470">
          <cell r="I1470">
            <v>2007</v>
          </cell>
          <cell r="J1470" t="str">
            <v>GEMATELScratch 20 000</v>
          </cell>
          <cell r="L1470">
            <v>0</v>
          </cell>
          <cell r="M1470" t="str">
            <v>GEMATEL</v>
          </cell>
          <cell r="N1470" t="str">
            <v>GEMATELScratch 20 000</v>
          </cell>
          <cell r="O1470" t="str">
            <v>GEMATEL</v>
          </cell>
          <cell r="P1470" t="str">
            <v>Scratch 20 000</v>
          </cell>
          <cell r="Q1470" t="str">
            <v>62007</v>
          </cell>
          <cell r="R1470" t="str">
            <v>62007Scratch 20 000</v>
          </cell>
          <cell r="S1470" t="str">
            <v>2007Scratch 20 000</v>
          </cell>
          <cell r="T1470" t="str">
            <v>62007GEMATEL</v>
          </cell>
          <cell r="U1470" t="str">
            <v>62007GEMATELScratch 20 000</v>
          </cell>
          <cell r="V1470" t="str">
            <v>39240Scratch 20 000</v>
          </cell>
          <cell r="W1470" t="str">
            <v>2007GEMATEL</v>
          </cell>
          <cell r="X1470" t="str">
            <v>2007GEMATELScratch 20 000</v>
          </cell>
        </row>
        <row r="1471">
          <cell r="I1471">
            <v>2007</v>
          </cell>
          <cell r="J1471" t="str">
            <v>ANKA ServicesScratch 2 000</v>
          </cell>
          <cell r="L1471">
            <v>1</v>
          </cell>
          <cell r="M1471" t="str">
            <v>1ANKA Services</v>
          </cell>
          <cell r="N1471" t="str">
            <v>ANKA ServicesScratch 2 000</v>
          </cell>
          <cell r="O1471" t="str">
            <v>ANKA Services</v>
          </cell>
          <cell r="P1471" t="str">
            <v>Scratch 2 000</v>
          </cell>
          <cell r="Q1471" t="str">
            <v>62007</v>
          </cell>
          <cell r="R1471" t="str">
            <v>62007Scratch 2 000</v>
          </cell>
          <cell r="S1471" t="str">
            <v>2007Scratch 2 000</v>
          </cell>
          <cell r="T1471" t="str">
            <v>62007ANKA Services</v>
          </cell>
          <cell r="U1471" t="str">
            <v>62007ANKA ServicesScratch 2 000</v>
          </cell>
          <cell r="V1471" t="str">
            <v>39241Scratch 2 000</v>
          </cell>
          <cell r="W1471" t="str">
            <v>2007ANKA Services</v>
          </cell>
          <cell r="X1471" t="str">
            <v>2007ANKA ServicesScratch 2 000</v>
          </cell>
        </row>
        <row r="1472">
          <cell r="I1472">
            <v>2007</v>
          </cell>
          <cell r="J1472" t="str">
            <v>ANKA ServicesScratch 5 000</v>
          </cell>
          <cell r="L1472">
            <v>0</v>
          </cell>
          <cell r="M1472" t="str">
            <v>ANKA Services</v>
          </cell>
          <cell r="N1472" t="str">
            <v>ANKA ServicesScratch 5 000</v>
          </cell>
          <cell r="O1472" t="str">
            <v>ANKA Services</v>
          </cell>
          <cell r="P1472" t="str">
            <v>Scratch 5 000</v>
          </cell>
          <cell r="Q1472" t="str">
            <v>62007</v>
          </cell>
          <cell r="R1472" t="str">
            <v>62007Scratch 5 000</v>
          </cell>
          <cell r="S1472" t="str">
            <v>2007Scratch 5 000</v>
          </cell>
          <cell r="T1472" t="str">
            <v>62007ANKA Services</v>
          </cell>
          <cell r="U1472" t="str">
            <v>62007ANKA ServicesScratch 5 000</v>
          </cell>
          <cell r="V1472" t="str">
            <v>39241Scratch 5 000</v>
          </cell>
          <cell r="W1472" t="str">
            <v>2007ANKA Services</v>
          </cell>
          <cell r="X1472" t="str">
            <v>2007ANKA ServicesScratch 5 000</v>
          </cell>
        </row>
        <row r="1473">
          <cell r="I1473">
            <v>2007</v>
          </cell>
          <cell r="J1473" t="str">
            <v>ANKA ServicesScratch 20 000</v>
          </cell>
          <cell r="L1473">
            <v>0</v>
          </cell>
          <cell r="M1473" t="str">
            <v>ANKA Services</v>
          </cell>
          <cell r="N1473" t="str">
            <v>ANKA ServicesScratch 20 000</v>
          </cell>
          <cell r="O1473" t="str">
            <v>ANKA Services</v>
          </cell>
          <cell r="P1473" t="str">
            <v>Scratch 20 000</v>
          </cell>
          <cell r="Q1473" t="str">
            <v>62007</v>
          </cell>
          <cell r="R1473" t="str">
            <v>62007Scratch 20 000</v>
          </cell>
          <cell r="S1473" t="str">
            <v>2007Scratch 20 000</v>
          </cell>
          <cell r="T1473" t="str">
            <v>62007ANKA Services</v>
          </cell>
          <cell r="U1473" t="str">
            <v>62007ANKA ServicesScratch 20 000</v>
          </cell>
          <cell r="V1473" t="str">
            <v>39241Scratch 20 000</v>
          </cell>
          <cell r="W1473" t="str">
            <v>2007ANKA Services</v>
          </cell>
          <cell r="X1473" t="str">
            <v>2007ANKA ServicesScratch 20 000</v>
          </cell>
        </row>
        <row r="1474">
          <cell r="I1474">
            <v>2007</v>
          </cell>
          <cell r="J1474" t="str">
            <v>Ets Mamadou GAMBYScratch 2 000</v>
          </cell>
          <cell r="L1474">
            <v>1</v>
          </cell>
          <cell r="M1474" t="str">
            <v>1Ets Mamadou GAMBY</v>
          </cell>
          <cell r="N1474" t="str">
            <v>Ets Mamadou GAMBYScratch 2 000</v>
          </cell>
          <cell r="O1474" t="str">
            <v>Ets Mamadou GAMBY</v>
          </cell>
          <cell r="P1474" t="str">
            <v>Scratch 2 000</v>
          </cell>
          <cell r="Q1474" t="str">
            <v>62007</v>
          </cell>
          <cell r="R1474" t="str">
            <v>62007Scratch 2 000</v>
          </cell>
          <cell r="S1474" t="str">
            <v>2007Scratch 2 000</v>
          </cell>
          <cell r="T1474" t="str">
            <v>62007Ets Mamadou GAMBY</v>
          </cell>
          <cell r="U1474" t="str">
            <v>62007Ets Mamadou GAMBYScratch 2 000</v>
          </cell>
          <cell r="V1474" t="str">
            <v>39244Scratch 2 000</v>
          </cell>
          <cell r="W1474" t="str">
            <v>2007Ets Mamadou GAMBY</v>
          </cell>
          <cell r="X1474" t="str">
            <v>2007Ets Mamadou GAMBYScratch 2 000</v>
          </cell>
        </row>
        <row r="1475">
          <cell r="I1475">
            <v>2007</v>
          </cell>
          <cell r="J1475" t="str">
            <v>Ets Mamadou GAMBYScratch 5 000</v>
          </cell>
          <cell r="L1475">
            <v>0</v>
          </cell>
          <cell r="M1475" t="str">
            <v>Ets Mamadou GAMBY</v>
          </cell>
          <cell r="N1475" t="str">
            <v>Ets Mamadou GAMBYScratch 5 000</v>
          </cell>
          <cell r="O1475" t="str">
            <v>Ets Mamadou GAMBY</v>
          </cell>
          <cell r="P1475" t="str">
            <v>Scratch 5 000</v>
          </cell>
          <cell r="Q1475" t="str">
            <v>62007</v>
          </cell>
          <cell r="R1475" t="str">
            <v>62007Scratch 5 000</v>
          </cell>
          <cell r="S1475" t="str">
            <v>2007Scratch 5 000</v>
          </cell>
          <cell r="T1475" t="str">
            <v>62007Ets Mamadou GAMBY</v>
          </cell>
          <cell r="U1475" t="str">
            <v>62007Ets Mamadou GAMBYScratch 5 000</v>
          </cell>
          <cell r="V1475" t="str">
            <v>39244Scratch 5 000</v>
          </cell>
          <cell r="W1475" t="str">
            <v>2007Ets Mamadou GAMBY</v>
          </cell>
          <cell r="X1475" t="str">
            <v>2007Ets Mamadou GAMBYScratch 5 000</v>
          </cell>
        </row>
        <row r="1476">
          <cell r="I1476">
            <v>2007</v>
          </cell>
          <cell r="J1476" t="str">
            <v>Compagnie Internationale de NegoceScratch 2 000</v>
          </cell>
          <cell r="L1476">
            <v>1</v>
          </cell>
          <cell r="M1476" t="str">
            <v>1Compagnie Internationale de Negoce</v>
          </cell>
          <cell r="N1476" t="str">
            <v>Compagnie Internationale de NegoceScratch 2 000</v>
          </cell>
          <cell r="O1476" t="str">
            <v>Compagnie Internationale de Negoce</v>
          </cell>
          <cell r="P1476" t="str">
            <v>Scratch 2 000</v>
          </cell>
          <cell r="Q1476" t="str">
            <v>62007</v>
          </cell>
          <cell r="R1476" t="str">
            <v>62007Scratch 2 000</v>
          </cell>
          <cell r="S1476" t="str">
            <v>2007Scratch 2 000</v>
          </cell>
          <cell r="T1476" t="str">
            <v>62007Compagnie Internationale de Negoce</v>
          </cell>
          <cell r="U1476" t="str">
            <v>62007Compagnie Internationale de NegoceScratch 2 000</v>
          </cell>
          <cell r="V1476" t="str">
            <v>39244Scratch 2 000</v>
          </cell>
          <cell r="W1476" t="str">
            <v>2007Compagnie Internationale de Negoce</v>
          </cell>
          <cell r="X1476" t="str">
            <v>2007Compagnie Internationale de NegoceScratch 2 000</v>
          </cell>
        </row>
        <row r="1477">
          <cell r="I1477">
            <v>2007</v>
          </cell>
          <cell r="J1477" t="str">
            <v>Compagnie Internationale de NegoceScratch 5 000</v>
          </cell>
          <cell r="L1477">
            <v>0</v>
          </cell>
          <cell r="M1477" t="str">
            <v>Compagnie Internationale de Negoce</v>
          </cell>
          <cell r="N1477" t="str">
            <v>Compagnie Internationale de NegoceScratch 5 000</v>
          </cell>
          <cell r="O1477" t="str">
            <v>Compagnie Internationale de Negoce</v>
          </cell>
          <cell r="P1477" t="str">
            <v>Scratch 5 000</v>
          </cell>
          <cell r="Q1477" t="str">
            <v>62007</v>
          </cell>
          <cell r="R1477" t="str">
            <v>62007Scratch 5 000</v>
          </cell>
          <cell r="S1477" t="str">
            <v>2007Scratch 5 000</v>
          </cell>
          <cell r="T1477" t="str">
            <v>62007Compagnie Internationale de Negoce</v>
          </cell>
          <cell r="U1477" t="str">
            <v>62007Compagnie Internationale de NegoceScratch 5 000</v>
          </cell>
          <cell r="V1477" t="str">
            <v>39244Scratch 5 000</v>
          </cell>
          <cell r="W1477" t="str">
            <v>2007Compagnie Internationale de Negoce</v>
          </cell>
          <cell r="X1477" t="str">
            <v>2007Compagnie Internationale de NegoceScratch 5 000</v>
          </cell>
        </row>
        <row r="1478">
          <cell r="I1478">
            <v>2007</v>
          </cell>
          <cell r="J1478" t="str">
            <v>Compagnie Internationale de NegoceScratch 10 000</v>
          </cell>
          <cell r="L1478">
            <v>0</v>
          </cell>
          <cell r="M1478" t="str">
            <v>Compagnie Internationale de Negoce</v>
          </cell>
          <cell r="N1478" t="str">
            <v>Compagnie Internationale de NegoceScratch 10 000</v>
          </cell>
          <cell r="O1478" t="str">
            <v>Compagnie Internationale de Negoce</v>
          </cell>
          <cell r="P1478" t="str">
            <v>Scratch 10 000</v>
          </cell>
          <cell r="Q1478" t="str">
            <v>62007</v>
          </cell>
          <cell r="R1478" t="str">
            <v>62007Scratch 10 000</v>
          </cell>
          <cell r="S1478" t="str">
            <v>2007Scratch 10 000</v>
          </cell>
          <cell r="T1478" t="str">
            <v>62007Compagnie Internationale de Negoce</v>
          </cell>
          <cell r="U1478" t="str">
            <v>62007Compagnie Internationale de NegoceScratch 10 000</v>
          </cell>
          <cell r="V1478" t="str">
            <v>39244Scratch 10 000</v>
          </cell>
          <cell r="W1478" t="str">
            <v>2007Compagnie Internationale de Negoce</v>
          </cell>
          <cell r="X1478" t="str">
            <v>2007Compagnie Internationale de NegoceScratch 10 000</v>
          </cell>
        </row>
        <row r="1479">
          <cell r="I1479">
            <v>2007</v>
          </cell>
          <cell r="J1479" t="str">
            <v>Compagnie Internationale de NegoceScratch 20 000</v>
          </cell>
          <cell r="L1479">
            <v>0</v>
          </cell>
          <cell r="M1479" t="str">
            <v>Compagnie Internationale de Negoce</v>
          </cell>
          <cell r="N1479" t="str">
            <v>Compagnie Internationale de NegoceScratch 20 000</v>
          </cell>
          <cell r="O1479" t="str">
            <v>Compagnie Internationale de Negoce</v>
          </cell>
          <cell r="P1479" t="str">
            <v>Scratch 20 000</v>
          </cell>
          <cell r="Q1479" t="str">
            <v>62007</v>
          </cell>
          <cell r="R1479" t="str">
            <v>62007Scratch 20 000</v>
          </cell>
          <cell r="S1479" t="str">
            <v>2007Scratch 20 000</v>
          </cell>
          <cell r="T1479" t="str">
            <v>62007Compagnie Internationale de Negoce</v>
          </cell>
          <cell r="U1479" t="str">
            <v>62007Compagnie Internationale de NegoceScratch 20 000</v>
          </cell>
          <cell r="V1479" t="str">
            <v>39244Scratch 20 000</v>
          </cell>
          <cell r="W1479" t="str">
            <v>2007Compagnie Internationale de Negoce</v>
          </cell>
          <cell r="X1479" t="str">
            <v>2007Compagnie Internationale de NegoceScratch 20 000</v>
          </cell>
        </row>
        <row r="1480">
          <cell r="I1480">
            <v>2007</v>
          </cell>
          <cell r="J1480" t="str">
            <v>ETS Boubacar TANDIAScratch 2 000</v>
          </cell>
          <cell r="L1480">
            <v>1</v>
          </cell>
          <cell r="M1480" t="str">
            <v>1ETS Boubacar TANDIA</v>
          </cell>
          <cell r="N1480" t="str">
            <v>ETS Boubacar TANDIAScratch 2 000</v>
          </cell>
          <cell r="O1480" t="str">
            <v>ETS Boubacar TANDIA</v>
          </cell>
          <cell r="P1480" t="str">
            <v>Scratch 2 000</v>
          </cell>
          <cell r="Q1480" t="str">
            <v>62007</v>
          </cell>
          <cell r="R1480" t="str">
            <v>62007Scratch 2 000</v>
          </cell>
          <cell r="S1480" t="str">
            <v>2007Scratch 2 000</v>
          </cell>
          <cell r="T1480" t="str">
            <v>62007ETS Boubacar TANDIA</v>
          </cell>
          <cell r="U1480" t="str">
            <v>62007ETS Boubacar TANDIAScratch 2 000</v>
          </cell>
          <cell r="V1480" t="str">
            <v>39244Scratch 2 000</v>
          </cell>
          <cell r="W1480" t="str">
            <v>2007ETS Boubacar TANDIA</v>
          </cell>
          <cell r="X1480" t="str">
            <v>2007ETS Boubacar TANDIAScratch 2 000</v>
          </cell>
        </row>
        <row r="1481">
          <cell r="I1481">
            <v>2007</v>
          </cell>
          <cell r="J1481" t="str">
            <v>ETS Boubacar TANDIAScratch 5 000</v>
          </cell>
          <cell r="L1481">
            <v>0</v>
          </cell>
          <cell r="M1481" t="str">
            <v>ETS Boubacar TANDIA</v>
          </cell>
          <cell r="N1481" t="str">
            <v>ETS Boubacar TANDIAScratch 5 000</v>
          </cell>
          <cell r="O1481" t="str">
            <v>ETS Boubacar TANDIA</v>
          </cell>
          <cell r="P1481" t="str">
            <v>Scratch 5 000</v>
          </cell>
          <cell r="Q1481" t="str">
            <v>62007</v>
          </cell>
          <cell r="R1481" t="str">
            <v>62007Scratch 5 000</v>
          </cell>
          <cell r="S1481" t="str">
            <v>2007Scratch 5 000</v>
          </cell>
          <cell r="T1481" t="str">
            <v>62007ETS Boubacar TANDIA</v>
          </cell>
          <cell r="U1481" t="str">
            <v>62007ETS Boubacar TANDIAScratch 5 000</v>
          </cell>
          <cell r="V1481" t="str">
            <v>39244Scratch 5 000</v>
          </cell>
          <cell r="W1481" t="str">
            <v>2007ETS Boubacar TANDIA</v>
          </cell>
          <cell r="X1481" t="str">
            <v>2007ETS Boubacar TANDIAScratch 5 000</v>
          </cell>
        </row>
        <row r="1482">
          <cell r="I1482">
            <v>2007</v>
          </cell>
          <cell r="J1482" t="str">
            <v>ETS Boubacar TANDIAScratch 10 000</v>
          </cell>
          <cell r="L1482">
            <v>0</v>
          </cell>
          <cell r="M1482" t="str">
            <v>ETS Boubacar TANDIA</v>
          </cell>
          <cell r="N1482" t="str">
            <v>ETS Boubacar TANDIAScratch 10 000</v>
          </cell>
          <cell r="O1482" t="str">
            <v>ETS Boubacar TANDIA</v>
          </cell>
          <cell r="P1482" t="str">
            <v>Scratch 10 000</v>
          </cell>
          <cell r="Q1482" t="str">
            <v>62007</v>
          </cell>
          <cell r="R1482" t="str">
            <v>62007Scratch 10 000</v>
          </cell>
          <cell r="S1482" t="str">
            <v>2007Scratch 10 000</v>
          </cell>
          <cell r="T1482" t="str">
            <v>62007ETS Boubacar TANDIA</v>
          </cell>
          <cell r="U1482" t="str">
            <v>62007ETS Boubacar TANDIAScratch 10 000</v>
          </cell>
          <cell r="V1482" t="str">
            <v>39244Scratch 10 000</v>
          </cell>
          <cell r="W1482" t="str">
            <v>2007ETS Boubacar TANDIA</v>
          </cell>
          <cell r="X1482" t="str">
            <v>2007ETS Boubacar TANDIAScratch 10 000</v>
          </cell>
        </row>
        <row r="1483">
          <cell r="I1483">
            <v>2007</v>
          </cell>
          <cell r="J1483" t="str">
            <v>ETS Boubacar TANDIAScratch 20 000</v>
          </cell>
          <cell r="L1483">
            <v>0</v>
          </cell>
          <cell r="M1483" t="str">
            <v>ETS Boubacar TANDIA</v>
          </cell>
          <cell r="N1483" t="str">
            <v>ETS Boubacar TANDIAScratch 20 000</v>
          </cell>
          <cell r="O1483" t="str">
            <v>ETS Boubacar TANDIA</v>
          </cell>
          <cell r="P1483" t="str">
            <v>Scratch 20 000</v>
          </cell>
          <cell r="Q1483" t="str">
            <v>62007</v>
          </cell>
          <cell r="R1483" t="str">
            <v>62007Scratch 20 000</v>
          </cell>
          <cell r="S1483" t="str">
            <v>2007Scratch 20 000</v>
          </cell>
          <cell r="T1483" t="str">
            <v>62007ETS Boubacar TANDIA</v>
          </cell>
          <cell r="U1483" t="str">
            <v>62007ETS Boubacar TANDIAScratch 20 000</v>
          </cell>
          <cell r="V1483" t="str">
            <v>39244Scratch 20 000</v>
          </cell>
          <cell r="W1483" t="str">
            <v>2007ETS Boubacar TANDIA</v>
          </cell>
          <cell r="X1483" t="str">
            <v>2007ETS Boubacar TANDIAScratch 20 000</v>
          </cell>
        </row>
        <row r="1484">
          <cell r="I1484">
            <v>2007</v>
          </cell>
          <cell r="J1484" t="str">
            <v>Bonneterie Nouvelle TelecomScratch 2 000</v>
          </cell>
          <cell r="L1484">
            <v>1</v>
          </cell>
          <cell r="M1484" t="str">
            <v>1Bonneterie Nouvelle Telecom</v>
          </cell>
          <cell r="N1484" t="str">
            <v>Bonneterie Nouvelle TelecomScratch 2 000</v>
          </cell>
          <cell r="O1484" t="str">
            <v>Bonneterie Nouvelle Telecom</v>
          </cell>
          <cell r="P1484" t="str">
            <v>Scratch 2 000</v>
          </cell>
          <cell r="Q1484" t="str">
            <v>62007</v>
          </cell>
          <cell r="R1484" t="str">
            <v>62007Scratch 2 000</v>
          </cell>
          <cell r="S1484" t="str">
            <v>2007Scratch 2 000</v>
          </cell>
          <cell r="T1484" t="str">
            <v>62007Bonneterie Nouvelle Telecom</v>
          </cell>
          <cell r="U1484" t="str">
            <v>62007Bonneterie Nouvelle TelecomScratch 2 000</v>
          </cell>
          <cell r="V1484" t="str">
            <v>39244Scratch 2 000</v>
          </cell>
          <cell r="W1484" t="str">
            <v>2007Bonneterie Nouvelle Telecom</v>
          </cell>
          <cell r="X1484" t="str">
            <v>2007Bonneterie Nouvelle TelecomScratch 2 000</v>
          </cell>
        </row>
        <row r="1485">
          <cell r="I1485">
            <v>2007</v>
          </cell>
          <cell r="J1485" t="str">
            <v>Bonneterie Nouvelle TelecomScratch 5 000</v>
          </cell>
          <cell r="L1485">
            <v>0</v>
          </cell>
          <cell r="M1485" t="str">
            <v>Bonneterie Nouvelle Telecom</v>
          </cell>
          <cell r="N1485" t="str">
            <v>Bonneterie Nouvelle TelecomScratch 5 000</v>
          </cell>
          <cell r="O1485" t="str">
            <v>Bonneterie Nouvelle Telecom</v>
          </cell>
          <cell r="P1485" t="str">
            <v>Scratch 5 000</v>
          </cell>
          <cell r="Q1485" t="str">
            <v>62007</v>
          </cell>
          <cell r="R1485" t="str">
            <v>62007Scratch 5 000</v>
          </cell>
          <cell r="S1485" t="str">
            <v>2007Scratch 5 000</v>
          </cell>
          <cell r="T1485" t="str">
            <v>62007Bonneterie Nouvelle Telecom</v>
          </cell>
          <cell r="U1485" t="str">
            <v>62007Bonneterie Nouvelle TelecomScratch 5 000</v>
          </cell>
          <cell r="V1485" t="str">
            <v>39244Scratch 5 000</v>
          </cell>
          <cell r="W1485" t="str">
            <v>2007Bonneterie Nouvelle Telecom</v>
          </cell>
          <cell r="X1485" t="str">
            <v>2007Bonneterie Nouvelle TelecomScratch 5 000</v>
          </cell>
        </row>
        <row r="1486">
          <cell r="I1486">
            <v>2007</v>
          </cell>
          <cell r="J1486" t="str">
            <v>Bonneterie Nouvelle TelecomScratch 20 000</v>
          </cell>
          <cell r="L1486">
            <v>0</v>
          </cell>
          <cell r="M1486" t="str">
            <v>Bonneterie Nouvelle Telecom</v>
          </cell>
          <cell r="N1486" t="str">
            <v>Bonneterie Nouvelle TelecomScratch 20 000</v>
          </cell>
          <cell r="O1486" t="str">
            <v>Bonneterie Nouvelle Telecom</v>
          </cell>
          <cell r="P1486" t="str">
            <v>Scratch 20 000</v>
          </cell>
          <cell r="Q1486" t="str">
            <v>62007</v>
          </cell>
          <cell r="R1486" t="str">
            <v>62007Scratch 20 000</v>
          </cell>
          <cell r="S1486" t="str">
            <v>2007Scratch 20 000</v>
          </cell>
          <cell r="T1486" t="str">
            <v>62007Bonneterie Nouvelle Telecom</v>
          </cell>
          <cell r="U1486" t="str">
            <v>62007Bonneterie Nouvelle TelecomScratch 20 000</v>
          </cell>
          <cell r="V1486" t="str">
            <v>39244Scratch 20 000</v>
          </cell>
          <cell r="W1486" t="str">
            <v>2007Bonneterie Nouvelle Telecom</v>
          </cell>
          <cell r="X1486" t="str">
            <v>2007Bonneterie Nouvelle TelecomScratch 20 000</v>
          </cell>
        </row>
        <row r="1487">
          <cell r="I1487">
            <v>2007</v>
          </cell>
          <cell r="J1487" t="str">
            <v>ANKA ServicesScratch 2 000</v>
          </cell>
          <cell r="L1487">
            <v>1</v>
          </cell>
          <cell r="M1487" t="str">
            <v>1ANKA Services</v>
          </cell>
          <cell r="N1487" t="str">
            <v>ANKA ServicesScratch 2 000</v>
          </cell>
          <cell r="O1487" t="str">
            <v>ANKA Services</v>
          </cell>
          <cell r="P1487" t="str">
            <v>Scratch 2 000</v>
          </cell>
          <cell r="Q1487" t="str">
            <v>62007</v>
          </cell>
          <cell r="R1487" t="str">
            <v>62007Scratch 2 000</v>
          </cell>
          <cell r="S1487" t="str">
            <v>2007Scratch 2 000</v>
          </cell>
          <cell r="T1487" t="str">
            <v>62007ANKA Services</v>
          </cell>
          <cell r="U1487" t="str">
            <v>62007ANKA ServicesScratch 2 000</v>
          </cell>
          <cell r="V1487" t="str">
            <v>39244Scratch 2 000</v>
          </cell>
          <cell r="W1487" t="str">
            <v>2007ANKA Services</v>
          </cell>
          <cell r="X1487" t="str">
            <v>2007ANKA ServicesScratch 2 000</v>
          </cell>
        </row>
        <row r="1488">
          <cell r="I1488">
            <v>2007</v>
          </cell>
          <cell r="J1488" t="str">
            <v>ANKA ServicesScratch 5 000</v>
          </cell>
          <cell r="L1488">
            <v>0</v>
          </cell>
          <cell r="M1488" t="str">
            <v>ANKA Services</v>
          </cell>
          <cell r="N1488" t="str">
            <v>ANKA ServicesScratch 5 000</v>
          </cell>
          <cell r="O1488" t="str">
            <v>ANKA Services</v>
          </cell>
          <cell r="P1488" t="str">
            <v>Scratch 5 000</v>
          </cell>
          <cell r="Q1488" t="str">
            <v>62007</v>
          </cell>
          <cell r="R1488" t="str">
            <v>62007Scratch 5 000</v>
          </cell>
          <cell r="S1488" t="str">
            <v>2007Scratch 5 000</v>
          </cell>
          <cell r="T1488" t="str">
            <v>62007ANKA Services</v>
          </cell>
          <cell r="U1488" t="str">
            <v>62007ANKA ServicesScratch 5 000</v>
          </cell>
          <cell r="V1488" t="str">
            <v>39244Scratch 5 000</v>
          </cell>
          <cell r="W1488" t="str">
            <v>2007ANKA Services</v>
          </cell>
          <cell r="X1488" t="str">
            <v>2007ANKA ServicesScratch 5 000</v>
          </cell>
        </row>
        <row r="1489">
          <cell r="I1489">
            <v>2007</v>
          </cell>
          <cell r="J1489" t="str">
            <v>ANKA ServicesScratch 20 000</v>
          </cell>
          <cell r="L1489">
            <v>0</v>
          </cell>
          <cell r="M1489" t="str">
            <v>ANKA Services</v>
          </cell>
          <cell r="N1489" t="str">
            <v>ANKA ServicesScratch 20 000</v>
          </cell>
          <cell r="O1489" t="str">
            <v>ANKA Services</v>
          </cell>
          <cell r="P1489" t="str">
            <v>Scratch 20 000</v>
          </cell>
          <cell r="Q1489" t="str">
            <v>62007</v>
          </cell>
          <cell r="R1489" t="str">
            <v>62007Scratch 20 000</v>
          </cell>
          <cell r="S1489" t="str">
            <v>2007Scratch 20 000</v>
          </cell>
          <cell r="T1489" t="str">
            <v>62007ANKA Services</v>
          </cell>
          <cell r="U1489" t="str">
            <v>62007ANKA ServicesScratch 20 000</v>
          </cell>
          <cell r="V1489" t="str">
            <v>39244Scratch 20 000</v>
          </cell>
          <cell r="W1489" t="str">
            <v>2007ANKA Services</v>
          </cell>
          <cell r="X1489" t="str">
            <v>2007ANKA ServicesScratch 20 000</v>
          </cell>
        </row>
        <row r="1490">
          <cell r="I1490">
            <v>2007</v>
          </cell>
          <cell r="J1490" t="str">
            <v>GEMATELScratch 2 000</v>
          </cell>
          <cell r="L1490">
            <v>1</v>
          </cell>
          <cell r="M1490" t="str">
            <v>1GEMATEL</v>
          </cell>
          <cell r="N1490" t="str">
            <v>GEMATELScratch 2 000</v>
          </cell>
          <cell r="O1490" t="str">
            <v>GEMATEL</v>
          </cell>
          <cell r="P1490" t="str">
            <v>Scratch 2 000</v>
          </cell>
          <cell r="Q1490" t="str">
            <v>62007</v>
          </cell>
          <cell r="R1490" t="str">
            <v>62007Scratch 2 000</v>
          </cell>
          <cell r="S1490" t="str">
            <v>2007Scratch 2 000</v>
          </cell>
          <cell r="T1490" t="str">
            <v>62007GEMATEL</v>
          </cell>
          <cell r="U1490" t="str">
            <v>62007GEMATELScratch 2 000</v>
          </cell>
          <cell r="V1490" t="str">
            <v>39244Scratch 2 000</v>
          </cell>
          <cell r="W1490" t="str">
            <v>2007GEMATEL</v>
          </cell>
          <cell r="X1490" t="str">
            <v>2007GEMATELScratch 2 000</v>
          </cell>
        </row>
        <row r="1491">
          <cell r="I1491">
            <v>2007</v>
          </cell>
          <cell r="J1491" t="str">
            <v>GEMATELScratch 5 000</v>
          </cell>
          <cell r="L1491">
            <v>0</v>
          </cell>
          <cell r="M1491" t="str">
            <v>GEMATEL</v>
          </cell>
          <cell r="N1491" t="str">
            <v>GEMATELScratch 5 000</v>
          </cell>
          <cell r="O1491" t="str">
            <v>GEMATEL</v>
          </cell>
          <cell r="P1491" t="str">
            <v>Scratch 5 000</v>
          </cell>
          <cell r="Q1491" t="str">
            <v>62007</v>
          </cell>
          <cell r="R1491" t="str">
            <v>62007Scratch 5 000</v>
          </cell>
          <cell r="S1491" t="str">
            <v>2007Scratch 5 000</v>
          </cell>
          <cell r="T1491" t="str">
            <v>62007GEMATEL</v>
          </cell>
          <cell r="U1491" t="str">
            <v>62007GEMATELScratch 5 000</v>
          </cell>
          <cell r="V1491" t="str">
            <v>39244Scratch 5 000</v>
          </cell>
          <cell r="W1491" t="str">
            <v>2007GEMATEL</v>
          </cell>
          <cell r="X1491" t="str">
            <v>2007GEMATELScratch 5 000</v>
          </cell>
        </row>
        <row r="1492">
          <cell r="I1492">
            <v>2007</v>
          </cell>
          <cell r="J1492" t="str">
            <v>GEMATELScratch 10 000</v>
          </cell>
          <cell r="L1492">
            <v>0</v>
          </cell>
          <cell r="M1492" t="str">
            <v>GEMATEL</v>
          </cell>
          <cell r="N1492" t="str">
            <v>GEMATELScratch 10 000</v>
          </cell>
          <cell r="O1492" t="str">
            <v>GEMATEL</v>
          </cell>
          <cell r="P1492" t="str">
            <v>Scratch 10 000</v>
          </cell>
          <cell r="Q1492" t="str">
            <v>62007</v>
          </cell>
          <cell r="R1492" t="str">
            <v>62007Scratch 10 000</v>
          </cell>
          <cell r="S1492" t="str">
            <v>2007Scratch 10 000</v>
          </cell>
          <cell r="T1492" t="str">
            <v>62007GEMATEL</v>
          </cell>
          <cell r="U1492" t="str">
            <v>62007GEMATELScratch 10 000</v>
          </cell>
          <cell r="V1492" t="str">
            <v>39244Scratch 10 000</v>
          </cell>
          <cell r="W1492" t="str">
            <v>2007GEMATEL</v>
          </cell>
          <cell r="X1492" t="str">
            <v>2007GEMATELScratch 10 000</v>
          </cell>
        </row>
        <row r="1493">
          <cell r="I1493">
            <v>2007</v>
          </cell>
          <cell r="J1493" t="str">
            <v>GEMATELScratch 20 000</v>
          </cell>
          <cell r="L1493">
            <v>0</v>
          </cell>
          <cell r="M1493" t="str">
            <v>GEMATEL</v>
          </cell>
          <cell r="N1493" t="str">
            <v>GEMATELScratch 20 000</v>
          </cell>
          <cell r="O1493" t="str">
            <v>GEMATEL</v>
          </cell>
          <cell r="P1493" t="str">
            <v>Scratch 20 000</v>
          </cell>
          <cell r="Q1493" t="str">
            <v>62007</v>
          </cell>
          <cell r="R1493" t="str">
            <v>62007Scratch 20 000</v>
          </cell>
          <cell r="S1493" t="str">
            <v>2007Scratch 20 000</v>
          </cell>
          <cell r="T1493" t="str">
            <v>62007GEMATEL</v>
          </cell>
          <cell r="U1493" t="str">
            <v>62007GEMATELScratch 20 000</v>
          </cell>
          <cell r="V1493" t="str">
            <v>39244Scratch 20 000</v>
          </cell>
          <cell r="W1493" t="str">
            <v>2007GEMATEL</v>
          </cell>
          <cell r="X1493" t="str">
            <v>2007GEMATELScratch 20 000</v>
          </cell>
        </row>
        <row r="1494">
          <cell r="I1494">
            <v>2007</v>
          </cell>
          <cell r="J1494" t="str">
            <v>STS GAMBY &amp; FRERES (SOGAF) SarlScratch 2 000</v>
          </cell>
          <cell r="L1494">
            <v>1</v>
          </cell>
          <cell r="M1494" t="str">
            <v>1STS GAMBY &amp; FRERES (SOGAF) Sarl</v>
          </cell>
          <cell r="N1494" t="str">
            <v>STS GAMBY &amp; FRERES (SOGAF) SarlScratch 2 000</v>
          </cell>
          <cell r="O1494" t="str">
            <v>STS GAMBY &amp; FRERES (SOGAF) Sarl</v>
          </cell>
          <cell r="P1494" t="str">
            <v>Scratch 2 000</v>
          </cell>
          <cell r="Q1494" t="str">
            <v>62007</v>
          </cell>
          <cell r="R1494" t="str">
            <v>62007Scratch 2 000</v>
          </cell>
          <cell r="S1494" t="str">
            <v>2007Scratch 2 000</v>
          </cell>
          <cell r="T1494" t="str">
            <v>62007STS GAMBY &amp; FRERES (SOGAF) Sarl</v>
          </cell>
          <cell r="U1494" t="str">
            <v>62007STS GAMBY &amp; FRERES (SOGAF) SarlScratch 2 000</v>
          </cell>
          <cell r="V1494" t="str">
            <v>39245Scratch 2 000</v>
          </cell>
          <cell r="W1494" t="str">
            <v>2007STS GAMBY &amp; FRERES (SOGAF) Sarl</v>
          </cell>
          <cell r="X1494" t="str">
            <v>2007STS GAMBY &amp; FRERES (SOGAF) SarlScratch 2 000</v>
          </cell>
        </row>
        <row r="1495">
          <cell r="I1495">
            <v>2007</v>
          </cell>
          <cell r="J1495" t="str">
            <v>STS GAMBY &amp; FRERES (SOGAF) SarlScratch 5 000</v>
          </cell>
          <cell r="L1495">
            <v>0</v>
          </cell>
          <cell r="M1495" t="str">
            <v>STS GAMBY &amp; FRERES (SOGAF) Sarl</v>
          </cell>
          <cell r="N1495" t="str">
            <v>STS GAMBY &amp; FRERES (SOGAF) SarlScratch 5 000</v>
          </cell>
          <cell r="O1495" t="str">
            <v>STS GAMBY &amp; FRERES (SOGAF) Sarl</v>
          </cell>
          <cell r="P1495" t="str">
            <v>Scratch 5 000</v>
          </cell>
          <cell r="Q1495" t="str">
            <v>62007</v>
          </cell>
          <cell r="R1495" t="str">
            <v>62007Scratch 5 000</v>
          </cell>
          <cell r="S1495" t="str">
            <v>2007Scratch 5 000</v>
          </cell>
          <cell r="T1495" t="str">
            <v>62007STS GAMBY &amp; FRERES (SOGAF) Sarl</v>
          </cell>
          <cell r="U1495" t="str">
            <v>62007STS GAMBY &amp; FRERES (SOGAF) SarlScratch 5 000</v>
          </cell>
          <cell r="V1495" t="str">
            <v>39245Scratch 5 000</v>
          </cell>
          <cell r="W1495" t="str">
            <v>2007STS GAMBY &amp; FRERES (SOGAF) Sarl</v>
          </cell>
          <cell r="X1495" t="str">
            <v>2007STS GAMBY &amp; FRERES (SOGAF) SarlScratch 5 000</v>
          </cell>
        </row>
        <row r="1496">
          <cell r="I1496">
            <v>2007</v>
          </cell>
          <cell r="J1496" t="str">
            <v>STS GAMBY &amp; FRERES (SOGAF) SarlScratch 10 000</v>
          </cell>
          <cell r="L1496">
            <v>0</v>
          </cell>
          <cell r="M1496" t="str">
            <v>STS GAMBY &amp; FRERES (SOGAF) Sarl</v>
          </cell>
          <cell r="N1496" t="str">
            <v>STS GAMBY &amp; FRERES (SOGAF) SarlScratch 10 000</v>
          </cell>
          <cell r="O1496" t="str">
            <v>STS GAMBY &amp; FRERES (SOGAF) Sarl</v>
          </cell>
          <cell r="P1496" t="str">
            <v>Scratch 10 000</v>
          </cell>
          <cell r="Q1496" t="str">
            <v>62007</v>
          </cell>
          <cell r="R1496" t="str">
            <v>62007Scratch 10 000</v>
          </cell>
          <cell r="S1496" t="str">
            <v>2007Scratch 10 000</v>
          </cell>
          <cell r="T1496" t="str">
            <v>62007STS GAMBY &amp; FRERES (SOGAF) Sarl</v>
          </cell>
          <cell r="U1496" t="str">
            <v>62007STS GAMBY &amp; FRERES (SOGAF) SarlScratch 10 000</v>
          </cell>
          <cell r="V1496" t="str">
            <v>39245Scratch 10 000</v>
          </cell>
          <cell r="W1496" t="str">
            <v>2007STS GAMBY &amp; FRERES (SOGAF) Sarl</v>
          </cell>
          <cell r="X1496" t="str">
            <v>2007STS GAMBY &amp; FRERES (SOGAF) SarlScratch 10 000</v>
          </cell>
        </row>
        <row r="1497">
          <cell r="I1497">
            <v>2007</v>
          </cell>
          <cell r="J1497" t="str">
            <v>STS GAMBY &amp; FRERES (SOGAF) SarlScratch 20 000</v>
          </cell>
          <cell r="L1497">
            <v>0</v>
          </cell>
          <cell r="M1497" t="str">
            <v>STS GAMBY &amp; FRERES (SOGAF) Sarl</v>
          </cell>
          <cell r="N1497" t="str">
            <v>STS GAMBY &amp; FRERES (SOGAF) SarlScratch 20 000</v>
          </cell>
          <cell r="O1497" t="str">
            <v>STS GAMBY &amp; FRERES (SOGAF) Sarl</v>
          </cell>
          <cell r="P1497" t="str">
            <v>Scratch 20 000</v>
          </cell>
          <cell r="Q1497" t="str">
            <v>62007</v>
          </cell>
          <cell r="R1497" t="str">
            <v>62007Scratch 20 000</v>
          </cell>
          <cell r="S1497" t="str">
            <v>2007Scratch 20 000</v>
          </cell>
          <cell r="T1497" t="str">
            <v>62007STS GAMBY &amp; FRERES (SOGAF) Sarl</v>
          </cell>
          <cell r="U1497" t="str">
            <v>62007STS GAMBY &amp; FRERES (SOGAF) SarlScratch 20 000</v>
          </cell>
          <cell r="V1497" t="str">
            <v>39245Scratch 20 000</v>
          </cell>
          <cell r="W1497" t="str">
            <v>2007STS GAMBY &amp; FRERES (SOGAF) Sarl</v>
          </cell>
          <cell r="X1497" t="str">
            <v>2007STS GAMBY &amp; FRERES (SOGAF) SarlScratch 20 000</v>
          </cell>
        </row>
        <row r="1498">
          <cell r="I1498">
            <v>2007</v>
          </cell>
          <cell r="J1498" t="str">
            <v>SOMAKOFFScratch 2 000</v>
          </cell>
          <cell r="L1498">
            <v>1</v>
          </cell>
          <cell r="M1498" t="str">
            <v>1SOMAKOFF</v>
          </cell>
          <cell r="N1498" t="str">
            <v>SOMAKOFFScratch 2 000</v>
          </cell>
          <cell r="O1498" t="str">
            <v>SOMAKOFF</v>
          </cell>
          <cell r="P1498" t="str">
            <v>Scratch 2 000</v>
          </cell>
          <cell r="Q1498" t="str">
            <v>62007</v>
          </cell>
          <cell r="R1498" t="str">
            <v>62007Scratch 2 000</v>
          </cell>
          <cell r="S1498" t="str">
            <v>2007Scratch 2 000</v>
          </cell>
          <cell r="T1498" t="str">
            <v>62007SOMAKOFF</v>
          </cell>
          <cell r="U1498" t="str">
            <v>62007SOMAKOFFScratch 2 000</v>
          </cell>
          <cell r="V1498" t="str">
            <v>39245Scratch 2 000</v>
          </cell>
          <cell r="W1498" t="str">
            <v>2007SOMAKOFF</v>
          </cell>
          <cell r="X1498" t="str">
            <v>2007SOMAKOFFScratch 2 000</v>
          </cell>
        </row>
        <row r="1499">
          <cell r="I1499">
            <v>2007</v>
          </cell>
          <cell r="J1499" t="str">
            <v>SOMAKOFFScratch 5 000</v>
          </cell>
          <cell r="L1499">
            <v>0</v>
          </cell>
          <cell r="M1499" t="str">
            <v>SOMAKOFF</v>
          </cell>
          <cell r="N1499" t="str">
            <v>SOMAKOFFScratch 5 000</v>
          </cell>
          <cell r="O1499" t="str">
            <v>SOMAKOFF</v>
          </cell>
          <cell r="P1499" t="str">
            <v>Scratch 5 000</v>
          </cell>
          <cell r="Q1499" t="str">
            <v>62007</v>
          </cell>
          <cell r="R1499" t="str">
            <v>62007Scratch 5 000</v>
          </cell>
          <cell r="S1499" t="str">
            <v>2007Scratch 5 000</v>
          </cell>
          <cell r="T1499" t="str">
            <v>62007SOMAKOFF</v>
          </cell>
          <cell r="U1499" t="str">
            <v>62007SOMAKOFFScratch 5 000</v>
          </cell>
          <cell r="V1499" t="str">
            <v>39245Scratch 5 000</v>
          </cell>
          <cell r="W1499" t="str">
            <v>2007SOMAKOFF</v>
          </cell>
          <cell r="X1499" t="str">
            <v>2007SOMAKOFFScratch 5 000</v>
          </cell>
        </row>
        <row r="1500">
          <cell r="I1500">
            <v>2007</v>
          </cell>
          <cell r="J1500" t="str">
            <v>SOMAKOFFScratch 20 000</v>
          </cell>
          <cell r="L1500">
            <v>0</v>
          </cell>
          <cell r="M1500" t="str">
            <v>SOMAKOFF</v>
          </cell>
          <cell r="N1500" t="str">
            <v>SOMAKOFFScratch 20 000</v>
          </cell>
          <cell r="O1500" t="str">
            <v>SOMAKOFF</v>
          </cell>
          <cell r="P1500" t="str">
            <v>Scratch 20 000</v>
          </cell>
          <cell r="Q1500" t="str">
            <v>62007</v>
          </cell>
          <cell r="R1500" t="str">
            <v>62007Scratch 20 000</v>
          </cell>
          <cell r="S1500" t="str">
            <v>2007Scratch 20 000</v>
          </cell>
          <cell r="T1500" t="str">
            <v>62007SOMAKOFF</v>
          </cell>
          <cell r="U1500" t="str">
            <v>62007SOMAKOFFScratch 20 000</v>
          </cell>
          <cell r="V1500" t="str">
            <v>39245Scratch 20 000</v>
          </cell>
          <cell r="W1500" t="str">
            <v>2007SOMAKOFF</v>
          </cell>
          <cell r="X1500" t="str">
            <v>2007SOMAKOFFScratch 20 000</v>
          </cell>
        </row>
        <row r="1501">
          <cell r="I1501">
            <v>2007</v>
          </cell>
          <cell r="J1501" t="str">
            <v>ANKA ServicesScratch 2 000</v>
          </cell>
          <cell r="L1501">
            <v>1</v>
          </cell>
          <cell r="M1501" t="str">
            <v>1ANKA Services</v>
          </cell>
          <cell r="N1501" t="str">
            <v>ANKA ServicesScratch 2 000</v>
          </cell>
          <cell r="O1501" t="str">
            <v>ANKA Services</v>
          </cell>
          <cell r="P1501" t="str">
            <v>Scratch 2 000</v>
          </cell>
          <cell r="Q1501" t="str">
            <v>62007</v>
          </cell>
          <cell r="R1501" t="str">
            <v>62007Scratch 2 000</v>
          </cell>
          <cell r="S1501" t="str">
            <v>2007Scratch 2 000</v>
          </cell>
          <cell r="T1501" t="str">
            <v>62007ANKA Services</v>
          </cell>
          <cell r="U1501" t="str">
            <v>62007ANKA ServicesScratch 2 000</v>
          </cell>
          <cell r="V1501" t="str">
            <v>39245Scratch 2 000</v>
          </cell>
          <cell r="W1501" t="str">
            <v>2007ANKA Services</v>
          </cell>
          <cell r="X1501" t="str">
            <v>2007ANKA ServicesScratch 2 000</v>
          </cell>
        </row>
        <row r="1502">
          <cell r="I1502">
            <v>2007</v>
          </cell>
          <cell r="J1502" t="str">
            <v>ANKA ServicesScratch 5 000</v>
          </cell>
          <cell r="L1502">
            <v>0</v>
          </cell>
          <cell r="M1502" t="str">
            <v>ANKA Services</v>
          </cell>
          <cell r="N1502" t="str">
            <v>ANKA ServicesScratch 5 000</v>
          </cell>
          <cell r="O1502" t="str">
            <v>ANKA Services</v>
          </cell>
          <cell r="P1502" t="str">
            <v>Scratch 5 000</v>
          </cell>
          <cell r="Q1502" t="str">
            <v>62007</v>
          </cell>
          <cell r="R1502" t="str">
            <v>62007Scratch 5 000</v>
          </cell>
          <cell r="S1502" t="str">
            <v>2007Scratch 5 000</v>
          </cell>
          <cell r="T1502" t="str">
            <v>62007ANKA Services</v>
          </cell>
          <cell r="U1502" t="str">
            <v>62007ANKA ServicesScratch 5 000</v>
          </cell>
          <cell r="V1502" t="str">
            <v>39245Scratch 5 000</v>
          </cell>
          <cell r="W1502" t="str">
            <v>2007ANKA Services</v>
          </cell>
          <cell r="X1502" t="str">
            <v>2007ANKA ServicesScratch 5 000</v>
          </cell>
        </row>
        <row r="1503">
          <cell r="I1503">
            <v>2007</v>
          </cell>
          <cell r="J1503" t="str">
            <v>SOLEIL LEVANTScratch 1 000</v>
          </cell>
          <cell r="L1503">
            <v>1</v>
          </cell>
          <cell r="M1503" t="str">
            <v>1SOLEIL LEVANT</v>
          </cell>
          <cell r="N1503" t="str">
            <v>SOLEIL LEVANTScratch 1 000</v>
          </cell>
          <cell r="O1503" t="str">
            <v>SOLEIL LEVANT</v>
          </cell>
          <cell r="P1503" t="str">
            <v>Scratch 1 000</v>
          </cell>
          <cell r="Q1503" t="str">
            <v>62007</v>
          </cell>
          <cell r="R1503" t="str">
            <v>62007Scratch 1 000</v>
          </cell>
          <cell r="S1503" t="str">
            <v>2007Scratch 1 000</v>
          </cell>
          <cell r="T1503" t="str">
            <v>62007SOLEIL LEVANT</v>
          </cell>
          <cell r="U1503" t="str">
            <v>62007SOLEIL LEVANTScratch 1 000</v>
          </cell>
          <cell r="V1503" t="str">
            <v>39245Scratch 1 000</v>
          </cell>
          <cell r="W1503" t="str">
            <v>2007SOLEIL LEVANT</v>
          </cell>
          <cell r="X1503" t="str">
            <v>2007SOLEIL LEVANTScratch 1 000</v>
          </cell>
        </row>
        <row r="1504">
          <cell r="I1504">
            <v>2007</v>
          </cell>
          <cell r="J1504" t="str">
            <v>Bonneterie Nouvelle TelecomScratch 1 000</v>
          </cell>
          <cell r="L1504">
            <v>1</v>
          </cell>
          <cell r="M1504" t="str">
            <v>1Bonneterie Nouvelle Telecom</v>
          </cell>
          <cell r="N1504" t="str">
            <v>Bonneterie Nouvelle TelecomScratch 1 000</v>
          </cell>
          <cell r="O1504" t="str">
            <v>Bonneterie Nouvelle Telecom</v>
          </cell>
          <cell r="P1504" t="str">
            <v>Scratch 1 000</v>
          </cell>
          <cell r="Q1504" t="str">
            <v>62007</v>
          </cell>
          <cell r="R1504" t="str">
            <v>62007Scratch 1 000</v>
          </cell>
          <cell r="S1504" t="str">
            <v>2007Scratch 1 000</v>
          </cell>
          <cell r="T1504" t="str">
            <v>62007Bonneterie Nouvelle Telecom</v>
          </cell>
          <cell r="U1504" t="str">
            <v>62007Bonneterie Nouvelle TelecomScratch 1 000</v>
          </cell>
          <cell r="V1504" t="str">
            <v>39245Scratch 1 000</v>
          </cell>
          <cell r="W1504" t="str">
            <v>2007Bonneterie Nouvelle Telecom</v>
          </cell>
          <cell r="X1504" t="str">
            <v>2007Bonneterie Nouvelle TelecomScratch 1 000</v>
          </cell>
        </row>
        <row r="1505">
          <cell r="I1505">
            <v>2007</v>
          </cell>
          <cell r="J1505" t="str">
            <v>GEMATELScratch 1 000</v>
          </cell>
          <cell r="L1505">
            <v>1</v>
          </cell>
          <cell r="M1505" t="str">
            <v>1GEMATEL</v>
          </cell>
          <cell r="N1505" t="str">
            <v>GEMATELScratch 1 000</v>
          </cell>
          <cell r="O1505" t="str">
            <v>GEMATEL</v>
          </cell>
          <cell r="P1505" t="str">
            <v>Scratch 1 000</v>
          </cell>
          <cell r="Q1505" t="str">
            <v>62007</v>
          </cell>
          <cell r="R1505" t="str">
            <v>62007Scratch 1 000</v>
          </cell>
          <cell r="S1505" t="str">
            <v>2007Scratch 1 000</v>
          </cell>
          <cell r="T1505" t="str">
            <v>62007GEMATEL</v>
          </cell>
          <cell r="U1505" t="str">
            <v>62007GEMATELScratch 1 000</v>
          </cell>
          <cell r="V1505" t="str">
            <v>39245Scratch 1 000</v>
          </cell>
          <cell r="W1505" t="str">
            <v>2007GEMATEL</v>
          </cell>
          <cell r="X1505" t="str">
            <v>2007GEMATELScratch 1 000</v>
          </cell>
        </row>
        <row r="1506">
          <cell r="I1506">
            <v>2007</v>
          </cell>
          <cell r="J1506" t="str">
            <v>ANKA ServicesScratch 1 000</v>
          </cell>
          <cell r="L1506">
            <v>1</v>
          </cell>
          <cell r="M1506" t="str">
            <v>1ANKA Services</v>
          </cell>
          <cell r="N1506" t="str">
            <v>ANKA ServicesScratch 1 000</v>
          </cell>
          <cell r="O1506" t="str">
            <v>ANKA Services</v>
          </cell>
          <cell r="P1506" t="str">
            <v>Scratch 1 000</v>
          </cell>
          <cell r="Q1506" t="str">
            <v>62007</v>
          </cell>
          <cell r="R1506" t="str">
            <v>62007Scratch 1 000</v>
          </cell>
          <cell r="S1506" t="str">
            <v>2007Scratch 1 000</v>
          </cell>
          <cell r="T1506" t="str">
            <v>62007ANKA Services</v>
          </cell>
          <cell r="U1506" t="str">
            <v>62007ANKA ServicesScratch 1 000</v>
          </cell>
          <cell r="V1506" t="str">
            <v>39245Scratch 1 000</v>
          </cell>
          <cell r="W1506" t="str">
            <v>2007ANKA Services</v>
          </cell>
          <cell r="X1506" t="str">
            <v>2007ANKA ServicesScratch 1 000</v>
          </cell>
        </row>
        <row r="1507">
          <cell r="I1507">
            <v>2007</v>
          </cell>
          <cell r="J1507" t="str">
            <v>STS GAMBY &amp; FRERES (SOGAF) SarlScratch 1 000</v>
          </cell>
          <cell r="L1507">
            <v>1</v>
          </cell>
          <cell r="M1507" t="str">
            <v>1STS GAMBY &amp; FRERES (SOGAF) Sarl</v>
          </cell>
          <cell r="N1507" t="str">
            <v>STS GAMBY &amp; FRERES (SOGAF) SarlScratch 1 000</v>
          </cell>
          <cell r="O1507" t="str">
            <v>STS GAMBY &amp; FRERES (SOGAF) Sarl</v>
          </cell>
          <cell r="P1507" t="str">
            <v>Scratch 1 000</v>
          </cell>
          <cell r="Q1507" t="str">
            <v>62007</v>
          </cell>
          <cell r="R1507" t="str">
            <v>62007Scratch 1 000</v>
          </cell>
          <cell r="S1507" t="str">
            <v>2007Scratch 1 000</v>
          </cell>
          <cell r="T1507" t="str">
            <v>62007STS GAMBY &amp; FRERES (SOGAF) Sarl</v>
          </cell>
          <cell r="U1507" t="str">
            <v>62007STS GAMBY &amp; FRERES (SOGAF) SarlScratch 1 000</v>
          </cell>
          <cell r="V1507" t="str">
            <v>39245Scratch 1 000</v>
          </cell>
          <cell r="W1507" t="str">
            <v>2007STS GAMBY &amp; FRERES (SOGAF) Sarl</v>
          </cell>
          <cell r="X1507" t="str">
            <v>2007STS GAMBY &amp; FRERES (SOGAF) SarlScratch 1 000</v>
          </cell>
        </row>
        <row r="1508">
          <cell r="I1508">
            <v>2007</v>
          </cell>
          <cell r="J1508" t="str">
            <v>Compagnie Internationale de NegoceScratch 1 000</v>
          </cell>
          <cell r="L1508">
            <v>1</v>
          </cell>
          <cell r="M1508" t="str">
            <v>1Compagnie Internationale de Negoce</v>
          </cell>
          <cell r="N1508" t="str">
            <v>Compagnie Internationale de NegoceScratch 1 000</v>
          </cell>
          <cell r="O1508" t="str">
            <v>Compagnie Internationale de Negoce</v>
          </cell>
          <cell r="P1508" t="str">
            <v>Scratch 1 000</v>
          </cell>
          <cell r="Q1508" t="str">
            <v>62007</v>
          </cell>
          <cell r="R1508" t="str">
            <v>62007Scratch 1 000</v>
          </cell>
          <cell r="S1508" t="str">
            <v>2007Scratch 1 000</v>
          </cell>
          <cell r="T1508" t="str">
            <v>62007Compagnie Internationale de Negoce</v>
          </cell>
          <cell r="U1508" t="str">
            <v>62007Compagnie Internationale de NegoceScratch 1 000</v>
          </cell>
          <cell r="V1508" t="str">
            <v>39246Scratch 1 000</v>
          </cell>
          <cell r="W1508" t="str">
            <v>2007Compagnie Internationale de Negoce</v>
          </cell>
          <cell r="X1508" t="str">
            <v>2007Compagnie Internationale de NegoceScratch 1 000</v>
          </cell>
        </row>
        <row r="1509">
          <cell r="I1509">
            <v>2007</v>
          </cell>
          <cell r="J1509" t="str">
            <v>Compagnie Internationale de NegoceScratch 2 000</v>
          </cell>
          <cell r="L1509">
            <v>0</v>
          </cell>
          <cell r="M1509" t="str">
            <v>Compagnie Internationale de Negoce</v>
          </cell>
          <cell r="N1509" t="str">
            <v>Compagnie Internationale de NegoceScratch 2 000</v>
          </cell>
          <cell r="O1509" t="str">
            <v>Compagnie Internationale de Negoce</v>
          </cell>
          <cell r="P1509" t="str">
            <v>Scratch 2 000</v>
          </cell>
          <cell r="Q1509" t="str">
            <v>62007</v>
          </cell>
          <cell r="R1509" t="str">
            <v>62007Scratch 2 000</v>
          </cell>
          <cell r="S1509" t="str">
            <v>2007Scratch 2 000</v>
          </cell>
          <cell r="T1509" t="str">
            <v>62007Compagnie Internationale de Negoce</v>
          </cell>
          <cell r="U1509" t="str">
            <v>62007Compagnie Internationale de NegoceScratch 2 000</v>
          </cell>
          <cell r="V1509" t="str">
            <v>39246Scratch 2 000</v>
          </cell>
          <cell r="W1509" t="str">
            <v>2007Compagnie Internationale de Negoce</v>
          </cell>
          <cell r="X1509" t="str">
            <v>2007Compagnie Internationale de NegoceScratch 2 000</v>
          </cell>
        </row>
        <row r="1510">
          <cell r="I1510">
            <v>2007</v>
          </cell>
          <cell r="J1510" t="str">
            <v>Compagnie Internationale de NegoceScratch 5 000</v>
          </cell>
          <cell r="L1510">
            <v>0</v>
          </cell>
          <cell r="M1510" t="str">
            <v>Compagnie Internationale de Negoce</v>
          </cell>
          <cell r="N1510" t="str">
            <v>Compagnie Internationale de NegoceScratch 5 000</v>
          </cell>
          <cell r="O1510" t="str">
            <v>Compagnie Internationale de Negoce</v>
          </cell>
          <cell r="P1510" t="str">
            <v>Scratch 5 000</v>
          </cell>
          <cell r="Q1510" t="str">
            <v>62007</v>
          </cell>
          <cell r="R1510" t="str">
            <v>62007Scratch 5 000</v>
          </cell>
          <cell r="S1510" t="str">
            <v>2007Scratch 5 000</v>
          </cell>
          <cell r="T1510" t="str">
            <v>62007Compagnie Internationale de Negoce</v>
          </cell>
          <cell r="U1510" t="str">
            <v>62007Compagnie Internationale de NegoceScratch 5 000</v>
          </cell>
          <cell r="V1510" t="str">
            <v>39246Scratch 5 000</v>
          </cell>
          <cell r="W1510" t="str">
            <v>2007Compagnie Internationale de Negoce</v>
          </cell>
          <cell r="X1510" t="str">
            <v>2007Compagnie Internationale de NegoceScratch 5 000</v>
          </cell>
        </row>
        <row r="1511">
          <cell r="I1511">
            <v>2007</v>
          </cell>
          <cell r="J1511" t="str">
            <v>GEMATELScratch 1 000</v>
          </cell>
          <cell r="L1511">
            <v>1</v>
          </cell>
          <cell r="M1511" t="str">
            <v>1GEMATEL</v>
          </cell>
          <cell r="N1511" t="str">
            <v>GEMATELScratch 1 000</v>
          </cell>
          <cell r="O1511" t="str">
            <v>GEMATEL</v>
          </cell>
          <cell r="P1511" t="str">
            <v>Scratch 1 000</v>
          </cell>
          <cell r="Q1511" t="str">
            <v>62007</v>
          </cell>
          <cell r="R1511" t="str">
            <v>62007Scratch 1 000</v>
          </cell>
          <cell r="S1511" t="str">
            <v>2007Scratch 1 000</v>
          </cell>
          <cell r="T1511" t="str">
            <v>62007GEMATEL</v>
          </cell>
          <cell r="U1511" t="str">
            <v>62007GEMATELScratch 1 000</v>
          </cell>
          <cell r="V1511" t="str">
            <v>39246Scratch 1 000</v>
          </cell>
          <cell r="W1511" t="str">
            <v>2007GEMATEL</v>
          </cell>
          <cell r="X1511" t="str">
            <v>2007GEMATELScratch 1 000</v>
          </cell>
        </row>
        <row r="1512">
          <cell r="I1512">
            <v>2007</v>
          </cell>
          <cell r="J1512" t="str">
            <v>GEMATELScratch 2 000</v>
          </cell>
          <cell r="L1512">
            <v>0</v>
          </cell>
          <cell r="M1512" t="str">
            <v>GEMATEL</v>
          </cell>
          <cell r="N1512" t="str">
            <v>GEMATELScratch 2 000</v>
          </cell>
          <cell r="O1512" t="str">
            <v>GEMATEL</v>
          </cell>
          <cell r="P1512" t="str">
            <v>Scratch 2 000</v>
          </cell>
          <cell r="Q1512" t="str">
            <v>62007</v>
          </cell>
          <cell r="R1512" t="str">
            <v>62007Scratch 2 000</v>
          </cell>
          <cell r="S1512" t="str">
            <v>2007Scratch 2 000</v>
          </cell>
          <cell r="T1512" t="str">
            <v>62007GEMATEL</v>
          </cell>
          <cell r="U1512" t="str">
            <v>62007GEMATELScratch 2 000</v>
          </cell>
          <cell r="V1512" t="str">
            <v>39246Scratch 2 000</v>
          </cell>
          <cell r="W1512" t="str">
            <v>2007GEMATEL</v>
          </cell>
          <cell r="X1512" t="str">
            <v>2007GEMATELScratch 2 000</v>
          </cell>
        </row>
        <row r="1513">
          <cell r="I1513">
            <v>2007</v>
          </cell>
          <cell r="J1513" t="str">
            <v>GEMATELScratch 5 000</v>
          </cell>
          <cell r="L1513">
            <v>0</v>
          </cell>
          <cell r="M1513" t="str">
            <v>GEMATEL</v>
          </cell>
          <cell r="N1513" t="str">
            <v>GEMATELScratch 5 000</v>
          </cell>
          <cell r="O1513" t="str">
            <v>GEMATEL</v>
          </cell>
          <cell r="P1513" t="str">
            <v>Scratch 5 000</v>
          </cell>
          <cell r="Q1513" t="str">
            <v>62007</v>
          </cell>
          <cell r="R1513" t="str">
            <v>62007Scratch 5 000</v>
          </cell>
          <cell r="S1513" t="str">
            <v>2007Scratch 5 000</v>
          </cell>
          <cell r="T1513" t="str">
            <v>62007GEMATEL</v>
          </cell>
          <cell r="U1513" t="str">
            <v>62007GEMATELScratch 5 000</v>
          </cell>
          <cell r="V1513" t="str">
            <v>39246Scratch 5 000</v>
          </cell>
          <cell r="W1513" t="str">
            <v>2007GEMATEL</v>
          </cell>
          <cell r="X1513" t="str">
            <v>2007GEMATELScratch 5 000</v>
          </cell>
        </row>
        <row r="1514">
          <cell r="I1514">
            <v>2007</v>
          </cell>
          <cell r="J1514" t="str">
            <v>GEMATELScratch 20 000</v>
          </cell>
          <cell r="L1514">
            <v>0</v>
          </cell>
          <cell r="M1514" t="str">
            <v>GEMATEL</v>
          </cell>
          <cell r="N1514" t="str">
            <v>GEMATELScratch 20 000</v>
          </cell>
          <cell r="O1514" t="str">
            <v>GEMATEL</v>
          </cell>
          <cell r="P1514" t="str">
            <v>Scratch 20 000</v>
          </cell>
          <cell r="Q1514" t="str">
            <v>62007</v>
          </cell>
          <cell r="R1514" t="str">
            <v>62007Scratch 20 000</v>
          </cell>
          <cell r="S1514" t="str">
            <v>2007Scratch 20 000</v>
          </cell>
          <cell r="T1514" t="str">
            <v>62007GEMATEL</v>
          </cell>
          <cell r="U1514" t="str">
            <v>62007GEMATELScratch 20 000</v>
          </cell>
          <cell r="V1514" t="str">
            <v>39246Scratch 20 000</v>
          </cell>
          <cell r="W1514" t="str">
            <v>2007GEMATEL</v>
          </cell>
          <cell r="X1514" t="str">
            <v>2007GEMATELScratch 20 000</v>
          </cell>
        </row>
        <row r="1515">
          <cell r="I1515">
            <v>2007</v>
          </cell>
          <cell r="J1515" t="str">
            <v>STS GAMBY &amp; FRERES (SOGAF) SarlScratch 1 000</v>
          </cell>
          <cell r="L1515">
            <v>1</v>
          </cell>
          <cell r="M1515" t="str">
            <v>1STS GAMBY &amp; FRERES (SOGAF) Sarl</v>
          </cell>
          <cell r="N1515" t="str">
            <v>STS GAMBY &amp; FRERES (SOGAF) SarlScratch 1 000</v>
          </cell>
          <cell r="O1515" t="str">
            <v>STS GAMBY &amp; FRERES (SOGAF) Sarl</v>
          </cell>
          <cell r="P1515" t="str">
            <v>Scratch 1 000</v>
          </cell>
          <cell r="Q1515" t="str">
            <v>62007</v>
          </cell>
          <cell r="R1515" t="str">
            <v>62007Scratch 1 000</v>
          </cell>
          <cell r="S1515" t="str">
            <v>2007Scratch 1 000</v>
          </cell>
          <cell r="T1515" t="str">
            <v>62007STS GAMBY &amp; FRERES (SOGAF) Sarl</v>
          </cell>
          <cell r="U1515" t="str">
            <v>62007STS GAMBY &amp; FRERES (SOGAF) SarlScratch 1 000</v>
          </cell>
          <cell r="V1515" t="str">
            <v>39246Scratch 1 000</v>
          </cell>
          <cell r="W1515" t="str">
            <v>2007STS GAMBY &amp; FRERES (SOGAF) Sarl</v>
          </cell>
          <cell r="X1515" t="str">
            <v>2007STS GAMBY &amp; FRERES (SOGAF) SarlScratch 1 000</v>
          </cell>
        </row>
        <row r="1516">
          <cell r="I1516">
            <v>2007</v>
          </cell>
          <cell r="J1516" t="str">
            <v>STS GAMBY &amp; FRERES (SOGAF) SarlScratch 2 000</v>
          </cell>
          <cell r="L1516">
            <v>0</v>
          </cell>
          <cell r="M1516" t="str">
            <v>STS GAMBY &amp; FRERES (SOGAF) Sarl</v>
          </cell>
          <cell r="N1516" t="str">
            <v>STS GAMBY &amp; FRERES (SOGAF) SarlScratch 2 000</v>
          </cell>
          <cell r="O1516" t="str">
            <v>STS GAMBY &amp; FRERES (SOGAF) Sarl</v>
          </cell>
          <cell r="P1516" t="str">
            <v>Scratch 2 000</v>
          </cell>
          <cell r="Q1516" t="str">
            <v>62007</v>
          </cell>
          <cell r="R1516" t="str">
            <v>62007Scratch 2 000</v>
          </cell>
          <cell r="S1516" t="str">
            <v>2007Scratch 2 000</v>
          </cell>
          <cell r="T1516" t="str">
            <v>62007STS GAMBY &amp; FRERES (SOGAF) Sarl</v>
          </cell>
          <cell r="U1516" t="str">
            <v>62007STS GAMBY &amp; FRERES (SOGAF) SarlScratch 2 000</v>
          </cell>
          <cell r="V1516" t="str">
            <v>39246Scratch 2 000</v>
          </cell>
          <cell r="W1516" t="str">
            <v>2007STS GAMBY &amp; FRERES (SOGAF) Sarl</v>
          </cell>
          <cell r="X1516" t="str">
            <v>2007STS GAMBY &amp; FRERES (SOGAF) SarlScratch 2 000</v>
          </cell>
        </row>
        <row r="1517">
          <cell r="I1517">
            <v>2007</v>
          </cell>
          <cell r="J1517" t="str">
            <v>SOLEIL LEVANTScratch 1 000</v>
          </cell>
          <cell r="L1517">
            <v>1</v>
          </cell>
          <cell r="M1517" t="str">
            <v>1SOLEIL LEVANT</v>
          </cell>
          <cell r="N1517" t="str">
            <v>SOLEIL LEVANTScratch 1 000</v>
          </cell>
          <cell r="O1517" t="str">
            <v>SOLEIL LEVANT</v>
          </cell>
          <cell r="P1517" t="str">
            <v>Scratch 1 000</v>
          </cell>
          <cell r="Q1517" t="str">
            <v>62007</v>
          </cell>
          <cell r="R1517" t="str">
            <v>62007Scratch 1 000</v>
          </cell>
          <cell r="S1517" t="str">
            <v>2007Scratch 1 000</v>
          </cell>
          <cell r="T1517" t="str">
            <v>62007SOLEIL LEVANT</v>
          </cell>
          <cell r="U1517" t="str">
            <v>62007SOLEIL LEVANTScratch 1 000</v>
          </cell>
          <cell r="V1517" t="str">
            <v>39246Scratch 1 000</v>
          </cell>
          <cell r="W1517" t="str">
            <v>2007SOLEIL LEVANT</v>
          </cell>
          <cell r="X1517" t="str">
            <v>2007SOLEIL LEVANTScratch 1 000</v>
          </cell>
        </row>
        <row r="1518">
          <cell r="I1518">
            <v>2007</v>
          </cell>
          <cell r="J1518" t="str">
            <v>ETS Boubacar TANDIAScratch 1 000</v>
          </cell>
          <cell r="L1518">
            <v>1</v>
          </cell>
          <cell r="M1518" t="str">
            <v>1ETS Boubacar TANDIA</v>
          </cell>
          <cell r="N1518" t="str">
            <v>ETS Boubacar TANDIAScratch 1 000</v>
          </cell>
          <cell r="O1518" t="str">
            <v>ETS Boubacar TANDIA</v>
          </cell>
          <cell r="P1518" t="str">
            <v>Scratch 1 000</v>
          </cell>
          <cell r="Q1518" t="str">
            <v>62007</v>
          </cell>
          <cell r="R1518" t="str">
            <v>62007Scratch 1 000</v>
          </cell>
          <cell r="S1518" t="str">
            <v>2007Scratch 1 000</v>
          </cell>
          <cell r="T1518" t="str">
            <v>62007ETS Boubacar TANDIA</v>
          </cell>
          <cell r="U1518" t="str">
            <v>62007ETS Boubacar TANDIAScratch 1 000</v>
          </cell>
          <cell r="V1518" t="str">
            <v>39246Scratch 1 000</v>
          </cell>
          <cell r="W1518" t="str">
            <v>2007ETS Boubacar TANDIA</v>
          </cell>
          <cell r="X1518" t="str">
            <v>2007ETS Boubacar TANDIAScratch 1 000</v>
          </cell>
        </row>
        <row r="1519">
          <cell r="I1519">
            <v>2007</v>
          </cell>
          <cell r="J1519" t="str">
            <v>ANKA ServicesScratch 1 000</v>
          </cell>
          <cell r="L1519">
            <v>1</v>
          </cell>
          <cell r="M1519" t="str">
            <v>1ANKA Services</v>
          </cell>
          <cell r="N1519" t="str">
            <v>ANKA ServicesScratch 1 000</v>
          </cell>
          <cell r="O1519" t="str">
            <v>ANKA Services</v>
          </cell>
          <cell r="P1519" t="str">
            <v>Scratch 1 000</v>
          </cell>
          <cell r="Q1519" t="str">
            <v>62007</v>
          </cell>
          <cell r="R1519" t="str">
            <v>62007Scratch 1 000</v>
          </cell>
          <cell r="S1519" t="str">
            <v>2007Scratch 1 000</v>
          </cell>
          <cell r="T1519" t="str">
            <v>62007ANKA Services</v>
          </cell>
          <cell r="U1519" t="str">
            <v>62007ANKA ServicesScratch 1 000</v>
          </cell>
          <cell r="V1519" t="str">
            <v>39246Scratch 1 000</v>
          </cell>
          <cell r="W1519" t="str">
            <v>2007ANKA Services</v>
          </cell>
          <cell r="X1519" t="str">
            <v>2007ANKA ServicesScratch 1 000</v>
          </cell>
        </row>
        <row r="1520">
          <cell r="I1520">
            <v>2007</v>
          </cell>
          <cell r="J1520" t="str">
            <v>SOMAKOFFScratch 1 000</v>
          </cell>
          <cell r="L1520">
            <v>1</v>
          </cell>
          <cell r="M1520" t="str">
            <v>1SOMAKOFF</v>
          </cell>
          <cell r="N1520" t="str">
            <v>SOMAKOFFScratch 1 000</v>
          </cell>
          <cell r="O1520" t="str">
            <v>SOMAKOFF</v>
          </cell>
          <cell r="P1520" t="str">
            <v>Scratch 1 000</v>
          </cell>
          <cell r="Q1520" t="str">
            <v>62007</v>
          </cell>
          <cell r="R1520" t="str">
            <v>62007Scratch 1 000</v>
          </cell>
          <cell r="S1520" t="str">
            <v>2007Scratch 1 000</v>
          </cell>
          <cell r="T1520" t="str">
            <v>62007SOMAKOFF</v>
          </cell>
          <cell r="U1520" t="str">
            <v>62007SOMAKOFFScratch 1 000</v>
          </cell>
          <cell r="V1520" t="str">
            <v>39246Scratch 1 000</v>
          </cell>
          <cell r="W1520" t="str">
            <v>2007SOMAKOFF</v>
          </cell>
          <cell r="X1520" t="str">
            <v>2007SOMAKOFFScratch 1 000</v>
          </cell>
        </row>
        <row r="1521">
          <cell r="I1521">
            <v>2007</v>
          </cell>
          <cell r="J1521" t="str">
            <v>GEMATELScratch 1 000</v>
          </cell>
          <cell r="L1521">
            <v>1</v>
          </cell>
          <cell r="M1521" t="str">
            <v>1GEMATEL</v>
          </cell>
          <cell r="N1521" t="str">
            <v>GEMATELScratch 1 000</v>
          </cell>
          <cell r="O1521" t="str">
            <v>GEMATEL</v>
          </cell>
          <cell r="P1521" t="str">
            <v>Scratch 1 000</v>
          </cell>
          <cell r="Q1521" t="str">
            <v>62007</v>
          </cell>
          <cell r="R1521" t="str">
            <v>62007Scratch 1 000</v>
          </cell>
          <cell r="S1521" t="str">
            <v>2007Scratch 1 000</v>
          </cell>
          <cell r="T1521" t="str">
            <v>62007GEMATEL</v>
          </cell>
          <cell r="U1521" t="str">
            <v>62007GEMATELScratch 1 000</v>
          </cell>
          <cell r="V1521" t="str">
            <v>39246Scratch 1 000</v>
          </cell>
          <cell r="W1521" t="str">
            <v>2007GEMATEL</v>
          </cell>
          <cell r="X1521" t="str">
            <v>2007GEMATELScratch 1 000</v>
          </cell>
        </row>
        <row r="1522">
          <cell r="I1522">
            <v>2007</v>
          </cell>
          <cell r="J1522" t="str">
            <v>GEMATELScratch 2 000</v>
          </cell>
          <cell r="L1522">
            <v>0</v>
          </cell>
          <cell r="M1522" t="str">
            <v>GEMATEL</v>
          </cell>
          <cell r="N1522" t="str">
            <v>GEMATELScratch 2 000</v>
          </cell>
          <cell r="O1522" t="str">
            <v>GEMATEL</v>
          </cell>
          <cell r="P1522" t="str">
            <v>Scratch 2 000</v>
          </cell>
          <cell r="Q1522" t="str">
            <v>62007</v>
          </cell>
          <cell r="R1522" t="str">
            <v>62007Scratch 2 000</v>
          </cell>
          <cell r="S1522" t="str">
            <v>2007Scratch 2 000</v>
          </cell>
          <cell r="T1522" t="str">
            <v>62007GEMATEL</v>
          </cell>
          <cell r="U1522" t="str">
            <v>62007GEMATELScratch 2 000</v>
          </cell>
          <cell r="V1522" t="str">
            <v>39246Scratch 2 000</v>
          </cell>
          <cell r="W1522" t="str">
            <v>2007GEMATEL</v>
          </cell>
          <cell r="X1522" t="str">
            <v>2007GEMATELScratch 2 000</v>
          </cell>
        </row>
        <row r="1523">
          <cell r="I1523">
            <v>2007</v>
          </cell>
          <cell r="J1523" t="str">
            <v>GEMATELScratch 5 000</v>
          </cell>
          <cell r="L1523">
            <v>0</v>
          </cell>
          <cell r="M1523" t="str">
            <v>GEMATEL</v>
          </cell>
          <cell r="N1523" t="str">
            <v>GEMATELScratch 5 000</v>
          </cell>
          <cell r="O1523" t="str">
            <v>GEMATEL</v>
          </cell>
          <cell r="P1523" t="str">
            <v>Scratch 5 000</v>
          </cell>
          <cell r="Q1523" t="str">
            <v>62007</v>
          </cell>
          <cell r="R1523" t="str">
            <v>62007Scratch 5 000</v>
          </cell>
          <cell r="S1523" t="str">
            <v>2007Scratch 5 000</v>
          </cell>
          <cell r="T1523" t="str">
            <v>62007GEMATEL</v>
          </cell>
          <cell r="U1523" t="str">
            <v>62007GEMATELScratch 5 000</v>
          </cell>
          <cell r="V1523" t="str">
            <v>39246Scratch 5 000</v>
          </cell>
          <cell r="W1523" t="str">
            <v>2007GEMATEL</v>
          </cell>
          <cell r="X1523" t="str">
            <v>2007GEMATELScratch 5 000</v>
          </cell>
        </row>
        <row r="1524">
          <cell r="I1524">
            <v>2007</v>
          </cell>
          <cell r="J1524" t="str">
            <v>GEMATELScratch 10 000</v>
          </cell>
          <cell r="L1524">
            <v>0</v>
          </cell>
          <cell r="M1524" t="str">
            <v>GEMATEL</v>
          </cell>
          <cell r="N1524" t="str">
            <v>GEMATELScratch 10 000</v>
          </cell>
          <cell r="O1524" t="str">
            <v>GEMATEL</v>
          </cell>
          <cell r="P1524" t="str">
            <v>Scratch 10 000</v>
          </cell>
          <cell r="Q1524" t="str">
            <v>62007</v>
          </cell>
          <cell r="R1524" t="str">
            <v>62007Scratch 10 000</v>
          </cell>
          <cell r="S1524" t="str">
            <v>2007Scratch 10 000</v>
          </cell>
          <cell r="T1524" t="str">
            <v>62007GEMATEL</v>
          </cell>
          <cell r="U1524" t="str">
            <v>62007GEMATELScratch 10 000</v>
          </cell>
          <cell r="V1524" t="str">
            <v>39246Scratch 10 000</v>
          </cell>
          <cell r="W1524" t="str">
            <v>2007GEMATEL</v>
          </cell>
          <cell r="X1524" t="str">
            <v>2007GEMATELScratch 10 000</v>
          </cell>
        </row>
        <row r="1525">
          <cell r="I1525">
            <v>2007</v>
          </cell>
          <cell r="J1525" t="str">
            <v>GEMATELScratch 20 000</v>
          </cell>
          <cell r="L1525">
            <v>0</v>
          </cell>
          <cell r="M1525" t="str">
            <v>GEMATEL</v>
          </cell>
          <cell r="N1525" t="str">
            <v>GEMATELScratch 20 000</v>
          </cell>
          <cell r="O1525" t="str">
            <v>GEMATEL</v>
          </cell>
          <cell r="P1525" t="str">
            <v>Scratch 20 000</v>
          </cell>
          <cell r="Q1525" t="str">
            <v>62007</v>
          </cell>
          <cell r="R1525" t="str">
            <v>62007Scratch 20 000</v>
          </cell>
          <cell r="S1525" t="str">
            <v>2007Scratch 20 000</v>
          </cell>
          <cell r="T1525" t="str">
            <v>62007GEMATEL</v>
          </cell>
          <cell r="U1525" t="str">
            <v>62007GEMATELScratch 20 000</v>
          </cell>
          <cell r="V1525" t="str">
            <v>39246Scratch 20 000</v>
          </cell>
          <cell r="W1525" t="str">
            <v>2007GEMATEL</v>
          </cell>
          <cell r="X1525" t="str">
            <v>2007GEMATELScratch 20 000</v>
          </cell>
        </row>
        <row r="1526">
          <cell r="I1526">
            <v>2007</v>
          </cell>
          <cell r="J1526" t="str">
            <v>MALI COM SarlScratch 1 000</v>
          </cell>
          <cell r="L1526">
            <v>1</v>
          </cell>
          <cell r="M1526" t="str">
            <v>1MALI COM Sarl</v>
          </cell>
          <cell r="N1526" t="str">
            <v>MALI COM SarlScratch 1 000</v>
          </cell>
          <cell r="O1526" t="str">
            <v>MALI COM Sarl</v>
          </cell>
          <cell r="P1526" t="str">
            <v>Scratch 1 000</v>
          </cell>
          <cell r="Q1526" t="str">
            <v>62007</v>
          </cell>
          <cell r="R1526" t="str">
            <v>62007Scratch 1 000</v>
          </cell>
          <cell r="S1526" t="str">
            <v>2007Scratch 1 000</v>
          </cell>
          <cell r="T1526" t="str">
            <v>62007MALI COM Sarl</v>
          </cell>
          <cell r="U1526" t="str">
            <v>62007MALI COM SarlScratch 1 000</v>
          </cell>
          <cell r="V1526" t="str">
            <v>39246Scratch 1 000</v>
          </cell>
          <cell r="W1526" t="str">
            <v>2007MALI COM Sarl</v>
          </cell>
          <cell r="X1526" t="str">
            <v>2007MALI COM SarlScratch 1 000</v>
          </cell>
        </row>
        <row r="1527">
          <cell r="I1527">
            <v>2007</v>
          </cell>
          <cell r="J1527" t="str">
            <v>MALI COM SarlScratch 2 000</v>
          </cell>
          <cell r="L1527">
            <v>0</v>
          </cell>
          <cell r="M1527" t="str">
            <v>MALI COM Sarl</v>
          </cell>
          <cell r="N1527" t="str">
            <v>MALI COM SarlScratch 2 000</v>
          </cell>
          <cell r="O1527" t="str">
            <v>MALI COM Sarl</v>
          </cell>
          <cell r="P1527" t="str">
            <v>Scratch 2 000</v>
          </cell>
          <cell r="Q1527" t="str">
            <v>62007</v>
          </cell>
          <cell r="R1527" t="str">
            <v>62007Scratch 2 000</v>
          </cell>
          <cell r="S1527" t="str">
            <v>2007Scratch 2 000</v>
          </cell>
          <cell r="T1527" t="str">
            <v>62007MALI COM Sarl</v>
          </cell>
          <cell r="U1527" t="str">
            <v>62007MALI COM SarlScratch 2 000</v>
          </cell>
          <cell r="V1527" t="str">
            <v>39246Scratch 2 000</v>
          </cell>
          <cell r="W1527" t="str">
            <v>2007MALI COM Sarl</v>
          </cell>
          <cell r="X1527" t="str">
            <v>2007MALI COM SarlScratch 2 000</v>
          </cell>
        </row>
        <row r="1528">
          <cell r="I1528">
            <v>2007</v>
          </cell>
          <cell r="J1528" t="str">
            <v>MALI COM SarlScratch 5 000</v>
          </cell>
          <cell r="L1528">
            <v>0</v>
          </cell>
          <cell r="M1528" t="str">
            <v>MALI COM Sarl</v>
          </cell>
          <cell r="N1528" t="str">
            <v>MALI COM SarlScratch 5 000</v>
          </cell>
          <cell r="O1528" t="str">
            <v>MALI COM Sarl</v>
          </cell>
          <cell r="P1528" t="str">
            <v>Scratch 5 000</v>
          </cell>
          <cell r="Q1528" t="str">
            <v>62007</v>
          </cell>
          <cell r="R1528" t="str">
            <v>62007Scratch 5 000</v>
          </cell>
          <cell r="S1528" t="str">
            <v>2007Scratch 5 000</v>
          </cell>
          <cell r="T1528" t="str">
            <v>62007MALI COM Sarl</v>
          </cell>
          <cell r="U1528" t="str">
            <v>62007MALI COM SarlScratch 5 000</v>
          </cell>
          <cell r="V1528" t="str">
            <v>39246Scratch 5 000</v>
          </cell>
          <cell r="W1528" t="str">
            <v>2007MALI COM Sarl</v>
          </cell>
          <cell r="X1528" t="str">
            <v>2007MALI COM SarlScratch 5 000</v>
          </cell>
        </row>
        <row r="1529">
          <cell r="I1529">
            <v>2007</v>
          </cell>
          <cell r="J1529" t="str">
            <v>MALI COM SarlScratch 20 000</v>
          </cell>
          <cell r="L1529">
            <v>0</v>
          </cell>
          <cell r="M1529" t="str">
            <v>MALI COM Sarl</v>
          </cell>
          <cell r="N1529" t="str">
            <v>MALI COM SarlScratch 20 000</v>
          </cell>
          <cell r="O1529" t="str">
            <v>MALI COM Sarl</v>
          </cell>
          <cell r="P1529" t="str">
            <v>Scratch 20 000</v>
          </cell>
          <cell r="Q1529" t="str">
            <v>62007</v>
          </cell>
          <cell r="R1529" t="str">
            <v>62007Scratch 20 000</v>
          </cell>
          <cell r="S1529" t="str">
            <v>2007Scratch 20 000</v>
          </cell>
          <cell r="T1529" t="str">
            <v>62007MALI COM Sarl</v>
          </cell>
          <cell r="U1529" t="str">
            <v>62007MALI COM SarlScratch 20 000</v>
          </cell>
          <cell r="V1529" t="str">
            <v>39246Scratch 20 000</v>
          </cell>
          <cell r="W1529" t="str">
            <v>2007MALI COM Sarl</v>
          </cell>
          <cell r="X1529" t="str">
            <v>2007MALI COM SarlScratch 20 000</v>
          </cell>
        </row>
        <row r="1530">
          <cell r="I1530">
            <v>2007</v>
          </cell>
          <cell r="J1530" t="str">
            <v>Bonneterie Nouvelle TelecomScratch 1 000</v>
          </cell>
          <cell r="L1530">
            <v>1</v>
          </cell>
          <cell r="M1530" t="str">
            <v>1Bonneterie Nouvelle Telecom</v>
          </cell>
          <cell r="N1530" t="str">
            <v>Bonneterie Nouvelle TelecomScratch 1 000</v>
          </cell>
          <cell r="O1530" t="str">
            <v>Bonneterie Nouvelle Telecom</v>
          </cell>
          <cell r="P1530" t="str">
            <v>Scratch 1 000</v>
          </cell>
          <cell r="Q1530" t="str">
            <v>62007</v>
          </cell>
          <cell r="R1530" t="str">
            <v>62007Scratch 1 000</v>
          </cell>
          <cell r="S1530" t="str">
            <v>2007Scratch 1 000</v>
          </cell>
          <cell r="T1530" t="str">
            <v>62007Bonneterie Nouvelle Telecom</v>
          </cell>
          <cell r="U1530" t="str">
            <v>62007Bonneterie Nouvelle TelecomScratch 1 000</v>
          </cell>
          <cell r="V1530" t="str">
            <v>39246Scratch 1 000</v>
          </cell>
          <cell r="W1530" t="str">
            <v>2007Bonneterie Nouvelle Telecom</v>
          </cell>
          <cell r="X1530" t="str">
            <v>2007Bonneterie Nouvelle TelecomScratch 1 000</v>
          </cell>
        </row>
        <row r="1531">
          <cell r="I1531">
            <v>2007</v>
          </cell>
          <cell r="J1531" t="str">
            <v>Ets Mamadou GAMBYScratch 1 000</v>
          </cell>
          <cell r="L1531">
            <v>1</v>
          </cell>
          <cell r="M1531" t="str">
            <v>1Ets Mamadou GAMBY</v>
          </cell>
          <cell r="N1531" t="str">
            <v>Ets Mamadou GAMBYScratch 1 000</v>
          </cell>
          <cell r="O1531" t="str">
            <v>Ets Mamadou GAMBY</v>
          </cell>
          <cell r="P1531" t="str">
            <v>Scratch 1 000</v>
          </cell>
          <cell r="Q1531" t="str">
            <v>62007</v>
          </cell>
          <cell r="R1531" t="str">
            <v>62007Scratch 1 000</v>
          </cell>
          <cell r="S1531" t="str">
            <v>2007Scratch 1 000</v>
          </cell>
          <cell r="T1531" t="str">
            <v>62007Ets Mamadou GAMBY</v>
          </cell>
          <cell r="U1531" t="str">
            <v>62007Ets Mamadou GAMBYScratch 1 000</v>
          </cell>
          <cell r="V1531" t="str">
            <v>39247Scratch 1 000</v>
          </cell>
          <cell r="W1531" t="str">
            <v>2007Ets Mamadou GAMBY</v>
          </cell>
          <cell r="X1531" t="str">
            <v>2007Ets Mamadou GAMBYScratch 1 000</v>
          </cell>
        </row>
        <row r="1532">
          <cell r="I1532">
            <v>2007</v>
          </cell>
          <cell r="J1532" t="str">
            <v>Ets Mamadou GAMBYScratch 2 000</v>
          </cell>
          <cell r="L1532">
            <v>0</v>
          </cell>
          <cell r="M1532" t="str">
            <v>Ets Mamadou GAMBY</v>
          </cell>
          <cell r="N1532" t="str">
            <v>Ets Mamadou GAMBYScratch 2 000</v>
          </cell>
          <cell r="O1532" t="str">
            <v>Ets Mamadou GAMBY</v>
          </cell>
          <cell r="P1532" t="str">
            <v>Scratch 2 000</v>
          </cell>
          <cell r="Q1532" t="str">
            <v>62007</v>
          </cell>
          <cell r="R1532" t="str">
            <v>62007Scratch 2 000</v>
          </cell>
          <cell r="S1532" t="str">
            <v>2007Scratch 2 000</v>
          </cell>
          <cell r="T1532" t="str">
            <v>62007Ets Mamadou GAMBY</v>
          </cell>
          <cell r="U1532" t="str">
            <v>62007Ets Mamadou GAMBYScratch 2 000</v>
          </cell>
          <cell r="V1532" t="str">
            <v>39247Scratch 2 000</v>
          </cell>
          <cell r="W1532" t="str">
            <v>2007Ets Mamadou GAMBY</v>
          </cell>
          <cell r="X1532" t="str">
            <v>2007Ets Mamadou GAMBYScratch 2 000</v>
          </cell>
        </row>
        <row r="1533">
          <cell r="I1533">
            <v>2007</v>
          </cell>
          <cell r="J1533" t="str">
            <v>Ets Mamadou GAMBYScratch 5 000</v>
          </cell>
          <cell r="L1533">
            <v>0</v>
          </cell>
          <cell r="M1533" t="str">
            <v>Ets Mamadou GAMBY</v>
          </cell>
          <cell r="N1533" t="str">
            <v>Ets Mamadou GAMBYScratch 5 000</v>
          </cell>
          <cell r="O1533" t="str">
            <v>Ets Mamadou GAMBY</v>
          </cell>
          <cell r="P1533" t="str">
            <v>Scratch 5 000</v>
          </cell>
          <cell r="Q1533" t="str">
            <v>62007</v>
          </cell>
          <cell r="R1533" t="str">
            <v>62007Scratch 5 000</v>
          </cell>
          <cell r="S1533" t="str">
            <v>2007Scratch 5 000</v>
          </cell>
          <cell r="T1533" t="str">
            <v>62007Ets Mamadou GAMBY</v>
          </cell>
          <cell r="U1533" t="str">
            <v>62007Ets Mamadou GAMBYScratch 5 000</v>
          </cell>
          <cell r="V1533" t="str">
            <v>39247Scratch 5 000</v>
          </cell>
          <cell r="W1533" t="str">
            <v>2007Ets Mamadou GAMBY</v>
          </cell>
          <cell r="X1533" t="str">
            <v>2007Ets Mamadou GAMBYScratch 5 000</v>
          </cell>
        </row>
        <row r="1534">
          <cell r="I1534">
            <v>2007</v>
          </cell>
          <cell r="J1534" t="str">
            <v>Ets Mamadou GAMBYScratch 20 000</v>
          </cell>
          <cell r="L1534">
            <v>0</v>
          </cell>
          <cell r="M1534" t="str">
            <v>Ets Mamadou GAMBY</v>
          </cell>
          <cell r="N1534" t="str">
            <v>Ets Mamadou GAMBYScratch 20 000</v>
          </cell>
          <cell r="O1534" t="str">
            <v>Ets Mamadou GAMBY</v>
          </cell>
          <cell r="P1534" t="str">
            <v>Scratch 20 000</v>
          </cell>
          <cell r="Q1534" t="str">
            <v>62007</v>
          </cell>
          <cell r="R1534" t="str">
            <v>62007Scratch 20 000</v>
          </cell>
          <cell r="S1534" t="str">
            <v>2007Scratch 20 000</v>
          </cell>
          <cell r="T1534" t="str">
            <v>62007Ets Mamadou GAMBY</v>
          </cell>
          <cell r="U1534" t="str">
            <v>62007Ets Mamadou GAMBYScratch 20 000</v>
          </cell>
          <cell r="V1534" t="str">
            <v>39247Scratch 20 000</v>
          </cell>
          <cell r="W1534" t="str">
            <v>2007Ets Mamadou GAMBY</v>
          </cell>
          <cell r="X1534" t="str">
            <v>2007Ets Mamadou GAMBYScratch 20 000</v>
          </cell>
        </row>
        <row r="1535">
          <cell r="I1535">
            <v>2007</v>
          </cell>
          <cell r="J1535" t="str">
            <v>GEMATELScratch 1 000</v>
          </cell>
          <cell r="L1535">
            <v>1</v>
          </cell>
          <cell r="M1535" t="str">
            <v>1GEMATEL</v>
          </cell>
          <cell r="N1535" t="str">
            <v>GEMATELScratch 1 000</v>
          </cell>
          <cell r="O1535" t="str">
            <v>GEMATEL</v>
          </cell>
          <cell r="P1535" t="str">
            <v>Scratch 1 000</v>
          </cell>
          <cell r="Q1535" t="str">
            <v>62007</v>
          </cell>
          <cell r="R1535" t="str">
            <v>62007Scratch 1 000</v>
          </cell>
          <cell r="S1535" t="str">
            <v>2007Scratch 1 000</v>
          </cell>
          <cell r="T1535" t="str">
            <v>62007GEMATEL</v>
          </cell>
          <cell r="U1535" t="str">
            <v>62007GEMATELScratch 1 000</v>
          </cell>
          <cell r="V1535" t="str">
            <v>39247Scratch 1 000</v>
          </cell>
          <cell r="W1535" t="str">
            <v>2007GEMATEL</v>
          </cell>
          <cell r="X1535" t="str">
            <v>2007GEMATELScratch 1 000</v>
          </cell>
        </row>
        <row r="1536">
          <cell r="I1536">
            <v>2007</v>
          </cell>
          <cell r="J1536" t="str">
            <v>GEMATELScratch 2 000</v>
          </cell>
          <cell r="L1536">
            <v>0</v>
          </cell>
          <cell r="M1536" t="str">
            <v>GEMATEL</v>
          </cell>
          <cell r="N1536" t="str">
            <v>GEMATELScratch 2 000</v>
          </cell>
          <cell r="O1536" t="str">
            <v>GEMATEL</v>
          </cell>
          <cell r="P1536" t="str">
            <v>Scratch 2 000</v>
          </cell>
          <cell r="Q1536" t="str">
            <v>62007</v>
          </cell>
          <cell r="R1536" t="str">
            <v>62007Scratch 2 000</v>
          </cell>
          <cell r="S1536" t="str">
            <v>2007Scratch 2 000</v>
          </cell>
          <cell r="T1536" t="str">
            <v>62007GEMATEL</v>
          </cell>
          <cell r="U1536" t="str">
            <v>62007GEMATELScratch 2 000</v>
          </cell>
          <cell r="V1536" t="str">
            <v>39247Scratch 2 000</v>
          </cell>
          <cell r="W1536" t="str">
            <v>2007GEMATEL</v>
          </cell>
          <cell r="X1536" t="str">
            <v>2007GEMATELScratch 2 000</v>
          </cell>
        </row>
        <row r="1537">
          <cell r="I1537">
            <v>2007</v>
          </cell>
          <cell r="J1537" t="str">
            <v>GEMATELScratch 5 000</v>
          </cell>
          <cell r="L1537">
            <v>0</v>
          </cell>
          <cell r="M1537" t="str">
            <v>GEMATEL</v>
          </cell>
          <cell r="N1537" t="str">
            <v>GEMATELScratch 5 000</v>
          </cell>
          <cell r="O1537" t="str">
            <v>GEMATEL</v>
          </cell>
          <cell r="P1537" t="str">
            <v>Scratch 5 000</v>
          </cell>
          <cell r="Q1537" t="str">
            <v>62007</v>
          </cell>
          <cell r="R1537" t="str">
            <v>62007Scratch 5 000</v>
          </cell>
          <cell r="S1537" t="str">
            <v>2007Scratch 5 000</v>
          </cell>
          <cell r="T1537" t="str">
            <v>62007GEMATEL</v>
          </cell>
          <cell r="U1537" t="str">
            <v>62007GEMATELScratch 5 000</v>
          </cell>
          <cell r="V1537" t="str">
            <v>39247Scratch 5 000</v>
          </cell>
          <cell r="W1537" t="str">
            <v>2007GEMATEL</v>
          </cell>
          <cell r="X1537" t="str">
            <v>2007GEMATELScratch 5 000</v>
          </cell>
        </row>
        <row r="1538">
          <cell r="I1538">
            <v>2007</v>
          </cell>
          <cell r="J1538" t="str">
            <v>GEMATELScratch 10 000</v>
          </cell>
          <cell r="L1538">
            <v>0</v>
          </cell>
          <cell r="M1538" t="str">
            <v>GEMATEL</v>
          </cell>
          <cell r="N1538" t="str">
            <v>GEMATELScratch 10 000</v>
          </cell>
          <cell r="O1538" t="str">
            <v>GEMATEL</v>
          </cell>
          <cell r="P1538" t="str">
            <v>Scratch 10 000</v>
          </cell>
          <cell r="Q1538" t="str">
            <v>62007</v>
          </cell>
          <cell r="R1538" t="str">
            <v>62007Scratch 10 000</v>
          </cell>
          <cell r="S1538" t="str">
            <v>2007Scratch 10 000</v>
          </cell>
          <cell r="T1538" t="str">
            <v>62007GEMATEL</v>
          </cell>
          <cell r="U1538" t="str">
            <v>62007GEMATELScratch 10 000</v>
          </cell>
          <cell r="V1538" t="str">
            <v>39247Scratch 10 000</v>
          </cell>
          <cell r="W1538" t="str">
            <v>2007GEMATEL</v>
          </cell>
          <cell r="X1538" t="str">
            <v>2007GEMATELScratch 10 000</v>
          </cell>
        </row>
        <row r="1539">
          <cell r="I1539">
            <v>2007</v>
          </cell>
          <cell r="J1539" t="str">
            <v>GEMATELScratch 20 000</v>
          </cell>
          <cell r="L1539">
            <v>0</v>
          </cell>
          <cell r="M1539" t="str">
            <v>GEMATEL</v>
          </cell>
          <cell r="N1539" t="str">
            <v>GEMATELScratch 20 000</v>
          </cell>
          <cell r="O1539" t="str">
            <v>GEMATEL</v>
          </cell>
          <cell r="P1539" t="str">
            <v>Scratch 20 000</v>
          </cell>
          <cell r="Q1539" t="str">
            <v>62007</v>
          </cell>
          <cell r="R1539" t="str">
            <v>62007Scratch 20 000</v>
          </cell>
          <cell r="S1539" t="str">
            <v>2007Scratch 20 000</v>
          </cell>
          <cell r="T1539" t="str">
            <v>62007GEMATEL</v>
          </cell>
          <cell r="U1539" t="str">
            <v>62007GEMATELScratch 20 000</v>
          </cell>
          <cell r="V1539" t="str">
            <v>39247Scratch 20 000</v>
          </cell>
          <cell r="W1539" t="str">
            <v>2007GEMATEL</v>
          </cell>
          <cell r="X1539" t="str">
            <v>2007GEMATELScratch 20 000</v>
          </cell>
        </row>
        <row r="1540">
          <cell r="I1540">
            <v>2007</v>
          </cell>
          <cell r="J1540" t="str">
            <v>ANKA ServicesScratch 1 000</v>
          </cell>
          <cell r="L1540">
            <v>1</v>
          </cell>
          <cell r="M1540" t="str">
            <v>1ANKA Services</v>
          </cell>
          <cell r="N1540" t="str">
            <v>ANKA ServicesScratch 1 000</v>
          </cell>
          <cell r="O1540" t="str">
            <v>ANKA Services</v>
          </cell>
          <cell r="P1540" t="str">
            <v>Scratch 1 000</v>
          </cell>
          <cell r="Q1540" t="str">
            <v>62007</v>
          </cell>
          <cell r="R1540" t="str">
            <v>62007Scratch 1 000</v>
          </cell>
          <cell r="S1540" t="str">
            <v>2007Scratch 1 000</v>
          </cell>
          <cell r="T1540" t="str">
            <v>62007ANKA Services</v>
          </cell>
          <cell r="U1540" t="str">
            <v>62007ANKA ServicesScratch 1 000</v>
          </cell>
          <cell r="V1540" t="str">
            <v>39247Scratch 1 000</v>
          </cell>
          <cell r="W1540" t="str">
            <v>2007ANKA Services</v>
          </cell>
          <cell r="X1540" t="str">
            <v>2007ANKA ServicesScratch 1 000</v>
          </cell>
        </row>
        <row r="1541">
          <cell r="I1541">
            <v>2007</v>
          </cell>
          <cell r="J1541" t="str">
            <v>ANKA ServicesScratch 2 000</v>
          </cell>
          <cell r="L1541">
            <v>0</v>
          </cell>
          <cell r="M1541" t="str">
            <v>ANKA Services</v>
          </cell>
          <cell r="N1541" t="str">
            <v>ANKA ServicesScratch 2 000</v>
          </cell>
          <cell r="O1541" t="str">
            <v>ANKA Services</v>
          </cell>
          <cell r="P1541" t="str">
            <v>Scratch 2 000</v>
          </cell>
          <cell r="Q1541" t="str">
            <v>62007</v>
          </cell>
          <cell r="R1541" t="str">
            <v>62007Scratch 2 000</v>
          </cell>
          <cell r="S1541" t="str">
            <v>2007Scratch 2 000</v>
          </cell>
          <cell r="T1541" t="str">
            <v>62007ANKA Services</v>
          </cell>
          <cell r="U1541" t="str">
            <v>62007ANKA ServicesScratch 2 000</v>
          </cell>
          <cell r="V1541" t="str">
            <v>39247Scratch 2 000</v>
          </cell>
          <cell r="W1541" t="str">
            <v>2007ANKA Services</v>
          </cell>
          <cell r="X1541" t="str">
            <v>2007ANKA ServicesScratch 2 000</v>
          </cell>
        </row>
        <row r="1542">
          <cell r="I1542">
            <v>2007</v>
          </cell>
          <cell r="J1542" t="str">
            <v>ANKA ServicesScratch 5 000</v>
          </cell>
          <cell r="L1542">
            <v>0</v>
          </cell>
          <cell r="M1542" t="str">
            <v>ANKA Services</v>
          </cell>
          <cell r="N1542" t="str">
            <v>ANKA ServicesScratch 5 000</v>
          </cell>
          <cell r="O1542" t="str">
            <v>ANKA Services</v>
          </cell>
          <cell r="P1542" t="str">
            <v>Scratch 5 000</v>
          </cell>
          <cell r="Q1542" t="str">
            <v>62007</v>
          </cell>
          <cell r="R1542" t="str">
            <v>62007Scratch 5 000</v>
          </cell>
          <cell r="S1542" t="str">
            <v>2007Scratch 5 000</v>
          </cell>
          <cell r="T1542" t="str">
            <v>62007ANKA Services</v>
          </cell>
          <cell r="U1542" t="str">
            <v>62007ANKA ServicesScratch 5 000</v>
          </cell>
          <cell r="V1542" t="str">
            <v>39247Scratch 5 000</v>
          </cell>
          <cell r="W1542" t="str">
            <v>2007ANKA Services</v>
          </cell>
          <cell r="X1542" t="str">
            <v>2007ANKA ServicesScratch 5 000</v>
          </cell>
        </row>
        <row r="1543">
          <cell r="I1543">
            <v>2007</v>
          </cell>
          <cell r="J1543" t="str">
            <v>STS GAMBY &amp; FRERES (SOGAF) SarlScratch 1 000</v>
          </cell>
          <cell r="L1543">
            <v>1</v>
          </cell>
          <cell r="M1543" t="str">
            <v>1STS GAMBY &amp; FRERES (SOGAF) Sarl</v>
          </cell>
          <cell r="N1543" t="str">
            <v>STS GAMBY &amp; FRERES (SOGAF) SarlScratch 1 000</v>
          </cell>
          <cell r="O1543" t="str">
            <v>STS GAMBY &amp; FRERES (SOGAF) Sarl</v>
          </cell>
          <cell r="P1543" t="str">
            <v>Scratch 1 000</v>
          </cell>
          <cell r="Q1543" t="str">
            <v>62007</v>
          </cell>
          <cell r="R1543" t="str">
            <v>62007Scratch 1 000</v>
          </cell>
          <cell r="S1543" t="str">
            <v>2007Scratch 1 000</v>
          </cell>
          <cell r="T1543" t="str">
            <v>62007STS GAMBY &amp; FRERES (SOGAF) Sarl</v>
          </cell>
          <cell r="U1543" t="str">
            <v>62007STS GAMBY &amp; FRERES (SOGAF) SarlScratch 1 000</v>
          </cell>
          <cell r="V1543" t="str">
            <v>39248Scratch 1 000</v>
          </cell>
          <cell r="W1543" t="str">
            <v>2007STS GAMBY &amp; FRERES (SOGAF) Sarl</v>
          </cell>
          <cell r="X1543" t="str">
            <v>2007STS GAMBY &amp; FRERES (SOGAF) SarlScratch 1 000</v>
          </cell>
        </row>
        <row r="1544">
          <cell r="I1544">
            <v>2007</v>
          </cell>
          <cell r="J1544" t="str">
            <v>STS GAMBY &amp; FRERES (SOGAF) SarlScratch 2 000</v>
          </cell>
          <cell r="L1544">
            <v>0</v>
          </cell>
          <cell r="M1544" t="str">
            <v>STS GAMBY &amp; FRERES (SOGAF) Sarl</v>
          </cell>
          <cell r="N1544" t="str">
            <v>STS GAMBY &amp; FRERES (SOGAF) SarlScratch 2 000</v>
          </cell>
          <cell r="O1544" t="str">
            <v>STS GAMBY &amp; FRERES (SOGAF) Sarl</v>
          </cell>
          <cell r="P1544" t="str">
            <v>Scratch 2 000</v>
          </cell>
          <cell r="Q1544" t="str">
            <v>62007</v>
          </cell>
          <cell r="R1544" t="str">
            <v>62007Scratch 2 000</v>
          </cell>
          <cell r="S1544" t="str">
            <v>2007Scratch 2 000</v>
          </cell>
          <cell r="T1544" t="str">
            <v>62007STS GAMBY &amp; FRERES (SOGAF) Sarl</v>
          </cell>
          <cell r="U1544" t="str">
            <v>62007STS GAMBY &amp; FRERES (SOGAF) SarlScratch 2 000</v>
          </cell>
          <cell r="V1544" t="str">
            <v>39248Scratch 2 000</v>
          </cell>
          <cell r="W1544" t="str">
            <v>2007STS GAMBY &amp; FRERES (SOGAF) Sarl</v>
          </cell>
          <cell r="X1544" t="str">
            <v>2007STS GAMBY &amp; FRERES (SOGAF) SarlScratch 2 000</v>
          </cell>
        </row>
        <row r="1545">
          <cell r="I1545">
            <v>2007</v>
          </cell>
          <cell r="J1545" t="str">
            <v>STS GAMBY &amp; FRERES (SOGAF) SarlScratch 5 000</v>
          </cell>
          <cell r="L1545">
            <v>0</v>
          </cell>
          <cell r="M1545" t="str">
            <v>STS GAMBY &amp; FRERES (SOGAF) Sarl</v>
          </cell>
          <cell r="N1545" t="str">
            <v>STS GAMBY &amp; FRERES (SOGAF) SarlScratch 5 000</v>
          </cell>
          <cell r="O1545" t="str">
            <v>STS GAMBY &amp; FRERES (SOGAF) Sarl</v>
          </cell>
          <cell r="P1545" t="str">
            <v>Scratch 5 000</v>
          </cell>
          <cell r="Q1545" t="str">
            <v>62007</v>
          </cell>
          <cell r="R1545" t="str">
            <v>62007Scratch 5 000</v>
          </cell>
          <cell r="S1545" t="str">
            <v>2007Scratch 5 000</v>
          </cell>
          <cell r="T1545" t="str">
            <v>62007STS GAMBY &amp; FRERES (SOGAF) Sarl</v>
          </cell>
          <cell r="U1545" t="str">
            <v>62007STS GAMBY &amp; FRERES (SOGAF) SarlScratch 5 000</v>
          </cell>
          <cell r="V1545" t="str">
            <v>39248Scratch 5 000</v>
          </cell>
          <cell r="W1545" t="str">
            <v>2007STS GAMBY &amp; FRERES (SOGAF) Sarl</v>
          </cell>
          <cell r="X1545" t="str">
            <v>2007STS GAMBY &amp; FRERES (SOGAF) SarlScratch 5 000</v>
          </cell>
        </row>
        <row r="1546">
          <cell r="I1546">
            <v>2007</v>
          </cell>
          <cell r="J1546" t="str">
            <v>ANKA ServicesScratch 1 000</v>
          </cell>
          <cell r="L1546">
            <v>1</v>
          </cell>
          <cell r="M1546" t="str">
            <v>1ANKA Services</v>
          </cell>
          <cell r="N1546" t="str">
            <v>ANKA ServicesScratch 1 000</v>
          </cell>
          <cell r="O1546" t="str">
            <v>ANKA Services</v>
          </cell>
          <cell r="P1546" t="str">
            <v>Scratch 1 000</v>
          </cell>
          <cell r="Q1546" t="str">
            <v>62007</v>
          </cell>
          <cell r="R1546" t="str">
            <v>62007Scratch 1 000</v>
          </cell>
          <cell r="S1546" t="str">
            <v>2007Scratch 1 000</v>
          </cell>
          <cell r="T1546" t="str">
            <v>62007ANKA Services</v>
          </cell>
          <cell r="U1546" t="str">
            <v>62007ANKA ServicesScratch 1 000</v>
          </cell>
          <cell r="V1546" t="str">
            <v>39248Scratch 1 000</v>
          </cell>
          <cell r="W1546" t="str">
            <v>2007ANKA Services</v>
          </cell>
          <cell r="X1546" t="str">
            <v>2007ANKA ServicesScratch 1 000</v>
          </cell>
        </row>
        <row r="1547">
          <cell r="I1547">
            <v>2007</v>
          </cell>
          <cell r="J1547" t="str">
            <v>ANKA ServicesScratch 2 000</v>
          </cell>
          <cell r="L1547">
            <v>0</v>
          </cell>
          <cell r="M1547" t="str">
            <v>ANKA Services</v>
          </cell>
          <cell r="N1547" t="str">
            <v>ANKA ServicesScratch 2 000</v>
          </cell>
          <cell r="O1547" t="str">
            <v>ANKA Services</v>
          </cell>
          <cell r="P1547" t="str">
            <v>Scratch 2 000</v>
          </cell>
          <cell r="Q1547" t="str">
            <v>62007</v>
          </cell>
          <cell r="R1547" t="str">
            <v>62007Scratch 2 000</v>
          </cell>
          <cell r="S1547" t="str">
            <v>2007Scratch 2 000</v>
          </cell>
          <cell r="T1547" t="str">
            <v>62007ANKA Services</v>
          </cell>
          <cell r="U1547" t="str">
            <v>62007ANKA ServicesScratch 2 000</v>
          </cell>
          <cell r="V1547" t="str">
            <v>39248Scratch 2 000</v>
          </cell>
          <cell r="W1547" t="str">
            <v>2007ANKA Services</v>
          </cell>
          <cell r="X1547" t="str">
            <v>2007ANKA ServicesScratch 2 000</v>
          </cell>
        </row>
        <row r="1548">
          <cell r="I1548">
            <v>2007</v>
          </cell>
          <cell r="J1548" t="str">
            <v>ANKA ServicesScratch 5 000</v>
          </cell>
          <cell r="L1548">
            <v>0</v>
          </cell>
          <cell r="M1548" t="str">
            <v>ANKA Services</v>
          </cell>
          <cell r="N1548" t="str">
            <v>ANKA ServicesScratch 5 000</v>
          </cell>
          <cell r="O1548" t="str">
            <v>ANKA Services</v>
          </cell>
          <cell r="P1548" t="str">
            <v>Scratch 5 000</v>
          </cell>
          <cell r="Q1548" t="str">
            <v>62007</v>
          </cell>
          <cell r="R1548" t="str">
            <v>62007Scratch 5 000</v>
          </cell>
          <cell r="S1548" t="str">
            <v>2007Scratch 5 000</v>
          </cell>
          <cell r="T1548" t="str">
            <v>62007ANKA Services</v>
          </cell>
          <cell r="U1548" t="str">
            <v>62007ANKA ServicesScratch 5 000</v>
          </cell>
          <cell r="V1548" t="str">
            <v>39248Scratch 5 000</v>
          </cell>
          <cell r="W1548" t="str">
            <v>2007ANKA Services</v>
          </cell>
          <cell r="X1548" t="str">
            <v>2007ANKA ServicesScratch 5 000</v>
          </cell>
        </row>
        <row r="1549">
          <cell r="I1549">
            <v>2007</v>
          </cell>
          <cell r="J1549" t="str">
            <v>ANKA ServicesScratch 10 000</v>
          </cell>
          <cell r="L1549">
            <v>0</v>
          </cell>
          <cell r="M1549" t="str">
            <v>ANKA Services</v>
          </cell>
          <cell r="N1549" t="str">
            <v>ANKA ServicesScratch 10 000</v>
          </cell>
          <cell r="O1549" t="str">
            <v>ANKA Services</v>
          </cell>
          <cell r="P1549" t="str">
            <v>Scratch 10 000</v>
          </cell>
          <cell r="Q1549" t="str">
            <v>62007</v>
          </cell>
          <cell r="R1549" t="str">
            <v>62007Scratch 10 000</v>
          </cell>
          <cell r="S1549" t="str">
            <v>2007Scratch 10 000</v>
          </cell>
          <cell r="T1549" t="str">
            <v>62007ANKA Services</v>
          </cell>
          <cell r="U1549" t="str">
            <v>62007ANKA ServicesScratch 10 000</v>
          </cell>
          <cell r="V1549" t="str">
            <v>39248Scratch 10 000</v>
          </cell>
          <cell r="W1549" t="str">
            <v>2007ANKA Services</v>
          </cell>
          <cell r="X1549" t="str">
            <v>2007ANKA ServicesScratch 10 000</v>
          </cell>
        </row>
        <row r="1550">
          <cell r="I1550">
            <v>2007</v>
          </cell>
          <cell r="J1550" t="str">
            <v>GEMATELScratch 1 000</v>
          </cell>
          <cell r="L1550">
            <v>1</v>
          </cell>
          <cell r="M1550" t="str">
            <v>1GEMATEL</v>
          </cell>
          <cell r="N1550" t="str">
            <v>GEMATELScratch 1 000</v>
          </cell>
          <cell r="O1550" t="str">
            <v>GEMATEL</v>
          </cell>
          <cell r="P1550" t="str">
            <v>Scratch 1 000</v>
          </cell>
          <cell r="Q1550" t="str">
            <v>62007</v>
          </cell>
          <cell r="R1550" t="str">
            <v>62007Scratch 1 000</v>
          </cell>
          <cell r="S1550" t="str">
            <v>2007Scratch 1 000</v>
          </cell>
          <cell r="T1550" t="str">
            <v>62007GEMATEL</v>
          </cell>
          <cell r="U1550" t="str">
            <v>62007GEMATELScratch 1 000</v>
          </cell>
          <cell r="V1550" t="str">
            <v>39248Scratch 1 000</v>
          </cell>
          <cell r="W1550" t="str">
            <v>2007GEMATEL</v>
          </cell>
          <cell r="X1550" t="str">
            <v>2007GEMATELScratch 1 000</v>
          </cell>
        </row>
        <row r="1551">
          <cell r="I1551">
            <v>2007</v>
          </cell>
          <cell r="J1551" t="str">
            <v>GEMATELScratch 2 000</v>
          </cell>
          <cell r="L1551">
            <v>0</v>
          </cell>
          <cell r="M1551" t="str">
            <v>GEMATEL</v>
          </cell>
          <cell r="N1551" t="str">
            <v>GEMATELScratch 2 000</v>
          </cell>
          <cell r="O1551" t="str">
            <v>GEMATEL</v>
          </cell>
          <cell r="P1551" t="str">
            <v>Scratch 2 000</v>
          </cell>
          <cell r="Q1551" t="str">
            <v>62007</v>
          </cell>
          <cell r="R1551" t="str">
            <v>62007Scratch 2 000</v>
          </cell>
          <cell r="S1551" t="str">
            <v>2007Scratch 2 000</v>
          </cell>
          <cell r="T1551" t="str">
            <v>62007GEMATEL</v>
          </cell>
          <cell r="U1551" t="str">
            <v>62007GEMATELScratch 2 000</v>
          </cell>
          <cell r="V1551" t="str">
            <v>39248Scratch 2 000</v>
          </cell>
          <cell r="W1551" t="str">
            <v>2007GEMATEL</v>
          </cell>
          <cell r="X1551" t="str">
            <v>2007GEMATELScratch 2 000</v>
          </cell>
        </row>
        <row r="1552">
          <cell r="I1552">
            <v>2007</v>
          </cell>
          <cell r="J1552" t="str">
            <v>GEMATELScratch 5 000</v>
          </cell>
          <cell r="L1552">
            <v>0</v>
          </cell>
          <cell r="M1552" t="str">
            <v>GEMATEL</v>
          </cell>
          <cell r="N1552" t="str">
            <v>GEMATELScratch 5 000</v>
          </cell>
          <cell r="O1552" t="str">
            <v>GEMATEL</v>
          </cell>
          <cell r="P1552" t="str">
            <v>Scratch 5 000</v>
          </cell>
          <cell r="Q1552" t="str">
            <v>62007</v>
          </cell>
          <cell r="R1552" t="str">
            <v>62007Scratch 5 000</v>
          </cell>
          <cell r="S1552" t="str">
            <v>2007Scratch 5 000</v>
          </cell>
          <cell r="T1552" t="str">
            <v>62007GEMATEL</v>
          </cell>
          <cell r="U1552" t="str">
            <v>62007GEMATELScratch 5 000</v>
          </cell>
          <cell r="V1552" t="str">
            <v>39248Scratch 5 000</v>
          </cell>
          <cell r="W1552" t="str">
            <v>2007GEMATEL</v>
          </cell>
          <cell r="X1552" t="str">
            <v>2007GEMATELScratch 5 000</v>
          </cell>
        </row>
        <row r="1553">
          <cell r="I1553">
            <v>2007</v>
          </cell>
          <cell r="J1553" t="str">
            <v>Ets Mamadou GAMBYScratch 1 000</v>
          </cell>
          <cell r="L1553">
            <v>1</v>
          </cell>
          <cell r="M1553" t="str">
            <v>1Ets Mamadou GAMBY</v>
          </cell>
          <cell r="N1553" t="str">
            <v>Ets Mamadou GAMBYScratch 1 000</v>
          </cell>
          <cell r="O1553" t="str">
            <v>Ets Mamadou GAMBY</v>
          </cell>
          <cell r="P1553" t="str">
            <v>Scratch 1 000</v>
          </cell>
          <cell r="Q1553" t="str">
            <v>62007</v>
          </cell>
          <cell r="R1553" t="str">
            <v>62007Scratch 1 000</v>
          </cell>
          <cell r="S1553" t="str">
            <v>2007Scratch 1 000</v>
          </cell>
          <cell r="T1553" t="str">
            <v>62007Ets Mamadou GAMBY</v>
          </cell>
          <cell r="U1553" t="str">
            <v>62007Ets Mamadou GAMBYScratch 1 000</v>
          </cell>
          <cell r="V1553" t="str">
            <v>39251Scratch 1 000</v>
          </cell>
          <cell r="W1553" t="str">
            <v>2007Ets Mamadou GAMBY</v>
          </cell>
          <cell r="X1553" t="str">
            <v>2007Ets Mamadou GAMBYScratch 1 000</v>
          </cell>
        </row>
        <row r="1554">
          <cell r="I1554">
            <v>2007</v>
          </cell>
          <cell r="J1554" t="str">
            <v>Ets Mamadou GAMBYScratch 2 000</v>
          </cell>
          <cell r="L1554">
            <v>0</v>
          </cell>
          <cell r="M1554" t="str">
            <v>Ets Mamadou GAMBY</v>
          </cell>
          <cell r="N1554" t="str">
            <v>Ets Mamadou GAMBYScratch 2 000</v>
          </cell>
          <cell r="O1554" t="str">
            <v>Ets Mamadou GAMBY</v>
          </cell>
          <cell r="P1554" t="str">
            <v>Scratch 2 000</v>
          </cell>
          <cell r="Q1554" t="str">
            <v>62007</v>
          </cell>
          <cell r="R1554" t="str">
            <v>62007Scratch 2 000</v>
          </cell>
          <cell r="S1554" t="str">
            <v>2007Scratch 2 000</v>
          </cell>
          <cell r="T1554" t="str">
            <v>62007Ets Mamadou GAMBY</v>
          </cell>
          <cell r="U1554" t="str">
            <v>62007Ets Mamadou GAMBYScratch 2 000</v>
          </cell>
          <cell r="V1554" t="str">
            <v>39251Scratch 2 000</v>
          </cell>
          <cell r="W1554" t="str">
            <v>2007Ets Mamadou GAMBY</v>
          </cell>
          <cell r="X1554" t="str">
            <v>2007Ets Mamadou GAMBYScratch 2 000</v>
          </cell>
        </row>
        <row r="1555">
          <cell r="I1555">
            <v>2007</v>
          </cell>
          <cell r="J1555" t="str">
            <v>Ets Mamadou GAMBYScratch 5 000</v>
          </cell>
          <cell r="L1555">
            <v>0</v>
          </cell>
          <cell r="M1555" t="str">
            <v>Ets Mamadou GAMBY</v>
          </cell>
          <cell r="N1555" t="str">
            <v>Ets Mamadou GAMBYScratch 5 000</v>
          </cell>
          <cell r="O1555" t="str">
            <v>Ets Mamadou GAMBY</v>
          </cell>
          <cell r="P1555" t="str">
            <v>Scratch 5 000</v>
          </cell>
          <cell r="Q1555" t="str">
            <v>62007</v>
          </cell>
          <cell r="R1555" t="str">
            <v>62007Scratch 5 000</v>
          </cell>
          <cell r="S1555" t="str">
            <v>2007Scratch 5 000</v>
          </cell>
          <cell r="T1555" t="str">
            <v>62007Ets Mamadou GAMBY</v>
          </cell>
          <cell r="U1555" t="str">
            <v>62007Ets Mamadou GAMBYScratch 5 000</v>
          </cell>
          <cell r="V1555" t="str">
            <v>39251Scratch 5 000</v>
          </cell>
          <cell r="W1555" t="str">
            <v>2007Ets Mamadou GAMBY</v>
          </cell>
          <cell r="X1555" t="str">
            <v>2007Ets Mamadou GAMBYScratch 5 000</v>
          </cell>
        </row>
        <row r="1556">
          <cell r="I1556">
            <v>2007</v>
          </cell>
          <cell r="J1556" t="str">
            <v>Ets Mamadou GAMBYScratch 10 000</v>
          </cell>
          <cell r="L1556">
            <v>0</v>
          </cell>
          <cell r="M1556" t="str">
            <v>Ets Mamadou GAMBY</v>
          </cell>
          <cell r="N1556" t="str">
            <v>Ets Mamadou GAMBYScratch 10 000</v>
          </cell>
          <cell r="O1556" t="str">
            <v>Ets Mamadou GAMBY</v>
          </cell>
          <cell r="P1556" t="str">
            <v>Scratch 10 000</v>
          </cell>
          <cell r="Q1556" t="str">
            <v>62007</v>
          </cell>
          <cell r="R1556" t="str">
            <v>62007Scratch 10 000</v>
          </cell>
          <cell r="S1556" t="str">
            <v>2007Scratch 10 000</v>
          </cell>
          <cell r="T1556" t="str">
            <v>62007Ets Mamadou GAMBY</v>
          </cell>
          <cell r="U1556" t="str">
            <v>62007Ets Mamadou GAMBYScratch 10 000</v>
          </cell>
          <cell r="V1556" t="str">
            <v>39251Scratch 10 000</v>
          </cell>
          <cell r="W1556" t="str">
            <v>2007Ets Mamadou GAMBY</v>
          </cell>
          <cell r="X1556" t="str">
            <v>2007Ets Mamadou GAMBYScratch 10 000</v>
          </cell>
        </row>
        <row r="1557">
          <cell r="I1557">
            <v>2007</v>
          </cell>
          <cell r="J1557" t="str">
            <v>Ets Mamadou GAMBYScratch 20 000</v>
          </cell>
          <cell r="L1557">
            <v>0</v>
          </cell>
          <cell r="M1557" t="str">
            <v>Ets Mamadou GAMBY</v>
          </cell>
          <cell r="N1557" t="str">
            <v>Ets Mamadou GAMBYScratch 20 000</v>
          </cell>
          <cell r="O1557" t="str">
            <v>Ets Mamadou GAMBY</v>
          </cell>
          <cell r="P1557" t="str">
            <v>Scratch 20 000</v>
          </cell>
          <cell r="Q1557" t="str">
            <v>62007</v>
          </cell>
          <cell r="R1557" t="str">
            <v>62007Scratch 20 000</v>
          </cell>
          <cell r="S1557" t="str">
            <v>2007Scratch 20 000</v>
          </cell>
          <cell r="T1557" t="str">
            <v>62007Ets Mamadou GAMBY</v>
          </cell>
          <cell r="U1557" t="str">
            <v>62007Ets Mamadou GAMBYScratch 20 000</v>
          </cell>
          <cell r="V1557" t="str">
            <v>39251Scratch 20 000</v>
          </cell>
          <cell r="W1557" t="str">
            <v>2007Ets Mamadou GAMBY</v>
          </cell>
          <cell r="X1557" t="str">
            <v>2007Ets Mamadou GAMBYScratch 20 000</v>
          </cell>
        </row>
        <row r="1558">
          <cell r="I1558">
            <v>2007</v>
          </cell>
          <cell r="J1558" t="str">
            <v>Compagnie Internationale de NegoceScratch 1 000</v>
          </cell>
          <cell r="L1558">
            <v>1</v>
          </cell>
          <cell r="M1558" t="str">
            <v>1Compagnie Internationale de Negoce</v>
          </cell>
          <cell r="N1558" t="str">
            <v>Compagnie Internationale de NegoceScratch 1 000</v>
          </cell>
          <cell r="O1558" t="str">
            <v>Compagnie Internationale de Negoce</v>
          </cell>
          <cell r="P1558" t="str">
            <v>Scratch 1 000</v>
          </cell>
          <cell r="Q1558" t="str">
            <v>62007</v>
          </cell>
          <cell r="R1558" t="str">
            <v>62007Scratch 1 000</v>
          </cell>
          <cell r="S1558" t="str">
            <v>2007Scratch 1 000</v>
          </cell>
          <cell r="T1558" t="str">
            <v>62007Compagnie Internationale de Negoce</v>
          </cell>
          <cell r="U1558" t="str">
            <v>62007Compagnie Internationale de NegoceScratch 1 000</v>
          </cell>
          <cell r="V1558" t="str">
            <v>39251Scratch 1 000</v>
          </cell>
          <cell r="W1558" t="str">
            <v>2007Compagnie Internationale de Negoce</v>
          </cell>
          <cell r="X1558" t="str">
            <v>2007Compagnie Internationale de NegoceScratch 1 000</v>
          </cell>
        </row>
        <row r="1559">
          <cell r="I1559">
            <v>2007</v>
          </cell>
          <cell r="J1559" t="str">
            <v>Compagnie Internationale de NegoceScratch 2 000</v>
          </cell>
          <cell r="L1559">
            <v>0</v>
          </cell>
          <cell r="M1559" t="str">
            <v>Compagnie Internationale de Negoce</v>
          </cell>
          <cell r="N1559" t="str">
            <v>Compagnie Internationale de NegoceScratch 2 000</v>
          </cell>
          <cell r="O1559" t="str">
            <v>Compagnie Internationale de Negoce</v>
          </cell>
          <cell r="P1559" t="str">
            <v>Scratch 2 000</v>
          </cell>
          <cell r="Q1559" t="str">
            <v>62007</v>
          </cell>
          <cell r="R1559" t="str">
            <v>62007Scratch 2 000</v>
          </cell>
          <cell r="S1559" t="str">
            <v>2007Scratch 2 000</v>
          </cell>
          <cell r="T1559" t="str">
            <v>62007Compagnie Internationale de Negoce</v>
          </cell>
          <cell r="U1559" t="str">
            <v>62007Compagnie Internationale de NegoceScratch 2 000</v>
          </cell>
          <cell r="V1559" t="str">
            <v>39251Scratch 2 000</v>
          </cell>
          <cell r="W1559" t="str">
            <v>2007Compagnie Internationale de Negoce</v>
          </cell>
          <cell r="X1559" t="str">
            <v>2007Compagnie Internationale de NegoceScratch 2 000</v>
          </cell>
        </row>
        <row r="1560">
          <cell r="I1560">
            <v>2007</v>
          </cell>
          <cell r="J1560" t="str">
            <v>Compagnie Internationale de NegoceScratch 5 000</v>
          </cell>
          <cell r="L1560">
            <v>0</v>
          </cell>
          <cell r="M1560" t="str">
            <v>Compagnie Internationale de Negoce</v>
          </cell>
          <cell r="N1560" t="str">
            <v>Compagnie Internationale de NegoceScratch 5 000</v>
          </cell>
          <cell r="O1560" t="str">
            <v>Compagnie Internationale de Negoce</v>
          </cell>
          <cell r="P1560" t="str">
            <v>Scratch 5 000</v>
          </cell>
          <cell r="Q1560" t="str">
            <v>62007</v>
          </cell>
          <cell r="R1560" t="str">
            <v>62007Scratch 5 000</v>
          </cell>
          <cell r="S1560" t="str">
            <v>2007Scratch 5 000</v>
          </cell>
          <cell r="T1560" t="str">
            <v>62007Compagnie Internationale de Negoce</v>
          </cell>
          <cell r="U1560" t="str">
            <v>62007Compagnie Internationale de NegoceScratch 5 000</v>
          </cell>
          <cell r="V1560" t="str">
            <v>39251Scratch 5 000</v>
          </cell>
          <cell r="W1560" t="str">
            <v>2007Compagnie Internationale de Negoce</v>
          </cell>
          <cell r="X1560" t="str">
            <v>2007Compagnie Internationale de NegoceScratch 5 000</v>
          </cell>
        </row>
        <row r="1561">
          <cell r="I1561">
            <v>2007</v>
          </cell>
          <cell r="J1561" t="str">
            <v>Compagnie Internationale de NegoceScratch 10 000</v>
          </cell>
          <cell r="L1561">
            <v>0</v>
          </cell>
          <cell r="M1561" t="str">
            <v>Compagnie Internationale de Negoce</v>
          </cell>
          <cell r="N1561" t="str">
            <v>Compagnie Internationale de NegoceScratch 10 000</v>
          </cell>
          <cell r="O1561" t="str">
            <v>Compagnie Internationale de Negoce</v>
          </cell>
          <cell r="P1561" t="str">
            <v>Scratch 10 000</v>
          </cell>
          <cell r="Q1561" t="str">
            <v>62007</v>
          </cell>
          <cell r="R1561" t="str">
            <v>62007Scratch 10 000</v>
          </cell>
          <cell r="S1561" t="str">
            <v>2007Scratch 10 000</v>
          </cell>
          <cell r="T1561" t="str">
            <v>62007Compagnie Internationale de Negoce</v>
          </cell>
          <cell r="U1561" t="str">
            <v>62007Compagnie Internationale de NegoceScratch 10 000</v>
          </cell>
          <cell r="V1561" t="str">
            <v>39251Scratch 10 000</v>
          </cell>
          <cell r="W1561" t="str">
            <v>2007Compagnie Internationale de Negoce</v>
          </cell>
          <cell r="X1561" t="str">
            <v>2007Compagnie Internationale de NegoceScratch 10 000</v>
          </cell>
        </row>
        <row r="1562">
          <cell r="I1562">
            <v>2007</v>
          </cell>
          <cell r="J1562" t="str">
            <v>Compagnie Internationale de NegoceScratch 20 000</v>
          </cell>
          <cell r="L1562">
            <v>0</v>
          </cell>
          <cell r="M1562" t="str">
            <v>Compagnie Internationale de Negoce</v>
          </cell>
          <cell r="N1562" t="str">
            <v>Compagnie Internationale de NegoceScratch 20 000</v>
          </cell>
          <cell r="O1562" t="str">
            <v>Compagnie Internationale de Negoce</v>
          </cell>
          <cell r="P1562" t="str">
            <v>Scratch 20 000</v>
          </cell>
          <cell r="Q1562" t="str">
            <v>62007</v>
          </cell>
          <cell r="R1562" t="str">
            <v>62007Scratch 20 000</v>
          </cell>
          <cell r="S1562" t="str">
            <v>2007Scratch 20 000</v>
          </cell>
          <cell r="T1562" t="str">
            <v>62007Compagnie Internationale de Negoce</v>
          </cell>
          <cell r="U1562" t="str">
            <v>62007Compagnie Internationale de NegoceScratch 20 000</v>
          </cell>
          <cell r="V1562" t="str">
            <v>39251Scratch 20 000</v>
          </cell>
          <cell r="W1562" t="str">
            <v>2007Compagnie Internationale de Negoce</v>
          </cell>
          <cell r="X1562" t="str">
            <v>2007Compagnie Internationale de NegoceScratch 20 000</v>
          </cell>
        </row>
        <row r="1563">
          <cell r="I1563">
            <v>2007</v>
          </cell>
          <cell r="J1563" t="str">
            <v>ANKA ServicesScratch 1 000</v>
          </cell>
          <cell r="L1563">
            <v>1</v>
          </cell>
          <cell r="M1563" t="str">
            <v>1ANKA Services</v>
          </cell>
          <cell r="N1563" t="str">
            <v>ANKA ServicesScratch 1 000</v>
          </cell>
          <cell r="O1563" t="str">
            <v>ANKA Services</v>
          </cell>
          <cell r="P1563" t="str">
            <v>Scratch 1 000</v>
          </cell>
          <cell r="Q1563" t="str">
            <v>62007</v>
          </cell>
          <cell r="R1563" t="str">
            <v>62007Scratch 1 000</v>
          </cell>
          <cell r="S1563" t="str">
            <v>2007Scratch 1 000</v>
          </cell>
          <cell r="T1563" t="str">
            <v>62007ANKA Services</v>
          </cell>
          <cell r="U1563" t="str">
            <v>62007ANKA ServicesScratch 1 000</v>
          </cell>
          <cell r="V1563" t="str">
            <v>39251Scratch 1 000</v>
          </cell>
          <cell r="W1563" t="str">
            <v>2007ANKA Services</v>
          </cell>
          <cell r="X1563" t="str">
            <v>2007ANKA ServicesScratch 1 000</v>
          </cell>
        </row>
        <row r="1564">
          <cell r="I1564">
            <v>2007</v>
          </cell>
          <cell r="J1564" t="str">
            <v>ANKA ServicesScratch 2 000</v>
          </cell>
          <cell r="L1564">
            <v>0</v>
          </cell>
          <cell r="M1564" t="str">
            <v>ANKA Services</v>
          </cell>
          <cell r="N1564" t="str">
            <v>ANKA ServicesScratch 2 000</v>
          </cell>
          <cell r="O1564" t="str">
            <v>ANKA Services</v>
          </cell>
          <cell r="P1564" t="str">
            <v>Scratch 2 000</v>
          </cell>
          <cell r="Q1564" t="str">
            <v>62007</v>
          </cell>
          <cell r="R1564" t="str">
            <v>62007Scratch 2 000</v>
          </cell>
          <cell r="S1564" t="str">
            <v>2007Scratch 2 000</v>
          </cell>
          <cell r="T1564" t="str">
            <v>62007ANKA Services</v>
          </cell>
          <cell r="U1564" t="str">
            <v>62007ANKA ServicesScratch 2 000</v>
          </cell>
          <cell r="V1564" t="str">
            <v>39251Scratch 2 000</v>
          </cell>
          <cell r="W1564" t="str">
            <v>2007ANKA Services</v>
          </cell>
          <cell r="X1564" t="str">
            <v>2007ANKA ServicesScratch 2 000</v>
          </cell>
        </row>
        <row r="1565">
          <cell r="I1565">
            <v>2007</v>
          </cell>
          <cell r="J1565" t="str">
            <v>ANKA ServicesScratch 5 000</v>
          </cell>
          <cell r="L1565">
            <v>0</v>
          </cell>
          <cell r="M1565" t="str">
            <v>ANKA Services</v>
          </cell>
          <cell r="N1565" t="str">
            <v>ANKA ServicesScratch 5 000</v>
          </cell>
          <cell r="O1565" t="str">
            <v>ANKA Services</v>
          </cell>
          <cell r="P1565" t="str">
            <v>Scratch 5 000</v>
          </cell>
          <cell r="Q1565" t="str">
            <v>62007</v>
          </cell>
          <cell r="R1565" t="str">
            <v>62007Scratch 5 000</v>
          </cell>
          <cell r="S1565" t="str">
            <v>2007Scratch 5 000</v>
          </cell>
          <cell r="T1565" t="str">
            <v>62007ANKA Services</v>
          </cell>
          <cell r="U1565" t="str">
            <v>62007ANKA ServicesScratch 5 000</v>
          </cell>
          <cell r="V1565" t="str">
            <v>39251Scratch 5 000</v>
          </cell>
          <cell r="W1565" t="str">
            <v>2007ANKA Services</v>
          </cell>
          <cell r="X1565" t="str">
            <v>2007ANKA ServicesScratch 5 000</v>
          </cell>
        </row>
        <row r="1566">
          <cell r="I1566">
            <v>2007</v>
          </cell>
          <cell r="J1566" t="str">
            <v>ANKA ServicesScratch 10 000</v>
          </cell>
          <cell r="L1566">
            <v>0</v>
          </cell>
          <cell r="M1566" t="str">
            <v>ANKA Services</v>
          </cell>
          <cell r="N1566" t="str">
            <v>ANKA ServicesScratch 10 000</v>
          </cell>
          <cell r="O1566" t="str">
            <v>ANKA Services</v>
          </cell>
          <cell r="P1566" t="str">
            <v>Scratch 10 000</v>
          </cell>
          <cell r="Q1566" t="str">
            <v>62007</v>
          </cell>
          <cell r="R1566" t="str">
            <v>62007Scratch 10 000</v>
          </cell>
          <cell r="S1566" t="str">
            <v>2007Scratch 10 000</v>
          </cell>
          <cell r="T1566" t="str">
            <v>62007ANKA Services</v>
          </cell>
          <cell r="U1566" t="str">
            <v>62007ANKA ServicesScratch 10 000</v>
          </cell>
          <cell r="V1566" t="str">
            <v>39251Scratch 10 000</v>
          </cell>
          <cell r="W1566" t="str">
            <v>2007ANKA Services</v>
          </cell>
          <cell r="X1566" t="str">
            <v>2007ANKA ServicesScratch 10 000</v>
          </cell>
        </row>
        <row r="1567">
          <cell r="I1567">
            <v>2007</v>
          </cell>
          <cell r="J1567" t="str">
            <v>ANKA ServicesScratch 20 000</v>
          </cell>
          <cell r="L1567">
            <v>0</v>
          </cell>
          <cell r="M1567" t="str">
            <v>ANKA Services</v>
          </cell>
          <cell r="N1567" t="str">
            <v>ANKA ServicesScratch 20 000</v>
          </cell>
          <cell r="O1567" t="str">
            <v>ANKA Services</v>
          </cell>
          <cell r="P1567" t="str">
            <v>Scratch 20 000</v>
          </cell>
          <cell r="Q1567" t="str">
            <v>62007</v>
          </cell>
          <cell r="R1567" t="str">
            <v>62007Scratch 20 000</v>
          </cell>
          <cell r="S1567" t="str">
            <v>2007Scratch 20 000</v>
          </cell>
          <cell r="T1567" t="str">
            <v>62007ANKA Services</v>
          </cell>
          <cell r="U1567" t="str">
            <v>62007ANKA ServicesScratch 20 000</v>
          </cell>
          <cell r="V1567" t="str">
            <v>39251Scratch 20 000</v>
          </cell>
          <cell r="W1567" t="str">
            <v>2007ANKA Services</v>
          </cell>
          <cell r="X1567" t="str">
            <v>2007ANKA ServicesScratch 20 000</v>
          </cell>
        </row>
        <row r="1568">
          <cell r="I1568">
            <v>2007</v>
          </cell>
          <cell r="J1568" t="str">
            <v>GEMATELScratch 1 000</v>
          </cell>
          <cell r="L1568">
            <v>1</v>
          </cell>
          <cell r="M1568" t="str">
            <v>1GEMATEL</v>
          </cell>
          <cell r="N1568" t="str">
            <v>GEMATELScratch 1 000</v>
          </cell>
          <cell r="O1568" t="str">
            <v>GEMATEL</v>
          </cell>
          <cell r="P1568" t="str">
            <v>Scratch 1 000</v>
          </cell>
          <cell r="Q1568" t="str">
            <v>62007</v>
          </cell>
          <cell r="R1568" t="str">
            <v>62007Scratch 1 000</v>
          </cell>
          <cell r="S1568" t="str">
            <v>2007Scratch 1 000</v>
          </cell>
          <cell r="T1568" t="str">
            <v>62007GEMATEL</v>
          </cell>
          <cell r="U1568" t="str">
            <v>62007GEMATELScratch 1 000</v>
          </cell>
          <cell r="V1568" t="str">
            <v>39251Scratch 1 000</v>
          </cell>
          <cell r="W1568" t="str">
            <v>2007GEMATEL</v>
          </cell>
          <cell r="X1568" t="str">
            <v>2007GEMATELScratch 1 000</v>
          </cell>
        </row>
        <row r="1569">
          <cell r="I1569">
            <v>2007</v>
          </cell>
          <cell r="J1569" t="str">
            <v>GEMATELScratch 2 000</v>
          </cell>
          <cell r="L1569">
            <v>0</v>
          </cell>
          <cell r="M1569" t="str">
            <v>GEMATEL</v>
          </cell>
          <cell r="N1569" t="str">
            <v>GEMATELScratch 2 000</v>
          </cell>
          <cell r="O1569" t="str">
            <v>GEMATEL</v>
          </cell>
          <cell r="P1569" t="str">
            <v>Scratch 2 000</v>
          </cell>
          <cell r="Q1569" t="str">
            <v>62007</v>
          </cell>
          <cell r="R1569" t="str">
            <v>62007Scratch 2 000</v>
          </cell>
          <cell r="S1569" t="str">
            <v>2007Scratch 2 000</v>
          </cell>
          <cell r="T1569" t="str">
            <v>62007GEMATEL</v>
          </cell>
          <cell r="U1569" t="str">
            <v>62007GEMATELScratch 2 000</v>
          </cell>
          <cell r="V1569" t="str">
            <v>39251Scratch 2 000</v>
          </cell>
          <cell r="W1569" t="str">
            <v>2007GEMATEL</v>
          </cell>
          <cell r="X1569" t="str">
            <v>2007GEMATELScratch 2 000</v>
          </cell>
        </row>
        <row r="1570">
          <cell r="I1570">
            <v>2007</v>
          </cell>
          <cell r="J1570" t="str">
            <v>GEMATELScratch 5 000</v>
          </cell>
          <cell r="L1570">
            <v>0</v>
          </cell>
          <cell r="M1570" t="str">
            <v>GEMATEL</v>
          </cell>
          <cell r="N1570" t="str">
            <v>GEMATELScratch 5 000</v>
          </cell>
          <cell r="O1570" t="str">
            <v>GEMATEL</v>
          </cell>
          <cell r="P1570" t="str">
            <v>Scratch 5 000</v>
          </cell>
          <cell r="Q1570" t="str">
            <v>62007</v>
          </cell>
          <cell r="R1570" t="str">
            <v>62007Scratch 5 000</v>
          </cell>
          <cell r="S1570" t="str">
            <v>2007Scratch 5 000</v>
          </cell>
          <cell r="T1570" t="str">
            <v>62007GEMATEL</v>
          </cell>
          <cell r="U1570" t="str">
            <v>62007GEMATELScratch 5 000</v>
          </cell>
          <cell r="V1570" t="str">
            <v>39251Scratch 5 000</v>
          </cell>
          <cell r="W1570" t="str">
            <v>2007GEMATEL</v>
          </cell>
          <cell r="X1570" t="str">
            <v>2007GEMATELScratch 5 000</v>
          </cell>
        </row>
        <row r="1571">
          <cell r="I1571">
            <v>2007</v>
          </cell>
          <cell r="J1571" t="str">
            <v>GEMATELScratch 20 000</v>
          </cell>
          <cell r="L1571">
            <v>0</v>
          </cell>
          <cell r="M1571" t="str">
            <v>GEMATEL</v>
          </cell>
          <cell r="N1571" t="str">
            <v>GEMATELScratch 20 000</v>
          </cell>
          <cell r="O1571" t="str">
            <v>GEMATEL</v>
          </cell>
          <cell r="P1571" t="str">
            <v>Scratch 20 000</v>
          </cell>
          <cell r="Q1571" t="str">
            <v>62007</v>
          </cell>
          <cell r="R1571" t="str">
            <v>62007Scratch 20 000</v>
          </cell>
          <cell r="S1571" t="str">
            <v>2007Scratch 20 000</v>
          </cell>
          <cell r="T1571" t="str">
            <v>62007GEMATEL</v>
          </cell>
          <cell r="U1571" t="str">
            <v>62007GEMATELScratch 20 000</v>
          </cell>
          <cell r="V1571" t="str">
            <v>39251Scratch 20 000</v>
          </cell>
          <cell r="W1571" t="str">
            <v>2007GEMATEL</v>
          </cell>
          <cell r="X1571" t="str">
            <v>2007GEMATELScratch 20 000</v>
          </cell>
        </row>
        <row r="1572">
          <cell r="I1572">
            <v>2007</v>
          </cell>
          <cell r="J1572" t="str">
            <v>MALI COM SarlScratch 1 000</v>
          </cell>
          <cell r="L1572">
            <v>1</v>
          </cell>
          <cell r="M1572" t="str">
            <v>1MALI COM Sarl</v>
          </cell>
          <cell r="N1572" t="str">
            <v>MALI COM SarlScratch 1 000</v>
          </cell>
          <cell r="O1572" t="str">
            <v>MALI COM Sarl</v>
          </cell>
          <cell r="P1572" t="str">
            <v>Scratch 1 000</v>
          </cell>
          <cell r="Q1572" t="str">
            <v>62007</v>
          </cell>
          <cell r="R1572" t="str">
            <v>62007Scratch 1 000</v>
          </cell>
          <cell r="S1572" t="str">
            <v>2007Scratch 1 000</v>
          </cell>
          <cell r="T1572" t="str">
            <v>62007MALI COM Sarl</v>
          </cell>
          <cell r="U1572" t="str">
            <v>62007MALI COM SarlScratch 1 000</v>
          </cell>
          <cell r="V1572" t="str">
            <v>39251Scratch 1 000</v>
          </cell>
          <cell r="W1572" t="str">
            <v>2007MALI COM Sarl</v>
          </cell>
          <cell r="X1572" t="str">
            <v>2007MALI COM SarlScratch 1 000</v>
          </cell>
        </row>
        <row r="1573">
          <cell r="I1573">
            <v>2007</v>
          </cell>
          <cell r="J1573" t="str">
            <v>MALI COM SarlScratch 2 000</v>
          </cell>
          <cell r="L1573">
            <v>0</v>
          </cell>
          <cell r="M1573" t="str">
            <v>MALI COM Sarl</v>
          </cell>
          <cell r="N1573" t="str">
            <v>MALI COM SarlScratch 2 000</v>
          </cell>
          <cell r="O1573" t="str">
            <v>MALI COM Sarl</v>
          </cell>
          <cell r="P1573" t="str">
            <v>Scratch 2 000</v>
          </cell>
          <cell r="Q1573" t="str">
            <v>62007</v>
          </cell>
          <cell r="R1573" t="str">
            <v>62007Scratch 2 000</v>
          </cell>
          <cell r="S1573" t="str">
            <v>2007Scratch 2 000</v>
          </cell>
          <cell r="T1573" t="str">
            <v>62007MALI COM Sarl</v>
          </cell>
          <cell r="U1573" t="str">
            <v>62007MALI COM SarlScratch 2 000</v>
          </cell>
          <cell r="V1573" t="str">
            <v>39251Scratch 2 000</v>
          </cell>
          <cell r="W1573" t="str">
            <v>2007MALI COM Sarl</v>
          </cell>
          <cell r="X1573" t="str">
            <v>2007MALI COM SarlScratch 2 000</v>
          </cell>
        </row>
        <row r="1574">
          <cell r="I1574">
            <v>2007</v>
          </cell>
          <cell r="J1574" t="str">
            <v>MALI COM SarlScratch 5 000</v>
          </cell>
          <cell r="L1574">
            <v>0</v>
          </cell>
          <cell r="M1574" t="str">
            <v>MALI COM Sarl</v>
          </cell>
          <cell r="N1574" t="str">
            <v>MALI COM SarlScratch 5 000</v>
          </cell>
          <cell r="O1574" t="str">
            <v>MALI COM Sarl</v>
          </cell>
          <cell r="P1574" t="str">
            <v>Scratch 5 000</v>
          </cell>
          <cell r="Q1574" t="str">
            <v>62007</v>
          </cell>
          <cell r="R1574" t="str">
            <v>62007Scratch 5 000</v>
          </cell>
          <cell r="S1574" t="str">
            <v>2007Scratch 5 000</v>
          </cell>
          <cell r="T1574" t="str">
            <v>62007MALI COM Sarl</v>
          </cell>
          <cell r="U1574" t="str">
            <v>62007MALI COM SarlScratch 5 000</v>
          </cell>
          <cell r="V1574" t="str">
            <v>39251Scratch 5 000</v>
          </cell>
          <cell r="W1574" t="str">
            <v>2007MALI COM Sarl</v>
          </cell>
          <cell r="X1574" t="str">
            <v>2007MALI COM SarlScratch 5 000</v>
          </cell>
        </row>
        <row r="1575">
          <cell r="I1575">
            <v>2007</v>
          </cell>
          <cell r="J1575" t="str">
            <v>MALI COM SarlScratch 20 000</v>
          </cell>
          <cell r="L1575">
            <v>0</v>
          </cell>
          <cell r="M1575" t="str">
            <v>MALI COM Sarl</v>
          </cell>
          <cell r="N1575" t="str">
            <v>MALI COM SarlScratch 20 000</v>
          </cell>
          <cell r="O1575" t="str">
            <v>MALI COM Sarl</v>
          </cell>
          <cell r="P1575" t="str">
            <v>Scratch 20 000</v>
          </cell>
          <cell r="Q1575" t="str">
            <v>62007</v>
          </cell>
          <cell r="R1575" t="str">
            <v>62007Scratch 20 000</v>
          </cell>
          <cell r="S1575" t="str">
            <v>2007Scratch 20 000</v>
          </cell>
          <cell r="T1575" t="str">
            <v>62007MALI COM Sarl</v>
          </cell>
          <cell r="U1575" t="str">
            <v>62007MALI COM SarlScratch 20 000</v>
          </cell>
          <cell r="V1575" t="str">
            <v>39251Scratch 20 000</v>
          </cell>
          <cell r="W1575" t="str">
            <v>2007MALI COM Sarl</v>
          </cell>
          <cell r="X1575" t="str">
            <v>2007MALI COM SarlScratch 20 000</v>
          </cell>
        </row>
        <row r="1576">
          <cell r="I1576">
            <v>2007</v>
          </cell>
          <cell r="J1576" t="str">
            <v>CellNets MaliMinutes</v>
          </cell>
          <cell r="L1576">
            <v>1</v>
          </cell>
          <cell r="M1576" t="str">
            <v>1CellNets Mali</v>
          </cell>
          <cell r="N1576" t="str">
            <v>CellNets MaliMinutes</v>
          </cell>
          <cell r="O1576" t="str">
            <v>CellNets Mali</v>
          </cell>
          <cell r="P1576" t="str">
            <v>Minutes</v>
          </cell>
          <cell r="Q1576" t="str">
            <v>62007</v>
          </cell>
          <cell r="R1576" t="str">
            <v>62007Minutes</v>
          </cell>
          <cell r="S1576" t="str">
            <v>2007Minutes</v>
          </cell>
          <cell r="T1576" t="str">
            <v>62007CellNets Mali</v>
          </cell>
          <cell r="U1576" t="str">
            <v>62007CellNets MaliMinutes</v>
          </cell>
          <cell r="V1576" t="str">
            <v>39251Minutes</v>
          </cell>
          <cell r="W1576" t="str">
            <v>2007CellNets Mali</v>
          </cell>
          <cell r="X1576" t="str">
            <v>2007CellNets MaliMinutes</v>
          </cell>
        </row>
        <row r="1577">
          <cell r="I1577">
            <v>2007</v>
          </cell>
          <cell r="J1577" t="str">
            <v>SOMAKOFFScratch 1 000</v>
          </cell>
          <cell r="L1577">
            <v>1</v>
          </cell>
          <cell r="M1577" t="str">
            <v>1SOMAKOFF</v>
          </cell>
          <cell r="N1577" t="str">
            <v>SOMAKOFFScratch 1 000</v>
          </cell>
          <cell r="O1577" t="str">
            <v>SOMAKOFF</v>
          </cell>
          <cell r="P1577" t="str">
            <v>Scratch 1 000</v>
          </cell>
          <cell r="Q1577" t="str">
            <v>62007</v>
          </cell>
          <cell r="R1577" t="str">
            <v>62007Scratch 1 000</v>
          </cell>
          <cell r="S1577" t="str">
            <v>2007Scratch 1 000</v>
          </cell>
          <cell r="T1577" t="str">
            <v>62007SOMAKOFF</v>
          </cell>
          <cell r="U1577" t="str">
            <v>62007SOMAKOFFScratch 1 000</v>
          </cell>
          <cell r="V1577" t="str">
            <v>39252Scratch 1 000</v>
          </cell>
          <cell r="W1577" t="str">
            <v>2007SOMAKOFF</v>
          </cell>
          <cell r="X1577" t="str">
            <v>2007SOMAKOFFScratch 1 000</v>
          </cell>
        </row>
        <row r="1578">
          <cell r="I1578">
            <v>2007</v>
          </cell>
          <cell r="J1578" t="str">
            <v>SOMAKOFFScratch 10 000</v>
          </cell>
          <cell r="L1578">
            <v>0</v>
          </cell>
          <cell r="M1578" t="str">
            <v>SOMAKOFF</v>
          </cell>
          <cell r="N1578" t="str">
            <v>SOMAKOFFScratch 10 000</v>
          </cell>
          <cell r="O1578" t="str">
            <v>SOMAKOFF</v>
          </cell>
          <cell r="P1578" t="str">
            <v>Scratch 10 000</v>
          </cell>
          <cell r="Q1578" t="str">
            <v>62007</v>
          </cell>
          <cell r="R1578" t="str">
            <v>62007Scratch 10 000</v>
          </cell>
          <cell r="S1578" t="str">
            <v>2007Scratch 10 000</v>
          </cell>
          <cell r="T1578" t="str">
            <v>62007SOMAKOFF</v>
          </cell>
          <cell r="U1578" t="str">
            <v>62007SOMAKOFFScratch 10 000</v>
          </cell>
          <cell r="V1578" t="str">
            <v>39252Scratch 10 000</v>
          </cell>
          <cell r="W1578" t="str">
            <v>2007SOMAKOFF</v>
          </cell>
          <cell r="X1578" t="str">
            <v>2007SOMAKOFFScratch 10 000</v>
          </cell>
        </row>
        <row r="1579">
          <cell r="I1579">
            <v>2007</v>
          </cell>
          <cell r="J1579" t="str">
            <v>SOMAKOFFScratch 20 000</v>
          </cell>
          <cell r="L1579">
            <v>0</v>
          </cell>
          <cell r="M1579" t="str">
            <v>SOMAKOFF</v>
          </cell>
          <cell r="N1579" t="str">
            <v>SOMAKOFFScratch 20 000</v>
          </cell>
          <cell r="O1579" t="str">
            <v>SOMAKOFF</v>
          </cell>
          <cell r="P1579" t="str">
            <v>Scratch 20 000</v>
          </cell>
          <cell r="Q1579" t="str">
            <v>62007</v>
          </cell>
          <cell r="R1579" t="str">
            <v>62007Scratch 20 000</v>
          </cell>
          <cell r="S1579" t="str">
            <v>2007Scratch 20 000</v>
          </cell>
          <cell r="T1579" t="str">
            <v>62007SOMAKOFF</v>
          </cell>
          <cell r="U1579" t="str">
            <v>62007SOMAKOFFScratch 20 000</v>
          </cell>
          <cell r="V1579" t="str">
            <v>39252Scratch 20 000</v>
          </cell>
          <cell r="W1579" t="str">
            <v>2007SOMAKOFF</v>
          </cell>
          <cell r="X1579" t="str">
            <v>2007SOMAKOFFScratch 20 000</v>
          </cell>
        </row>
        <row r="1580">
          <cell r="I1580">
            <v>2007</v>
          </cell>
          <cell r="J1580" t="str">
            <v>STS GAMBY &amp; FRERES (SOGAF) SarlScratch 1 000</v>
          </cell>
          <cell r="L1580">
            <v>1</v>
          </cell>
          <cell r="M1580" t="str">
            <v>1STS GAMBY &amp; FRERES (SOGAF) Sarl</v>
          </cell>
          <cell r="N1580" t="str">
            <v>STS GAMBY &amp; FRERES (SOGAF) SarlScratch 1 000</v>
          </cell>
          <cell r="O1580" t="str">
            <v>STS GAMBY &amp; FRERES (SOGAF) Sarl</v>
          </cell>
          <cell r="P1580" t="str">
            <v>Scratch 1 000</v>
          </cell>
          <cell r="Q1580" t="str">
            <v>62007</v>
          </cell>
          <cell r="R1580" t="str">
            <v>62007Scratch 1 000</v>
          </cell>
          <cell r="S1580" t="str">
            <v>2007Scratch 1 000</v>
          </cell>
          <cell r="T1580" t="str">
            <v>62007STS GAMBY &amp; FRERES (SOGAF) Sarl</v>
          </cell>
          <cell r="U1580" t="str">
            <v>62007STS GAMBY &amp; FRERES (SOGAF) SarlScratch 1 000</v>
          </cell>
          <cell r="V1580" t="str">
            <v>39252Scratch 1 000</v>
          </cell>
          <cell r="W1580" t="str">
            <v>2007STS GAMBY &amp; FRERES (SOGAF) Sarl</v>
          </cell>
          <cell r="X1580" t="str">
            <v>2007STS GAMBY &amp; FRERES (SOGAF) SarlScratch 1 000</v>
          </cell>
        </row>
        <row r="1581">
          <cell r="I1581">
            <v>2007</v>
          </cell>
          <cell r="J1581" t="str">
            <v>STS GAMBY &amp; FRERES (SOGAF) SarlScratch 2 000</v>
          </cell>
          <cell r="L1581">
            <v>0</v>
          </cell>
          <cell r="M1581" t="str">
            <v>STS GAMBY &amp; FRERES (SOGAF) Sarl</v>
          </cell>
          <cell r="N1581" t="str">
            <v>STS GAMBY &amp; FRERES (SOGAF) SarlScratch 2 000</v>
          </cell>
          <cell r="O1581" t="str">
            <v>STS GAMBY &amp; FRERES (SOGAF) Sarl</v>
          </cell>
          <cell r="P1581" t="str">
            <v>Scratch 2 000</v>
          </cell>
          <cell r="Q1581" t="str">
            <v>62007</v>
          </cell>
          <cell r="R1581" t="str">
            <v>62007Scratch 2 000</v>
          </cell>
          <cell r="S1581" t="str">
            <v>2007Scratch 2 000</v>
          </cell>
          <cell r="T1581" t="str">
            <v>62007STS GAMBY &amp; FRERES (SOGAF) Sarl</v>
          </cell>
          <cell r="U1581" t="str">
            <v>62007STS GAMBY &amp; FRERES (SOGAF) SarlScratch 2 000</v>
          </cell>
          <cell r="V1581" t="str">
            <v>39252Scratch 2 000</v>
          </cell>
          <cell r="W1581" t="str">
            <v>2007STS GAMBY &amp; FRERES (SOGAF) Sarl</v>
          </cell>
          <cell r="X1581" t="str">
            <v>2007STS GAMBY &amp; FRERES (SOGAF) SarlScratch 2 000</v>
          </cell>
        </row>
        <row r="1582">
          <cell r="I1582">
            <v>2007</v>
          </cell>
          <cell r="J1582" t="str">
            <v>STS GAMBY &amp; FRERES (SOGAF) SarlScratch 5 000</v>
          </cell>
          <cell r="L1582">
            <v>0</v>
          </cell>
          <cell r="M1582" t="str">
            <v>STS GAMBY &amp; FRERES (SOGAF) Sarl</v>
          </cell>
          <cell r="N1582" t="str">
            <v>STS GAMBY &amp; FRERES (SOGAF) SarlScratch 5 000</v>
          </cell>
          <cell r="O1582" t="str">
            <v>STS GAMBY &amp; FRERES (SOGAF) Sarl</v>
          </cell>
          <cell r="P1582" t="str">
            <v>Scratch 5 000</v>
          </cell>
          <cell r="Q1582" t="str">
            <v>62007</v>
          </cell>
          <cell r="R1582" t="str">
            <v>62007Scratch 5 000</v>
          </cell>
          <cell r="S1582" t="str">
            <v>2007Scratch 5 000</v>
          </cell>
          <cell r="T1582" t="str">
            <v>62007STS GAMBY &amp; FRERES (SOGAF) Sarl</v>
          </cell>
          <cell r="U1582" t="str">
            <v>62007STS GAMBY &amp; FRERES (SOGAF) SarlScratch 5 000</v>
          </cell>
          <cell r="V1582" t="str">
            <v>39252Scratch 5 000</v>
          </cell>
          <cell r="W1582" t="str">
            <v>2007STS GAMBY &amp; FRERES (SOGAF) Sarl</v>
          </cell>
          <cell r="X1582" t="str">
            <v>2007STS GAMBY &amp; FRERES (SOGAF) SarlScratch 5 000</v>
          </cell>
        </row>
        <row r="1583">
          <cell r="I1583">
            <v>2007</v>
          </cell>
          <cell r="J1583" t="str">
            <v>STS GAMBY &amp; FRERES (SOGAF) SarlScratch 20 000</v>
          </cell>
          <cell r="L1583">
            <v>0</v>
          </cell>
          <cell r="M1583" t="str">
            <v>STS GAMBY &amp; FRERES (SOGAF) Sarl</v>
          </cell>
          <cell r="N1583" t="str">
            <v>STS GAMBY &amp; FRERES (SOGAF) SarlScratch 20 000</v>
          </cell>
          <cell r="O1583" t="str">
            <v>STS GAMBY &amp; FRERES (SOGAF) Sarl</v>
          </cell>
          <cell r="P1583" t="str">
            <v>Scratch 20 000</v>
          </cell>
          <cell r="Q1583" t="str">
            <v>62007</v>
          </cell>
          <cell r="R1583" t="str">
            <v>62007Scratch 20 000</v>
          </cell>
          <cell r="S1583" t="str">
            <v>2007Scratch 20 000</v>
          </cell>
          <cell r="T1583" t="str">
            <v>62007STS GAMBY &amp; FRERES (SOGAF) Sarl</v>
          </cell>
          <cell r="U1583" t="str">
            <v>62007STS GAMBY &amp; FRERES (SOGAF) SarlScratch 20 000</v>
          </cell>
          <cell r="V1583" t="str">
            <v>39252Scratch 20 000</v>
          </cell>
          <cell r="W1583" t="str">
            <v>2007STS GAMBY &amp; FRERES (SOGAF) Sarl</v>
          </cell>
          <cell r="X1583" t="str">
            <v>2007STS GAMBY &amp; FRERES (SOGAF) SarlScratch 20 000</v>
          </cell>
        </row>
        <row r="1584">
          <cell r="I1584">
            <v>2007</v>
          </cell>
          <cell r="J1584" t="str">
            <v>Bonneterie Nouvelle TelecomScratch 1 000</v>
          </cell>
          <cell r="L1584">
            <v>1</v>
          </cell>
          <cell r="M1584" t="str">
            <v>1Bonneterie Nouvelle Telecom</v>
          </cell>
          <cell r="N1584" t="str">
            <v>Bonneterie Nouvelle TelecomScratch 1 000</v>
          </cell>
          <cell r="O1584" t="str">
            <v>Bonneterie Nouvelle Telecom</v>
          </cell>
          <cell r="P1584" t="str">
            <v>Scratch 1 000</v>
          </cell>
          <cell r="Q1584" t="str">
            <v>62007</v>
          </cell>
          <cell r="R1584" t="str">
            <v>62007Scratch 1 000</v>
          </cell>
          <cell r="S1584" t="str">
            <v>2007Scratch 1 000</v>
          </cell>
          <cell r="T1584" t="str">
            <v>62007Bonneterie Nouvelle Telecom</v>
          </cell>
          <cell r="U1584" t="str">
            <v>62007Bonneterie Nouvelle TelecomScratch 1 000</v>
          </cell>
          <cell r="V1584" t="str">
            <v>39252Scratch 1 000</v>
          </cell>
          <cell r="W1584" t="str">
            <v>2007Bonneterie Nouvelle Telecom</v>
          </cell>
          <cell r="X1584" t="str">
            <v>2007Bonneterie Nouvelle TelecomScratch 1 000</v>
          </cell>
        </row>
        <row r="1585">
          <cell r="I1585">
            <v>2007</v>
          </cell>
          <cell r="J1585" t="str">
            <v>Bonneterie Nouvelle TelecomScratch 2 000</v>
          </cell>
          <cell r="L1585">
            <v>0</v>
          </cell>
          <cell r="M1585" t="str">
            <v>Bonneterie Nouvelle Telecom</v>
          </cell>
          <cell r="N1585" t="str">
            <v>Bonneterie Nouvelle TelecomScratch 2 000</v>
          </cell>
          <cell r="O1585" t="str">
            <v>Bonneterie Nouvelle Telecom</v>
          </cell>
          <cell r="P1585" t="str">
            <v>Scratch 2 000</v>
          </cell>
          <cell r="Q1585" t="str">
            <v>62007</v>
          </cell>
          <cell r="R1585" t="str">
            <v>62007Scratch 2 000</v>
          </cell>
          <cell r="S1585" t="str">
            <v>2007Scratch 2 000</v>
          </cell>
          <cell r="T1585" t="str">
            <v>62007Bonneterie Nouvelle Telecom</v>
          </cell>
          <cell r="U1585" t="str">
            <v>62007Bonneterie Nouvelle TelecomScratch 2 000</v>
          </cell>
          <cell r="V1585" t="str">
            <v>39252Scratch 2 000</v>
          </cell>
          <cell r="W1585" t="str">
            <v>2007Bonneterie Nouvelle Telecom</v>
          </cell>
          <cell r="X1585" t="str">
            <v>2007Bonneterie Nouvelle TelecomScratch 2 000</v>
          </cell>
        </row>
        <row r="1586">
          <cell r="I1586">
            <v>2007</v>
          </cell>
          <cell r="J1586" t="str">
            <v>Bonneterie Nouvelle TelecomScratch 5 000</v>
          </cell>
          <cell r="L1586">
            <v>0</v>
          </cell>
          <cell r="M1586" t="str">
            <v>Bonneterie Nouvelle Telecom</v>
          </cell>
          <cell r="N1586" t="str">
            <v>Bonneterie Nouvelle TelecomScratch 5 000</v>
          </cell>
          <cell r="O1586" t="str">
            <v>Bonneterie Nouvelle Telecom</v>
          </cell>
          <cell r="P1586" t="str">
            <v>Scratch 5 000</v>
          </cell>
          <cell r="Q1586" t="str">
            <v>62007</v>
          </cell>
          <cell r="R1586" t="str">
            <v>62007Scratch 5 000</v>
          </cell>
          <cell r="S1586" t="str">
            <v>2007Scratch 5 000</v>
          </cell>
          <cell r="T1586" t="str">
            <v>62007Bonneterie Nouvelle Telecom</v>
          </cell>
          <cell r="U1586" t="str">
            <v>62007Bonneterie Nouvelle TelecomScratch 5 000</v>
          </cell>
          <cell r="V1586" t="str">
            <v>39252Scratch 5 000</v>
          </cell>
          <cell r="W1586" t="str">
            <v>2007Bonneterie Nouvelle Telecom</v>
          </cell>
          <cell r="X1586" t="str">
            <v>2007Bonneterie Nouvelle TelecomScratch 5 000</v>
          </cell>
        </row>
        <row r="1587">
          <cell r="I1587">
            <v>2007</v>
          </cell>
          <cell r="J1587" t="str">
            <v>Bonneterie Nouvelle TelecomScratch 10 000</v>
          </cell>
          <cell r="L1587">
            <v>0</v>
          </cell>
          <cell r="M1587" t="str">
            <v>Bonneterie Nouvelle Telecom</v>
          </cell>
          <cell r="N1587" t="str">
            <v>Bonneterie Nouvelle TelecomScratch 10 000</v>
          </cell>
          <cell r="O1587" t="str">
            <v>Bonneterie Nouvelle Telecom</v>
          </cell>
          <cell r="P1587" t="str">
            <v>Scratch 10 000</v>
          </cell>
          <cell r="Q1587" t="str">
            <v>62007</v>
          </cell>
          <cell r="R1587" t="str">
            <v>62007Scratch 10 000</v>
          </cell>
          <cell r="S1587" t="str">
            <v>2007Scratch 10 000</v>
          </cell>
          <cell r="T1587" t="str">
            <v>62007Bonneterie Nouvelle Telecom</v>
          </cell>
          <cell r="U1587" t="str">
            <v>62007Bonneterie Nouvelle TelecomScratch 10 000</v>
          </cell>
          <cell r="V1587" t="str">
            <v>39252Scratch 10 000</v>
          </cell>
          <cell r="W1587" t="str">
            <v>2007Bonneterie Nouvelle Telecom</v>
          </cell>
          <cell r="X1587" t="str">
            <v>2007Bonneterie Nouvelle TelecomScratch 10 000</v>
          </cell>
        </row>
        <row r="1588">
          <cell r="I1588">
            <v>2007</v>
          </cell>
          <cell r="J1588" t="str">
            <v>Bonneterie Nouvelle TelecomScratch 20 000</v>
          </cell>
          <cell r="L1588">
            <v>0</v>
          </cell>
          <cell r="M1588" t="str">
            <v>Bonneterie Nouvelle Telecom</v>
          </cell>
          <cell r="N1588" t="str">
            <v>Bonneterie Nouvelle TelecomScratch 20 000</v>
          </cell>
          <cell r="O1588" t="str">
            <v>Bonneterie Nouvelle Telecom</v>
          </cell>
          <cell r="P1588" t="str">
            <v>Scratch 20 000</v>
          </cell>
          <cell r="Q1588" t="str">
            <v>62007</v>
          </cell>
          <cell r="R1588" t="str">
            <v>62007Scratch 20 000</v>
          </cell>
          <cell r="S1588" t="str">
            <v>2007Scratch 20 000</v>
          </cell>
          <cell r="T1588" t="str">
            <v>62007Bonneterie Nouvelle Telecom</v>
          </cell>
          <cell r="U1588" t="str">
            <v>62007Bonneterie Nouvelle TelecomScratch 20 000</v>
          </cell>
          <cell r="V1588" t="str">
            <v>39252Scratch 20 000</v>
          </cell>
          <cell r="W1588" t="str">
            <v>2007Bonneterie Nouvelle Telecom</v>
          </cell>
          <cell r="X1588" t="str">
            <v>2007Bonneterie Nouvelle TelecomScratch 20 000</v>
          </cell>
        </row>
        <row r="1589">
          <cell r="I1589">
            <v>2007</v>
          </cell>
          <cell r="J1589" t="str">
            <v>GEMATELScratch 1 000</v>
          </cell>
          <cell r="L1589">
            <v>1</v>
          </cell>
          <cell r="M1589" t="str">
            <v>1GEMATEL</v>
          </cell>
          <cell r="N1589" t="str">
            <v>GEMATELScratch 1 000</v>
          </cell>
          <cell r="O1589" t="str">
            <v>GEMATEL</v>
          </cell>
          <cell r="P1589" t="str">
            <v>Scratch 1 000</v>
          </cell>
          <cell r="Q1589" t="str">
            <v>62007</v>
          </cell>
          <cell r="R1589" t="str">
            <v>62007Scratch 1 000</v>
          </cell>
          <cell r="S1589" t="str">
            <v>2007Scratch 1 000</v>
          </cell>
          <cell r="T1589" t="str">
            <v>62007GEMATEL</v>
          </cell>
          <cell r="U1589" t="str">
            <v>62007GEMATELScratch 1 000</v>
          </cell>
          <cell r="V1589" t="str">
            <v>39252Scratch 1 000</v>
          </cell>
          <cell r="W1589" t="str">
            <v>2007GEMATEL</v>
          </cell>
          <cell r="X1589" t="str">
            <v>2007GEMATELScratch 1 000</v>
          </cell>
        </row>
        <row r="1590">
          <cell r="I1590">
            <v>2007</v>
          </cell>
          <cell r="J1590" t="str">
            <v>GEMATELScratch 2 000</v>
          </cell>
          <cell r="L1590">
            <v>0</v>
          </cell>
          <cell r="M1590" t="str">
            <v>GEMATEL</v>
          </cell>
          <cell r="N1590" t="str">
            <v>GEMATELScratch 2 000</v>
          </cell>
          <cell r="O1590" t="str">
            <v>GEMATEL</v>
          </cell>
          <cell r="P1590" t="str">
            <v>Scratch 2 000</v>
          </cell>
          <cell r="Q1590" t="str">
            <v>62007</v>
          </cell>
          <cell r="R1590" t="str">
            <v>62007Scratch 2 000</v>
          </cell>
          <cell r="S1590" t="str">
            <v>2007Scratch 2 000</v>
          </cell>
          <cell r="T1590" t="str">
            <v>62007GEMATEL</v>
          </cell>
          <cell r="U1590" t="str">
            <v>62007GEMATELScratch 2 000</v>
          </cell>
          <cell r="V1590" t="str">
            <v>39252Scratch 2 000</v>
          </cell>
          <cell r="W1590" t="str">
            <v>2007GEMATEL</v>
          </cell>
          <cell r="X1590" t="str">
            <v>2007GEMATELScratch 2 000</v>
          </cell>
        </row>
        <row r="1591">
          <cell r="I1591">
            <v>2007</v>
          </cell>
          <cell r="J1591" t="str">
            <v>GEMATELScratch 5 000</v>
          </cell>
          <cell r="L1591">
            <v>0</v>
          </cell>
          <cell r="M1591" t="str">
            <v>GEMATEL</v>
          </cell>
          <cell r="N1591" t="str">
            <v>GEMATELScratch 5 000</v>
          </cell>
          <cell r="O1591" t="str">
            <v>GEMATEL</v>
          </cell>
          <cell r="P1591" t="str">
            <v>Scratch 5 000</v>
          </cell>
          <cell r="Q1591" t="str">
            <v>62007</v>
          </cell>
          <cell r="R1591" t="str">
            <v>62007Scratch 5 000</v>
          </cell>
          <cell r="S1591" t="str">
            <v>2007Scratch 5 000</v>
          </cell>
          <cell r="T1591" t="str">
            <v>62007GEMATEL</v>
          </cell>
          <cell r="U1591" t="str">
            <v>62007GEMATELScratch 5 000</v>
          </cell>
          <cell r="V1591" t="str">
            <v>39252Scratch 5 000</v>
          </cell>
          <cell r="W1591" t="str">
            <v>2007GEMATEL</v>
          </cell>
          <cell r="X1591" t="str">
            <v>2007GEMATELScratch 5 000</v>
          </cell>
        </row>
        <row r="1592">
          <cell r="I1592">
            <v>2007</v>
          </cell>
          <cell r="J1592" t="str">
            <v>ANKA ServicesScratch 1 000</v>
          </cell>
          <cell r="L1592">
            <v>1</v>
          </cell>
          <cell r="M1592" t="str">
            <v>1ANKA Services</v>
          </cell>
          <cell r="N1592" t="str">
            <v>ANKA ServicesScratch 1 000</v>
          </cell>
          <cell r="O1592" t="str">
            <v>ANKA Services</v>
          </cell>
          <cell r="P1592" t="str">
            <v>Scratch 1 000</v>
          </cell>
          <cell r="Q1592" t="str">
            <v>62007</v>
          </cell>
          <cell r="R1592" t="str">
            <v>62007Scratch 1 000</v>
          </cell>
          <cell r="S1592" t="str">
            <v>2007Scratch 1 000</v>
          </cell>
          <cell r="T1592" t="str">
            <v>62007ANKA Services</v>
          </cell>
          <cell r="U1592" t="str">
            <v>62007ANKA ServicesScratch 1 000</v>
          </cell>
          <cell r="V1592" t="str">
            <v>39252Scratch 1 000</v>
          </cell>
          <cell r="W1592" t="str">
            <v>2007ANKA Services</v>
          </cell>
          <cell r="X1592" t="str">
            <v>2007ANKA ServicesScratch 1 000</v>
          </cell>
        </row>
        <row r="1593">
          <cell r="I1593">
            <v>2007</v>
          </cell>
          <cell r="J1593" t="str">
            <v>ANKA ServicesScratch 2 000</v>
          </cell>
          <cell r="L1593">
            <v>0</v>
          </cell>
          <cell r="M1593" t="str">
            <v>ANKA Services</v>
          </cell>
          <cell r="N1593" t="str">
            <v>ANKA ServicesScratch 2 000</v>
          </cell>
          <cell r="O1593" t="str">
            <v>ANKA Services</v>
          </cell>
          <cell r="P1593" t="str">
            <v>Scratch 2 000</v>
          </cell>
          <cell r="Q1593" t="str">
            <v>62007</v>
          </cell>
          <cell r="R1593" t="str">
            <v>62007Scratch 2 000</v>
          </cell>
          <cell r="S1593" t="str">
            <v>2007Scratch 2 000</v>
          </cell>
          <cell r="T1593" t="str">
            <v>62007ANKA Services</v>
          </cell>
          <cell r="U1593" t="str">
            <v>62007ANKA ServicesScratch 2 000</v>
          </cell>
          <cell r="V1593" t="str">
            <v>39252Scratch 2 000</v>
          </cell>
          <cell r="W1593" t="str">
            <v>2007ANKA Services</v>
          </cell>
          <cell r="X1593" t="str">
            <v>2007ANKA ServicesScratch 2 000</v>
          </cell>
        </row>
        <row r="1594">
          <cell r="I1594">
            <v>2007</v>
          </cell>
          <cell r="J1594" t="str">
            <v>ANKA ServicesScratch 5 000</v>
          </cell>
          <cell r="L1594">
            <v>0</v>
          </cell>
          <cell r="M1594" t="str">
            <v>ANKA Services</v>
          </cell>
          <cell r="N1594" t="str">
            <v>ANKA ServicesScratch 5 000</v>
          </cell>
          <cell r="O1594" t="str">
            <v>ANKA Services</v>
          </cell>
          <cell r="P1594" t="str">
            <v>Scratch 5 000</v>
          </cell>
          <cell r="Q1594" t="str">
            <v>62007</v>
          </cell>
          <cell r="R1594" t="str">
            <v>62007Scratch 5 000</v>
          </cell>
          <cell r="S1594" t="str">
            <v>2007Scratch 5 000</v>
          </cell>
          <cell r="T1594" t="str">
            <v>62007ANKA Services</v>
          </cell>
          <cell r="U1594" t="str">
            <v>62007ANKA ServicesScratch 5 000</v>
          </cell>
          <cell r="V1594" t="str">
            <v>39252Scratch 5 000</v>
          </cell>
          <cell r="W1594" t="str">
            <v>2007ANKA Services</v>
          </cell>
          <cell r="X1594" t="str">
            <v>2007ANKA ServicesScratch 5 000</v>
          </cell>
        </row>
        <row r="1595">
          <cell r="I1595">
            <v>2007</v>
          </cell>
          <cell r="J1595" t="str">
            <v>SOLEIL LEVANTScratch 1 000</v>
          </cell>
          <cell r="L1595">
            <v>1</v>
          </cell>
          <cell r="M1595" t="str">
            <v>1SOLEIL LEVANT</v>
          </cell>
          <cell r="N1595" t="str">
            <v>SOLEIL LEVANTScratch 1 000</v>
          </cell>
          <cell r="O1595" t="str">
            <v>SOLEIL LEVANT</v>
          </cell>
          <cell r="P1595" t="str">
            <v>Scratch 1 000</v>
          </cell>
          <cell r="Q1595" t="str">
            <v>62007</v>
          </cell>
          <cell r="R1595" t="str">
            <v>62007Scratch 1 000</v>
          </cell>
          <cell r="S1595" t="str">
            <v>2007Scratch 1 000</v>
          </cell>
          <cell r="T1595" t="str">
            <v>62007SOLEIL LEVANT</v>
          </cell>
          <cell r="U1595" t="str">
            <v>62007SOLEIL LEVANTScratch 1 000</v>
          </cell>
          <cell r="V1595" t="str">
            <v>39253Scratch 1 000</v>
          </cell>
          <cell r="W1595" t="str">
            <v>2007SOLEIL LEVANT</v>
          </cell>
          <cell r="X1595" t="str">
            <v>2007SOLEIL LEVANTScratch 1 000</v>
          </cell>
        </row>
        <row r="1596">
          <cell r="I1596">
            <v>2007</v>
          </cell>
          <cell r="J1596" t="str">
            <v>SOLEIL LEVANTScratch 2 000</v>
          </cell>
          <cell r="L1596">
            <v>0</v>
          </cell>
          <cell r="M1596" t="str">
            <v>SOLEIL LEVANT</v>
          </cell>
          <cell r="N1596" t="str">
            <v>SOLEIL LEVANTScratch 2 000</v>
          </cell>
          <cell r="O1596" t="str">
            <v>SOLEIL LEVANT</v>
          </cell>
          <cell r="P1596" t="str">
            <v>Scratch 2 000</v>
          </cell>
          <cell r="Q1596" t="str">
            <v>62007</v>
          </cell>
          <cell r="R1596" t="str">
            <v>62007Scratch 2 000</v>
          </cell>
          <cell r="S1596" t="str">
            <v>2007Scratch 2 000</v>
          </cell>
          <cell r="T1596" t="str">
            <v>62007SOLEIL LEVANT</v>
          </cell>
          <cell r="U1596" t="str">
            <v>62007SOLEIL LEVANTScratch 2 000</v>
          </cell>
          <cell r="V1596" t="str">
            <v>39253Scratch 2 000</v>
          </cell>
          <cell r="W1596" t="str">
            <v>2007SOLEIL LEVANT</v>
          </cell>
          <cell r="X1596" t="str">
            <v>2007SOLEIL LEVANTScratch 2 000</v>
          </cell>
        </row>
        <row r="1597">
          <cell r="I1597">
            <v>2007</v>
          </cell>
          <cell r="J1597" t="str">
            <v>SOLEIL LEVANTScratch 5 000</v>
          </cell>
          <cell r="L1597">
            <v>0</v>
          </cell>
          <cell r="M1597" t="str">
            <v>SOLEIL LEVANT</v>
          </cell>
          <cell r="N1597" t="str">
            <v>SOLEIL LEVANTScratch 5 000</v>
          </cell>
          <cell r="O1597" t="str">
            <v>SOLEIL LEVANT</v>
          </cell>
          <cell r="P1597" t="str">
            <v>Scratch 5 000</v>
          </cell>
          <cell r="Q1597" t="str">
            <v>62007</v>
          </cell>
          <cell r="R1597" t="str">
            <v>62007Scratch 5 000</v>
          </cell>
          <cell r="S1597" t="str">
            <v>2007Scratch 5 000</v>
          </cell>
          <cell r="T1597" t="str">
            <v>62007SOLEIL LEVANT</v>
          </cell>
          <cell r="U1597" t="str">
            <v>62007SOLEIL LEVANTScratch 5 000</v>
          </cell>
          <cell r="V1597" t="str">
            <v>39253Scratch 5 000</v>
          </cell>
          <cell r="W1597" t="str">
            <v>2007SOLEIL LEVANT</v>
          </cell>
          <cell r="X1597" t="str">
            <v>2007SOLEIL LEVANTScratch 5 000</v>
          </cell>
        </row>
        <row r="1598">
          <cell r="I1598">
            <v>2007</v>
          </cell>
          <cell r="J1598" t="str">
            <v>STS GAMBY &amp; FRERES (SOGAF) SarlScratch 1 000</v>
          </cell>
          <cell r="L1598">
            <v>1</v>
          </cell>
          <cell r="M1598" t="str">
            <v>1STS GAMBY &amp; FRERES (SOGAF) Sarl</v>
          </cell>
          <cell r="N1598" t="str">
            <v>STS GAMBY &amp; FRERES (SOGAF) SarlScratch 1 000</v>
          </cell>
          <cell r="O1598" t="str">
            <v>STS GAMBY &amp; FRERES (SOGAF) Sarl</v>
          </cell>
          <cell r="P1598" t="str">
            <v>Scratch 1 000</v>
          </cell>
          <cell r="Q1598" t="str">
            <v>62007</v>
          </cell>
          <cell r="R1598" t="str">
            <v>62007Scratch 1 000</v>
          </cell>
          <cell r="S1598" t="str">
            <v>2007Scratch 1 000</v>
          </cell>
          <cell r="T1598" t="str">
            <v>62007STS GAMBY &amp; FRERES (SOGAF) Sarl</v>
          </cell>
          <cell r="U1598" t="str">
            <v>62007STS GAMBY &amp; FRERES (SOGAF) SarlScratch 1 000</v>
          </cell>
          <cell r="V1598" t="str">
            <v>39253Scratch 1 000</v>
          </cell>
          <cell r="W1598" t="str">
            <v>2007STS GAMBY &amp; FRERES (SOGAF) Sarl</v>
          </cell>
          <cell r="X1598" t="str">
            <v>2007STS GAMBY &amp; FRERES (SOGAF) SarlScratch 1 000</v>
          </cell>
        </row>
        <row r="1599">
          <cell r="I1599">
            <v>2007</v>
          </cell>
          <cell r="J1599" t="str">
            <v>STS GAMBY &amp; FRERES (SOGAF) SarlScratch 2 000</v>
          </cell>
          <cell r="L1599">
            <v>0</v>
          </cell>
          <cell r="M1599" t="str">
            <v>STS GAMBY &amp; FRERES (SOGAF) Sarl</v>
          </cell>
          <cell r="N1599" t="str">
            <v>STS GAMBY &amp; FRERES (SOGAF) SarlScratch 2 000</v>
          </cell>
          <cell r="O1599" t="str">
            <v>STS GAMBY &amp; FRERES (SOGAF) Sarl</v>
          </cell>
          <cell r="P1599" t="str">
            <v>Scratch 2 000</v>
          </cell>
          <cell r="Q1599" t="str">
            <v>62007</v>
          </cell>
          <cell r="R1599" t="str">
            <v>62007Scratch 2 000</v>
          </cell>
          <cell r="S1599" t="str">
            <v>2007Scratch 2 000</v>
          </cell>
          <cell r="T1599" t="str">
            <v>62007STS GAMBY &amp; FRERES (SOGAF) Sarl</v>
          </cell>
          <cell r="U1599" t="str">
            <v>62007STS GAMBY &amp; FRERES (SOGAF) SarlScratch 2 000</v>
          </cell>
          <cell r="V1599" t="str">
            <v>39253Scratch 2 000</v>
          </cell>
          <cell r="W1599" t="str">
            <v>2007STS GAMBY &amp; FRERES (SOGAF) Sarl</v>
          </cell>
          <cell r="X1599" t="str">
            <v>2007STS GAMBY &amp; FRERES (SOGAF) SarlScratch 2 000</v>
          </cell>
        </row>
        <row r="1600">
          <cell r="I1600">
            <v>2007</v>
          </cell>
          <cell r="J1600" t="str">
            <v>STS GAMBY &amp; FRERES (SOGAF) SarlScratch 5 000</v>
          </cell>
          <cell r="L1600">
            <v>0</v>
          </cell>
          <cell r="M1600" t="str">
            <v>STS GAMBY &amp; FRERES (SOGAF) Sarl</v>
          </cell>
          <cell r="N1600" t="str">
            <v>STS GAMBY &amp; FRERES (SOGAF) SarlScratch 5 000</v>
          </cell>
          <cell r="O1600" t="str">
            <v>STS GAMBY &amp; FRERES (SOGAF) Sarl</v>
          </cell>
          <cell r="P1600" t="str">
            <v>Scratch 5 000</v>
          </cell>
          <cell r="Q1600" t="str">
            <v>62007</v>
          </cell>
          <cell r="R1600" t="str">
            <v>62007Scratch 5 000</v>
          </cell>
          <cell r="S1600" t="str">
            <v>2007Scratch 5 000</v>
          </cell>
          <cell r="T1600" t="str">
            <v>62007STS GAMBY &amp; FRERES (SOGAF) Sarl</v>
          </cell>
          <cell r="U1600" t="str">
            <v>62007STS GAMBY &amp; FRERES (SOGAF) SarlScratch 5 000</v>
          </cell>
          <cell r="V1600" t="str">
            <v>39253Scratch 5 000</v>
          </cell>
          <cell r="W1600" t="str">
            <v>2007STS GAMBY &amp; FRERES (SOGAF) Sarl</v>
          </cell>
          <cell r="X1600" t="str">
            <v>2007STS GAMBY &amp; FRERES (SOGAF) SarlScratch 5 000</v>
          </cell>
        </row>
        <row r="1601">
          <cell r="I1601">
            <v>2007</v>
          </cell>
          <cell r="J1601" t="str">
            <v>ANKA ServicesScratch 1 000</v>
          </cell>
          <cell r="L1601">
            <v>1</v>
          </cell>
          <cell r="M1601" t="str">
            <v>1ANKA Services</v>
          </cell>
          <cell r="N1601" t="str">
            <v>ANKA ServicesScratch 1 000</v>
          </cell>
          <cell r="O1601" t="str">
            <v>ANKA Services</v>
          </cell>
          <cell r="P1601" t="str">
            <v>Scratch 1 000</v>
          </cell>
          <cell r="Q1601" t="str">
            <v>62007</v>
          </cell>
          <cell r="R1601" t="str">
            <v>62007Scratch 1 000</v>
          </cell>
          <cell r="S1601" t="str">
            <v>2007Scratch 1 000</v>
          </cell>
          <cell r="T1601" t="str">
            <v>62007ANKA Services</v>
          </cell>
          <cell r="U1601" t="str">
            <v>62007ANKA ServicesScratch 1 000</v>
          </cell>
          <cell r="V1601" t="str">
            <v>39253Scratch 1 000</v>
          </cell>
          <cell r="W1601" t="str">
            <v>2007ANKA Services</v>
          </cell>
          <cell r="X1601" t="str">
            <v>2007ANKA ServicesScratch 1 000</v>
          </cell>
        </row>
        <row r="1602">
          <cell r="I1602">
            <v>2007</v>
          </cell>
          <cell r="J1602" t="str">
            <v>ANKA ServicesScratch 2 000</v>
          </cell>
          <cell r="L1602">
            <v>0</v>
          </cell>
          <cell r="M1602" t="str">
            <v>ANKA Services</v>
          </cell>
          <cell r="N1602" t="str">
            <v>ANKA ServicesScratch 2 000</v>
          </cell>
          <cell r="O1602" t="str">
            <v>ANKA Services</v>
          </cell>
          <cell r="P1602" t="str">
            <v>Scratch 2 000</v>
          </cell>
          <cell r="Q1602" t="str">
            <v>62007</v>
          </cell>
          <cell r="R1602" t="str">
            <v>62007Scratch 2 000</v>
          </cell>
          <cell r="S1602" t="str">
            <v>2007Scratch 2 000</v>
          </cell>
          <cell r="T1602" t="str">
            <v>62007ANKA Services</v>
          </cell>
          <cell r="U1602" t="str">
            <v>62007ANKA ServicesScratch 2 000</v>
          </cell>
          <cell r="V1602" t="str">
            <v>39253Scratch 2 000</v>
          </cell>
          <cell r="W1602" t="str">
            <v>2007ANKA Services</v>
          </cell>
          <cell r="X1602" t="str">
            <v>2007ANKA ServicesScratch 2 000</v>
          </cell>
        </row>
        <row r="1603">
          <cell r="I1603">
            <v>2007</v>
          </cell>
          <cell r="J1603" t="str">
            <v>ANKA ServicesScratch 5 000</v>
          </cell>
          <cell r="L1603">
            <v>0</v>
          </cell>
          <cell r="M1603" t="str">
            <v>ANKA Services</v>
          </cell>
          <cell r="N1603" t="str">
            <v>ANKA ServicesScratch 5 000</v>
          </cell>
          <cell r="O1603" t="str">
            <v>ANKA Services</v>
          </cell>
          <cell r="P1603" t="str">
            <v>Scratch 5 000</v>
          </cell>
          <cell r="Q1603" t="str">
            <v>62007</v>
          </cell>
          <cell r="R1603" t="str">
            <v>62007Scratch 5 000</v>
          </cell>
          <cell r="S1603" t="str">
            <v>2007Scratch 5 000</v>
          </cell>
          <cell r="T1603" t="str">
            <v>62007ANKA Services</v>
          </cell>
          <cell r="U1603" t="str">
            <v>62007ANKA ServicesScratch 5 000</v>
          </cell>
          <cell r="V1603" t="str">
            <v>39253Scratch 5 000</v>
          </cell>
          <cell r="W1603" t="str">
            <v>2007ANKA Services</v>
          </cell>
          <cell r="X1603" t="str">
            <v>2007ANKA ServicesScratch 5 000</v>
          </cell>
        </row>
        <row r="1604">
          <cell r="I1604">
            <v>2007</v>
          </cell>
          <cell r="J1604" t="str">
            <v>ANKA ServicesScratch 10 000</v>
          </cell>
          <cell r="L1604">
            <v>0</v>
          </cell>
          <cell r="M1604" t="str">
            <v>ANKA Services</v>
          </cell>
          <cell r="N1604" t="str">
            <v>ANKA ServicesScratch 10 000</v>
          </cell>
          <cell r="O1604" t="str">
            <v>ANKA Services</v>
          </cell>
          <cell r="P1604" t="str">
            <v>Scratch 10 000</v>
          </cell>
          <cell r="Q1604" t="str">
            <v>62007</v>
          </cell>
          <cell r="R1604" t="str">
            <v>62007Scratch 10 000</v>
          </cell>
          <cell r="S1604" t="str">
            <v>2007Scratch 10 000</v>
          </cell>
          <cell r="T1604" t="str">
            <v>62007ANKA Services</v>
          </cell>
          <cell r="U1604" t="str">
            <v>62007ANKA ServicesScratch 10 000</v>
          </cell>
          <cell r="V1604" t="str">
            <v>39253Scratch 10 000</v>
          </cell>
          <cell r="W1604" t="str">
            <v>2007ANKA Services</v>
          </cell>
          <cell r="X1604" t="str">
            <v>2007ANKA ServicesScratch 10 000</v>
          </cell>
        </row>
        <row r="1605">
          <cell r="I1605">
            <v>2007</v>
          </cell>
          <cell r="J1605" t="str">
            <v>ANKA ServicesScratch 20 000</v>
          </cell>
          <cell r="L1605">
            <v>0</v>
          </cell>
          <cell r="M1605" t="str">
            <v>ANKA Services</v>
          </cell>
          <cell r="N1605" t="str">
            <v>ANKA ServicesScratch 20 000</v>
          </cell>
          <cell r="O1605" t="str">
            <v>ANKA Services</v>
          </cell>
          <cell r="P1605" t="str">
            <v>Scratch 20 000</v>
          </cell>
          <cell r="Q1605" t="str">
            <v>62007</v>
          </cell>
          <cell r="R1605" t="str">
            <v>62007Scratch 20 000</v>
          </cell>
          <cell r="S1605" t="str">
            <v>2007Scratch 20 000</v>
          </cell>
          <cell r="T1605" t="str">
            <v>62007ANKA Services</v>
          </cell>
          <cell r="U1605" t="str">
            <v>62007ANKA ServicesScratch 20 000</v>
          </cell>
          <cell r="V1605" t="str">
            <v>39253Scratch 20 000</v>
          </cell>
          <cell r="W1605" t="str">
            <v>2007ANKA Services</v>
          </cell>
          <cell r="X1605" t="str">
            <v>2007ANKA ServicesScratch 20 000</v>
          </cell>
        </row>
        <row r="1606">
          <cell r="I1606">
            <v>2007</v>
          </cell>
          <cell r="J1606" t="str">
            <v>GEMATELScratch 1 000</v>
          </cell>
          <cell r="L1606">
            <v>1</v>
          </cell>
          <cell r="M1606" t="str">
            <v>1GEMATEL</v>
          </cell>
          <cell r="N1606" t="str">
            <v>GEMATELScratch 1 000</v>
          </cell>
          <cell r="O1606" t="str">
            <v>GEMATEL</v>
          </cell>
          <cell r="P1606" t="str">
            <v>Scratch 1 000</v>
          </cell>
          <cell r="Q1606" t="str">
            <v>62007</v>
          </cell>
          <cell r="R1606" t="str">
            <v>62007Scratch 1 000</v>
          </cell>
          <cell r="S1606" t="str">
            <v>2007Scratch 1 000</v>
          </cell>
          <cell r="T1606" t="str">
            <v>62007GEMATEL</v>
          </cell>
          <cell r="U1606" t="str">
            <v>62007GEMATELScratch 1 000</v>
          </cell>
          <cell r="V1606" t="str">
            <v>39253Scratch 1 000</v>
          </cell>
          <cell r="W1606" t="str">
            <v>2007GEMATEL</v>
          </cell>
          <cell r="X1606" t="str">
            <v>2007GEMATELScratch 1 000</v>
          </cell>
        </row>
        <row r="1607">
          <cell r="I1607">
            <v>2007</v>
          </cell>
          <cell r="J1607" t="str">
            <v>GEMATELScratch 2 000</v>
          </cell>
          <cell r="L1607">
            <v>0</v>
          </cell>
          <cell r="M1607" t="str">
            <v>GEMATEL</v>
          </cell>
          <cell r="N1607" t="str">
            <v>GEMATELScratch 2 000</v>
          </cell>
          <cell r="O1607" t="str">
            <v>GEMATEL</v>
          </cell>
          <cell r="P1607" t="str">
            <v>Scratch 2 000</v>
          </cell>
          <cell r="Q1607" t="str">
            <v>62007</v>
          </cell>
          <cell r="R1607" t="str">
            <v>62007Scratch 2 000</v>
          </cell>
          <cell r="S1607" t="str">
            <v>2007Scratch 2 000</v>
          </cell>
          <cell r="T1607" t="str">
            <v>62007GEMATEL</v>
          </cell>
          <cell r="U1607" t="str">
            <v>62007GEMATELScratch 2 000</v>
          </cell>
          <cell r="V1607" t="str">
            <v>39253Scratch 2 000</v>
          </cell>
          <cell r="W1607" t="str">
            <v>2007GEMATEL</v>
          </cell>
          <cell r="X1607" t="str">
            <v>2007GEMATELScratch 2 000</v>
          </cell>
        </row>
        <row r="1608">
          <cell r="I1608">
            <v>2007</v>
          </cell>
          <cell r="J1608" t="str">
            <v>GEMATELScratch 5 000</v>
          </cell>
          <cell r="L1608">
            <v>0</v>
          </cell>
          <cell r="M1608" t="str">
            <v>GEMATEL</v>
          </cell>
          <cell r="N1608" t="str">
            <v>GEMATELScratch 5 000</v>
          </cell>
          <cell r="O1608" t="str">
            <v>GEMATEL</v>
          </cell>
          <cell r="P1608" t="str">
            <v>Scratch 5 000</v>
          </cell>
          <cell r="Q1608" t="str">
            <v>62007</v>
          </cell>
          <cell r="R1608" t="str">
            <v>62007Scratch 5 000</v>
          </cell>
          <cell r="S1608" t="str">
            <v>2007Scratch 5 000</v>
          </cell>
          <cell r="T1608" t="str">
            <v>62007GEMATEL</v>
          </cell>
          <cell r="U1608" t="str">
            <v>62007GEMATELScratch 5 000</v>
          </cell>
          <cell r="V1608" t="str">
            <v>39253Scratch 5 000</v>
          </cell>
          <cell r="W1608" t="str">
            <v>2007GEMATEL</v>
          </cell>
          <cell r="X1608" t="str">
            <v>2007GEMATELScratch 5 000</v>
          </cell>
        </row>
        <row r="1609">
          <cell r="I1609">
            <v>2007</v>
          </cell>
          <cell r="J1609" t="str">
            <v>GEMATELScratch 10 000</v>
          </cell>
          <cell r="L1609">
            <v>0</v>
          </cell>
          <cell r="M1609" t="str">
            <v>GEMATEL</v>
          </cell>
          <cell r="N1609" t="str">
            <v>GEMATELScratch 10 000</v>
          </cell>
          <cell r="O1609" t="str">
            <v>GEMATEL</v>
          </cell>
          <cell r="P1609" t="str">
            <v>Scratch 10 000</v>
          </cell>
          <cell r="Q1609" t="str">
            <v>62007</v>
          </cell>
          <cell r="R1609" t="str">
            <v>62007Scratch 10 000</v>
          </cell>
          <cell r="S1609" t="str">
            <v>2007Scratch 10 000</v>
          </cell>
          <cell r="T1609" t="str">
            <v>62007GEMATEL</v>
          </cell>
          <cell r="U1609" t="str">
            <v>62007GEMATELScratch 10 000</v>
          </cell>
          <cell r="V1609" t="str">
            <v>39253Scratch 10 000</v>
          </cell>
          <cell r="W1609" t="str">
            <v>2007GEMATEL</v>
          </cell>
          <cell r="X1609" t="str">
            <v>2007GEMATELScratch 10 000</v>
          </cell>
        </row>
        <row r="1610">
          <cell r="I1610">
            <v>2007</v>
          </cell>
          <cell r="J1610" t="str">
            <v>GEMATELScratch 20 000</v>
          </cell>
          <cell r="L1610">
            <v>0</v>
          </cell>
          <cell r="M1610" t="str">
            <v>GEMATEL</v>
          </cell>
          <cell r="N1610" t="str">
            <v>GEMATELScratch 20 000</v>
          </cell>
          <cell r="O1610" t="str">
            <v>GEMATEL</v>
          </cell>
          <cell r="P1610" t="str">
            <v>Scratch 20 000</v>
          </cell>
          <cell r="Q1610" t="str">
            <v>62007</v>
          </cell>
          <cell r="R1610" t="str">
            <v>62007Scratch 20 000</v>
          </cell>
          <cell r="S1610" t="str">
            <v>2007Scratch 20 000</v>
          </cell>
          <cell r="T1610" t="str">
            <v>62007GEMATEL</v>
          </cell>
          <cell r="U1610" t="str">
            <v>62007GEMATELScratch 20 000</v>
          </cell>
          <cell r="V1610" t="str">
            <v>39253Scratch 20 000</v>
          </cell>
          <cell r="W1610" t="str">
            <v>2007GEMATEL</v>
          </cell>
          <cell r="X1610" t="str">
            <v>2007GEMATELScratch 20 000</v>
          </cell>
        </row>
        <row r="1611">
          <cell r="I1611">
            <v>2007</v>
          </cell>
          <cell r="J1611" t="str">
            <v>STS GAMBY &amp; FRERES (SOGAF) SarlScratch 1 000</v>
          </cell>
          <cell r="L1611">
            <v>1</v>
          </cell>
          <cell r="M1611" t="str">
            <v>1STS GAMBY &amp; FRERES (SOGAF) Sarl</v>
          </cell>
          <cell r="N1611" t="str">
            <v>STS GAMBY &amp; FRERES (SOGAF) SarlScratch 1 000</v>
          </cell>
          <cell r="O1611" t="str">
            <v>STS GAMBY &amp; FRERES (SOGAF) Sarl</v>
          </cell>
          <cell r="P1611" t="str">
            <v>Scratch 1 000</v>
          </cell>
          <cell r="Q1611" t="str">
            <v>62007</v>
          </cell>
          <cell r="R1611" t="str">
            <v>62007Scratch 1 000</v>
          </cell>
          <cell r="S1611" t="str">
            <v>2007Scratch 1 000</v>
          </cell>
          <cell r="T1611" t="str">
            <v>62007STS GAMBY &amp; FRERES (SOGAF) Sarl</v>
          </cell>
          <cell r="U1611" t="str">
            <v>62007STS GAMBY &amp; FRERES (SOGAF) SarlScratch 1 000</v>
          </cell>
          <cell r="V1611" t="str">
            <v>39254Scratch 1 000</v>
          </cell>
          <cell r="W1611" t="str">
            <v>2007STS GAMBY &amp; FRERES (SOGAF) Sarl</v>
          </cell>
          <cell r="X1611" t="str">
            <v>2007STS GAMBY &amp; FRERES (SOGAF) SarlScratch 1 000</v>
          </cell>
        </row>
        <row r="1612">
          <cell r="I1612">
            <v>2007</v>
          </cell>
          <cell r="J1612" t="str">
            <v>STS GAMBY &amp; FRERES (SOGAF) SarlScratch 2 000</v>
          </cell>
          <cell r="L1612">
            <v>0</v>
          </cell>
          <cell r="M1612" t="str">
            <v>STS GAMBY &amp; FRERES (SOGAF) Sarl</v>
          </cell>
          <cell r="N1612" t="str">
            <v>STS GAMBY &amp; FRERES (SOGAF) SarlScratch 2 000</v>
          </cell>
          <cell r="O1612" t="str">
            <v>STS GAMBY &amp; FRERES (SOGAF) Sarl</v>
          </cell>
          <cell r="P1612" t="str">
            <v>Scratch 2 000</v>
          </cell>
          <cell r="Q1612" t="str">
            <v>62007</v>
          </cell>
          <cell r="R1612" t="str">
            <v>62007Scratch 2 000</v>
          </cell>
          <cell r="S1612" t="str">
            <v>2007Scratch 2 000</v>
          </cell>
          <cell r="T1612" t="str">
            <v>62007STS GAMBY &amp; FRERES (SOGAF) Sarl</v>
          </cell>
          <cell r="U1612" t="str">
            <v>62007STS GAMBY &amp; FRERES (SOGAF) SarlScratch 2 000</v>
          </cell>
          <cell r="V1612" t="str">
            <v>39254Scratch 2 000</v>
          </cell>
          <cell r="W1612" t="str">
            <v>2007STS GAMBY &amp; FRERES (SOGAF) Sarl</v>
          </cell>
          <cell r="X1612" t="str">
            <v>2007STS GAMBY &amp; FRERES (SOGAF) SarlScratch 2 000</v>
          </cell>
        </row>
        <row r="1613">
          <cell r="I1613">
            <v>2007</v>
          </cell>
          <cell r="J1613" t="str">
            <v>STS GAMBY &amp; FRERES (SOGAF) SarlScratch 5 000</v>
          </cell>
          <cell r="L1613">
            <v>0</v>
          </cell>
          <cell r="M1613" t="str">
            <v>STS GAMBY &amp; FRERES (SOGAF) Sarl</v>
          </cell>
          <cell r="N1613" t="str">
            <v>STS GAMBY &amp; FRERES (SOGAF) SarlScratch 5 000</v>
          </cell>
          <cell r="O1613" t="str">
            <v>STS GAMBY &amp; FRERES (SOGAF) Sarl</v>
          </cell>
          <cell r="P1613" t="str">
            <v>Scratch 5 000</v>
          </cell>
          <cell r="Q1613" t="str">
            <v>62007</v>
          </cell>
          <cell r="R1613" t="str">
            <v>62007Scratch 5 000</v>
          </cell>
          <cell r="S1613" t="str">
            <v>2007Scratch 5 000</v>
          </cell>
          <cell r="T1613" t="str">
            <v>62007STS GAMBY &amp; FRERES (SOGAF) Sarl</v>
          </cell>
          <cell r="U1613" t="str">
            <v>62007STS GAMBY &amp; FRERES (SOGAF) SarlScratch 5 000</v>
          </cell>
          <cell r="V1613" t="str">
            <v>39254Scratch 5 000</v>
          </cell>
          <cell r="W1613" t="str">
            <v>2007STS GAMBY &amp; FRERES (SOGAF) Sarl</v>
          </cell>
          <cell r="X1613" t="str">
            <v>2007STS GAMBY &amp; FRERES (SOGAF) SarlScratch 5 000</v>
          </cell>
        </row>
        <row r="1614">
          <cell r="I1614">
            <v>2007</v>
          </cell>
          <cell r="J1614" t="str">
            <v>STS GAMBY &amp; FRERES (SOGAF) SarlScratch 20 000</v>
          </cell>
          <cell r="L1614">
            <v>0</v>
          </cell>
          <cell r="M1614" t="str">
            <v>STS GAMBY &amp; FRERES (SOGAF) Sarl</v>
          </cell>
          <cell r="N1614" t="str">
            <v>STS GAMBY &amp; FRERES (SOGAF) SarlScratch 20 000</v>
          </cell>
          <cell r="O1614" t="str">
            <v>STS GAMBY &amp; FRERES (SOGAF) Sarl</v>
          </cell>
          <cell r="P1614" t="str">
            <v>Scratch 20 000</v>
          </cell>
          <cell r="Q1614" t="str">
            <v>62007</v>
          </cell>
          <cell r="R1614" t="str">
            <v>62007Scratch 20 000</v>
          </cell>
          <cell r="S1614" t="str">
            <v>2007Scratch 20 000</v>
          </cell>
          <cell r="T1614" t="str">
            <v>62007STS GAMBY &amp; FRERES (SOGAF) Sarl</v>
          </cell>
          <cell r="U1614" t="str">
            <v>62007STS GAMBY &amp; FRERES (SOGAF) SarlScratch 20 000</v>
          </cell>
          <cell r="V1614" t="str">
            <v>39254Scratch 20 000</v>
          </cell>
          <cell r="W1614" t="str">
            <v>2007STS GAMBY &amp; FRERES (SOGAF) Sarl</v>
          </cell>
          <cell r="X1614" t="str">
            <v>2007STS GAMBY &amp; FRERES (SOGAF) SarlScratch 20 000</v>
          </cell>
        </row>
        <row r="1615">
          <cell r="I1615">
            <v>2007</v>
          </cell>
          <cell r="J1615" t="str">
            <v>Compagnie Internationale de NegoceScratch 1 000</v>
          </cell>
          <cell r="L1615">
            <v>1</v>
          </cell>
          <cell r="M1615" t="str">
            <v>1Compagnie Internationale de Negoce</v>
          </cell>
          <cell r="N1615" t="str">
            <v>Compagnie Internationale de NegoceScratch 1 000</v>
          </cell>
          <cell r="O1615" t="str">
            <v>Compagnie Internationale de Negoce</v>
          </cell>
          <cell r="P1615" t="str">
            <v>Scratch 1 000</v>
          </cell>
          <cell r="Q1615" t="str">
            <v>62007</v>
          </cell>
          <cell r="R1615" t="str">
            <v>62007Scratch 1 000</v>
          </cell>
          <cell r="S1615" t="str">
            <v>2007Scratch 1 000</v>
          </cell>
          <cell r="T1615" t="str">
            <v>62007Compagnie Internationale de Negoce</v>
          </cell>
          <cell r="U1615" t="str">
            <v>62007Compagnie Internationale de NegoceScratch 1 000</v>
          </cell>
          <cell r="V1615" t="str">
            <v>39254Scratch 1 000</v>
          </cell>
          <cell r="W1615" t="str">
            <v>2007Compagnie Internationale de Negoce</v>
          </cell>
          <cell r="X1615" t="str">
            <v>2007Compagnie Internationale de NegoceScratch 1 000</v>
          </cell>
        </row>
        <row r="1616">
          <cell r="I1616">
            <v>2007</v>
          </cell>
          <cell r="J1616" t="str">
            <v>Compagnie Internationale de NegoceScratch 2 000</v>
          </cell>
          <cell r="L1616">
            <v>0</v>
          </cell>
          <cell r="M1616" t="str">
            <v>Compagnie Internationale de Negoce</v>
          </cell>
          <cell r="N1616" t="str">
            <v>Compagnie Internationale de NegoceScratch 2 000</v>
          </cell>
          <cell r="O1616" t="str">
            <v>Compagnie Internationale de Negoce</v>
          </cell>
          <cell r="P1616" t="str">
            <v>Scratch 2 000</v>
          </cell>
          <cell r="Q1616" t="str">
            <v>62007</v>
          </cell>
          <cell r="R1616" t="str">
            <v>62007Scratch 2 000</v>
          </cell>
          <cell r="S1616" t="str">
            <v>2007Scratch 2 000</v>
          </cell>
          <cell r="T1616" t="str">
            <v>62007Compagnie Internationale de Negoce</v>
          </cell>
          <cell r="U1616" t="str">
            <v>62007Compagnie Internationale de NegoceScratch 2 000</v>
          </cell>
          <cell r="V1616" t="str">
            <v>39254Scratch 2 000</v>
          </cell>
          <cell r="W1616" t="str">
            <v>2007Compagnie Internationale de Negoce</v>
          </cell>
          <cell r="X1616" t="str">
            <v>2007Compagnie Internationale de NegoceScratch 2 000</v>
          </cell>
        </row>
        <row r="1617">
          <cell r="I1617">
            <v>2007</v>
          </cell>
          <cell r="J1617" t="str">
            <v>Compagnie Internationale de NegoceScratch 5 000</v>
          </cell>
          <cell r="L1617">
            <v>0</v>
          </cell>
          <cell r="M1617" t="str">
            <v>Compagnie Internationale de Negoce</v>
          </cell>
          <cell r="N1617" t="str">
            <v>Compagnie Internationale de NegoceScratch 5 000</v>
          </cell>
          <cell r="O1617" t="str">
            <v>Compagnie Internationale de Negoce</v>
          </cell>
          <cell r="P1617" t="str">
            <v>Scratch 5 000</v>
          </cell>
          <cell r="Q1617" t="str">
            <v>62007</v>
          </cell>
          <cell r="R1617" t="str">
            <v>62007Scratch 5 000</v>
          </cell>
          <cell r="S1617" t="str">
            <v>2007Scratch 5 000</v>
          </cell>
          <cell r="T1617" t="str">
            <v>62007Compagnie Internationale de Negoce</v>
          </cell>
          <cell r="U1617" t="str">
            <v>62007Compagnie Internationale de NegoceScratch 5 000</v>
          </cell>
          <cell r="V1617" t="str">
            <v>39254Scratch 5 000</v>
          </cell>
          <cell r="W1617" t="str">
            <v>2007Compagnie Internationale de Negoce</v>
          </cell>
          <cell r="X1617" t="str">
            <v>2007Compagnie Internationale de NegoceScratch 5 000</v>
          </cell>
        </row>
        <row r="1618">
          <cell r="I1618">
            <v>2007</v>
          </cell>
          <cell r="J1618" t="str">
            <v>ANKA ServicesScratch 1 000</v>
          </cell>
          <cell r="L1618">
            <v>1</v>
          </cell>
          <cell r="M1618" t="str">
            <v>1ANKA Services</v>
          </cell>
          <cell r="N1618" t="str">
            <v>ANKA ServicesScratch 1 000</v>
          </cell>
          <cell r="O1618" t="str">
            <v>ANKA Services</v>
          </cell>
          <cell r="P1618" t="str">
            <v>Scratch 1 000</v>
          </cell>
          <cell r="Q1618" t="str">
            <v>62007</v>
          </cell>
          <cell r="R1618" t="str">
            <v>62007Scratch 1 000</v>
          </cell>
          <cell r="S1618" t="str">
            <v>2007Scratch 1 000</v>
          </cell>
          <cell r="T1618" t="str">
            <v>62007ANKA Services</v>
          </cell>
          <cell r="U1618" t="str">
            <v>62007ANKA ServicesScratch 1 000</v>
          </cell>
          <cell r="V1618" t="str">
            <v>39254Scratch 1 000</v>
          </cell>
          <cell r="W1618" t="str">
            <v>2007ANKA Services</v>
          </cell>
          <cell r="X1618" t="str">
            <v>2007ANKA ServicesScratch 1 000</v>
          </cell>
        </row>
        <row r="1619">
          <cell r="I1619">
            <v>2007</v>
          </cell>
          <cell r="J1619" t="str">
            <v>ANKA ServicesScratch 2 000</v>
          </cell>
          <cell r="L1619">
            <v>0</v>
          </cell>
          <cell r="M1619" t="str">
            <v>ANKA Services</v>
          </cell>
          <cell r="N1619" t="str">
            <v>ANKA ServicesScratch 2 000</v>
          </cell>
          <cell r="O1619" t="str">
            <v>ANKA Services</v>
          </cell>
          <cell r="P1619" t="str">
            <v>Scratch 2 000</v>
          </cell>
          <cell r="Q1619" t="str">
            <v>62007</v>
          </cell>
          <cell r="R1619" t="str">
            <v>62007Scratch 2 000</v>
          </cell>
          <cell r="S1619" t="str">
            <v>2007Scratch 2 000</v>
          </cell>
          <cell r="T1619" t="str">
            <v>62007ANKA Services</v>
          </cell>
          <cell r="U1619" t="str">
            <v>62007ANKA ServicesScratch 2 000</v>
          </cell>
          <cell r="V1619" t="str">
            <v>39254Scratch 2 000</v>
          </cell>
          <cell r="W1619" t="str">
            <v>2007ANKA Services</v>
          </cell>
          <cell r="X1619" t="str">
            <v>2007ANKA ServicesScratch 2 000</v>
          </cell>
        </row>
        <row r="1620">
          <cell r="I1620">
            <v>2007</v>
          </cell>
          <cell r="J1620" t="str">
            <v>ANKA ServicesScratch 5 000</v>
          </cell>
          <cell r="L1620">
            <v>0</v>
          </cell>
          <cell r="M1620" t="str">
            <v>ANKA Services</v>
          </cell>
          <cell r="N1620" t="str">
            <v>ANKA ServicesScratch 5 000</v>
          </cell>
          <cell r="O1620" t="str">
            <v>ANKA Services</v>
          </cell>
          <cell r="P1620" t="str">
            <v>Scratch 5 000</v>
          </cell>
          <cell r="Q1620" t="str">
            <v>62007</v>
          </cell>
          <cell r="R1620" t="str">
            <v>62007Scratch 5 000</v>
          </cell>
          <cell r="S1620" t="str">
            <v>2007Scratch 5 000</v>
          </cell>
          <cell r="T1620" t="str">
            <v>62007ANKA Services</v>
          </cell>
          <cell r="U1620" t="str">
            <v>62007ANKA ServicesScratch 5 000</v>
          </cell>
          <cell r="V1620" t="str">
            <v>39254Scratch 5 000</v>
          </cell>
          <cell r="W1620" t="str">
            <v>2007ANKA Services</v>
          </cell>
          <cell r="X1620" t="str">
            <v>2007ANKA ServicesScratch 5 000</v>
          </cell>
        </row>
        <row r="1621">
          <cell r="I1621">
            <v>2007</v>
          </cell>
          <cell r="J1621" t="str">
            <v>ANKA ServicesScratch 20 000</v>
          </cell>
          <cell r="L1621">
            <v>0</v>
          </cell>
          <cell r="M1621" t="str">
            <v>ANKA Services</v>
          </cell>
          <cell r="N1621" t="str">
            <v>ANKA ServicesScratch 20 000</v>
          </cell>
          <cell r="O1621" t="str">
            <v>ANKA Services</v>
          </cell>
          <cell r="P1621" t="str">
            <v>Scratch 20 000</v>
          </cell>
          <cell r="Q1621" t="str">
            <v>62007</v>
          </cell>
          <cell r="R1621" t="str">
            <v>62007Scratch 20 000</v>
          </cell>
          <cell r="S1621" t="str">
            <v>2007Scratch 20 000</v>
          </cell>
          <cell r="T1621" t="str">
            <v>62007ANKA Services</v>
          </cell>
          <cell r="U1621" t="str">
            <v>62007ANKA ServicesScratch 20 000</v>
          </cell>
          <cell r="V1621" t="str">
            <v>39254Scratch 20 000</v>
          </cell>
          <cell r="W1621" t="str">
            <v>2007ANKA Services</v>
          </cell>
          <cell r="X1621" t="str">
            <v>2007ANKA ServicesScratch 20 000</v>
          </cell>
        </row>
        <row r="1622">
          <cell r="I1622">
            <v>2007</v>
          </cell>
          <cell r="J1622" t="str">
            <v>GEMATELScratch 1 000</v>
          </cell>
          <cell r="L1622">
            <v>1</v>
          </cell>
          <cell r="M1622" t="str">
            <v>1GEMATEL</v>
          </cell>
          <cell r="N1622" t="str">
            <v>GEMATELScratch 1 000</v>
          </cell>
          <cell r="O1622" t="str">
            <v>GEMATEL</v>
          </cell>
          <cell r="P1622" t="str">
            <v>Scratch 1 000</v>
          </cell>
          <cell r="Q1622" t="str">
            <v>62007</v>
          </cell>
          <cell r="R1622" t="str">
            <v>62007Scratch 1 000</v>
          </cell>
          <cell r="S1622" t="str">
            <v>2007Scratch 1 000</v>
          </cell>
          <cell r="T1622" t="str">
            <v>62007GEMATEL</v>
          </cell>
          <cell r="U1622" t="str">
            <v>62007GEMATELScratch 1 000</v>
          </cell>
          <cell r="V1622" t="str">
            <v>39254Scratch 1 000</v>
          </cell>
          <cell r="W1622" t="str">
            <v>2007GEMATEL</v>
          </cell>
          <cell r="X1622" t="str">
            <v>2007GEMATELScratch 1 000</v>
          </cell>
        </row>
        <row r="1623">
          <cell r="I1623">
            <v>2007</v>
          </cell>
          <cell r="J1623" t="str">
            <v>GEMATELScratch 2 000</v>
          </cell>
          <cell r="L1623">
            <v>0</v>
          </cell>
          <cell r="M1623" t="str">
            <v>GEMATEL</v>
          </cell>
          <cell r="N1623" t="str">
            <v>GEMATELScratch 2 000</v>
          </cell>
          <cell r="O1623" t="str">
            <v>GEMATEL</v>
          </cell>
          <cell r="P1623" t="str">
            <v>Scratch 2 000</v>
          </cell>
          <cell r="Q1623" t="str">
            <v>62007</v>
          </cell>
          <cell r="R1623" t="str">
            <v>62007Scratch 2 000</v>
          </cell>
          <cell r="S1623" t="str">
            <v>2007Scratch 2 000</v>
          </cell>
          <cell r="T1623" t="str">
            <v>62007GEMATEL</v>
          </cell>
          <cell r="U1623" t="str">
            <v>62007GEMATELScratch 2 000</v>
          </cell>
          <cell r="V1623" t="str">
            <v>39254Scratch 2 000</v>
          </cell>
          <cell r="W1623" t="str">
            <v>2007GEMATEL</v>
          </cell>
          <cell r="X1623" t="str">
            <v>2007GEMATELScratch 2 000</v>
          </cell>
        </row>
        <row r="1624">
          <cell r="I1624">
            <v>2007</v>
          </cell>
          <cell r="J1624" t="str">
            <v>GEMATELScratch 5 000</v>
          </cell>
          <cell r="L1624">
            <v>0</v>
          </cell>
          <cell r="M1624" t="str">
            <v>GEMATEL</v>
          </cell>
          <cell r="N1624" t="str">
            <v>GEMATELScratch 5 000</v>
          </cell>
          <cell r="O1624" t="str">
            <v>GEMATEL</v>
          </cell>
          <cell r="P1624" t="str">
            <v>Scratch 5 000</v>
          </cell>
          <cell r="Q1624" t="str">
            <v>62007</v>
          </cell>
          <cell r="R1624" t="str">
            <v>62007Scratch 5 000</v>
          </cell>
          <cell r="S1624" t="str">
            <v>2007Scratch 5 000</v>
          </cell>
          <cell r="T1624" t="str">
            <v>62007GEMATEL</v>
          </cell>
          <cell r="U1624" t="str">
            <v>62007GEMATELScratch 5 000</v>
          </cell>
          <cell r="V1624" t="str">
            <v>39254Scratch 5 000</v>
          </cell>
          <cell r="W1624" t="str">
            <v>2007GEMATEL</v>
          </cell>
          <cell r="X1624" t="str">
            <v>2007GEMATELScratch 5 000</v>
          </cell>
        </row>
        <row r="1625">
          <cell r="I1625">
            <v>2007</v>
          </cell>
          <cell r="J1625" t="str">
            <v>GEMATELScratch 20 000</v>
          </cell>
          <cell r="L1625">
            <v>0</v>
          </cell>
          <cell r="M1625" t="str">
            <v>GEMATEL</v>
          </cell>
          <cell r="N1625" t="str">
            <v>GEMATELScratch 20 000</v>
          </cell>
          <cell r="O1625" t="str">
            <v>GEMATEL</v>
          </cell>
          <cell r="P1625" t="str">
            <v>Scratch 20 000</v>
          </cell>
          <cell r="Q1625" t="str">
            <v>62007</v>
          </cell>
          <cell r="R1625" t="str">
            <v>62007Scratch 20 000</v>
          </cell>
          <cell r="S1625" t="str">
            <v>2007Scratch 20 000</v>
          </cell>
          <cell r="T1625" t="str">
            <v>62007GEMATEL</v>
          </cell>
          <cell r="U1625" t="str">
            <v>62007GEMATELScratch 20 000</v>
          </cell>
          <cell r="V1625" t="str">
            <v>39254Scratch 20 000</v>
          </cell>
          <cell r="W1625" t="str">
            <v>2007GEMATEL</v>
          </cell>
          <cell r="X1625" t="str">
            <v>2007GEMATELScratch 20 000</v>
          </cell>
        </row>
        <row r="1626">
          <cell r="I1626">
            <v>2007</v>
          </cell>
          <cell r="J1626" t="str">
            <v>ETS Boubacar TANDIAScratch 1 000</v>
          </cell>
          <cell r="L1626">
            <v>1</v>
          </cell>
          <cell r="M1626" t="str">
            <v>1ETS Boubacar TANDIA</v>
          </cell>
          <cell r="N1626" t="str">
            <v>ETS Boubacar TANDIAScratch 1 000</v>
          </cell>
          <cell r="O1626" t="str">
            <v>ETS Boubacar TANDIA</v>
          </cell>
          <cell r="P1626" t="str">
            <v>Scratch 1 000</v>
          </cell>
          <cell r="Q1626" t="str">
            <v>62007</v>
          </cell>
          <cell r="R1626" t="str">
            <v>62007Scratch 1 000</v>
          </cell>
          <cell r="S1626" t="str">
            <v>2007Scratch 1 000</v>
          </cell>
          <cell r="T1626" t="str">
            <v>62007ETS Boubacar TANDIA</v>
          </cell>
          <cell r="U1626" t="str">
            <v>62007ETS Boubacar TANDIAScratch 1 000</v>
          </cell>
          <cell r="V1626" t="str">
            <v>39258Scratch 1 000</v>
          </cell>
          <cell r="W1626" t="str">
            <v>2007ETS Boubacar TANDIA</v>
          </cell>
          <cell r="X1626" t="str">
            <v>2007ETS Boubacar TANDIAScratch 1 000</v>
          </cell>
        </row>
        <row r="1627">
          <cell r="I1627">
            <v>2007</v>
          </cell>
          <cell r="J1627" t="str">
            <v>ETS Boubacar TANDIAScratch 2 000</v>
          </cell>
          <cell r="L1627">
            <v>0</v>
          </cell>
          <cell r="M1627" t="str">
            <v>ETS Boubacar TANDIA</v>
          </cell>
          <cell r="N1627" t="str">
            <v>ETS Boubacar TANDIAScratch 2 000</v>
          </cell>
          <cell r="O1627" t="str">
            <v>ETS Boubacar TANDIA</v>
          </cell>
          <cell r="P1627" t="str">
            <v>Scratch 2 000</v>
          </cell>
          <cell r="Q1627" t="str">
            <v>62007</v>
          </cell>
          <cell r="R1627" t="str">
            <v>62007Scratch 2 000</v>
          </cell>
          <cell r="S1627" t="str">
            <v>2007Scratch 2 000</v>
          </cell>
          <cell r="T1627" t="str">
            <v>62007ETS Boubacar TANDIA</v>
          </cell>
          <cell r="U1627" t="str">
            <v>62007ETS Boubacar TANDIAScratch 2 000</v>
          </cell>
          <cell r="V1627" t="str">
            <v>39258Scratch 2 000</v>
          </cell>
          <cell r="W1627" t="str">
            <v>2007ETS Boubacar TANDIA</v>
          </cell>
          <cell r="X1627" t="str">
            <v>2007ETS Boubacar TANDIAScratch 2 000</v>
          </cell>
        </row>
        <row r="1628">
          <cell r="I1628">
            <v>2007</v>
          </cell>
          <cell r="J1628" t="str">
            <v>ETS Boubacar TANDIAScratch 5 000</v>
          </cell>
          <cell r="L1628">
            <v>0</v>
          </cell>
          <cell r="M1628" t="str">
            <v>ETS Boubacar TANDIA</v>
          </cell>
          <cell r="N1628" t="str">
            <v>ETS Boubacar TANDIAScratch 5 000</v>
          </cell>
          <cell r="O1628" t="str">
            <v>ETS Boubacar TANDIA</v>
          </cell>
          <cell r="P1628" t="str">
            <v>Scratch 5 000</v>
          </cell>
          <cell r="Q1628" t="str">
            <v>62007</v>
          </cell>
          <cell r="R1628" t="str">
            <v>62007Scratch 5 000</v>
          </cell>
          <cell r="S1628" t="str">
            <v>2007Scratch 5 000</v>
          </cell>
          <cell r="T1628" t="str">
            <v>62007ETS Boubacar TANDIA</v>
          </cell>
          <cell r="U1628" t="str">
            <v>62007ETS Boubacar TANDIAScratch 5 000</v>
          </cell>
          <cell r="V1628" t="str">
            <v>39258Scratch 5 000</v>
          </cell>
          <cell r="W1628" t="str">
            <v>2007ETS Boubacar TANDIA</v>
          </cell>
          <cell r="X1628" t="str">
            <v>2007ETS Boubacar TANDIAScratch 5 000</v>
          </cell>
        </row>
        <row r="1629">
          <cell r="I1629">
            <v>2007</v>
          </cell>
          <cell r="J1629" t="str">
            <v>ETS Boubacar TANDIAScratch 20 000</v>
          </cell>
          <cell r="L1629">
            <v>0</v>
          </cell>
          <cell r="M1629" t="str">
            <v>ETS Boubacar TANDIA</v>
          </cell>
          <cell r="N1629" t="str">
            <v>ETS Boubacar TANDIAScratch 20 000</v>
          </cell>
          <cell r="O1629" t="str">
            <v>ETS Boubacar TANDIA</v>
          </cell>
          <cell r="P1629" t="str">
            <v>Scratch 20 000</v>
          </cell>
          <cell r="Q1629" t="str">
            <v>62007</v>
          </cell>
          <cell r="R1629" t="str">
            <v>62007Scratch 20 000</v>
          </cell>
          <cell r="S1629" t="str">
            <v>2007Scratch 20 000</v>
          </cell>
          <cell r="T1629" t="str">
            <v>62007ETS Boubacar TANDIA</v>
          </cell>
          <cell r="U1629" t="str">
            <v>62007ETS Boubacar TANDIAScratch 20 000</v>
          </cell>
          <cell r="V1629" t="str">
            <v>39258Scratch 20 000</v>
          </cell>
          <cell r="W1629" t="str">
            <v>2007ETS Boubacar TANDIA</v>
          </cell>
          <cell r="X1629" t="str">
            <v>2007ETS Boubacar TANDIAScratch 20 000</v>
          </cell>
        </row>
        <row r="1630">
          <cell r="I1630">
            <v>2007</v>
          </cell>
          <cell r="J1630" t="str">
            <v>ANKA ServicesScratch 1 000</v>
          </cell>
          <cell r="L1630">
            <v>1</v>
          </cell>
          <cell r="M1630" t="str">
            <v>1ANKA Services</v>
          </cell>
          <cell r="N1630" t="str">
            <v>ANKA ServicesScratch 1 000</v>
          </cell>
          <cell r="O1630" t="str">
            <v>ANKA Services</v>
          </cell>
          <cell r="P1630" t="str">
            <v>Scratch 1 000</v>
          </cell>
          <cell r="Q1630" t="str">
            <v>62007</v>
          </cell>
          <cell r="R1630" t="str">
            <v>62007Scratch 1 000</v>
          </cell>
          <cell r="S1630" t="str">
            <v>2007Scratch 1 000</v>
          </cell>
          <cell r="T1630" t="str">
            <v>62007ANKA Services</v>
          </cell>
          <cell r="U1630" t="str">
            <v>62007ANKA ServicesScratch 1 000</v>
          </cell>
          <cell r="V1630" t="str">
            <v>39258Scratch 1 000</v>
          </cell>
          <cell r="W1630" t="str">
            <v>2007ANKA Services</v>
          </cell>
          <cell r="X1630" t="str">
            <v>2007ANKA ServicesScratch 1 000</v>
          </cell>
        </row>
        <row r="1631">
          <cell r="I1631">
            <v>2007</v>
          </cell>
          <cell r="J1631" t="str">
            <v>ANKA ServicesScratch 2 000</v>
          </cell>
          <cell r="L1631">
            <v>0</v>
          </cell>
          <cell r="M1631" t="str">
            <v>ANKA Services</v>
          </cell>
          <cell r="N1631" t="str">
            <v>ANKA ServicesScratch 2 000</v>
          </cell>
          <cell r="O1631" t="str">
            <v>ANKA Services</v>
          </cell>
          <cell r="P1631" t="str">
            <v>Scratch 2 000</v>
          </cell>
          <cell r="Q1631" t="str">
            <v>62007</v>
          </cell>
          <cell r="R1631" t="str">
            <v>62007Scratch 2 000</v>
          </cell>
          <cell r="S1631" t="str">
            <v>2007Scratch 2 000</v>
          </cell>
          <cell r="T1631" t="str">
            <v>62007ANKA Services</v>
          </cell>
          <cell r="U1631" t="str">
            <v>62007ANKA ServicesScratch 2 000</v>
          </cell>
          <cell r="V1631" t="str">
            <v>39258Scratch 2 000</v>
          </cell>
          <cell r="W1631" t="str">
            <v>2007ANKA Services</v>
          </cell>
          <cell r="X1631" t="str">
            <v>2007ANKA ServicesScratch 2 000</v>
          </cell>
        </row>
        <row r="1632">
          <cell r="I1632">
            <v>2007</v>
          </cell>
          <cell r="J1632" t="str">
            <v>ANKA ServicesScratch 5 000</v>
          </cell>
          <cell r="L1632">
            <v>0</v>
          </cell>
          <cell r="M1632" t="str">
            <v>ANKA Services</v>
          </cell>
          <cell r="N1632" t="str">
            <v>ANKA ServicesScratch 5 000</v>
          </cell>
          <cell r="O1632" t="str">
            <v>ANKA Services</v>
          </cell>
          <cell r="P1632" t="str">
            <v>Scratch 5 000</v>
          </cell>
          <cell r="Q1632" t="str">
            <v>62007</v>
          </cell>
          <cell r="R1632" t="str">
            <v>62007Scratch 5 000</v>
          </cell>
          <cell r="S1632" t="str">
            <v>2007Scratch 5 000</v>
          </cell>
          <cell r="T1632" t="str">
            <v>62007ANKA Services</v>
          </cell>
          <cell r="U1632" t="str">
            <v>62007ANKA ServicesScratch 5 000</v>
          </cell>
          <cell r="V1632" t="str">
            <v>39258Scratch 5 000</v>
          </cell>
          <cell r="W1632" t="str">
            <v>2007ANKA Services</v>
          </cell>
          <cell r="X1632" t="str">
            <v>2007ANKA ServicesScratch 5 000</v>
          </cell>
        </row>
        <row r="1633">
          <cell r="I1633">
            <v>2007</v>
          </cell>
          <cell r="J1633" t="str">
            <v>GEMATELScratch 1 000</v>
          </cell>
          <cell r="L1633">
            <v>1</v>
          </cell>
          <cell r="M1633" t="str">
            <v>1GEMATEL</v>
          </cell>
          <cell r="N1633" t="str">
            <v>GEMATELScratch 1 000</v>
          </cell>
          <cell r="O1633" t="str">
            <v>GEMATEL</v>
          </cell>
          <cell r="P1633" t="str">
            <v>Scratch 1 000</v>
          </cell>
          <cell r="Q1633" t="str">
            <v>62007</v>
          </cell>
          <cell r="R1633" t="str">
            <v>62007Scratch 1 000</v>
          </cell>
          <cell r="S1633" t="str">
            <v>2007Scratch 1 000</v>
          </cell>
          <cell r="T1633" t="str">
            <v>62007GEMATEL</v>
          </cell>
          <cell r="U1633" t="str">
            <v>62007GEMATELScratch 1 000</v>
          </cell>
          <cell r="V1633" t="str">
            <v>39258Scratch 1 000</v>
          </cell>
          <cell r="W1633" t="str">
            <v>2007GEMATEL</v>
          </cell>
          <cell r="X1633" t="str">
            <v>2007GEMATELScratch 1 000</v>
          </cell>
        </row>
        <row r="1634">
          <cell r="I1634">
            <v>2007</v>
          </cell>
          <cell r="J1634" t="str">
            <v>GEMATELScratch 2 000</v>
          </cell>
          <cell r="L1634">
            <v>0</v>
          </cell>
          <cell r="M1634" t="str">
            <v>GEMATEL</v>
          </cell>
          <cell r="N1634" t="str">
            <v>GEMATELScratch 2 000</v>
          </cell>
          <cell r="O1634" t="str">
            <v>GEMATEL</v>
          </cell>
          <cell r="P1634" t="str">
            <v>Scratch 2 000</v>
          </cell>
          <cell r="Q1634" t="str">
            <v>62007</v>
          </cell>
          <cell r="R1634" t="str">
            <v>62007Scratch 2 000</v>
          </cell>
          <cell r="S1634" t="str">
            <v>2007Scratch 2 000</v>
          </cell>
          <cell r="T1634" t="str">
            <v>62007GEMATEL</v>
          </cell>
          <cell r="U1634" t="str">
            <v>62007GEMATELScratch 2 000</v>
          </cell>
          <cell r="V1634" t="str">
            <v>39258Scratch 2 000</v>
          </cell>
          <cell r="W1634" t="str">
            <v>2007GEMATEL</v>
          </cell>
          <cell r="X1634" t="str">
            <v>2007GEMATELScratch 2 000</v>
          </cell>
        </row>
        <row r="1635">
          <cell r="I1635">
            <v>2007</v>
          </cell>
          <cell r="J1635" t="str">
            <v>GEMATELScratch 5 000</v>
          </cell>
          <cell r="L1635">
            <v>0</v>
          </cell>
          <cell r="M1635" t="str">
            <v>GEMATEL</v>
          </cell>
          <cell r="N1635" t="str">
            <v>GEMATELScratch 5 000</v>
          </cell>
          <cell r="O1635" t="str">
            <v>GEMATEL</v>
          </cell>
          <cell r="P1635" t="str">
            <v>Scratch 5 000</v>
          </cell>
          <cell r="Q1635" t="str">
            <v>62007</v>
          </cell>
          <cell r="R1635" t="str">
            <v>62007Scratch 5 000</v>
          </cell>
          <cell r="S1635" t="str">
            <v>2007Scratch 5 000</v>
          </cell>
          <cell r="T1635" t="str">
            <v>62007GEMATEL</v>
          </cell>
          <cell r="U1635" t="str">
            <v>62007GEMATELScratch 5 000</v>
          </cell>
          <cell r="V1635" t="str">
            <v>39258Scratch 5 000</v>
          </cell>
          <cell r="W1635" t="str">
            <v>2007GEMATEL</v>
          </cell>
          <cell r="X1635" t="str">
            <v>2007GEMATELScratch 5 000</v>
          </cell>
        </row>
        <row r="1636">
          <cell r="I1636">
            <v>2007</v>
          </cell>
          <cell r="J1636" t="str">
            <v>GEMATELScratch 20 000</v>
          </cell>
          <cell r="L1636">
            <v>0</v>
          </cell>
          <cell r="M1636" t="str">
            <v>GEMATEL</v>
          </cell>
          <cell r="N1636" t="str">
            <v>GEMATELScratch 20 000</v>
          </cell>
          <cell r="O1636" t="str">
            <v>GEMATEL</v>
          </cell>
          <cell r="P1636" t="str">
            <v>Scratch 20 000</v>
          </cell>
          <cell r="Q1636" t="str">
            <v>62007</v>
          </cell>
          <cell r="R1636" t="str">
            <v>62007Scratch 20 000</v>
          </cell>
          <cell r="S1636" t="str">
            <v>2007Scratch 20 000</v>
          </cell>
          <cell r="T1636" t="str">
            <v>62007GEMATEL</v>
          </cell>
          <cell r="U1636" t="str">
            <v>62007GEMATELScratch 20 000</v>
          </cell>
          <cell r="V1636" t="str">
            <v>39258Scratch 20 000</v>
          </cell>
          <cell r="W1636" t="str">
            <v>2007GEMATEL</v>
          </cell>
          <cell r="X1636" t="str">
            <v>2007GEMATELScratch 20 000</v>
          </cell>
        </row>
        <row r="1637">
          <cell r="I1637">
            <v>2007</v>
          </cell>
          <cell r="J1637" t="str">
            <v>STS GAMBY &amp; FRERES (SOGAF) SarlScratch 1 000</v>
          </cell>
          <cell r="L1637">
            <v>1</v>
          </cell>
          <cell r="M1637" t="str">
            <v>1STS GAMBY &amp; FRERES (SOGAF) Sarl</v>
          </cell>
          <cell r="N1637" t="str">
            <v>STS GAMBY &amp; FRERES (SOGAF) SarlScratch 1 000</v>
          </cell>
          <cell r="O1637" t="str">
            <v>STS GAMBY &amp; FRERES (SOGAF) Sarl</v>
          </cell>
          <cell r="P1637" t="str">
            <v>Scratch 1 000</v>
          </cell>
          <cell r="Q1637" t="str">
            <v>62007</v>
          </cell>
          <cell r="R1637" t="str">
            <v>62007Scratch 1 000</v>
          </cell>
          <cell r="S1637" t="str">
            <v>2007Scratch 1 000</v>
          </cell>
          <cell r="T1637" t="str">
            <v>62007STS GAMBY &amp; FRERES (SOGAF) Sarl</v>
          </cell>
          <cell r="U1637" t="str">
            <v>62007STS GAMBY &amp; FRERES (SOGAF) SarlScratch 1 000</v>
          </cell>
          <cell r="V1637" t="str">
            <v>39258Scratch 1 000</v>
          </cell>
          <cell r="W1637" t="str">
            <v>2007STS GAMBY &amp; FRERES (SOGAF) Sarl</v>
          </cell>
          <cell r="X1637" t="str">
            <v>2007STS GAMBY &amp; FRERES (SOGAF) SarlScratch 1 000</v>
          </cell>
        </row>
        <row r="1638">
          <cell r="I1638">
            <v>2007</v>
          </cell>
          <cell r="J1638" t="str">
            <v>STS GAMBY &amp; FRERES (SOGAF) SarlScratch 2 000</v>
          </cell>
          <cell r="L1638">
            <v>0</v>
          </cell>
          <cell r="M1638" t="str">
            <v>STS GAMBY &amp; FRERES (SOGAF) Sarl</v>
          </cell>
          <cell r="N1638" t="str">
            <v>STS GAMBY &amp; FRERES (SOGAF) SarlScratch 2 000</v>
          </cell>
          <cell r="O1638" t="str">
            <v>STS GAMBY &amp; FRERES (SOGAF) Sarl</v>
          </cell>
          <cell r="P1638" t="str">
            <v>Scratch 2 000</v>
          </cell>
          <cell r="Q1638" t="str">
            <v>62007</v>
          </cell>
          <cell r="R1638" t="str">
            <v>62007Scratch 2 000</v>
          </cell>
          <cell r="S1638" t="str">
            <v>2007Scratch 2 000</v>
          </cell>
          <cell r="T1638" t="str">
            <v>62007STS GAMBY &amp; FRERES (SOGAF) Sarl</v>
          </cell>
          <cell r="U1638" t="str">
            <v>62007STS GAMBY &amp; FRERES (SOGAF) SarlScratch 2 000</v>
          </cell>
          <cell r="V1638" t="str">
            <v>39258Scratch 2 000</v>
          </cell>
          <cell r="W1638" t="str">
            <v>2007STS GAMBY &amp; FRERES (SOGAF) Sarl</v>
          </cell>
          <cell r="X1638" t="str">
            <v>2007STS GAMBY &amp; FRERES (SOGAF) SarlScratch 2 000</v>
          </cell>
        </row>
        <row r="1639">
          <cell r="I1639">
            <v>2007</v>
          </cell>
          <cell r="J1639" t="str">
            <v>STS GAMBY &amp; FRERES (SOGAF) SarlScratch 5 000</v>
          </cell>
          <cell r="L1639">
            <v>0</v>
          </cell>
          <cell r="M1639" t="str">
            <v>STS GAMBY &amp; FRERES (SOGAF) Sarl</v>
          </cell>
          <cell r="N1639" t="str">
            <v>STS GAMBY &amp; FRERES (SOGAF) SarlScratch 5 000</v>
          </cell>
          <cell r="O1639" t="str">
            <v>STS GAMBY &amp; FRERES (SOGAF) Sarl</v>
          </cell>
          <cell r="P1639" t="str">
            <v>Scratch 5 000</v>
          </cell>
          <cell r="Q1639" t="str">
            <v>62007</v>
          </cell>
          <cell r="R1639" t="str">
            <v>62007Scratch 5 000</v>
          </cell>
          <cell r="S1639" t="str">
            <v>2007Scratch 5 000</v>
          </cell>
          <cell r="T1639" t="str">
            <v>62007STS GAMBY &amp; FRERES (SOGAF) Sarl</v>
          </cell>
          <cell r="U1639" t="str">
            <v>62007STS GAMBY &amp; FRERES (SOGAF) SarlScratch 5 000</v>
          </cell>
          <cell r="V1639" t="str">
            <v>39258Scratch 5 000</v>
          </cell>
          <cell r="W1639" t="str">
            <v>2007STS GAMBY &amp; FRERES (SOGAF) Sarl</v>
          </cell>
          <cell r="X1639" t="str">
            <v>2007STS GAMBY &amp; FRERES (SOGAF) SarlScratch 5 000</v>
          </cell>
        </row>
        <row r="1640">
          <cell r="I1640">
            <v>2007</v>
          </cell>
          <cell r="J1640" t="str">
            <v>Compagnie Internationale de NegoceScratch 1 000</v>
          </cell>
          <cell r="L1640">
            <v>1</v>
          </cell>
          <cell r="M1640" t="str">
            <v>1Compagnie Internationale de Negoce</v>
          </cell>
          <cell r="N1640" t="str">
            <v>Compagnie Internationale de NegoceScratch 1 000</v>
          </cell>
          <cell r="O1640" t="str">
            <v>Compagnie Internationale de Negoce</v>
          </cell>
          <cell r="P1640" t="str">
            <v>Scratch 1 000</v>
          </cell>
          <cell r="Q1640" t="str">
            <v>62007</v>
          </cell>
          <cell r="R1640" t="str">
            <v>62007Scratch 1 000</v>
          </cell>
          <cell r="S1640" t="str">
            <v>2007Scratch 1 000</v>
          </cell>
          <cell r="T1640" t="str">
            <v>62007Compagnie Internationale de Negoce</v>
          </cell>
          <cell r="U1640" t="str">
            <v>62007Compagnie Internationale de NegoceScratch 1 000</v>
          </cell>
          <cell r="V1640" t="str">
            <v>39258Scratch 1 000</v>
          </cell>
          <cell r="W1640" t="str">
            <v>2007Compagnie Internationale de Negoce</v>
          </cell>
          <cell r="X1640" t="str">
            <v>2007Compagnie Internationale de NegoceScratch 1 000</v>
          </cell>
        </row>
        <row r="1641">
          <cell r="I1641">
            <v>2007</v>
          </cell>
          <cell r="J1641" t="str">
            <v>Compagnie Internationale de NegoceScratch 2 000</v>
          </cell>
          <cell r="L1641">
            <v>0</v>
          </cell>
          <cell r="M1641" t="str">
            <v>Compagnie Internationale de Negoce</v>
          </cell>
          <cell r="N1641" t="str">
            <v>Compagnie Internationale de NegoceScratch 2 000</v>
          </cell>
          <cell r="O1641" t="str">
            <v>Compagnie Internationale de Negoce</v>
          </cell>
          <cell r="P1641" t="str">
            <v>Scratch 2 000</v>
          </cell>
          <cell r="Q1641" t="str">
            <v>62007</v>
          </cell>
          <cell r="R1641" t="str">
            <v>62007Scratch 2 000</v>
          </cell>
          <cell r="S1641" t="str">
            <v>2007Scratch 2 000</v>
          </cell>
          <cell r="T1641" t="str">
            <v>62007Compagnie Internationale de Negoce</v>
          </cell>
          <cell r="U1641" t="str">
            <v>62007Compagnie Internationale de NegoceScratch 2 000</v>
          </cell>
          <cell r="V1641" t="str">
            <v>39258Scratch 2 000</v>
          </cell>
          <cell r="W1641" t="str">
            <v>2007Compagnie Internationale de Negoce</v>
          </cell>
          <cell r="X1641" t="str">
            <v>2007Compagnie Internationale de NegoceScratch 2 000</v>
          </cell>
        </row>
        <row r="1642">
          <cell r="I1642">
            <v>2007</v>
          </cell>
          <cell r="J1642" t="str">
            <v>Compagnie Internationale de NegoceScratch 5 000</v>
          </cell>
          <cell r="L1642">
            <v>0</v>
          </cell>
          <cell r="M1642" t="str">
            <v>Compagnie Internationale de Negoce</v>
          </cell>
          <cell r="N1642" t="str">
            <v>Compagnie Internationale de NegoceScratch 5 000</v>
          </cell>
          <cell r="O1642" t="str">
            <v>Compagnie Internationale de Negoce</v>
          </cell>
          <cell r="P1642" t="str">
            <v>Scratch 5 000</v>
          </cell>
          <cell r="Q1642" t="str">
            <v>62007</v>
          </cell>
          <cell r="R1642" t="str">
            <v>62007Scratch 5 000</v>
          </cell>
          <cell r="S1642" t="str">
            <v>2007Scratch 5 000</v>
          </cell>
          <cell r="T1642" t="str">
            <v>62007Compagnie Internationale de Negoce</v>
          </cell>
          <cell r="U1642" t="str">
            <v>62007Compagnie Internationale de NegoceScratch 5 000</v>
          </cell>
          <cell r="V1642" t="str">
            <v>39258Scratch 5 000</v>
          </cell>
          <cell r="W1642" t="str">
            <v>2007Compagnie Internationale de Negoce</v>
          </cell>
          <cell r="X1642" t="str">
            <v>2007Compagnie Internationale de NegoceScratch 5 000</v>
          </cell>
        </row>
        <row r="1643">
          <cell r="I1643">
            <v>2007</v>
          </cell>
          <cell r="J1643" t="str">
            <v>Compagnie Internationale de NegoceScratch 10 000</v>
          </cell>
          <cell r="L1643">
            <v>0</v>
          </cell>
          <cell r="M1643" t="str">
            <v>Compagnie Internationale de Negoce</v>
          </cell>
          <cell r="N1643" t="str">
            <v>Compagnie Internationale de NegoceScratch 10 000</v>
          </cell>
          <cell r="O1643" t="str">
            <v>Compagnie Internationale de Negoce</v>
          </cell>
          <cell r="P1643" t="str">
            <v>Scratch 10 000</v>
          </cell>
          <cell r="Q1643" t="str">
            <v>62007</v>
          </cell>
          <cell r="R1643" t="str">
            <v>62007Scratch 10 000</v>
          </cell>
          <cell r="S1643" t="str">
            <v>2007Scratch 10 000</v>
          </cell>
          <cell r="T1643" t="str">
            <v>62007Compagnie Internationale de Negoce</v>
          </cell>
          <cell r="U1643" t="str">
            <v>62007Compagnie Internationale de NegoceScratch 10 000</v>
          </cell>
          <cell r="V1643" t="str">
            <v>39258Scratch 10 000</v>
          </cell>
          <cell r="W1643" t="str">
            <v>2007Compagnie Internationale de Negoce</v>
          </cell>
          <cell r="X1643" t="str">
            <v>2007Compagnie Internationale de NegoceScratch 10 000</v>
          </cell>
        </row>
        <row r="1644">
          <cell r="I1644">
            <v>2007</v>
          </cell>
          <cell r="J1644" t="str">
            <v>Compagnie Internationale de NegoceScratch 20 000</v>
          </cell>
          <cell r="L1644">
            <v>0</v>
          </cell>
          <cell r="M1644" t="str">
            <v>Compagnie Internationale de Negoce</v>
          </cell>
          <cell r="N1644" t="str">
            <v>Compagnie Internationale de NegoceScratch 20 000</v>
          </cell>
          <cell r="O1644" t="str">
            <v>Compagnie Internationale de Negoce</v>
          </cell>
          <cell r="P1644" t="str">
            <v>Scratch 20 000</v>
          </cell>
          <cell r="Q1644" t="str">
            <v>62007</v>
          </cell>
          <cell r="R1644" t="str">
            <v>62007Scratch 20 000</v>
          </cell>
          <cell r="S1644" t="str">
            <v>2007Scratch 20 000</v>
          </cell>
          <cell r="T1644" t="str">
            <v>62007Compagnie Internationale de Negoce</v>
          </cell>
          <cell r="U1644" t="str">
            <v>62007Compagnie Internationale de NegoceScratch 20 000</v>
          </cell>
          <cell r="V1644" t="str">
            <v>39258Scratch 20 000</v>
          </cell>
          <cell r="W1644" t="str">
            <v>2007Compagnie Internationale de Negoce</v>
          </cell>
          <cell r="X1644" t="str">
            <v>2007Compagnie Internationale de NegoceScratch 20 000</v>
          </cell>
        </row>
        <row r="1645">
          <cell r="I1645">
            <v>2007</v>
          </cell>
          <cell r="J1645" t="str">
            <v>SOMAKOFFScratch 1 000</v>
          </cell>
          <cell r="L1645">
            <v>1</v>
          </cell>
          <cell r="M1645" t="str">
            <v>1SOMAKOFF</v>
          </cell>
          <cell r="N1645" t="str">
            <v>SOMAKOFFScratch 1 000</v>
          </cell>
          <cell r="O1645" t="str">
            <v>SOMAKOFF</v>
          </cell>
          <cell r="P1645" t="str">
            <v>Scratch 1 000</v>
          </cell>
          <cell r="Q1645" t="str">
            <v>62007</v>
          </cell>
          <cell r="R1645" t="str">
            <v>62007Scratch 1 000</v>
          </cell>
          <cell r="S1645" t="str">
            <v>2007Scratch 1 000</v>
          </cell>
          <cell r="T1645" t="str">
            <v>62007SOMAKOFF</v>
          </cell>
          <cell r="U1645" t="str">
            <v>62007SOMAKOFFScratch 1 000</v>
          </cell>
          <cell r="V1645" t="str">
            <v>39258Scratch 1 000</v>
          </cell>
          <cell r="W1645" t="str">
            <v>2007SOMAKOFF</v>
          </cell>
          <cell r="X1645" t="str">
            <v>2007SOMAKOFFScratch 1 000</v>
          </cell>
        </row>
        <row r="1646">
          <cell r="I1646">
            <v>2007</v>
          </cell>
          <cell r="J1646" t="str">
            <v>SOMAKOFFScratch 2 000</v>
          </cell>
          <cell r="L1646">
            <v>0</v>
          </cell>
          <cell r="M1646" t="str">
            <v>SOMAKOFF</v>
          </cell>
          <cell r="N1646" t="str">
            <v>SOMAKOFFScratch 2 000</v>
          </cell>
          <cell r="O1646" t="str">
            <v>SOMAKOFF</v>
          </cell>
          <cell r="P1646" t="str">
            <v>Scratch 2 000</v>
          </cell>
          <cell r="Q1646" t="str">
            <v>62007</v>
          </cell>
          <cell r="R1646" t="str">
            <v>62007Scratch 2 000</v>
          </cell>
          <cell r="S1646" t="str">
            <v>2007Scratch 2 000</v>
          </cell>
          <cell r="T1646" t="str">
            <v>62007SOMAKOFF</v>
          </cell>
          <cell r="U1646" t="str">
            <v>62007SOMAKOFFScratch 2 000</v>
          </cell>
          <cell r="V1646" t="str">
            <v>39258Scratch 2 000</v>
          </cell>
          <cell r="W1646" t="str">
            <v>2007SOMAKOFF</v>
          </cell>
          <cell r="X1646" t="str">
            <v>2007SOMAKOFFScratch 2 000</v>
          </cell>
        </row>
        <row r="1647">
          <cell r="I1647">
            <v>2007</v>
          </cell>
          <cell r="J1647" t="str">
            <v>SOMAKOFFScratch 5 000</v>
          </cell>
          <cell r="L1647">
            <v>0</v>
          </cell>
          <cell r="M1647" t="str">
            <v>SOMAKOFF</v>
          </cell>
          <cell r="N1647" t="str">
            <v>SOMAKOFFScratch 5 000</v>
          </cell>
          <cell r="O1647" t="str">
            <v>SOMAKOFF</v>
          </cell>
          <cell r="P1647" t="str">
            <v>Scratch 5 000</v>
          </cell>
          <cell r="Q1647" t="str">
            <v>62007</v>
          </cell>
          <cell r="R1647" t="str">
            <v>62007Scratch 5 000</v>
          </cell>
          <cell r="S1647" t="str">
            <v>2007Scratch 5 000</v>
          </cell>
          <cell r="T1647" t="str">
            <v>62007SOMAKOFF</v>
          </cell>
          <cell r="U1647" t="str">
            <v>62007SOMAKOFFScratch 5 000</v>
          </cell>
          <cell r="V1647" t="str">
            <v>39258Scratch 5 000</v>
          </cell>
          <cell r="W1647" t="str">
            <v>2007SOMAKOFF</v>
          </cell>
          <cell r="X1647" t="str">
            <v>2007SOMAKOFFScratch 5 000</v>
          </cell>
        </row>
        <row r="1648">
          <cell r="I1648">
            <v>2007</v>
          </cell>
          <cell r="J1648" t="str">
            <v>GEMATELScratch 1 000</v>
          </cell>
          <cell r="L1648">
            <v>1</v>
          </cell>
          <cell r="M1648" t="str">
            <v>1GEMATEL</v>
          </cell>
          <cell r="N1648" t="str">
            <v>GEMATELScratch 1 000</v>
          </cell>
          <cell r="O1648" t="str">
            <v>GEMATEL</v>
          </cell>
          <cell r="P1648" t="str">
            <v>Scratch 1 000</v>
          </cell>
          <cell r="Q1648" t="str">
            <v>62007</v>
          </cell>
          <cell r="R1648" t="str">
            <v>62007Scratch 1 000</v>
          </cell>
          <cell r="S1648" t="str">
            <v>2007Scratch 1 000</v>
          </cell>
          <cell r="T1648" t="str">
            <v>62007GEMATEL</v>
          </cell>
          <cell r="U1648" t="str">
            <v>62007GEMATELScratch 1 000</v>
          </cell>
          <cell r="V1648" t="str">
            <v>39258Scratch 1 000</v>
          </cell>
          <cell r="W1648" t="str">
            <v>2007GEMATEL</v>
          </cell>
          <cell r="X1648" t="str">
            <v>2007GEMATELScratch 1 000</v>
          </cell>
        </row>
        <row r="1649">
          <cell r="I1649">
            <v>2007</v>
          </cell>
          <cell r="J1649" t="str">
            <v>GEMATELScratch 2 000</v>
          </cell>
          <cell r="L1649">
            <v>0</v>
          </cell>
          <cell r="M1649" t="str">
            <v>GEMATEL</v>
          </cell>
          <cell r="N1649" t="str">
            <v>GEMATELScratch 2 000</v>
          </cell>
          <cell r="O1649" t="str">
            <v>GEMATEL</v>
          </cell>
          <cell r="P1649" t="str">
            <v>Scratch 2 000</v>
          </cell>
          <cell r="Q1649" t="str">
            <v>62007</v>
          </cell>
          <cell r="R1649" t="str">
            <v>62007Scratch 2 000</v>
          </cell>
          <cell r="S1649" t="str">
            <v>2007Scratch 2 000</v>
          </cell>
          <cell r="T1649" t="str">
            <v>62007GEMATEL</v>
          </cell>
          <cell r="U1649" t="str">
            <v>62007GEMATELScratch 2 000</v>
          </cell>
          <cell r="V1649" t="str">
            <v>39258Scratch 2 000</v>
          </cell>
          <cell r="W1649" t="str">
            <v>2007GEMATEL</v>
          </cell>
          <cell r="X1649" t="str">
            <v>2007GEMATELScratch 2 000</v>
          </cell>
        </row>
        <row r="1650">
          <cell r="I1650">
            <v>2007</v>
          </cell>
          <cell r="J1650" t="str">
            <v>GEMATELScratch 5 000</v>
          </cell>
          <cell r="L1650">
            <v>0</v>
          </cell>
          <cell r="M1650" t="str">
            <v>GEMATEL</v>
          </cell>
          <cell r="N1650" t="str">
            <v>GEMATELScratch 5 000</v>
          </cell>
          <cell r="O1650" t="str">
            <v>GEMATEL</v>
          </cell>
          <cell r="P1650" t="str">
            <v>Scratch 5 000</v>
          </cell>
          <cell r="Q1650" t="str">
            <v>62007</v>
          </cell>
          <cell r="R1650" t="str">
            <v>62007Scratch 5 000</v>
          </cell>
          <cell r="S1650" t="str">
            <v>2007Scratch 5 000</v>
          </cell>
          <cell r="T1650" t="str">
            <v>62007GEMATEL</v>
          </cell>
          <cell r="U1650" t="str">
            <v>62007GEMATELScratch 5 000</v>
          </cell>
          <cell r="V1650" t="str">
            <v>39258Scratch 5 000</v>
          </cell>
          <cell r="W1650" t="str">
            <v>2007GEMATEL</v>
          </cell>
          <cell r="X1650" t="str">
            <v>2007GEMATELScratch 5 000</v>
          </cell>
        </row>
        <row r="1651">
          <cell r="I1651">
            <v>2007</v>
          </cell>
          <cell r="J1651" t="str">
            <v>GEMATELScratch 10 000</v>
          </cell>
          <cell r="L1651">
            <v>0</v>
          </cell>
          <cell r="M1651" t="str">
            <v>GEMATEL</v>
          </cell>
          <cell r="N1651" t="str">
            <v>GEMATELScratch 10 000</v>
          </cell>
          <cell r="O1651" t="str">
            <v>GEMATEL</v>
          </cell>
          <cell r="P1651" t="str">
            <v>Scratch 10 000</v>
          </cell>
          <cell r="Q1651" t="str">
            <v>62007</v>
          </cell>
          <cell r="R1651" t="str">
            <v>62007Scratch 10 000</v>
          </cell>
          <cell r="S1651" t="str">
            <v>2007Scratch 10 000</v>
          </cell>
          <cell r="T1651" t="str">
            <v>62007GEMATEL</v>
          </cell>
          <cell r="U1651" t="str">
            <v>62007GEMATELScratch 10 000</v>
          </cell>
          <cell r="V1651" t="str">
            <v>39258Scratch 10 000</v>
          </cell>
          <cell r="W1651" t="str">
            <v>2007GEMATEL</v>
          </cell>
          <cell r="X1651" t="str">
            <v>2007GEMATELScratch 10 000</v>
          </cell>
        </row>
        <row r="1652">
          <cell r="I1652">
            <v>2007</v>
          </cell>
          <cell r="J1652" t="str">
            <v>GEMATELScratch 20 000</v>
          </cell>
          <cell r="L1652">
            <v>0</v>
          </cell>
          <cell r="M1652" t="str">
            <v>GEMATEL</v>
          </cell>
          <cell r="N1652" t="str">
            <v>GEMATELScratch 20 000</v>
          </cell>
          <cell r="O1652" t="str">
            <v>GEMATEL</v>
          </cell>
          <cell r="P1652" t="str">
            <v>Scratch 20 000</v>
          </cell>
          <cell r="Q1652" t="str">
            <v>62007</v>
          </cell>
          <cell r="R1652" t="str">
            <v>62007Scratch 20 000</v>
          </cell>
          <cell r="S1652" t="str">
            <v>2007Scratch 20 000</v>
          </cell>
          <cell r="T1652" t="str">
            <v>62007GEMATEL</v>
          </cell>
          <cell r="U1652" t="str">
            <v>62007GEMATELScratch 20 000</v>
          </cell>
          <cell r="V1652" t="str">
            <v>39258Scratch 20 000</v>
          </cell>
          <cell r="W1652" t="str">
            <v>2007GEMATEL</v>
          </cell>
          <cell r="X1652" t="str">
            <v>2007GEMATELScratch 20 000</v>
          </cell>
        </row>
        <row r="1653">
          <cell r="I1653">
            <v>2007</v>
          </cell>
          <cell r="J1653" t="str">
            <v>ANKA ServicesScratch 1 000</v>
          </cell>
          <cell r="L1653">
            <v>1</v>
          </cell>
          <cell r="M1653" t="str">
            <v>1ANKA Services</v>
          </cell>
          <cell r="N1653" t="str">
            <v>ANKA ServicesScratch 1 000</v>
          </cell>
          <cell r="O1653" t="str">
            <v>ANKA Services</v>
          </cell>
          <cell r="P1653" t="str">
            <v>Scratch 1 000</v>
          </cell>
          <cell r="Q1653" t="str">
            <v>62007</v>
          </cell>
          <cell r="R1653" t="str">
            <v>62007Scratch 1 000</v>
          </cell>
          <cell r="S1653" t="str">
            <v>2007Scratch 1 000</v>
          </cell>
          <cell r="T1653" t="str">
            <v>62007ANKA Services</v>
          </cell>
          <cell r="U1653" t="str">
            <v>62007ANKA ServicesScratch 1 000</v>
          </cell>
          <cell r="V1653" t="str">
            <v>39258Scratch 1 000</v>
          </cell>
          <cell r="W1653" t="str">
            <v>2007ANKA Services</v>
          </cell>
          <cell r="X1653" t="str">
            <v>2007ANKA ServicesScratch 1 000</v>
          </cell>
        </row>
        <row r="1654">
          <cell r="I1654">
            <v>2007</v>
          </cell>
          <cell r="J1654" t="str">
            <v>ANKA ServicesScratch 2 000</v>
          </cell>
          <cell r="L1654">
            <v>0</v>
          </cell>
          <cell r="M1654" t="str">
            <v>ANKA Services</v>
          </cell>
          <cell r="N1654" t="str">
            <v>ANKA ServicesScratch 2 000</v>
          </cell>
          <cell r="O1654" t="str">
            <v>ANKA Services</v>
          </cell>
          <cell r="P1654" t="str">
            <v>Scratch 2 000</v>
          </cell>
          <cell r="Q1654" t="str">
            <v>62007</v>
          </cell>
          <cell r="R1654" t="str">
            <v>62007Scratch 2 000</v>
          </cell>
          <cell r="S1654" t="str">
            <v>2007Scratch 2 000</v>
          </cell>
          <cell r="T1654" t="str">
            <v>62007ANKA Services</v>
          </cell>
          <cell r="U1654" t="str">
            <v>62007ANKA ServicesScratch 2 000</v>
          </cell>
          <cell r="V1654" t="str">
            <v>39258Scratch 2 000</v>
          </cell>
          <cell r="W1654" t="str">
            <v>2007ANKA Services</v>
          </cell>
          <cell r="X1654" t="str">
            <v>2007ANKA ServicesScratch 2 000</v>
          </cell>
        </row>
        <row r="1655">
          <cell r="I1655">
            <v>2007</v>
          </cell>
          <cell r="J1655" t="str">
            <v>ANKA ServicesScratch 5 000</v>
          </cell>
          <cell r="L1655">
            <v>0</v>
          </cell>
          <cell r="M1655" t="str">
            <v>ANKA Services</v>
          </cell>
          <cell r="N1655" t="str">
            <v>ANKA ServicesScratch 5 000</v>
          </cell>
          <cell r="O1655" t="str">
            <v>ANKA Services</v>
          </cell>
          <cell r="P1655" t="str">
            <v>Scratch 5 000</v>
          </cell>
          <cell r="Q1655" t="str">
            <v>62007</v>
          </cell>
          <cell r="R1655" t="str">
            <v>62007Scratch 5 000</v>
          </cell>
          <cell r="S1655" t="str">
            <v>2007Scratch 5 000</v>
          </cell>
          <cell r="T1655" t="str">
            <v>62007ANKA Services</v>
          </cell>
          <cell r="U1655" t="str">
            <v>62007ANKA ServicesScratch 5 000</v>
          </cell>
          <cell r="V1655" t="str">
            <v>39258Scratch 5 000</v>
          </cell>
          <cell r="W1655" t="str">
            <v>2007ANKA Services</v>
          </cell>
          <cell r="X1655" t="str">
            <v>2007ANKA ServicesScratch 5 000</v>
          </cell>
        </row>
        <row r="1656">
          <cell r="I1656">
            <v>2007</v>
          </cell>
          <cell r="J1656" t="str">
            <v>ANKA ServicesScratch 10 000</v>
          </cell>
          <cell r="L1656">
            <v>0</v>
          </cell>
          <cell r="M1656" t="str">
            <v>ANKA Services</v>
          </cell>
          <cell r="N1656" t="str">
            <v>ANKA ServicesScratch 10 000</v>
          </cell>
          <cell r="O1656" t="str">
            <v>ANKA Services</v>
          </cell>
          <cell r="P1656" t="str">
            <v>Scratch 10 000</v>
          </cell>
          <cell r="Q1656" t="str">
            <v>62007</v>
          </cell>
          <cell r="R1656" t="str">
            <v>62007Scratch 10 000</v>
          </cell>
          <cell r="S1656" t="str">
            <v>2007Scratch 10 000</v>
          </cell>
          <cell r="T1656" t="str">
            <v>62007ANKA Services</v>
          </cell>
          <cell r="U1656" t="str">
            <v>62007ANKA ServicesScratch 10 000</v>
          </cell>
          <cell r="V1656" t="str">
            <v>39258Scratch 10 000</v>
          </cell>
          <cell r="W1656" t="str">
            <v>2007ANKA Services</v>
          </cell>
          <cell r="X1656" t="str">
            <v>2007ANKA ServicesScratch 10 000</v>
          </cell>
        </row>
        <row r="1657">
          <cell r="I1657">
            <v>2007</v>
          </cell>
          <cell r="J1657" t="str">
            <v>ANKA ServicesScratch 20 000</v>
          </cell>
          <cell r="L1657">
            <v>0</v>
          </cell>
          <cell r="M1657" t="str">
            <v>ANKA Services</v>
          </cell>
          <cell r="N1657" t="str">
            <v>ANKA ServicesScratch 20 000</v>
          </cell>
          <cell r="O1657" t="str">
            <v>ANKA Services</v>
          </cell>
          <cell r="P1657" t="str">
            <v>Scratch 20 000</v>
          </cell>
          <cell r="Q1657" t="str">
            <v>62007</v>
          </cell>
          <cell r="R1657" t="str">
            <v>62007Scratch 20 000</v>
          </cell>
          <cell r="S1657" t="str">
            <v>2007Scratch 20 000</v>
          </cell>
          <cell r="T1657" t="str">
            <v>62007ANKA Services</v>
          </cell>
          <cell r="U1657" t="str">
            <v>62007ANKA ServicesScratch 20 000</v>
          </cell>
          <cell r="V1657" t="str">
            <v>39258Scratch 20 000</v>
          </cell>
          <cell r="W1657" t="str">
            <v>2007ANKA Services</v>
          </cell>
          <cell r="X1657" t="str">
            <v>2007ANKA ServicesScratch 20 000</v>
          </cell>
        </row>
        <row r="1658">
          <cell r="I1658">
            <v>2007</v>
          </cell>
          <cell r="J1658" t="str">
            <v>Bonneterie Nouvelle TelecomScratch 1 000</v>
          </cell>
          <cell r="L1658">
            <v>1</v>
          </cell>
          <cell r="M1658" t="str">
            <v>1Bonneterie Nouvelle Telecom</v>
          </cell>
          <cell r="N1658" t="str">
            <v>Bonneterie Nouvelle TelecomScratch 1 000</v>
          </cell>
          <cell r="O1658" t="str">
            <v>Bonneterie Nouvelle Telecom</v>
          </cell>
          <cell r="P1658" t="str">
            <v>Scratch 1 000</v>
          </cell>
          <cell r="Q1658" t="str">
            <v>62007</v>
          </cell>
          <cell r="R1658" t="str">
            <v>62007Scratch 1 000</v>
          </cell>
          <cell r="S1658" t="str">
            <v>2007Scratch 1 000</v>
          </cell>
          <cell r="T1658" t="str">
            <v>62007Bonneterie Nouvelle Telecom</v>
          </cell>
          <cell r="U1658" t="str">
            <v>62007Bonneterie Nouvelle TelecomScratch 1 000</v>
          </cell>
          <cell r="V1658" t="str">
            <v>39260Scratch 1 000</v>
          </cell>
          <cell r="W1658" t="str">
            <v>2007Bonneterie Nouvelle Telecom</v>
          </cell>
          <cell r="X1658" t="str">
            <v>2007Bonneterie Nouvelle TelecomScratch 1 000</v>
          </cell>
        </row>
        <row r="1659">
          <cell r="I1659">
            <v>2007</v>
          </cell>
          <cell r="J1659" t="str">
            <v>Bonneterie Nouvelle TelecomScratch 2 000</v>
          </cell>
          <cell r="L1659">
            <v>0</v>
          </cell>
          <cell r="M1659" t="str">
            <v>Bonneterie Nouvelle Telecom</v>
          </cell>
          <cell r="N1659" t="str">
            <v>Bonneterie Nouvelle TelecomScratch 2 000</v>
          </cell>
          <cell r="O1659" t="str">
            <v>Bonneterie Nouvelle Telecom</v>
          </cell>
          <cell r="P1659" t="str">
            <v>Scratch 2 000</v>
          </cell>
          <cell r="Q1659" t="str">
            <v>62007</v>
          </cell>
          <cell r="R1659" t="str">
            <v>62007Scratch 2 000</v>
          </cell>
          <cell r="S1659" t="str">
            <v>2007Scratch 2 000</v>
          </cell>
          <cell r="T1659" t="str">
            <v>62007Bonneterie Nouvelle Telecom</v>
          </cell>
          <cell r="U1659" t="str">
            <v>62007Bonneterie Nouvelle TelecomScratch 2 000</v>
          </cell>
          <cell r="V1659" t="str">
            <v>39260Scratch 2 000</v>
          </cell>
          <cell r="W1659" t="str">
            <v>2007Bonneterie Nouvelle Telecom</v>
          </cell>
          <cell r="X1659" t="str">
            <v>2007Bonneterie Nouvelle TelecomScratch 2 000</v>
          </cell>
        </row>
        <row r="1660">
          <cell r="I1660">
            <v>2007</v>
          </cell>
          <cell r="J1660" t="str">
            <v>Bonneterie Nouvelle TelecomScratch 5 000</v>
          </cell>
          <cell r="L1660">
            <v>0</v>
          </cell>
          <cell r="M1660" t="str">
            <v>Bonneterie Nouvelle Telecom</v>
          </cell>
          <cell r="N1660" t="str">
            <v>Bonneterie Nouvelle TelecomScratch 5 000</v>
          </cell>
          <cell r="O1660" t="str">
            <v>Bonneterie Nouvelle Telecom</v>
          </cell>
          <cell r="P1660" t="str">
            <v>Scratch 5 000</v>
          </cell>
          <cell r="Q1660" t="str">
            <v>62007</v>
          </cell>
          <cell r="R1660" t="str">
            <v>62007Scratch 5 000</v>
          </cell>
          <cell r="S1660" t="str">
            <v>2007Scratch 5 000</v>
          </cell>
          <cell r="T1660" t="str">
            <v>62007Bonneterie Nouvelle Telecom</v>
          </cell>
          <cell r="U1660" t="str">
            <v>62007Bonneterie Nouvelle TelecomScratch 5 000</v>
          </cell>
          <cell r="V1660" t="str">
            <v>39260Scratch 5 000</v>
          </cell>
          <cell r="W1660" t="str">
            <v>2007Bonneterie Nouvelle Telecom</v>
          </cell>
          <cell r="X1660" t="str">
            <v>2007Bonneterie Nouvelle TelecomScratch 5 000</v>
          </cell>
        </row>
        <row r="1661">
          <cell r="I1661">
            <v>2007</v>
          </cell>
          <cell r="J1661" t="str">
            <v>Bonneterie Nouvelle TelecomScratch 10 000</v>
          </cell>
          <cell r="L1661">
            <v>0</v>
          </cell>
          <cell r="M1661" t="str">
            <v>Bonneterie Nouvelle Telecom</v>
          </cell>
          <cell r="N1661" t="str">
            <v>Bonneterie Nouvelle TelecomScratch 10 000</v>
          </cell>
          <cell r="O1661" t="str">
            <v>Bonneterie Nouvelle Telecom</v>
          </cell>
          <cell r="P1661" t="str">
            <v>Scratch 10 000</v>
          </cell>
          <cell r="Q1661" t="str">
            <v>62007</v>
          </cell>
          <cell r="R1661" t="str">
            <v>62007Scratch 10 000</v>
          </cell>
          <cell r="S1661" t="str">
            <v>2007Scratch 10 000</v>
          </cell>
          <cell r="T1661" t="str">
            <v>62007Bonneterie Nouvelle Telecom</v>
          </cell>
          <cell r="U1661" t="str">
            <v>62007Bonneterie Nouvelle TelecomScratch 10 000</v>
          </cell>
          <cell r="V1661" t="str">
            <v>39260Scratch 10 000</v>
          </cell>
          <cell r="W1661" t="str">
            <v>2007Bonneterie Nouvelle Telecom</v>
          </cell>
          <cell r="X1661" t="str">
            <v>2007Bonneterie Nouvelle TelecomScratch 10 000</v>
          </cell>
        </row>
        <row r="1662">
          <cell r="I1662">
            <v>2007</v>
          </cell>
          <cell r="J1662" t="str">
            <v>Bonneterie Nouvelle TelecomScratch 20 000</v>
          </cell>
          <cell r="L1662">
            <v>0</v>
          </cell>
          <cell r="M1662" t="str">
            <v>Bonneterie Nouvelle Telecom</v>
          </cell>
          <cell r="N1662" t="str">
            <v>Bonneterie Nouvelle TelecomScratch 20 000</v>
          </cell>
          <cell r="O1662" t="str">
            <v>Bonneterie Nouvelle Telecom</v>
          </cell>
          <cell r="P1662" t="str">
            <v>Scratch 20 000</v>
          </cell>
          <cell r="Q1662" t="str">
            <v>62007</v>
          </cell>
          <cell r="R1662" t="str">
            <v>62007Scratch 20 000</v>
          </cell>
          <cell r="S1662" t="str">
            <v>2007Scratch 20 000</v>
          </cell>
          <cell r="T1662" t="str">
            <v>62007Bonneterie Nouvelle Telecom</v>
          </cell>
          <cell r="U1662" t="str">
            <v>62007Bonneterie Nouvelle TelecomScratch 20 000</v>
          </cell>
          <cell r="V1662" t="str">
            <v>39260Scratch 20 000</v>
          </cell>
          <cell r="W1662" t="str">
            <v>2007Bonneterie Nouvelle Telecom</v>
          </cell>
          <cell r="X1662" t="str">
            <v>2007Bonneterie Nouvelle TelecomScratch 20 000</v>
          </cell>
        </row>
        <row r="1663">
          <cell r="I1663">
            <v>2007</v>
          </cell>
          <cell r="J1663" t="str">
            <v>ANKA ServicesScratch 1 000</v>
          </cell>
          <cell r="L1663">
            <v>1</v>
          </cell>
          <cell r="M1663" t="str">
            <v>1ANKA Services</v>
          </cell>
          <cell r="N1663" t="str">
            <v>ANKA ServicesScratch 1 000</v>
          </cell>
          <cell r="O1663" t="str">
            <v>ANKA Services</v>
          </cell>
          <cell r="P1663" t="str">
            <v>Scratch 1 000</v>
          </cell>
          <cell r="Q1663" t="str">
            <v>62007</v>
          </cell>
          <cell r="R1663" t="str">
            <v>62007Scratch 1 000</v>
          </cell>
          <cell r="S1663" t="str">
            <v>2007Scratch 1 000</v>
          </cell>
          <cell r="T1663" t="str">
            <v>62007ANKA Services</v>
          </cell>
          <cell r="U1663" t="str">
            <v>62007ANKA ServicesScratch 1 000</v>
          </cell>
          <cell r="V1663" t="str">
            <v>39260Scratch 1 000</v>
          </cell>
          <cell r="W1663" t="str">
            <v>2007ANKA Services</v>
          </cell>
          <cell r="X1663" t="str">
            <v>2007ANKA ServicesScratch 1 000</v>
          </cell>
        </row>
        <row r="1664">
          <cell r="I1664">
            <v>2007</v>
          </cell>
          <cell r="J1664" t="str">
            <v>ANKA ServicesScratch 2 000</v>
          </cell>
          <cell r="L1664">
            <v>0</v>
          </cell>
          <cell r="M1664" t="str">
            <v>ANKA Services</v>
          </cell>
          <cell r="N1664" t="str">
            <v>ANKA ServicesScratch 2 000</v>
          </cell>
          <cell r="O1664" t="str">
            <v>ANKA Services</v>
          </cell>
          <cell r="P1664" t="str">
            <v>Scratch 2 000</v>
          </cell>
          <cell r="Q1664" t="str">
            <v>62007</v>
          </cell>
          <cell r="R1664" t="str">
            <v>62007Scratch 2 000</v>
          </cell>
          <cell r="S1664" t="str">
            <v>2007Scratch 2 000</v>
          </cell>
          <cell r="T1664" t="str">
            <v>62007ANKA Services</v>
          </cell>
          <cell r="U1664" t="str">
            <v>62007ANKA ServicesScratch 2 000</v>
          </cell>
          <cell r="V1664" t="str">
            <v>39260Scratch 2 000</v>
          </cell>
          <cell r="W1664" t="str">
            <v>2007ANKA Services</v>
          </cell>
          <cell r="X1664" t="str">
            <v>2007ANKA ServicesScratch 2 000</v>
          </cell>
        </row>
        <row r="1665">
          <cell r="I1665">
            <v>2007</v>
          </cell>
          <cell r="J1665" t="str">
            <v>ANKA ServicesScratch 5 000</v>
          </cell>
          <cell r="L1665">
            <v>0</v>
          </cell>
          <cell r="M1665" t="str">
            <v>ANKA Services</v>
          </cell>
          <cell r="N1665" t="str">
            <v>ANKA ServicesScratch 5 000</v>
          </cell>
          <cell r="O1665" t="str">
            <v>ANKA Services</v>
          </cell>
          <cell r="P1665" t="str">
            <v>Scratch 5 000</v>
          </cell>
          <cell r="Q1665" t="str">
            <v>62007</v>
          </cell>
          <cell r="R1665" t="str">
            <v>62007Scratch 5 000</v>
          </cell>
          <cell r="S1665" t="str">
            <v>2007Scratch 5 000</v>
          </cell>
          <cell r="T1665" t="str">
            <v>62007ANKA Services</v>
          </cell>
          <cell r="U1665" t="str">
            <v>62007ANKA ServicesScratch 5 000</v>
          </cell>
          <cell r="V1665" t="str">
            <v>39260Scratch 5 000</v>
          </cell>
          <cell r="W1665" t="str">
            <v>2007ANKA Services</v>
          </cell>
          <cell r="X1665" t="str">
            <v>2007ANKA ServicesScratch 5 000</v>
          </cell>
        </row>
        <row r="1666">
          <cell r="I1666">
            <v>2007</v>
          </cell>
          <cell r="J1666" t="str">
            <v>ANKA ServicesScratch 20 000</v>
          </cell>
          <cell r="L1666">
            <v>0</v>
          </cell>
          <cell r="M1666" t="str">
            <v>ANKA Services</v>
          </cell>
          <cell r="N1666" t="str">
            <v>ANKA ServicesScratch 20 000</v>
          </cell>
          <cell r="O1666" t="str">
            <v>ANKA Services</v>
          </cell>
          <cell r="P1666" t="str">
            <v>Scratch 20 000</v>
          </cell>
          <cell r="Q1666" t="str">
            <v>62007</v>
          </cell>
          <cell r="R1666" t="str">
            <v>62007Scratch 20 000</v>
          </cell>
          <cell r="S1666" t="str">
            <v>2007Scratch 20 000</v>
          </cell>
          <cell r="T1666" t="str">
            <v>62007ANKA Services</v>
          </cell>
          <cell r="U1666" t="str">
            <v>62007ANKA ServicesScratch 20 000</v>
          </cell>
          <cell r="V1666" t="str">
            <v>39260Scratch 20 000</v>
          </cell>
          <cell r="W1666" t="str">
            <v>2007ANKA Services</v>
          </cell>
          <cell r="X1666" t="str">
            <v>2007ANKA ServicesScratch 20 000</v>
          </cell>
        </row>
        <row r="1667">
          <cell r="I1667">
            <v>2007</v>
          </cell>
          <cell r="J1667" t="str">
            <v>STS GAMBY &amp; FRERES (SOGAF) SarlScratch 1 000</v>
          </cell>
          <cell r="L1667">
            <v>1</v>
          </cell>
          <cell r="M1667" t="str">
            <v>1STS GAMBY &amp; FRERES (SOGAF) Sarl</v>
          </cell>
          <cell r="N1667" t="str">
            <v>STS GAMBY &amp; FRERES (SOGAF) SarlScratch 1 000</v>
          </cell>
          <cell r="O1667" t="str">
            <v>STS GAMBY &amp; FRERES (SOGAF) Sarl</v>
          </cell>
          <cell r="P1667" t="str">
            <v>Scratch 1 000</v>
          </cell>
          <cell r="Q1667" t="str">
            <v>62007</v>
          </cell>
          <cell r="R1667" t="str">
            <v>62007Scratch 1 000</v>
          </cell>
          <cell r="S1667" t="str">
            <v>2007Scratch 1 000</v>
          </cell>
          <cell r="T1667" t="str">
            <v>62007STS GAMBY &amp; FRERES (SOGAF) Sarl</v>
          </cell>
          <cell r="U1667" t="str">
            <v>62007STS GAMBY &amp; FRERES (SOGAF) SarlScratch 1 000</v>
          </cell>
          <cell r="V1667" t="str">
            <v>39260Scratch 1 000</v>
          </cell>
          <cell r="W1667" t="str">
            <v>2007STS GAMBY &amp; FRERES (SOGAF) Sarl</v>
          </cell>
          <cell r="X1667" t="str">
            <v>2007STS GAMBY &amp; FRERES (SOGAF) SarlScratch 1 000</v>
          </cell>
        </row>
        <row r="1668">
          <cell r="I1668">
            <v>2007</v>
          </cell>
          <cell r="J1668" t="str">
            <v>STS GAMBY &amp; FRERES (SOGAF) SarlScratch 2 000</v>
          </cell>
          <cell r="L1668">
            <v>0</v>
          </cell>
          <cell r="M1668" t="str">
            <v>STS GAMBY &amp; FRERES (SOGAF) Sarl</v>
          </cell>
          <cell r="N1668" t="str">
            <v>STS GAMBY &amp; FRERES (SOGAF) SarlScratch 2 000</v>
          </cell>
          <cell r="O1668" t="str">
            <v>STS GAMBY &amp; FRERES (SOGAF) Sarl</v>
          </cell>
          <cell r="P1668" t="str">
            <v>Scratch 2 000</v>
          </cell>
          <cell r="Q1668" t="str">
            <v>62007</v>
          </cell>
          <cell r="R1668" t="str">
            <v>62007Scratch 2 000</v>
          </cell>
          <cell r="S1668" t="str">
            <v>2007Scratch 2 000</v>
          </cell>
          <cell r="T1668" t="str">
            <v>62007STS GAMBY &amp; FRERES (SOGAF) Sarl</v>
          </cell>
          <cell r="U1668" t="str">
            <v>62007STS GAMBY &amp; FRERES (SOGAF) SarlScratch 2 000</v>
          </cell>
          <cell r="V1668" t="str">
            <v>39260Scratch 2 000</v>
          </cell>
          <cell r="W1668" t="str">
            <v>2007STS GAMBY &amp; FRERES (SOGAF) Sarl</v>
          </cell>
          <cell r="X1668" t="str">
            <v>2007STS GAMBY &amp; FRERES (SOGAF) SarlScratch 2 000</v>
          </cell>
        </row>
        <row r="1669">
          <cell r="I1669">
            <v>2007</v>
          </cell>
          <cell r="J1669" t="str">
            <v>STS GAMBY &amp; FRERES (SOGAF) SarlScratch 5 000</v>
          </cell>
          <cell r="L1669">
            <v>0</v>
          </cell>
          <cell r="M1669" t="str">
            <v>STS GAMBY &amp; FRERES (SOGAF) Sarl</v>
          </cell>
          <cell r="N1669" t="str">
            <v>STS GAMBY &amp; FRERES (SOGAF) SarlScratch 5 000</v>
          </cell>
          <cell r="O1669" t="str">
            <v>STS GAMBY &amp; FRERES (SOGAF) Sarl</v>
          </cell>
          <cell r="P1669" t="str">
            <v>Scratch 5 000</v>
          </cell>
          <cell r="Q1669" t="str">
            <v>62007</v>
          </cell>
          <cell r="R1669" t="str">
            <v>62007Scratch 5 000</v>
          </cell>
          <cell r="S1669" t="str">
            <v>2007Scratch 5 000</v>
          </cell>
          <cell r="T1669" t="str">
            <v>62007STS GAMBY &amp; FRERES (SOGAF) Sarl</v>
          </cell>
          <cell r="U1669" t="str">
            <v>62007STS GAMBY &amp; FRERES (SOGAF) SarlScratch 5 000</v>
          </cell>
          <cell r="V1669" t="str">
            <v>39260Scratch 5 000</v>
          </cell>
          <cell r="W1669" t="str">
            <v>2007STS GAMBY &amp; FRERES (SOGAF) Sarl</v>
          </cell>
          <cell r="X1669" t="str">
            <v>2007STS GAMBY &amp; FRERES (SOGAF) SarlScratch 5 000</v>
          </cell>
        </row>
        <row r="1670">
          <cell r="I1670">
            <v>2007</v>
          </cell>
          <cell r="J1670" t="str">
            <v>MALI COM SarlScratch 1 000</v>
          </cell>
          <cell r="L1670">
            <v>1</v>
          </cell>
          <cell r="M1670" t="str">
            <v>1MALI COM Sarl</v>
          </cell>
          <cell r="N1670" t="str">
            <v>MALI COM SarlScratch 1 000</v>
          </cell>
          <cell r="O1670" t="str">
            <v>MALI COM Sarl</v>
          </cell>
          <cell r="P1670" t="str">
            <v>Scratch 1 000</v>
          </cell>
          <cell r="Q1670" t="str">
            <v>62007</v>
          </cell>
          <cell r="R1670" t="str">
            <v>62007Scratch 1 000</v>
          </cell>
          <cell r="S1670" t="str">
            <v>2007Scratch 1 000</v>
          </cell>
          <cell r="T1670" t="str">
            <v>62007MALI COM Sarl</v>
          </cell>
          <cell r="U1670" t="str">
            <v>62007MALI COM SarlScratch 1 000</v>
          </cell>
          <cell r="V1670" t="str">
            <v>39260Scratch 1 000</v>
          </cell>
          <cell r="W1670" t="str">
            <v>2007MALI COM Sarl</v>
          </cell>
          <cell r="X1670" t="str">
            <v>2007MALI COM SarlScratch 1 000</v>
          </cell>
        </row>
        <row r="1671">
          <cell r="I1671">
            <v>2007</v>
          </cell>
          <cell r="J1671" t="str">
            <v>MALI COM SarlScratch 2 000</v>
          </cell>
          <cell r="L1671">
            <v>0</v>
          </cell>
          <cell r="M1671" t="str">
            <v>MALI COM Sarl</v>
          </cell>
          <cell r="N1671" t="str">
            <v>MALI COM SarlScratch 2 000</v>
          </cell>
          <cell r="O1671" t="str">
            <v>MALI COM Sarl</v>
          </cell>
          <cell r="P1671" t="str">
            <v>Scratch 2 000</v>
          </cell>
          <cell r="Q1671" t="str">
            <v>62007</v>
          </cell>
          <cell r="R1671" t="str">
            <v>62007Scratch 2 000</v>
          </cell>
          <cell r="S1671" t="str">
            <v>2007Scratch 2 000</v>
          </cell>
          <cell r="T1671" t="str">
            <v>62007MALI COM Sarl</v>
          </cell>
          <cell r="U1671" t="str">
            <v>62007MALI COM SarlScratch 2 000</v>
          </cell>
          <cell r="V1671" t="str">
            <v>39260Scratch 2 000</v>
          </cell>
          <cell r="W1671" t="str">
            <v>2007MALI COM Sarl</v>
          </cell>
          <cell r="X1671" t="str">
            <v>2007MALI COM SarlScratch 2 000</v>
          </cell>
        </row>
        <row r="1672">
          <cell r="I1672">
            <v>2007</v>
          </cell>
          <cell r="J1672" t="str">
            <v>MALI COM SarlScratch 5 000</v>
          </cell>
          <cell r="L1672">
            <v>0</v>
          </cell>
          <cell r="M1672" t="str">
            <v>MALI COM Sarl</v>
          </cell>
          <cell r="N1672" t="str">
            <v>MALI COM SarlScratch 5 000</v>
          </cell>
          <cell r="O1672" t="str">
            <v>MALI COM Sarl</v>
          </cell>
          <cell r="P1672" t="str">
            <v>Scratch 5 000</v>
          </cell>
          <cell r="Q1672" t="str">
            <v>62007</v>
          </cell>
          <cell r="R1672" t="str">
            <v>62007Scratch 5 000</v>
          </cell>
          <cell r="S1672" t="str">
            <v>2007Scratch 5 000</v>
          </cell>
          <cell r="T1672" t="str">
            <v>62007MALI COM Sarl</v>
          </cell>
          <cell r="U1672" t="str">
            <v>62007MALI COM SarlScratch 5 000</v>
          </cell>
          <cell r="V1672" t="str">
            <v>39260Scratch 5 000</v>
          </cell>
          <cell r="W1672" t="str">
            <v>2007MALI COM Sarl</v>
          </cell>
          <cell r="X1672" t="str">
            <v>2007MALI COM SarlScratch 5 000</v>
          </cell>
        </row>
        <row r="1673">
          <cell r="I1673">
            <v>2007</v>
          </cell>
          <cell r="J1673" t="str">
            <v>MALI COM SarlScratch 10 000</v>
          </cell>
          <cell r="L1673">
            <v>0</v>
          </cell>
          <cell r="M1673" t="str">
            <v>MALI COM Sarl</v>
          </cell>
          <cell r="N1673" t="str">
            <v>MALI COM SarlScratch 10 000</v>
          </cell>
          <cell r="O1673" t="str">
            <v>MALI COM Sarl</v>
          </cell>
          <cell r="P1673" t="str">
            <v>Scratch 10 000</v>
          </cell>
          <cell r="Q1673" t="str">
            <v>62007</v>
          </cell>
          <cell r="R1673" t="str">
            <v>62007Scratch 10 000</v>
          </cell>
          <cell r="S1673" t="str">
            <v>2007Scratch 10 000</v>
          </cell>
          <cell r="T1673" t="str">
            <v>62007MALI COM Sarl</v>
          </cell>
          <cell r="U1673" t="str">
            <v>62007MALI COM SarlScratch 10 000</v>
          </cell>
          <cell r="V1673" t="str">
            <v>39260Scratch 10 000</v>
          </cell>
          <cell r="W1673" t="str">
            <v>2007MALI COM Sarl</v>
          </cell>
          <cell r="X1673" t="str">
            <v>2007MALI COM SarlScratch 10 000</v>
          </cell>
        </row>
        <row r="1674">
          <cell r="I1674">
            <v>2007</v>
          </cell>
          <cell r="J1674" t="str">
            <v>MALI COM SarlScratch 20 000</v>
          </cell>
          <cell r="L1674">
            <v>0</v>
          </cell>
          <cell r="M1674" t="str">
            <v>MALI COM Sarl</v>
          </cell>
          <cell r="N1674" t="str">
            <v>MALI COM SarlScratch 20 000</v>
          </cell>
          <cell r="O1674" t="str">
            <v>MALI COM Sarl</v>
          </cell>
          <cell r="P1674" t="str">
            <v>Scratch 20 000</v>
          </cell>
          <cell r="Q1674" t="str">
            <v>62007</v>
          </cell>
          <cell r="R1674" t="str">
            <v>62007Scratch 20 000</v>
          </cell>
          <cell r="S1674" t="str">
            <v>2007Scratch 20 000</v>
          </cell>
          <cell r="T1674" t="str">
            <v>62007MALI COM Sarl</v>
          </cell>
          <cell r="U1674" t="str">
            <v>62007MALI COM SarlScratch 20 000</v>
          </cell>
          <cell r="V1674" t="str">
            <v>39260Scratch 20 000</v>
          </cell>
          <cell r="W1674" t="str">
            <v>2007MALI COM Sarl</v>
          </cell>
          <cell r="X1674" t="str">
            <v>2007MALI COM SarlScratch 20 000</v>
          </cell>
        </row>
        <row r="1675">
          <cell r="I1675">
            <v>2007</v>
          </cell>
          <cell r="J1675" t="str">
            <v>Compagnie Internationale de NegoceScratch 1 000</v>
          </cell>
          <cell r="L1675">
            <v>1</v>
          </cell>
          <cell r="M1675" t="str">
            <v>1Compagnie Internationale de Negoce</v>
          </cell>
          <cell r="N1675" t="str">
            <v>Compagnie Internationale de NegoceScratch 1 000</v>
          </cell>
          <cell r="O1675" t="str">
            <v>Compagnie Internationale de Negoce</v>
          </cell>
          <cell r="P1675" t="str">
            <v>Scratch 1 000</v>
          </cell>
          <cell r="Q1675" t="str">
            <v>62007</v>
          </cell>
          <cell r="R1675" t="str">
            <v>62007Scratch 1 000</v>
          </cell>
          <cell r="S1675" t="str">
            <v>2007Scratch 1 000</v>
          </cell>
          <cell r="T1675" t="str">
            <v>62007Compagnie Internationale de Negoce</v>
          </cell>
          <cell r="U1675" t="str">
            <v>62007Compagnie Internationale de NegoceScratch 1 000</v>
          </cell>
          <cell r="V1675" t="str">
            <v>39260Scratch 1 000</v>
          </cell>
          <cell r="W1675" t="str">
            <v>2007Compagnie Internationale de Negoce</v>
          </cell>
          <cell r="X1675" t="str">
            <v>2007Compagnie Internationale de NegoceScratch 1 000</v>
          </cell>
        </row>
        <row r="1676">
          <cell r="I1676">
            <v>2007</v>
          </cell>
          <cell r="J1676" t="str">
            <v>Compagnie Internationale de NegoceScratch 2 000</v>
          </cell>
          <cell r="L1676">
            <v>0</v>
          </cell>
          <cell r="M1676" t="str">
            <v>Compagnie Internationale de Negoce</v>
          </cell>
          <cell r="N1676" t="str">
            <v>Compagnie Internationale de NegoceScratch 2 000</v>
          </cell>
          <cell r="O1676" t="str">
            <v>Compagnie Internationale de Negoce</v>
          </cell>
          <cell r="P1676" t="str">
            <v>Scratch 2 000</v>
          </cell>
          <cell r="Q1676" t="str">
            <v>62007</v>
          </cell>
          <cell r="R1676" t="str">
            <v>62007Scratch 2 000</v>
          </cell>
          <cell r="S1676" t="str">
            <v>2007Scratch 2 000</v>
          </cell>
          <cell r="T1676" t="str">
            <v>62007Compagnie Internationale de Negoce</v>
          </cell>
          <cell r="U1676" t="str">
            <v>62007Compagnie Internationale de NegoceScratch 2 000</v>
          </cell>
          <cell r="V1676" t="str">
            <v>39260Scratch 2 000</v>
          </cell>
          <cell r="W1676" t="str">
            <v>2007Compagnie Internationale de Negoce</v>
          </cell>
          <cell r="X1676" t="str">
            <v>2007Compagnie Internationale de NegoceScratch 2 000</v>
          </cell>
        </row>
        <row r="1677">
          <cell r="I1677">
            <v>2007</v>
          </cell>
          <cell r="J1677" t="str">
            <v>Compagnie Internationale de NegoceScratch 5 000</v>
          </cell>
          <cell r="L1677">
            <v>0</v>
          </cell>
          <cell r="M1677" t="str">
            <v>Compagnie Internationale de Negoce</v>
          </cell>
          <cell r="N1677" t="str">
            <v>Compagnie Internationale de NegoceScratch 5 000</v>
          </cell>
          <cell r="O1677" t="str">
            <v>Compagnie Internationale de Negoce</v>
          </cell>
          <cell r="P1677" t="str">
            <v>Scratch 5 000</v>
          </cell>
          <cell r="Q1677" t="str">
            <v>62007</v>
          </cell>
          <cell r="R1677" t="str">
            <v>62007Scratch 5 000</v>
          </cell>
          <cell r="S1677" t="str">
            <v>2007Scratch 5 000</v>
          </cell>
          <cell r="T1677" t="str">
            <v>62007Compagnie Internationale de Negoce</v>
          </cell>
          <cell r="U1677" t="str">
            <v>62007Compagnie Internationale de NegoceScratch 5 000</v>
          </cell>
          <cell r="V1677" t="str">
            <v>39260Scratch 5 000</v>
          </cell>
          <cell r="W1677" t="str">
            <v>2007Compagnie Internationale de Negoce</v>
          </cell>
          <cell r="X1677" t="str">
            <v>2007Compagnie Internationale de NegoceScratch 5 000</v>
          </cell>
        </row>
        <row r="1678">
          <cell r="I1678">
            <v>2007</v>
          </cell>
          <cell r="J1678" t="str">
            <v>GEMATELScratch 1 000</v>
          </cell>
          <cell r="L1678">
            <v>1</v>
          </cell>
          <cell r="M1678" t="str">
            <v>1GEMATEL</v>
          </cell>
          <cell r="N1678" t="str">
            <v>GEMATELScratch 1 000</v>
          </cell>
          <cell r="O1678" t="str">
            <v>GEMATEL</v>
          </cell>
          <cell r="P1678" t="str">
            <v>Scratch 1 000</v>
          </cell>
          <cell r="Q1678" t="str">
            <v>62007</v>
          </cell>
          <cell r="R1678" t="str">
            <v>62007Scratch 1 000</v>
          </cell>
          <cell r="S1678" t="str">
            <v>2007Scratch 1 000</v>
          </cell>
          <cell r="T1678" t="str">
            <v>62007GEMATEL</v>
          </cell>
          <cell r="U1678" t="str">
            <v>62007GEMATELScratch 1 000</v>
          </cell>
          <cell r="V1678" t="str">
            <v>39260Scratch 1 000</v>
          </cell>
          <cell r="W1678" t="str">
            <v>2007GEMATEL</v>
          </cell>
          <cell r="X1678" t="str">
            <v>2007GEMATELScratch 1 000</v>
          </cell>
        </row>
        <row r="1679">
          <cell r="I1679">
            <v>2007</v>
          </cell>
          <cell r="J1679" t="str">
            <v>GEMATELScratch 2 000</v>
          </cell>
          <cell r="L1679">
            <v>0</v>
          </cell>
          <cell r="M1679" t="str">
            <v>GEMATEL</v>
          </cell>
          <cell r="N1679" t="str">
            <v>GEMATELScratch 2 000</v>
          </cell>
          <cell r="O1679" t="str">
            <v>GEMATEL</v>
          </cell>
          <cell r="P1679" t="str">
            <v>Scratch 2 000</v>
          </cell>
          <cell r="Q1679" t="str">
            <v>62007</v>
          </cell>
          <cell r="R1679" t="str">
            <v>62007Scratch 2 000</v>
          </cell>
          <cell r="S1679" t="str">
            <v>2007Scratch 2 000</v>
          </cell>
          <cell r="T1679" t="str">
            <v>62007GEMATEL</v>
          </cell>
          <cell r="U1679" t="str">
            <v>62007GEMATELScratch 2 000</v>
          </cell>
          <cell r="V1679" t="str">
            <v>39260Scratch 2 000</v>
          </cell>
          <cell r="W1679" t="str">
            <v>2007GEMATEL</v>
          </cell>
          <cell r="X1679" t="str">
            <v>2007GEMATELScratch 2 000</v>
          </cell>
        </row>
        <row r="1680">
          <cell r="I1680">
            <v>2007</v>
          </cell>
          <cell r="J1680" t="str">
            <v>GEMATELScratch 5 000</v>
          </cell>
          <cell r="L1680">
            <v>0</v>
          </cell>
          <cell r="M1680" t="str">
            <v>GEMATEL</v>
          </cell>
          <cell r="N1680" t="str">
            <v>GEMATELScratch 5 000</v>
          </cell>
          <cell r="O1680" t="str">
            <v>GEMATEL</v>
          </cell>
          <cell r="P1680" t="str">
            <v>Scratch 5 000</v>
          </cell>
          <cell r="Q1680" t="str">
            <v>62007</v>
          </cell>
          <cell r="R1680" t="str">
            <v>62007Scratch 5 000</v>
          </cell>
          <cell r="S1680" t="str">
            <v>2007Scratch 5 000</v>
          </cell>
          <cell r="T1680" t="str">
            <v>62007GEMATEL</v>
          </cell>
          <cell r="U1680" t="str">
            <v>62007GEMATELScratch 5 000</v>
          </cell>
          <cell r="V1680" t="str">
            <v>39260Scratch 5 000</v>
          </cell>
          <cell r="W1680" t="str">
            <v>2007GEMATEL</v>
          </cell>
          <cell r="X1680" t="str">
            <v>2007GEMATELScratch 5 000</v>
          </cell>
        </row>
        <row r="1681">
          <cell r="I1681">
            <v>2007</v>
          </cell>
          <cell r="J1681" t="str">
            <v>GEMATELScratch 10 000</v>
          </cell>
          <cell r="L1681">
            <v>0</v>
          </cell>
          <cell r="M1681" t="str">
            <v>GEMATEL</v>
          </cell>
          <cell r="N1681" t="str">
            <v>GEMATELScratch 10 000</v>
          </cell>
          <cell r="O1681" t="str">
            <v>GEMATEL</v>
          </cell>
          <cell r="P1681" t="str">
            <v>Scratch 10 000</v>
          </cell>
          <cell r="Q1681" t="str">
            <v>62007</v>
          </cell>
          <cell r="R1681" t="str">
            <v>62007Scratch 10 000</v>
          </cell>
          <cell r="S1681" t="str">
            <v>2007Scratch 10 000</v>
          </cell>
          <cell r="T1681" t="str">
            <v>62007GEMATEL</v>
          </cell>
          <cell r="U1681" t="str">
            <v>62007GEMATELScratch 10 000</v>
          </cell>
          <cell r="V1681" t="str">
            <v>39260Scratch 10 000</v>
          </cell>
          <cell r="W1681" t="str">
            <v>2007GEMATEL</v>
          </cell>
          <cell r="X1681" t="str">
            <v>2007GEMATELScratch 10 000</v>
          </cell>
        </row>
        <row r="1682">
          <cell r="I1682">
            <v>2007</v>
          </cell>
          <cell r="J1682" t="str">
            <v>GEMATELScratch 20 000</v>
          </cell>
          <cell r="L1682">
            <v>0</v>
          </cell>
          <cell r="M1682" t="str">
            <v>GEMATEL</v>
          </cell>
          <cell r="N1682" t="str">
            <v>GEMATELScratch 20 000</v>
          </cell>
          <cell r="O1682" t="str">
            <v>GEMATEL</v>
          </cell>
          <cell r="P1682" t="str">
            <v>Scratch 20 000</v>
          </cell>
          <cell r="Q1682" t="str">
            <v>62007</v>
          </cell>
          <cell r="R1682" t="str">
            <v>62007Scratch 20 000</v>
          </cell>
          <cell r="S1682" t="str">
            <v>2007Scratch 20 000</v>
          </cell>
          <cell r="T1682" t="str">
            <v>62007GEMATEL</v>
          </cell>
          <cell r="U1682" t="str">
            <v>62007GEMATELScratch 20 000</v>
          </cell>
          <cell r="V1682" t="str">
            <v>39260Scratch 20 000</v>
          </cell>
          <cell r="W1682" t="str">
            <v>2007GEMATEL</v>
          </cell>
          <cell r="X1682" t="str">
            <v>2007GEMATELScratch 20 000</v>
          </cell>
        </row>
        <row r="1683">
          <cell r="I1683">
            <v>2007</v>
          </cell>
          <cell r="J1683" t="str">
            <v>ANKA ServicesScratch 1 000</v>
          </cell>
          <cell r="L1683">
            <v>1</v>
          </cell>
          <cell r="M1683" t="str">
            <v>1ANKA Services</v>
          </cell>
          <cell r="N1683" t="str">
            <v>ANKA ServicesScratch 1 000</v>
          </cell>
          <cell r="O1683" t="str">
            <v>ANKA Services</v>
          </cell>
          <cell r="P1683" t="str">
            <v>Scratch 1 000</v>
          </cell>
          <cell r="Q1683" t="str">
            <v>62007</v>
          </cell>
          <cell r="R1683" t="str">
            <v>62007Scratch 1 000</v>
          </cell>
          <cell r="S1683" t="str">
            <v>2007Scratch 1 000</v>
          </cell>
          <cell r="T1683" t="str">
            <v>62007ANKA Services</v>
          </cell>
          <cell r="U1683" t="str">
            <v>62007ANKA ServicesScratch 1 000</v>
          </cell>
          <cell r="V1683" t="str">
            <v>39260Scratch 1 000</v>
          </cell>
          <cell r="W1683" t="str">
            <v>2007ANKA Services</v>
          </cell>
          <cell r="X1683" t="str">
            <v>2007ANKA ServicesScratch 1 000</v>
          </cell>
        </row>
        <row r="1684">
          <cell r="I1684">
            <v>2007</v>
          </cell>
          <cell r="J1684" t="str">
            <v>ANKA ServicesScratch 2 000</v>
          </cell>
          <cell r="L1684">
            <v>0</v>
          </cell>
          <cell r="M1684" t="str">
            <v>ANKA Services</v>
          </cell>
          <cell r="N1684" t="str">
            <v>ANKA ServicesScratch 2 000</v>
          </cell>
          <cell r="O1684" t="str">
            <v>ANKA Services</v>
          </cell>
          <cell r="P1684" t="str">
            <v>Scratch 2 000</v>
          </cell>
          <cell r="Q1684" t="str">
            <v>62007</v>
          </cell>
          <cell r="R1684" t="str">
            <v>62007Scratch 2 000</v>
          </cell>
          <cell r="S1684" t="str">
            <v>2007Scratch 2 000</v>
          </cell>
          <cell r="T1684" t="str">
            <v>62007ANKA Services</v>
          </cell>
          <cell r="U1684" t="str">
            <v>62007ANKA ServicesScratch 2 000</v>
          </cell>
          <cell r="V1684" t="str">
            <v>39260Scratch 2 000</v>
          </cell>
          <cell r="W1684" t="str">
            <v>2007ANKA Services</v>
          </cell>
          <cell r="X1684" t="str">
            <v>2007ANKA ServicesScratch 2 000</v>
          </cell>
        </row>
        <row r="1685">
          <cell r="I1685">
            <v>2007</v>
          </cell>
          <cell r="J1685" t="str">
            <v>ANKA ServicesScratch 5 000</v>
          </cell>
          <cell r="L1685">
            <v>0</v>
          </cell>
          <cell r="M1685" t="str">
            <v>ANKA Services</v>
          </cell>
          <cell r="N1685" t="str">
            <v>ANKA ServicesScratch 5 000</v>
          </cell>
          <cell r="O1685" t="str">
            <v>ANKA Services</v>
          </cell>
          <cell r="P1685" t="str">
            <v>Scratch 5 000</v>
          </cell>
          <cell r="Q1685" t="str">
            <v>62007</v>
          </cell>
          <cell r="R1685" t="str">
            <v>62007Scratch 5 000</v>
          </cell>
          <cell r="S1685" t="str">
            <v>2007Scratch 5 000</v>
          </cell>
          <cell r="T1685" t="str">
            <v>62007ANKA Services</v>
          </cell>
          <cell r="U1685" t="str">
            <v>62007ANKA ServicesScratch 5 000</v>
          </cell>
          <cell r="V1685" t="str">
            <v>39260Scratch 5 000</v>
          </cell>
          <cell r="W1685" t="str">
            <v>2007ANKA Services</v>
          </cell>
          <cell r="X1685" t="str">
            <v>2007ANKA ServicesScratch 5 000</v>
          </cell>
        </row>
        <row r="1686">
          <cell r="I1686">
            <v>2007</v>
          </cell>
          <cell r="J1686" t="str">
            <v>ANKA ServicesScratch 10 000</v>
          </cell>
          <cell r="L1686">
            <v>0</v>
          </cell>
          <cell r="M1686" t="str">
            <v>ANKA Services</v>
          </cell>
          <cell r="N1686" t="str">
            <v>ANKA ServicesScratch 10 000</v>
          </cell>
          <cell r="O1686" t="str">
            <v>ANKA Services</v>
          </cell>
          <cell r="P1686" t="str">
            <v>Scratch 10 000</v>
          </cell>
          <cell r="Q1686" t="str">
            <v>62007</v>
          </cell>
          <cell r="R1686" t="str">
            <v>62007Scratch 10 000</v>
          </cell>
          <cell r="S1686" t="str">
            <v>2007Scratch 10 000</v>
          </cell>
          <cell r="T1686" t="str">
            <v>62007ANKA Services</v>
          </cell>
          <cell r="U1686" t="str">
            <v>62007ANKA ServicesScratch 10 000</v>
          </cell>
          <cell r="V1686" t="str">
            <v>39260Scratch 10 000</v>
          </cell>
          <cell r="W1686" t="str">
            <v>2007ANKA Services</v>
          </cell>
          <cell r="X1686" t="str">
            <v>2007ANKA ServicesScratch 10 000</v>
          </cell>
        </row>
        <row r="1687">
          <cell r="I1687">
            <v>2007</v>
          </cell>
          <cell r="J1687" t="str">
            <v>STS GAMBY &amp; FRERES (SOGAF) SarlScratch 1 000</v>
          </cell>
          <cell r="L1687">
            <v>1</v>
          </cell>
          <cell r="M1687" t="str">
            <v>1STS GAMBY &amp; FRERES (SOGAF) Sarl</v>
          </cell>
          <cell r="N1687" t="str">
            <v>STS GAMBY &amp; FRERES (SOGAF) SarlScratch 1 000</v>
          </cell>
          <cell r="O1687" t="str">
            <v>STS GAMBY &amp; FRERES (SOGAF) Sarl</v>
          </cell>
          <cell r="P1687" t="str">
            <v>Scratch 1 000</v>
          </cell>
          <cell r="Q1687" t="str">
            <v>62007</v>
          </cell>
          <cell r="R1687" t="str">
            <v>62007Scratch 1 000</v>
          </cell>
          <cell r="S1687" t="str">
            <v>2007Scratch 1 000</v>
          </cell>
          <cell r="T1687" t="str">
            <v>62007STS GAMBY &amp; FRERES (SOGAF) Sarl</v>
          </cell>
          <cell r="U1687" t="str">
            <v>62007STS GAMBY &amp; FRERES (SOGAF) SarlScratch 1 000</v>
          </cell>
          <cell r="V1687" t="str">
            <v>39260Scratch 1 000</v>
          </cell>
          <cell r="W1687" t="str">
            <v>2007STS GAMBY &amp; FRERES (SOGAF) Sarl</v>
          </cell>
          <cell r="X1687" t="str">
            <v>2007STS GAMBY &amp; FRERES (SOGAF) SarlScratch 1 000</v>
          </cell>
        </row>
        <row r="1688">
          <cell r="I1688">
            <v>2007</v>
          </cell>
          <cell r="J1688" t="str">
            <v>STS GAMBY &amp; FRERES (SOGAF) SarlScratch 2 000</v>
          </cell>
          <cell r="L1688">
            <v>0</v>
          </cell>
          <cell r="M1688" t="str">
            <v>STS GAMBY &amp; FRERES (SOGAF) Sarl</v>
          </cell>
          <cell r="N1688" t="str">
            <v>STS GAMBY &amp; FRERES (SOGAF) SarlScratch 2 000</v>
          </cell>
          <cell r="O1688" t="str">
            <v>STS GAMBY &amp; FRERES (SOGAF) Sarl</v>
          </cell>
          <cell r="P1688" t="str">
            <v>Scratch 2 000</v>
          </cell>
          <cell r="Q1688" t="str">
            <v>62007</v>
          </cell>
          <cell r="R1688" t="str">
            <v>62007Scratch 2 000</v>
          </cell>
          <cell r="S1688" t="str">
            <v>2007Scratch 2 000</v>
          </cell>
          <cell r="T1688" t="str">
            <v>62007STS GAMBY &amp; FRERES (SOGAF) Sarl</v>
          </cell>
          <cell r="U1688" t="str">
            <v>62007STS GAMBY &amp; FRERES (SOGAF) SarlScratch 2 000</v>
          </cell>
          <cell r="V1688" t="str">
            <v>39260Scratch 2 000</v>
          </cell>
          <cell r="W1688" t="str">
            <v>2007STS GAMBY &amp; FRERES (SOGAF) Sarl</v>
          </cell>
          <cell r="X1688" t="str">
            <v>2007STS GAMBY &amp; FRERES (SOGAF) SarlScratch 2 000</v>
          </cell>
        </row>
        <row r="1689">
          <cell r="I1689">
            <v>2007</v>
          </cell>
          <cell r="J1689" t="str">
            <v>STS GAMBY &amp; FRERES (SOGAF) SarlScratch 5 000</v>
          </cell>
          <cell r="L1689">
            <v>0</v>
          </cell>
          <cell r="M1689" t="str">
            <v>STS GAMBY &amp; FRERES (SOGAF) Sarl</v>
          </cell>
          <cell r="N1689" t="str">
            <v>STS GAMBY &amp; FRERES (SOGAF) SarlScratch 5 000</v>
          </cell>
          <cell r="O1689" t="str">
            <v>STS GAMBY &amp; FRERES (SOGAF) Sarl</v>
          </cell>
          <cell r="P1689" t="str">
            <v>Scratch 5 000</v>
          </cell>
          <cell r="Q1689" t="str">
            <v>62007</v>
          </cell>
          <cell r="R1689" t="str">
            <v>62007Scratch 5 000</v>
          </cell>
          <cell r="S1689" t="str">
            <v>2007Scratch 5 000</v>
          </cell>
          <cell r="T1689" t="str">
            <v>62007STS GAMBY &amp; FRERES (SOGAF) Sarl</v>
          </cell>
          <cell r="U1689" t="str">
            <v>62007STS GAMBY &amp; FRERES (SOGAF) SarlScratch 5 000</v>
          </cell>
          <cell r="V1689" t="str">
            <v>39260Scratch 5 000</v>
          </cell>
          <cell r="W1689" t="str">
            <v>2007STS GAMBY &amp; FRERES (SOGAF) Sarl</v>
          </cell>
          <cell r="X1689" t="str">
            <v>2007STS GAMBY &amp; FRERES (SOGAF) SarlScratch 5 000</v>
          </cell>
        </row>
        <row r="1690">
          <cell r="I1690">
            <v>2007</v>
          </cell>
          <cell r="J1690" t="str">
            <v>SOLEIL LEVANTScratch 1 000</v>
          </cell>
          <cell r="L1690">
            <v>1</v>
          </cell>
          <cell r="M1690" t="str">
            <v>1SOLEIL LEVANT</v>
          </cell>
          <cell r="N1690" t="str">
            <v>SOLEIL LEVANTScratch 1 000</v>
          </cell>
          <cell r="O1690" t="str">
            <v>SOLEIL LEVANT</v>
          </cell>
          <cell r="P1690" t="str">
            <v>Scratch 1 000</v>
          </cell>
          <cell r="Q1690" t="str">
            <v>62007</v>
          </cell>
          <cell r="R1690" t="str">
            <v>62007Scratch 1 000</v>
          </cell>
          <cell r="S1690" t="str">
            <v>2007Scratch 1 000</v>
          </cell>
          <cell r="T1690" t="str">
            <v>62007SOLEIL LEVANT</v>
          </cell>
          <cell r="U1690" t="str">
            <v>62007SOLEIL LEVANTScratch 1 000</v>
          </cell>
          <cell r="V1690" t="str">
            <v>39261Scratch 1 000</v>
          </cell>
          <cell r="W1690" t="str">
            <v>2007SOLEIL LEVANT</v>
          </cell>
          <cell r="X1690" t="str">
            <v>2007SOLEIL LEVANTScratch 1 000</v>
          </cell>
        </row>
        <row r="1691">
          <cell r="I1691">
            <v>2007</v>
          </cell>
          <cell r="J1691" t="str">
            <v>SOLEIL LEVANTScratch 2 000</v>
          </cell>
          <cell r="L1691">
            <v>0</v>
          </cell>
          <cell r="M1691" t="str">
            <v>SOLEIL LEVANT</v>
          </cell>
          <cell r="N1691" t="str">
            <v>SOLEIL LEVANTScratch 2 000</v>
          </cell>
          <cell r="O1691" t="str">
            <v>SOLEIL LEVANT</v>
          </cell>
          <cell r="P1691" t="str">
            <v>Scratch 2 000</v>
          </cell>
          <cell r="Q1691" t="str">
            <v>62007</v>
          </cell>
          <cell r="R1691" t="str">
            <v>62007Scratch 2 000</v>
          </cell>
          <cell r="S1691" t="str">
            <v>2007Scratch 2 000</v>
          </cell>
          <cell r="T1691" t="str">
            <v>62007SOLEIL LEVANT</v>
          </cell>
          <cell r="U1691" t="str">
            <v>62007SOLEIL LEVANTScratch 2 000</v>
          </cell>
          <cell r="V1691" t="str">
            <v>39261Scratch 2 000</v>
          </cell>
          <cell r="W1691" t="str">
            <v>2007SOLEIL LEVANT</v>
          </cell>
          <cell r="X1691" t="str">
            <v>2007SOLEIL LEVANTScratch 2 000</v>
          </cell>
        </row>
        <row r="1692">
          <cell r="I1692">
            <v>2007</v>
          </cell>
          <cell r="J1692" t="str">
            <v>SOLEIL LEVANTScratch 5 000</v>
          </cell>
          <cell r="L1692">
            <v>0</v>
          </cell>
          <cell r="M1692" t="str">
            <v>SOLEIL LEVANT</v>
          </cell>
          <cell r="N1692" t="str">
            <v>SOLEIL LEVANTScratch 5 000</v>
          </cell>
          <cell r="O1692" t="str">
            <v>SOLEIL LEVANT</v>
          </cell>
          <cell r="P1692" t="str">
            <v>Scratch 5 000</v>
          </cell>
          <cell r="Q1692" t="str">
            <v>62007</v>
          </cell>
          <cell r="R1692" t="str">
            <v>62007Scratch 5 000</v>
          </cell>
          <cell r="S1692" t="str">
            <v>2007Scratch 5 000</v>
          </cell>
          <cell r="T1692" t="str">
            <v>62007SOLEIL LEVANT</v>
          </cell>
          <cell r="U1692" t="str">
            <v>62007SOLEIL LEVANTScratch 5 000</v>
          </cell>
          <cell r="V1692" t="str">
            <v>39261Scratch 5 000</v>
          </cell>
          <cell r="W1692" t="str">
            <v>2007SOLEIL LEVANT</v>
          </cell>
          <cell r="X1692" t="str">
            <v>2007SOLEIL LEVANTScratch 5 000</v>
          </cell>
        </row>
        <row r="1693">
          <cell r="I1693">
            <v>2007</v>
          </cell>
          <cell r="J1693" t="str">
            <v>SOLEIL LEVANTScratch 10 000</v>
          </cell>
          <cell r="L1693">
            <v>0</v>
          </cell>
          <cell r="M1693" t="str">
            <v>SOLEIL LEVANT</v>
          </cell>
          <cell r="N1693" t="str">
            <v>SOLEIL LEVANTScratch 10 000</v>
          </cell>
          <cell r="O1693" t="str">
            <v>SOLEIL LEVANT</v>
          </cell>
          <cell r="P1693" t="str">
            <v>Scratch 10 000</v>
          </cell>
          <cell r="Q1693" t="str">
            <v>62007</v>
          </cell>
          <cell r="R1693" t="str">
            <v>62007Scratch 10 000</v>
          </cell>
          <cell r="S1693" t="str">
            <v>2007Scratch 10 000</v>
          </cell>
          <cell r="T1693" t="str">
            <v>62007SOLEIL LEVANT</v>
          </cell>
          <cell r="U1693" t="str">
            <v>62007SOLEIL LEVANTScratch 10 000</v>
          </cell>
          <cell r="V1693" t="str">
            <v>39261Scratch 10 000</v>
          </cell>
          <cell r="W1693" t="str">
            <v>2007SOLEIL LEVANT</v>
          </cell>
          <cell r="X1693" t="str">
            <v>2007SOLEIL LEVANTScratch 10 000</v>
          </cell>
        </row>
        <row r="1694">
          <cell r="I1694">
            <v>2007</v>
          </cell>
          <cell r="J1694" t="str">
            <v>SOLEIL LEVANTScratch 20 000</v>
          </cell>
          <cell r="L1694">
            <v>0</v>
          </cell>
          <cell r="M1694" t="str">
            <v>SOLEIL LEVANT</v>
          </cell>
          <cell r="N1694" t="str">
            <v>SOLEIL LEVANTScratch 20 000</v>
          </cell>
          <cell r="O1694" t="str">
            <v>SOLEIL LEVANT</v>
          </cell>
          <cell r="P1694" t="str">
            <v>Scratch 20 000</v>
          </cell>
          <cell r="Q1694" t="str">
            <v>62007</v>
          </cell>
          <cell r="R1694" t="str">
            <v>62007Scratch 20 000</v>
          </cell>
          <cell r="S1694" t="str">
            <v>2007Scratch 20 000</v>
          </cell>
          <cell r="T1694" t="str">
            <v>62007SOLEIL LEVANT</v>
          </cell>
          <cell r="U1694" t="str">
            <v>62007SOLEIL LEVANTScratch 20 000</v>
          </cell>
          <cell r="V1694" t="str">
            <v>39261Scratch 20 000</v>
          </cell>
          <cell r="W1694" t="str">
            <v>2007SOLEIL LEVANT</v>
          </cell>
          <cell r="X1694" t="str">
            <v>2007SOLEIL LEVANTScratch 20 000</v>
          </cell>
        </row>
        <row r="1695">
          <cell r="I1695">
            <v>2007</v>
          </cell>
          <cell r="J1695" t="str">
            <v>Ets Mamadou GAMBYScratch 1 000</v>
          </cell>
          <cell r="L1695">
            <v>1</v>
          </cell>
          <cell r="M1695" t="str">
            <v>1Ets Mamadou GAMBY</v>
          </cell>
          <cell r="N1695" t="str">
            <v>Ets Mamadou GAMBYScratch 1 000</v>
          </cell>
          <cell r="O1695" t="str">
            <v>Ets Mamadou GAMBY</v>
          </cell>
          <cell r="P1695" t="str">
            <v>Scratch 1 000</v>
          </cell>
          <cell r="Q1695" t="str">
            <v>62007</v>
          </cell>
          <cell r="R1695" t="str">
            <v>62007Scratch 1 000</v>
          </cell>
          <cell r="S1695" t="str">
            <v>2007Scratch 1 000</v>
          </cell>
          <cell r="T1695" t="str">
            <v>62007Ets Mamadou GAMBY</v>
          </cell>
          <cell r="U1695" t="str">
            <v>62007Ets Mamadou GAMBYScratch 1 000</v>
          </cell>
          <cell r="V1695" t="str">
            <v>39261Scratch 1 000</v>
          </cell>
          <cell r="W1695" t="str">
            <v>2007Ets Mamadou GAMBY</v>
          </cell>
          <cell r="X1695" t="str">
            <v>2007Ets Mamadou GAMBYScratch 1 000</v>
          </cell>
        </row>
        <row r="1696">
          <cell r="I1696">
            <v>2007</v>
          </cell>
          <cell r="J1696" t="str">
            <v>Ets Mamadou GAMBYScratch 2 000</v>
          </cell>
          <cell r="L1696">
            <v>0</v>
          </cell>
          <cell r="M1696" t="str">
            <v>Ets Mamadou GAMBY</v>
          </cell>
          <cell r="N1696" t="str">
            <v>Ets Mamadou GAMBYScratch 2 000</v>
          </cell>
          <cell r="O1696" t="str">
            <v>Ets Mamadou GAMBY</v>
          </cell>
          <cell r="P1696" t="str">
            <v>Scratch 2 000</v>
          </cell>
          <cell r="Q1696" t="str">
            <v>62007</v>
          </cell>
          <cell r="R1696" t="str">
            <v>62007Scratch 2 000</v>
          </cell>
          <cell r="S1696" t="str">
            <v>2007Scratch 2 000</v>
          </cell>
          <cell r="T1696" t="str">
            <v>62007Ets Mamadou GAMBY</v>
          </cell>
          <cell r="U1696" t="str">
            <v>62007Ets Mamadou GAMBYScratch 2 000</v>
          </cell>
          <cell r="V1696" t="str">
            <v>39261Scratch 2 000</v>
          </cell>
          <cell r="W1696" t="str">
            <v>2007Ets Mamadou GAMBY</v>
          </cell>
          <cell r="X1696" t="str">
            <v>2007Ets Mamadou GAMBYScratch 2 000</v>
          </cell>
        </row>
        <row r="1697">
          <cell r="I1697">
            <v>2007</v>
          </cell>
          <cell r="J1697" t="str">
            <v>Ets Mamadou GAMBYScratch 5 000</v>
          </cell>
          <cell r="L1697">
            <v>0</v>
          </cell>
          <cell r="M1697" t="str">
            <v>Ets Mamadou GAMBY</v>
          </cell>
          <cell r="N1697" t="str">
            <v>Ets Mamadou GAMBYScratch 5 000</v>
          </cell>
          <cell r="O1697" t="str">
            <v>Ets Mamadou GAMBY</v>
          </cell>
          <cell r="P1697" t="str">
            <v>Scratch 5 000</v>
          </cell>
          <cell r="Q1697" t="str">
            <v>62007</v>
          </cell>
          <cell r="R1697" t="str">
            <v>62007Scratch 5 000</v>
          </cell>
          <cell r="S1697" t="str">
            <v>2007Scratch 5 000</v>
          </cell>
          <cell r="T1697" t="str">
            <v>62007Ets Mamadou GAMBY</v>
          </cell>
          <cell r="U1697" t="str">
            <v>62007Ets Mamadou GAMBYScratch 5 000</v>
          </cell>
          <cell r="V1697" t="str">
            <v>39261Scratch 5 000</v>
          </cell>
          <cell r="W1697" t="str">
            <v>2007Ets Mamadou GAMBY</v>
          </cell>
          <cell r="X1697" t="str">
            <v>2007Ets Mamadou GAMBYScratch 5 000</v>
          </cell>
        </row>
        <row r="1698">
          <cell r="I1698">
            <v>2007</v>
          </cell>
          <cell r="J1698" t="str">
            <v>Ets Mamadou GAMBYScratch 10 000</v>
          </cell>
          <cell r="L1698">
            <v>0</v>
          </cell>
          <cell r="M1698" t="str">
            <v>Ets Mamadou GAMBY</v>
          </cell>
          <cell r="N1698" t="str">
            <v>Ets Mamadou GAMBYScratch 10 000</v>
          </cell>
          <cell r="O1698" t="str">
            <v>Ets Mamadou GAMBY</v>
          </cell>
          <cell r="P1698" t="str">
            <v>Scratch 10 000</v>
          </cell>
          <cell r="Q1698" t="str">
            <v>62007</v>
          </cell>
          <cell r="R1698" t="str">
            <v>62007Scratch 10 000</v>
          </cell>
          <cell r="S1698" t="str">
            <v>2007Scratch 10 000</v>
          </cell>
          <cell r="T1698" t="str">
            <v>62007Ets Mamadou GAMBY</v>
          </cell>
          <cell r="U1698" t="str">
            <v>62007Ets Mamadou GAMBYScratch 10 000</v>
          </cell>
          <cell r="V1698" t="str">
            <v>39261Scratch 10 000</v>
          </cell>
          <cell r="W1698" t="str">
            <v>2007Ets Mamadou GAMBY</v>
          </cell>
          <cell r="X1698" t="str">
            <v>2007Ets Mamadou GAMBYScratch 10 000</v>
          </cell>
        </row>
        <row r="1699">
          <cell r="I1699">
            <v>2007</v>
          </cell>
          <cell r="J1699" t="str">
            <v>Ets Mamadou GAMBYScratch 20 000</v>
          </cell>
          <cell r="L1699">
            <v>0</v>
          </cell>
          <cell r="M1699" t="str">
            <v>Ets Mamadou GAMBY</v>
          </cell>
          <cell r="N1699" t="str">
            <v>Ets Mamadou GAMBYScratch 20 000</v>
          </cell>
          <cell r="O1699" t="str">
            <v>Ets Mamadou GAMBY</v>
          </cell>
          <cell r="P1699" t="str">
            <v>Scratch 20 000</v>
          </cell>
          <cell r="Q1699" t="str">
            <v>62007</v>
          </cell>
          <cell r="R1699" t="str">
            <v>62007Scratch 20 000</v>
          </cell>
          <cell r="S1699" t="str">
            <v>2007Scratch 20 000</v>
          </cell>
          <cell r="T1699" t="str">
            <v>62007Ets Mamadou GAMBY</v>
          </cell>
          <cell r="U1699" t="str">
            <v>62007Ets Mamadou GAMBYScratch 20 000</v>
          </cell>
          <cell r="V1699" t="str">
            <v>39261Scratch 20 000</v>
          </cell>
          <cell r="W1699" t="str">
            <v>2007Ets Mamadou GAMBY</v>
          </cell>
          <cell r="X1699" t="str">
            <v>2007Ets Mamadou GAMBYScratch 20 000</v>
          </cell>
        </row>
        <row r="1700">
          <cell r="I1700">
            <v>2007</v>
          </cell>
          <cell r="J1700" t="str">
            <v>ANKA ServicesScratch 1 000</v>
          </cell>
          <cell r="L1700">
            <v>1</v>
          </cell>
          <cell r="M1700" t="str">
            <v>1ANKA Services</v>
          </cell>
          <cell r="N1700" t="str">
            <v>ANKA ServicesScratch 1 000</v>
          </cell>
          <cell r="O1700" t="str">
            <v>ANKA Services</v>
          </cell>
          <cell r="P1700" t="str">
            <v>Scratch 1 000</v>
          </cell>
          <cell r="Q1700" t="str">
            <v>62007</v>
          </cell>
          <cell r="R1700" t="str">
            <v>62007Scratch 1 000</v>
          </cell>
          <cell r="S1700" t="str">
            <v>2007Scratch 1 000</v>
          </cell>
          <cell r="T1700" t="str">
            <v>62007ANKA Services</v>
          </cell>
          <cell r="U1700" t="str">
            <v>62007ANKA ServicesScratch 1 000</v>
          </cell>
          <cell r="V1700" t="str">
            <v>39261Scratch 1 000</v>
          </cell>
          <cell r="W1700" t="str">
            <v>2007ANKA Services</v>
          </cell>
          <cell r="X1700" t="str">
            <v>2007ANKA ServicesScratch 1 000</v>
          </cell>
        </row>
        <row r="1701">
          <cell r="I1701">
            <v>2007</v>
          </cell>
          <cell r="J1701" t="str">
            <v>ANKA ServicesScratch 2 000</v>
          </cell>
          <cell r="L1701">
            <v>0</v>
          </cell>
          <cell r="M1701" t="str">
            <v>ANKA Services</v>
          </cell>
          <cell r="N1701" t="str">
            <v>ANKA ServicesScratch 2 000</v>
          </cell>
          <cell r="O1701" t="str">
            <v>ANKA Services</v>
          </cell>
          <cell r="P1701" t="str">
            <v>Scratch 2 000</v>
          </cell>
          <cell r="Q1701" t="str">
            <v>62007</v>
          </cell>
          <cell r="R1701" t="str">
            <v>62007Scratch 2 000</v>
          </cell>
          <cell r="S1701" t="str">
            <v>2007Scratch 2 000</v>
          </cell>
          <cell r="T1701" t="str">
            <v>62007ANKA Services</v>
          </cell>
          <cell r="U1701" t="str">
            <v>62007ANKA ServicesScratch 2 000</v>
          </cell>
          <cell r="V1701" t="str">
            <v>39261Scratch 2 000</v>
          </cell>
          <cell r="W1701" t="str">
            <v>2007ANKA Services</v>
          </cell>
          <cell r="X1701" t="str">
            <v>2007ANKA ServicesScratch 2 000</v>
          </cell>
        </row>
        <row r="1702">
          <cell r="I1702">
            <v>2007</v>
          </cell>
          <cell r="J1702" t="str">
            <v>ANKA ServicesScratch 5 000</v>
          </cell>
          <cell r="L1702">
            <v>0</v>
          </cell>
          <cell r="M1702" t="str">
            <v>ANKA Services</v>
          </cell>
          <cell r="N1702" t="str">
            <v>ANKA ServicesScratch 5 000</v>
          </cell>
          <cell r="O1702" t="str">
            <v>ANKA Services</v>
          </cell>
          <cell r="P1702" t="str">
            <v>Scratch 5 000</v>
          </cell>
          <cell r="Q1702" t="str">
            <v>62007</v>
          </cell>
          <cell r="R1702" t="str">
            <v>62007Scratch 5 000</v>
          </cell>
          <cell r="S1702" t="str">
            <v>2007Scratch 5 000</v>
          </cell>
          <cell r="T1702" t="str">
            <v>62007ANKA Services</v>
          </cell>
          <cell r="U1702" t="str">
            <v>62007ANKA ServicesScratch 5 000</v>
          </cell>
          <cell r="V1702" t="str">
            <v>39261Scratch 5 000</v>
          </cell>
          <cell r="W1702" t="str">
            <v>2007ANKA Services</v>
          </cell>
          <cell r="X1702" t="str">
            <v>2007ANKA ServicesScratch 5 000</v>
          </cell>
        </row>
        <row r="1703">
          <cell r="I1703">
            <v>2007</v>
          </cell>
          <cell r="J1703" t="str">
            <v>ANKA ServicesScratch 20 000</v>
          </cell>
          <cell r="L1703">
            <v>0</v>
          </cell>
          <cell r="M1703" t="str">
            <v>ANKA Services</v>
          </cell>
          <cell r="N1703" t="str">
            <v>ANKA ServicesScratch 20 000</v>
          </cell>
          <cell r="O1703" t="str">
            <v>ANKA Services</v>
          </cell>
          <cell r="P1703" t="str">
            <v>Scratch 20 000</v>
          </cell>
          <cell r="Q1703" t="str">
            <v>62007</v>
          </cell>
          <cell r="R1703" t="str">
            <v>62007Scratch 20 000</v>
          </cell>
          <cell r="S1703" t="str">
            <v>2007Scratch 20 000</v>
          </cell>
          <cell r="T1703" t="str">
            <v>62007ANKA Services</v>
          </cell>
          <cell r="U1703" t="str">
            <v>62007ANKA ServicesScratch 20 000</v>
          </cell>
          <cell r="V1703" t="str">
            <v>39261Scratch 20 000</v>
          </cell>
          <cell r="W1703" t="str">
            <v>2007ANKA Services</v>
          </cell>
          <cell r="X1703" t="str">
            <v>2007ANKA ServicesScratch 20 000</v>
          </cell>
        </row>
        <row r="1704">
          <cell r="I1704">
            <v>2007</v>
          </cell>
          <cell r="J1704" t="str">
            <v>GEMATELScratch 1 000</v>
          </cell>
          <cell r="L1704">
            <v>1</v>
          </cell>
          <cell r="M1704" t="str">
            <v>1GEMATEL</v>
          </cell>
          <cell r="N1704" t="str">
            <v>GEMATELScratch 1 000</v>
          </cell>
          <cell r="O1704" t="str">
            <v>GEMATEL</v>
          </cell>
          <cell r="P1704" t="str">
            <v>Scratch 1 000</v>
          </cell>
          <cell r="Q1704" t="str">
            <v>62007</v>
          </cell>
          <cell r="R1704" t="str">
            <v>62007Scratch 1 000</v>
          </cell>
          <cell r="S1704" t="str">
            <v>2007Scratch 1 000</v>
          </cell>
          <cell r="T1704" t="str">
            <v>62007GEMATEL</v>
          </cell>
          <cell r="U1704" t="str">
            <v>62007GEMATELScratch 1 000</v>
          </cell>
          <cell r="V1704" t="str">
            <v>39261Scratch 1 000</v>
          </cell>
          <cell r="W1704" t="str">
            <v>2007GEMATEL</v>
          </cell>
          <cell r="X1704" t="str">
            <v>2007GEMATELScratch 1 000</v>
          </cell>
        </row>
        <row r="1705">
          <cell r="I1705">
            <v>2007</v>
          </cell>
          <cell r="J1705" t="str">
            <v>GEMATELScratch 2 000</v>
          </cell>
          <cell r="L1705">
            <v>0</v>
          </cell>
          <cell r="M1705" t="str">
            <v>GEMATEL</v>
          </cell>
          <cell r="N1705" t="str">
            <v>GEMATELScratch 2 000</v>
          </cell>
          <cell r="O1705" t="str">
            <v>GEMATEL</v>
          </cell>
          <cell r="P1705" t="str">
            <v>Scratch 2 000</v>
          </cell>
          <cell r="Q1705" t="str">
            <v>62007</v>
          </cell>
          <cell r="R1705" t="str">
            <v>62007Scratch 2 000</v>
          </cell>
          <cell r="S1705" t="str">
            <v>2007Scratch 2 000</v>
          </cell>
          <cell r="T1705" t="str">
            <v>62007GEMATEL</v>
          </cell>
          <cell r="U1705" t="str">
            <v>62007GEMATELScratch 2 000</v>
          </cell>
          <cell r="V1705" t="str">
            <v>39261Scratch 2 000</v>
          </cell>
          <cell r="W1705" t="str">
            <v>2007GEMATEL</v>
          </cell>
          <cell r="X1705" t="str">
            <v>2007GEMATELScratch 2 000</v>
          </cell>
        </row>
        <row r="1706">
          <cell r="I1706">
            <v>2007</v>
          </cell>
          <cell r="J1706" t="str">
            <v>GEMATELScratch 5 000</v>
          </cell>
          <cell r="L1706">
            <v>0</v>
          </cell>
          <cell r="M1706" t="str">
            <v>GEMATEL</v>
          </cell>
          <cell r="N1706" t="str">
            <v>GEMATELScratch 5 000</v>
          </cell>
          <cell r="O1706" t="str">
            <v>GEMATEL</v>
          </cell>
          <cell r="P1706" t="str">
            <v>Scratch 5 000</v>
          </cell>
          <cell r="Q1706" t="str">
            <v>62007</v>
          </cell>
          <cell r="R1706" t="str">
            <v>62007Scratch 5 000</v>
          </cell>
          <cell r="S1706" t="str">
            <v>2007Scratch 5 000</v>
          </cell>
          <cell r="T1706" t="str">
            <v>62007GEMATEL</v>
          </cell>
          <cell r="U1706" t="str">
            <v>62007GEMATELScratch 5 000</v>
          </cell>
          <cell r="V1706" t="str">
            <v>39261Scratch 5 000</v>
          </cell>
          <cell r="W1706" t="str">
            <v>2007GEMATEL</v>
          </cell>
          <cell r="X1706" t="str">
            <v>2007GEMATELScratch 5 000</v>
          </cell>
        </row>
        <row r="1707">
          <cell r="I1707">
            <v>2007</v>
          </cell>
          <cell r="J1707" t="str">
            <v>GEMATELScratch 10 000</v>
          </cell>
          <cell r="L1707">
            <v>0</v>
          </cell>
          <cell r="M1707" t="str">
            <v>GEMATEL</v>
          </cell>
          <cell r="N1707" t="str">
            <v>GEMATELScratch 10 000</v>
          </cell>
          <cell r="O1707" t="str">
            <v>GEMATEL</v>
          </cell>
          <cell r="P1707" t="str">
            <v>Scratch 10 000</v>
          </cell>
          <cell r="Q1707" t="str">
            <v>62007</v>
          </cell>
          <cell r="R1707" t="str">
            <v>62007Scratch 10 000</v>
          </cell>
          <cell r="S1707" t="str">
            <v>2007Scratch 10 000</v>
          </cell>
          <cell r="T1707" t="str">
            <v>62007GEMATEL</v>
          </cell>
          <cell r="U1707" t="str">
            <v>62007GEMATELScratch 10 000</v>
          </cell>
          <cell r="V1707" t="str">
            <v>39261Scratch 10 000</v>
          </cell>
          <cell r="W1707" t="str">
            <v>2007GEMATEL</v>
          </cell>
          <cell r="X1707" t="str">
            <v>2007GEMATELScratch 10 000</v>
          </cell>
        </row>
        <row r="1708">
          <cell r="I1708">
            <v>2007</v>
          </cell>
          <cell r="J1708" t="str">
            <v>GEMATELScratch 20 000</v>
          </cell>
          <cell r="L1708">
            <v>0</v>
          </cell>
          <cell r="M1708" t="str">
            <v>GEMATEL</v>
          </cell>
          <cell r="N1708" t="str">
            <v>GEMATELScratch 20 000</v>
          </cell>
          <cell r="O1708" t="str">
            <v>GEMATEL</v>
          </cell>
          <cell r="P1708" t="str">
            <v>Scratch 20 000</v>
          </cell>
          <cell r="Q1708" t="str">
            <v>62007</v>
          </cell>
          <cell r="R1708" t="str">
            <v>62007Scratch 20 000</v>
          </cell>
          <cell r="S1708" t="str">
            <v>2007Scratch 20 000</v>
          </cell>
          <cell r="T1708" t="str">
            <v>62007GEMATEL</v>
          </cell>
          <cell r="U1708" t="str">
            <v>62007GEMATELScratch 20 000</v>
          </cell>
          <cell r="V1708" t="str">
            <v>39261Scratch 20 000</v>
          </cell>
          <cell r="W1708" t="str">
            <v>2007GEMATEL</v>
          </cell>
          <cell r="X1708" t="str">
            <v>2007GEMATELScratch 20 000</v>
          </cell>
        </row>
        <row r="1709">
          <cell r="I1709">
            <v>2007</v>
          </cell>
          <cell r="J1709" t="str">
            <v>STS GAMBY &amp; FRERES (SOGAF) SarlScratch 1 000</v>
          </cell>
          <cell r="L1709">
            <v>1</v>
          </cell>
          <cell r="M1709" t="str">
            <v>1STS GAMBY &amp; FRERES (SOGAF) Sarl</v>
          </cell>
          <cell r="N1709" t="str">
            <v>STS GAMBY &amp; FRERES (SOGAF) SarlScratch 1 000</v>
          </cell>
          <cell r="O1709" t="str">
            <v>STS GAMBY &amp; FRERES (SOGAF) Sarl</v>
          </cell>
          <cell r="P1709" t="str">
            <v>Scratch 1 000</v>
          </cell>
          <cell r="Q1709" t="str">
            <v>62007</v>
          </cell>
          <cell r="R1709" t="str">
            <v>62007Scratch 1 000</v>
          </cell>
          <cell r="S1709" t="str">
            <v>2007Scratch 1 000</v>
          </cell>
          <cell r="T1709" t="str">
            <v>62007STS GAMBY &amp; FRERES (SOGAF) Sarl</v>
          </cell>
          <cell r="U1709" t="str">
            <v>62007STS GAMBY &amp; FRERES (SOGAF) SarlScratch 1 000</v>
          </cell>
          <cell r="V1709" t="str">
            <v>39262Scratch 1 000</v>
          </cell>
          <cell r="W1709" t="str">
            <v>2007STS GAMBY &amp; FRERES (SOGAF) Sarl</v>
          </cell>
          <cell r="X1709" t="str">
            <v>2007STS GAMBY &amp; FRERES (SOGAF) SarlScratch 1 000</v>
          </cell>
        </row>
        <row r="1710">
          <cell r="I1710">
            <v>2007</v>
          </cell>
          <cell r="J1710" t="str">
            <v>STS GAMBY &amp; FRERES (SOGAF) SarlScratch 2 000</v>
          </cell>
          <cell r="L1710">
            <v>0</v>
          </cell>
          <cell r="M1710" t="str">
            <v>STS GAMBY &amp; FRERES (SOGAF) Sarl</v>
          </cell>
          <cell r="N1710" t="str">
            <v>STS GAMBY &amp; FRERES (SOGAF) SarlScratch 2 000</v>
          </cell>
          <cell r="O1710" t="str">
            <v>STS GAMBY &amp; FRERES (SOGAF) Sarl</v>
          </cell>
          <cell r="P1710" t="str">
            <v>Scratch 2 000</v>
          </cell>
          <cell r="Q1710" t="str">
            <v>62007</v>
          </cell>
          <cell r="R1710" t="str">
            <v>62007Scratch 2 000</v>
          </cell>
          <cell r="S1710" t="str">
            <v>2007Scratch 2 000</v>
          </cell>
          <cell r="T1710" t="str">
            <v>62007STS GAMBY &amp; FRERES (SOGAF) Sarl</v>
          </cell>
          <cell r="U1710" t="str">
            <v>62007STS GAMBY &amp; FRERES (SOGAF) SarlScratch 2 000</v>
          </cell>
          <cell r="V1710" t="str">
            <v>39262Scratch 2 000</v>
          </cell>
          <cell r="W1710" t="str">
            <v>2007STS GAMBY &amp; FRERES (SOGAF) Sarl</v>
          </cell>
          <cell r="X1710" t="str">
            <v>2007STS GAMBY &amp; FRERES (SOGAF) SarlScratch 2 000</v>
          </cell>
        </row>
        <row r="1711">
          <cell r="I1711">
            <v>2007</v>
          </cell>
          <cell r="J1711" t="str">
            <v>STS GAMBY &amp; FRERES (SOGAF) SarlScratch 5 000</v>
          </cell>
          <cell r="L1711">
            <v>0</v>
          </cell>
          <cell r="M1711" t="str">
            <v>STS GAMBY &amp; FRERES (SOGAF) Sarl</v>
          </cell>
          <cell r="N1711" t="str">
            <v>STS GAMBY &amp; FRERES (SOGAF) SarlScratch 5 000</v>
          </cell>
          <cell r="O1711" t="str">
            <v>STS GAMBY &amp; FRERES (SOGAF) Sarl</v>
          </cell>
          <cell r="P1711" t="str">
            <v>Scratch 5 000</v>
          </cell>
          <cell r="Q1711" t="str">
            <v>62007</v>
          </cell>
          <cell r="R1711" t="str">
            <v>62007Scratch 5 000</v>
          </cell>
          <cell r="S1711" t="str">
            <v>2007Scratch 5 000</v>
          </cell>
          <cell r="T1711" t="str">
            <v>62007STS GAMBY &amp; FRERES (SOGAF) Sarl</v>
          </cell>
          <cell r="U1711" t="str">
            <v>62007STS GAMBY &amp; FRERES (SOGAF) SarlScratch 5 000</v>
          </cell>
          <cell r="V1711" t="str">
            <v>39262Scratch 5 000</v>
          </cell>
          <cell r="W1711" t="str">
            <v>2007STS GAMBY &amp; FRERES (SOGAF) Sarl</v>
          </cell>
          <cell r="X1711" t="str">
            <v>2007STS GAMBY &amp; FRERES (SOGAF) SarlScratch 5 000</v>
          </cell>
        </row>
        <row r="1712">
          <cell r="I1712">
            <v>2007</v>
          </cell>
          <cell r="J1712" t="str">
            <v>STS GAMBY &amp; FRERES (SOGAF) SarlScratch 20 000</v>
          </cell>
          <cell r="L1712">
            <v>0</v>
          </cell>
          <cell r="M1712" t="str">
            <v>STS GAMBY &amp; FRERES (SOGAF) Sarl</v>
          </cell>
          <cell r="N1712" t="str">
            <v>STS GAMBY &amp; FRERES (SOGAF) SarlScratch 20 000</v>
          </cell>
          <cell r="O1712" t="str">
            <v>STS GAMBY &amp; FRERES (SOGAF) Sarl</v>
          </cell>
          <cell r="P1712" t="str">
            <v>Scratch 20 000</v>
          </cell>
          <cell r="Q1712" t="str">
            <v>62007</v>
          </cell>
          <cell r="R1712" t="str">
            <v>62007Scratch 20 000</v>
          </cell>
          <cell r="S1712" t="str">
            <v>2007Scratch 20 000</v>
          </cell>
          <cell r="T1712" t="str">
            <v>62007STS GAMBY &amp; FRERES (SOGAF) Sarl</v>
          </cell>
          <cell r="U1712" t="str">
            <v>62007STS GAMBY &amp; FRERES (SOGAF) SarlScratch 20 000</v>
          </cell>
          <cell r="V1712" t="str">
            <v>39262Scratch 20 000</v>
          </cell>
          <cell r="W1712" t="str">
            <v>2007STS GAMBY &amp; FRERES (SOGAF) Sarl</v>
          </cell>
          <cell r="X1712" t="str">
            <v>2007STS GAMBY &amp; FRERES (SOGAF) SarlScratch 20 000</v>
          </cell>
        </row>
        <row r="1713">
          <cell r="I1713">
            <v>2007</v>
          </cell>
          <cell r="J1713" t="str">
            <v>MALI COM SarlScratch 1 000</v>
          </cell>
          <cell r="L1713">
            <v>1</v>
          </cell>
          <cell r="M1713" t="str">
            <v>1MALI COM Sarl</v>
          </cell>
          <cell r="N1713" t="str">
            <v>MALI COM SarlScratch 1 000</v>
          </cell>
          <cell r="O1713" t="str">
            <v>MALI COM Sarl</v>
          </cell>
          <cell r="P1713" t="str">
            <v>Scratch 1 000</v>
          </cell>
          <cell r="Q1713" t="str">
            <v>62007</v>
          </cell>
          <cell r="R1713" t="str">
            <v>62007Scratch 1 000</v>
          </cell>
          <cell r="S1713" t="str">
            <v>2007Scratch 1 000</v>
          </cell>
          <cell r="T1713" t="str">
            <v>62007MALI COM Sarl</v>
          </cell>
          <cell r="U1713" t="str">
            <v>62007MALI COM SarlScratch 1 000</v>
          </cell>
          <cell r="V1713" t="str">
            <v>39262Scratch 1 000</v>
          </cell>
          <cell r="W1713" t="str">
            <v>2007MALI COM Sarl</v>
          </cell>
          <cell r="X1713" t="str">
            <v>2007MALI COM SarlScratch 1 000</v>
          </cell>
        </row>
        <row r="1714">
          <cell r="I1714">
            <v>2007</v>
          </cell>
          <cell r="J1714" t="str">
            <v>MALI COM SarlScratch 2 000</v>
          </cell>
          <cell r="L1714">
            <v>0</v>
          </cell>
          <cell r="M1714" t="str">
            <v>MALI COM Sarl</v>
          </cell>
          <cell r="N1714" t="str">
            <v>MALI COM SarlScratch 2 000</v>
          </cell>
          <cell r="O1714" t="str">
            <v>MALI COM Sarl</v>
          </cell>
          <cell r="P1714" t="str">
            <v>Scratch 2 000</v>
          </cell>
          <cell r="Q1714" t="str">
            <v>62007</v>
          </cell>
          <cell r="R1714" t="str">
            <v>62007Scratch 2 000</v>
          </cell>
          <cell r="S1714" t="str">
            <v>2007Scratch 2 000</v>
          </cell>
          <cell r="T1714" t="str">
            <v>62007MALI COM Sarl</v>
          </cell>
          <cell r="U1714" t="str">
            <v>62007MALI COM SarlScratch 2 000</v>
          </cell>
          <cell r="V1714" t="str">
            <v>39262Scratch 2 000</v>
          </cell>
          <cell r="W1714" t="str">
            <v>2007MALI COM Sarl</v>
          </cell>
          <cell r="X1714" t="str">
            <v>2007MALI COM SarlScratch 2 000</v>
          </cell>
        </row>
        <row r="1715">
          <cell r="I1715">
            <v>2007</v>
          </cell>
          <cell r="J1715" t="str">
            <v>MALI COM SarlScratch 5 000</v>
          </cell>
          <cell r="L1715">
            <v>0</v>
          </cell>
          <cell r="M1715" t="str">
            <v>MALI COM Sarl</v>
          </cell>
          <cell r="N1715" t="str">
            <v>MALI COM SarlScratch 5 000</v>
          </cell>
          <cell r="O1715" t="str">
            <v>MALI COM Sarl</v>
          </cell>
          <cell r="P1715" t="str">
            <v>Scratch 5 000</v>
          </cell>
          <cell r="Q1715" t="str">
            <v>62007</v>
          </cell>
          <cell r="R1715" t="str">
            <v>62007Scratch 5 000</v>
          </cell>
          <cell r="S1715" t="str">
            <v>2007Scratch 5 000</v>
          </cell>
          <cell r="T1715" t="str">
            <v>62007MALI COM Sarl</v>
          </cell>
          <cell r="U1715" t="str">
            <v>62007MALI COM SarlScratch 5 000</v>
          </cell>
          <cell r="V1715" t="str">
            <v>39262Scratch 5 000</v>
          </cell>
          <cell r="W1715" t="str">
            <v>2007MALI COM Sarl</v>
          </cell>
          <cell r="X1715" t="str">
            <v>2007MALI COM SarlScratch 5 000</v>
          </cell>
        </row>
        <row r="1716">
          <cell r="I1716">
            <v>2007</v>
          </cell>
          <cell r="J1716" t="str">
            <v>ETS Boubacar TANDIAScratch 1 000</v>
          </cell>
          <cell r="L1716">
            <v>1</v>
          </cell>
          <cell r="M1716" t="str">
            <v>1ETS Boubacar TANDIA</v>
          </cell>
          <cell r="N1716" t="str">
            <v>ETS Boubacar TANDIAScratch 1 000</v>
          </cell>
          <cell r="O1716" t="str">
            <v>ETS Boubacar TANDIA</v>
          </cell>
          <cell r="P1716" t="str">
            <v>Scratch 1 000</v>
          </cell>
          <cell r="Q1716" t="str">
            <v>62007</v>
          </cell>
          <cell r="R1716" t="str">
            <v>62007Scratch 1 000</v>
          </cell>
          <cell r="S1716" t="str">
            <v>2007Scratch 1 000</v>
          </cell>
          <cell r="T1716" t="str">
            <v>62007ETS Boubacar TANDIA</v>
          </cell>
          <cell r="U1716" t="str">
            <v>62007ETS Boubacar TANDIAScratch 1 000</v>
          </cell>
          <cell r="V1716" t="str">
            <v>39262Scratch 1 000</v>
          </cell>
          <cell r="W1716" t="str">
            <v>2007ETS Boubacar TANDIA</v>
          </cell>
          <cell r="X1716" t="str">
            <v>2007ETS Boubacar TANDIAScratch 1 000</v>
          </cell>
        </row>
        <row r="1717">
          <cell r="I1717">
            <v>2007</v>
          </cell>
          <cell r="J1717" t="str">
            <v>ETS Boubacar TANDIAScratch 2 000</v>
          </cell>
          <cell r="L1717">
            <v>0</v>
          </cell>
          <cell r="M1717" t="str">
            <v>ETS Boubacar TANDIA</v>
          </cell>
          <cell r="N1717" t="str">
            <v>ETS Boubacar TANDIAScratch 2 000</v>
          </cell>
          <cell r="O1717" t="str">
            <v>ETS Boubacar TANDIA</v>
          </cell>
          <cell r="P1717" t="str">
            <v>Scratch 2 000</v>
          </cell>
          <cell r="Q1717" t="str">
            <v>62007</v>
          </cell>
          <cell r="R1717" t="str">
            <v>62007Scratch 2 000</v>
          </cell>
          <cell r="S1717" t="str">
            <v>2007Scratch 2 000</v>
          </cell>
          <cell r="T1717" t="str">
            <v>62007ETS Boubacar TANDIA</v>
          </cell>
          <cell r="U1717" t="str">
            <v>62007ETS Boubacar TANDIAScratch 2 000</v>
          </cell>
          <cell r="V1717" t="str">
            <v>39262Scratch 2 000</v>
          </cell>
          <cell r="W1717" t="str">
            <v>2007ETS Boubacar TANDIA</v>
          </cell>
          <cell r="X1717" t="str">
            <v>2007ETS Boubacar TANDIAScratch 2 000</v>
          </cell>
        </row>
        <row r="1718">
          <cell r="I1718">
            <v>2007</v>
          </cell>
          <cell r="J1718" t="str">
            <v>ETS Boubacar TANDIAScratch 5 000</v>
          </cell>
          <cell r="L1718">
            <v>0</v>
          </cell>
          <cell r="M1718" t="str">
            <v>ETS Boubacar TANDIA</v>
          </cell>
          <cell r="N1718" t="str">
            <v>ETS Boubacar TANDIAScratch 5 000</v>
          </cell>
          <cell r="O1718" t="str">
            <v>ETS Boubacar TANDIA</v>
          </cell>
          <cell r="P1718" t="str">
            <v>Scratch 5 000</v>
          </cell>
          <cell r="Q1718" t="str">
            <v>62007</v>
          </cell>
          <cell r="R1718" t="str">
            <v>62007Scratch 5 000</v>
          </cell>
          <cell r="S1718" t="str">
            <v>2007Scratch 5 000</v>
          </cell>
          <cell r="T1718" t="str">
            <v>62007ETS Boubacar TANDIA</v>
          </cell>
          <cell r="U1718" t="str">
            <v>62007ETS Boubacar TANDIAScratch 5 000</v>
          </cell>
          <cell r="V1718" t="str">
            <v>39262Scratch 5 000</v>
          </cell>
          <cell r="W1718" t="str">
            <v>2007ETS Boubacar TANDIA</v>
          </cell>
          <cell r="X1718" t="str">
            <v>2007ETS Boubacar TANDIAScratch 5 000</v>
          </cell>
        </row>
        <row r="1719">
          <cell r="I1719">
            <v>2007</v>
          </cell>
          <cell r="J1719" t="str">
            <v>ETS Boubacar TANDIAScratch 10 000</v>
          </cell>
          <cell r="L1719">
            <v>0</v>
          </cell>
          <cell r="M1719" t="str">
            <v>ETS Boubacar TANDIA</v>
          </cell>
          <cell r="N1719" t="str">
            <v>ETS Boubacar TANDIAScratch 10 000</v>
          </cell>
          <cell r="O1719" t="str">
            <v>ETS Boubacar TANDIA</v>
          </cell>
          <cell r="P1719" t="str">
            <v>Scratch 10 000</v>
          </cell>
          <cell r="Q1719" t="str">
            <v>62007</v>
          </cell>
          <cell r="R1719" t="str">
            <v>62007Scratch 10 000</v>
          </cell>
          <cell r="S1719" t="str">
            <v>2007Scratch 10 000</v>
          </cell>
          <cell r="T1719" t="str">
            <v>62007ETS Boubacar TANDIA</v>
          </cell>
          <cell r="U1719" t="str">
            <v>62007ETS Boubacar TANDIAScratch 10 000</v>
          </cell>
          <cell r="V1719" t="str">
            <v>39262Scratch 10 000</v>
          </cell>
          <cell r="W1719" t="str">
            <v>2007ETS Boubacar TANDIA</v>
          </cell>
          <cell r="X1719" t="str">
            <v>2007ETS Boubacar TANDIAScratch 10 000</v>
          </cell>
        </row>
        <row r="1720">
          <cell r="I1720">
            <v>2007</v>
          </cell>
          <cell r="J1720" t="str">
            <v>ETS Boubacar TANDIAScratch 20 000</v>
          </cell>
          <cell r="L1720">
            <v>0</v>
          </cell>
          <cell r="M1720" t="str">
            <v>ETS Boubacar TANDIA</v>
          </cell>
          <cell r="N1720" t="str">
            <v>ETS Boubacar TANDIAScratch 20 000</v>
          </cell>
          <cell r="O1720" t="str">
            <v>ETS Boubacar TANDIA</v>
          </cell>
          <cell r="P1720" t="str">
            <v>Scratch 20 000</v>
          </cell>
          <cell r="Q1720" t="str">
            <v>62007</v>
          </cell>
          <cell r="R1720" t="str">
            <v>62007Scratch 20 000</v>
          </cell>
          <cell r="S1720" t="str">
            <v>2007Scratch 20 000</v>
          </cell>
          <cell r="T1720" t="str">
            <v>62007ETS Boubacar TANDIA</v>
          </cell>
          <cell r="U1720" t="str">
            <v>62007ETS Boubacar TANDIAScratch 20 000</v>
          </cell>
          <cell r="V1720" t="str">
            <v>39262Scratch 20 000</v>
          </cell>
          <cell r="W1720" t="str">
            <v>2007ETS Boubacar TANDIA</v>
          </cell>
          <cell r="X1720" t="str">
            <v>2007ETS Boubacar TANDIAScratch 20 000</v>
          </cell>
        </row>
        <row r="1721">
          <cell r="I1721">
            <v>2007</v>
          </cell>
          <cell r="J1721" t="str">
            <v>GEMATELScratch 1 000</v>
          </cell>
          <cell r="L1721">
            <v>1</v>
          </cell>
          <cell r="M1721" t="str">
            <v>1GEMATEL</v>
          </cell>
          <cell r="N1721" t="str">
            <v>GEMATELScratch 1 000</v>
          </cell>
          <cell r="O1721" t="str">
            <v>GEMATEL</v>
          </cell>
          <cell r="P1721" t="str">
            <v>Scratch 1 000</v>
          </cell>
          <cell r="Q1721" t="str">
            <v>62007</v>
          </cell>
          <cell r="R1721" t="str">
            <v>62007Scratch 1 000</v>
          </cell>
          <cell r="S1721" t="str">
            <v>2007Scratch 1 000</v>
          </cell>
          <cell r="T1721" t="str">
            <v>62007GEMATEL</v>
          </cell>
          <cell r="U1721" t="str">
            <v>62007GEMATELScratch 1 000</v>
          </cell>
          <cell r="V1721" t="str">
            <v>39262Scratch 1 000</v>
          </cell>
          <cell r="W1721" t="str">
            <v>2007GEMATEL</v>
          </cell>
          <cell r="X1721" t="str">
            <v>2007GEMATELScratch 1 000</v>
          </cell>
        </row>
        <row r="1722">
          <cell r="I1722">
            <v>2007</v>
          </cell>
          <cell r="J1722" t="str">
            <v>GEMATELScratch 2 000</v>
          </cell>
          <cell r="L1722">
            <v>0</v>
          </cell>
          <cell r="M1722" t="str">
            <v>GEMATEL</v>
          </cell>
          <cell r="N1722" t="str">
            <v>GEMATELScratch 2 000</v>
          </cell>
          <cell r="O1722" t="str">
            <v>GEMATEL</v>
          </cell>
          <cell r="P1722" t="str">
            <v>Scratch 2 000</v>
          </cell>
          <cell r="Q1722" t="str">
            <v>62007</v>
          </cell>
          <cell r="R1722" t="str">
            <v>62007Scratch 2 000</v>
          </cell>
          <cell r="S1722" t="str">
            <v>2007Scratch 2 000</v>
          </cell>
          <cell r="T1722" t="str">
            <v>62007GEMATEL</v>
          </cell>
          <cell r="U1722" t="str">
            <v>62007GEMATELScratch 2 000</v>
          </cell>
          <cell r="V1722" t="str">
            <v>39262Scratch 2 000</v>
          </cell>
          <cell r="W1722" t="str">
            <v>2007GEMATEL</v>
          </cell>
          <cell r="X1722" t="str">
            <v>2007GEMATELScratch 2 000</v>
          </cell>
        </row>
        <row r="1723">
          <cell r="I1723">
            <v>2007</v>
          </cell>
          <cell r="J1723" t="str">
            <v>GEMATELScratch 5 000</v>
          </cell>
          <cell r="L1723">
            <v>0</v>
          </cell>
          <cell r="M1723" t="str">
            <v>GEMATEL</v>
          </cell>
          <cell r="N1723" t="str">
            <v>GEMATELScratch 5 000</v>
          </cell>
          <cell r="O1723" t="str">
            <v>GEMATEL</v>
          </cell>
          <cell r="P1723" t="str">
            <v>Scratch 5 000</v>
          </cell>
          <cell r="Q1723" t="str">
            <v>62007</v>
          </cell>
          <cell r="R1723" t="str">
            <v>62007Scratch 5 000</v>
          </cell>
          <cell r="S1723" t="str">
            <v>2007Scratch 5 000</v>
          </cell>
          <cell r="T1723" t="str">
            <v>62007GEMATEL</v>
          </cell>
          <cell r="U1723" t="str">
            <v>62007GEMATELScratch 5 000</v>
          </cell>
          <cell r="V1723" t="str">
            <v>39262Scratch 5 000</v>
          </cell>
          <cell r="W1723" t="str">
            <v>2007GEMATEL</v>
          </cell>
          <cell r="X1723" t="str">
            <v>2007GEMATELScratch 5 000</v>
          </cell>
        </row>
        <row r="1724">
          <cell r="I1724">
            <v>2007</v>
          </cell>
          <cell r="J1724" t="str">
            <v>GEMATELScratch 20 000</v>
          </cell>
          <cell r="L1724">
            <v>0</v>
          </cell>
          <cell r="M1724" t="str">
            <v>GEMATEL</v>
          </cell>
          <cell r="N1724" t="str">
            <v>GEMATELScratch 20 000</v>
          </cell>
          <cell r="O1724" t="str">
            <v>GEMATEL</v>
          </cell>
          <cell r="P1724" t="str">
            <v>Scratch 20 000</v>
          </cell>
          <cell r="Q1724" t="str">
            <v>62007</v>
          </cell>
          <cell r="R1724" t="str">
            <v>62007Scratch 20 000</v>
          </cell>
          <cell r="S1724" t="str">
            <v>2007Scratch 20 000</v>
          </cell>
          <cell r="T1724" t="str">
            <v>62007GEMATEL</v>
          </cell>
          <cell r="U1724" t="str">
            <v>62007GEMATELScratch 20 000</v>
          </cell>
          <cell r="V1724" t="str">
            <v>39262Scratch 20 000</v>
          </cell>
          <cell r="W1724" t="str">
            <v>2007GEMATEL</v>
          </cell>
          <cell r="X1724" t="str">
            <v>2007GEMATELScratch 20 000</v>
          </cell>
        </row>
        <row r="1725">
          <cell r="I1725">
            <v>2007</v>
          </cell>
          <cell r="J1725" t="str">
            <v>Bonneterie Nouvelle TelecomScratch 1 000</v>
          </cell>
          <cell r="L1725">
            <v>1</v>
          </cell>
          <cell r="M1725" t="str">
            <v>1Bonneterie Nouvelle Telecom</v>
          </cell>
          <cell r="N1725" t="str">
            <v>Bonneterie Nouvelle TelecomScratch 1 000</v>
          </cell>
          <cell r="O1725" t="str">
            <v>Bonneterie Nouvelle Telecom</v>
          </cell>
          <cell r="P1725" t="str">
            <v>Scratch 1 000</v>
          </cell>
          <cell r="Q1725" t="str">
            <v>62007</v>
          </cell>
          <cell r="R1725" t="str">
            <v>62007Scratch 1 000</v>
          </cell>
          <cell r="S1725" t="str">
            <v>2007Scratch 1 000</v>
          </cell>
          <cell r="T1725" t="str">
            <v>62007Bonneterie Nouvelle Telecom</v>
          </cell>
          <cell r="U1725" t="str">
            <v>62007Bonneterie Nouvelle TelecomScratch 1 000</v>
          </cell>
          <cell r="V1725" t="str">
            <v>39262Scratch 1 000</v>
          </cell>
          <cell r="W1725" t="str">
            <v>2007Bonneterie Nouvelle Telecom</v>
          </cell>
          <cell r="X1725" t="str">
            <v>2007Bonneterie Nouvelle TelecomScratch 1 000</v>
          </cell>
        </row>
        <row r="1726">
          <cell r="I1726">
            <v>2007</v>
          </cell>
          <cell r="J1726" t="str">
            <v>Bonneterie Nouvelle TelecomScratch 2 000</v>
          </cell>
          <cell r="L1726">
            <v>0</v>
          </cell>
          <cell r="M1726" t="str">
            <v>Bonneterie Nouvelle Telecom</v>
          </cell>
          <cell r="N1726" t="str">
            <v>Bonneterie Nouvelle TelecomScratch 2 000</v>
          </cell>
          <cell r="O1726" t="str">
            <v>Bonneterie Nouvelle Telecom</v>
          </cell>
          <cell r="P1726" t="str">
            <v>Scratch 2 000</v>
          </cell>
          <cell r="Q1726" t="str">
            <v>62007</v>
          </cell>
          <cell r="R1726" t="str">
            <v>62007Scratch 2 000</v>
          </cell>
          <cell r="S1726" t="str">
            <v>2007Scratch 2 000</v>
          </cell>
          <cell r="T1726" t="str">
            <v>62007Bonneterie Nouvelle Telecom</v>
          </cell>
          <cell r="U1726" t="str">
            <v>62007Bonneterie Nouvelle TelecomScratch 2 000</v>
          </cell>
          <cell r="V1726" t="str">
            <v>39262Scratch 2 000</v>
          </cell>
          <cell r="W1726" t="str">
            <v>2007Bonneterie Nouvelle Telecom</v>
          </cell>
          <cell r="X1726" t="str">
            <v>2007Bonneterie Nouvelle TelecomScratch 2 000</v>
          </cell>
        </row>
        <row r="1727">
          <cell r="I1727">
            <v>2007</v>
          </cell>
          <cell r="J1727" t="str">
            <v>Bonneterie Nouvelle TelecomScratch 5 000</v>
          </cell>
          <cell r="L1727">
            <v>0</v>
          </cell>
          <cell r="M1727" t="str">
            <v>Bonneterie Nouvelle Telecom</v>
          </cell>
          <cell r="N1727" t="str">
            <v>Bonneterie Nouvelle TelecomScratch 5 000</v>
          </cell>
          <cell r="O1727" t="str">
            <v>Bonneterie Nouvelle Telecom</v>
          </cell>
          <cell r="P1727" t="str">
            <v>Scratch 5 000</v>
          </cell>
          <cell r="Q1727" t="str">
            <v>62007</v>
          </cell>
          <cell r="R1727" t="str">
            <v>62007Scratch 5 000</v>
          </cell>
          <cell r="S1727" t="str">
            <v>2007Scratch 5 000</v>
          </cell>
          <cell r="T1727" t="str">
            <v>62007Bonneterie Nouvelle Telecom</v>
          </cell>
          <cell r="U1727" t="str">
            <v>62007Bonneterie Nouvelle TelecomScratch 5 000</v>
          </cell>
          <cell r="V1727" t="str">
            <v>39262Scratch 5 000</v>
          </cell>
          <cell r="W1727" t="str">
            <v>2007Bonneterie Nouvelle Telecom</v>
          </cell>
          <cell r="X1727" t="str">
            <v>2007Bonneterie Nouvelle TelecomScratch 5 000</v>
          </cell>
        </row>
        <row r="1728">
          <cell r="I1728">
            <v>2007</v>
          </cell>
          <cell r="J1728" t="str">
            <v>Bonneterie Nouvelle TelecomScratch 20 000</v>
          </cell>
          <cell r="L1728">
            <v>0</v>
          </cell>
          <cell r="M1728" t="str">
            <v>Bonneterie Nouvelle Telecom</v>
          </cell>
          <cell r="N1728" t="str">
            <v>Bonneterie Nouvelle TelecomScratch 20 000</v>
          </cell>
          <cell r="O1728" t="str">
            <v>Bonneterie Nouvelle Telecom</v>
          </cell>
          <cell r="P1728" t="str">
            <v>Scratch 20 000</v>
          </cell>
          <cell r="Q1728" t="str">
            <v>62007</v>
          </cell>
          <cell r="R1728" t="str">
            <v>62007Scratch 20 000</v>
          </cell>
          <cell r="S1728" t="str">
            <v>2007Scratch 20 000</v>
          </cell>
          <cell r="T1728" t="str">
            <v>62007Bonneterie Nouvelle Telecom</v>
          </cell>
          <cell r="U1728" t="str">
            <v>62007Bonneterie Nouvelle TelecomScratch 20 000</v>
          </cell>
          <cell r="V1728" t="str">
            <v>39262Scratch 20 000</v>
          </cell>
          <cell r="W1728" t="str">
            <v>2007Bonneterie Nouvelle Telecom</v>
          </cell>
          <cell r="X1728" t="str">
            <v>2007Bonneterie Nouvelle TelecomScratch 20 000</v>
          </cell>
        </row>
        <row r="1729">
          <cell r="I1729">
            <v>2007</v>
          </cell>
          <cell r="J1729" t="str">
            <v>ANKA ServicesScratch 1 000</v>
          </cell>
          <cell r="L1729">
            <v>1</v>
          </cell>
          <cell r="M1729" t="str">
            <v>1ANKA Services</v>
          </cell>
          <cell r="N1729" t="str">
            <v>ANKA ServicesScratch 1 000</v>
          </cell>
          <cell r="O1729" t="str">
            <v>ANKA Services</v>
          </cell>
          <cell r="P1729" t="str">
            <v>Scratch 1 000</v>
          </cell>
          <cell r="Q1729" t="str">
            <v>62007</v>
          </cell>
          <cell r="R1729" t="str">
            <v>62007Scratch 1 000</v>
          </cell>
          <cell r="S1729" t="str">
            <v>2007Scratch 1 000</v>
          </cell>
          <cell r="T1729" t="str">
            <v>62007ANKA Services</v>
          </cell>
          <cell r="U1729" t="str">
            <v>62007ANKA ServicesScratch 1 000</v>
          </cell>
          <cell r="V1729" t="str">
            <v>39262Scratch 1 000</v>
          </cell>
          <cell r="W1729" t="str">
            <v>2007ANKA Services</v>
          </cell>
          <cell r="X1729" t="str">
            <v>2007ANKA ServicesScratch 1 000</v>
          </cell>
        </row>
        <row r="1730">
          <cell r="I1730">
            <v>2007</v>
          </cell>
          <cell r="J1730" t="str">
            <v>ANKA ServicesScratch 2 000</v>
          </cell>
          <cell r="L1730">
            <v>0</v>
          </cell>
          <cell r="M1730" t="str">
            <v>ANKA Services</v>
          </cell>
          <cell r="N1730" t="str">
            <v>ANKA ServicesScratch 2 000</v>
          </cell>
          <cell r="O1730" t="str">
            <v>ANKA Services</v>
          </cell>
          <cell r="P1730" t="str">
            <v>Scratch 2 000</v>
          </cell>
          <cell r="Q1730" t="str">
            <v>62007</v>
          </cell>
          <cell r="R1730" t="str">
            <v>62007Scratch 2 000</v>
          </cell>
          <cell r="S1730" t="str">
            <v>2007Scratch 2 000</v>
          </cell>
          <cell r="T1730" t="str">
            <v>62007ANKA Services</v>
          </cell>
          <cell r="U1730" t="str">
            <v>62007ANKA ServicesScratch 2 000</v>
          </cell>
          <cell r="V1730" t="str">
            <v>39262Scratch 2 000</v>
          </cell>
          <cell r="W1730" t="str">
            <v>2007ANKA Services</v>
          </cell>
          <cell r="X1730" t="str">
            <v>2007ANKA ServicesScratch 2 000</v>
          </cell>
        </row>
        <row r="1731">
          <cell r="I1731">
            <v>2007</v>
          </cell>
          <cell r="J1731" t="str">
            <v>ANKA ServicesScratch 5 000</v>
          </cell>
          <cell r="L1731">
            <v>0</v>
          </cell>
          <cell r="M1731" t="str">
            <v>ANKA Services</v>
          </cell>
          <cell r="N1731" t="str">
            <v>ANKA ServicesScratch 5 000</v>
          </cell>
          <cell r="O1731" t="str">
            <v>ANKA Services</v>
          </cell>
          <cell r="P1731" t="str">
            <v>Scratch 5 000</v>
          </cell>
          <cell r="Q1731" t="str">
            <v>62007</v>
          </cell>
          <cell r="R1731" t="str">
            <v>62007Scratch 5 000</v>
          </cell>
          <cell r="S1731" t="str">
            <v>2007Scratch 5 000</v>
          </cell>
          <cell r="T1731" t="str">
            <v>62007ANKA Services</v>
          </cell>
          <cell r="U1731" t="str">
            <v>62007ANKA ServicesScratch 5 000</v>
          </cell>
          <cell r="V1731" t="str">
            <v>39262Scratch 5 000</v>
          </cell>
          <cell r="W1731" t="str">
            <v>2007ANKA Services</v>
          </cell>
          <cell r="X1731" t="str">
            <v>2007ANKA ServicesScratch 5 000</v>
          </cell>
        </row>
        <row r="1732">
          <cell r="I1732">
            <v>2007</v>
          </cell>
          <cell r="J1732" t="str">
            <v>ANKA ServicesScratch 20 000</v>
          </cell>
          <cell r="L1732">
            <v>0</v>
          </cell>
          <cell r="M1732" t="str">
            <v>ANKA Services</v>
          </cell>
          <cell r="N1732" t="str">
            <v>ANKA ServicesScratch 20 000</v>
          </cell>
          <cell r="O1732" t="str">
            <v>ANKA Services</v>
          </cell>
          <cell r="P1732" t="str">
            <v>Scratch 20 000</v>
          </cell>
          <cell r="Q1732" t="str">
            <v>62007</v>
          </cell>
          <cell r="R1732" t="str">
            <v>62007Scratch 20 000</v>
          </cell>
          <cell r="S1732" t="str">
            <v>2007Scratch 20 000</v>
          </cell>
          <cell r="T1732" t="str">
            <v>62007ANKA Services</v>
          </cell>
          <cell r="U1732" t="str">
            <v>62007ANKA ServicesScratch 20 000</v>
          </cell>
          <cell r="V1732" t="str">
            <v>39262Scratch 20 000</v>
          </cell>
          <cell r="W1732" t="str">
            <v>2007ANKA Services</v>
          </cell>
          <cell r="X1732" t="str">
            <v>2007ANKA ServicesScratch 20 000</v>
          </cell>
        </row>
        <row r="1733">
          <cell r="I1733">
            <v>2007</v>
          </cell>
          <cell r="J1733" t="str">
            <v>GEMATELScratch 1 000</v>
          </cell>
          <cell r="L1733">
            <v>1</v>
          </cell>
          <cell r="M1733" t="str">
            <v>1GEMATEL</v>
          </cell>
          <cell r="N1733" t="str">
            <v>GEMATELScratch 1 000</v>
          </cell>
          <cell r="O1733" t="str">
            <v>GEMATEL</v>
          </cell>
          <cell r="P1733" t="str">
            <v>Scratch 1 000</v>
          </cell>
          <cell r="Q1733" t="str">
            <v>62007</v>
          </cell>
          <cell r="R1733" t="str">
            <v>62007Scratch 1 000</v>
          </cell>
          <cell r="S1733" t="str">
            <v>2007Scratch 1 000</v>
          </cell>
          <cell r="T1733" t="str">
            <v>62007GEMATEL</v>
          </cell>
          <cell r="U1733" t="str">
            <v>62007GEMATELScratch 1 000</v>
          </cell>
          <cell r="V1733" t="str">
            <v>39262Scratch 1 000</v>
          </cell>
          <cell r="W1733" t="str">
            <v>2007GEMATEL</v>
          </cell>
          <cell r="X1733" t="str">
            <v>2007GEMATELScratch 1 000</v>
          </cell>
        </row>
        <row r="1734">
          <cell r="I1734">
            <v>2007</v>
          </cell>
          <cell r="J1734" t="str">
            <v>GEMATELScratch 2 000</v>
          </cell>
          <cell r="L1734">
            <v>0</v>
          </cell>
          <cell r="M1734" t="str">
            <v>GEMATEL</v>
          </cell>
          <cell r="N1734" t="str">
            <v>GEMATELScratch 2 000</v>
          </cell>
          <cell r="O1734" t="str">
            <v>GEMATEL</v>
          </cell>
          <cell r="P1734" t="str">
            <v>Scratch 2 000</v>
          </cell>
          <cell r="Q1734" t="str">
            <v>62007</v>
          </cell>
          <cell r="R1734" t="str">
            <v>62007Scratch 2 000</v>
          </cell>
          <cell r="S1734" t="str">
            <v>2007Scratch 2 000</v>
          </cell>
          <cell r="T1734" t="str">
            <v>62007GEMATEL</v>
          </cell>
          <cell r="U1734" t="str">
            <v>62007GEMATELScratch 2 000</v>
          </cell>
          <cell r="V1734" t="str">
            <v>39262Scratch 2 000</v>
          </cell>
          <cell r="W1734" t="str">
            <v>2007GEMATEL</v>
          </cell>
          <cell r="X1734" t="str">
            <v>2007GEMATELScratch 2 000</v>
          </cell>
        </row>
        <row r="1735">
          <cell r="I1735">
            <v>2007</v>
          </cell>
          <cell r="J1735" t="str">
            <v>GEMATELScratch 5 000</v>
          </cell>
          <cell r="L1735">
            <v>0</v>
          </cell>
          <cell r="M1735" t="str">
            <v>GEMATEL</v>
          </cell>
          <cell r="N1735" t="str">
            <v>GEMATELScratch 5 000</v>
          </cell>
          <cell r="O1735" t="str">
            <v>GEMATEL</v>
          </cell>
          <cell r="P1735" t="str">
            <v>Scratch 5 000</v>
          </cell>
          <cell r="Q1735" t="str">
            <v>62007</v>
          </cell>
          <cell r="R1735" t="str">
            <v>62007Scratch 5 000</v>
          </cell>
          <cell r="S1735" t="str">
            <v>2007Scratch 5 000</v>
          </cell>
          <cell r="T1735" t="str">
            <v>62007GEMATEL</v>
          </cell>
          <cell r="U1735" t="str">
            <v>62007GEMATELScratch 5 000</v>
          </cell>
          <cell r="V1735" t="str">
            <v>39262Scratch 5 000</v>
          </cell>
          <cell r="W1735" t="str">
            <v>2007GEMATEL</v>
          </cell>
          <cell r="X1735" t="str">
            <v>2007GEMATELScratch 5 000</v>
          </cell>
        </row>
        <row r="1736">
          <cell r="I1736">
            <v>2007</v>
          </cell>
          <cell r="J1736" t="str">
            <v>GEMATELScratch 10 000</v>
          </cell>
          <cell r="L1736">
            <v>0</v>
          </cell>
          <cell r="M1736" t="str">
            <v>GEMATEL</v>
          </cell>
          <cell r="N1736" t="str">
            <v>GEMATELScratch 10 000</v>
          </cell>
          <cell r="O1736" t="str">
            <v>GEMATEL</v>
          </cell>
          <cell r="P1736" t="str">
            <v>Scratch 10 000</v>
          </cell>
          <cell r="Q1736" t="str">
            <v>62007</v>
          </cell>
          <cell r="R1736" t="str">
            <v>62007Scratch 10 000</v>
          </cell>
          <cell r="S1736" t="str">
            <v>2007Scratch 10 000</v>
          </cell>
          <cell r="T1736" t="str">
            <v>62007GEMATEL</v>
          </cell>
          <cell r="U1736" t="str">
            <v>62007GEMATELScratch 10 000</v>
          </cell>
          <cell r="V1736" t="str">
            <v>39262Scratch 10 000</v>
          </cell>
          <cell r="W1736" t="str">
            <v>2007GEMATEL</v>
          </cell>
          <cell r="X1736" t="str">
            <v>2007GEMATELScratch 10 000</v>
          </cell>
        </row>
        <row r="1737">
          <cell r="I1737">
            <v>2007</v>
          </cell>
          <cell r="J1737" t="str">
            <v>CellNets MaliMinutes</v>
          </cell>
          <cell r="L1737">
            <v>1</v>
          </cell>
          <cell r="M1737" t="str">
            <v>1CellNets Mali</v>
          </cell>
          <cell r="N1737" t="str">
            <v>CellNets MaliMinutes</v>
          </cell>
          <cell r="O1737" t="str">
            <v>CellNets Mali</v>
          </cell>
          <cell r="P1737" t="str">
            <v>Minutes</v>
          </cell>
          <cell r="Q1737" t="str">
            <v>62007</v>
          </cell>
          <cell r="R1737" t="str">
            <v>62007Minutes</v>
          </cell>
          <cell r="S1737" t="str">
            <v>2007Minutes</v>
          </cell>
          <cell r="T1737" t="str">
            <v>62007CellNets Mali</v>
          </cell>
          <cell r="U1737" t="str">
            <v>62007CellNets MaliMinutes</v>
          </cell>
          <cell r="V1737" t="str">
            <v>39239Minutes</v>
          </cell>
          <cell r="W1737" t="str">
            <v>2007CellNets Mali</v>
          </cell>
          <cell r="X1737" t="str">
            <v>2007CellNets MaliMinutes</v>
          </cell>
        </row>
        <row r="1738">
          <cell r="I1738">
            <v>2007</v>
          </cell>
          <cell r="J1738" t="str">
            <v>CellNets MaliMinutes</v>
          </cell>
          <cell r="L1738">
            <v>1</v>
          </cell>
          <cell r="M1738" t="str">
            <v>1CellNets Mali</v>
          </cell>
          <cell r="N1738" t="str">
            <v>CellNets MaliMinutes</v>
          </cell>
          <cell r="O1738" t="str">
            <v>CellNets Mali</v>
          </cell>
          <cell r="P1738" t="str">
            <v>Minutes</v>
          </cell>
          <cell r="Q1738" t="str">
            <v>62007</v>
          </cell>
          <cell r="R1738" t="str">
            <v>62007Minutes</v>
          </cell>
          <cell r="S1738" t="str">
            <v>2007Minutes</v>
          </cell>
          <cell r="T1738" t="str">
            <v>62007CellNets Mali</v>
          </cell>
          <cell r="U1738" t="str">
            <v>62007CellNets MaliMinutes</v>
          </cell>
          <cell r="V1738" t="str">
            <v>39246Minutes</v>
          </cell>
          <cell r="W1738" t="str">
            <v>2007CellNets Mali</v>
          </cell>
          <cell r="X1738" t="str">
            <v>2007CellNets MaliMinutes</v>
          </cell>
        </row>
        <row r="1739">
          <cell r="I1739">
            <v>2007</v>
          </cell>
          <cell r="J1739" t="str">
            <v>CellNets MaliMinutes</v>
          </cell>
          <cell r="L1739">
            <v>1</v>
          </cell>
          <cell r="M1739" t="str">
            <v>1CellNets Mali</v>
          </cell>
          <cell r="N1739" t="str">
            <v>CellNets MaliMinutes</v>
          </cell>
          <cell r="O1739" t="str">
            <v>CellNets Mali</v>
          </cell>
          <cell r="P1739" t="str">
            <v>Minutes</v>
          </cell>
          <cell r="Q1739" t="str">
            <v>62007</v>
          </cell>
          <cell r="R1739" t="str">
            <v>62007Minutes</v>
          </cell>
          <cell r="S1739" t="str">
            <v>2007Minutes</v>
          </cell>
          <cell r="T1739" t="str">
            <v>62007CellNets Mali</v>
          </cell>
          <cell r="U1739" t="str">
            <v>62007CellNets MaliMinutes</v>
          </cell>
          <cell r="V1739" t="str">
            <v>39253Minutes</v>
          </cell>
          <cell r="W1739" t="str">
            <v>2007CellNets Mali</v>
          </cell>
          <cell r="X1739" t="str">
            <v>2007CellNets MaliMinutes</v>
          </cell>
        </row>
        <row r="1740">
          <cell r="I1740">
            <v>2007</v>
          </cell>
          <cell r="J1740" t="str">
            <v>Grands ComptesVGFU (TTC)</v>
          </cell>
          <cell r="L1740">
            <v>1</v>
          </cell>
          <cell r="M1740" t="str">
            <v>1Grands Comptes</v>
          </cell>
          <cell r="N1740" t="str">
            <v>Grands ComptesVGFU (TTC)</v>
          </cell>
          <cell r="O1740" t="str">
            <v>Grands Comptes</v>
          </cell>
          <cell r="P1740" t="str">
            <v>VGFU (TTC)</v>
          </cell>
          <cell r="Q1740" t="str">
            <v>62007</v>
          </cell>
          <cell r="R1740" t="str">
            <v>62007VGFU (TTC)</v>
          </cell>
          <cell r="S1740" t="str">
            <v>2007VGFU (TTC)</v>
          </cell>
          <cell r="T1740" t="str">
            <v>62007Grands Comptes</v>
          </cell>
          <cell r="U1740" t="str">
            <v>62007Grands ComptesVGFU (TTC)</v>
          </cell>
          <cell r="V1740" t="str">
            <v>39261VGFU (TTC)</v>
          </cell>
          <cell r="W1740" t="str">
            <v>2007Grands Comptes</v>
          </cell>
          <cell r="X1740" t="str">
            <v>2007Grands ComptesVGFU (TTC)</v>
          </cell>
        </row>
        <row r="1741">
          <cell r="I1741">
            <v>2007</v>
          </cell>
          <cell r="J1741" t="str">
            <v>Grands ComptesVGFU (TTC)</v>
          </cell>
          <cell r="L1741">
            <v>1</v>
          </cell>
          <cell r="M1741" t="str">
            <v>1Grands Comptes</v>
          </cell>
          <cell r="N1741" t="str">
            <v>Grands ComptesVGFU (TTC)</v>
          </cell>
          <cell r="O1741" t="str">
            <v>Grands Comptes</v>
          </cell>
          <cell r="P1741" t="str">
            <v>VGFU (TTC)</v>
          </cell>
          <cell r="Q1741" t="str">
            <v>62007</v>
          </cell>
          <cell r="R1741" t="str">
            <v>62007VGFU (TTC)</v>
          </cell>
          <cell r="S1741" t="str">
            <v>2007VGFU (TTC)</v>
          </cell>
          <cell r="T1741" t="str">
            <v>62007Grands Comptes</v>
          </cell>
          <cell r="U1741" t="str">
            <v>62007Grands ComptesVGFU (TTC)</v>
          </cell>
          <cell r="V1741" t="str">
            <v>39261VGFU (TTC)</v>
          </cell>
          <cell r="W1741" t="str">
            <v>2007Grands Comptes</v>
          </cell>
          <cell r="X1741" t="str">
            <v>2007Grands ComptesVGFU (TTC)</v>
          </cell>
        </row>
        <row r="1742">
          <cell r="I1742">
            <v>2007</v>
          </cell>
          <cell r="J1742" t="str">
            <v>Compagnie Internationale de NegoceScratch 20 000</v>
          </cell>
          <cell r="L1742">
            <v>1</v>
          </cell>
          <cell r="M1742" t="str">
            <v>1Compagnie Internationale de Negoce</v>
          </cell>
          <cell r="N1742" t="str">
            <v>Compagnie Internationale de NegoceScratch 20 000</v>
          </cell>
          <cell r="O1742" t="str">
            <v>Compagnie Internationale de Negoce</v>
          </cell>
          <cell r="P1742" t="str">
            <v>Scratch 20 000</v>
          </cell>
          <cell r="Q1742" t="str">
            <v>72007</v>
          </cell>
          <cell r="R1742" t="str">
            <v>72007Scratch 20 000</v>
          </cell>
          <cell r="S1742" t="str">
            <v>2007Scratch 20 000</v>
          </cell>
          <cell r="T1742" t="str">
            <v>72007Compagnie Internationale de Negoce</v>
          </cell>
          <cell r="U1742" t="str">
            <v>72007Compagnie Internationale de NegoceScratch 20 000</v>
          </cell>
          <cell r="V1742" t="str">
            <v>39265Scratch 20 000</v>
          </cell>
          <cell r="W1742" t="str">
            <v>2007Compagnie Internationale de Negoce</v>
          </cell>
          <cell r="X1742" t="str">
            <v>2007Compagnie Internationale de NegoceScratch 20 000</v>
          </cell>
        </row>
        <row r="1743">
          <cell r="I1743">
            <v>2007</v>
          </cell>
          <cell r="J1743" t="str">
            <v>Compagnie Internationale de NegoceScratch 5 000</v>
          </cell>
          <cell r="L1743">
            <v>0</v>
          </cell>
          <cell r="M1743" t="str">
            <v>Compagnie Internationale de Negoce</v>
          </cell>
          <cell r="N1743" t="str">
            <v>Compagnie Internationale de NegoceScratch 5 000</v>
          </cell>
          <cell r="O1743" t="str">
            <v>Compagnie Internationale de Negoce</v>
          </cell>
          <cell r="P1743" t="str">
            <v>Scratch 5 000</v>
          </cell>
          <cell r="Q1743" t="str">
            <v>72007</v>
          </cell>
          <cell r="R1743" t="str">
            <v>72007Scratch 5 000</v>
          </cell>
          <cell r="S1743" t="str">
            <v>2007Scratch 5 000</v>
          </cell>
          <cell r="T1743" t="str">
            <v>72007Compagnie Internationale de Negoce</v>
          </cell>
          <cell r="U1743" t="str">
            <v>72007Compagnie Internationale de NegoceScratch 5 000</v>
          </cell>
          <cell r="V1743" t="str">
            <v>39265Scratch 5 000</v>
          </cell>
          <cell r="W1743" t="str">
            <v>2007Compagnie Internationale de Negoce</v>
          </cell>
          <cell r="X1743" t="str">
            <v>2007Compagnie Internationale de NegoceScratch 5 000</v>
          </cell>
        </row>
        <row r="1744">
          <cell r="I1744">
            <v>2007</v>
          </cell>
          <cell r="J1744" t="str">
            <v>Compagnie Internationale de NegoceScratch 2 000</v>
          </cell>
          <cell r="L1744">
            <v>0</v>
          </cell>
          <cell r="M1744" t="str">
            <v>Compagnie Internationale de Negoce</v>
          </cell>
          <cell r="N1744" t="str">
            <v>Compagnie Internationale de NegoceScratch 2 000</v>
          </cell>
          <cell r="O1744" t="str">
            <v>Compagnie Internationale de Negoce</v>
          </cell>
          <cell r="P1744" t="str">
            <v>Scratch 2 000</v>
          </cell>
          <cell r="Q1744" t="str">
            <v>72007</v>
          </cell>
          <cell r="R1744" t="str">
            <v>72007Scratch 2 000</v>
          </cell>
          <cell r="S1744" t="str">
            <v>2007Scratch 2 000</v>
          </cell>
          <cell r="T1744" t="str">
            <v>72007Compagnie Internationale de Negoce</v>
          </cell>
          <cell r="U1744" t="str">
            <v>72007Compagnie Internationale de NegoceScratch 2 000</v>
          </cell>
          <cell r="V1744" t="str">
            <v>39265Scratch 2 000</v>
          </cell>
          <cell r="W1744" t="str">
            <v>2007Compagnie Internationale de Negoce</v>
          </cell>
          <cell r="X1744" t="str">
            <v>2007Compagnie Internationale de NegoceScratch 2 000</v>
          </cell>
        </row>
        <row r="1745">
          <cell r="I1745">
            <v>2007</v>
          </cell>
          <cell r="J1745" t="str">
            <v>Compagnie Internationale de NegoceScratch 1 000</v>
          </cell>
          <cell r="L1745">
            <v>0</v>
          </cell>
          <cell r="M1745" t="str">
            <v>Compagnie Internationale de Negoce</v>
          </cell>
          <cell r="N1745" t="str">
            <v>Compagnie Internationale de NegoceScratch 1 000</v>
          </cell>
          <cell r="O1745" t="str">
            <v>Compagnie Internationale de Negoce</v>
          </cell>
          <cell r="P1745" t="str">
            <v>Scratch 1 000</v>
          </cell>
          <cell r="Q1745" t="str">
            <v>72007</v>
          </cell>
          <cell r="R1745" t="str">
            <v>72007Scratch 1 000</v>
          </cell>
          <cell r="S1745" t="str">
            <v>2007Scratch 1 000</v>
          </cell>
          <cell r="T1745" t="str">
            <v>72007Compagnie Internationale de Negoce</v>
          </cell>
          <cell r="U1745" t="str">
            <v>72007Compagnie Internationale de NegoceScratch 1 000</v>
          </cell>
          <cell r="V1745" t="str">
            <v>39265Scratch 1 000</v>
          </cell>
          <cell r="W1745" t="str">
            <v>2007Compagnie Internationale de Negoce</v>
          </cell>
          <cell r="X1745" t="str">
            <v>2007Compagnie Internationale de NegoceScratch 1 000</v>
          </cell>
        </row>
        <row r="1746">
          <cell r="I1746">
            <v>2007</v>
          </cell>
          <cell r="J1746" t="str">
            <v>ANKA SERVICESScratch 20 000</v>
          </cell>
          <cell r="L1746">
            <v>1</v>
          </cell>
          <cell r="M1746" t="str">
            <v>1ANKA SERVICES</v>
          </cell>
          <cell r="N1746" t="str">
            <v>ANKA SERVICESScratch 20 000</v>
          </cell>
          <cell r="O1746" t="str">
            <v>ANKA SERVICES</v>
          </cell>
          <cell r="P1746" t="str">
            <v>Scratch 20 000</v>
          </cell>
          <cell r="Q1746" t="str">
            <v>72007</v>
          </cell>
          <cell r="R1746" t="str">
            <v>72007Scratch 20 000</v>
          </cell>
          <cell r="S1746" t="str">
            <v>2007Scratch 20 000</v>
          </cell>
          <cell r="T1746" t="str">
            <v>72007ANKA SERVICES</v>
          </cell>
          <cell r="U1746" t="str">
            <v>72007ANKA SERVICESScratch 20 000</v>
          </cell>
          <cell r="V1746" t="str">
            <v>39265Scratch 20 000</v>
          </cell>
          <cell r="W1746" t="str">
            <v>2007ANKA SERVICES</v>
          </cell>
          <cell r="X1746" t="str">
            <v>2007ANKA SERVICESScratch 20 000</v>
          </cell>
        </row>
        <row r="1747">
          <cell r="I1747">
            <v>2007</v>
          </cell>
          <cell r="J1747" t="str">
            <v>ANKA SERVICESScratch 5 000</v>
          </cell>
          <cell r="L1747">
            <v>0</v>
          </cell>
          <cell r="M1747" t="str">
            <v>ANKA SERVICES</v>
          </cell>
          <cell r="N1747" t="str">
            <v>ANKA SERVICESScratch 5 000</v>
          </cell>
          <cell r="O1747" t="str">
            <v>ANKA SERVICES</v>
          </cell>
          <cell r="P1747" t="str">
            <v>Scratch 5 000</v>
          </cell>
          <cell r="Q1747" t="str">
            <v>72007</v>
          </cell>
          <cell r="R1747" t="str">
            <v>72007Scratch 5 000</v>
          </cell>
          <cell r="S1747" t="str">
            <v>2007Scratch 5 000</v>
          </cell>
          <cell r="T1747" t="str">
            <v>72007ANKA SERVICES</v>
          </cell>
          <cell r="U1747" t="str">
            <v>72007ANKA SERVICESScratch 5 000</v>
          </cell>
          <cell r="V1747" t="str">
            <v>39265Scratch 5 000</v>
          </cell>
          <cell r="W1747" t="str">
            <v>2007ANKA SERVICES</v>
          </cell>
          <cell r="X1747" t="str">
            <v>2007ANKA SERVICESScratch 5 000</v>
          </cell>
        </row>
        <row r="1748">
          <cell r="I1748">
            <v>2007</v>
          </cell>
          <cell r="J1748" t="str">
            <v>ANKA SERVICESScratch 2 000</v>
          </cell>
          <cell r="L1748">
            <v>0</v>
          </cell>
          <cell r="M1748" t="str">
            <v>ANKA SERVICES</v>
          </cell>
          <cell r="N1748" t="str">
            <v>ANKA SERVICESScratch 2 000</v>
          </cell>
          <cell r="O1748" t="str">
            <v>ANKA SERVICES</v>
          </cell>
          <cell r="P1748" t="str">
            <v>Scratch 2 000</v>
          </cell>
          <cell r="Q1748" t="str">
            <v>72007</v>
          </cell>
          <cell r="R1748" t="str">
            <v>72007Scratch 2 000</v>
          </cell>
          <cell r="S1748" t="str">
            <v>2007Scratch 2 000</v>
          </cell>
          <cell r="T1748" t="str">
            <v>72007ANKA SERVICES</v>
          </cell>
          <cell r="U1748" t="str">
            <v>72007ANKA SERVICESScratch 2 000</v>
          </cell>
          <cell r="V1748" t="str">
            <v>39265Scratch 2 000</v>
          </cell>
          <cell r="W1748" t="str">
            <v>2007ANKA SERVICES</v>
          </cell>
          <cell r="X1748" t="str">
            <v>2007ANKA SERVICESScratch 2 000</v>
          </cell>
        </row>
        <row r="1749">
          <cell r="I1749">
            <v>2007</v>
          </cell>
          <cell r="J1749" t="str">
            <v>ANKA SERVICESScratch 1 000</v>
          </cell>
          <cell r="L1749">
            <v>0</v>
          </cell>
          <cell r="M1749" t="str">
            <v>ANKA SERVICES</v>
          </cell>
          <cell r="N1749" t="str">
            <v>ANKA SERVICESScratch 1 000</v>
          </cell>
          <cell r="O1749" t="str">
            <v>ANKA SERVICES</v>
          </cell>
          <cell r="P1749" t="str">
            <v>Scratch 1 000</v>
          </cell>
          <cell r="Q1749" t="str">
            <v>72007</v>
          </cell>
          <cell r="R1749" t="str">
            <v>72007Scratch 1 000</v>
          </cell>
          <cell r="S1749" t="str">
            <v>2007Scratch 1 000</v>
          </cell>
          <cell r="T1749" t="str">
            <v>72007ANKA SERVICES</v>
          </cell>
          <cell r="U1749" t="str">
            <v>72007ANKA SERVICESScratch 1 000</v>
          </cell>
          <cell r="V1749" t="str">
            <v>39265Scratch 1 000</v>
          </cell>
          <cell r="W1749" t="str">
            <v>2007ANKA SERVICES</v>
          </cell>
          <cell r="X1749" t="str">
            <v>2007ANKA SERVICESScratch 1 000</v>
          </cell>
        </row>
        <row r="1750">
          <cell r="I1750">
            <v>2007</v>
          </cell>
          <cell r="J1750" t="str">
            <v>GEMATELScratch 20 000</v>
          </cell>
          <cell r="L1750">
            <v>1</v>
          </cell>
          <cell r="M1750" t="str">
            <v>1GEMATEL</v>
          </cell>
          <cell r="N1750" t="str">
            <v>GEMATELScratch 20 000</v>
          </cell>
          <cell r="O1750" t="str">
            <v>GEMATEL</v>
          </cell>
          <cell r="P1750" t="str">
            <v>Scratch 20 000</v>
          </cell>
          <cell r="Q1750" t="str">
            <v>72007</v>
          </cell>
          <cell r="R1750" t="str">
            <v>72007Scratch 20 000</v>
          </cell>
          <cell r="S1750" t="str">
            <v>2007Scratch 20 000</v>
          </cell>
          <cell r="T1750" t="str">
            <v>72007GEMATEL</v>
          </cell>
          <cell r="U1750" t="str">
            <v>72007GEMATELScratch 20 000</v>
          </cell>
          <cell r="V1750" t="str">
            <v>39265Scratch 20 000</v>
          </cell>
          <cell r="W1750" t="str">
            <v>2007GEMATEL</v>
          </cell>
          <cell r="X1750" t="str">
            <v>2007GEMATELScratch 20 000</v>
          </cell>
        </row>
        <row r="1751">
          <cell r="I1751">
            <v>2007</v>
          </cell>
          <cell r="J1751" t="str">
            <v>GEMATELScratch 5 000</v>
          </cell>
          <cell r="L1751">
            <v>0</v>
          </cell>
          <cell r="M1751" t="str">
            <v>GEMATEL</v>
          </cell>
          <cell r="N1751" t="str">
            <v>GEMATELScratch 5 000</v>
          </cell>
          <cell r="O1751" t="str">
            <v>GEMATEL</v>
          </cell>
          <cell r="P1751" t="str">
            <v>Scratch 5 000</v>
          </cell>
          <cell r="Q1751" t="str">
            <v>72007</v>
          </cell>
          <cell r="R1751" t="str">
            <v>72007Scratch 5 000</v>
          </cell>
          <cell r="S1751" t="str">
            <v>2007Scratch 5 000</v>
          </cell>
          <cell r="T1751" t="str">
            <v>72007GEMATEL</v>
          </cell>
          <cell r="U1751" t="str">
            <v>72007GEMATELScratch 5 000</v>
          </cell>
          <cell r="V1751" t="str">
            <v>39265Scratch 5 000</v>
          </cell>
          <cell r="W1751" t="str">
            <v>2007GEMATEL</v>
          </cell>
          <cell r="X1751" t="str">
            <v>2007GEMATELScratch 5 000</v>
          </cell>
        </row>
        <row r="1752">
          <cell r="I1752">
            <v>2007</v>
          </cell>
          <cell r="J1752" t="str">
            <v>GEMATELScratch 2 000</v>
          </cell>
          <cell r="L1752">
            <v>0</v>
          </cell>
          <cell r="M1752" t="str">
            <v>GEMATEL</v>
          </cell>
          <cell r="N1752" t="str">
            <v>GEMATELScratch 2 000</v>
          </cell>
          <cell r="O1752" t="str">
            <v>GEMATEL</v>
          </cell>
          <cell r="P1752" t="str">
            <v>Scratch 2 000</v>
          </cell>
          <cell r="Q1752" t="str">
            <v>72007</v>
          </cell>
          <cell r="R1752" t="str">
            <v>72007Scratch 2 000</v>
          </cell>
          <cell r="S1752" t="str">
            <v>2007Scratch 2 000</v>
          </cell>
          <cell r="T1752" t="str">
            <v>72007GEMATEL</v>
          </cell>
          <cell r="U1752" t="str">
            <v>72007GEMATELScratch 2 000</v>
          </cell>
          <cell r="V1752" t="str">
            <v>39265Scratch 2 000</v>
          </cell>
          <cell r="W1752" t="str">
            <v>2007GEMATEL</v>
          </cell>
          <cell r="X1752" t="str">
            <v>2007GEMATELScratch 2 000</v>
          </cell>
        </row>
        <row r="1753">
          <cell r="I1753">
            <v>2007</v>
          </cell>
          <cell r="J1753" t="str">
            <v>GEMATELScratch 1 000</v>
          </cell>
          <cell r="L1753">
            <v>0</v>
          </cell>
          <cell r="M1753" t="str">
            <v>GEMATEL</v>
          </cell>
          <cell r="N1753" t="str">
            <v>GEMATELScratch 1 000</v>
          </cell>
          <cell r="O1753" t="str">
            <v>GEMATEL</v>
          </cell>
          <cell r="P1753" t="str">
            <v>Scratch 1 000</v>
          </cell>
          <cell r="Q1753" t="str">
            <v>72007</v>
          </cell>
          <cell r="R1753" t="str">
            <v>72007Scratch 1 000</v>
          </cell>
          <cell r="S1753" t="str">
            <v>2007Scratch 1 000</v>
          </cell>
          <cell r="T1753" t="str">
            <v>72007GEMATEL</v>
          </cell>
          <cell r="U1753" t="str">
            <v>72007GEMATELScratch 1 000</v>
          </cell>
          <cell r="V1753" t="str">
            <v>39265Scratch 1 000</v>
          </cell>
          <cell r="W1753" t="str">
            <v>2007GEMATEL</v>
          </cell>
          <cell r="X1753" t="str">
            <v>2007GEMATELScratch 1 000</v>
          </cell>
        </row>
        <row r="1754">
          <cell r="I1754">
            <v>2007</v>
          </cell>
          <cell r="J1754" t="str">
            <v>SOMAKOFFScratch 20 000</v>
          </cell>
          <cell r="L1754">
            <v>1</v>
          </cell>
          <cell r="M1754" t="str">
            <v>1SOMAKOFF</v>
          </cell>
          <cell r="N1754" t="str">
            <v>SOMAKOFFScratch 20 000</v>
          </cell>
          <cell r="O1754" t="str">
            <v>SOMAKOFF</v>
          </cell>
          <cell r="P1754" t="str">
            <v>Scratch 20 000</v>
          </cell>
          <cell r="Q1754" t="str">
            <v>72007</v>
          </cell>
          <cell r="R1754" t="str">
            <v>72007Scratch 20 000</v>
          </cell>
          <cell r="S1754" t="str">
            <v>2007Scratch 20 000</v>
          </cell>
          <cell r="T1754" t="str">
            <v>72007SOMAKOFF</v>
          </cell>
          <cell r="U1754" t="str">
            <v>72007SOMAKOFFScratch 20 000</v>
          </cell>
          <cell r="V1754" t="str">
            <v>39266Scratch 20 000</v>
          </cell>
          <cell r="W1754" t="str">
            <v>2007SOMAKOFF</v>
          </cell>
          <cell r="X1754" t="str">
            <v>2007SOMAKOFFScratch 20 000</v>
          </cell>
        </row>
        <row r="1755">
          <cell r="I1755">
            <v>2007</v>
          </cell>
          <cell r="J1755" t="str">
            <v>SOMAKOFFScratch 10 000</v>
          </cell>
          <cell r="L1755">
            <v>0</v>
          </cell>
          <cell r="M1755" t="str">
            <v>SOMAKOFF</v>
          </cell>
          <cell r="N1755" t="str">
            <v>SOMAKOFFScratch 10 000</v>
          </cell>
          <cell r="O1755" t="str">
            <v>SOMAKOFF</v>
          </cell>
          <cell r="P1755" t="str">
            <v>Scratch 10 000</v>
          </cell>
          <cell r="Q1755" t="str">
            <v>72007</v>
          </cell>
          <cell r="R1755" t="str">
            <v>72007Scratch 10 000</v>
          </cell>
          <cell r="S1755" t="str">
            <v>2007Scratch 10 000</v>
          </cell>
          <cell r="T1755" t="str">
            <v>72007SOMAKOFF</v>
          </cell>
          <cell r="U1755" t="str">
            <v>72007SOMAKOFFScratch 10 000</v>
          </cell>
          <cell r="V1755" t="str">
            <v>39266Scratch 10 000</v>
          </cell>
          <cell r="W1755" t="str">
            <v>2007SOMAKOFF</v>
          </cell>
          <cell r="X1755" t="str">
            <v>2007SOMAKOFFScratch 10 000</v>
          </cell>
        </row>
        <row r="1756">
          <cell r="I1756">
            <v>2007</v>
          </cell>
          <cell r="J1756" t="str">
            <v>SOMAKOFFScratch 1 000</v>
          </cell>
          <cell r="L1756">
            <v>0</v>
          </cell>
          <cell r="M1756" t="str">
            <v>SOMAKOFF</v>
          </cell>
          <cell r="N1756" t="str">
            <v>SOMAKOFFScratch 1 000</v>
          </cell>
          <cell r="O1756" t="str">
            <v>SOMAKOFF</v>
          </cell>
          <cell r="P1756" t="str">
            <v>Scratch 1 000</v>
          </cell>
          <cell r="Q1756" t="str">
            <v>72007</v>
          </cell>
          <cell r="R1756" t="str">
            <v>72007Scratch 1 000</v>
          </cell>
          <cell r="S1756" t="str">
            <v>2007Scratch 1 000</v>
          </cell>
          <cell r="T1756" t="str">
            <v>72007SOMAKOFF</v>
          </cell>
          <cell r="U1756" t="str">
            <v>72007SOMAKOFFScratch 1 000</v>
          </cell>
          <cell r="V1756" t="str">
            <v>39266Scratch 1 000</v>
          </cell>
          <cell r="W1756" t="str">
            <v>2007SOMAKOFF</v>
          </cell>
          <cell r="X1756" t="str">
            <v>2007SOMAKOFFScratch 1 000</v>
          </cell>
        </row>
        <row r="1757">
          <cell r="I1757">
            <v>2007</v>
          </cell>
          <cell r="J1757" t="str">
            <v>STS GAMBY &amp; FRERES (SOGAF) SarlScratch 20 000</v>
          </cell>
          <cell r="L1757">
            <v>1</v>
          </cell>
          <cell r="M1757" t="str">
            <v>1STS GAMBY &amp; FRERES (SOGAF) Sarl</v>
          </cell>
          <cell r="N1757" t="str">
            <v>STS GAMBY &amp; FRERES (SOGAF) SarlScratch 20 000</v>
          </cell>
          <cell r="O1757" t="str">
            <v>STS GAMBY &amp; FRERES (SOGAF) Sarl</v>
          </cell>
          <cell r="P1757" t="str">
            <v>Scratch 20 000</v>
          </cell>
          <cell r="Q1757" t="str">
            <v>72007</v>
          </cell>
          <cell r="R1757" t="str">
            <v>72007Scratch 20 000</v>
          </cell>
          <cell r="S1757" t="str">
            <v>2007Scratch 20 000</v>
          </cell>
          <cell r="T1757" t="str">
            <v>72007STS GAMBY &amp; FRERES (SOGAF) Sarl</v>
          </cell>
          <cell r="U1757" t="str">
            <v>72007STS GAMBY &amp; FRERES (SOGAF) SarlScratch 20 000</v>
          </cell>
          <cell r="V1757" t="str">
            <v>39266Scratch 20 000</v>
          </cell>
          <cell r="W1757" t="str">
            <v>2007STS GAMBY &amp; FRERES (SOGAF) Sarl</v>
          </cell>
          <cell r="X1757" t="str">
            <v>2007STS GAMBY &amp; FRERES (SOGAF) SarlScratch 20 000</v>
          </cell>
        </row>
        <row r="1758">
          <cell r="I1758">
            <v>2007</v>
          </cell>
          <cell r="J1758" t="str">
            <v>STS GAMBY &amp; FRERES (SOGAF) SarlScratch 5 000</v>
          </cell>
          <cell r="L1758">
            <v>0</v>
          </cell>
          <cell r="M1758" t="str">
            <v>STS GAMBY &amp; FRERES (SOGAF) Sarl</v>
          </cell>
          <cell r="N1758" t="str">
            <v>STS GAMBY &amp; FRERES (SOGAF) SarlScratch 5 000</v>
          </cell>
          <cell r="O1758" t="str">
            <v>STS GAMBY &amp; FRERES (SOGAF) Sarl</v>
          </cell>
          <cell r="P1758" t="str">
            <v>Scratch 5 000</v>
          </cell>
          <cell r="Q1758" t="str">
            <v>72007</v>
          </cell>
          <cell r="R1758" t="str">
            <v>72007Scratch 5 000</v>
          </cell>
          <cell r="S1758" t="str">
            <v>2007Scratch 5 000</v>
          </cell>
          <cell r="T1758" t="str">
            <v>72007STS GAMBY &amp; FRERES (SOGAF) Sarl</v>
          </cell>
          <cell r="U1758" t="str">
            <v>72007STS GAMBY &amp; FRERES (SOGAF) SarlScratch 5 000</v>
          </cell>
          <cell r="V1758" t="str">
            <v>39266Scratch 5 000</v>
          </cell>
          <cell r="W1758" t="str">
            <v>2007STS GAMBY &amp; FRERES (SOGAF) Sarl</v>
          </cell>
          <cell r="X1758" t="str">
            <v>2007STS GAMBY &amp; FRERES (SOGAF) SarlScratch 5 000</v>
          </cell>
        </row>
        <row r="1759">
          <cell r="I1759">
            <v>2007</v>
          </cell>
          <cell r="J1759" t="str">
            <v>STS GAMBY &amp; FRERES (SOGAF) SarlScratch 2 000</v>
          </cell>
          <cell r="L1759">
            <v>0</v>
          </cell>
          <cell r="M1759" t="str">
            <v>STS GAMBY &amp; FRERES (SOGAF) Sarl</v>
          </cell>
          <cell r="N1759" t="str">
            <v>STS GAMBY &amp; FRERES (SOGAF) SarlScratch 2 000</v>
          </cell>
          <cell r="O1759" t="str">
            <v>STS GAMBY &amp; FRERES (SOGAF) Sarl</v>
          </cell>
          <cell r="P1759" t="str">
            <v>Scratch 2 000</v>
          </cell>
          <cell r="Q1759" t="str">
            <v>72007</v>
          </cell>
          <cell r="R1759" t="str">
            <v>72007Scratch 2 000</v>
          </cell>
          <cell r="S1759" t="str">
            <v>2007Scratch 2 000</v>
          </cell>
          <cell r="T1759" t="str">
            <v>72007STS GAMBY &amp; FRERES (SOGAF) Sarl</v>
          </cell>
          <cell r="U1759" t="str">
            <v>72007STS GAMBY &amp; FRERES (SOGAF) SarlScratch 2 000</v>
          </cell>
          <cell r="V1759" t="str">
            <v>39266Scratch 2 000</v>
          </cell>
          <cell r="W1759" t="str">
            <v>2007STS GAMBY &amp; FRERES (SOGAF) Sarl</v>
          </cell>
          <cell r="X1759" t="str">
            <v>2007STS GAMBY &amp; FRERES (SOGAF) SarlScratch 2 000</v>
          </cell>
        </row>
        <row r="1760">
          <cell r="I1760">
            <v>2007</v>
          </cell>
          <cell r="J1760" t="str">
            <v>STS GAMBY &amp; FRERES (SOGAF) SarlScratch 1 000</v>
          </cell>
          <cell r="L1760">
            <v>0</v>
          </cell>
          <cell r="M1760" t="str">
            <v>STS GAMBY &amp; FRERES (SOGAF) Sarl</v>
          </cell>
          <cell r="N1760" t="str">
            <v>STS GAMBY &amp; FRERES (SOGAF) SarlScratch 1 000</v>
          </cell>
          <cell r="O1760" t="str">
            <v>STS GAMBY &amp; FRERES (SOGAF) Sarl</v>
          </cell>
          <cell r="P1760" t="str">
            <v>Scratch 1 000</v>
          </cell>
          <cell r="Q1760" t="str">
            <v>72007</v>
          </cell>
          <cell r="R1760" t="str">
            <v>72007Scratch 1 000</v>
          </cell>
          <cell r="S1760" t="str">
            <v>2007Scratch 1 000</v>
          </cell>
          <cell r="T1760" t="str">
            <v>72007STS GAMBY &amp; FRERES (SOGAF) Sarl</v>
          </cell>
          <cell r="U1760" t="str">
            <v>72007STS GAMBY &amp; FRERES (SOGAF) SarlScratch 1 000</v>
          </cell>
          <cell r="V1760" t="str">
            <v>39266Scratch 1 000</v>
          </cell>
          <cell r="W1760" t="str">
            <v>2007STS GAMBY &amp; FRERES (SOGAF) Sarl</v>
          </cell>
          <cell r="X1760" t="str">
            <v>2007STS GAMBY &amp; FRERES (SOGAF) SarlScratch 1 000</v>
          </cell>
        </row>
        <row r="1761">
          <cell r="I1761">
            <v>2007</v>
          </cell>
          <cell r="J1761" t="str">
            <v>MALI COM SarlScratch 5 000</v>
          </cell>
          <cell r="L1761">
            <v>1</v>
          </cell>
          <cell r="M1761" t="str">
            <v>1MALI COM Sarl</v>
          </cell>
          <cell r="N1761" t="str">
            <v>MALI COM SarlScratch 5 000</v>
          </cell>
          <cell r="O1761" t="str">
            <v>MALI COM Sarl</v>
          </cell>
          <cell r="P1761" t="str">
            <v>Scratch 5 000</v>
          </cell>
          <cell r="Q1761" t="str">
            <v>72007</v>
          </cell>
          <cell r="R1761" t="str">
            <v>72007Scratch 5 000</v>
          </cell>
          <cell r="S1761" t="str">
            <v>2007Scratch 5 000</v>
          </cell>
          <cell r="T1761" t="str">
            <v>72007MALI COM Sarl</v>
          </cell>
          <cell r="U1761" t="str">
            <v>72007MALI COM SarlScratch 5 000</v>
          </cell>
          <cell r="V1761" t="str">
            <v>39266Scratch 5 000</v>
          </cell>
          <cell r="W1761" t="str">
            <v>2007MALI COM Sarl</v>
          </cell>
          <cell r="X1761" t="str">
            <v>2007MALI COM SarlScratch 5 000</v>
          </cell>
        </row>
        <row r="1762">
          <cell r="I1762">
            <v>2007</v>
          </cell>
          <cell r="J1762" t="str">
            <v>MALI COM SarlScratch 2 000</v>
          </cell>
          <cell r="L1762">
            <v>0</v>
          </cell>
          <cell r="M1762" t="str">
            <v>MALI COM Sarl</v>
          </cell>
          <cell r="N1762" t="str">
            <v>MALI COM SarlScratch 2 000</v>
          </cell>
          <cell r="O1762" t="str">
            <v>MALI COM Sarl</v>
          </cell>
          <cell r="P1762" t="str">
            <v>Scratch 2 000</v>
          </cell>
          <cell r="Q1762" t="str">
            <v>72007</v>
          </cell>
          <cell r="R1762" t="str">
            <v>72007Scratch 2 000</v>
          </cell>
          <cell r="S1762" t="str">
            <v>2007Scratch 2 000</v>
          </cell>
          <cell r="T1762" t="str">
            <v>72007MALI COM Sarl</v>
          </cell>
          <cell r="U1762" t="str">
            <v>72007MALI COM SarlScratch 2 000</v>
          </cell>
          <cell r="V1762" t="str">
            <v>39266Scratch 2 000</v>
          </cell>
          <cell r="W1762" t="str">
            <v>2007MALI COM Sarl</v>
          </cell>
          <cell r="X1762" t="str">
            <v>2007MALI COM SarlScratch 2 000</v>
          </cell>
        </row>
        <row r="1763">
          <cell r="I1763">
            <v>2007</v>
          </cell>
          <cell r="J1763" t="str">
            <v>MALI COM SarlScratch 1 000</v>
          </cell>
          <cell r="L1763">
            <v>0</v>
          </cell>
          <cell r="M1763" t="str">
            <v>MALI COM Sarl</v>
          </cell>
          <cell r="N1763" t="str">
            <v>MALI COM SarlScratch 1 000</v>
          </cell>
          <cell r="O1763" t="str">
            <v>MALI COM Sarl</v>
          </cell>
          <cell r="P1763" t="str">
            <v>Scratch 1 000</v>
          </cell>
          <cell r="Q1763" t="str">
            <v>72007</v>
          </cell>
          <cell r="R1763" t="str">
            <v>72007Scratch 1 000</v>
          </cell>
          <cell r="S1763" t="str">
            <v>2007Scratch 1 000</v>
          </cell>
          <cell r="T1763" t="str">
            <v>72007MALI COM Sarl</v>
          </cell>
          <cell r="U1763" t="str">
            <v>72007MALI COM SarlScratch 1 000</v>
          </cell>
          <cell r="V1763" t="str">
            <v>39266Scratch 1 000</v>
          </cell>
          <cell r="W1763" t="str">
            <v>2007MALI COM Sarl</v>
          </cell>
          <cell r="X1763" t="str">
            <v>2007MALI COM SarlScratch 1 000</v>
          </cell>
        </row>
        <row r="1764">
          <cell r="I1764">
            <v>2007</v>
          </cell>
          <cell r="J1764" t="str">
            <v>SDC TELECOMScratch 20 000</v>
          </cell>
          <cell r="L1764">
            <v>1</v>
          </cell>
          <cell r="M1764" t="str">
            <v>1SDC TELECOM</v>
          </cell>
          <cell r="N1764" t="str">
            <v>SDC TELECOMScratch 20 000</v>
          </cell>
          <cell r="O1764" t="str">
            <v>SDC TELECOM</v>
          </cell>
          <cell r="P1764" t="str">
            <v>Scratch 20 000</v>
          </cell>
          <cell r="Q1764" t="str">
            <v>72007</v>
          </cell>
          <cell r="R1764" t="str">
            <v>72007Scratch 20 000</v>
          </cell>
          <cell r="S1764" t="str">
            <v>2007Scratch 20 000</v>
          </cell>
          <cell r="T1764" t="str">
            <v>72007SDC TELECOM</v>
          </cell>
          <cell r="U1764" t="str">
            <v>72007SDC TELECOMScratch 20 000</v>
          </cell>
          <cell r="V1764" t="str">
            <v>39267Scratch 20 000</v>
          </cell>
          <cell r="W1764" t="str">
            <v>2007SDC TELECOM</v>
          </cell>
          <cell r="X1764" t="str">
            <v>2007SDC TELECOMScratch 20 000</v>
          </cell>
        </row>
        <row r="1765">
          <cell r="I1765">
            <v>2007</v>
          </cell>
          <cell r="J1765" t="str">
            <v>SDC TELECOMScratch 10 000</v>
          </cell>
          <cell r="L1765">
            <v>0</v>
          </cell>
          <cell r="M1765" t="str">
            <v>SDC TELECOM</v>
          </cell>
          <cell r="N1765" t="str">
            <v>SDC TELECOMScratch 10 000</v>
          </cell>
          <cell r="O1765" t="str">
            <v>SDC TELECOM</v>
          </cell>
          <cell r="P1765" t="str">
            <v>Scratch 10 000</v>
          </cell>
          <cell r="Q1765" t="str">
            <v>72007</v>
          </cell>
          <cell r="R1765" t="str">
            <v>72007Scratch 10 000</v>
          </cell>
          <cell r="S1765" t="str">
            <v>2007Scratch 10 000</v>
          </cell>
          <cell r="T1765" t="str">
            <v>72007SDC TELECOM</v>
          </cell>
          <cell r="U1765" t="str">
            <v>72007SDC TELECOMScratch 10 000</v>
          </cell>
          <cell r="V1765" t="str">
            <v>39267Scratch 10 000</v>
          </cell>
          <cell r="W1765" t="str">
            <v>2007SDC TELECOM</v>
          </cell>
          <cell r="X1765" t="str">
            <v>2007SDC TELECOMScratch 10 000</v>
          </cell>
        </row>
        <row r="1766">
          <cell r="I1766">
            <v>2007</v>
          </cell>
          <cell r="J1766" t="str">
            <v>SDC TELECOMScratch 5 000</v>
          </cell>
          <cell r="L1766">
            <v>0</v>
          </cell>
          <cell r="M1766" t="str">
            <v>SDC TELECOM</v>
          </cell>
          <cell r="N1766" t="str">
            <v>SDC TELECOMScratch 5 000</v>
          </cell>
          <cell r="O1766" t="str">
            <v>SDC TELECOM</v>
          </cell>
          <cell r="P1766" t="str">
            <v>Scratch 5 000</v>
          </cell>
          <cell r="Q1766" t="str">
            <v>72007</v>
          </cell>
          <cell r="R1766" t="str">
            <v>72007Scratch 5 000</v>
          </cell>
          <cell r="S1766" t="str">
            <v>2007Scratch 5 000</v>
          </cell>
          <cell r="T1766" t="str">
            <v>72007SDC TELECOM</v>
          </cell>
          <cell r="U1766" t="str">
            <v>72007SDC TELECOMScratch 5 000</v>
          </cell>
          <cell r="V1766" t="str">
            <v>39267Scratch 5 000</v>
          </cell>
          <cell r="W1766" t="str">
            <v>2007SDC TELECOM</v>
          </cell>
          <cell r="X1766" t="str">
            <v>2007SDC TELECOMScratch 5 000</v>
          </cell>
        </row>
        <row r="1767">
          <cell r="I1767">
            <v>2007</v>
          </cell>
          <cell r="J1767" t="str">
            <v>SDC TELECOMScratch 2 000</v>
          </cell>
          <cell r="L1767">
            <v>0</v>
          </cell>
          <cell r="M1767" t="str">
            <v>SDC TELECOM</v>
          </cell>
          <cell r="N1767" t="str">
            <v>SDC TELECOMScratch 2 000</v>
          </cell>
          <cell r="O1767" t="str">
            <v>SDC TELECOM</v>
          </cell>
          <cell r="P1767" t="str">
            <v>Scratch 2 000</v>
          </cell>
          <cell r="Q1767" t="str">
            <v>72007</v>
          </cell>
          <cell r="R1767" t="str">
            <v>72007Scratch 2 000</v>
          </cell>
          <cell r="S1767" t="str">
            <v>2007Scratch 2 000</v>
          </cell>
          <cell r="T1767" t="str">
            <v>72007SDC TELECOM</v>
          </cell>
          <cell r="U1767" t="str">
            <v>72007SDC TELECOMScratch 2 000</v>
          </cell>
          <cell r="V1767" t="str">
            <v>39267Scratch 2 000</v>
          </cell>
          <cell r="W1767" t="str">
            <v>2007SDC TELECOM</v>
          </cell>
          <cell r="X1767" t="str">
            <v>2007SDC TELECOMScratch 2 000</v>
          </cell>
        </row>
        <row r="1768">
          <cell r="I1768">
            <v>2007</v>
          </cell>
          <cell r="J1768" t="str">
            <v>SDC TELECOMScratch 1 000</v>
          </cell>
          <cell r="L1768">
            <v>0</v>
          </cell>
          <cell r="M1768" t="str">
            <v>SDC TELECOM</v>
          </cell>
          <cell r="N1768" t="str">
            <v>SDC TELECOMScratch 1 000</v>
          </cell>
          <cell r="O1768" t="str">
            <v>SDC TELECOM</v>
          </cell>
          <cell r="P1768" t="str">
            <v>Scratch 1 000</v>
          </cell>
          <cell r="Q1768" t="str">
            <v>72007</v>
          </cell>
          <cell r="R1768" t="str">
            <v>72007Scratch 1 000</v>
          </cell>
          <cell r="S1768" t="str">
            <v>2007Scratch 1 000</v>
          </cell>
          <cell r="T1768" t="str">
            <v>72007SDC TELECOM</v>
          </cell>
          <cell r="U1768" t="str">
            <v>72007SDC TELECOMScratch 1 000</v>
          </cell>
          <cell r="V1768" t="str">
            <v>39267Scratch 1 000</v>
          </cell>
          <cell r="W1768" t="str">
            <v>2007SDC TELECOM</v>
          </cell>
          <cell r="X1768" t="str">
            <v>2007SDC TELECOMScratch 1 000</v>
          </cell>
        </row>
        <row r="1769">
          <cell r="I1769">
            <v>2007</v>
          </cell>
          <cell r="J1769" t="str">
            <v>STS GAMBY &amp; FRERES (SOGAF) SarlScratch 20 000</v>
          </cell>
          <cell r="L1769">
            <v>1</v>
          </cell>
          <cell r="M1769" t="str">
            <v>1STS GAMBY &amp; FRERES (SOGAF) Sarl</v>
          </cell>
          <cell r="N1769" t="str">
            <v>STS GAMBY &amp; FRERES (SOGAF) SarlScratch 20 000</v>
          </cell>
          <cell r="O1769" t="str">
            <v>STS GAMBY &amp; FRERES (SOGAF) Sarl</v>
          </cell>
          <cell r="P1769" t="str">
            <v>Scratch 20 000</v>
          </cell>
          <cell r="Q1769" t="str">
            <v>72007</v>
          </cell>
          <cell r="R1769" t="str">
            <v>72007Scratch 20 000</v>
          </cell>
          <cell r="S1769" t="str">
            <v>2007Scratch 20 000</v>
          </cell>
          <cell r="T1769" t="str">
            <v>72007STS GAMBY &amp; FRERES (SOGAF) Sarl</v>
          </cell>
          <cell r="U1769" t="str">
            <v>72007STS GAMBY &amp; FRERES (SOGAF) SarlScratch 20 000</v>
          </cell>
          <cell r="V1769" t="str">
            <v>39267Scratch 20 000</v>
          </cell>
          <cell r="W1769" t="str">
            <v>2007STS GAMBY &amp; FRERES (SOGAF) Sarl</v>
          </cell>
          <cell r="X1769" t="str">
            <v>2007STS GAMBY &amp; FRERES (SOGAF) SarlScratch 20 000</v>
          </cell>
        </row>
        <row r="1770">
          <cell r="I1770">
            <v>2007</v>
          </cell>
          <cell r="J1770" t="str">
            <v>STS GAMBY &amp; FRERES (SOGAF) SarlScratch 5 000</v>
          </cell>
          <cell r="L1770">
            <v>0</v>
          </cell>
          <cell r="M1770" t="str">
            <v>STS GAMBY &amp; FRERES (SOGAF) Sarl</v>
          </cell>
          <cell r="N1770" t="str">
            <v>STS GAMBY &amp; FRERES (SOGAF) SarlScratch 5 000</v>
          </cell>
          <cell r="O1770" t="str">
            <v>STS GAMBY &amp; FRERES (SOGAF) Sarl</v>
          </cell>
          <cell r="P1770" t="str">
            <v>Scratch 5 000</v>
          </cell>
          <cell r="Q1770" t="str">
            <v>72007</v>
          </cell>
          <cell r="R1770" t="str">
            <v>72007Scratch 5 000</v>
          </cell>
          <cell r="S1770" t="str">
            <v>2007Scratch 5 000</v>
          </cell>
          <cell r="T1770" t="str">
            <v>72007STS GAMBY &amp; FRERES (SOGAF) Sarl</v>
          </cell>
          <cell r="U1770" t="str">
            <v>72007STS GAMBY &amp; FRERES (SOGAF) SarlScratch 5 000</v>
          </cell>
          <cell r="V1770" t="str">
            <v>39267Scratch 5 000</v>
          </cell>
          <cell r="W1770" t="str">
            <v>2007STS GAMBY &amp; FRERES (SOGAF) Sarl</v>
          </cell>
          <cell r="X1770" t="str">
            <v>2007STS GAMBY &amp; FRERES (SOGAF) SarlScratch 5 000</v>
          </cell>
        </row>
        <row r="1771">
          <cell r="I1771">
            <v>2007</v>
          </cell>
          <cell r="J1771" t="str">
            <v>STS GAMBY &amp; FRERES (SOGAF) SarlScratch 2 000</v>
          </cell>
          <cell r="L1771">
            <v>0</v>
          </cell>
          <cell r="M1771" t="str">
            <v>STS GAMBY &amp; FRERES (SOGAF) Sarl</v>
          </cell>
          <cell r="N1771" t="str">
            <v>STS GAMBY &amp; FRERES (SOGAF) SarlScratch 2 000</v>
          </cell>
          <cell r="O1771" t="str">
            <v>STS GAMBY &amp; FRERES (SOGAF) Sarl</v>
          </cell>
          <cell r="P1771" t="str">
            <v>Scratch 2 000</v>
          </cell>
          <cell r="Q1771" t="str">
            <v>72007</v>
          </cell>
          <cell r="R1771" t="str">
            <v>72007Scratch 2 000</v>
          </cell>
          <cell r="S1771" t="str">
            <v>2007Scratch 2 000</v>
          </cell>
          <cell r="T1771" t="str">
            <v>72007STS GAMBY &amp; FRERES (SOGAF) Sarl</v>
          </cell>
          <cell r="U1771" t="str">
            <v>72007STS GAMBY &amp; FRERES (SOGAF) SarlScratch 2 000</v>
          </cell>
          <cell r="V1771" t="str">
            <v>39267Scratch 2 000</v>
          </cell>
          <cell r="W1771" t="str">
            <v>2007STS GAMBY &amp; FRERES (SOGAF) Sarl</v>
          </cell>
          <cell r="X1771" t="str">
            <v>2007STS GAMBY &amp; FRERES (SOGAF) SarlScratch 2 000</v>
          </cell>
        </row>
        <row r="1772">
          <cell r="I1772">
            <v>2007</v>
          </cell>
          <cell r="J1772" t="str">
            <v>STS GAMBY &amp; FRERES (SOGAF) SarlScratch 1 000</v>
          </cell>
          <cell r="L1772">
            <v>0</v>
          </cell>
          <cell r="M1772" t="str">
            <v>STS GAMBY &amp; FRERES (SOGAF) Sarl</v>
          </cell>
          <cell r="N1772" t="str">
            <v>STS GAMBY &amp; FRERES (SOGAF) SarlScratch 1 000</v>
          </cell>
          <cell r="O1772" t="str">
            <v>STS GAMBY &amp; FRERES (SOGAF) Sarl</v>
          </cell>
          <cell r="P1772" t="str">
            <v>Scratch 1 000</v>
          </cell>
          <cell r="Q1772" t="str">
            <v>72007</v>
          </cell>
          <cell r="R1772" t="str">
            <v>72007Scratch 1 000</v>
          </cell>
          <cell r="S1772" t="str">
            <v>2007Scratch 1 000</v>
          </cell>
          <cell r="T1772" t="str">
            <v>72007STS GAMBY &amp; FRERES (SOGAF) Sarl</v>
          </cell>
          <cell r="U1772" t="str">
            <v>72007STS GAMBY &amp; FRERES (SOGAF) SarlScratch 1 000</v>
          </cell>
          <cell r="V1772" t="str">
            <v>39267Scratch 1 000</v>
          </cell>
          <cell r="W1772" t="str">
            <v>2007STS GAMBY &amp; FRERES (SOGAF) Sarl</v>
          </cell>
          <cell r="X1772" t="str">
            <v>2007STS GAMBY &amp; FRERES (SOGAF) SarlScratch 1 000</v>
          </cell>
        </row>
        <row r="1773">
          <cell r="I1773">
            <v>2007</v>
          </cell>
          <cell r="J1773" t="str">
            <v>STS GAMBY &amp; FRERES (SOGAF) SarlScratch 20 000</v>
          </cell>
          <cell r="L1773">
            <v>1</v>
          </cell>
          <cell r="M1773" t="str">
            <v>1STS GAMBY &amp; FRERES (SOGAF) Sarl</v>
          </cell>
          <cell r="N1773" t="str">
            <v>STS GAMBY &amp; FRERES (SOGAF) SarlScratch 20 000</v>
          </cell>
          <cell r="O1773" t="str">
            <v>STS GAMBY &amp; FRERES (SOGAF) Sarl</v>
          </cell>
          <cell r="P1773" t="str">
            <v>Scratch 20 000</v>
          </cell>
          <cell r="Q1773" t="str">
            <v>72007</v>
          </cell>
          <cell r="R1773" t="str">
            <v>72007Scratch 20 000</v>
          </cell>
          <cell r="S1773" t="str">
            <v>2007Scratch 20 000</v>
          </cell>
          <cell r="T1773" t="str">
            <v>72007STS GAMBY &amp; FRERES (SOGAF) Sarl</v>
          </cell>
          <cell r="U1773" t="str">
            <v>72007STS GAMBY &amp; FRERES (SOGAF) SarlScratch 20 000</v>
          </cell>
          <cell r="V1773" t="str">
            <v>39268Scratch 20 000</v>
          </cell>
          <cell r="W1773" t="str">
            <v>2007STS GAMBY &amp; FRERES (SOGAF) Sarl</v>
          </cell>
          <cell r="X1773" t="str">
            <v>2007STS GAMBY &amp; FRERES (SOGAF) SarlScratch 20 000</v>
          </cell>
        </row>
        <row r="1774">
          <cell r="I1774">
            <v>2007</v>
          </cell>
          <cell r="J1774" t="str">
            <v>STS GAMBY &amp; FRERES (SOGAF) SarlScratch 10 000</v>
          </cell>
          <cell r="L1774">
            <v>0</v>
          </cell>
          <cell r="M1774" t="str">
            <v>STS GAMBY &amp; FRERES (SOGAF) Sarl</v>
          </cell>
          <cell r="N1774" t="str">
            <v>STS GAMBY &amp; FRERES (SOGAF) SarlScratch 10 000</v>
          </cell>
          <cell r="O1774" t="str">
            <v>STS GAMBY &amp; FRERES (SOGAF) Sarl</v>
          </cell>
          <cell r="P1774" t="str">
            <v>Scratch 10 000</v>
          </cell>
          <cell r="Q1774" t="str">
            <v>72007</v>
          </cell>
          <cell r="R1774" t="str">
            <v>72007Scratch 10 000</v>
          </cell>
          <cell r="S1774" t="str">
            <v>2007Scratch 10 000</v>
          </cell>
          <cell r="T1774" t="str">
            <v>72007STS GAMBY &amp; FRERES (SOGAF) Sarl</v>
          </cell>
          <cell r="U1774" t="str">
            <v>72007STS GAMBY &amp; FRERES (SOGAF) SarlScratch 10 000</v>
          </cell>
          <cell r="V1774" t="str">
            <v>39268Scratch 10 000</v>
          </cell>
          <cell r="W1774" t="str">
            <v>2007STS GAMBY &amp; FRERES (SOGAF) Sarl</v>
          </cell>
          <cell r="X1774" t="str">
            <v>2007STS GAMBY &amp; FRERES (SOGAF) SarlScratch 10 000</v>
          </cell>
        </row>
        <row r="1775">
          <cell r="I1775">
            <v>2007</v>
          </cell>
          <cell r="J1775" t="str">
            <v>STS GAMBY &amp; FRERES (SOGAF) SarlScratch 5 000</v>
          </cell>
          <cell r="L1775">
            <v>0</v>
          </cell>
          <cell r="M1775" t="str">
            <v>STS GAMBY &amp; FRERES (SOGAF) Sarl</v>
          </cell>
          <cell r="N1775" t="str">
            <v>STS GAMBY &amp; FRERES (SOGAF) SarlScratch 5 000</v>
          </cell>
          <cell r="O1775" t="str">
            <v>STS GAMBY &amp; FRERES (SOGAF) Sarl</v>
          </cell>
          <cell r="P1775" t="str">
            <v>Scratch 5 000</v>
          </cell>
          <cell r="Q1775" t="str">
            <v>72007</v>
          </cell>
          <cell r="R1775" t="str">
            <v>72007Scratch 5 000</v>
          </cell>
          <cell r="S1775" t="str">
            <v>2007Scratch 5 000</v>
          </cell>
          <cell r="T1775" t="str">
            <v>72007STS GAMBY &amp; FRERES (SOGAF) Sarl</v>
          </cell>
          <cell r="U1775" t="str">
            <v>72007STS GAMBY &amp; FRERES (SOGAF) SarlScratch 5 000</v>
          </cell>
          <cell r="V1775" t="str">
            <v>39268Scratch 5 000</v>
          </cell>
          <cell r="W1775" t="str">
            <v>2007STS GAMBY &amp; FRERES (SOGAF) Sarl</v>
          </cell>
          <cell r="X1775" t="str">
            <v>2007STS GAMBY &amp; FRERES (SOGAF) SarlScratch 5 000</v>
          </cell>
        </row>
        <row r="1776">
          <cell r="I1776">
            <v>2007</v>
          </cell>
          <cell r="J1776" t="str">
            <v>STS GAMBY &amp; FRERES (SOGAF) SarlScratch 2 000</v>
          </cell>
          <cell r="L1776">
            <v>0</v>
          </cell>
          <cell r="M1776" t="str">
            <v>STS GAMBY &amp; FRERES (SOGAF) Sarl</v>
          </cell>
          <cell r="N1776" t="str">
            <v>STS GAMBY &amp; FRERES (SOGAF) SarlScratch 2 000</v>
          </cell>
          <cell r="O1776" t="str">
            <v>STS GAMBY &amp; FRERES (SOGAF) Sarl</v>
          </cell>
          <cell r="P1776" t="str">
            <v>Scratch 2 000</v>
          </cell>
          <cell r="Q1776" t="str">
            <v>72007</v>
          </cell>
          <cell r="R1776" t="str">
            <v>72007Scratch 2 000</v>
          </cell>
          <cell r="S1776" t="str">
            <v>2007Scratch 2 000</v>
          </cell>
          <cell r="T1776" t="str">
            <v>72007STS GAMBY &amp; FRERES (SOGAF) Sarl</v>
          </cell>
          <cell r="U1776" t="str">
            <v>72007STS GAMBY &amp; FRERES (SOGAF) SarlScratch 2 000</v>
          </cell>
          <cell r="V1776" t="str">
            <v>39268Scratch 2 000</v>
          </cell>
          <cell r="W1776" t="str">
            <v>2007STS GAMBY &amp; FRERES (SOGAF) Sarl</v>
          </cell>
          <cell r="X1776" t="str">
            <v>2007STS GAMBY &amp; FRERES (SOGAF) SarlScratch 2 000</v>
          </cell>
        </row>
        <row r="1777">
          <cell r="I1777">
            <v>2007</v>
          </cell>
          <cell r="J1777" t="str">
            <v>STS GAMBY &amp; FRERES (SOGAF) SarlScratch 1 000</v>
          </cell>
          <cell r="L1777">
            <v>0</v>
          </cell>
          <cell r="M1777" t="str">
            <v>STS GAMBY &amp; FRERES (SOGAF) Sarl</v>
          </cell>
          <cell r="N1777" t="str">
            <v>STS GAMBY &amp; FRERES (SOGAF) SarlScratch 1 000</v>
          </cell>
          <cell r="O1777" t="str">
            <v>STS GAMBY &amp; FRERES (SOGAF) Sarl</v>
          </cell>
          <cell r="P1777" t="str">
            <v>Scratch 1 000</v>
          </cell>
          <cell r="Q1777" t="str">
            <v>72007</v>
          </cell>
          <cell r="R1777" t="str">
            <v>72007Scratch 1 000</v>
          </cell>
          <cell r="S1777" t="str">
            <v>2007Scratch 1 000</v>
          </cell>
          <cell r="T1777" t="str">
            <v>72007STS GAMBY &amp; FRERES (SOGAF) Sarl</v>
          </cell>
          <cell r="U1777" t="str">
            <v>72007STS GAMBY &amp; FRERES (SOGAF) SarlScratch 1 000</v>
          </cell>
          <cell r="V1777" t="str">
            <v>39268Scratch 1 000</v>
          </cell>
          <cell r="W1777" t="str">
            <v>2007STS GAMBY &amp; FRERES (SOGAF) Sarl</v>
          </cell>
          <cell r="X1777" t="str">
            <v>2007STS GAMBY &amp; FRERES (SOGAF) SarlScratch 1 000</v>
          </cell>
        </row>
        <row r="1778">
          <cell r="I1778">
            <v>2007</v>
          </cell>
          <cell r="J1778" t="str">
            <v>Compagnie Internationale de NegoceScratch 5 000</v>
          </cell>
          <cell r="L1778">
            <v>1</v>
          </cell>
          <cell r="M1778" t="str">
            <v>1Compagnie Internationale de Negoce</v>
          </cell>
          <cell r="N1778" t="str">
            <v>Compagnie Internationale de NegoceScratch 5 000</v>
          </cell>
          <cell r="O1778" t="str">
            <v>Compagnie Internationale de Negoce</v>
          </cell>
          <cell r="P1778" t="str">
            <v>Scratch 5 000</v>
          </cell>
          <cell r="Q1778" t="str">
            <v>72007</v>
          </cell>
          <cell r="R1778" t="str">
            <v>72007Scratch 5 000</v>
          </cell>
          <cell r="S1778" t="str">
            <v>2007Scratch 5 000</v>
          </cell>
          <cell r="T1778" t="str">
            <v>72007Compagnie Internationale de Negoce</v>
          </cell>
          <cell r="U1778" t="str">
            <v>72007Compagnie Internationale de NegoceScratch 5 000</v>
          </cell>
          <cell r="V1778" t="str">
            <v>39268Scratch 5 000</v>
          </cell>
          <cell r="W1778" t="str">
            <v>2007Compagnie Internationale de Negoce</v>
          </cell>
          <cell r="X1778" t="str">
            <v>2007Compagnie Internationale de NegoceScratch 5 000</v>
          </cell>
        </row>
        <row r="1779">
          <cell r="I1779">
            <v>2007</v>
          </cell>
          <cell r="J1779" t="str">
            <v>Compagnie Internationale de NegoceScratch 2 000</v>
          </cell>
          <cell r="L1779">
            <v>0</v>
          </cell>
          <cell r="M1779" t="str">
            <v>Compagnie Internationale de Negoce</v>
          </cell>
          <cell r="N1779" t="str">
            <v>Compagnie Internationale de NegoceScratch 2 000</v>
          </cell>
          <cell r="O1779" t="str">
            <v>Compagnie Internationale de Negoce</v>
          </cell>
          <cell r="P1779" t="str">
            <v>Scratch 2 000</v>
          </cell>
          <cell r="Q1779" t="str">
            <v>72007</v>
          </cell>
          <cell r="R1779" t="str">
            <v>72007Scratch 2 000</v>
          </cell>
          <cell r="S1779" t="str">
            <v>2007Scratch 2 000</v>
          </cell>
          <cell r="T1779" t="str">
            <v>72007Compagnie Internationale de Negoce</v>
          </cell>
          <cell r="U1779" t="str">
            <v>72007Compagnie Internationale de NegoceScratch 2 000</v>
          </cell>
          <cell r="V1779" t="str">
            <v>39268Scratch 2 000</v>
          </cell>
          <cell r="W1779" t="str">
            <v>2007Compagnie Internationale de Negoce</v>
          </cell>
          <cell r="X1779" t="str">
            <v>2007Compagnie Internationale de NegoceScratch 2 000</v>
          </cell>
        </row>
        <row r="1780">
          <cell r="I1780">
            <v>2007</v>
          </cell>
          <cell r="J1780" t="str">
            <v>Compagnie Internationale de NegoceScratch 1 000</v>
          </cell>
          <cell r="L1780">
            <v>0</v>
          </cell>
          <cell r="M1780" t="str">
            <v>Compagnie Internationale de Negoce</v>
          </cell>
          <cell r="N1780" t="str">
            <v>Compagnie Internationale de NegoceScratch 1 000</v>
          </cell>
          <cell r="O1780" t="str">
            <v>Compagnie Internationale de Negoce</v>
          </cell>
          <cell r="P1780" t="str">
            <v>Scratch 1 000</v>
          </cell>
          <cell r="Q1780" t="str">
            <v>72007</v>
          </cell>
          <cell r="R1780" t="str">
            <v>72007Scratch 1 000</v>
          </cell>
          <cell r="S1780" t="str">
            <v>2007Scratch 1 000</v>
          </cell>
          <cell r="T1780" t="str">
            <v>72007Compagnie Internationale de Negoce</v>
          </cell>
          <cell r="U1780" t="str">
            <v>72007Compagnie Internationale de NegoceScratch 1 000</v>
          </cell>
          <cell r="V1780" t="str">
            <v>39268Scratch 1 000</v>
          </cell>
          <cell r="W1780" t="str">
            <v>2007Compagnie Internationale de Negoce</v>
          </cell>
          <cell r="X1780" t="str">
            <v>2007Compagnie Internationale de NegoceScratch 1 000</v>
          </cell>
        </row>
        <row r="1781">
          <cell r="I1781">
            <v>2007</v>
          </cell>
          <cell r="J1781" t="str">
            <v>Bonneterie Nouvelle TelecomScratch 20 000</v>
          </cell>
          <cell r="L1781">
            <v>1</v>
          </cell>
          <cell r="M1781" t="str">
            <v>1Bonneterie Nouvelle Telecom</v>
          </cell>
          <cell r="N1781" t="str">
            <v>Bonneterie Nouvelle TelecomScratch 20 000</v>
          </cell>
          <cell r="O1781" t="str">
            <v>Bonneterie Nouvelle Telecom</v>
          </cell>
          <cell r="P1781" t="str">
            <v>Scratch 20 000</v>
          </cell>
          <cell r="Q1781" t="str">
            <v>72007</v>
          </cell>
          <cell r="R1781" t="str">
            <v>72007Scratch 20 000</v>
          </cell>
          <cell r="S1781" t="str">
            <v>2007Scratch 20 000</v>
          </cell>
          <cell r="T1781" t="str">
            <v>72007Bonneterie Nouvelle Telecom</v>
          </cell>
          <cell r="U1781" t="str">
            <v>72007Bonneterie Nouvelle TelecomScratch 20 000</v>
          </cell>
          <cell r="V1781" t="str">
            <v>39268Scratch 20 000</v>
          </cell>
          <cell r="W1781" t="str">
            <v>2007Bonneterie Nouvelle Telecom</v>
          </cell>
          <cell r="X1781" t="str">
            <v>2007Bonneterie Nouvelle TelecomScratch 20 000</v>
          </cell>
        </row>
        <row r="1782">
          <cell r="I1782">
            <v>2007</v>
          </cell>
          <cell r="J1782" t="str">
            <v>Bonneterie Nouvelle TelecomScratch 10 000</v>
          </cell>
          <cell r="L1782">
            <v>0</v>
          </cell>
          <cell r="M1782" t="str">
            <v>Bonneterie Nouvelle Telecom</v>
          </cell>
          <cell r="N1782" t="str">
            <v>Bonneterie Nouvelle TelecomScratch 10 000</v>
          </cell>
          <cell r="O1782" t="str">
            <v>Bonneterie Nouvelle Telecom</v>
          </cell>
          <cell r="P1782" t="str">
            <v>Scratch 10 000</v>
          </cell>
          <cell r="Q1782" t="str">
            <v>72007</v>
          </cell>
          <cell r="R1782" t="str">
            <v>72007Scratch 10 000</v>
          </cell>
          <cell r="S1782" t="str">
            <v>2007Scratch 10 000</v>
          </cell>
          <cell r="T1782" t="str">
            <v>72007Bonneterie Nouvelle Telecom</v>
          </cell>
          <cell r="U1782" t="str">
            <v>72007Bonneterie Nouvelle TelecomScratch 10 000</v>
          </cell>
          <cell r="V1782" t="str">
            <v>39268Scratch 10 000</v>
          </cell>
          <cell r="W1782" t="str">
            <v>2007Bonneterie Nouvelle Telecom</v>
          </cell>
          <cell r="X1782" t="str">
            <v>2007Bonneterie Nouvelle TelecomScratch 10 000</v>
          </cell>
        </row>
        <row r="1783">
          <cell r="I1783">
            <v>2007</v>
          </cell>
          <cell r="J1783" t="str">
            <v>Bonneterie Nouvelle TelecomScratch 5 000</v>
          </cell>
          <cell r="L1783">
            <v>0</v>
          </cell>
          <cell r="M1783" t="str">
            <v>Bonneterie Nouvelle Telecom</v>
          </cell>
          <cell r="N1783" t="str">
            <v>Bonneterie Nouvelle TelecomScratch 5 000</v>
          </cell>
          <cell r="O1783" t="str">
            <v>Bonneterie Nouvelle Telecom</v>
          </cell>
          <cell r="P1783" t="str">
            <v>Scratch 5 000</v>
          </cell>
          <cell r="Q1783" t="str">
            <v>72007</v>
          </cell>
          <cell r="R1783" t="str">
            <v>72007Scratch 5 000</v>
          </cell>
          <cell r="S1783" t="str">
            <v>2007Scratch 5 000</v>
          </cell>
          <cell r="T1783" t="str">
            <v>72007Bonneterie Nouvelle Telecom</v>
          </cell>
          <cell r="U1783" t="str">
            <v>72007Bonneterie Nouvelle TelecomScratch 5 000</v>
          </cell>
          <cell r="V1783" t="str">
            <v>39268Scratch 5 000</v>
          </cell>
          <cell r="W1783" t="str">
            <v>2007Bonneterie Nouvelle Telecom</v>
          </cell>
          <cell r="X1783" t="str">
            <v>2007Bonneterie Nouvelle TelecomScratch 5 000</v>
          </cell>
        </row>
        <row r="1784">
          <cell r="I1784">
            <v>2007</v>
          </cell>
          <cell r="J1784" t="str">
            <v>Bonneterie Nouvelle TelecomScratch 2 000</v>
          </cell>
          <cell r="L1784">
            <v>0</v>
          </cell>
          <cell r="M1784" t="str">
            <v>Bonneterie Nouvelle Telecom</v>
          </cell>
          <cell r="N1784" t="str">
            <v>Bonneterie Nouvelle TelecomScratch 2 000</v>
          </cell>
          <cell r="O1784" t="str">
            <v>Bonneterie Nouvelle Telecom</v>
          </cell>
          <cell r="P1784" t="str">
            <v>Scratch 2 000</v>
          </cell>
          <cell r="Q1784" t="str">
            <v>72007</v>
          </cell>
          <cell r="R1784" t="str">
            <v>72007Scratch 2 000</v>
          </cell>
          <cell r="S1784" t="str">
            <v>2007Scratch 2 000</v>
          </cell>
          <cell r="T1784" t="str">
            <v>72007Bonneterie Nouvelle Telecom</v>
          </cell>
          <cell r="U1784" t="str">
            <v>72007Bonneterie Nouvelle TelecomScratch 2 000</v>
          </cell>
          <cell r="V1784" t="str">
            <v>39268Scratch 2 000</v>
          </cell>
          <cell r="W1784" t="str">
            <v>2007Bonneterie Nouvelle Telecom</v>
          </cell>
          <cell r="X1784" t="str">
            <v>2007Bonneterie Nouvelle TelecomScratch 2 000</v>
          </cell>
        </row>
        <row r="1785">
          <cell r="I1785">
            <v>2007</v>
          </cell>
          <cell r="J1785" t="str">
            <v>Bonneterie Nouvelle TelecomScratch 1 000</v>
          </cell>
          <cell r="L1785">
            <v>0</v>
          </cell>
          <cell r="M1785" t="str">
            <v>Bonneterie Nouvelle Telecom</v>
          </cell>
          <cell r="N1785" t="str">
            <v>Bonneterie Nouvelle TelecomScratch 1 000</v>
          </cell>
          <cell r="O1785" t="str">
            <v>Bonneterie Nouvelle Telecom</v>
          </cell>
          <cell r="P1785" t="str">
            <v>Scratch 1 000</v>
          </cell>
          <cell r="Q1785" t="str">
            <v>72007</v>
          </cell>
          <cell r="R1785" t="str">
            <v>72007Scratch 1 000</v>
          </cell>
          <cell r="S1785" t="str">
            <v>2007Scratch 1 000</v>
          </cell>
          <cell r="T1785" t="str">
            <v>72007Bonneterie Nouvelle Telecom</v>
          </cell>
          <cell r="U1785" t="str">
            <v>72007Bonneterie Nouvelle TelecomScratch 1 000</v>
          </cell>
          <cell r="V1785" t="str">
            <v>39268Scratch 1 000</v>
          </cell>
          <cell r="W1785" t="str">
            <v>2007Bonneterie Nouvelle Telecom</v>
          </cell>
          <cell r="X1785" t="str">
            <v>2007Bonneterie Nouvelle TelecomScratch 1 000</v>
          </cell>
        </row>
        <row r="1786">
          <cell r="I1786">
            <v>2007</v>
          </cell>
          <cell r="J1786" t="str">
            <v>Soleil LevantScratch 5 000</v>
          </cell>
          <cell r="L1786">
            <v>1</v>
          </cell>
          <cell r="M1786" t="str">
            <v>1Soleil Levant</v>
          </cell>
          <cell r="N1786" t="str">
            <v>Soleil LevantScratch 5 000</v>
          </cell>
          <cell r="O1786" t="str">
            <v>Soleil Levant</v>
          </cell>
          <cell r="P1786" t="str">
            <v>Scratch 5 000</v>
          </cell>
          <cell r="Q1786" t="str">
            <v>72007</v>
          </cell>
          <cell r="R1786" t="str">
            <v>72007Scratch 5 000</v>
          </cell>
          <cell r="S1786" t="str">
            <v>2007Scratch 5 000</v>
          </cell>
          <cell r="T1786" t="str">
            <v>72007Soleil Levant</v>
          </cell>
          <cell r="U1786" t="str">
            <v>72007Soleil LevantScratch 5 000</v>
          </cell>
          <cell r="V1786" t="str">
            <v>39268Scratch 5 000</v>
          </cell>
          <cell r="W1786" t="str">
            <v>2007Soleil Levant</v>
          </cell>
          <cell r="X1786" t="str">
            <v>2007Soleil LevantScratch 5 000</v>
          </cell>
        </row>
        <row r="1787">
          <cell r="I1787">
            <v>2007</v>
          </cell>
          <cell r="J1787" t="str">
            <v>Soleil LevantScratch 2 000</v>
          </cell>
          <cell r="L1787">
            <v>0</v>
          </cell>
          <cell r="M1787" t="str">
            <v>Soleil Levant</v>
          </cell>
          <cell r="N1787" t="str">
            <v>Soleil LevantScratch 2 000</v>
          </cell>
          <cell r="O1787" t="str">
            <v>Soleil Levant</v>
          </cell>
          <cell r="P1787" t="str">
            <v>Scratch 2 000</v>
          </cell>
          <cell r="Q1787" t="str">
            <v>72007</v>
          </cell>
          <cell r="R1787" t="str">
            <v>72007Scratch 2 000</v>
          </cell>
          <cell r="S1787" t="str">
            <v>2007Scratch 2 000</v>
          </cell>
          <cell r="T1787" t="str">
            <v>72007Soleil Levant</v>
          </cell>
          <cell r="U1787" t="str">
            <v>72007Soleil LevantScratch 2 000</v>
          </cell>
          <cell r="V1787" t="str">
            <v>39268Scratch 2 000</v>
          </cell>
          <cell r="W1787" t="str">
            <v>2007Soleil Levant</v>
          </cell>
          <cell r="X1787" t="str">
            <v>2007Soleil LevantScratch 2 000</v>
          </cell>
        </row>
        <row r="1788">
          <cell r="I1788">
            <v>2007</v>
          </cell>
          <cell r="J1788" t="str">
            <v>Soleil LevantScratch 1 000</v>
          </cell>
          <cell r="L1788">
            <v>0</v>
          </cell>
          <cell r="M1788" t="str">
            <v>Soleil Levant</v>
          </cell>
          <cell r="N1788" t="str">
            <v>Soleil LevantScratch 1 000</v>
          </cell>
          <cell r="O1788" t="str">
            <v>Soleil Levant</v>
          </cell>
          <cell r="P1788" t="str">
            <v>Scratch 1 000</v>
          </cell>
          <cell r="Q1788" t="str">
            <v>72007</v>
          </cell>
          <cell r="R1788" t="str">
            <v>72007Scratch 1 000</v>
          </cell>
          <cell r="S1788" t="str">
            <v>2007Scratch 1 000</v>
          </cell>
          <cell r="T1788" t="str">
            <v>72007Soleil Levant</v>
          </cell>
          <cell r="U1788" t="str">
            <v>72007Soleil LevantScratch 1 000</v>
          </cell>
          <cell r="V1788" t="str">
            <v>39268Scratch 1 000</v>
          </cell>
          <cell r="W1788" t="str">
            <v>2007Soleil Levant</v>
          </cell>
          <cell r="X1788" t="str">
            <v>2007Soleil LevantScratch 1 000</v>
          </cell>
        </row>
        <row r="1789">
          <cell r="I1789">
            <v>2007</v>
          </cell>
          <cell r="J1789" t="str">
            <v>ANKA SERVICESScratch 20 000</v>
          </cell>
          <cell r="L1789">
            <v>1</v>
          </cell>
          <cell r="M1789" t="str">
            <v>1ANKA SERVICES</v>
          </cell>
          <cell r="N1789" t="str">
            <v>ANKA SERVICESScratch 20 000</v>
          </cell>
          <cell r="O1789" t="str">
            <v>ANKA SERVICES</v>
          </cell>
          <cell r="P1789" t="str">
            <v>Scratch 20 000</v>
          </cell>
          <cell r="Q1789" t="str">
            <v>72007</v>
          </cell>
          <cell r="R1789" t="str">
            <v>72007Scratch 20 000</v>
          </cell>
          <cell r="S1789" t="str">
            <v>2007Scratch 20 000</v>
          </cell>
          <cell r="T1789" t="str">
            <v>72007ANKA SERVICES</v>
          </cell>
          <cell r="U1789" t="str">
            <v>72007ANKA SERVICESScratch 20 000</v>
          </cell>
          <cell r="V1789" t="str">
            <v>39268Scratch 20 000</v>
          </cell>
          <cell r="W1789" t="str">
            <v>2007ANKA SERVICES</v>
          </cell>
          <cell r="X1789" t="str">
            <v>2007ANKA SERVICESScratch 20 000</v>
          </cell>
        </row>
        <row r="1790">
          <cell r="I1790">
            <v>2007</v>
          </cell>
          <cell r="J1790" t="str">
            <v>ANKA SERVICESScratch 5 000</v>
          </cell>
          <cell r="L1790">
            <v>0</v>
          </cell>
          <cell r="M1790" t="str">
            <v>ANKA SERVICES</v>
          </cell>
          <cell r="N1790" t="str">
            <v>ANKA SERVICESScratch 5 000</v>
          </cell>
          <cell r="O1790" t="str">
            <v>ANKA SERVICES</v>
          </cell>
          <cell r="P1790" t="str">
            <v>Scratch 5 000</v>
          </cell>
          <cell r="Q1790" t="str">
            <v>72007</v>
          </cell>
          <cell r="R1790" t="str">
            <v>72007Scratch 5 000</v>
          </cell>
          <cell r="S1790" t="str">
            <v>2007Scratch 5 000</v>
          </cell>
          <cell r="T1790" t="str">
            <v>72007ANKA SERVICES</v>
          </cell>
          <cell r="U1790" t="str">
            <v>72007ANKA SERVICESScratch 5 000</v>
          </cell>
          <cell r="V1790" t="str">
            <v>39268Scratch 5 000</v>
          </cell>
          <cell r="W1790" t="str">
            <v>2007ANKA SERVICES</v>
          </cell>
          <cell r="X1790" t="str">
            <v>2007ANKA SERVICESScratch 5 000</v>
          </cell>
        </row>
        <row r="1791">
          <cell r="I1791">
            <v>2007</v>
          </cell>
          <cell r="J1791" t="str">
            <v>ANKA SERVICESScratch 2 000</v>
          </cell>
          <cell r="L1791">
            <v>0</v>
          </cell>
          <cell r="M1791" t="str">
            <v>ANKA SERVICES</v>
          </cell>
          <cell r="N1791" t="str">
            <v>ANKA SERVICESScratch 2 000</v>
          </cell>
          <cell r="O1791" t="str">
            <v>ANKA SERVICES</v>
          </cell>
          <cell r="P1791" t="str">
            <v>Scratch 2 000</v>
          </cell>
          <cell r="Q1791" t="str">
            <v>72007</v>
          </cell>
          <cell r="R1791" t="str">
            <v>72007Scratch 2 000</v>
          </cell>
          <cell r="S1791" t="str">
            <v>2007Scratch 2 000</v>
          </cell>
          <cell r="T1791" t="str">
            <v>72007ANKA SERVICES</v>
          </cell>
          <cell r="U1791" t="str">
            <v>72007ANKA SERVICESScratch 2 000</v>
          </cell>
          <cell r="V1791" t="str">
            <v>39268Scratch 2 000</v>
          </cell>
          <cell r="W1791" t="str">
            <v>2007ANKA SERVICES</v>
          </cell>
          <cell r="X1791" t="str">
            <v>2007ANKA SERVICESScratch 2 000</v>
          </cell>
        </row>
        <row r="1792">
          <cell r="I1792">
            <v>2007</v>
          </cell>
          <cell r="J1792" t="str">
            <v>ANKA SERVICESScratch 1 000</v>
          </cell>
          <cell r="L1792">
            <v>0</v>
          </cell>
          <cell r="M1792" t="str">
            <v>ANKA SERVICES</v>
          </cell>
          <cell r="N1792" t="str">
            <v>ANKA SERVICESScratch 1 000</v>
          </cell>
          <cell r="O1792" t="str">
            <v>ANKA SERVICES</v>
          </cell>
          <cell r="P1792" t="str">
            <v>Scratch 1 000</v>
          </cell>
          <cell r="Q1792" t="str">
            <v>72007</v>
          </cell>
          <cell r="R1792" t="str">
            <v>72007Scratch 1 000</v>
          </cell>
          <cell r="S1792" t="str">
            <v>2007Scratch 1 000</v>
          </cell>
          <cell r="T1792" t="str">
            <v>72007ANKA SERVICES</v>
          </cell>
          <cell r="U1792" t="str">
            <v>72007ANKA SERVICESScratch 1 000</v>
          </cell>
          <cell r="V1792" t="str">
            <v>39268Scratch 1 000</v>
          </cell>
          <cell r="W1792" t="str">
            <v>2007ANKA SERVICES</v>
          </cell>
          <cell r="X1792" t="str">
            <v>2007ANKA SERVICESScratch 1 000</v>
          </cell>
        </row>
        <row r="1793">
          <cell r="I1793">
            <v>2007</v>
          </cell>
          <cell r="J1793" t="str">
            <v>GEMATELScratch 5 000</v>
          </cell>
          <cell r="L1793">
            <v>1</v>
          </cell>
          <cell r="M1793" t="str">
            <v>1GEMATEL</v>
          </cell>
          <cell r="N1793" t="str">
            <v>GEMATELScratch 5 000</v>
          </cell>
          <cell r="O1793" t="str">
            <v>GEMATEL</v>
          </cell>
          <cell r="P1793" t="str">
            <v>Scratch 5 000</v>
          </cell>
          <cell r="Q1793" t="str">
            <v>72007</v>
          </cell>
          <cell r="R1793" t="str">
            <v>72007Scratch 5 000</v>
          </cell>
          <cell r="S1793" t="str">
            <v>2007Scratch 5 000</v>
          </cell>
          <cell r="T1793" t="str">
            <v>72007GEMATEL</v>
          </cell>
          <cell r="U1793" t="str">
            <v>72007GEMATELScratch 5 000</v>
          </cell>
          <cell r="V1793" t="str">
            <v>39268Scratch 5 000</v>
          </cell>
          <cell r="W1793" t="str">
            <v>2007GEMATEL</v>
          </cell>
          <cell r="X1793" t="str">
            <v>2007GEMATELScratch 5 000</v>
          </cell>
        </row>
        <row r="1794">
          <cell r="I1794">
            <v>2007</v>
          </cell>
          <cell r="J1794" t="str">
            <v>GEMATELScratch 2 000</v>
          </cell>
          <cell r="L1794">
            <v>0</v>
          </cell>
          <cell r="M1794" t="str">
            <v>GEMATEL</v>
          </cell>
          <cell r="N1794" t="str">
            <v>GEMATELScratch 2 000</v>
          </cell>
          <cell r="O1794" t="str">
            <v>GEMATEL</v>
          </cell>
          <cell r="P1794" t="str">
            <v>Scratch 2 000</v>
          </cell>
          <cell r="Q1794" t="str">
            <v>72007</v>
          </cell>
          <cell r="R1794" t="str">
            <v>72007Scratch 2 000</v>
          </cell>
          <cell r="S1794" t="str">
            <v>2007Scratch 2 000</v>
          </cell>
          <cell r="T1794" t="str">
            <v>72007GEMATEL</v>
          </cell>
          <cell r="U1794" t="str">
            <v>72007GEMATELScratch 2 000</v>
          </cell>
          <cell r="V1794" t="str">
            <v>39268Scratch 2 000</v>
          </cell>
          <cell r="W1794" t="str">
            <v>2007GEMATEL</v>
          </cell>
          <cell r="X1794" t="str">
            <v>2007GEMATELScratch 2 000</v>
          </cell>
        </row>
        <row r="1795">
          <cell r="I1795">
            <v>2007</v>
          </cell>
          <cell r="J1795" t="str">
            <v>GEMATELScratch 1 000</v>
          </cell>
          <cell r="L1795">
            <v>0</v>
          </cell>
          <cell r="M1795" t="str">
            <v>GEMATEL</v>
          </cell>
          <cell r="N1795" t="str">
            <v>GEMATELScratch 1 000</v>
          </cell>
          <cell r="O1795" t="str">
            <v>GEMATEL</v>
          </cell>
          <cell r="P1795" t="str">
            <v>Scratch 1 000</v>
          </cell>
          <cell r="Q1795" t="str">
            <v>72007</v>
          </cell>
          <cell r="R1795" t="str">
            <v>72007Scratch 1 000</v>
          </cell>
          <cell r="S1795" t="str">
            <v>2007Scratch 1 000</v>
          </cell>
          <cell r="T1795" t="str">
            <v>72007GEMATEL</v>
          </cell>
          <cell r="U1795" t="str">
            <v>72007GEMATELScratch 1 000</v>
          </cell>
          <cell r="V1795" t="str">
            <v>39268Scratch 1 000</v>
          </cell>
          <cell r="W1795" t="str">
            <v>2007GEMATEL</v>
          </cell>
          <cell r="X1795" t="str">
            <v>2007GEMATELScratch 1 000</v>
          </cell>
        </row>
        <row r="1796">
          <cell r="I1796">
            <v>2007</v>
          </cell>
          <cell r="J1796" t="str">
            <v>SOMAKOFFScratch 20 000</v>
          </cell>
          <cell r="L1796">
            <v>1</v>
          </cell>
          <cell r="M1796" t="str">
            <v>1SOMAKOFF</v>
          </cell>
          <cell r="N1796" t="str">
            <v>SOMAKOFFScratch 20 000</v>
          </cell>
          <cell r="O1796" t="str">
            <v>SOMAKOFF</v>
          </cell>
          <cell r="P1796" t="str">
            <v>Scratch 20 000</v>
          </cell>
          <cell r="Q1796" t="str">
            <v>72007</v>
          </cell>
          <cell r="R1796" t="str">
            <v>72007Scratch 20 000</v>
          </cell>
          <cell r="S1796" t="str">
            <v>2007Scratch 20 000</v>
          </cell>
          <cell r="T1796" t="str">
            <v>72007SOMAKOFF</v>
          </cell>
          <cell r="U1796" t="str">
            <v>72007SOMAKOFFScratch 20 000</v>
          </cell>
          <cell r="V1796" t="str">
            <v>39268Scratch 20 000</v>
          </cell>
          <cell r="W1796" t="str">
            <v>2007SOMAKOFF</v>
          </cell>
          <cell r="X1796" t="str">
            <v>2007SOMAKOFFScratch 20 000</v>
          </cell>
        </row>
        <row r="1797">
          <cell r="I1797">
            <v>2007</v>
          </cell>
          <cell r="J1797" t="str">
            <v>SOMAKOFFScratch 5 000</v>
          </cell>
          <cell r="L1797">
            <v>0</v>
          </cell>
          <cell r="M1797" t="str">
            <v>SOMAKOFF</v>
          </cell>
          <cell r="N1797" t="str">
            <v>SOMAKOFFScratch 5 000</v>
          </cell>
          <cell r="O1797" t="str">
            <v>SOMAKOFF</v>
          </cell>
          <cell r="P1797" t="str">
            <v>Scratch 5 000</v>
          </cell>
          <cell r="Q1797" t="str">
            <v>72007</v>
          </cell>
          <cell r="R1797" t="str">
            <v>72007Scratch 5 000</v>
          </cell>
          <cell r="S1797" t="str">
            <v>2007Scratch 5 000</v>
          </cell>
          <cell r="T1797" t="str">
            <v>72007SOMAKOFF</v>
          </cell>
          <cell r="U1797" t="str">
            <v>72007SOMAKOFFScratch 5 000</v>
          </cell>
          <cell r="V1797" t="str">
            <v>39268Scratch 5 000</v>
          </cell>
          <cell r="W1797" t="str">
            <v>2007SOMAKOFF</v>
          </cell>
          <cell r="X1797" t="str">
            <v>2007SOMAKOFFScratch 5 000</v>
          </cell>
        </row>
        <row r="1798">
          <cell r="I1798">
            <v>2007</v>
          </cell>
          <cell r="J1798" t="str">
            <v>SOMAKOFFScratch 2 000</v>
          </cell>
          <cell r="L1798">
            <v>0</v>
          </cell>
          <cell r="M1798" t="str">
            <v>SOMAKOFF</v>
          </cell>
          <cell r="N1798" t="str">
            <v>SOMAKOFFScratch 2 000</v>
          </cell>
          <cell r="O1798" t="str">
            <v>SOMAKOFF</v>
          </cell>
          <cell r="P1798" t="str">
            <v>Scratch 2 000</v>
          </cell>
          <cell r="Q1798" t="str">
            <v>72007</v>
          </cell>
          <cell r="R1798" t="str">
            <v>72007Scratch 2 000</v>
          </cell>
          <cell r="S1798" t="str">
            <v>2007Scratch 2 000</v>
          </cell>
          <cell r="T1798" t="str">
            <v>72007SOMAKOFF</v>
          </cell>
          <cell r="U1798" t="str">
            <v>72007SOMAKOFFScratch 2 000</v>
          </cell>
          <cell r="V1798" t="str">
            <v>39268Scratch 2 000</v>
          </cell>
          <cell r="W1798" t="str">
            <v>2007SOMAKOFF</v>
          </cell>
          <cell r="X1798" t="str">
            <v>2007SOMAKOFFScratch 2 000</v>
          </cell>
        </row>
        <row r="1799">
          <cell r="I1799">
            <v>2007</v>
          </cell>
          <cell r="J1799" t="str">
            <v>SOMAKOFFScratch 1 000</v>
          </cell>
          <cell r="L1799">
            <v>0</v>
          </cell>
          <cell r="M1799" t="str">
            <v>SOMAKOFF</v>
          </cell>
          <cell r="N1799" t="str">
            <v>SOMAKOFFScratch 1 000</v>
          </cell>
          <cell r="O1799" t="str">
            <v>SOMAKOFF</v>
          </cell>
          <cell r="P1799" t="str">
            <v>Scratch 1 000</v>
          </cell>
          <cell r="Q1799" t="str">
            <v>72007</v>
          </cell>
          <cell r="R1799" t="str">
            <v>72007Scratch 1 000</v>
          </cell>
          <cell r="S1799" t="str">
            <v>2007Scratch 1 000</v>
          </cell>
          <cell r="T1799" t="str">
            <v>72007SOMAKOFF</v>
          </cell>
          <cell r="U1799" t="str">
            <v>72007SOMAKOFFScratch 1 000</v>
          </cell>
          <cell r="V1799" t="str">
            <v>39268Scratch 1 000</v>
          </cell>
          <cell r="W1799" t="str">
            <v>2007SOMAKOFF</v>
          </cell>
          <cell r="X1799" t="str">
            <v>2007SOMAKOFFScratch 1 000</v>
          </cell>
        </row>
        <row r="1800">
          <cell r="I1800">
            <v>2007</v>
          </cell>
          <cell r="J1800" t="str">
            <v>STS GAMBY &amp; FRERES (SOGAF) SarlScratch 5 000</v>
          </cell>
          <cell r="L1800">
            <v>1</v>
          </cell>
          <cell r="M1800" t="str">
            <v>1STS GAMBY &amp; FRERES (SOGAF) Sarl</v>
          </cell>
          <cell r="N1800" t="str">
            <v>STS GAMBY &amp; FRERES (SOGAF) SarlScratch 5 000</v>
          </cell>
          <cell r="O1800" t="str">
            <v>STS GAMBY &amp; FRERES (SOGAF) Sarl</v>
          </cell>
          <cell r="P1800" t="str">
            <v>Scratch 5 000</v>
          </cell>
          <cell r="Q1800" t="str">
            <v>72007</v>
          </cell>
          <cell r="R1800" t="str">
            <v>72007Scratch 5 000</v>
          </cell>
          <cell r="S1800" t="str">
            <v>2007Scratch 5 000</v>
          </cell>
          <cell r="T1800" t="str">
            <v>72007STS GAMBY &amp; FRERES (SOGAF) Sarl</v>
          </cell>
          <cell r="U1800" t="str">
            <v>72007STS GAMBY &amp; FRERES (SOGAF) SarlScratch 5 000</v>
          </cell>
          <cell r="V1800" t="str">
            <v>39269Scratch 5 000</v>
          </cell>
          <cell r="W1800" t="str">
            <v>2007STS GAMBY &amp; FRERES (SOGAF) Sarl</v>
          </cell>
          <cell r="X1800" t="str">
            <v>2007STS GAMBY &amp; FRERES (SOGAF) SarlScratch 5 000</v>
          </cell>
        </row>
        <row r="1801">
          <cell r="I1801">
            <v>2007</v>
          </cell>
          <cell r="J1801" t="str">
            <v>STS GAMBY &amp; FRERES (SOGAF) SarlScratch 2 000</v>
          </cell>
          <cell r="L1801">
            <v>0</v>
          </cell>
          <cell r="M1801" t="str">
            <v>STS GAMBY &amp; FRERES (SOGAF) Sarl</v>
          </cell>
          <cell r="N1801" t="str">
            <v>STS GAMBY &amp; FRERES (SOGAF) SarlScratch 2 000</v>
          </cell>
          <cell r="O1801" t="str">
            <v>STS GAMBY &amp; FRERES (SOGAF) Sarl</v>
          </cell>
          <cell r="P1801" t="str">
            <v>Scratch 2 000</v>
          </cell>
          <cell r="Q1801" t="str">
            <v>72007</v>
          </cell>
          <cell r="R1801" t="str">
            <v>72007Scratch 2 000</v>
          </cell>
          <cell r="S1801" t="str">
            <v>2007Scratch 2 000</v>
          </cell>
          <cell r="T1801" t="str">
            <v>72007STS GAMBY &amp; FRERES (SOGAF) Sarl</v>
          </cell>
          <cell r="U1801" t="str">
            <v>72007STS GAMBY &amp; FRERES (SOGAF) SarlScratch 2 000</v>
          </cell>
          <cell r="V1801" t="str">
            <v>39269Scratch 2 000</v>
          </cell>
          <cell r="W1801" t="str">
            <v>2007STS GAMBY &amp; FRERES (SOGAF) Sarl</v>
          </cell>
          <cell r="X1801" t="str">
            <v>2007STS GAMBY &amp; FRERES (SOGAF) SarlScratch 2 000</v>
          </cell>
        </row>
        <row r="1802">
          <cell r="I1802">
            <v>2007</v>
          </cell>
          <cell r="J1802" t="str">
            <v>STS GAMBY &amp; FRERES (SOGAF) SarlScratch 1 000</v>
          </cell>
          <cell r="L1802">
            <v>0</v>
          </cell>
          <cell r="M1802" t="str">
            <v>STS GAMBY &amp; FRERES (SOGAF) Sarl</v>
          </cell>
          <cell r="N1802" t="str">
            <v>STS GAMBY &amp; FRERES (SOGAF) SarlScratch 1 000</v>
          </cell>
          <cell r="O1802" t="str">
            <v>STS GAMBY &amp; FRERES (SOGAF) Sarl</v>
          </cell>
          <cell r="P1802" t="str">
            <v>Scratch 1 000</v>
          </cell>
          <cell r="Q1802" t="str">
            <v>72007</v>
          </cell>
          <cell r="R1802" t="str">
            <v>72007Scratch 1 000</v>
          </cell>
          <cell r="S1802" t="str">
            <v>2007Scratch 1 000</v>
          </cell>
          <cell r="T1802" t="str">
            <v>72007STS GAMBY &amp; FRERES (SOGAF) Sarl</v>
          </cell>
          <cell r="U1802" t="str">
            <v>72007STS GAMBY &amp; FRERES (SOGAF) SarlScratch 1 000</v>
          </cell>
          <cell r="V1802" t="str">
            <v>39269Scratch 1 000</v>
          </cell>
          <cell r="W1802" t="str">
            <v>2007STS GAMBY &amp; FRERES (SOGAF) Sarl</v>
          </cell>
          <cell r="X1802" t="str">
            <v>2007STS GAMBY &amp; FRERES (SOGAF) SarlScratch 1 000</v>
          </cell>
        </row>
        <row r="1803">
          <cell r="I1803">
            <v>2007</v>
          </cell>
          <cell r="J1803" t="str">
            <v>MALI COM SarlScratch 20 000</v>
          </cell>
          <cell r="L1803">
            <v>1</v>
          </cell>
          <cell r="M1803" t="str">
            <v>1MALI COM Sarl</v>
          </cell>
          <cell r="N1803" t="str">
            <v>MALI COM SarlScratch 20 000</v>
          </cell>
          <cell r="O1803" t="str">
            <v>MALI COM Sarl</v>
          </cell>
          <cell r="P1803" t="str">
            <v>Scratch 20 000</v>
          </cell>
          <cell r="Q1803" t="str">
            <v>72007</v>
          </cell>
          <cell r="R1803" t="str">
            <v>72007Scratch 20 000</v>
          </cell>
          <cell r="S1803" t="str">
            <v>2007Scratch 20 000</v>
          </cell>
          <cell r="T1803" t="str">
            <v>72007MALI COM Sarl</v>
          </cell>
          <cell r="U1803" t="str">
            <v>72007MALI COM SarlScratch 20 000</v>
          </cell>
          <cell r="V1803" t="str">
            <v>39269Scratch 20 000</v>
          </cell>
          <cell r="W1803" t="str">
            <v>2007MALI COM Sarl</v>
          </cell>
          <cell r="X1803" t="str">
            <v>2007MALI COM SarlScratch 20 000</v>
          </cell>
        </row>
        <row r="1804">
          <cell r="I1804">
            <v>2007</v>
          </cell>
          <cell r="J1804" t="str">
            <v>MALI COM SarlScratch 5 000</v>
          </cell>
          <cell r="L1804">
            <v>0</v>
          </cell>
          <cell r="M1804" t="str">
            <v>MALI COM Sarl</v>
          </cell>
          <cell r="N1804" t="str">
            <v>MALI COM SarlScratch 5 000</v>
          </cell>
          <cell r="O1804" t="str">
            <v>MALI COM Sarl</v>
          </cell>
          <cell r="P1804" t="str">
            <v>Scratch 5 000</v>
          </cell>
          <cell r="Q1804" t="str">
            <v>72007</v>
          </cell>
          <cell r="R1804" t="str">
            <v>72007Scratch 5 000</v>
          </cell>
          <cell r="S1804" t="str">
            <v>2007Scratch 5 000</v>
          </cell>
          <cell r="T1804" t="str">
            <v>72007MALI COM Sarl</v>
          </cell>
          <cell r="U1804" t="str">
            <v>72007MALI COM SarlScratch 5 000</v>
          </cell>
          <cell r="V1804" t="str">
            <v>39269Scratch 5 000</v>
          </cell>
          <cell r="W1804" t="str">
            <v>2007MALI COM Sarl</v>
          </cell>
          <cell r="X1804" t="str">
            <v>2007MALI COM SarlScratch 5 000</v>
          </cell>
        </row>
        <row r="1805">
          <cell r="I1805">
            <v>2007</v>
          </cell>
          <cell r="J1805" t="str">
            <v>MALI COM SarlScratch 2 000</v>
          </cell>
          <cell r="L1805">
            <v>0</v>
          </cell>
          <cell r="M1805" t="str">
            <v>MALI COM Sarl</v>
          </cell>
          <cell r="N1805" t="str">
            <v>MALI COM SarlScratch 2 000</v>
          </cell>
          <cell r="O1805" t="str">
            <v>MALI COM Sarl</v>
          </cell>
          <cell r="P1805" t="str">
            <v>Scratch 2 000</v>
          </cell>
          <cell r="Q1805" t="str">
            <v>72007</v>
          </cell>
          <cell r="R1805" t="str">
            <v>72007Scratch 2 000</v>
          </cell>
          <cell r="S1805" t="str">
            <v>2007Scratch 2 000</v>
          </cell>
          <cell r="T1805" t="str">
            <v>72007MALI COM Sarl</v>
          </cell>
          <cell r="U1805" t="str">
            <v>72007MALI COM SarlScratch 2 000</v>
          </cell>
          <cell r="V1805" t="str">
            <v>39269Scratch 2 000</v>
          </cell>
          <cell r="W1805" t="str">
            <v>2007MALI COM Sarl</v>
          </cell>
          <cell r="X1805" t="str">
            <v>2007MALI COM SarlScratch 2 000</v>
          </cell>
        </row>
        <row r="1806">
          <cell r="I1806">
            <v>2007</v>
          </cell>
          <cell r="J1806" t="str">
            <v>MALI COM SarlScratch 1 000</v>
          </cell>
          <cell r="L1806">
            <v>0</v>
          </cell>
          <cell r="M1806" t="str">
            <v>MALI COM Sarl</v>
          </cell>
          <cell r="N1806" t="str">
            <v>MALI COM SarlScratch 1 000</v>
          </cell>
          <cell r="O1806" t="str">
            <v>MALI COM Sarl</v>
          </cell>
          <cell r="P1806" t="str">
            <v>Scratch 1 000</v>
          </cell>
          <cell r="Q1806" t="str">
            <v>72007</v>
          </cell>
          <cell r="R1806" t="str">
            <v>72007Scratch 1 000</v>
          </cell>
          <cell r="S1806" t="str">
            <v>2007Scratch 1 000</v>
          </cell>
          <cell r="T1806" t="str">
            <v>72007MALI COM Sarl</v>
          </cell>
          <cell r="U1806" t="str">
            <v>72007MALI COM SarlScratch 1 000</v>
          </cell>
          <cell r="V1806" t="str">
            <v>39269Scratch 1 000</v>
          </cell>
          <cell r="W1806" t="str">
            <v>2007MALI COM Sarl</v>
          </cell>
          <cell r="X1806" t="str">
            <v>2007MALI COM SarlScratch 1 000</v>
          </cell>
        </row>
        <row r="1807">
          <cell r="I1807">
            <v>2007</v>
          </cell>
          <cell r="J1807" t="str">
            <v>Ets Boubacar TANDIAScratch 20 000</v>
          </cell>
          <cell r="L1807">
            <v>1</v>
          </cell>
          <cell r="M1807" t="str">
            <v>1Ets Boubacar TANDIA</v>
          </cell>
          <cell r="N1807" t="str">
            <v>Ets Boubacar TANDIAScratch 20 000</v>
          </cell>
          <cell r="O1807" t="str">
            <v>Ets Boubacar TANDIA</v>
          </cell>
          <cell r="P1807" t="str">
            <v>Scratch 20 000</v>
          </cell>
          <cell r="Q1807" t="str">
            <v>72007</v>
          </cell>
          <cell r="R1807" t="str">
            <v>72007Scratch 20 000</v>
          </cell>
          <cell r="S1807" t="str">
            <v>2007Scratch 20 000</v>
          </cell>
          <cell r="T1807" t="str">
            <v>72007Ets Boubacar TANDIA</v>
          </cell>
          <cell r="U1807" t="str">
            <v>72007Ets Boubacar TANDIAScratch 20 000</v>
          </cell>
          <cell r="V1807" t="str">
            <v>39269Scratch 20 000</v>
          </cell>
          <cell r="W1807" t="str">
            <v>2007Ets Boubacar TANDIA</v>
          </cell>
          <cell r="X1807" t="str">
            <v>2007Ets Boubacar TANDIAScratch 20 000</v>
          </cell>
        </row>
        <row r="1808">
          <cell r="I1808">
            <v>2007</v>
          </cell>
          <cell r="J1808" t="str">
            <v>Ets Boubacar TANDIAScratch 5 000</v>
          </cell>
          <cell r="L1808">
            <v>0</v>
          </cell>
          <cell r="M1808" t="str">
            <v>Ets Boubacar TANDIA</v>
          </cell>
          <cell r="N1808" t="str">
            <v>Ets Boubacar TANDIAScratch 5 000</v>
          </cell>
          <cell r="O1808" t="str">
            <v>Ets Boubacar TANDIA</v>
          </cell>
          <cell r="P1808" t="str">
            <v>Scratch 5 000</v>
          </cell>
          <cell r="Q1808" t="str">
            <v>72007</v>
          </cell>
          <cell r="R1808" t="str">
            <v>72007Scratch 5 000</v>
          </cell>
          <cell r="S1808" t="str">
            <v>2007Scratch 5 000</v>
          </cell>
          <cell r="T1808" t="str">
            <v>72007Ets Boubacar TANDIA</v>
          </cell>
          <cell r="U1808" t="str">
            <v>72007Ets Boubacar TANDIAScratch 5 000</v>
          </cell>
          <cell r="V1808" t="str">
            <v>39269Scratch 5 000</v>
          </cell>
          <cell r="W1808" t="str">
            <v>2007Ets Boubacar TANDIA</v>
          </cell>
          <cell r="X1808" t="str">
            <v>2007Ets Boubacar TANDIAScratch 5 000</v>
          </cell>
        </row>
        <row r="1809">
          <cell r="I1809">
            <v>2007</v>
          </cell>
          <cell r="J1809" t="str">
            <v>Ets Boubacar TANDIAScratch 2 000</v>
          </cell>
          <cell r="L1809">
            <v>0</v>
          </cell>
          <cell r="M1809" t="str">
            <v>Ets Boubacar TANDIA</v>
          </cell>
          <cell r="N1809" t="str">
            <v>Ets Boubacar TANDIAScratch 2 000</v>
          </cell>
          <cell r="O1809" t="str">
            <v>Ets Boubacar TANDIA</v>
          </cell>
          <cell r="P1809" t="str">
            <v>Scratch 2 000</v>
          </cell>
          <cell r="Q1809" t="str">
            <v>72007</v>
          </cell>
          <cell r="R1809" t="str">
            <v>72007Scratch 2 000</v>
          </cell>
          <cell r="S1809" t="str">
            <v>2007Scratch 2 000</v>
          </cell>
          <cell r="T1809" t="str">
            <v>72007Ets Boubacar TANDIA</v>
          </cell>
          <cell r="U1809" t="str">
            <v>72007Ets Boubacar TANDIAScratch 2 000</v>
          </cell>
          <cell r="V1809" t="str">
            <v>39269Scratch 2 000</v>
          </cell>
          <cell r="W1809" t="str">
            <v>2007Ets Boubacar TANDIA</v>
          </cell>
          <cell r="X1809" t="str">
            <v>2007Ets Boubacar TANDIAScratch 2 000</v>
          </cell>
        </row>
        <row r="1810">
          <cell r="I1810">
            <v>2007</v>
          </cell>
          <cell r="J1810" t="str">
            <v>Ets Boubacar TANDIAScratch 1 000</v>
          </cell>
          <cell r="L1810">
            <v>0</v>
          </cell>
          <cell r="M1810" t="str">
            <v>Ets Boubacar TANDIA</v>
          </cell>
          <cell r="N1810" t="str">
            <v>Ets Boubacar TANDIAScratch 1 000</v>
          </cell>
          <cell r="O1810" t="str">
            <v>Ets Boubacar TANDIA</v>
          </cell>
          <cell r="P1810" t="str">
            <v>Scratch 1 000</v>
          </cell>
          <cell r="Q1810" t="str">
            <v>72007</v>
          </cell>
          <cell r="R1810" t="str">
            <v>72007Scratch 1 000</v>
          </cell>
          <cell r="S1810" t="str">
            <v>2007Scratch 1 000</v>
          </cell>
          <cell r="T1810" t="str">
            <v>72007Ets Boubacar TANDIA</v>
          </cell>
          <cell r="U1810" t="str">
            <v>72007Ets Boubacar TANDIAScratch 1 000</v>
          </cell>
          <cell r="V1810" t="str">
            <v>39269Scratch 1 000</v>
          </cell>
          <cell r="W1810" t="str">
            <v>2007Ets Boubacar TANDIA</v>
          </cell>
          <cell r="X1810" t="str">
            <v>2007Ets Boubacar TANDIAScratch 1 000</v>
          </cell>
        </row>
        <row r="1811">
          <cell r="I1811">
            <v>2007</v>
          </cell>
          <cell r="J1811" t="str">
            <v>ANKA SERVICESScratch 20 000</v>
          </cell>
          <cell r="L1811">
            <v>1</v>
          </cell>
          <cell r="M1811" t="str">
            <v>1ANKA SERVICES</v>
          </cell>
          <cell r="N1811" t="str">
            <v>ANKA SERVICESScratch 20 000</v>
          </cell>
          <cell r="O1811" t="str">
            <v>ANKA SERVICES</v>
          </cell>
          <cell r="P1811" t="str">
            <v>Scratch 20 000</v>
          </cell>
          <cell r="Q1811" t="str">
            <v>72007</v>
          </cell>
          <cell r="R1811" t="str">
            <v>72007Scratch 20 000</v>
          </cell>
          <cell r="S1811" t="str">
            <v>2007Scratch 20 000</v>
          </cell>
          <cell r="T1811" t="str">
            <v>72007ANKA SERVICES</v>
          </cell>
          <cell r="U1811" t="str">
            <v>72007ANKA SERVICESScratch 20 000</v>
          </cell>
          <cell r="V1811" t="str">
            <v>39269Scratch 20 000</v>
          </cell>
          <cell r="W1811" t="str">
            <v>2007ANKA SERVICES</v>
          </cell>
          <cell r="X1811" t="str">
            <v>2007ANKA SERVICESScratch 20 000</v>
          </cell>
        </row>
        <row r="1812">
          <cell r="I1812">
            <v>2007</v>
          </cell>
          <cell r="J1812" t="str">
            <v>ANKA SERVICESScratch 5 000</v>
          </cell>
          <cell r="L1812">
            <v>0</v>
          </cell>
          <cell r="M1812" t="str">
            <v>ANKA SERVICES</v>
          </cell>
          <cell r="N1812" t="str">
            <v>ANKA SERVICESScratch 5 000</v>
          </cell>
          <cell r="O1812" t="str">
            <v>ANKA SERVICES</v>
          </cell>
          <cell r="P1812" t="str">
            <v>Scratch 5 000</v>
          </cell>
          <cell r="Q1812" t="str">
            <v>72007</v>
          </cell>
          <cell r="R1812" t="str">
            <v>72007Scratch 5 000</v>
          </cell>
          <cell r="S1812" t="str">
            <v>2007Scratch 5 000</v>
          </cell>
          <cell r="T1812" t="str">
            <v>72007ANKA SERVICES</v>
          </cell>
          <cell r="U1812" t="str">
            <v>72007ANKA SERVICESScratch 5 000</v>
          </cell>
          <cell r="V1812" t="str">
            <v>39269Scratch 5 000</v>
          </cell>
          <cell r="W1812" t="str">
            <v>2007ANKA SERVICES</v>
          </cell>
          <cell r="X1812" t="str">
            <v>2007ANKA SERVICESScratch 5 000</v>
          </cell>
        </row>
        <row r="1813">
          <cell r="I1813">
            <v>2007</v>
          </cell>
          <cell r="J1813" t="str">
            <v>ANKA SERVICESScratch 2 000</v>
          </cell>
          <cell r="L1813">
            <v>0</v>
          </cell>
          <cell r="M1813" t="str">
            <v>ANKA SERVICES</v>
          </cell>
          <cell r="N1813" t="str">
            <v>ANKA SERVICESScratch 2 000</v>
          </cell>
          <cell r="O1813" t="str">
            <v>ANKA SERVICES</v>
          </cell>
          <cell r="P1813" t="str">
            <v>Scratch 2 000</v>
          </cell>
          <cell r="Q1813" t="str">
            <v>72007</v>
          </cell>
          <cell r="R1813" t="str">
            <v>72007Scratch 2 000</v>
          </cell>
          <cell r="S1813" t="str">
            <v>2007Scratch 2 000</v>
          </cell>
          <cell r="T1813" t="str">
            <v>72007ANKA SERVICES</v>
          </cell>
          <cell r="U1813" t="str">
            <v>72007ANKA SERVICESScratch 2 000</v>
          </cell>
          <cell r="V1813" t="str">
            <v>39269Scratch 2 000</v>
          </cell>
          <cell r="W1813" t="str">
            <v>2007ANKA SERVICES</v>
          </cell>
          <cell r="X1813" t="str">
            <v>2007ANKA SERVICESScratch 2 000</v>
          </cell>
        </row>
        <row r="1814">
          <cell r="I1814">
            <v>2007</v>
          </cell>
          <cell r="J1814" t="str">
            <v>ANKA SERVICESScratch 1 000</v>
          </cell>
          <cell r="L1814">
            <v>0</v>
          </cell>
          <cell r="M1814" t="str">
            <v>ANKA SERVICES</v>
          </cell>
          <cell r="N1814" t="str">
            <v>ANKA SERVICESScratch 1 000</v>
          </cell>
          <cell r="O1814" t="str">
            <v>ANKA SERVICES</v>
          </cell>
          <cell r="P1814" t="str">
            <v>Scratch 1 000</v>
          </cell>
          <cell r="Q1814" t="str">
            <v>72007</v>
          </cell>
          <cell r="R1814" t="str">
            <v>72007Scratch 1 000</v>
          </cell>
          <cell r="S1814" t="str">
            <v>2007Scratch 1 000</v>
          </cell>
          <cell r="T1814" t="str">
            <v>72007ANKA SERVICES</v>
          </cell>
          <cell r="U1814" t="str">
            <v>72007ANKA SERVICESScratch 1 000</v>
          </cell>
          <cell r="V1814" t="str">
            <v>39269Scratch 1 000</v>
          </cell>
          <cell r="W1814" t="str">
            <v>2007ANKA SERVICES</v>
          </cell>
          <cell r="X1814" t="str">
            <v>2007ANKA SERVICESScratch 1 000</v>
          </cell>
        </row>
        <row r="1815">
          <cell r="I1815">
            <v>2007</v>
          </cell>
          <cell r="J1815" t="str">
            <v>GEMATELScratch 5 000</v>
          </cell>
          <cell r="L1815">
            <v>1</v>
          </cell>
          <cell r="M1815" t="str">
            <v>1GEMATEL</v>
          </cell>
          <cell r="N1815" t="str">
            <v>GEMATELScratch 5 000</v>
          </cell>
          <cell r="O1815" t="str">
            <v>GEMATEL</v>
          </cell>
          <cell r="P1815" t="str">
            <v>Scratch 5 000</v>
          </cell>
          <cell r="Q1815" t="str">
            <v>72007</v>
          </cell>
          <cell r="R1815" t="str">
            <v>72007Scratch 5 000</v>
          </cell>
          <cell r="S1815" t="str">
            <v>2007Scratch 5 000</v>
          </cell>
          <cell r="T1815" t="str">
            <v>72007GEMATEL</v>
          </cell>
          <cell r="U1815" t="str">
            <v>72007GEMATELScratch 5 000</v>
          </cell>
          <cell r="V1815" t="str">
            <v>39269Scratch 5 000</v>
          </cell>
          <cell r="W1815" t="str">
            <v>2007GEMATEL</v>
          </cell>
          <cell r="X1815" t="str">
            <v>2007GEMATELScratch 5 000</v>
          </cell>
        </row>
        <row r="1816">
          <cell r="I1816">
            <v>2007</v>
          </cell>
          <cell r="J1816" t="str">
            <v>GEMATELScratch 2 000</v>
          </cell>
          <cell r="L1816">
            <v>0</v>
          </cell>
          <cell r="M1816" t="str">
            <v>GEMATEL</v>
          </cell>
          <cell r="N1816" t="str">
            <v>GEMATELScratch 2 000</v>
          </cell>
          <cell r="O1816" t="str">
            <v>GEMATEL</v>
          </cell>
          <cell r="P1816" t="str">
            <v>Scratch 2 000</v>
          </cell>
          <cell r="Q1816" t="str">
            <v>72007</v>
          </cell>
          <cell r="R1816" t="str">
            <v>72007Scratch 2 000</v>
          </cell>
          <cell r="S1816" t="str">
            <v>2007Scratch 2 000</v>
          </cell>
          <cell r="T1816" t="str">
            <v>72007GEMATEL</v>
          </cell>
          <cell r="U1816" t="str">
            <v>72007GEMATELScratch 2 000</v>
          </cell>
          <cell r="V1816" t="str">
            <v>39269Scratch 2 000</v>
          </cell>
          <cell r="W1816" t="str">
            <v>2007GEMATEL</v>
          </cell>
          <cell r="X1816" t="str">
            <v>2007GEMATELScratch 2 000</v>
          </cell>
        </row>
        <row r="1817">
          <cell r="I1817">
            <v>2007</v>
          </cell>
          <cell r="J1817" t="str">
            <v>GEMATELScratch 1 000</v>
          </cell>
          <cell r="L1817">
            <v>0</v>
          </cell>
          <cell r="M1817" t="str">
            <v>GEMATEL</v>
          </cell>
          <cell r="N1817" t="str">
            <v>GEMATELScratch 1 000</v>
          </cell>
          <cell r="O1817" t="str">
            <v>GEMATEL</v>
          </cell>
          <cell r="P1817" t="str">
            <v>Scratch 1 000</v>
          </cell>
          <cell r="Q1817" t="str">
            <v>72007</v>
          </cell>
          <cell r="R1817" t="str">
            <v>72007Scratch 1 000</v>
          </cell>
          <cell r="S1817" t="str">
            <v>2007Scratch 1 000</v>
          </cell>
          <cell r="T1817" t="str">
            <v>72007GEMATEL</v>
          </cell>
          <cell r="U1817" t="str">
            <v>72007GEMATELScratch 1 000</v>
          </cell>
          <cell r="V1817" t="str">
            <v>39269Scratch 1 000</v>
          </cell>
          <cell r="W1817" t="str">
            <v>2007GEMATEL</v>
          </cell>
          <cell r="X1817" t="str">
            <v>2007GEMATELScratch 1 000</v>
          </cell>
        </row>
        <row r="1818">
          <cell r="I1818">
            <v>2007</v>
          </cell>
          <cell r="J1818" t="str">
            <v>Compagnie Internationale de NegoceScratch 20 000</v>
          </cell>
          <cell r="L1818">
            <v>1</v>
          </cell>
          <cell r="M1818" t="str">
            <v>1Compagnie Internationale de Negoce</v>
          </cell>
          <cell r="N1818" t="str">
            <v>Compagnie Internationale de NegoceScratch 20 000</v>
          </cell>
          <cell r="O1818" t="str">
            <v>Compagnie Internationale de Negoce</v>
          </cell>
          <cell r="P1818" t="str">
            <v>Scratch 20 000</v>
          </cell>
          <cell r="Q1818" t="str">
            <v>72007</v>
          </cell>
          <cell r="R1818" t="str">
            <v>72007Scratch 20 000</v>
          </cell>
          <cell r="S1818" t="str">
            <v>2007Scratch 20 000</v>
          </cell>
          <cell r="T1818" t="str">
            <v>72007Compagnie Internationale de Negoce</v>
          </cell>
          <cell r="U1818" t="str">
            <v>72007Compagnie Internationale de NegoceScratch 20 000</v>
          </cell>
          <cell r="V1818" t="str">
            <v>39272Scratch 20 000</v>
          </cell>
          <cell r="W1818" t="str">
            <v>2007Compagnie Internationale de Negoce</v>
          </cell>
          <cell r="X1818" t="str">
            <v>2007Compagnie Internationale de NegoceScratch 20 000</v>
          </cell>
        </row>
        <row r="1819">
          <cell r="I1819">
            <v>2007</v>
          </cell>
          <cell r="J1819" t="str">
            <v>Compagnie Internationale de NegoceScratch 10 000</v>
          </cell>
          <cell r="L1819">
            <v>0</v>
          </cell>
          <cell r="M1819" t="str">
            <v>Compagnie Internationale de Negoce</v>
          </cell>
          <cell r="N1819" t="str">
            <v>Compagnie Internationale de NegoceScratch 10 000</v>
          </cell>
          <cell r="O1819" t="str">
            <v>Compagnie Internationale de Negoce</v>
          </cell>
          <cell r="P1819" t="str">
            <v>Scratch 10 000</v>
          </cell>
          <cell r="Q1819" t="str">
            <v>72007</v>
          </cell>
          <cell r="R1819" t="str">
            <v>72007Scratch 10 000</v>
          </cell>
          <cell r="S1819" t="str">
            <v>2007Scratch 10 000</v>
          </cell>
          <cell r="T1819" t="str">
            <v>72007Compagnie Internationale de Negoce</v>
          </cell>
          <cell r="U1819" t="str">
            <v>72007Compagnie Internationale de NegoceScratch 10 000</v>
          </cell>
          <cell r="V1819" t="str">
            <v>39272Scratch 10 000</v>
          </cell>
          <cell r="W1819" t="str">
            <v>2007Compagnie Internationale de Negoce</v>
          </cell>
          <cell r="X1819" t="str">
            <v>2007Compagnie Internationale de NegoceScratch 10 000</v>
          </cell>
        </row>
        <row r="1820">
          <cell r="I1820">
            <v>2007</v>
          </cell>
          <cell r="J1820" t="str">
            <v>Compagnie Internationale de NegoceScratch 5 000</v>
          </cell>
          <cell r="L1820">
            <v>0</v>
          </cell>
          <cell r="M1820" t="str">
            <v>Compagnie Internationale de Negoce</v>
          </cell>
          <cell r="N1820" t="str">
            <v>Compagnie Internationale de NegoceScratch 5 000</v>
          </cell>
          <cell r="O1820" t="str">
            <v>Compagnie Internationale de Negoce</v>
          </cell>
          <cell r="P1820" t="str">
            <v>Scratch 5 000</v>
          </cell>
          <cell r="Q1820" t="str">
            <v>72007</v>
          </cell>
          <cell r="R1820" t="str">
            <v>72007Scratch 5 000</v>
          </cell>
          <cell r="S1820" t="str">
            <v>2007Scratch 5 000</v>
          </cell>
          <cell r="T1820" t="str">
            <v>72007Compagnie Internationale de Negoce</v>
          </cell>
          <cell r="U1820" t="str">
            <v>72007Compagnie Internationale de NegoceScratch 5 000</v>
          </cell>
          <cell r="V1820" t="str">
            <v>39272Scratch 5 000</v>
          </cell>
          <cell r="W1820" t="str">
            <v>2007Compagnie Internationale de Negoce</v>
          </cell>
          <cell r="X1820" t="str">
            <v>2007Compagnie Internationale de NegoceScratch 5 000</v>
          </cell>
        </row>
        <row r="1821">
          <cell r="I1821">
            <v>2007</v>
          </cell>
          <cell r="J1821" t="str">
            <v>Compagnie Internationale de NegoceScratch 2 000</v>
          </cell>
          <cell r="L1821">
            <v>0</v>
          </cell>
          <cell r="M1821" t="str">
            <v>Compagnie Internationale de Negoce</v>
          </cell>
          <cell r="N1821" t="str">
            <v>Compagnie Internationale de NegoceScratch 2 000</v>
          </cell>
          <cell r="O1821" t="str">
            <v>Compagnie Internationale de Negoce</v>
          </cell>
          <cell r="P1821" t="str">
            <v>Scratch 2 000</v>
          </cell>
          <cell r="Q1821" t="str">
            <v>72007</v>
          </cell>
          <cell r="R1821" t="str">
            <v>72007Scratch 2 000</v>
          </cell>
          <cell r="S1821" t="str">
            <v>2007Scratch 2 000</v>
          </cell>
          <cell r="T1821" t="str">
            <v>72007Compagnie Internationale de Negoce</v>
          </cell>
          <cell r="U1821" t="str">
            <v>72007Compagnie Internationale de NegoceScratch 2 000</v>
          </cell>
          <cell r="V1821" t="str">
            <v>39272Scratch 2 000</v>
          </cell>
          <cell r="W1821" t="str">
            <v>2007Compagnie Internationale de Negoce</v>
          </cell>
          <cell r="X1821" t="str">
            <v>2007Compagnie Internationale de NegoceScratch 2 000</v>
          </cell>
        </row>
        <row r="1822">
          <cell r="I1822">
            <v>2007</v>
          </cell>
          <cell r="J1822" t="str">
            <v>Compagnie Internationale de NegoceScratch 1 000</v>
          </cell>
          <cell r="L1822">
            <v>0</v>
          </cell>
          <cell r="M1822" t="str">
            <v>Compagnie Internationale de Negoce</v>
          </cell>
          <cell r="N1822" t="str">
            <v>Compagnie Internationale de NegoceScratch 1 000</v>
          </cell>
          <cell r="O1822" t="str">
            <v>Compagnie Internationale de Negoce</v>
          </cell>
          <cell r="P1822" t="str">
            <v>Scratch 1 000</v>
          </cell>
          <cell r="Q1822" t="str">
            <v>72007</v>
          </cell>
          <cell r="R1822" t="str">
            <v>72007Scratch 1 000</v>
          </cell>
          <cell r="S1822" t="str">
            <v>2007Scratch 1 000</v>
          </cell>
          <cell r="T1822" t="str">
            <v>72007Compagnie Internationale de Negoce</v>
          </cell>
          <cell r="U1822" t="str">
            <v>72007Compagnie Internationale de NegoceScratch 1 000</v>
          </cell>
          <cell r="V1822" t="str">
            <v>39272Scratch 1 000</v>
          </cell>
          <cell r="W1822" t="str">
            <v>2007Compagnie Internationale de Negoce</v>
          </cell>
          <cell r="X1822" t="str">
            <v>2007Compagnie Internationale de NegoceScratch 1 000</v>
          </cell>
        </row>
        <row r="1823">
          <cell r="I1823">
            <v>2007</v>
          </cell>
          <cell r="J1823" t="str">
            <v>STS GAMBY &amp; FRERES (SOGAF) SarlScratch 5 000</v>
          </cell>
          <cell r="L1823">
            <v>1</v>
          </cell>
          <cell r="M1823" t="str">
            <v>1STS GAMBY &amp; FRERES (SOGAF) Sarl</v>
          </cell>
          <cell r="N1823" t="str">
            <v>STS GAMBY &amp; FRERES (SOGAF) SarlScratch 5 000</v>
          </cell>
          <cell r="O1823" t="str">
            <v>STS GAMBY &amp; FRERES (SOGAF) Sarl</v>
          </cell>
          <cell r="P1823" t="str">
            <v>Scratch 5 000</v>
          </cell>
          <cell r="Q1823" t="str">
            <v>72007</v>
          </cell>
          <cell r="R1823" t="str">
            <v>72007Scratch 5 000</v>
          </cell>
          <cell r="S1823" t="str">
            <v>2007Scratch 5 000</v>
          </cell>
          <cell r="T1823" t="str">
            <v>72007STS GAMBY &amp; FRERES (SOGAF) Sarl</v>
          </cell>
          <cell r="U1823" t="str">
            <v>72007STS GAMBY &amp; FRERES (SOGAF) SarlScratch 5 000</v>
          </cell>
          <cell r="V1823" t="str">
            <v>39272Scratch 5 000</v>
          </cell>
          <cell r="W1823" t="str">
            <v>2007STS GAMBY &amp; FRERES (SOGAF) Sarl</v>
          </cell>
          <cell r="X1823" t="str">
            <v>2007STS GAMBY &amp; FRERES (SOGAF) SarlScratch 5 000</v>
          </cell>
        </row>
        <row r="1824">
          <cell r="I1824">
            <v>2007</v>
          </cell>
          <cell r="J1824" t="str">
            <v>STS GAMBY &amp; FRERES (SOGAF) SarlScratch 2 000</v>
          </cell>
          <cell r="L1824">
            <v>0</v>
          </cell>
          <cell r="M1824" t="str">
            <v>STS GAMBY &amp; FRERES (SOGAF) Sarl</v>
          </cell>
          <cell r="N1824" t="str">
            <v>STS GAMBY &amp; FRERES (SOGAF) SarlScratch 2 000</v>
          </cell>
          <cell r="O1824" t="str">
            <v>STS GAMBY &amp; FRERES (SOGAF) Sarl</v>
          </cell>
          <cell r="P1824" t="str">
            <v>Scratch 2 000</v>
          </cell>
          <cell r="Q1824" t="str">
            <v>72007</v>
          </cell>
          <cell r="R1824" t="str">
            <v>72007Scratch 2 000</v>
          </cell>
          <cell r="S1824" t="str">
            <v>2007Scratch 2 000</v>
          </cell>
          <cell r="T1824" t="str">
            <v>72007STS GAMBY &amp; FRERES (SOGAF) Sarl</v>
          </cell>
          <cell r="U1824" t="str">
            <v>72007STS GAMBY &amp; FRERES (SOGAF) SarlScratch 2 000</v>
          </cell>
          <cell r="V1824" t="str">
            <v>39272Scratch 2 000</v>
          </cell>
          <cell r="W1824" t="str">
            <v>2007STS GAMBY &amp; FRERES (SOGAF) Sarl</v>
          </cell>
          <cell r="X1824" t="str">
            <v>2007STS GAMBY &amp; FRERES (SOGAF) SarlScratch 2 000</v>
          </cell>
        </row>
        <row r="1825">
          <cell r="I1825">
            <v>2007</v>
          </cell>
          <cell r="J1825" t="str">
            <v>STS GAMBY &amp; FRERES (SOGAF) SarlScratch 1 000</v>
          </cell>
          <cell r="L1825">
            <v>0</v>
          </cell>
          <cell r="M1825" t="str">
            <v>STS GAMBY &amp; FRERES (SOGAF) Sarl</v>
          </cell>
          <cell r="N1825" t="str">
            <v>STS GAMBY &amp; FRERES (SOGAF) SarlScratch 1 000</v>
          </cell>
          <cell r="O1825" t="str">
            <v>STS GAMBY &amp; FRERES (SOGAF) Sarl</v>
          </cell>
          <cell r="P1825" t="str">
            <v>Scratch 1 000</v>
          </cell>
          <cell r="Q1825" t="str">
            <v>72007</v>
          </cell>
          <cell r="R1825" t="str">
            <v>72007Scratch 1 000</v>
          </cell>
          <cell r="S1825" t="str">
            <v>2007Scratch 1 000</v>
          </cell>
          <cell r="T1825" t="str">
            <v>72007STS GAMBY &amp; FRERES (SOGAF) Sarl</v>
          </cell>
          <cell r="U1825" t="str">
            <v>72007STS GAMBY &amp; FRERES (SOGAF) SarlScratch 1 000</v>
          </cell>
          <cell r="V1825" t="str">
            <v>39272Scratch 1 000</v>
          </cell>
          <cell r="W1825" t="str">
            <v>2007STS GAMBY &amp; FRERES (SOGAF) Sarl</v>
          </cell>
          <cell r="X1825" t="str">
            <v>2007STS GAMBY &amp; FRERES (SOGAF) SarlScratch 1 000</v>
          </cell>
        </row>
        <row r="1826">
          <cell r="I1826">
            <v>2007</v>
          </cell>
          <cell r="J1826" t="str">
            <v>Soleil LevantScratch 5 000</v>
          </cell>
          <cell r="L1826">
            <v>1</v>
          </cell>
          <cell r="M1826" t="str">
            <v>1Soleil Levant</v>
          </cell>
          <cell r="N1826" t="str">
            <v>Soleil LevantScratch 5 000</v>
          </cell>
          <cell r="O1826" t="str">
            <v>Soleil Levant</v>
          </cell>
          <cell r="P1826" t="str">
            <v>Scratch 5 000</v>
          </cell>
          <cell r="Q1826" t="str">
            <v>72007</v>
          </cell>
          <cell r="R1826" t="str">
            <v>72007Scratch 5 000</v>
          </cell>
          <cell r="S1826" t="str">
            <v>2007Scratch 5 000</v>
          </cell>
          <cell r="T1826" t="str">
            <v>72007Soleil Levant</v>
          </cell>
          <cell r="U1826" t="str">
            <v>72007Soleil LevantScratch 5 000</v>
          </cell>
          <cell r="V1826" t="str">
            <v>39272Scratch 5 000</v>
          </cell>
          <cell r="W1826" t="str">
            <v>2007Soleil Levant</v>
          </cell>
          <cell r="X1826" t="str">
            <v>2007Soleil LevantScratch 5 000</v>
          </cell>
        </row>
        <row r="1827">
          <cell r="I1827">
            <v>2007</v>
          </cell>
          <cell r="J1827" t="str">
            <v>Soleil LevantScratch 2 000</v>
          </cell>
          <cell r="L1827">
            <v>0</v>
          </cell>
          <cell r="M1827" t="str">
            <v>Soleil Levant</v>
          </cell>
          <cell r="N1827" t="str">
            <v>Soleil LevantScratch 2 000</v>
          </cell>
          <cell r="O1827" t="str">
            <v>Soleil Levant</v>
          </cell>
          <cell r="P1827" t="str">
            <v>Scratch 2 000</v>
          </cell>
          <cell r="Q1827" t="str">
            <v>72007</v>
          </cell>
          <cell r="R1827" t="str">
            <v>72007Scratch 2 000</v>
          </cell>
          <cell r="S1827" t="str">
            <v>2007Scratch 2 000</v>
          </cell>
          <cell r="T1827" t="str">
            <v>72007Soleil Levant</v>
          </cell>
          <cell r="U1827" t="str">
            <v>72007Soleil LevantScratch 2 000</v>
          </cell>
          <cell r="V1827" t="str">
            <v>39272Scratch 2 000</v>
          </cell>
          <cell r="W1827" t="str">
            <v>2007Soleil Levant</v>
          </cell>
          <cell r="X1827" t="str">
            <v>2007Soleil LevantScratch 2 000</v>
          </cell>
        </row>
        <row r="1828">
          <cell r="I1828">
            <v>2007</v>
          </cell>
          <cell r="J1828" t="str">
            <v>Soleil LevantScratch 1 000</v>
          </cell>
          <cell r="L1828">
            <v>0</v>
          </cell>
          <cell r="M1828" t="str">
            <v>Soleil Levant</v>
          </cell>
          <cell r="N1828" t="str">
            <v>Soleil LevantScratch 1 000</v>
          </cell>
          <cell r="O1828" t="str">
            <v>Soleil Levant</v>
          </cell>
          <cell r="P1828" t="str">
            <v>Scratch 1 000</v>
          </cell>
          <cell r="Q1828" t="str">
            <v>72007</v>
          </cell>
          <cell r="R1828" t="str">
            <v>72007Scratch 1 000</v>
          </cell>
          <cell r="S1828" t="str">
            <v>2007Scratch 1 000</v>
          </cell>
          <cell r="T1828" t="str">
            <v>72007Soleil Levant</v>
          </cell>
          <cell r="U1828" t="str">
            <v>72007Soleil LevantScratch 1 000</v>
          </cell>
          <cell r="V1828" t="str">
            <v>39272Scratch 1 000</v>
          </cell>
          <cell r="W1828" t="str">
            <v>2007Soleil Levant</v>
          </cell>
          <cell r="X1828" t="str">
            <v>2007Soleil LevantScratch 1 000</v>
          </cell>
        </row>
        <row r="1829">
          <cell r="I1829">
            <v>2007</v>
          </cell>
          <cell r="J1829" t="str">
            <v>ANKA SERVICESScratch 20 000</v>
          </cell>
          <cell r="L1829">
            <v>1</v>
          </cell>
          <cell r="M1829" t="str">
            <v>1ANKA SERVICES</v>
          </cell>
          <cell r="N1829" t="str">
            <v>ANKA SERVICESScratch 20 000</v>
          </cell>
          <cell r="O1829" t="str">
            <v>ANKA SERVICES</v>
          </cell>
          <cell r="P1829" t="str">
            <v>Scratch 20 000</v>
          </cell>
          <cell r="Q1829" t="str">
            <v>72007</v>
          </cell>
          <cell r="R1829" t="str">
            <v>72007Scratch 20 000</v>
          </cell>
          <cell r="S1829" t="str">
            <v>2007Scratch 20 000</v>
          </cell>
          <cell r="T1829" t="str">
            <v>72007ANKA SERVICES</v>
          </cell>
          <cell r="U1829" t="str">
            <v>72007ANKA SERVICESScratch 20 000</v>
          </cell>
          <cell r="V1829" t="str">
            <v>39272Scratch 20 000</v>
          </cell>
          <cell r="W1829" t="str">
            <v>2007ANKA SERVICES</v>
          </cell>
          <cell r="X1829" t="str">
            <v>2007ANKA SERVICESScratch 20 000</v>
          </cell>
        </row>
        <row r="1830">
          <cell r="I1830">
            <v>2007</v>
          </cell>
          <cell r="J1830" t="str">
            <v>ANKA SERVICESScratch 10 000</v>
          </cell>
          <cell r="L1830">
            <v>0</v>
          </cell>
          <cell r="M1830" t="str">
            <v>ANKA SERVICES</v>
          </cell>
          <cell r="N1830" t="str">
            <v>ANKA SERVICESScratch 10 000</v>
          </cell>
          <cell r="O1830" t="str">
            <v>ANKA SERVICES</v>
          </cell>
          <cell r="P1830" t="str">
            <v>Scratch 10 000</v>
          </cell>
          <cell r="Q1830" t="str">
            <v>72007</v>
          </cell>
          <cell r="R1830" t="str">
            <v>72007Scratch 10 000</v>
          </cell>
          <cell r="S1830" t="str">
            <v>2007Scratch 10 000</v>
          </cell>
          <cell r="T1830" t="str">
            <v>72007ANKA SERVICES</v>
          </cell>
          <cell r="U1830" t="str">
            <v>72007ANKA SERVICESScratch 10 000</v>
          </cell>
          <cell r="V1830" t="str">
            <v>39272Scratch 10 000</v>
          </cell>
          <cell r="W1830" t="str">
            <v>2007ANKA SERVICES</v>
          </cell>
          <cell r="X1830" t="str">
            <v>2007ANKA SERVICESScratch 10 000</v>
          </cell>
        </row>
        <row r="1831">
          <cell r="I1831">
            <v>2007</v>
          </cell>
          <cell r="J1831" t="str">
            <v>ANKA SERVICESScratch 5 000</v>
          </cell>
          <cell r="L1831">
            <v>0</v>
          </cell>
          <cell r="M1831" t="str">
            <v>ANKA SERVICES</v>
          </cell>
          <cell r="N1831" t="str">
            <v>ANKA SERVICESScratch 5 000</v>
          </cell>
          <cell r="O1831" t="str">
            <v>ANKA SERVICES</v>
          </cell>
          <cell r="P1831" t="str">
            <v>Scratch 5 000</v>
          </cell>
          <cell r="Q1831" t="str">
            <v>72007</v>
          </cell>
          <cell r="R1831" t="str">
            <v>72007Scratch 5 000</v>
          </cell>
          <cell r="S1831" t="str">
            <v>2007Scratch 5 000</v>
          </cell>
          <cell r="T1831" t="str">
            <v>72007ANKA SERVICES</v>
          </cell>
          <cell r="U1831" t="str">
            <v>72007ANKA SERVICESScratch 5 000</v>
          </cell>
          <cell r="V1831" t="str">
            <v>39272Scratch 5 000</v>
          </cell>
          <cell r="W1831" t="str">
            <v>2007ANKA SERVICES</v>
          </cell>
          <cell r="X1831" t="str">
            <v>2007ANKA SERVICESScratch 5 000</v>
          </cell>
        </row>
        <row r="1832">
          <cell r="I1832">
            <v>2007</v>
          </cell>
          <cell r="J1832" t="str">
            <v>ANKA SERVICESScratch 2 000</v>
          </cell>
          <cell r="L1832">
            <v>0</v>
          </cell>
          <cell r="M1832" t="str">
            <v>ANKA SERVICES</v>
          </cell>
          <cell r="N1832" t="str">
            <v>ANKA SERVICESScratch 2 000</v>
          </cell>
          <cell r="O1832" t="str">
            <v>ANKA SERVICES</v>
          </cell>
          <cell r="P1832" t="str">
            <v>Scratch 2 000</v>
          </cell>
          <cell r="Q1832" t="str">
            <v>72007</v>
          </cell>
          <cell r="R1832" t="str">
            <v>72007Scratch 2 000</v>
          </cell>
          <cell r="S1832" t="str">
            <v>2007Scratch 2 000</v>
          </cell>
          <cell r="T1832" t="str">
            <v>72007ANKA SERVICES</v>
          </cell>
          <cell r="U1832" t="str">
            <v>72007ANKA SERVICESScratch 2 000</v>
          </cell>
          <cell r="V1832" t="str">
            <v>39272Scratch 2 000</v>
          </cell>
          <cell r="W1832" t="str">
            <v>2007ANKA SERVICES</v>
          </cell>
          <cell r="X1832" t="str">
            <v>2007ANKA SERVICESScratch 2 000</v>
          </cell>
        </row>
        <row r="1833">
          <cell r="I1833">
            <v>2007</v>
          </cell>
          <cell r="J1833" t="str">
            <v>ANKA SERVICESScratch 1 000</v>
          </cell>
          <cell r="L1833">
            <v>0</v>
          </cell>
          <cell r="M1833" t="str">
            <v>ANKA SERVICES</v>
          </cell>
          <cell r="N1833" t="str">
            <v>ANKA SERVICESScratch 1 000</v>
          </cell>
          <cell r="O1833" t="str">
            <v>ANKA SERVICES</v>
          </cell>
          <cell r="P1833" t="str">
            <v>Scratch 1 000</v>
          </cell>
          <cell r="Q1833" t="str">
            <v>72007</v>
          </cell>
          <cell r="R1833" t="str">
            <v>72007Scratch 1 000</v>
          </cell>
          <cell r="S1833" t="str">
            <v>2007Scratch 1 000</v>
          </cell>
          <cell r="T1833" t="str">
            <v>72007ANKA SERVICES</v>
          </cell>
          <cell r="U1833" t="str">
            <v>72007ANKA SERVICESScratch 1 000</v>
          </cell>
          <cell r="V1833" t="str">
            <v>39272Scratch 1 000</v>
          </cell>
          <cell r="W1833" t="str">
            <v>2007ANKA SERVICES</v>
          </cell>
          <cell r="X1833" t="str">
            <v>2007ANKA SERVICESScratch 1 000</v>
          </cell>
        </row>
        <row r="1834">
          <cell r="I1834">
            <v>2007</v>
          </cell>
          <cell r="J1834" t="str">
            <v>GEMATELScratch 20 000</v>
          </cell>
          <cell r="L1834">
            <v>1</v>
          </cell>
          <cell r="M1834" t="str">
            <v>1GEMATEL</v>
          </cell>
          <cell r="N1834" t="str">
            <v>GEMATELScratch 20 000</v>
          </cell>
          <cell r="O1834" t="str">
            <v>GEMATEL</v>
          </cell>
          <cell r="P1834" t="str">
            <v>Scratch 20 000</v>
          </cell>
          <cell r="Q1834" t="str">
            <v>72007</v>
          </cell>
          <cell r="R1834" t="str">
            <v>72007Scratch 20 000</v>
          </cell>
          <cell r="S1834" t="str">
            <v>2007Scratch 20 000</v>
          </cell>
          <cell r="T1834" t="str">
            <v>72007GEMATEL</v>
          </cell>
          <cell r="U1834" t="str">
            <v>72007GEMATELScratch 20 000</v>
          </cell>
          <cell r="V1834" t="str">
            <v>39272Scratch 20 000</v>
          </cell>
          <cell r="W1834" t="str">
            <v>2007GEMATEL</v>
          </cell>
          <cell r="X1834" t="str">
            <v>2007GEMATELScratch 20 000</v>
          </cell>
        </row>
        <row r="1835">
          <cell r="I1835">
            <v>2007</v>
          </cell>
          <cell r="J1835" t="str">
            <v>GEMATELScratch 10 000</v>
          </cell>
          <cell r="L1835">
            <v>0</v>
          </cell>
          <cell r="M1835" t="str">
            <v>GEMATEL</v>
          </cell>
          <cell r="N1835" t="str">
            <v>GEMATELScratch 10 000</v>
          </cell>
          <cell r="O1835" t="str">
            <v>GEMATEL</v>
          </cell>
          <cell r="P1835" t="str">
            <v>Scratch 10 000</v>
          </cell>
          <cell r="Q1835" t="str">
            <v>72007</v>
          </cell>
          <cell r="R1835" t="str">
            <v>72007Scratch 10 000</v>
          </cell>
          <cell r="S1835" t="str">
            <v>2007Scratch 10 000</v>
          </cell>
          <cell r="T1835" t="str">
            <v>72007GEMATEL</v>
          </cell>
          <cell r="U1835" t="str">
            <v>72007GEMATELScratch 10 000</v>
          </cell>
          <cell r="V1835" t="str">
            <v>39272Scratch 10 000</v>
          </cell>
          <cell r="W1835" t="str">
            <v>2007GEMATEL</v>
          </cell>
          <cell r="X1835" t="str">
            <v>2007GEMATELScratch 10 000</v>
          </cell>
        </row>
        <row r="1836">
          <cell r="I1836">
            <v>2007</v>
          </cell>
          <cell r="J1836" t="str">
            <v>GEMATELScratch 5 000</v>
          </cell>
          <cell r="L1836">
            <v>0</v>
          </cell>
          <cell r="M1836" t="str">
            <v>GEMATEL</v>
          </cell>
          <cell r="N1836" t="str">
            <v>GEMATELScratch 5 000</v>
          </cell>
          <cell r="O1836" t="str">
            <v>GEMATEL</v>
          </cell>
          <cell r="P1836" t="str">
            <v>Scratch 5 000</v>
          </cell>
          <cell r="Q1836" t="str">
            <v>72007</v>
          </cell>
          <cell r="R1836" t="str">
            <v>72007Scratch 5 000</v>
          </cell>
          <cell r="S1836" t="str">
            <v>2007Scratch 5 000</v>
          </cell>
          <cell r="T1836" t="str">
            <v>72007GEMATEL</v>
          </cell>
          <cell r="U1836" t="str">
            <v>72007GEMATELScratch 5 000</v>
          </cell>
          <cell r="V1836" t="str">
            <v>39272Scratch 5 000</v>
          </cell>
          <cell r="W1836" t="str">
            <v>2007GEMATEL</v>
          </cell>
          <cell r="X1836" t="str">
            <v>2007GEMATELScratch 5 000</v>
          </cell>
        </row>
        <row r="1837">
          <cell r="I1837">
            <v>2007</v>
          </cell>
          <cell r="J1837" t="str">
            <v>GEMATELScratch 2 000</v>
          </cell>
          <cell r="L1837">
            <v>0</v>
          </cell>
          <cell r="M1837" t="str">
            <v>GEMATEL</v>
          </cell>
          <cell r="N1837" t="str">
            <v>GEMATELScratch 2 000</v>
          </cell>
          <cell r="O1837" t="str">
            <v>GEMATEL</v>
          </cell>
          <cell r="P1837" t="str">
            <v>Scratch 2 000</v>
          </cell>
          <cell r="Q1837" t="str">
            <v>72007</v>
          </cell>
          <cell r="R1837" t="str">
            <v>72007Scratch 2 000</v>
          </cell>
          <cell r="S1837" t="str">
            <v>2007Scratch 2 000</v>
          </cell>
          <cell r="T1837" t="str">
            <v>72007GEMATEL</v>
          </cell>
          <cell r="U1837" t="str">
            <v>72007GEMATELScratch 2 000</v>
          </cell>
          <cell r="V1837" t="str">
            <v>39272Scratch 2 000</v>
          </cell>
          <cell r="W1837" t="str">
            <v>2007GEMATEL</v>
          </cell>
          <cell r="X1837" t="str">
            <v>2007GEMATELScratch 2 000</v>
          </cell>
        </row>
        <row r="1838">
          <cell r="I1838">
            <v>2007</v>
          </cell>
          <cell r="J1838" t="str">
            <v>GEMATELScratch 1 000</v>
          </cell>
          <cell r="L1838">
            <v>0</v>
          </cell>
          <cell r="M1838" t="str">
            <v>GEMATEL</v>
          </cell>
          <cell r="N1838" t="str">
            <v>GEMATELScratch 1 000</v>
          </cell>
          <cell r="O1838" t="str">
            <v>GEMATEL</v>
          </cell>
          <cell r="P1838" t="str">
            <v>Scratch 1 000</v>
          </cell>
          <cell r="Q1838" t="str">
            <v>72007</v>
          </cell>
          <cell r="R1838" t="str">
            <v>72007Scratch 1 000</v>
          </cell>
          <cell r="S1838" t="str">
            <v>2007Scratch 1 000</v>
          </cell>
          <cell r="T1838" t="str">
            <v>72007GEMATEL</v>
          </cell>
          <cell r="U1838" t="str">
            <v>72007GEMATELScratch 1 000</v>
          </cell>
          <cell r="V1838" t="str">
            <v>39269Scratch 1 000</v>
          </cell>
          <cell r="W1838" t="str">
            <v>2007GEMATEL</v>
          </cell>
          <cell r="X1838" t="str">
            <v>2007GEMATELScratch 1 000</v>
          </cell>
        </row>
        <row r="1839">
          <cell r="I1839">
            <v>2007</v>
          </cell>
          <cell r="J1839" t="str">
            <v>MALI COM SarlScratch 5 000</v>
          </cell>
          <cell r="L1839">
            <v>1</v>
          </cell>
          <cell r="M1839" t="str">
            <v>1MALI COM Sarl</v>
          </cell>
          <cell r="N1839" t="str">
            <v>MALI COM SarlScratch 5 000</v>
          </cell>
          <cell r="O1839" t="str">
            <v>MALI COM Sarl</v>
          </cell>
          <cell r="P1839" t="str">
            <v>Scratch 5 000</v>
          </cell>
          <cell r="Q1839" t="str">
            <v>72007</v>
          </cell>
          <cell r="R1839" t="str">
            <v>72007Scratch 5 000</v>
          </cell>
          <cell r="S1839" t="str">
            <v>2007Scratch 5 000</v>
          </cell>
          <cell r="T1839" t="str">
            <v>72007MALI COM Sarl</v>
          </cell>
          <cell r="U1839" t="str">
            <v>72007MALI COM SarlScratch 5 000</v>
          </cell>
          <cell r="V1839" t="str">
            <v>39270Scratch 5 000</v>
          </cell>
          <cell r="W1839" t="str">
            <v>2007MALI COM Sarl</v>
          </cell>
          <cell r="X1839" t="str">
            <v>2007MALI COM SarlScratch 5 000</v>
          </cell>
        </row>
        <row r="1840">
          <cell r="I1840">
            <v>2007</v>
          </cell>
          <cell r="J1840" t="str">
            <v>MALI COM SarlScratch 2 000</v>
          </cell>
          <cell r="L1840">
            <v>0</v>
          </cell>
          <cell r="M1840" t="str">
            <v>MALI COM Sarl</v>
          </cell>
          <cell r="N1840" t="str">
            <v>MALI COM SarlScratch 2 000</v>
          </cell>
          <cell r="O1840" t="str">
            <v>MALI COM Sarl</v>
          </cell>
          <cell r="P1840" t="str">
            <v>Scratch 2 000</v>
          </cell>
          <cell r="Q1840" t="str">
            <v>72007</v>
          </cell>
          <cell r="R1840" t="str">
            <v>72007Scratch 2 000</v>
          </cell>
          <cell r="S1840" t="str">
            <v>2007Scratch 2 000</v>
          </cell>
          <cell r="T1840" t="str">
            <v>72007MALI COM Sarl</v>
          </cell>
          <cell r="U1840" t="str">
            <v>72007MALI COM SarlScratch 2 000</v>
          </cell>
          <cell r="V1840" t="str">
            <v>39271Scratch 2 000</v>
          </cell>
          <cell r="W1840" t="str">
            <v>2007MALI COM Sarl</v>
          </cell>
          <cell r="X1840" t="str">
            <v>2007MALI COM SarlScratch 2 000</v>
          </cell>
        </row>
        <row r="1841">
          <cell r="I1841">
            <v>2007</v>
          </cell>
          <cell r="J1841" t="str">
            <v>MALI COM SarlScratch 1 000</v>
          </cell>
          <cell r="L1841">
            <v>0</v>
          </cell>
          <cell r="M1841" t="str">
            <v>MALI COM Sarl</v>
          </cell>
          <cell r="N1841" t="str">
            <v>MALI COM SarlScratch 1 000</v>
          </cell>
          <cell r="O1841" t="str">
            <v>MALI COM Sarl</v>
          </cell>
          <cell r="P1841" t="str">
            <v>Scratch 1 000</v>
          </cell>
          <cell r="Q1841" t="str">
            <v>72007</v>
          </cell>
          <cell r="R1841" t="str">
            <v>72007Scratch 1 000</v>
          </cell>
          <cell r="S1841" t="str">
            <v>2007Scratch 1 000</v>
          </cell>
          <cell r="T1841" t="str">
            <v>72007MALI COM Sarl</v>
          </cell>
          <cell r="U1841" t="str">
            <v>72007MALI COM SarlScratch 1 000</v>
          </cell>
          <cell r="V1841" t="str">
            <v>39272Scratch 1 000</v>
          </cell>
          <cell r="W1841" t="str">
            <v>2007MALI COM Sarl</v>
          </cell>
          <cell r="X1841" t="str">
            <v>2007MALI COM SarlScratch 1 000</v>
          </cell>
        </row>
        <row r="1842">
          <cell r="I1842">
            <v>2007</v>
          </cell>
          <cell r="J1842" t="str">
            <v>STS GAMBY &amp; FRERES (SOGAF) SarlScratch 5 000</v>
          </cell>
          <cell r="L1842">
            <v>1</v>
          </cell>
          <cell r="M1842" t="str">
            <v>1STS GAMBY &amp; FRERES (SOGAF) Sarl</v>
          </cell>
          <cell r="N1842" t="str">
            <v>STS GAMBY &amp; FRERES (SOGAF) SarlScratch 5 000</v>
          </cell>
          <cell r="O1842" t="str">
            <v>STS GAMBY &amp; FRERES (SOGAF) Sarl</v>
          </cell>
          <cell r="P1842" t="str">
            <v>Scratch 5 000</v>
          </cell>
          <cell r="Q1842" t="str">
            <v>72007</v>
          </cell>
          <cell r="R1842" t="str">
            <v>72007Scratch 5 000</v>
          </cell>
          <cell r="S1842" t="str">
            <v>2007Scratch 5 000</v>
          </cell>
          <cell r="T1842" t="str">
            <v>72007STS GAMBY &amp; FRERES (SOGAF) Sarl</v>
          </cell>
          <cell r="U1842" t="str">
            <v>72007STS GAMBY &amp; FRERES (SOGAF) SarlScratch 5 000</v>
          </cell>
          <cell r="V1842" t="str">
            <v>39273Scratch 5 000</v>
          </cell>
          <cell r="W1842" t="str">
            <v>2007STS GAMBY &amp; FRERES (SOGAF) Sarl</v>
          </cell>
          <cell r="X1842" t="str">
            <v>2007STS GAMBY &amp; FRERES (SOGAF) SarlScratch 5 000</v>
          </cell>
        </row>
        <row r="1843">
          <cell r="I1843">
            <v>2007</v>
          </cell>
          <cell r="J1843" t="str">
            <v>STS GAMBY &amp; FRERES (SOGAF) SarlScratch 2 000</v>
          </cell>
          <cell r="L1843">
            <v>0</v>
          </cell>
          <cell r="M1843" t="str">
            <v>STS GAMBY &amp; FRERES (SOGAF) Sarl</v>
          </cell>
          <cell r="N1843" t="str">
            <v>STS GAMBY &amp; FRERES (SOGAF) SarlScratch 2 000</v>
          </cell>
          <cell r="O1843" t="str">
            <v>STS GAMBY &amp; FRERES (SOGAF) Sarl</v>
          </cell>
          <cell r="P1843" t="str">
            <v>Scratch 2 000</v>
          </cell>
          <cell r="Q1843" t="str">
            <v>72007</v>
          </cell>
          <cell r="R1843" t="str">
            <v>72007Scratch 2 000</v>
          </cell>
          <cell r="S1843" t="str">
            <v>2007Scratch 2 000</v>
          </cell>
          <cell r="T1843" t="str">
            <v>72007STS GAMBY &amp; FRERES (SOGAF) Sarl</v>
          </cell>
          <cell r="U1843" t="str">
            <v>72007STS GAMBY &amp; FRERES (SOGAF) SarlScratch 2 000</v>
          </cell>
          <cell r="V1843" t="str">
            <v>39273Scratch 2 000</v>
          </cell>
          <cell r="W1843" t="str">
            <v>2007STS GAMBY &amp; FRERES (SOGAF) Sarl</v>
          </cell>
          <cell r="X1843" t="str">
            <v>2007STS GAMBY &amp; FRERES (SOGAF) SarlScratch 2 000</v>
          </cell>
        </row>
        <row r="1844">
          <cell r="I1844">
            <v>2007</v>
          </cell>
          <cell r="J1844" t="str">
            <v>STS GAMBY &amp; FRERES (SOGAF) SarlScratch 1 000</v>
          </cell>
          <cell r="L1844">
            <v>0</v>
          </cell>
          <cell r="M1844" t="str">
            <v>STS GAMBY &amp; FRERES (SOGAF) Sarl</v>
          </cell>
          <cell r="N1844" t="str">
            <v>STS GAMBY &amp; FRERES (SOGAF) SarlScratch 1 000</v>
          </cell>
          <cell r="O1844" t="str">
            <v>STS GAMBY &amp; FRERES (SOGAF) Sarl</v>
          </cell>
          <cell r="P1844" t="str">
            <v>Scratch 1 000</v>
          </cell>
          <cell r="Q1844" t="str">
            <v>72007</v>
          </cell>
          <cell r="R1844" t="str">
            <v>72007Scratch 1 000</v>
          </cell>
          <cell r="S1844" t="str">
            <v>2007Scratch 1 000</v>
          </cell>
          <cell r="T1844" t="str">
            <v>72007STS GAMBY &amp; FRERES (SOGAF) Sarl</v>
          </cell>
          <cell r="U1844" t="str">
            <v>72007STS GAMBY &amp; FRERES (SOGAF) SarlScratch 1 000</v>
          </cell>
          <cell r="V1844" t="str">
            <v>39273Scratch 1 000</v>
          </cell>
          <cell r="W1844" t="str">
            <v>2007STS GAMBY &amp; FRERES (SOGAF) Sarl</v>
          </cell>
          <cell r="X1844" t="str">
            <v>2007STS GAMBY &amp; FRERES (SOGAF) SarlScratch 1 000</v>
          </cell>
        </row>
        <row r="1845">
          <cell r="I1845">
            <v>2007</v>
          </cell>
          <cell r="J1845" t="str">
            <v>MALI COM SarlScratch 20 000</v>
          </cell>
          <cell r="L1845">
            <v>1</v>
          </cell>
          <cell r="M1845" t="str">
            <v>1MALI COM Sarl</v>
          </cell>
          <cell r="N1845" t="str">
            <v>MALI COM SarlScratch 20 000</v>
          </cell>
          <cell r="O1845" t="str">
            <v>MALI COM Sarl</v>
          </cell>
          <cell r="P1845" t="str">
            <v>Scratch 20 000</v>
          </cell>
          <cell r="Q1845" t="str">
            <v>72007</v>
          </cell>
          <cell r="R1845" t="str">
            <v>72007Scratch 20 000</v>
          </cell>
          <cell r="S1845" t="str">
            <v>2007Scratch 20 000</v>
          </cell>
          <cell r="T1845" t="str">
            <v>72007MALI COM Sarl</v>
          </cell>
          <cell r="U1845" t="str">
            <v>72007MALI COM SarlScratch 20 000</v>
          </cell>
          <cell r="V1845" t="str">
            <v>39273Scratch 20 000</v>
          </cell>
          <cell r="W1845" t="str">
            <v>2007MALI COM Sarl</v>
          </cell>
          <cell r="X1845" t="str">
            <v>2007MALI COM SarlScratch 20 000</v>
          </cell>
        </row>
        <row r="1846">
          <cell r="I1846">
            <v>2007</v>
          </cell>
          <cell r="J1846" t="str">
            <v>MALI COM SarlScratch 5 000</v>
          </cell>
          <cell r="L1846">
            <v>0</v>
          </cell>
          <cell r="M1846" t="str">
            <v>MALI COM Sarl</v>
          </cell>
          <cell r="N1846" t="str">
            <v>MALI COM SarlScratch 5 000</v>
          </cell>
          <cell r="O1846" t="str">
            <v>MALI COM Sarl</v>
          </cell>
          <cell r="P1846" t="str">
            <v>Scratch 5 000</v>
          </cell>
          <cell r="Q1846" t="str">
            <v>72007</v>
          </cell>
          <cell r="R1846" t="str">
            <v>72007Scratch 5 000</v>
          </cell>
          <cell r="S1846" t="str">
            <v>2007Scratch 5 000</v>
          </cell>
          <cell r="T1846" t="str">
            <v>72007MALI COM Sarl</v>
          </cell>
          <cell r="U1846" t="str">
            <v>72007MALI COM SarlScratch 5 000</v>
          </cell>
          <cell r="V1846" t="str">
            <v>39273Scratch 5 000</v>
          </cell>
          <cell r="W1846" t="str">
            <v>2007MALI COM Sarl</v>
          </cell>
          <cell r="X1846" t="str">
            <v>2007MALI COM SarlScratch 5 000</v>
          </cell>
        </row>
        <row r="1847">
          <cell r="I1847">
            <v>2007</v>
          </cell>
          <cell r="J1847" t="str">
            <v>MALI COM SarlScratch 2 000</v>
          </cell>
          <cell r="L1847">
            <v>0</v>
          </cell>
          <cell r="M1847" t="str">
            <v>MALI COM Sarl</v>
          </cell>
          <cell r="N1847" t="str">
            <v>MALI COM SarlScratch 2 000</v>
          </cell>
          <cell r="O1847" t="str">
            <v>MALI COM Sarl</v>
          </cell>
          <cell r="P1847" t="str">
            <v>Scratch 2 000</v>
          </cell>
          <cell r="Q1847" t="str">
            <v>72007</v>
          </cell>
          <cell r="R1847" t="str">
            <v>72007Scratch 2 000</v>
          </cell>
          <cell r="S1847" t="str">
            <v>2007Scratch 2 000</v>
          </cell>
          <cell r="T1847" t="str">
            <v>72007MALI COM Sarl</v>
          </cell>
          <cell r="U1847" t="str">
            <v>72007MALI COM SarlScratch 2 000</v>
          </cell>
          <cell r="V1847" t="str">
            <v>39273Scratch 2 000</v>
          </cell>
          <cell r="W1847" t="str">
            <v>2007MALI COM Sarl</v>
          </cell>
          <cell r="X1847" t="str">
            <v>2007MALI COM SarlScratch 2 000</v>
          </cell>
        </row>
        <row r="1848">
          <cell r="I1848">
            <v>2007</v>
          </cell>
          <cell r="J1848" t="str">
            <v>MALI COM SarlScratch 1 000</v>
          </cell>
          <cell r="L1848">
            <v>0</v>
          </cell>
          <cell r="M1848" t="str">
            <v>MALI COM Sarl</v>
          </cell>
          <cell r="N1848" t="str">
            <v>MALI COM SarlScratch 1 000</v>
          </cell>
          <cell r="O1848" t="str">
            <v>MALI COM Sarl</v>
          </cell>
          <cell r="P1848" t="str">
            <v>Scratch 1 000</v>
          </cell>
          <cell r="Q1848" t="str">
            <v>72007</v>
          </cell>
          <cell r="R1848" t="str">
            <v>72007Scratch 1 000</v>
          </cell>
          <cell r="S1848" t="str">
            <v>2007Scratch 1 000</v>
          </cell>
          <cell r="T1848" t="str">
            <v>72007MALI COM Sarl</v>
          </cell>
          <cell r="U1848" t="str">
            <v>72007MALI COM SarlScratch 1 000</v>
          </cell>
          <cell r="V1848" t="str">
            <v>39273Scratch 1 000</v>
          </cell>
          <cell r="W1848" t="str">
            <v>2007MALI COM Sarl</v>
          </cell>
          <cell r="X1848" t="str">
            <v>2007MALI COM SarlScratch 1 000</v>
          </cell>
        </row>
        <row r="1849">
          <cell r="I1849">
            <v>2007</v>
          </cell>
          <cell r="J1849" t="str">
            <v>ANKA SERVICESScratch 20 000</v>
          </cell>
          <cell r="L1849">
            <v>1</v>
          </cell>
          <cell r="M1849" t="str">
            <v>1ANKA SERVICES</v>
          </cell>
          <cell r="N1849" t="str">
            <v>ANKA SERVICESScratch 20 000</v>
          </cell>
          <cell r="O1849" t="str">
            <v>ANKA SERVICES</v>
          </cell>
          <cell r="P1849" t="str">
            <v>Scratch 20 000</v>
          </cell>
          <cell r="Q1849" t="str">
            <v>72007</v>
          </cell>
          <cell r="R1849" t="str">
            <v>72007Scratch 20 000</v>
          </cell>
          <cell r="S1849" t="str">
            <v>2007Scratch 20 000</v>
          </cell>
          <cell r="T1849" t="str">
            <v>72007ANKA SERVICES</v>
          </cell>
          <cell r="U1849" t="str">
            <v>72007ANKA SERVICESScratch 20 000</v>
          </cell>
          <cell r="V1849" t="str">
            <v>39273Scratch 20 000</v>
          </cell>
          <cell r="W1849" t="str">
            <v>2007ANKA SERVICES</v>
          </cell>
          <cell r="X1849" t="str">
            <v>2007ANKA SERVICESScratch 20 000</v>
          </cell>
        </row>
        <row r="1850">
          <cell r="I1850">
            <v>2007</v>
          </cell>
          <cell r="J1850" t="str">
            <v>ANKA SERVICESScratch 5 000</v>
          </cell>
          <cell r="L1850">
            <v>0</v>
          </cell>
          <cell r="M1850" t="str">
            <v>ANKA SERVICES</v>
          </cell>
          <cell r="N1850" t="str">
            <v>ANKA SERVICESScratch 5 000</v>
          </cell>
          <cell r="O1850" t="str">
            <v>ANKA SERVICES</v>
          </cell>
          <cell r="P1850" t="str">
            <v>Scratch 5 000</v>
          </cell>
          <cell r="Q1850" t="str">
            <v>72007</v>
          </cell>
          <cell r="R1850" t="str">
            <v>72007Scratch 5 000</v>
          </cell>
          <cell r="S1850" t="str">
            <v>2007Scratch 5 000</v>
          </cell>
          <cell r="T1850" t="str">
            <v>72007ANKA SERVICES</v>
          </cell>
          <cell r="U1850" t="str">
            <v>72007ANKA SERVICESScratch 5 000</v>
          </cell>
          <cell r="V1850" t="str">
            <v>39273Scratch 5 000</v>
          </cell>
          <cell r="W1850" t="str">
            <v>2007ANKA SERVICES</v>
          </cell>
          <cell r="X1850" t="str">
            <v>2007ANKA SERVICESScratch 5 000</v>
          </cell>
        </row>
        <row r="1851">
          <cell r="I1851">
            <v>2007</v>
          </cell>
          <cell r="J1851" t="str">
            <v>ANKA SERVICESScratch 2 000</v>
          </cell>
          <cell r="L1851">
            <v>0</v>
          </cell>
          <cell r="M1851" t="str">
            <v>ANKA SERVICES</v>
          </cell>
          <cell r="N1851" t="str">
            <v>ANKA SERVICESScratch 2 000</v>
          </cell>
          <cell r="O1851" t="str">
            <v>ANKA SERVICES</v>
          </cell>
          <cell r="P1851" t="str">
            <v>Scratch 2 000</v>
          </cell>
          <cell r="Q1851" t="str">
            <v>72007</v>
          </cell>
          <cell r="R1851" t="str">
            <v>72007Scratch 2 000</v>
          </cell>
          <cell r="S1851" t="str">
            <v>2007Scratch 2 000</v>
          </cell>
          <cell r="T1851" t="str">
            <v>72007ANKA SERVICES</v>
          </cell>
          <cell r="U1851" t="str">
            <v>72007ANKA SERVICESScratch 2 000</v>
          </cell>
          <cell r="V1851" t="str">
            <v>39273Scratch 2 000</v>
          </cell>
          <cell r="W1851" t="str">
            <v>2007ANKA SERVICES</v>
          </cell>
          <cell r="X1851" t="str">
            <v>2007ANKA SERVICESScratch 2 000</v>
          </cell>
        </row>
        <row r="1852">
          <cell r="I1852">
            <v>2007</v>
          </cell>
          <cell r="J1852" t="str">
            <v>ANKA SERVICESScratch 1 000</v>
          </cell>
          <cell r="L1852">
            <v>0</v>
          </cell>
          <cell r="M1852" t="str">
            <v>ANKA SERVICES</v>
          </cell>
          <cell r="N1852" t="str">
            <v>ANKA SERVICESScratch 1 000</v>
          </cell>
          <cell r="O1852" t="str">
            <v>ANKA SERVICES</v>
          </cell>
          <cell r="P1852" t="str">
            <v>Scratch 1 000</v>
          </cell>
          <cell r="Q1852" t="str">
            <v>72007</v>
          </cell>
          <cell r="R1852" t="str">
            <v>72007Scratch 1 000</v>
          </cell>
          <cell r="S1852" t="str">
            <v>2007Scratch 1 000</v>
          </cell>
          <cell r="T1852" t="str">
            <v>72007ANKA SERVICES</v>
          </cell>
          <cell r="U1852" t="str">
            <v>72007ANKA SERVICESScratch 1 000</v>
          </cell>
          <cell r="V1852" t="str">
            <v>39273Scratch 1 000</v>
          </cell>
          <cell r="W1852" t="str">
            <v>2007ANKA SERVICES</v>
          </cell>
          <cell r="X1852" t="str">
            <v>2007ANKA SERVICESScratch 1 000</v>
          </cell>
        </row>
        <row r="1853">
          <cell r="I1853">
            <v>2007</v>
          </cell>
          <cell r="J1853" t="str">
            <v>GEMATELScratch 20 000</v>
          </cell>
          <cell r="L1853">
            <v>1</v>
          </cell>
          <cell r="M1853" t="str">
            <v>1GEMATEL</v>
          </cell>
          <cell r="N1853" t="str">
            <v>GEMATELScratch 20 000</v>
          </cell>
          <cell r="O1853" t="str">
            <v>GEMATEL</v>
          </cell>
          <cell r="P1853" t="str">
            <v>Scratch 20 000</v>
          </cell>
          <cell r="Q1853" t="str">
            <v>72007</v>
          </cell>
          <cell r="R1853" t="str">
            <v>72007Scratch 20 000</v>
          </cell>
          <cell r="S1853" t="str">
            <v>2007Scratch 20 000</v>
          </cell>
          <cell r="T1853" t="str">
            <v>72007GEMATEL</v>
          </cell>
          <cell r="U1853" t="str">
            <v>72007GEMATELScratch 20 000</v>
          </cell>
          <cell r="V1853" t="str">
            <v>39273Scratch 20 000</v>
          </cell>
          <cell r="W1853" t="str">
            <v>2007GEMATEL</v>
          </cell>
          <cell r="X1853" t="str">
            <v>2007GEMATELScratch 20 000</v>
          </cell>
        </row>
        <row r="1854">
          <cell r="I1854">
            <v>2007</v>
          </cell>
          <cell r="J1854" t="str">
            <v>GEMATELScratch 5 000</v>
          </cell>
          <cell r="L1854">
            <v>0</v>
          </cell>
          <cell r="M1854" t="str">
            <v>GEMATEL</v>
          </cell>
          <cell r="N1854" t="str">
            <v>GEMATELScratch 5 000</v>
          </cell>
          <cell r="O1854" t="str">
            <v>GEMATEL</v>
          </cell>
          <cell r="P1854" t="str">
            <v>Scratch 5 000</v>
          </cell>
          <cell r="Q1854" t="str">
            <v>72007</v>
          </cell>
          <cell r="R1854" t="str">
            <v>72007Scratch 5 000</v>
          </cell>
          <cell r="S1854" t="str">
            <v>2007Scratch 5 000</v>
          </cell>
          <cell r="T1854" t="str">
            <v>72007GEMATEL</v>
          </cell>
          <cell r="U1854" t="str">
            <v>72007GEMATELScratch 5 000</v>
          </cell>
          <cell r="V1854" t="str">
            <v>39273Scratch 5 000</v>
          </cell>
          <cell r="W1854" t="str">
            <v>2007GEMATEL</v>
          </cell>
          <cell r="X1854" t="str">
            <v>2007GEMATELScratch 5 000</v>
          </cell>
        </row>
        <row r="1855">
          <cell r="I1855">
            <v>2007</v>
          </cell>
          <cell r="J1855" t="str">
            <v>GEMATELScratch 2 000</v>
          </cell>
          <cell r="L1855">
            <v>0</v>
          </cell>
          <cell r="M1855" t="str">
            <v>GEMATEL</v>
          </cell>
          <cell r="N1855" t="str">
            <v>GEMATELScratch 2 000</v>
          </cell>
          <cell r="O1855" t="str">
            <v>GEMATEL</v>
          </cell>
          <cell r="P1855" t="str">
            <v>Scratch 2 000</v>
          </cell>
          <cell r="Q1855" t="str">
            <v>72007</v>
          </cell>
          <cell r="R1855" t="str">
            <v>72007Scratch 2 000</v>
          </cell>
          <cell r="S1855" t="str">
            <v>2007Scratch 2 000</v>
          </cell>
          <cell r="T1855" t="str">
            <v>72007GEMATEL</v>
          </cell>
          <cell r="U1855" t="str">
            <v>72007GEMATELScratch 2 000</v>
          </cell>
          <cell r="V1855" t="str">
            <v>39273Scratch 2 000</v>
          </cell>
          <cell r="W1855" t="str">
            <v>2007GEMATEL</v>
          </cell>
          <cell r="X1855" t="str">
            <v>2007GEMATELScratch 2 000</v>
          </cell>
        </row>
        <row r="1856">
          <cell r="I1856">
            <v>2007</v>
          </cell>
          <cell r="J1856" t="str">
            <v>GEMATELScratch 1 000</v>
          </cell>
          <cell r="L1856">
            <v>0</v>
          </cell>
          <cell r="M1856" t="str">
            <v>GEMATEL</v>
          </cell>
          <cell r="N1856" t="str">
            <v>GEMATELScratch 1 000</v>
          </cell>
          <cell r="O1856" t="str">
            <v>GEMATEL</v>
          </cell>
          <cell r="P1856" t="str">
            <v>Scratch 1 000</v>
          </cell>
          <cell r="Q1856" t="str">
            <v>72007</v>
          </cell>
          <cell r="R1856" t="str">
            <v>72007Scratch 1 000</v>
          </cell>
          <cell r="S1856" t="str">
            <v>2007Scratch 1 000</v>
          </cell>
          <cell r="T1856" t="str">
            <v>72007GEMATEL</v>
          </cell>
          <cell r="U1856" t="str">
            <v>72007GEMATELScratch 1 000</v>
          </cell>
          <cell r="V1856" t="str">
            <v>39273Scratch 1 000</v>
          </cell>
          <cell r="W1856" t="str">
            <v>2007GEMATEL</v>
          </cell>
          <cell r="X1856" t="str">
            <v>2007GEMATELScratch 1 000</v>
          </cell>
        </row>
        <row r="1857">
          <cell r="I1857">
            <v>2007</v>
          </cell>
          <cell r="J1857" t="str">
            <v>GEMATELScratch 20 000</v>
          </cell>
          <cell r="L1857">
            <v>1</v>
          </cell>
          <cell r="M1857" t="str">
            <v>1GEMATEL</v>
          </cell>
          <cell r="N1857" t="str">
            <v>GEMATELScratch 20 000</v>
          </cell>
          <cell r="O1857" t="str">
            <v>GEMATEL</v>
          </cell>
          <cell r="P1857" t="str">
            <v>Scratch 20 000</v>
          </cell>
          <cell r="Q1857" t="str">
            <v>72007</v>
          </cell>
          <cell r="R1857" t="str">
            <v>72007Scratch 20 000</v>
          </cell>
          <cell r="S1857" t="str">
            <v>2007Scratch 20 000</v>
          </cell>
          <cell r="T1857" t="str">
            <v>72007GEMATEL</v>
          </cell>
          <cell r="U1857" t="str">
            <v>72007GEMATELScratch 20 000</v>
          </cell>
          <cell r="V1857" t="str">
            <v>39273Scratch 20 000</v>
          </cell>
          <cell r="W1857" t="str">
            <v>2007GEMATEL</v>
          </cell>
          <cell r="X1857" t="str">
            <v>2007GEMATELScratch 20 000</v>
          </cell>
        </row>
        <row r="1858">
          <cell r="I1858">
            <v>2007</v>
          </cell>
          <cell r="J1858" t="str">
            <v>GEMATELScratch 5 000</v>
          </cell>
          <cell r="L1858">
            <v>0</v>
          </cell>
          <cell r="M1858" t="str">
            <v>GEMATEL</v>
          </cell>
          <cell r="N1858" t="str">
            <v>GEMATELScratch 5 000</v>
          </cell>
          <cell r="O1858" t="str">
            <v>GEMATEL</v>
          </cell>
          <cell r="P1858" t="str">
            <v>Scratch 5 000</v>
          </cell>
          <cell r="Q1858" t="str">
            <v>72007</v>
          </cell>
          <cell r="R1858" t="str">
            <v>72007Scratch 5 000</v>
          </cell>
          <cell r="S1858" t="str">
            <v>2007Scratch 5 000</v>
          </cell>
          <cell r="T1858" t="str">
            <v>72007GEMATEL</v>
          </cell>
          <cell r="U1858" t="str">
            <v>72007GEMATELScratch 5 000</v>
          </cell>
          <cell r="V1858" t="str">
            <v>39273Scratch 5 000</v>
          </cell>
          <cell r="W1858" t="str">
            <v>2007GEMATEL</v>
          </cell>
          <cell r="X1858" t="str">
            <v>2007GEMATELScratch 5 000</v>
          </cell>
        </row>
        <row r="1859">
          <cell r="I1859">
            <v>2007</v>
          </cell>
          <cell r="J1859" t="str">
            <v>GEMATELScratch 2 000</v>
          </cell>
          <cell r="L1859">
            <v>0</v>
          </cell>
          <cell r="M1859" t="str">
            <v>GEMATEL</v>
          </cell>
          <cell r="N1859" t="str">
            <v>GEMATELScratch 2 000</v>
          </cell>
          <cell r="O1859" t="str">
            <v>GEMATEL</v>
          </cell>
          <cell r="P1859" t="str">
            <v>Scratch 2 000</v>
          </cell>
          <cell r="Q1859" t="str">
            <v>72007</v>
          </cell>
          <cell r="R1859" t="str">
            <v>72007Scratch 2 000</v>
          </cell>
          <cell r="S1859" t="str">
            <v>2007Scratch 2 000</v>
          </cell>
          <cell r="T1859" t="str">
            <v>72007GEMATEL</v>
          </cell>
          <cell r="U1859" t="str">
            <v>72007GEMATELScratch 2 000</v>
          </cell>
          <cell r="V1859" t="str">
            <v>39273Scratch 2 000</v>
          </cell>
          <cell r="W1859" t="str">
            <v>2007GEMATEL</v>
          </cell>
          <cell r="X1859" t="str">
            <v>2007GEMATELScratch 2 000</v>
          </cell>
        </row>
        <row r="1860">
          <cell r="I1860">
            <v>2007</v>
          </cell>
          <cell r="J1860" t="str">
            <v>GEMATELScratch 1 000</v>
          </cell>
          <cell r="L1860">
            <v>0</v>
          </cell>
          <cell r="M1860" t="str">
            <v>GEMATEL</v>
          </cell>
          <cell r="N1860" t="str">
            <v>GEMATELScratch 1 000</v>
          </cell>
          <cell r="O1860" t="str">
            <v>GEMATEL</v>
          </cell>
          <cell r="P1860" t="str">
            <v>Scratch 1 000</v>
          </cell>
          <cell r="Q1860" t="str">
            <v>72007</v>
          </cell>
          <cell r="R1860" t="str">
            <v>72007Scratch 1 000</v>
          </cell>
          <cell r="S1860" t="str">
            <v>2007Scratch 1 000</v>
          </cell>
          <cell r="T1860" t="str">
            <v>72007GEMATEL</v>
          </cell>
          <cell r="U1860" t="str">
            <v>72007GEMATELScratch 1 000</v>
          </cell>
          <cell r="V1860" t="str">
            <v>39273Scratch 1 000</v>
          </cell>
          <cell r="W1860" t="str">
            <v>2007GEMATEL</v>
          </cell>
          <cell r="X1860" t="str">
            <v>2007GEMATELScratch 1 000</v>
          </cell>
        </row>
        <row r="1861">
          <cell r="I1861">
            <v>2007</v>
          </cell>
          <cell r="J1861" t="str">
            <v>Bonneterie Nouvelle TelecomScratch 5 000</v>
          </cell>
          <cell r="L1861">
            <v>1</v>
          </cell>
          <cell r="M1861" t="str">
            <v>1Bonneterie Nouvelle Telecom</v>
          </cell>
          <cell r="N1861" t="str">
            <v>Bonneterie Nouvelle TelecomScratch 5 000</v>
          </cell>
          <cell r="O1861" t="str">
            <v>Bonneterie Nouvelle Telecom</v>
          </cell>
          <cell r="P1861" t="str">
            <v>Scratch 5 000</v>
          </cell>
          <cell r="Q1861" t="str">
            <v>72007</v>
          </cell>
          <cell r="R1861" t="str">
            <v>72007Scratch 5 000</v>
          </cell>
          <cell r="S1861" t="str">
            <v>2007Scratch 5 000</v>
          </cell>
          <cell r="T1861" t="str">
            <v>72007Bonneterie Nouvelle Telecom</v>
          </cell>
          <cell r="U1861" t="str">
            <v>72007Bonneterie Nouvelle TelecomScratch 5 000</v>
          </cell>
          <cell r="V1861" t="str">
            <v>39273Scratch 5 000</v>
          </cell>
          <cell r="W1861" t="str">
            <v>2007Bonneterie Nouvelle Telecom</v>
          </cell>
          <cell r="X1861" t="str">
            <v>2007Bonneterie Nouvelle TelecomScratch 5 000</v>
          </cell>
        </row>
        <row r="1862">
          <cell r="I1862">
            <v>2007</v>
          </cell>
          <cell r="J1862" t="str">
            <v>Bonneterie Nouvelle TelecomScratch 2 000</v>
          </cell>
          <cell r="L1862">
            <v>0</v>
          </cell>
          <cell r="M1862" t="str">
            <v>Bonneterie Nouvelle Telecom</v>
          </cell>
          <cell r="N1862" t="str">
            <v>Bonneterie Nouvelle TelecomScratch 2 000</v>
          </cell>
          <cell r="O1862" t="str">
            <v>Bonneterie Nouvelle Telecom</v>
          </cell>
          <cell r="P1862" t="str">
            <v>Scratch 2 000</v>
          </cell>
          <cell r="Q1862" t="str">
            <v>72007</v>
          </cell>
          <cell r="R1862" t="str">
            <v>72007Scratch 2 000</v>
          </cell>
          <cell r="S1862" t="str">
            <v>2007Scratch 2 000</v>
          </cell>
          <cell r="T1862" t="str">
            <v>72007Bonneterie Nouvelle Telecom</v>
          </cell>
          <cell r="U1862" t="str">
            <v>72007Bonneterie Nouvelle TelecomScratch 2 000</v>
          </cell>
          <cell r="V1862" t="str">
            <v>39273Scratch 2 000</v>
          </cell>
          <cell r="W1862" t="str">
            <v>2007Bonneterie Nouvelle Telecom</v>
          </cell>
          <cell r="X1862" t="str">
            <v>2007Bonneterie Nouvelle TelecomScratch 2 000</v>
          </cell>
        </row>
        <row r="1863">
          <cell r="I1863">
            <v>2007</v>
          </cell>
          <cell r="J1863" t="str">
            <v>Bonneterie Nouvelle TelecomScratch 1 000</v>
          </cell>
          <cell r="L1863">
            <v>0</v>
          </cell>
          <cell r="M1863" t="str">
            <v>Bonneterie Nouvelle Telecom</v>
          </cell>
          <cell r="N1863" t="str">
            <v>Bonneterie Nouvelle TelecomScratch 1 000</v>
          </cell>
          <cell r="O1863" t="str">
            <v>Bonneterie Nouvelle Telecom</v>
          </cell>
          <cell r="P1863" t="str">
            <v>Scratch 1 000</v>
          </cell>
          <cell r="Q1863" t="str">
            <v>72007</v>
          </cell>
          <cell r="R1863" t="str">
            <v>72007Scratch 1 000</v>
          </cell>
          <cell r="S1863" t="str">
            <v>2007Scratch 1 000</v>
          </cell>
          <cell r="T1863" t="str">
            <v>72007Bonneterie Nouvelle Telecom</v>
          </cell>
          <cell r="U1863" t="str">
            <v>72007Bonneterie Nouvelle TelecomScratch 1 000</v>
          </cell>
          <cell r="V1863" t="str">
            <v>39273Scratch 1 000</v>
          </cell>
          <cell r="W1863" t="str">
            <v>2007Bonneterie Nouvelle Telecom</v>
          </cell>
          <cell r="X1863" t="str">
            <v>2007Bonneterie Nouvelle TelecomScratch 1 000</v>
          </cell>
        </row>
        <row r="1864">
          <cell r="I1864">
            <v>2007</v>
          </cell>
          <cell r="J1864" t="str">
            <v>Compagnie Internationale de NegoceScratch 5 000</v>
          </cell>
          <cell r="L1864">
            <v>1</v>
          </cell>
          <cell r="M1864" t="str">
            <v>1Compagnie Internationale de Negoce</v>
          </cell>
          <cell r="N1864" t="str">
            <v>Compagnie Internationale de NegoceScratch 5 000</v>
          </cell>
          <cell r="O1864" t="str">
            <v>Compagnie Internationale de Negoce</v>
          </cell>
          <cell r="P1864" t="str">
            <v>Scratch 5 000</v>
          </cell>
          <cell r="Q1864" t="str">
            <v>72007</v>
          </cell>
          <cell r="R1864" t="str">
            <v>72007Scratch 5 000</v>
          </cell>
          <cell r="S1864" t="str">
            <v>2007Scratch 5 000</v>
          </cell>
          <cell r="T1864" t="str">
            <v>72007Compagnie Internationale de Negoce</v>
          </cell>
          <cell r="U1864" t="str">
            <v>72007Compagnie Internationale de NegoceScratch 5 000</v>
          </cell>
          <cell r="V1864" t="str">
            <v>39274Scratch 5 000</v>
          </cell>
          <cell r="W1864" t="str">
            <v>2007Compagnie Internationale de Negoce</v>
          </cell>
          <cell r="X1864" t="str">
            <v>2007Compagnie Internationale de NegoceScratch 5 000</v>
          </cell>
        </row>
        <row r="1865">
          <cell r="I1865">
            <v>2007</v>
          </cell>
          <cell r="J1865" t="str">
            <v>Compagnie Internationale de NegoceScratch 2 000</v>
          </cell>
          <cell r="L1865">
            <v>0</v>
          </cell>
          <cell r="M1865" t="str">
            <v>Compagnie Internationale de Negoce</v>
          </cell>
          <cell r="N1865" t="str">
            <v>Compagnie Internationale de NegoceScratch 2 000</v>
          </cell>
          <cell r="O1865" t="str">
            <v>Compagnie Internationale de Negoce</v>
          </cell>
          <cell r="P1865" t="str">
            <v>Scratch 2 000</v>
          </cell>
          <cell r="Q1865" t="str">
            <v>72007</v>
          </cell>
          <cell r="R1865" t="str">
            <v>72007Scratch 2 000</v>
          </cell>
          <cell r="S1865" t="str">
            <v>2007Scratch 2 000</v>
          </cell>
          <cell r="T1865" t="str">
            <v>72007Compagnie Internationale de Negoce</v>
          </cell>
          <cell r="U1865" t="str">
            <v>72007Compagnie Internationale de NegoceScratch 2 000</v>
          </cell>
          <cell r="V1865" t="str">
            <v>39274Scratch 2 000</v>
          </cell>
          <cell r="W1865" t="str">
            <v>2007Compagnie Internationale de Negoce</v>
          </cell>
          <cell r="X1865" t="str">
            <v>2007Compagnie Internationale de NegoceScratch 2 000</v>
          </cell>
        </row>
        <row r="1866">
          <cell r="I1866">
            <v>2007</v>
          </cell>
          <cell r="J1866" t="str">
            <v>Compagnie Internationale de NegoceScratch 1 000</v>
          </cell>
          <cell r="L1866">
            <v>0</v>
          </cell>
          <cell r="M1866" t="str">
            <v>Compagnie Internationale de Negoce</v>
          </cell>
          <cell r="N1866" t="str">
            <v>Compagnie Internationale de NegoceScratch 1 000</v>
          </cell>
          <cell r="O1866" t="str">
            <v>Compagnie Internationale de Negoce</v>
          </cell>
          <cell r="P1866" t="str">
            <v>Scratch 1 000</v>
          </cell>
          <cell r="Q1866" t="str">
            <v>72007</v>
          </cell>
          <cell r="R1866" t="str">
            <v>72007Scratch 1 000</v>
          </cell>
          <cell r="S1866" t="str">
            <v>2007Scratch 1 000</v>
          </cell>
          <cell r="T1866" t="str">
            <v>72007Compagnie Internationale de Negoce</v>
          </cell>
          <cell r="U1866" t="str">
            <v>72007Compagnie Internationale de NegoceScratch 1 000</v>
          </cell>
          <cell r="V1866" t="str">
            <v>39274Scratch 1 000</v>
          </cell>
          <cell r="W1866" t="str">
            <v>2007Compagnie Internationale de Negoce</v>
          </cell>
          <cell r="X1866" t="str">
            <v>2007Compagnie Internationale de NegoceScratch 1 000</v>
          </cell>
        </row>
        <row r="1867">
          <cell r="I1867">
            <v>2007</v>
          </cell>
          <cell r="J1867" t="str">
            <v>STS GAMBY &amp; FRERES (SOGAF) SarlScratch 5 000</v>
          </cell>
          <cell r="L1867">
            <v>1</v>
          </cell>
          <cell r="M1867" t="str">
            <v>1STS GAMBY &amp; FRERES (SOGAF) Sarl</v>
          </cell>
          <cell r="N1867" t="str">
            <v>STS GAMBY &amp; FRERES (SOGAF) SarlScratch 5 000</v>
          </cell>
          <cell r="O1867" t="str">
            <v>STS GAMBY &amp; FRERES (SOGAF) Sarl</v>
          </cell>
          <cell r="P1867" t="str">
            <v>Scratch 5 000</v>
          </cell>
          <cell r="Q1867" t="str">
            <v>72007</v>
          </cell>
          <cell r="R1867" t="str">
            <v>72007Scratch 5 000</v>
          </cell>
          <cell r="S1867" t="str">
            <v>2007Scratch 5 000</v>
          </cell>
          <cell r="T1867" t="str">
            <v>72007STS GAMBY &amp; FRERES (SOGAF) Sarl</v>
          </cell>
          <cell r="U1867" t="str">
            <v>72007STS GAMBY &amp; FRERES (SOGAF) SarlScratch 5 000</v>
          </cell>
          <cell r="V1867" t="str">
            <v>39274Scratch 5 000</v>
          </cell>
          <cell r="W1867" t="str">
            <v>2007STS GAMBY &amp; FRERES (SOGAF) Sarl</v>
          </cell>
          <cell r="X1867" t="str">
            <v>2007STS GAMBY &amp; FRERES (SOGAF) SarlScratch 5 000</v>
          </cell>
        </row>
        <row r="1868">
          <cell r="I1868">
            <v>2007</v>
          </cell>
          <cell r="J1868" t="str">
            <v>STS GAMBY &amp; FRERES (SOGAF) SarlScratch 2 000</v>
          </cell>
          <cell r="L1868">
            <v>0</v>
          </cell>
          <cell r="M1868" t="str">
            <v>STS GAMBY &amp; FRERES (SOGAF) Sarl</v>
          </cell>
          <cell r="N1868" t="str">
            <v>STS GAMBY &amp; FRERES (SOGAF) SarlScratch 2 000</v>
          </cell>
          <cell r="O1868" t="str">
            <v>STS GAMBY &amp; FRERES (SOGAF) Sarl</v>
          </cell>
          <cell r="P1868" t="str">
            <v>Scratch 2 000</v>
          </cell>
          <cell r="Q1868" t="str">
            <v>72007</v>
          </cell>
          <cell r="R1868" t="str">
            <v>72007Scratch 2 000</v>
          </cell>
          <cell r="S1868" t="str">
            <v>2007Scratch 2 000</v>
          </cell>
          <cell r="T1868" t="str">
            <v>72007STS GAMBY &amp; FRERES (SOGAF) Sarl</v>
          </cell>
          <cell r="U1868" t="str">
            <v>72007STS GAMBY &amp; FRERES (SOGAF) SarlScratch 2 000</v>
          </cell>
          <cell r="V1868" t="str">
            <v>39274Scratch 2 000</v>
          </cell>
          <cell r="W1868" t="str">
            <v>2007STS GAMBY &amp; FRERES (SOGAF) Sarl</v>
          </cell>
          <cell r="X1868" t="str">
            <v>2007STS GAMBY &amp; FRERES (SOGAF) SarlScratch 2 000</v>
          </cell>
        </row>
        <row r="1869">
          <cell r="I1869">
            <v>2007</v>
          </cell>
          <cell r="J1869" t="str">
            <v>STS GAMBY &amp; FRERES (SOGAF) SarlScratch 1 000</v>
          </cell>
          <cell r="L1869">
            <v>0</v>
          </cell>
          <cell r="M1869" t="str">
            <v>STS GAMBY &amp; FRERES (SOGAF) Sarl</v>
          </cell>
          <cell r="N1869" t="str">
            <v>STS GAMBY &amp; FRERES (SOGAF) SarlScratch 1 000</v>
          </cell>
          <cell r="O1869" t="str">
            <v>STS GAMBY &amp; FRERES (SOGAF) Sarl</v>
          </cell>
          <cell r="P1869" t="str">
            <v>Scratch 1 000</v>
          </cell>
          <cell r="Q1869" t="str">
            <v>72007</v>
          </cell>
          <cell r="R1869" t="str">
            <v>72007Scratch 1 000</v>
          </cell>
          <cell r="S1869" t="str">
            <v>2007Scratch 1 000</v>
          </cell>
          <cell r="T1869" t="str">
            <v>72007STS GAMBY &amp; FRERES (SOGAF) Sarl</v>
          </cell>
          <cell r="U1869" t="str">
            <v>72007STS GAMBY &amp; FRERES (SOGAF) SarlScratch 1 000</v>
          </cell>
          <cell r="V1869" t="str">
            <v>39274Scratch 1 000</v>
          </cell>
          <cell r="W1869" t="str">
            <v>2007STS GAMBY &amp; FRERES (SOGAF) Sarl</v>
          </cell>
          <cell r="X1869" t="str">
            <v>2007STS GAMBY &amp; FRERES (SOGAF) SarlScratch 1 000</v>
          </cell>
        </row>
        <row r="1870">
          <cell r="I1870">
            <v>2007</v>
          </cell>
          <cell r="J1870" t="str">
            <v>SOMAKOFFScratch 20 000</v>
          </cell>
          <cell r="L1870">
            <v>1</v>
          </cell>
          <cell r="M1870" t="str">
            <v>1SOMAKOFF</v>
          </cell>
          <cell r="N1870" t="str">
            <v>SOMAKOFFScratch 20 000</v>
          </cell>
          <cell r="O1870" t="str">
            <v>SOMAKOFF</v>
          </cell>
          <cell r="P1870" t="str">
            <v>Scratch 20 000</v>
          </cell>
          <cell r="Q1870" t="str">
            <v>72007</v>
          </cell>
          <cell r="R1870" t="str">
            <v>72007Scratch 20 000</v>
          </cell>
          <cell r="S1870" t="str">
            <v>2007Scratch 20 000</v>
          </cell>
          <cell r="T1870" t="str">
            <v>72007SOMAKOFF</v>
          </cell>
          <cell r="U1870" t="str">
            <v>72007SOMAKOFFScratch 20 000</v>
          </cell>
          <cell r="V1870" t="str">
            <v>39274Scratch 20 000</v>
          </cell>
          <cell r="W1870" t="str">
            <v>2007SOMAKOFF</v>
          </cell>
          <cell r="X1870" t="str">
            <v>2007SOMAKOFFScratch 20 000</v>
          </cell>
        </row>
        <row r="1871">
          <cell r="I1871">
            <v>2007</v>
          </cell>
          <cell r="J1871" t="str">
            <v>SOMAKOFFScratch 10 000</v>
          </cell>
          <cell r="L1871">
            <v>0</v>
          </cell>
          <cell r="M1871" t="str">
            <v>SOMAKOFF</v>
          </cell>
          <cell r="N1871" t="str">
            <v>SOMAKOFFScratch 10 000</v>
          </cell>
          <cell r="O1871" t="str">
            <v>SOMAKOFF</v>
          </cell>
          <cell r="P1871" t="str">
            <v>Scratch 10 000</v>
          </cell>
          <cell r="Q1871" t="str">
            <v>72007</v>
          </cell>
          <cell r="R1871" t="str">
            <v>72007Scratch 10 000</v>
          </cell>
          <cell r="S1871" t="str">
            <v>2007Scratch 10 000</v>
          </cell>
          <cell r="T1871" t="str">
            <v>72007SOMAKOFF</v>
          </cell>
          <cell r="U1871" t="str">
            <v>72007SOMAKOFFScratch 10 000</v>
          </cell>
          <cell r="V1871" t="str">
            <v>39274Scratch 10 000</v>
          </cell>
          <cell r="W1871" t="str">
            <v>2007SOMAKOFF</v>
          </cell>
          <cell r="X1871" t="str">
            <v>2007SOMAKOFFScratch 10 000</v>
          </cell>
        </row>
        <row r="1872">
          <cell r="I1872">
            <v>2007</v>
          </cell>
          <cell r="J1872" t="str">
            <v>SOMAKOFFScratch 1 000</v>
          </cell>
          <cell r="L1872">
            <v>0</v>
          </cell>
          <cell r="M1872" t="str">
            <v>SOMAKOFF</v>
          </cell>
          <cell r="N1872" t="str">
            <v>SOMAKOFFScratch 1 000</v>
          </cell>
          <cell r="O1872" t="str">
            <v>SOMAKOFF</v>
          </cell>
          <cell r="P1872" t="str">
            <v>Scratch 1 000</v>
          </cell>
          <cell r="Q1872" t="str">
            <v>72007</v>
          </cell>
          <cell r="R1872" t="str">
            <v>72007Scratch 1 000</v>
          </cell>
          <cell r="S1872" t="str">
            <v>2007Scratch 1 000</v>
          </cell>
          <cell r="T1872" t="str">
            <v>72007SOMAKOFF</v>
          </cell>
          <cell r="U1872" t="str">
            <v>72007SOMAKOFFScratch 1 000</v>
          </cell>
          <cell r="V1872" t="str">
            <v>39274Scratch 1 000</v>
          </cell>
          <cell r="W1872" t="str">
            <v>2007SOMAKOFF</v>
          </cell>
          <cell r="X1872" t="str">
            <v>2007SOMAKOFFScratch 1 000</v>
          </cell>
        </row>
        <row r="1873">
          <cell r="I1873">
            <v>2007</v>
          </cell>
          <cell r="J1873" t="str">
            <v>ANKA SERVICESScratch 5 000</v>
          </cell>
          <cell r="L1873">
            <v>1</v>
          </cell>
          <cell r="M1873" t="str">
            <v>1ANKA SERVICES</v>
          </cell>
          <cell r="N1873" t="str">
            <v>ANKA SERVICESScratch 5 000</v>
          </cell>
          <cell r="O1873" t="str">
            <v>ANKA SERVICES</v>
          </cell>
          <cell r="P1873" t="str">
            <v>Scratch 5 000</v>
          </cell>
          <cell r="Q1873" t="str">
            <v>72007</v>
          </cell>
          <cell r="R1873" t="str">
            <v>72007Scratch 5 000</v>
          </cell>
          <cell r="S1873" t="str">
            <v>2007Scratch 5 000</v>
          </cell>
          <cell r="T1873" t="str">
            <v>72007ANKA SERVICES</v>
          </cell>
          <cell r="U1873" t="str">
            <v>72007ANKA SERVICESScratch 5 000</v>
          </cell>
          <cell r="V1873" t="str">
            <v>39274Scratch 5 000</v>
          </cell>
          <cell r="W1873" t="str">
            <v>2007ANKA SERVICES</v>
          </cell>
          <cell r="X1873" t="str">
            <v>2007ANKA SERVICESScratch 5 000</v>
          </cell>
        </row>
        <row r="1874">
          <cell r="I1874">
            <v>2007</v>
          </cell>
          <cell r="J1874" t="str">
            <v>ANKA SERVICESScratch 2 000</v>
          </cell>
          <cell r="L1874">
            <v>0</v>
          </cell>
          <cell r="M1874" t="str">
            <v>ANKA SERVICES</v>
          </cell>
          <cell r="N1874" t="str">
            <v>ANKA SERVICESScratch 2 000</v>
          </cell>
          <cell r="O1874" t="str">
            <v>ANKA SERVICES</v>
          </cell>
          <cell r="P1874" t="str">
            <v>Scratch 2 000</v>
          </cell>
          <cell r="Q1874" t="str">
            <v>72007</v>
          </cell>
          <cell r="R1874" t="str">
            <v>72007Scratch 2 000</v>
          </cell>
          <cell r="S1874" t="str">
            <v>2007Scratch 2 000</v>
          </cell>
          <cell r="T1874" t="str">
            <v>72007ANKA SERVICES</v>
          </cell>
          <cell r="U1874" t="str">
            <v>72007ANKA SERVICESScratch 2 000</v>
          </cell>
          <cell r="V1874" t="str">
            <v>39274Scratch 2 000</v>
          </cell>
          <cell r="W1874" t="str">
            <v>2007ANKA SERVICES</v>
          </cell>
          <cell r="X1874" t="str">
            <v>2007ANKA SERVICESScratch 2 000</v>
          </cell>
        </row>
        <row r="1875">
          <cell r="I1875">
            <v>2007</v>
          </cell>
          <cell r="J1875" t="str">
            <v>ANKA SERVICESScratch 1 000</v>
          </cell>
          <cell r="L1875">
            <v>0</v>
          </cell>
          <cell r="M1875" t="str">
            <v>ANKA SERVICES</v>
          </cell>
          <cell r="N1875" t="str">
            <v>ANKA SERVICESScratch 1 000</v>
          </cell>
          <cell r="O1875" t="str">
            <v>ANKA SERVICES</v>
          </cell>
          <cell r="P1875" t="str">
            <v>Scratch 1 000</v>
          </cell>
          <cell r="Q1875" t="str">
            <v>72007</v>
          </cell>
          <cell r="R1875" t="str">
            <v>72007Scratch 1 000</v>
          </cell>
          <cell r="S1875" t="str">
            <v>2007Scratch 1 000</v>
          </cell>
          <cell r="T1875" t="str">
            <v>72007ANKA SERVICES</v>
          </cell>
          <cell r="U1875" t="str">
            <v>72007ANKA SERVICESScratch 1 000</v>
          </cell>
          <cell r="V1875" t="str">
            <v>39274Scratch 1 000</v>
          </cell>
          <cell r="W1875" t="str">
            <v>2007ANKA SERVICES</v>
          </cell>
          <cell r="X1875" t="str">
            <v>2007ANKA SERVICESScratch 1 000</v>
          </cell>
        </row>
        <row r="1876">
          <cell r="I1876">
            <v>2007</v>
          </cell>
          <cell r="J1876" t="str">
            <v>GEMATELScratch 5 000</v>
          </cell>
          <cell r="L1876">
            <v>1</v>
          </cell>
          <cell r="M1876" t="str">
            <v>1GEMATEL</v>
          </cell>
          <cell r="N1876" t="str">
            <v>GEMATELScratch 5 000</v>
          </cell>
          <cell r="O1876" t="str">
            <v>GEMATEL</v>
          </cell>
          <cell r="P1876" t="str">
            <v>Scratch 5 000</v>
          </cell>
          <cell r="Q1876" t="str">
            <v>72007</v>
          </cell>
          <cell r="R1876" t="str">
            <v>72007Scratch 5 000</v>
          </cell>
          <cell r="S1876" t="str">
            <v>2007Scratch 5 000</v>
          </cell>
          <cell r="T1876" t="str">
            <v>72007GEMATEL</v>
          </cell>
          <cell r="U1876" t="str">
            <v>72007GEMATELScratch 5 000</v>
          </cell>
          <cell r="V1876" t="str">
            <v>39274Scratch 5 000</v>
          </cell>
          <cell r="W1876" t="str">
            <v>2007GEMATEL</v>
          </cell>
          <cell r="X1876" t="str">
            <v>2007GEMATELScratch 5 000</v>
          </cell>
        </row>
        <row r="1877">
          <cell r="I1877">
            <v>2007</v>
          </cell>
          <cell r="J1877" t="str">
            <v>GEMATELScratch 2 000</v>
          </cell>
          <cell r="L1877">
            <v>0</v>
          </cell>
          <cell r="M1877" t="str">
            <v>GEMATEL</v>
          </cell>
          <cell r="N1877" t="str">
            <v>GEMATELScratch 2 000</v>
          </cell>
          <cell r="O1877" t="str">
            <v>GEMATEL</v>
          </cell>
          <cell r="P1877" t="str">
            <v>Scratch 2 000</v>
          </cell>
          <cell r="Q1877" t="str">
            <v>72007</v>
          </cell>
          <cell r="R1877" t="str">
            <v>72007Scratch 2 000</v>
          </cell>
          <cell r="S1877" t="str">
            <v>2007Scratch 2 000</v>
          </cell>
          <cell r="T1877" t="str">
            <v>72007GEMATEL</v>
          </cell>
          <cell r="U1877" t="str">
            <v>72007GEMATELScratch 2 000</v>
          </cell>
          <cell r="V1877" t="str">
            <v>39274Scratch 2 000</v>
          </cell>
          <cell r="W1877" t="str">
            <v>2007GEMATEL</v>
          </cell>
          <cell r="X1877" t="str">
            <v>2007GEMATELScratch 2 000</v>
          </cell>
        </row>
        <row r="1878">
          <cell r="I1878">
            <v>2007</v>
          </cell>
          <cell r="J1878" t="str">
            <v>GEMATELScratch 1 000</v>
          </cell>
          <cell r="L1878">
            <v>0</v>
          </cell>
          <cell r="M1878" t="str">
            <v>GEMATEL</v>
          </cell>
          <cell r="N1878" t="str">
            <v>GEMATELScratch 1 000</v>
          </cell>
          <cell r="O1878" t="str">
            <v>GEMATEL</v>
          </cell>
          <cell r="P1878" t="str">
            <v>Scratch 1 000</v>
          </cell>
          <cell r="Q1878" t="str">
            <v>72007</v>
          </cell>
          <cell r="R1878" t="str">
            <v>72007Scratch 1 000</v>
          </cell>
          <cell r="S1878" t="str">
            <v>2007Scratch 1 000</v>
          </cell>
          <cell r="T1878" t="str">
            <v>72007GEMATEL</v>
          </cell>
          <cell r="U1878" t="str">
            <v>72007GEMATELScratch 1 000</v>
          </cell>
          <cell r="V1878" t="str">
            <v>39274Scratch 1 000</v>
          </cell>
          <cell r="W1878" t="str">
            <v>2007GEMATEL</v>
          </cell>
          <cell r="X1878" t="str">
            <v>2007GEMATELScratch 1 000</v>
          </cell>
        </row>
        <row r="1879">
          <cell r="I1879">
            <v>2007</v>
          </cell>
          <cell r="J1879" t="str">
            <v>Ets Mamadou GAMBYScratch 20 000</v>
          </cell>
          <cell r="L1879">
            <v>1</v>
          </cell>
          <cell r="M1879" t="str">
            <v>1Ets Mamadou GAMBY</v>
          </cell>
          <cell r="N1879" t="str">
            <v>Ets Mamadou GAMBYScratch 20 000</v>
          </cell>
          <cell r="O1879" t="str">
            <v>Ets Mamadou GAMBY</v>
          </cell>
          <cell r="P1879" t="str">
            <v>Scratch 20 000</v>
          </cell>
          <cell r="Q1879" t="str">
            <v>72007</v>
          </cell>
          <cell r="R1879" t="str">
            <v>72007Scratch 20 000</v>
          </cell>
          <cell r="S1879" t="str">
            <v>2007Scratch 20 000</v>
          </cell>
          <cell r="T1879" t="str">
            <v>72007Ets Mamadou GAMBY</v>
          </cell>
          <cell r="U1879" t="str">
            <v>72007Ets Mamadou GAMBYScratch 20 000</v>
          </cell>
          <cell r="V1879" t="str">
            <v>39274Scratch 20 000</v>
          </cell>
          <cell r="W1879" t="str">
            <v>2007Ets Mamadou GAMBY</v>
          </cell>
          <cell r="X1879" t="str">
            <v>2007Ets Mamadou GAMBYScratch 20 000</v>
          </cell>
        </row>
        <row r="1880">
          <cell r="I1880">
            <v>2007</v>
          </cell>
          <cell r="J1880" t="str">
            <v>Ets Mamadou GAMBYScratch 10 000</v>
          </cell>
          <cell r="L1880">
            <v>0</v>
          </cell>
          <cell r="M1880" t="str">
            <v>Ets Mamadou GAMBY</v>
          </cell>
          <cell r="N1880" t="str">
            <v>Ets Mamadou GAMBYScratch 10 000</v>
          </cell>
          <cell r="O1880" t="str">
            <v>Ets Mamadou GAMBY</v>
          </cell>
          <cell r="P1880" t="str">
            <v>Scratch 10 000</v>
          </cell>
          <cell r="Q1880" t="str">
            <v>72007</v>
          </cell>
          <cell r="R1880" t="str">
            <v>72007Scratch 10 000</v>
          </cell>
          <cell r="S1880" t="str">
            <v>2007Scratch 10 000</v>
          </cell>
          <cell r="T1880" t="str">
            <v>72007Ets Mamadou GAMBY</v>
          </cell>
          <cell r="U1880" t="str">
            <v>72007Ets Mamadou GAMBYScratch 10 000</v>
          </cell>
          <cell r="V1880" t="str">
            <v>39274Scratch 10 000</v>
          </cell>
          <cell r="W1880" t="str">
            <v>2007Ets Mamadou GAMBY</v>
          </cell>
          <cell r="X1880" t="str">
            <v>2007Ets Mamadou GAMBYScratch 10 000</v>
          </cell>
        </row>
        <row r="1881">
          <cell r="I1881">
            <v>2007</v>
          </cell>
          <cell r="J1881" t="str">
            <v>Ets Mamadou GAMBYScratch 5 000</v>
          </cell>
          <cell r="L1881">
            <v>0</v>
          </cell>
          <cell r="M1881" t="str">
            <v>Ets Mamadou GAMBY</v>
          </cell>
          <cell r="N1881" t="str">
            <v>Ets Mamadou GAMBYScratch 5 000</v>
          </cell>
          <cell r="O1881" t="str">
            <v>Ets Mamadou GAMBY</v>
          </cell>
          <cell r="P1881" t="str">
            <v>Scratch 5 000</v>
          </cell>
          <cell r="Q1881" t="str">
            <v>72007</v>
          </cell>
          <cell r="R1881" t="str">
            <v>72007Scratch 5 000</v>
          </cell>
          <cell r="S1881" t="str">
            <v>2007Scratch 5 000</v>
          </cell>
          <cell r="T1881" t="str">
            <v>72007Ets Mamadou GAMBY</v>
          </cell>
          <cell r="U1881" t="str">
            <v>72007Ets Mamadou GAMBYScratch 5 000</v>
          </cell>
          <cell r="V1881" t="str">
            <v>39274Scratch 5 000</v>
          </cell>
          <cell r="W1881" t="str">
            <v>2007Ets Mamadou GAMBY</v>
          </cell>
          <cell r="X1881" t="str">
            <v>2007Ets Mamadou GAMBYScratch 5 000</v>
          </cell>
        </row>
        <row r="1882">
          <cell r="I1882">
            <v>2007</v>
          </cell>
          <cell r="J1882" t="str">
            <v>Ets Mamadou GAMBYScratch 2 000</v>
          </cell>
          <cell r="L1882">
            <v>0</v>
          </cell>
          <cell r="M1882" t="str">
            <v>Ets Mamadou GAMBY</v>
          </cell>
          <cell r="N1882" t="str">
            <v>Ets Mamadou GAMBYScratch 2 000</v>
          </cell>
          <cell r="O1882" t="str">
            <v>Ets Mamadou GAMBY</v>
          </cell>
          <cell r="P1882" t="str">
            <v>Scratch 2 000</v>
          </cell>
          <cell r="Q1882" t="str">
            <v>72007</v>
          </cell>
          <cell r="R1882" t="str">
            <v>72007Scratch 2 000</v>
          </cell>
          <cell r="S1882" t="str">
            <v>2007Scratch 2 000</v>
          </cell>
          <cell r="T1882" t="str">
            <v>72007Ets Mamadou GAMBY</v>
          </cell>
          <cell r="U1882" t="str">
            <v>72007Ets Mamadou GAMBYScratch 2 000</v>
          </cell>
          <cell r="V1882" t="str">
            <v>39274Scratch 2 000</v>
          </cell>
          <cell r="W1882" t="str">
            <v>2007Ets Mamadou GAMBY</v>
          </cell>
          <cell r="X1882" t="str">
            <v>2007Ets Mamadou GAMBYScratch 2 000</v>
          </cell>
        </row>
        <row r="1883">
          <cell r="I1883">
            <v>2007</v>
          </cell>
          <cell r="J1883" t="str">
            <v>Ets Mamadou GAMBYScratch 1 000</v>
          </cell>
          <cell r="L1883">
            <v>0</v>
          </cell>
          <cell r="M1883" t="str">
            <v>Ets Mamadou GAMBY</v>
          </cell>
          <cell r="N1883" t="str">
            <v>Ets Mamadou GAMBYScratch 1 000</v>
          </cell>
          <cell r="O1883" t="str">
            <v>Ets Mamadou GAMBY</v>
          </cell>
          <cell r="P1883" t="str">
            <v>Scratch 1 000</v>
          </cell>
          <cell r="Q1883" t="str">
            <v>72007</v>
          </cell>
          <cell r="R1883" t="str">
            <v>72007Scratch 1 000</v>
          </cell>
          <cell r="S1883" t="str">
            <v>2007Scratch 1 000</v>
          </cell>
          <cell r="T1883" t="str">
            <v>72007Ets Mamadou GAMBY</v>
          </cell>
          <cell r="U1883" t="str">
            <v>72007Ets Mamadou GAMBYScratch 1 000</v>
          </cell>
          <cell r="V1883" t="str">
            <v>39274Scratch 1 000</v>
          </cell>
          <cell r="W1883" t="str">
            <v>2007Ets Mamadou GAMBY</v>
          </cell>
          <cell r="X1883" t="str">
            <v>2007Ets Mamadou GAMBYScratch 1 000</v>
          </cell>
        </row>
        <row r="1884">
          <cell r="I1884">
            <v>2007</v>
          </cell>
          <cell r="J1884" t="str">
            <v>Soleil LevantScratch 5 000</v>
          </cell>
          <cell r="L1884">
            <v>1</v>
          </cell>
          <cell r="M1884" t="str">
            <v>1Soleil Levant</v>
          </cell>
          <cell r="N1884" t="str">
            <v>Soleil LevantScratch 5 000</v>
          </cell>
          <cell r="O1884" t="str">
            <v>Soleil Levant</v>
          </cell>
          <cell r="P1884" t="str">
            <v>Scratch 5 000</v>
          </cell>
          <cell r="Q1884" t="str">
            <v>72007</v>
          </cell>
          <cell r="R1884" t="str">
            <v>72007Scratch 5 000</v>
          </cell>
          <cell r="S1884" t="str">
            <v>2007Scratch 5 000</v>
          </cell>
          <cell r="T1884" t="str">
            <v>72007Soleil Levant</v>
          </cell>
          <cell r="U1884" t="str">
            <v>72007Soleil LevantScratch 5 000</v>
          </cell>
          <cell r="V1884" t="str">
            <v>39275Scratch 5 000</v>
          </cell>
          <cell r="W1884" t="str">
            <v>2007Soleil Levant</v>
          </cell>
          <cell r="X1884" t="str">
            <v>2007Soleil LevantScratch 5 000</v>
          </cell>
        </row>
        <row r="1885">
          <cell r="I1885">
            <v>2007</v>
          </cell>
          <cell r="J1885" t="str">
            <v>Soleil LevantScratch 2 000</v>
          </cell>
          <cell r="L1885">
            <v>0</v>
          </cell>
          <cell r="M1885" t="str">
            <v>Soleil Levant</v>
          </cell>
          <cell r="N1885" t="str">
            <v>Soleil LevantScratch 2 000</v>
          </cell>
          <cell r="O1885" t="str">
            <v>Soleil Levant</v>
          </cell>
          <cell r="P1885" t="str">
            <v>Scratch 2 000</v>
          </cell>
          <cell r="Q1885" t="str">
            <v>72007</v>
          </cell>
          <cell r="R1885" t="str">
            <v>72007Scratch 2 000</v>
          </cell>
          <cell r="S1885" t="str">
            <v>2007Scratch 2 000</v>
          </cell>
          <cell r="T1885" t="str">
            <v>72007Soleil Levant</v>
          </cell>
          <cell r="U1885" t="str">
            <v>72007Soleil LevantScratch 2 000</v>
          </cell>
          <cell r="V1885" t="str">
            <v>39275Scratch 2 000</v>
          </cell>
          <cell r="W1885" t="str">
            <v>2007Soleil Levant</v>
          </cell>
          <cell r="X1885" t="str">
            <v>2007Soleil LevantScratch 2 000</v>
          </cell>
        </row>
        <row r="1886">
          <cell r="I1886">
            <v>2007</v>
          </cell>
          <cell r="J1886" t="str">
            <v>Soleil LevantScratch 1 000</v>
          </cell>
          <cell r="L1886">
            <v>0</v>
          </cell>
          <cell r="M1886" t="str">
            <v>Soleil Levant</v>
          </cell>
          <cell r="N1886" t="str">
            <v>Soleil LevantScratch 1 000</v>
          </cell>
          <cell r="O1886" t="str">
            <v>Soleil Levant</v>
          </cell>
          <cell r="P1886" t="str">
            <v>Scratch 1 000</v>
          </cell>
          <cell r="Q1886" t="str">
            <v>72007</v>
          </cell>
          <cell r="R1886" t="str">
            <v>72007Scratch 1 000</v>
          </cell>
          <cell r="S1886" t="str">
            <v>2007Scratch 1 000</v>
          </cell>
          <cell r="T1886" t="str">
            <v>72007Soleil Levant</v>
          </cell>
          <cell r="U1886" t="str">
            <v>72007Soleil LevantScratch 1 000</v>
          </cell>
          <cell r="V1886" t="str">
            <v>39275Scratch 1 000</v>
          </cell>
          <cell r="W1886" t="str">
            <v>2007Soleil Levant</v>
          </cell>
          <cell r="X1886" t="str">
            <v>2007Soleil LevantScratch 1 000</v>
          </cell>
        </row>
        <row r="1887">
          <cell r="I1887">
            <v>2007</v>
          </cell>
          <cell r="J1887" t="str">
            <v>STS GAMBY &amp; FRERES (SOGAF) SarlScratch 5 000</v>
          </cell>
          <cell r="L1887">
            <v>1</v>
          </cell>
          <cell r="M1887" t="str">
            <v>1STS GAMBY &amp; FRERES (SOGAF) Sarl</v>
          </cell>
          <cell r="N1887" t="str">
            <v>STS GAMBY &amp; FRERES (SOGAF) SarlScratch 5 000</v>
          </cell>
          <cell r="O1887" t="str">
            <v>STS GAMBY &amp; FRERES (SOGAF) Sarl</v>
          </cell>
          <cell r="P1887" t="str">
            <v>Scratch 5 000</v>
          </cell>
          <cell r="Q1887" t="str">
            <v>72007</v>
          </cell>
          <cell r="R1887" t="str">
            <v>72007Scratch 5 000</v>
          </cell>
          <cell r="S1887" t="str">
            <v>2007Scratch 5 000</v>
          </cell>
          <cell r="T1887" t="str">
            <v>72007STS GAMBY &amp; FRERES (SOGAF) Sarl</v>
          </cell>
          <cell r="U1887" t="str">
            <v>72007STS GAMBY &amp; FRERES (SOGAF) SarlScratch 5 000</v>
          </cell>
          <cell r="V1887" t="str">
            <v>39275Scratch 5 000</v>
          </cell>
          <cell r="W1887" t="str">
            <v>2007STS GAMBY &amp; FRERES (SOGAF) Sarl</v>
          </cell>
          <cell r="X1887" t="str">
            <v>2007STS GAMBY &amp; FRERES (SOGAF) SarlScratch 5 000</v>
          </cell>
        </row>
        <row r="1888">
          <cell r="I1888">
            <v>2007</v>
          </cell>
          <cell r="J1888" t="str">
            <v>STS GAMBY &amp; FRERES (SOGAF) SarlScratch 2 000</v>
          </cell>
          <cell r="L1888">
            <v>0</v>
          </cell>
          <cell r="M1888" t="str">
            <v>STS GAMBY &amp; FRERES (SOGAF) Sarl</v>
          </cell>
          <cell r="N1888" t="str">
            <v>STS GAMBY &amp; FRERES (SOGAF) SarlScratch 2 000</v>
          </cell>
          <cell r="O1888" t="str">
            <v>STS GAMBY &amp; FRERES (SOGAF) Sarl</v>
          </cell>
          <cell r="P1888" t="str">
            <v>Scratch 2 000</v>
          </cell>
          <cell r="Q1888" t="str">
            <v>72007</v>
          </cell>
          <cell r="R1888" t="str">
            <v>72007Scratch 2 000</v>
          </cell>
          <cell r="S1888" t="str">
            <v>2007Scratch 2 000</v>
          </cell>
          <cell r="T1888" t="str">
            <v>72007STS GAMBY &amp; FRERES (SOGAF) Sarl</v>
          </cell>
          <cell r="U1888" t="str">
            <v>72007STS GAMBY &amp; FRERES (SOGAF) SarlScratch 2 000</v>
          </cell>
          <cell r="V1888" t="str">
            <v>39275Scratch 2 000</v>
          </cell>
          <cell r="W1888" t="str">
            <v>2007STS GAMBY &amp; FRERES (SOGAF) Sarl</v>
          </cell>
          <cell r="X1888" t="str">
            <v>2007STS GAMBY &amp; FRERES (SOGAF) SarlScratch 2 000</v>
          </cell>
        </row>
        <row r="1889">
          <cell r="I1889">
            <v>2007</v>
          </cell>
          <cell r="J1889" t="str">
            <v>STS GAMBY &amp; FRERES (SOGAF) SarlScratch 1 000</v>
          </cell>
          <cell r="L1889">
            <v>0</v>
          </cell>
          <cell r="M1889" t="str">
            <v>STS GAMBY &amp; FRERES (SOGAF) Sarl</v>
          </cell>
          <cell r="N1889" t="str">
            <v>STS GAMBY &amp; FRERES (SOGAF) SarlScratch 1 000</v>
          </cell>
          <cell r="O1889" t="str">
            <v>STS GAMBY &amp; FRERES (SOGAF) Sarl</v>
          </cell>
          <cell r="P1889" t="str">
            <v>Scratch 1 000</v>
          </cell>
          <cell r="Q1889" t="str">
            <v>72007</v>
          </cell>
          <cell r="R1889" t="str">
            <v>72007Scratch 1 000</v>
          </cell>
          <cell r="S1889" t="str">
            <v>2007Scratch 1 000</v>
          </cell>
          <cell r="T1889" t="str">
            <v>72007STS GAMBY &amp; FRERES (SOGAF) Sarl</v>
          </cell>
          <cell r="U1889" t="str">
            <v>72007STS GAMBY &amp; FRERES (SOGAF) SarlScratch 1 000</v>
          </cell>
          <cell r="V1889" t="str">
            <v>39275Scratch 1 000</v>
          </cell>
          <cell r="W1889" t="str">
            <v>2007STS GAMBY &amp; FRERES (SOGAF) Sarl</v>
          </cell>
          <cell r="X1889" t="str">
            <v>2007STS GAMBY &amp; FRERES (SOGAF) SarlScratch 1 000</v>
          </cell>
        </row>
        <row r="1890">
          <cell r="I1890">
            <v>2007</v>
          </cell>
          <cell r="J1890" t="str">
            <v>ANKA SERVICESScratch 20 000</v>
          </cell>
          <cell r="L1890">
            <v>1</v>
          </cell>
          <cell r="M1890" t="str">
            <v>1ANKA SERVICES</v>
          </cell>
          <cell r="N1890" t="str">
            <v>ANKA SERVICESScratch 20 000</v>
          </cell>
          <cell r="O1890" t="str">
            <v>ANKA SERVICES</v>
          </cell>
          <cell r="P1890" t="str">
            <v>Scratch 20 000</v>
          </cell>
          <cell r="Q1890" t="str">
            <v>72007</v>
          </cell>
          <cell r="R1890" t="str">
            <v>72007Scratch 20 000</v>
          </cell>
          <cell r="S1890" t="str">
            <v>2007Scratch 20 000</v>
          </cell>
          <cell r="T1890" t="str">
            <v>72007ANKA SERVICES</v>
          </cell>
          <cell r="U1890" t="str">
            <v>72007ANKA SERVICESScratch 20 000</v>
          </cell>
          <cell r="V1890" t="str">
            <v>39275Scratch 20 000</v>
          </cell>
          <cell r="W1890" t="str">
            <v>2007ANKA SERVICES</v>
          </cell>
          <cell r="X1890" t="str">
            <v>2007ANKA SERVICESScratch 20 000</v>
          </cell>
        </row>
        <row r="1891">
          <cell r="I1891">
            <v>2007</v>
          </cell>
          <cell r="J1891" t="str">
            <v>ANKA SERVICESScratch 5 000</v>
          </cell>
          <cell r="L1891">
            <v>0</v>
          </cell>
          <cell r="M1891" t="str">
            <v>ANKA SERVICES</v>
          </cell>
          <cell r="N1891" t="str">
            <v>ANKA SERVICESScratch 5 000</v>
          </cell>
          <cell r="O1891" t="str">
            <v>ANKA SERVICES</v>
          </cell>
          <cell r="P1891" t="str">
            <v>Scratch 5 000</v>
          </cell>
          <cell r="Q1891" t="str">
            <v>72007</v>
          </cell>
          <cell r="R1891" t="str">
            <v>72007Scratch 5 000</v>
          </cell>
          <cell r="S1891" t="str">
            <v>2007Scratch 5 000</v>
          </cell>
          <cell r="T1891" t="str">
            <v>72007ANKA SERVICES</v>
          </cell>
          <cell r="U1891" t="str">
            <v>72007ANKA SERVICESScratch 5 000</v>
          </cell>
          <cell r="V1891" t="str">
            <v>39275Scratch 5 000</v>
          </cell>
          <cell r="W1891" t="str">
            <v>2007ANKA SERVICES</v>
          </cell>
          <cell r="X1891" t="str">
            <v>2007ANKA SERVICESScratch 5 000</v>
          </cell>
        </row>
        <row r="1892">
          <cell r="I1892">
            <v>2007</v>
          </cell>
          <cell r="J1892" t="str">
            <v>ANKA SERVICESScratch 2 000</v>
          </cell>
          <cell r="L1892">
            <v>0</v>
          </cell>
          <cell r="M1892" t="str">
            <v>ANKA SERVICES</v>
          </cell>
          <cell r="N1892" t="str">
            <v>ANKA SERVICESScratch 2 000</v>
          </cell>
          <cell r="O1892" t="str">
            <v>ANKA SERVICES</v>
          </cell>
          <cell r="P1892" t="str">
            <v>Scratch 2 000</v>
          </cell>
          <cell r="Q1892" t="str">
            <v>72007</v>
          </cell>
          <cell r="R1892" t="str">
            <v>72007Scratch 2 000</v>
          </cell>
          <cell r="S1892" t="str">
            <v>2007Scratch 2 000</v>
          </cell>
          <cell r="T1892" t="str">
            <v>72007ANKA SERVICES</v>
          </cell>
          <cell r="U1892" t="str">
            <v>72007ANKA SERVICESScratch 2 000</v>
          </cell>
          <cell r="V1892" t="str">
            <v>39275Scratch 2 000</v>
          </cell>
          <cell r="W1892" t="str">
            <v>2007ANKA SERVICES</v>
          </cell>
          <cell r="X1892" t="str">
            <v>2007ANKA SERVICESScratch 2 000</v>
          </cell>
        </row>
        <row r="1893">
          <cell r="I1893">
            <v>2007</v>
          </cell>
          <cell r="J1893" t="str">
            <v>ANKA SERVICESScratch 1 000</v>
          </cell>
          <cell r="L1893">
            <v>0</v>
          </cell>
          <cell r="M1893" t="str">
            <v>ANKA SERVICES</v>
          </cell>
          <cell r="N1893" t="str">
            <v>ANKA SERVICESScratch 1 000</v>
          </cell>
          <cell r="O1893" t="str">
            <v>ANKA SERVICES</v>
          </cell>
          <cell r="P1893" t="str">
            <v>Scratch 1 000</v>
          </cell>
          <cell r="Q1893" t="str">
            <v>72007</v>
          </cell>
          <cell r="R1893" t="str">
            <v>72007Scratch 1 000</v>
          </cell>
          <cell r="S1893" t="str">
            <v>2007Scratch 1 000</v>
          </cell>
          <cell r="T1893" t="str">
            <v>72007ANKA SERVICES</v>
          </cell>
          <cell r="U1893" t="str">
            <v>72007ANKA SERVICESScratch 1 000</v>
          </cell>
          <cell r="V1893" t="str">
            <v>39275Scratch 1 000</v>
          </cell>
          <cell r="W1893" t="str">
            <v>2007ANKA SERVICES</v>
          </cell>
          <cell r="X1893" t="str">
            <v>2007ANKA SERVICESScratch 1 000</v>
          </cell>
        </row>
        <row r="1894">
          <cell r="I1894">
            <v>2007</v>
          </cell>
          <cell r="J1894" t="str">
            <v>GEMATELScratch 20 000</v>
          </cell>
          <cell r="L1894">
            <v>1</v>
          </cell>
          <cell r="M1894" t="str">
            <v>1GEMATEL</v>
          </cell>
          <cell r="N1894" t="str">
            <v>GEMATELScratch 20 000</v>
          </cell>
          <cell r="O1894" t="str">
            <v>GEMATEL</v>
          </cell>
          <cell r="P1894" t="str">
            <v>Scratch 20 000</v>
          </cell>
          <cell r="Q1894" t="str">
            <v>72007</v>
          </cell>
          <cell r="R1894" t="str">
            <v>72007Scratch 20 000</v>
          </cell>
          <cell r="S1894" t="str">
            <v>2007Scratch 20 000</v>
          </cell>
          <cell r="T1894" t="str">
            <v>72007GEMATEL</v>
          </cell>
          <cell r="U1894" t="str">
            <v>72007GEMATELScratch 20 000</v>
          </cell>
          <cell r="V1894" t="str">
            <v>39275Scratch 20 000</v>
          </cell>
          <cell r="W1894" t="str">
            <v>2007GEMATEL</v>
          </cell>
          <cell r="X1894" t="str">
            <v>2007GEMATELScratch 20 000</v>
          </cell>
        </row>
        <row r="1895">
          <cell r="I1895">
            <v>2007</v>
          </cell>
          <cell r="J1895" t="str">
            <v>GEMATELScratch 10 000</v>
          </cell>
          <cell r="L1895">
            <v>0</v>
          </cell>
          <cell r="M1895" t="str">
            <v>GEMATEL</v>
          </cell>
          <cell r="N1895" t="str">
            <v>GEMATELScratch 10 000</v>
          </cell>
          <cell r="O1895" t="str">
            <v>GEMATEL</v>
          </cell>
          <cell r="P1895" t="str">
            <v>Scratch 10 000</v>
          </cell>
          <cell r="Q1895" t="str">
            <v>72007</v>
          </cell>
          <cell r="R1895" t="str">
            <v>72007Scratch 10 000</v>
          </cell>
          <cell r="S1895" t="str">
            <v>2007Scratch 10 000</v>
          </cell>
          <cell r="T1895" t="str">
            <v>72007GEMATEL</v>
          </cell>
          <cell r="U1895" t="str">
            <v>72007GEMATELScratch 10 000</v>
          </cell>
          <cell r="V1895" t="str">
            <v>39275Scratch 10 000</v>
          </cell>
          <cell r="W1895" t="str">
            <v>2007GEMATEL</v>
          </cell>
          <cell r="X1895" t="str">
            <v>2007GEMATELScratch 10 000</v>
          </cell>
        </row>
        <row r="1896">
          <cell r="I1896">
            <v>2007</v>
          </cell>
          <cell r="J1896" t="str">
            <v>GEMATELScratch 5 000</v>
          </cell>
          <cell r="L1896">
            <v>0</v>
          </cell>
          <cell r="M1896" t="str">
            <v>GEMATEL</v>
          </cell>
          <cell r="N1896" t="str">
            <v>GEMATELScratch 5 000</v>
          </cell>
          <cell r="O1896" t="str">
            <v>GEMATEL</v>
          </cell>
          <cell r="P1896" t="str">
            <v>Scratch 5 000</v>
          </cell>
          <cell r="Q1896" t="str">
            <v>72007</v>
          </cell>
          <cell r="R1896" t="str">
            <v>72007Scratch 5 000</v>
          </cell>
          <cell r="S1896" t="str">
            <v>2007Scratch 5 000</v>
          </cell>
          <cell r="T1896" t="str">
            <v>72007GEMATEL</v>
          </cell>
          <cell r="U1896" t="str">
            <v>72007GEMATELScratch 5 000</v>
          </cell>
          <cell r="V1896" t="str">
            <v>39275Scratch 5 000</v>
          </cell>
          <cell r="W1896" t="str">
            <v>2007GEMATEL</v>
          </cell>
          <cell r="X1896" t="str">
            <v>2007GEMATELScratch 5 000</v>
          </cell>
        </row>
        <row r="1897">
          <cell r="I1897">
            <v>2007</v>
          </cell>
          <cell r="J1897" t="str">
            <v>GEMATELScratch 2 000</v>
          </cell>
          <cell r="L1897">
            <v>0</v>
          </cell>
          <cell r="M1897" t="str">
            <v>GEMATEL</v>
          </cell>
          <cell r="N1897" t="str">
            <v>GEMATELScratch 2 000</v>
          </cell>
          <cell r="O1897" t="str">
            <v>GEMATEL</v>
          </cell>
          <cell r="P1897" t="str">
            <v>Scratch 2 000</v>
          </cell>
          <cell r="Q1897" t="str">
            <v>72007</v>
          </cell>
          <cell r="R1897" t="str">
            <v>72007Scratch 2 000</v>
          </cell>
          <cell r="S1897" t="str">
            <v>2007Scratch 2 000</v>
          </cell>
          <cell r="T1897" t="str">
            <v>72007GEMATEL</v>
          </cell>
          <cell r="U1897" t="str">
            <v>72007GEMATELScratch 2 000</v>
          </cell>
          <cell r="V1897" t="str">
            <v>39275Scratch 2 000</v>
          </cell>
          <cell r="W1897" t="str">
            <v>2007GEMATEL</v>
          </cell>
          <cell r="X1897" t="str">
            <v>2007GEMATELScratch 2 000</v>
          </cell>
        </row>
        <row r="1898">
          <cell r="I1898">
            <v>2007</v>
          </cell>
          <cell r="J1898" t="str">
            <v>GEMATELScratch 1 000</v>
          </cell>
          <cell r="L1898">
            <v>0</v>
          </cell>
          <cell r="M1898" t="str">
            <v>GEMATEL</v>
          </cell>
          <cell r="N1898" t="str">
            <v>GEMATELScratch 1 000</v>
          </cell>
          <cell r="O1898" t="str">
            <v>GEMATEL</v>
          </cell>
          <cell r="P1898" t="str">
            <v>Scratch 1 000</v>
          </cell>
          <cell r="Q1898" t="str">
            <v>72007</v>
          </cell>
          <cell r="R1898" t="str">
            <v>72007Scratch 1 000</v>
          </cell>
          <cell r="S1898" t="str">
            <v>2007Scratch 1 000</v>
          </cell>
          <cell r="T1898" t="str">
            <v>72007GEMATEL</v>
          </cell>
          <cell r="U1898" t="str">
            <v>72007GEMATELScratch 1 000</v>
          </cell>
          <cell r="V1898" t="str">
            <v>39275Scratch 1 000</v>
          </cell>
          <cell r="W1898" t="str">
            <v>2007GEMATEL</v>
          </cell>
          <cell r="X1898" t="str">
            <v>2007GEMATELScratch 1 000</v>
          </cell>
        </row>
        <row r="1899">
          <cell r="I1899">
            <v>2007</v>
          </cell>
          <cell r="J1899" t="str">
            <v>GEMATELScratch 5 000</v>
          </cell>
          <cell r="L1899">
            <v>1</v>
          </cell>
          <cell r="M1899" t="str">
            <v>1GEMATEL</v>
          </cell>
          <cell r="N1899" t="str">
            <v>GEMATELScratch 5 000</v>
          </cell>
          <cell r="O1899" t="str">
            <v>GEMATEL</v>
          </cell>
          <cell r="P1899" t="str">
            <v>Scratch 5 000</v>
          </cell>
          <cell r="Q1899" t="str">
            <v>72007</v>
          </cell>
          <cell r="R1899" t="str">
            <v>72007Scratch 5 000</v>
          </cell>
          <cell r="S1899" t="str">
            <v>2007Scratch 5 000</v>
          </cell>
          <cell r="T1899" t="str">
            <v>72007GEMATEL</v>
          </cell>
          <cell r="U1899" t="str">
            <v>72007GEMATELScratch 5 000</v>
          </cell>
          <cell r="V1899" t="str">
            <v>39276Scratch 5 000</v>
          </cell>
          <cell r="W1899" t="str">
            <v>2007GEMATEL</v>
          </cell>
          <cell r="X1899" t="str">
            <v>2007GEMATELScratch 5 000</v>
          </cell>
        </row>
        <row r="1900">
          <cell r="I1900">
            <v>2007</v>
          </cell>
          <cell r="J1900" t="str">
            <v>GEMATELScratch 2 000</v>
          </cell>
          <cell r="L1900">
            <v>0</v>
          </cell>
          <cell r="M1900" t="str">
            <v>GEMATEL</v>
          </cell>
          <cell r="N1900" t="str">
            <v>GEMATELScratch 2 000</v>
          </cell>
          <cell r="O1900" t="str">
            <v>GEMATEL</v>
          </cell>
          <cell r="P1900" t="str">
            <v>Scratch 2 000</v>
          </cell>
          <cell r="Q1900" t="str">
            <v>72007</v>
          </cell>
          <cell r="R1900" t="str">
            <v>72007Scratch 2 000</v>
          </cell>
          <cell r="S1900" t="str">
            <v>2007Scratch 2 000</v>
          </cell>
          <cell r="T1900" t="str">
            <v>72007GEMATEL</v>
          </cell>
          <cell r="U1900" t="str">
            <v>72007GEMATELScratch 2 000</v>
          </cell>
          <cell r="V1900" t="str">
            <v>39276Scratch 2 000</v>
          </cell>
          <cell r="W1900" t="str">
            <v>2007GEMATEL</v>
          </cell>
          <cell r="X1900" t="str">
            <v>2007GEMATELScratch 2 000</v>
          </cell>
        </row>
        <row r="1901">
          <cell r="I1901">
            <v>2007</v>
          </cell>
          <cell r="J1901" t="str">
            <v>GEMATELScratch 1 000</v>
          </cell>
          <cell r="L1901">
            <v>0</v>
          </cell>
          <cell r="M1901" t="str">
            <v>GEMATEL</v>
          </cell>
          <cell r="N1901" t="str">
            <v>GEMATELScratch 1 000</v>
          </cell>
          <cell r="O1901" t="str">
            <v>GEMATEL</v>
          </cell>
          <cell r="P1901" t="str">
            <v>Scratch 1 000</v>
          </cell>
          <cell r="Q1901" t="str">
            <v>72007</v>
          </cell>
          <cell r="R1901" t="str">
            <v>72007Scratch 1 000</v>
          </cell>
          <cell r="S1901" t="str">
            <v>2007Scratch 1 000</v>
          </cell>
          <cell r="T1901" t="str">
            <v>72007GEMATEL</v>
          </cell>
          <cell r="U1901" t="str">
            <v>72007GEMATELScratch 1 000</v>
          </cell>
          <cell r="V1901" t="str">
            <v>39276Scratch 1 000</v>
          </cell>
          <cell r="W1901" t="str">
            <v>2007GEMATEL</v>
          </cell>
          <cell r="X1901" t="str">
            <v>2007GEMATELScratch 1 000</v>
          </cell>
        </row>
        <row r="1902">
          <cell r="I1902">
            <v>2007</v>
          </cell>
          <cell r="J1902" t="str">
            <v>MALI COM SarlScratch 20 000</v>
          </cell>
          <cell r="L1902">
            <v>1</v>
          </cell>
          <cell r="M1902" t="str">
            <v>1MALI COM Sarl</v>
          </cell>
          <cell r="N1902" t="str">
            <v>MALI COM SarlScratch 20 000</v>
          </cell>
          <cell r="O1902" t="str">
            <v>MALI COM Sarl</v>
          </cell>
          <cell r="P1902" t="str">
            <v>Scratch 20 000</v>
          </cell>
          <cell r="Q1902" t="str">
            <v>72007</v>
          </cell>
          <cell r="R1902" t="str">
            <v>72007Scratch 20 000</v>
          </cell>
          <cell r="S1902" t="str">
            <v>2007Scratch 20 000</v>
          </cell>
          <cell r="T1902" t="str">
            <v>72007MALI COM Sarl</v>
          </cell>
          <cell r="U1902" t="str">
            <v>72007MALI COM SarlScratch 20 000</v>
          </cell>
          <cell r="V1902" t="str">
            <v>39276Scratch 20 000</v>
          </cell>
          <cell r="W1902" t="str">
            <v>2007MALI COM Sarl</v>
          </cell>
          <cell r="X1902" t="str">
            <v>2007MALI COM SarlScratch 20 000</v>
          </cell>
        </row>
        <row r="1903">
          <cell r="I1903">
            <v>2007</v>
          </cell>
          <cell r="J1903" t="str">
            <v>MALI COM SarlScratch 5 000</v>
          </cell>
          <cell r="L1903">
            <v>0</v>
          </cell>
          <cell r="M1903" t="str">
            <v>MALI COM Sarl</v>
          </cell>
          <cell r="N1903" t="str">
            <v>MALI COM SarlScratch 5 000</v>
          </cell>
          <cell r="O1903" t="str">
            <v>MALI COM Sarl</v>
          </cell>
          <cell r="P1903" t="str">
            <v>Scratch 5 000</v>
          </cell>
          <cell r="Q1903" t="str">
            <v>72007</v>
          </cell>
          <cell r="R1903" t="str">
            <v>72007Scratch 5 000</v>
          </cell>
          <cell r="S1903" t="str">
            <v>2007Scratch 5 000</v>
          </cell>
          <cell r="T1903" t="str">
            <v>72007MALI COM Sarl</v>
          </cell>
          <cell r="U1903" t="str">
            <v>72007MALI COM SarlScratch 5 000</v>
          </cell>
          <cell r="V1903" t="str">
            <v>39276Scratch 5 000</v>
          </cell>
          <cell r="W1903" t="str">
            <v>2007MALI COM Sarl</v>
          </cell>
          <cell r="X1903" t="str">
            <v>2007MALI COM SarlScratch 5 000</v>
          </cell>
        </row>
        <row r="1904">
          <cell r="I1904">
            <v>2007</v>
          </cell>
          <cell r="J1904" t="str">
            <v>MALI COM SarlScratch 2 000</v>
          </cell>
          <cell r="L1904">
            <v>0</v>
          </cell>
          <cell r="M1904" t="str">
            <v>MALI COM Sarl</v>
          </cell>
          <cell r="N1904" t="str">
            <v>MALI COM SarlScratch 2 000</v>
          </cell>
          <cell r="O1904" t="str">
            <v>MALI COM Sarl</v>
          </cell>
          <cell r="P1904" t="str">
            <v>Scratch 2 000</v>
          </cell>
          <cell r="Q1904" t="str">
            <v>72007</v>
          </cell>
          <cell r="R1904" t="str">
            <v>72007Scratch 2 000</v>
          </cell>
          <cell r="S1904" t="str">
            <v>2007Scratch 2 000</v>
          </cell>
          <cell r="T1904" t="str">
            <v>72007MALI COM Sarl</v>
          </cell>
          <cell r="U1904" t="str">
            <v>72007MALI COM SarlScratch 2 000</v>
          </cell>
          <cell r="V1904" t="str">
            <v>39276Scratch 2 000</v>
          </cell>
          <cell r="W1904" t="str">
            <v>2007MALI COM Sarl</v>
          </cell>
          <cell r="X1904" t="str">
            <v>2007MALI COM SarlScratch 2 000</v>
          </cell>
        </row>
        <row r="1905">
          <cell r="I1905">
            <v>2007</v>
          </cell>
          <cell r="J1905" t="str">
            <v>MALI COM SarlScratch 1 000</v>
          </cell>
          <cell r="L1905">
            <v>0</v>
          </cell>
          <cell r="M1905" t="str">
            <v>MALI COM Sarl</v>
          </cell>
          <cell r="N1905" t="str">
            <v>MALI COM SarlScratch 1 000</v>
          </cell>
          <cell r="O1905" t="str">
            <v>MALI COM Sarl</v>
          </cell>
          <cell r="P1905" t="str">
            <v>Scratch 1 000</v>
          </cell>
          <cell r="Q1905" t="str">
            <v>72007</v>
          </cell>
          <cell r="R1905" t="str">
            <v>72007Scratch 1 000</v>
          </cell>
          <cell r="S1905" t="str">
            <v>2007Scratch 1 000</v>
          </cell>
          <cell r="T1905" t="str">
            <v>72007MALI COM Sarl</v>
          </cell>
          <cell r="U1905" t="str">
            <v>72007MALI COM SarlScratch 1 000</v>
          </cell>
          <cell r="V1905" t="str">
            <v>39276Scratch 1 000</v>
          </cell>
          <cell r="W1905" t="str">
            <v>2007MALI COM Sarl</v>
          </cell>
          <cell r="X1905" t="str">
            <v>2007MALI COM SarlScratch 1 000</v>
          </cell>
        </row>
        <row r="1906">
          <cell r="I1906">
            <v>2007</v>
          </cell>
          <cell r="J1906" t="str">
            <v>Ets Boubacar TANDIAScratch 20 000</v>
          </cell>
          <cell r="L1906">
            <v>1</v>
          </cell>
          <cell r="M1906" t="str">
            <v>1Ets Boubacar TANDIA</v>
          </cell>
          <cell r="N1906" t="str">
            <v>Ets Boubacar TANDIAScratch 20 000</v>
          </cell>
          <cell r="O1906" t="str">
            <v>Ets Boubacar TANDIA</v>
          </cell>
          <cell r="P1906" t="str">
            <v>Scratch 20 000</v>
          </cell>
          <cell r="Q1906" t="str">
            <v>72007</v>
          </cell>
          <cell r="R1906" t="str">
            <v>72007Scratch 20 000</v>
          </cell>
          <cell r="S1906" t="str">
            <v>2007Scratch 20 000</v>
          </cell>
          <cell r="T1906" t="str">
            <v>72007Ets Boubacar TANDIA</v>
          </cell>
          <cell r="U1906" t="str">
            <v>72007Ets Boubacar TANDIAScratch 20 000</v>
          </cell>
          <cell r="V1906" t="str">
            <v>39276Scratch 20 000</v>
          </cell>
          <cell r="W1906" t="str">
            <v>2007Ets Boubacar TANDIA</v>
          </cell>
          <cell r="X1906" t="str">
            <v>2007Ets Boubacar TANDIAScratch 20 000</v>
          </cell>
        </row>
        <row r="1907">
          <cell r="I1907">
            <v>2007</v>
          </cell>
          <cell r="J1907" t="str">
            <v>Ets Boubacar TANDIAScratch 5 000</v>
          </cell>
          <cell r="L1907">
            <v>0</v>
          </cell>
          <cell r="M1907" t="str">
            <v>Ets Boubacar TANDIA</v>
          </cell>
          <cell r="N1907" t="str">
            <v>Ets Boubacar TANDIAScratch 5 000</v>
          </cell>
          <cell r="O1907" t="str">
            <v>Ets Boubacar TANDIA</v>
          </cell>
          <cell r="P1907" t="str">
            <v>Scratch 5 000</v>
          </cell>
          <cell r="Q1907" t="str">
            <v>72007</v>
          </cell>
          <cell r="R1907" t="str">
            <v>72007Scratch 5 000</v>
          </cell>
          <cell r="S1907" t="str">
            <v>2007Scratch 5 000</v>
          </cell>
          <cell r="T1907" t="str">
            <v>72007Ets Boubacar TANDIA</v>
          </cell>
          <cell r="U1907" t="str">
            <v>72007Ets Boubacar TANDIAScratch 5 000</v>
          </cell>
          <cell r="V1907" t="str">
            <v>39276Scratch 5 000</v>
          </cell>
          <cell r="W1907" t="str">
            <v>2007Ets Boubacar TANDIA</v>
          </cell>
          <cell r="X1907" t="str">
            <v>2007Ets Boubacar TANDIAScratch 5 000</v>
          </cell>
        </row>
        <row r="1908">
          <cell r="I1908">
            <v>2007</v>
          </cell>
          <cell r="J1908" t="str">
            <v>Ets Boubacar TANDIAScratch 2 000</v>
          </cell>
          <cell r="L1908">
            <v>0</v>
          </cell>
          <cell r="M1908" t="str">
            <v>Ets Boubacar TANDIA</v>
          </cell>
          <cell r="N1908" t="str">
            <v>Ets Boubacar TANDIAScratch 2 000</v>
          </cell>
          <cell r="O1908" t="str">
            <v>Ets Boubacar TANDIA</v>
          </cell>
          <cell r="P1908" t="str">
            <v>Scratch 2 000</v>
          </cell>
          <cell r="Q1908" t="str">
            <v>72007</v>
          </cell>
          <cell r="R1908" t="str">
            <v>72007Scratch 2 000</v>
          </cell>
          <cell r="S1908" t="str">
            <v>2007Scratch 2 000</v>
          </cell>
          <cell r="T1908" t="str">
            <v>72007Ets Boubacar TANDIA</v>
          </cell>
          <cell r="U1908" t="str">
            <v>72007Ets Boubacar TANDIAScratch 2 000</v>
          </cell>
          <cell r="V1908" t="str">
            <v>39276Scratch 2 000</v>
          </cell>
          <cell r="W1908" t="str">
            <v>2007Ets Boubacar TANDIA</v>
          </cell>
          <cell r="X1908" t="str">
            <v>2007Ets Boubacar TANDIAScratch 2 000</v>
          </cell>
        </row>
        <row r="1909">
          <cell r="I1909">
            <v>2007</v>
          </cell>
          <cell r="J1909" t="str">
            <v>Ets Boubacar TANDIAScratch 1 000</v>
          </cell>
          <cell r="L1909">
            <v>0</v>
          </cell>
          <cell r="M1909" t="str">
            <v>Ets Boubacar TANDIA</v>
          </cell>
          <cell r="N1909" t="str">
            <v>Ets Boubacar TANDIAScratch 1 000</v>
          </cell>
          <cell r="O1909" t="str">
            <v>Ets Boubacar TANDIA</v>
          </cell>
          <cell r="P1909" t="str">
            <v>Scratch 1 000</v>
          </cell>
          <cell r="Q1909" t="str">
            <v>72007</v>
          </cell>
          <cell r="R1909" t="str">
            <v>72007Scratch 1 000</v>
          </cell>
          <cell r="S1909" t="str">
            <v>2007Scratch 1 000</v>
          </cell>
          <cell r="T1909" t="str">
            <v>72007Ets Boubacar TANDIA</v>
          </cell>
          <cell r="U1909" t="str">
            <v>72007Ets Boubacar TANDIAScratch 1 000</v>
          </cell>
          <cell r="V1909" t="str">
            <v>39276Scratch 1 000</v>
          </cell>
          <cell r="W1909" t="str">
            <v>2007Ets Boubacar TANDIA</v>
          </cell>
          <cell r="X1909" t="str">
            <v>2007Ets Boubacar TANDIAScratch 1 000</v>
          </cell>
        </row>
        <row r="1910">
          <cell r="I1910">
            <v>2007</v>
          </cell>
          <cell r="J1910" t="str">
            <v>Bonneterie Nouvelle TelecomScratch 5 000</v>
          </cell>
          <cell r="L1910">
            <v>1</v>
          </cell>
          <cell r="M1910" t="str">
            <v>1Bonneterie Nouvelle Telecom</v>
          </cell>
          <cell r="N1910" t="str">
            <v>Bonneterie Nouvelle TelecomScratch 5 000</v>
          </cell>
          <cell r="O1910" t="str">
            <v>Bonneterie Nouvelle Telecom</v>
          </cell>
          <cell r="P1910" t="str">
            <v>Scratch 5 000</v>
          </cell>
          <cell r="Q1910" t="str">
            <v>72007</v>
          </cell>
          <cell r="R1910" t="str">
            <v>72007Scratch 5 000</v>
          </cell>
          <cell r="S1910" t="str">
            <v>2007Scratch 5 000</v>
          </cell>
          <cell r="T1910" t="str">
            <v>72007Bonneterie Nouvelle Telecom</v>
          </cell>
          <cell r="U1910" t="str">
            <v>72007Bonneterie Nouvelle TelecomScratch 5 000</v>
          </cell>
          <cell r="V1910" t="str">
            <v>39276Scratch 5 000</v>
          </cell>
          <cell r="W1910" t="str">
            <v>2007Bonneterie Nouvelle Telecom</v>
          </cell>
          <cell r="X1910" t="str">
            <v>2007Bonneterie Nouvelle TelecomScratch 5 000</v>
          </cell>
        </row>
        <row r="1911">
          <cell r="I1911">
            <v>2007</v>
          </cell>
          <cell r="J1911" t="str">
            <v>Bonneterie Nouvelle TelecomScratch 2 000</v>
          </cell>
          <cell r="L1911">
            <v>0</v>
          </cell>
          <cell r="M1911" t="str">
            <v>Bonneterie Nouvelle Telecom</v>
          </cell>
          <cell r="N1911" t="str">
            <v>Bonneterie Nouvelle TelecomScratch 2 000</v>
          </cell>
          <cell r="O1911" t="str">
            <v>Bonneterie Nouvelle Telecom</v>
          </cell>
          <cell r="P1911" t="str">
            <v>Scratch 2 000</v>
          </cell>
          <cell r="Q1911" t="str">
            <v>72007</v>
          </cell>
          <cell r="R1911" t="str">
            <v>72007Scratch 2 000</v>
          </cell>
          <cell r="S1911" t="str">
            <v>2007Scratch 2 000</v>
          </cell>
          <cell r="T1911" t="str">
            <v>72007Bonneterie Nouvelle Telecom</v>
          </cell>
          <cell r="U1911" t="str">
            <v>72007Bonneterie Nouvelle TelecomScratch 2 000</v>
          </cell>
          <cell r="V1911" t="str">
            <v>39276Scratch 2 000</v>
          </cell>
          <cell r="W1911" t="str">
            <v>2007Bonneterie Nouvelle Telecom</v>
          </cell>
          <cell r="X1911" t="str">
            <v>2007Bonneterie Nouvelle TelecomScratch 2 000</v>
          </cell>
        </row>
        <row r="1912">
          <cell r="I1912">
            <v>2007</v>
          </cell>
          <cell r="J1912" t="str">
            <v>Bonneterie Nouvelle TelecomScratch 1 000</v>
          </cell>
          <cell r="L1912">
            <v>0</v>
          </cell>
          <cell r="M1912" t="str">
            <v>Bonneterie Nouvelle Telecom</v>
          </cell>
          <cell r="N1912" t="str">
            <v>Bonneterie Nouvelle TelecomScratch 1 000</v>
          </cell>
          <cell r="O1912" t="str">
            <v>Bonneterie Nouvelle Telecom</v>
          </cell>
          <cell r="P1912" t="str">
            <v>Scratch 1 000</v>
          </cell>
          <cell r="Q1912" t="str">
            <v>72007</v>
          </cell>
          <cell r="R1912" t="str">
            <v>72007Scratch 1 000</v>
          </cell>
          <cell r="S1912" t="str">
            <v>2007Scratch 1 000</v>
          </cell>
          <cell r="T1912" t="str">
            <v>72007Bonneterie Nouvelle Telecom</v>
          </cell>
          <cell r="U1912" t="str">
            <v>72007Bonneterie Nouvelle TelecomScratch 1 000</v>
          </cell>
          <cell r="V1912" t="str">
            <v>39276Scratch 1 000</v>
          </cell>
          <cell r="W1912" t="str">
            <v>2007Bonneterie Nouvelle Telecom</v>
          </cell>
          <cell r="X1912" t="str">
            <v>2007Bonneterie Nouvelle TelecomScratch 1 000</v>
          </cell>
        </row>
        <row r="1913">
          <cell r="I1913">
            <v>2007</v>
          </cell>
          <cell r="J1913" t="str">
            <v>GEMATELScratch 5 000</v>
          </cell>
          <cell r="L1913">
            <v>1</v>
          </cell>
          <cell r="M1913" t="str">
            <v>1GEMATEL</v>
          </cell>
          <cell r="N1913" t="str">
            <v>GEMATELScratch 5 000</v>
          </cell>
          <cell r="O1913" t="str">
            <v>GEMATEL</v>
          </cell>
          <cell r="P1913" t="str">
            <v>Scratch 5 000</v>
          </cell>
          <cell r="Q1913" t="str">
            <v>72007</v>
          </cell>
          <cell r="R1913" t="str">
            <v>72007Scratch 5 000</v>
          </cell>
          <cell r="S1913" t="str">
            <v>2007Scratch 5 000</v>
          </cell>
          <cell r="T1913" t="str">
            <v>72007GEMATEL</v>
          </cell>
          <cell r="U1913" t="str">
            <v>72007GEMATELScratch 5 000</v>
          </cell>
          <cell r="V1913" t="str">
            <v>39276Scratch 5 000</v>
          </cell>
          <cell r="W1913" t="str">
            <v>2007GEMATEL</v>
          </cell>
          <cell r="X1913" t="str">
            <v>2007GEMATELScratch 5 000</v>
          </cell>
        </row>
        <row r="1914">
          <cell r="I1914">
            <v>2007</v>
          </cell>
          <cell r="J1914" t="str">
            <v>GEMATELScratch 2 000</v>
          </cell>
          <cell r="L1914">
            <v>0</v>
          </cell>
          <cell r="M1914" t="str">
            <v>GEMATEL</v>
          </cell>
          <cell r="N1914" t="str">
            <v>GEMATELScratch 2 000</v>
          </cell>
          <cell r="O1914" t="str">
            <v>GEMATEL</v>
          </cell>
          <cell r="P1914" t="str">
            <v>Scratch 2 000</v>
          </cell>
          <cell r="Q1914" t="str">
            <v>72007</v>
          </cell>
          <cell r="R1914" t="str">
            <v>72007Scratch 2 000</v>
          </cell>
          <cell r="S1914" t="str">
            <v>2007Scratch 2 000</v>
          </cell>
          <cell r="T1914" t="str">
            <v>72007GEMATEL</v>
          </cell>
          <cell r="U1914" t="str">
            <v>72007GEMATELScratch 2 000</v>
          </cell>
          <cell r="V1914" t="str">
            <v>39276Scratch 2 000</v>
          </cell>
          <cell r="W1914" t="str">
            <v>2007GEMATEL</v>
          </cell>
          <cell r="X1914" t="str">
            <v>2007GEMATELScratch 2 000</v>
          </cell>
        </row>
        <row r="1915">
          <cell r="I1915">
            <v>2007</v>
          </cell>
          <cell r="J1915" t="str">
            <v>GEMATELScratch 1 000</v>
          </cell>
          <cell r="L1915">
            <v>0</v>
          </cell>
          <cell r="M1915" t="str">
            <v>GEMATEL</v>
          </cell>
          <cell r="N1915" t="str">
            <v>GEMATELScratch 1 000</v>
          </cell>
          <cell r="O1915" t="str">
            <v>GEMATEL</v>
          </cell>
          <cell r="P1915" t="str">
            <v>Scratch 1 000</v>
          </cell>
          <cell r="Q1915" t="str">
            <v>72007</v>
          </cell>
          <cell r="R1915" t="str">
            <v>72007Scratch 1 000</v>
          </cell>
          <cell r="S1915" t="str">
            <v>2007Scratch 1 000</v>
          </cell>
          <cell r="T1915" t="str">
            <v>72007GEMATEL</v>
          </cell>
          <cell r="U1915" t="str">
            <v>72007GEMATELScratch 1 000</v>
          </cell>
          <cell r="V1915" t="str">
            <v>39276Scratch 1 000</v>
          </cell>
          <cell r="W1915" t="str">
            <v>2007GEMATEL</v>
          </cell>
          <cell r="X1915" t="str">
            <v>2007GEMATELScratch 1 000</v>
          </cell>
        </row>
        <row r="1916">
          <cell r="I1916">
            <v>2007</v>
          </cell>
          <cell r="J1916" t="str">
            <v>ANKA SERVICESScratch 10 000</v>
          </cell>
          <cell r="L1916">
            <v>1</v>
          </cell>
          <cell r="M1916" t="str">
            <v>1ANKA SERVICES</v>
          </cell>
          <cell r="N1916" t="str">
            <v>ANKA SERVICESScratch 10 000</v>
          </cell>
          <cell r="O1916" t="str">
            <v>ANKA SERVICES</v>
          </cell>
          <cell r="P1916" t="str">
            <v>Scratch 10 000</v>
          </cell>
          <cell r="Q1916" t="str">
            <v>72007</v>
          </cell>
          <cell r="R1916" t="str">
            <v>72007Scratch 10 000</v>
          </cell>
          <cell r="S1916" t="str">
            <v>2007Scratch 10 000</v>
          </cell>
          <cell r="T1916" t="str">
            <v>72007ANKA SERVICES</v>
          </cell>
          <cell r="U1916" t="str">
            <v>72007ANKA SERVICESScratch 10 000</v>
          </cell>
          <cell r="V1916" t="str">
            <v>39276Scratch 10 000</v>
          </cell>
          <cell r="W1916" t="str">
            <v>2007ANKA SERVICES</v>
          </cell>
          <cell r="X1916" t="str">
            <v>2007ANKA SERVICESScratch 10 000</v>
          </cell>
        </row>
        <row r="1917">
          <cell r="I1917">
            <v>2007</v>
          </cell>
          <cell r="J1917" t="str">
            <v>ANKA SERVICESScratch 5 000</v>
          </cell>
          <cell r="L1917">
            <v>0</v>
          </cell>
          <cell r="M1917" t="str">
            <v>ANKA SERVICES</v>
          </cell>
          <cell r="N1917" t="str">
            <v>ANKA SERVICESScratch 5 000</v>
          </cell>
          <cell r="O1917" t="str">
            <v>ANKA SERVICES</v>
          </cell>
          <cell r="P1917" t="str">
            <v>Scratch 5 000</v>
          </cell>
          <cell r="Q1917" t="str">
            <v>72007</v>
          </cell>
          <cell r="R1917" t="str">
            <v>72007Scratch 5 000</v>
          </cell>
          <cell r="S1917" t="str">
            <v>2007Scratch 5 000</v>
          </cell>
          <cell r="T1917" t="str">
            <v>72007ANKA SERVICES</v>
          </cell>
          <cell r="U1917" t="str">
            <v>72007ANKA SERVICESScratch 5 000</v>
          </cell>
          <cell r="V1917" t="str">
            <v>39276Scratch 5 000</v>
          </cell>
          <cell r="W1917" t="str">
            <v>2007ANKA SERVICES</v>
          </cell>
          <cell r="X1917" t="str">
            <v>2007ANKA SERVICESScratch 5 000</v>
          </cell>
        </row>
        <row r="1918">
          <cell r="I1918">
            <v>2007</v>
          </cell>
          <cell r="J1918" t="str">
            <v>ANKA SERVICESScratch 2 000</v>
          </cell>
          <cell r="L1918">
            <v>0</v>
          </cell>
          <cell r="M1918" t="str">
            <v>ANKA SERVICES</v>
          </cell>
          <cell r="N1918" t="str">
            <v>ANKA SERVICESScratch 2 000</v>
          </cell>
          <cell r="O1918" t="str">
            <v>ANKA SERVICES</v>
          </cell>
          <cell r="P1918" t="str">
            <v>Scratch 2 000</v>
          </cell>
          <cell r="Q1918" t="str">
            <v>72007</v>
          </cell>
          <cell r="R1918" t="str">
            <v>72007Scratch 2 000</v>
          </cell>
          <cell r="S1918" t="str">
            <v>2007Scratch 2 000</v>
          </cell>
          <cell r="T1918" t="str">
            <v>72007ANKA SERVICES</v>
          </cell>
          <cell r="U1918" t="str">
            <v>72007ANKA SERVICESScratch 2 000</v>
          </cell>
          <cell r="V1918" t="str">
            <v>39276Scratch 2 000</v>
          </cell>
          <cell r="W1918" t="str">
            <v>2007ANKA SERVICES</v>
          </cell>
          <cell r="X1918" t="str">
            <v>2007ANKA SERVICESScratch 2 000</v>
          </cell>
        </row>
        <row r="1919">
          <cell r="I1919">
            <v>2007</v>
          </cell>
          <cell r="J1919" t="str">
            <v>ANKA SERVICESScratch 1 000</v>
          </cell>
          <cell r="L1919">
            <v>0</v>
          </cell>
          <cell r="M1919" t="str">
            <v>ANKA SERVICES</v>
          </cell>
          <cell r="N1919" t="str">
            <v>ANKA SERVICESScratch 1 000</v>
          </cell>
          <cell r="O1919" t="str">
            <v>ANKA SERVICES</v>
          </cell>
          <cell r="P1919" t="str">
            <v>Scratch 1 000</v>
          </cell>
          <cell r="Q1919" t="str">
            <v>72007</v>
          </cell>
          <cell r="R1919" t="str">
            <v>72007Scratch 1 000</v>
          </cell>
          <cell r="S1919" t="str">
            <v>2007Scratch 1 000</v>
          </cell>
          <cell r="T1919" t="str">
            <v>72007ANKA SERVICES</v>
          </cell>
          <cell r="U1919" t="str">
            <v>72007ANKA SERVICESScratch 1 000</v>
          </cell>
          <cell r="V1919" t="str">
            <v>39276Scratch 1 000</v>
          </cell>
          <cell r="W1919" t="str">
            <v>2007ANKA SERVICES</v>
          </cell>
          <cell r="X1919" t="str">
            <v>2007ANKA SERVICESScratch 1 000</v>
          </cell>
        </row>
        <row r="1920">
          <cell r="I1920">
            <v>2007</v>
          </cell>
          <cell r="J1920" t="str">
            <v>Compagnie Internationale de NegoceScratch 5 000</v>
          </cell>
          <cell r="L1920">
            <v>1</v>
          </cell>
          <cell r="M1920" t="str">
            <v>1Compagnie Internationale de Negoce</v>
          </cell>
          <cell r="N1920" t="str">
            <v>Compagnie Internationale de NegoceScratch 5 000</v>
          </cell>
          <cell r="O1920" t="str">
            <v>Compagnie Internationale de Negoce</v>
          </cell>
          <cell r="P1920" t="str">
            <v>Scratch 5 000</v>
          </cell>
          <cell r="Q1920" t="str">
            <v>72007</v>
          </cell>
          <cell r="R1920" t="str">
            <v>72007Scratch 5 000</v>
          </cell>
          <cell r="S1920" t="str">
            <v>2007Scratch 5 000</v>
          </cell>
          <cell r="T1920" t="str">
            <v>72007Compagnie Internationale de Negoce</v>
          </cell>
          <cell r="U1920" t="str">
            <v>72007Compagnie Internationale de NegoceScratch 5 000</v>
          </cell>
          <cell r="V1920" t="str">
            <v>39279Scratch 5 000</v>
          </cell>
          <cell r="W1920" t="str">
            <v>2007Compagnie Internationale de Negoce</v>
          </cell>
          <cell r="X1920" t="str">
            <v>2007Compagnie Internationale de NegoceScratch 5 000</v>
          </cell>
        </row>
        <row r="1921">
          <cell r="I1921">
            <v>2007</v>
          </cell>
          <cell r="J1921" t="str">
            <v>Compagnie Internationale de NegoceScratch 2 000</v>
          </cell>
          <cell r="L1921">
            <v>0</v>
          </cell>
          <cell r="M1921" t="str">
            <v>Compagnie Internationale de Negoce</v>
          </cell>
          <cell r="N1921" t="str">
            <v>Compagnie Internationale de NegoceScratch 2 000</v>
          </cell>
          <cell r="O1921" t="str">
            <v>Compagnie Internationale de Negoce</v>
          </cell>
          <cell r="P1921" t="str">
            <v>Scratch 2 000</v>
          </cell>
          <cell r="Q1921" t="str">
            <v>72007</v>
          </cell>
          <cell r="R1921" t="str">
            <v>72007Scratch 2 000</v>
          </cell>
          <cell r="S1921" t="str">
            <v>2007Scratch 2 000</v>
          </cell>
          <cell r="T1921" t="str">
            <v>72007Compagnie Internationale de Negoce</v>
          </cell>
          <cell r="U1921" t="str">
            <v>72007Compagnie Internationale de NegoceScratch 2 000</v>
          </cell>
          <cell r="V1921" t="str">
            <v>39279Scratch 2 000</v>
          </cell>
          <cell r="W1921" t="str">
            <v>2007Compagnie Internationale de Negoce</v>
          </cell>
          <cell r="X1921" t="str">
            <v>2007Compagnie Internationale de NegoceScratch 2 000</v>
          </cell>
        </row>
        <row r="1922">
          <cell r="I1922">
            <v>2007</v>
          </cell>
          <cell r="J1922" t="str">
            <v>Compagnie Internationale de NegoceScratch 1 000</v>
          </cell>
          <cell r="L1922">
            <v>0</v>
          </cell>
          <cell r="M1922" t="str">
            <v>Compagnie Internationale de Negoce</v>
          </cell>
          <cell r="N1922" t="str">
            <v>Compagnie Internationale de NegoceScratch 1 000</v>
          </cell>
          <cell r="O1922" t="str">
            <v>Compagnie Internationale de Negoce</v>
          </cell>
          <cell r="P1922" t="str">
            <v>Scratch 1 000</v>
          </cell>
          <cell r="Q1922" t="str">
            <v>72007</v>
          </cell>
          <cell r="R1922" t="str">
            <v>72007Scratch 1 000</v>
          </cell>
          <cell r="S1922" t="str">
            <v>2007Scratch 1 000</v>
          </cell>
          <cell r="T1922" t="str">
            <v>72007Compagnie Internationale de Negoce</v>
          </cell>
          <cell r="U1922" t="str">
            <v>72007Compagnie Internationale de NegoceScratch 1 000</v>
          </cell>
          <cell r="V1922" t="str">
            <v>39279Scratch 1 000</v>
          </cell>
          <cell r="W1922" t="str">
            <v>2007Compagnie Internationale de Negoce</v>
          </cell>
          <cell r="X1922" t="str">
            <v>2007Compagnie Internationale de NegoceScratch 1 000</v>
          </cell>
        </row>
        <row r="1923">
          <cell r="I1923">
            <v>2007</v>
          </cell>
          <cell r="J1923" t="str">
            <v>STS GAMBY &amp; FRERES (SOGAF) SarlScratch 20 000</v>
          </cell>
          <cell r="L1923">
            <v>1</v>
          </cell>
          <cell r="M1923" t="str">
            <v>1STS GAMBY &amp; FRERES (SOGAF) Sarl</v>
          </cell>
          <cell r="N1923" t="str">
            <v>STS GAMBY &amp; FRERES (SOGAF) SarlScratch 20 000</v>
          </cell>
          <cell r="O1923" t="str">
            <v>STS GAMBY &amp; FRERES (SOGAF) Sarl</v>
          </cell>
          <cell r="P1923" t="str">
            <v>Scratch 20 000</v>
          </cell>
          <cell r="Q1923" t="str">
            <v>72007</v>
          </cell>
          <cell r="R1923" t="str">
            <v>72007Scratch 20 000</v>
          </cell>
          <cell r="S1923" t="str">
            <v>2007Scratch 20 000</v>
          </cell>
          <cell r="T1923" t="str">
            <v>72007STS GAMBY &amp; FRERES (SOGAF) Sarl</v>
          </cell>
          <cell r="U1923" t="str">
            <v>72007STS GAMBY &amp; FRERES (SOGAF) SarlScratch 20 000</v>
          </cell>
          <cell r="V1923" t="str">
            <v>39279Scratch 20 000</v>
          </cell>
          <cell r="W1923" t="str">
            <v>2007STS GAMBY &amp; FRERES (SOGAF) Sarl</v>
          </cell>
          <cell r="X1923" t="str">
            <v>2007STS GAMBY &amp; FRERES (SOGAF) SarlScratch 20 000</v>
          </cell>
        </row>
        <row r="1924">
          <cell r="I1924">
            <v>2007</v>
          </cell>
          <cell r="J1924" t="str">
            <v>STS GAMBY &amp; FRERES (SOGAF) SarlScratch 5 000</v>
          </cell>
          <cell r="L1924">
            <v>0</v>
          </cell>
          <cell r="M1924" t="str">
            <v>STS GAMBY &amp; FRERES (SOGAF) Sarl</v>
          </cell>
          <cell r="N1924" t="str">
            <v>STS GAMBY &amp; FRERES (SOGAF) SarlScratch 5 000</v>
          </cell>
          <cell r="O1924" t="str">
            <v>STS GAMBY &amp; FRERES (SOGAF) Sarl</v>
          </cell>
          <cell r="P1924" t="str">
            <v>Scratch 5 000</v>
          </cell>
          <cell r="Q1924" t="str">
            <v>72007</v>
          </cell>
          <cell r="R1924" t="str">
            <v>72007Scratch 5 000</v>
          </cell>
          <cell r="S1924" t="str">
            <v>2007Scratch 5 000</v>
          </cell>
          <cell r="T1924" t="str">
            <v>72007STS GAMBY &amp; FRERES (SOGAF) Sarl</v>
          </cell>
          <cell r="U1924" t="str">
            <v>72007STS GAMBY &amp; FRERES (SOGAF) SarlScratch 5 000</v>
          </cell>
          <cell r="V1924" t="str">
            <v>39279Scratch 5 000</v>
          </cell>
          <cell r="W1924" t="str">
            <v>2007STS GAMBY &amp; FRERES (SOGAF) Sarl</v>
          </cell>
          <cell r="X1924" t="str">
            <v>2007STS GAMBY &amp; FRERES (SOGAF) SarlScratch 5 000</v>
          </cell>
        </row>
        <row r="1925">
          <cell r="I1925">
            <v>2007</v>
          </cell>
          <cell r="J1925" t="str">
            <v>STS GAMBY &amp; FRERES (SOGAF) SarlScratch 2 000</v>
          </cell>
          <cell r="L1925">
            <v>0</v>
          </cell>
          <cell r="M1925" t="str">
            <v>STS GAMBY &amp; FRERES (SOGAF) Sarl</v>
          </cell>
          <cell r="N1925" t="str">
            <v>STS GAMBY &amp; FRERES (SOGAF) SarlScratch 2 000</v>
          </cell>
          <cell r="O1925" t="str">
            <v>STS GAMBY &amp; FRERES (SOGAF) Sarl</v>
          </cell>
          <cell r="P1925" t="str">
            <v>Scratch 2 000</v>
          </cell>
          <cell r="Q1925" t="str">
            <v>72007</v>
          </cell>
          <cell r="R1925" t="str">
            <v>72007Scratch 2 000</v>
          </cell>
          <cell r="S1925" t="str">
            <v>2007Scratch 2 000</v>
          </cell>
          <cell r="T1925" t="str">
            <v>72007STS GAMBY &amp; FRERES (SOGAF) Sarl</v>
          </cell>
          <cell r="U1925" t="str">
            <v>72007STS GAMBY &amp; FRERES (SOGAF) SarlScratch 2 000</v>
          </cell>
          <cell r="V1925" t="str">
            <v>39279Scratch 2 000</v>
          </cell>
          <cell r="W1925" t="str">
            <v>2007STS GAMBY &amp; FRERES (SOGAF) Sarl</v>
          </cell>
          <cell r="X1925" t="str">
            <v>2007STS GAMBY &amp; FRERES (SOGAF) SarlScratch 2 000</v>
          </cell>
        </row>
        <row r="1926">
          <cell r="I1926">
            <v>2007</v>
          </cell>
          <cell r="J1926" t="str">
            <v>STS GAMBY &amp; FRERES (SOGAF) SarlScratch 1 000</v>
          </cell>
          <cell r="L1926">
            <v>0</v>
          </cell>
          <cell r="M1926" t="str">
            <v>STS GAMBY &amp; FRERES (SOGAF) Sarl</v>
          </cell>
          <cell r="N1926" t="str">
            <v>STS GAMBY &amp; FRERES (SOGAF) SarlScratch 1 000</v>
          </cell>
          <cell r="O1926" t="str">
            <v>STS GAMBY &amp; FRERES (SOGAF) Sarl</v>
          </cell>
          <cell r="P1926" t="str">
            <v>Scratch 1 000</v>
          </cell>
          <cell r="Q1926" t="str">
            <v>72007</v>
          </cell>
          <cell r="R1926" t="str">
            <v>72007Scratch 1 000</v>
          </cell>
          <cell r="S1926" t="str">
            <v>2007Scratch 1 000</v>
          </cell>
          <cell r="T1926" t="str">
            <v>72007STS GAMBY &amp; FRERES (SOGAF) Sarl</v>
          </cell>
          <cell r="U1926" t="str">
            <v>72007STS GAMBY &amp; FRERES (SOGAF) SarlScratch 1 000</v>
          </cell>
          <cell r="V1926" t="str">
            <v>39279Scratch 1 000</v>
          </cell>
          <cell r="W1926" t="str">
            <v>2007STS GAMBY &amp; FRERES (SOGAF) Sarl</v>
          </cell>
          <cell r="X1926" t="str">
            <v>2007STS GAMBY &amp; FRERES (SOGAF) SarlScratch 1 000</v>
          </cell>
        </row>
        <row r="1927">
          <cell r="I1927">
            <v>2007</v>
          </cell>
          <cell r="J1927" t="str">
            <v>ANKA SERVICESScratch 20 000</v>
          </cell>
          <cell r="L1927">
            <v>1</v>
          </cell>
          <cell r="M1927" t="str">
            <v>1ANKA SERVICES</v>
          </cell>
          <cell r="N1927" t="str">
            <v>ANKA SERVICESScratch 20 000</v>
          </cell>
          <cell r="O1927" t="str">
            <v>ANKA SERVICES</v>
          </cell>
          <cell r="P1927" t="str">
            <v>Scratch 20 000</v>
          </cell>
          <cell r="Q1927" t="str">
            <v>72007</v>
          </cell>
          <cell r="R1927" t="str">
            <v>72007Scratch 20 000</v>
          </cell>
          <cell r="S1927" t="str">
            <v>2007Scratch 20 000</v>
          </cell>
          <cell r="T1927" t="str">
            <v>72007ANKA SERVICES</v>
          </cell>
          <cell r="U1927" t="str">
            <v>72007ANKA SERVICESScratch 20 000</v>
          </cell>
          <cell r="V1927" t="str">
            <v>39279Scratch 20 000</v>
          </cell>
          <cell r="W1927" t="str">
            <v>2007ANKA SERVICES</v>
          </cell>
          <cell r="X1927" t="str">
            <v>2007ANKA SERVICESScratch 20 000</v>
          </cell>
        </row>
        <row r="1928">
          <cell r="I1928">
            <v>2007</v>
          </cell>
          <cell r="J1928" t="str">
            <v>ANKA SERVICESScratch 10 000</v>
          </cell>
          <cell r="L1928">
            <v>0</v>
          </cell>
          <cell r="M1928" t="str">
            <v>ANKA SERVICES</v>
          </cell>
          <cell r="N1928" t="str">
            <v>ANKA SERVICESScratch 10 000</v>
          </cell>
          <cell r="O1928" t="str">
            <v>ANKA SERVICES</v>
          </cell>
          <cell r="P1928" t="str">
            <v>Scratch 10 000</v>
          </cell>
          <cell r="Q1928" t="str">
            <v>72007</v>
          </cell>
          <cell r="R1928" t="str">
            <v>72007Scratch 10 000</v>
          </cell>
          <cell r="S1928" t="str">
            <v>2007Scratch 10 000</v>
          </cell>
          <cell r="T1928" t="str">
            <v>72007ANKA SERVICES</v>
          </cell>
          <cell r="U1928" t="str">
            <v>72007ANKA SERVICESScratch 10 000</v>
          </cell>
          <cell r="V1928" t="str">
            <v>39279Scratch 10 000</v>
          </cell>
          <cell r="W1928" t="str">
            <v>2007ANKA SERVICES</v>
          </cell>
          <cell r="X1928" t="str">
            <v>2007ANKA SERVICESScratch 10 000</v>
          </cell>
        </row>
        <row r="1929">
          <cell r="I1929">
            <v>2007</v>
          </cell>
          <cell r="J1929" t="str">
            <v>ANKA SERVICESScratch 5 000</v>
          </cell>
          <cell r="L1929">
            <v>0</v>
          </cell>
          <cell r="M1929" t="str">
            <v>ANKA SERVICES</v>
          </cell>
          <cell r="N1929" t="str">
            <v>ANKA SERVICESScratch 5 000</v>
          </cell>
          <cell r="O1929" t="str">
            <v>ANKA SERVICES</v>
          </cell>
          <cell r="P1929" t="str">
            <v>Scratch 5 000</v>
          </cell>
          <cell r="Q1929" t="str">
            <v>72007</v>
          </cell>
          <cell r="R1929" t="str">
            <v>72007Scratch 5 000</v>
          </cell>
          <cell r="S1929" t="str">
            <v>2007Scratch 5 000</v>
          </cell>
          <cell r="T1929" t="str">
            <v>72007ANKA SERVICES</v>
          </cell>
          <cell r="U1929" t="str">
            <v>72007ANKA SERVICESScratch 5 000</v>
          </cell>
          <cell r="V1929" t="str">
            <v>39279Scratch 5 000</v>
          </cell>
          <cell r="W1929" t="str">
            <v>2007ANKA SERVICES</v>
          </cell>
          <cell r="X1929" t="str">
            <v>2007ANKA SERVICESScratch 5 000</v>
          </cell>
        </row>
        <row r="1930">
          <cell r="I1930">
            <v>2007</v>
          </cell>
          <cell r="J1930" t="str">
            <v>ANKA SERVICESScratch 2 000</v>
          </cell>
          <cell r="L1930">
            <v>0</v>
          </cell>
          <cell r="M1930" t="str">
            <v>ANKA SERVICES</v>
          </cell>
          <cell r="N1930" t="str">
            <v>ANKA SERVICESScratch 2 000</v>
          </cell>
          <cell r="O1930" t="str">
            <v>ANKA SERVICES</v>
          </cell>
          <cell r="P1930" t="str">
            <v>Scratch 2 000</v>
          </cell>
          <cell r="Q1930" t="str">
            <v>72007</v>
          </cell>
          <cell r="R1930" t="str">
            <v>72007Scratch 2 000</v>
          </cell>
          <cell r="S1930" t="str">
            <v>2007Scratch 2 000</v>
          </cell>
          <cell r="T1930" t="str">
            <v>72007ANKA SERVICES</v>
          </cell>
          <cell r="U1930" t="str">
            <v>72007ANKA SERVICESScratch 2 000</v>
          </cell>
          <cell r="V1930" t="str">
            <v>39279Scratch 2 000</v>
          </cell>
          <cell r="W1930" t="str">
            <v>2007ANKA SERVICES</v>
          </cell>
          <cell r="X1930" t="str">
            <v>2007ANKA SERVICESScratch 2 000</v>
          </cell>
        </row>
        <row r="1931">
          <cell r="I1931">
            <v>2007</v>
          </cell>
          <cell r="J1931" t="str">
            <v>ANKA SERVICESScratch 1 000</v>
          </cell>
          <cell r="L1931">
            <v>0</v>
          </cell>
          <cell r="M1931" t="str">
            <v>ANKA SERVICES</v>
          </cell>
          <cell r="N1931" t="str">
            <v>ANKA SERVICESScratch 1 000</v>
          </cell>
          <cell r="O1931" t="str">
            <v>ANKA SERVICES</v>
          </cell>
          <cell r="P1931" t="str">
            <v>Scratch 1 000</v>
          </cell>
          <cell r="Q1931" t="str">
            <v>72007</v>
          </cell>
          <cell r="R1931" t="str">
            <v>72007Scratch 1 000</v>
          </cell>
          <cell r="S1931" t="str">
            <v>2007Scratch 1 000</v>
          </cell>
          <cell r="T1931" t="str">
            <v>72007ANKA SERVICES</v>
          </cell>
          <cell r="U1931" t="str">
            <v>72007ANKA SERVICESScratch 1 000</v>
          </cell>
          <cell r="V1931" t="str">
            <v>39279Scratch 1 000</v>
          </cell>
          <cell r="W1931" t="str">
            <v>2007ANKA SERVICES</v>
          </cell>
          <cell r="X1931" t="str">
            <v>2007ANKA SERVICESScratch 1 000</v>
          </cell>
        </row>
        <row r="1932">
          <cell r="I1932">
            <v>2007</v>
          </cell>
          <cell r="J1932" t="str">
            <v>MALI COM SarlScratch 5 000</v>
          </cell>
          <cell r="L1932">
            <v>1</v>
          </cell>
          <cell r="M1932" t="str">
            <v>1MALI COM Sarl</v>
          </cell>
          <cell r="N1932" t="str">
            <v>MALI COM SarlScratch 5 000</v>
          </cell>
          <cell r="O1932" t="str">
            <v>MALI COM Sarl</v>
          </cell>
          <cell r="P1932" t="str">
            <v>Scratch 5 000</v>
          </cell>
          <cell r="Q1932" t="str">
            <v>72007</v>
          </cell>
          <cell r="R1932" t="str">
            <v>72007Scratch 5 000</v>
          </cell>
          <cell r="S1932" t="str">
            <v>2007Scratch 5 000</v>
          </cell>
          <cell r="T1932" t="str">
            <v>72007MALI COM Sarl</v>
          </cell>
          <cell r="U1932" t="str">
            <v>72007MALI COM SarlScratch 5 000</v>
          </cell>
          <cell r="V1932" t="str">
            <v>39279Scratch 5 000</v>
          </cell>
          <cell r="W1932" t="str">
            <v>2007MALI COM Sarl</v>
          </cell>
          <cell r="X1932" t="str">
            <v>2007MALI COM SarlScratch 5 000</v>
          </cell>
        </row>
        <row r="1933">
          <cell r="I1933">
            <v>2007</v>
          </cell>
          <cell r="J1933" t="str">
            <v>MALI COM SarlScratch 2 000</v>
          </cell>
          <cell r="L1933">
            <v>0</v>
          </cell>
          <cell r="M1933" t="str">
            <v>MALI COM Sarl</v>
          </cell>
          <cell r="N1933" t="str">
            <v>MALI COM SarlScratch 2 000</v>
          </cell>
          <cell r="O1933" t="str">
            <v>MALI COM Sarl</v>
          </cell>
          <cell r="P1933" t="str">
            <v>Scratch 2 000</v>
          </cell>
          <cell r="Q1933" t="str">
            <v>72007</v>
          </cell>
          <cell r="R1933" t="str">
            <v>72007Scratch 2 000</v>
          </cell>
          <cell r="S1933" t="str">
            <v>2007Scratch 2 000</v>
          </cell>
          <cell r="T1933" t="str">
            <v>72007MALI COM Sarl</v>
          </cell>
          <cell r="U1933" t="str">
            <v>72007MALI COM SarlScratch 2 000</v>
          </cell>
          <cell r="V1933" t="str">
            <v>39279Scratch 2 000</v>
          </cell>
          <cell r="W1933" t="str">
            <v>2007MALI COM Sarl</v>
          </cell>
          <cell r="X1933" t="str">
            <v>2007MALI COM SarlScratch 2 000</v>
          </cell>
        </row>
        <row r="1934">
          <cell r="I1934">
            <v>2007</v>
          </cell>
          <cell r="J1934" t="str">
            <v>MALI COM SarlScratch 1 000</v>
          </cell>
          <cell r="L1934">
            <v>0</v>
          </cell>
          <cell r="M1934" t="str">
            <v>MALI COM Sarl</v>
          </cell>
          <cell r="N1934" t="str">
            <v>MALI COM SarlScratch 1 000</v>
          </cell>
          <cell r="O1934" t="str">
            <v>MALI COM Sarl</v>
          </cell>
          <cell r="P1934" t="str">
            <v>Scratch 1 000</v>
          </cell>
          <cell r="Q1934" t="str">
            <v>72007</v>
          </cell>
          <cell r="R1934" t="str">
            <v>72007Scratch 1 000</v>
          </cell>
          <cell r="S1934" t="str">
            <v>2007Scratch 1 000</v>
          </cell>
          <cell r="T1934" t="str">
            <v>72007MALI COM Sarl</v>
          </cell>
          <cell r="U1934" t="str">
            <v>72007MALI COM SarlScratch 1 000</v>
          </cell>
          <cell r="V1934" t="str">
            <v>39279Scratch 1 000</v>
          </cell>
          <cell r="W1934" t="str">
            <v>2007MALI COM Sarl</v>
          </cell>
          <cell r="X1934" t="str">
            <v>2007MALI COM SarlScratch 1 000</v>
          </cell>
        </row>
        <row r="1935">
          <cell r="I1935">
            <v>2007</v>
          </cell>
          <cell r="J1935" t="str">
            <v>GEMATELScratch 20 000</v>
          </cell>
          <cell r="L1935">
            <v>1</v>
          </cell>
          <cell r="M1935" t="str">
            <v>1GEMATEL</v>
          </cell>
          <cell r="N1935" t="str">
            <v>GEMATELScratch 20 000</v>
          </cell>
          <cell r="O1935" t="str">
            <v>GEMATEL</v>
          </cell>
          <cell r="P1935" t="str">
            <v>Scratch 20 000</v>
          </cell>
          <cell r="Q1935" t="str">
            <v>72007</v>
          </cell>
          <cell r="R1935" t="str">
            <v>72007Scratch 20 000</v>
          </cell>
          <cell r="S1935" t="str">
            <v>2007Scratch 20 000</v>
          </cell>
          <cell r="T1935" t="str">
            <v>72007GEMATEL</v>
          </cell>
          <cell r="U1935" t="str">
            <v>72007GEMATELScratch 20 000</v>
          </cell>
          <cell r="V1935" t="str">
            <v>39279Scratch 20 000</v>
          </cell>
          <cell r="W1935" t="str">
            <v>2007GEMATEL</v>
          </cell>
          <cell r="X1935" t="str">
            <v>2007GEMATELScratch 20 000</v>
          </cell>
        </row>
        <row r="1936">
          <cell r="I1936">
            <v>2007</v>
          </cell>
          <cell r="J1936" t="str">
            <v>GEMATELScratch 5 000</v>
          </cell>
          <cell r="L1936">
            <v>0</v>
          </cell>
          <cell r="M1936" t="str">
            <v>GEMATEL</v>
          </cell>
          <cell r="N1936" t="str">
            <v>GEMATELScratch 5 000</v>
          </cell>
          <cell r="O1936" t="str">
            <v>GEMATEL</v>
          </cell>
          <cell r="P1936" t="str">
            <v>Scratch 5 000</v>
          </cell>
          <cell r="Q1936" t="str">
            <v>72007</v>
          </cell>
          <cell r="R1936" t="str">
            <v>72007Scratch 5 000</v>
          </cell>
          <cell r="S1936" t="str">
            <v>2007Scratch 5 000</v>
          </cell>
          <cell r="T1936" t="str">
            <v>72007GEMATEL</v>
          </cell>
          <cell r="U1936" t="str">
            <v>72007GEMATELScratch 5 000</v>
          </cell>
          <cell r="V1936" t="str">
            <v>39279Scratch 5 000</v>
          </cell>
          <cell r="W1936" t="str">
            <v>2007GEMATEL</v>
          </cell>
          <cell r="X1936" t="str">
            <v>2007GEMATELScratch 5 000</v>
          </cell>
        </row>
        <row r="1937">
          <cell r="I1937">
            <v>2007</v>
          </cell>
          <cell r="J1937" t="str">
            <v>GEMATELScratch 2 000</v>
          </cell>
          <cell r="L1937">
            <v>0</v>
          </cell>
          <cell r="M1937" t="str">
            <v>GEMATEL</v>
          </cell>
          <cell r="N1937" t="str">
            <v>GEMATELScratch 2 000</v>
          </cell>
          <cell r="O1937" t="str">
            <v>GEMATEL</v>
          </cell>
          <cell r="P1937" t="str">
            <v>Scratch 2 000</v>
          </cell>
          <cell r="Q1937" t="str">
            <v>72007</v>
          </cell>
          <cell r="R1937" t="str">
            <v>72007Scratch 2 000</v>
          </cell>
          <cell r="S1937" t="str">
            <v>2007Scratch 2 000</v>
          </cell>
          <cell r="T1937" t="str">
            <v>72007GEMATEL</v>
          </cell>
          <cell r="U1937" t="str">
            <v>72007GEMATELScratch 2 000</v>
          </cell>
          <cell r="V1937" t="str">
            <v>39279Scratch 2 000</v>
          </cell>
          <cell r="W1937" t="str">
            <v>2007GEMATEL</v>
          </cell>
          <cell r="X1937" t="str">
            <v>2007GEMATELScratch 2 000</v>
          </cell>
        </row>
        <row r="1938">
          <cell r="I1938">
            <v>2007</v>
          </cell>
          <cell r="J1938" t="str">
            <v>GEMATELScratch 1 000</v>
          </cell>
          <cell r="L1938">
            <v>0</v>
          </cell>
          <cell r="M1938" t="str">
            <v>GEMATEL</v>
          </cell>
          <cell r="N1938" t="str">
            <v>GEMATELScratch 1 000</v>
          </cell>
          <cell r="O1938" t="str">
            <v>GEMATEL</v>
          </cell>
          <cell r="P1938" t="str">
            <v>Scratch 1 000</v>
          </cell>
          <cell r="Q1938" t="str">
            <v>72007</v>
          </cell>
          <cell r="R1938" t="str">
            <v>72007Scratch 1 000</v>
          </cell>
          <cell r="S1938" t="str">
            <v>2007Scratch 1 000</v>
          </cell>
          <cell r="T1938" t="str">
            <v>72007GEMATEL</v>
          </cell>
          <cell r="U1938" t="str">
            <v>72007GEMATELScratch 1 000</v>
          </cell>
          <cell r="V1938" t="str">
            <v>39279Scratch 1 000</v>
          </cell>
          <cell r="W1938" t="str">
            <v>2007GEMATEL</v>
          </cell>
          <cell r="X1938" t="str">
            <v>2007GEMATELScratch 1 000</v>
          </cell>
        </row>
        <row r="1939">
          <cell r="I1939">
            <v>2007</v>
          </cell>
          <cell r="J1939" t="str">
            <v>SOMAKOFFScratch 5 000</v>
          </cell>
          <cell r="L1939">
            <v>1</v>
          </cell>
          <cell r="M1939" t="str">
            <v>1SOMAKOFF</v>
          </cell>
          <cell r="N1939" t="str">
            <v>SOMAKOFFScratch 5 000</v>
          </cell>
          <cell r="O1939" t="str">
            <v>SOMAKOFF</v>
          </cell>
          <cell r="P1939" t="str">
            <v>Scratch 5 000</v>
          </cell>
          <cell r="Q1939" t="str">
            <v>72007</v>
          </cell>
          <cell r="R1939" t="str">
            <v>72007Scratch 5 000</v>
          </cell>
          <cell r="S1939" t="str">
            <v>2007Scratch 5 000</v>
          </cell>
          <cell r="T1939" t="str">
            <v>72007SOMAKOFF</v>
          </cell>
          <cell r="U1939" t="str">
            <v>72007SOMAKOFFScratch 5 000</v>
          </cell>
          <cell r="V1939" t="str">
            <v>39279Scratch 5 000</v>
          </cell>
          <cell r="W1939" t="str">
            <v>2007SOMAKOFF</v>
          </cell>
          <cell r="X1939" t="str">
            <v>2007SOMAKOFFScratch 5 000</v>
          </cell>
        </row>
        <row r="1940">
          <cell r="I1940">
            <v>2007</v>
          </cell>
          <cell r="J1940" t="str">
            <v>SOMAKOFFScratch 2 000</v>
          </cell>
          <cell r="L1940">
            <v>0</v>
          </cell>
          <cell r="M1940" t="str">
            <v>SOMAKOFF</v>
          </cell>
          <cell r="N1940" t="str">
            <v>SOMAKOFFScratch 2 000</v>
          </cell>
          <cell r="O1940" t="str">
            <v>SOMAKOFF</v>
          </cell>
          <cell r="P1940" t="str">
            <v>Scratch 2 000</v>
          </cell>
          <cell r="Q1940" t="str">
            <v>72007</v>
          </cell>
          <cell r="R1940" t="str">
            <v>72007Scratch 2 000</v>
          </cell>
          <cell r="S1940" t="str">
            <v>2007Scratch 2 000</v>
          </cell>
          <cell r="T1940" t="str">
            <v>72007SOMAKOFF</v>
          </cell>
          <cell r="U1940" t="str">
            <v>72007SOMAKOFFScratch 2 000</v>
          </cell>
          <cell r="V1940" t="str">
            <v>39279Scratch 2 000</v>
          </cell>
          <cell r="W1940" t="str">
            <v>2007SOMAKOFF</v>
          </cell>
          <cell r="X1940" t="str">
            <v>2007SOMAKOFFScratch 2 000</v>
          </cell>
        </row>
        <row r="1941">
          <cell r="I1941">
            <v>2007</v>
          </cell>
          <cell r="J1941" t="str">
            <v>SOMAKOFFScratch 1 000</v>
          </cell>
          <cell r="L1941">
            <v>0</v>
          </cell>
          <cell r="M1941" t="str">
            <v>SOMAKOFF</v>
          </cell>
          <cell r="N1941" t="str">
            <v>SOMAKOFFScratch 1 000</v>
          </cell>
          <cell r="O1941" t="str">
            <v>SOMAKOFF</v>
          </cell>
          <cell r="P1941" t="str">
            <v>Scratch 1 000</v>
          </cell>
          <cell r="Q1941" t="str">
            <v>72007</v>
          </cell>
          <cell r="R1941" t="str">
            <v>72007Scratch 1 000</v>
          </cell>
          <cell r="S1941" t="str">
            <v>2007Scratch 1 000</v>
          </cell>
          <cell r="T1941" t="str">
            <v>72007SOMAKOFF</v>
          </cell>
          <cell r="U1941" t="str">
            <v>72007SOMAKOFFScratch 1 000</v>
          </cell>
          <cell r="V1941" t="str">
            <v>39279Scratch 1 000</v>
          </cell>
          <cell r="W1941" t="str">
            <v>2007SOMAKOFF</v>
          </cell>
          <cell r="X1941" t="str">
            <v>2007SOMAKOFFScratch 1 000</v>
          </cell>
        </row>
        <row r="1942">
          <cell r="I1942">
            <v>2007</v>
          </cell>
          <cell r="J1942" t="str">
            <v>Ets Mamadou GAMBYScratch 5 000</v>
          </cell>
          <cell r="L1942">
            <v>1</v>
          </cell>
          <cell r="M1942" t="str">
            <v>1Ets Mamadou GAMBY</v>
          </cell>
          <cell r="N1942" t="str">
            <v>Ets Mamadou GAMBYScratch 5 000</v>
          </cell>
          <cell r="O1942" t="str">
            <v>Ets Mamadou GAMBY</v>
          </cell>
          <cell r="P1942" t="str">
            <v>Scratch 5 000</v>
          </cell>
          <cell r="Q1942" t="str">
            <v>72007</v>
          </cell>
          <cell r="R1942" t="str">
            <v>72007Scratch 5 000</v>
          </cell>
          <cell r="S1942" t="str">
            <v>2007Scratch 5 000</v>
          </cell>
          <cell r="T1942" t="str">
            <v>72007Ets Mamadou GAMBY</v>
          </cell>
          <cell r="U1942" t="str">
            <v>72007Ets Mamadou GAMBYScratch 5 000</v>
          </cell>
          <cell r="V1942" t="str">
            <v>39279Scratch 5 000</v>
          </cell>
          <cell r="W1942" t="str">
            <v>2007Ets Mamadou GAMBY</v>
          </cell>
          <cell r="X1942" t="str">
            <v>2007Ets Mamadou GAMBYScratch 5 000</v>
          </cell>
        </row>
        <row r="1943">
          <cell r="I1943">
            <v>2007</v>
          </cell>
          <cell r="J1943" t="str">
            <v>Ets Mamadou GAMBYScratch 2 000</v>
          </cell>
          <cell r="L1943">
            <v>0</v>
          </cell>
          <cell r="M1943" t="str">
            <v>Ets Mamadou GAMBY</v>
          </cell>
          <cell r="N1943" t="str">
            <v>Ets Mamadou GAMBYScratch 2 000</v>
          </cell>
          <cell r="O1943" t="str">
            <v>Ets Mamadou GAMBY</v>
          </cell>
          <cell r="P1943" t="str">
            <v>Scratch 2 000</v>
          </cell>
          <cell r="Q1943" t="str">
            <v>72007</v>
          </cell>
          <cell r="R1943" t="str">
            <v>72007Scratch 2 000</v>
          </cell>
          <cell r="S1943" t="str">
            <v>2007Scratch 2 000</v>
          </cell>
          <cell r="T1943" t="str">
            <v>72007Ets Mamadou GAMBY</v>
          </cell>
          <cell r="U1943" t="str">
            <v>72007Ets Mamadou GAMBYScratch 2 000</v>
          </cell>
          <cell r="V1943" t="str">
            <v>39279Scratch 2 000</v>
          </cell>
          <cell r="W1943" t="str">
            <v>2007Ets Mamadou GAMBY</v>
          </cell>
          <cell r="X1943" t="str">
            <v>2007Ets Mamadou GAMBYScratch 2 000</v>
          </cell>
        </row>
        <row r="1944">
          <cell r="I1944">
            <v>2007</v>
          </cell>
          <cell r="J1944" t="str">
            <v>Ets Mamadou GAMBYScratch 1 000</v>
          </cell>
          <cell r="L1944">
            <v>0</v>
          </cell>
          <cell r="M1944" t="str">
            <v>Ets Mamadou GAMBY</v>
          </cell>
          <cell r="N1944" t="str">
            <v>Ets Mamadou GAMBYScratch 1 000</v>
          </cell>
          <cell r="O1944" t="str">
            <v>Ets Mamadou GAMBY</v>
          </cell>
          <cell r="P1944" t="str">
            <v>Scratch 1 000</v>
          </cell>
          <cell r="Q1944" t="str">
            <v>72007</v>
          </cell>
          <cell r="R1944" t="str">
            <v>72007Scratch 1 000</v>
          </cell>
          <cell r="S1944" t="str">
            <v>2007Scratch 1 000</v>
          </cell>
          <cell r="T1944" t="str">
            <v>72007Ets Mamadou GAMBY</v>
          </cell>
          <cell r="U1944" t="str">
            <v>72007Ets Mamadou GAMBYScratch 1 000</v>
          </cell>
          <cell r="V1944" t="str">
            <v>39279Scratch 1 000</v>
          </cell>
          <cell r="W1944" t="str">
            <v>2007Ets Mamadou GAMBY</v>
          </cell>
          <cell r="X1944" t="str">
            <v>2007Ets Mamadou GAMBYScratch 1 000</v>
          </cell>
        </row>
        <row r="1945">
          <cell r="I1945">
            <v>2007</v>
          </cell>
          <cell r="J1945" t="str">
            <v>Soleil LevantScratch 5 000</v>
          </cell>
          <cell r="L1945">
            <v>1</v>
          </cell>
          <cell r="M1945" t="str">
            <v>1Soleil Levant</v>
          </cell>
          <cell r="N1945" t="str">
            <v>Soleil LevantScratch 5 000</v>
          </cell>
          <cell r="O1945" t="str">
            <v>Soleil Levant</v>
          </cell>
          <cell r="P1945" t="str">
            <v>Scratch 5 000</v>
          </cell>
          <cell r="Q1945" t="str">
            <v>72007</v>
          </cell>
          <cell r="R1945" t="str">
            <v>72007Scratch 5 000</v>
          </cell>
          <cell r="S1945" t="str">
            <v>2007Scratch 5 000</v>
          </cell>
          <cell r="T1945" t="str">
            <v>72007Soleil Levant</v>
          </cell>
          <cell r="U1945" t="str">
            <v>72007Soleil LevantScratch 5 000</v>
          </cell>
          <cell r="V1945" t="str">
            <v>39280Scratch 5 000</v>
          </cell>
          <cell r="W1945" t="str">
            <v>2007Soleil Levant</v>
          </cell>
          <cell r="X1945" t="str">
            <v>2007Soleil LevantScratch 5 000</v>
          </cell>
        </row>
        <row r="1946">
          <cell r="I1946">
            <v>2007</v>
          </cell>
          <cell r="J1946" t="str">
            <v>Soleil LevantScratch 2 000</v>
          </cell>
          <cell r="L1946">
            <v>0</v>
          </cell>
          <cell r="M1946" t="str">
            <v>Soleil Levant</v>
          </cell>
          <cell r="N1946" t="str">
            <v>Soleil LevantScratch 2 000</v>
          </cell>
          <cell r="O1946" t="str">
            <v>Soleil Levant</v>
          </cell>
          <cell r="P1946" t="str">
            <v>Scratch 2 000</v>
          </cell>
          <cell r="Q1946" t="str">
            <v>72007</v>
          </cell>
          <cell r="R1946" t="str">
            <v>72007Scratch 2 000</v>
          </cell>
          <cell r="S1946" t="str">
            <v>2007Scratch 2 000</v>
          </cell>
          <cell r="T1946" t="str">
            <v>72007Soleil Levant</v>
          </cell>
          <cell r="U1946" t="str">
            <v>72007Soleil LevantScratch 2 000</v>
          </cell>
          <cell r="V1946" t="str">
            <v>39280Scratch 2 000</v>
          </cell>
          <cell r="W1946" t="str">
            <v>2007Soleil Levant</v>
          </cell>
          <cell r="X1946" t="str">
            <v>2007Soleil LevantScratch 2 000</v>
          </cell>
        </row>
        <row r="1947">
          <cell r="I1947">
            <v>2007</v>
          </cell>
          <cell r="J1947" t="str">
            <v>Soleil LevantScratch 1 000</v>
          </cell>
          <cell r="L1947">
            <v>0</v>
          </cell>
          <cell r="M1947" t="str">
            <v>Soleil Levant</v>
          </cell>
          <cell r="N1947" t="str">
            <v>Soleil LevantScratch 1 000</v>
          </cell>
          <cell r="O1947" t="str">
            <v>Soleil Levant</v>
          </cell>
          <cell r="P1947" t="str">
            <v>Scratch 1 000</v>
          </cell>
          <cell r="Q1947" t="str">
            <v>72007</v>
          </cell>
          <cell r="R1947" t="str">
            <v>72007Scratch 1 000</v>
          </cell>
          <cell r="S1947" t="str">
            <v>2007Scratch 1 000</v>
          </cell>
          <cell r="T1947" t="str">
            <v>72007Soleil Levant</v>
          </cell>
          <cell r="U1947" t="str">
            <v>72007Soleil LevantScratch 1 000</v>
          </cell>
          <cell r="V1947" t="str">
            <v>39280Scratch 1 000</v>
          </cell>
          <cell r="W1947" t="str">
            <v>2007Soleil Levant</v>
          </cell>
          <cell r="X1947" t="str">
            <v>2007Soleil LevantScratch 1 000</v>
          </cell>
        </row>
        <row r="1948">
          <cell r="I1948">
            <v>2007</v>
          </cell>
          <cell r="J1948" t="str">
            <v>STS GAMBY &amp; FRERES (SOGAF) SarlScratch 20 000</v>
          </cell>
          <cell r="L1948">
            <v>1</v>
          </cell>
          <cell r="M1948" t="str">
            <v>1STS GAMBY &amp; FRERES (SOGAF) Sarl</v>
          </cell>
          <cell r="N1948" t="str">
            <v>STS GAMBY &amp; FRERES (SOGAF) SarlScratch 20 000</v>
          </cell>
          <cell r="O1948" t="str">
            <v>STS GAMBY &amp; FRERES (SOGAF) Sarl</v>
          </cell>
          <cell r="P1948" t="str">
            <v>Scratch 20 000</v>
          </cell>
          <cell r="Q1948" t="str">
            <v>72007</v>
          </cell>
          <cell r="R1948" t="str">
            <v>72007Scratch 20 000</v>
          </cell>
          <cell r="S1948" t="str">
            <v>2007Scratch 20 000</v>
          </cell>
          <cell r="T1948" t="str">
            <v>72007STS GAMBY &amp; FRERES (SOGAF) Sarl</v>
          </cell>
          <cell r="U1948" t="str">
            <v>72007STS GAMBY &amp; FRERES (SOGAF) SarlScratch 20 000</v>
          </cell>
          <cell r="V1948" t="str">
            <v>39280Scratch 20 000</v>
          </cell>
          <cell r="W1948" t="str">
            <v>2007STS GAMBY &amp; FRERES (SOGAF) Sarl</v>
          </cell>
          <cell r="X1948" t="str">
            <v>2007STS GAMBY &amp; FRERES (SOGAF) SarlScratch 20 000</v>
          </cell>
        </row>
        <row r="1949">
          <cell r="I1949">
            <v>2007</v>
          </cell>
          <cell r="J1949" t="str">
            <v>STS GAMBY &amp; FRERES (SOGAF) SarlScratch 5 000</v>
          </cell>
          <cell r="L1949">
            <v>0</v>
          </cell>
          <cell r="M1949" t="str">
            <v>STS GAMBY &amp; FRERES (SOGAF) Sarl</v>
          </cell>
          <cell r="N1949" t="str">
            <v>STS GAMBY &amp; FRERES (SOGAF) SarlScratch 5 000</v>
          </cell>
          <cell r="O1949" t="str">
            <v>STS GAMBY &amp; FRERES (SOGAF) Sarl</v>
          </cell>
          <cell r="P1949" t="str">
            <v>Scratch 5 000</v>
          </cell>
          <cell r="Q1949" t="str">
            <v>72007</v>
          </cell>
          <cell r="R1949" t="str">
            <v>72007Scratch 5 000</v>
          </cell>
          <cell r="S1949" t="str">
            <v>2007Scratch 5 000</v>
          </cell>
          <cell r="T1949" t="str">
            <v>72007STS GAMBY &amp; FRERES (SOGAF) Sarl</v>
          </cell>
          <cell r="U1949" t="str">
            <v>72007STS GAMBY &amp; FRERES (SOGAF) SarlScratch 5 000</v>
          </cell>
          <cell r="V1949" t="str">
            <v>39280Scratch 5 000</v>
          </cell>
          <cell r="W1949" t="str">
            <v>2007STS GAMBY &amp; FRERES (SOGAF) Sarl</v>
          </cell>
          <cell r="X1949" t="str">
            <v>2007STS GAMBY &amp; FRERES (SOGAF) SarlScratch 5 000</v>
          </cell>
        </row>
        <row r="1950">
          <cell r="I1950">
            <v>2007</v>
          </cell>
          <cell r="J1950" t="str">
            <v>STS GAMBY &amp; FRERES (SOGAF) SarlScratch 2 000</v>
          </cell>
          <cell r="L1950">
            <v>0</v>
          </cell>
          <cell r="M1950" t="str">
            <v>STS GAMBY &amp; FRERES (SOGAF) Sarl</v>
          </cell>
          <cell r="N1950" t="str">
            <v>STS GAMBY &amp; FRERES (SOGAF) SarlScratch 2 000</v>
          </cell>
          <cell r="O1950" t="str">
            <v>STS GAMBY &amp; FRERES (SOGAF) Sarl</v>
          </cell>
          <cell r="P1950" t="str">
            <v>Scratch 2 000</v>
          </cell>
          <cell r="Q1950" t="str">
            <v>72007</v>
          </cell>
          <cell r="R1950" t="str">
            <v>72007Scratch 2 000</v>
          </cell>
          <cell r="S1950" t="str">
            <v>2007Scratch 2 000</v>
          </cell>
          <cell r="T1950" t="str">
            <v>72007STS GAMBY &amp; FRERES (SOGAF) Sarl</v>
          </cell>
          <cell r="U1950" t="str">
            <v>72007STS GAMBY &amp; FRERES (SOGAF) SarlScratch 2 000</v>
          </cell>
          <cell r="V1950" t="str">
            <v>39280Scratch 2 000</v>
          </cell>
          <cell r="W1950" t="str">
            <v>2007STS GAMBY &amp; FRERES (SOGAF) Sarl</v>
          </cell>
          <cell r="X1950" t="str">
            <v>2007STS GAMBY &amp; FRERES (SOGAF) SarlScratch 2 000</v>
          </cell>
        </row>
        <row r="1951">
          <cell r="I1951">
            <v>2007</v>
          </cell>
          <cell r="J1951" t="str">
            <v>STS GAMBY &amp; FRERES (SOGAF) SarlScratch 1 000</v>
          </cell>
          <cell r="L1951">
            <v>0</v>
          </cell>
          <cell r="M1951" t="str">
            <v>STS GAMBY &amp; FRERES (SOGAF) Sarl</v>
          </cell>
          <cell r="N1951" t="str">
            <v>STS GAMBY &amp; FRERES (SOGAF) SarlScratch 1 000</v>
          </cell>
          <cell r="O1951" t="str">
            <v>STS GAMBY &amp; FRERES (SOGAF) Sarl</v>
          </cell>
          <cell r="P1951" t="str">
            <v>Scratch 1 000</v>
          </cell>
          <cell r="Q1951" t="str">
            <v>72007</v>
          </cell>
          <cell r="R1951" t="str">
            <v>72007Scratch 1 000</v>
          </cell>
          <cell r="S1951" t="str">
            <v>2007Scratch 1 000</v>
          </cell>
          <cell r="T1951" t="str">
            <v>72007STS GAMBY &amp; FRERES (SOGAF) Sarl</v>
          </cell>
          <cell r="U1951" t="str">
            <v>72007STS GAMBY &amp; FRERES (SOGAF) SarlScratch 1 000</v>
          </cell>
          <cell r="V1951" t="str">
            <v>39280Scratch 1 000</v>
          </cell>
          <cell r="W1951" t="str">
            <v>2007STS GAMBY &amp; FRERES (SOGAF) Sarl</v>
          </cell>
          <cell r="X1951" t="str">
            <v>2007STS GAMBY &amp; FRERES (SOGAF) SarlScratch 1 000</v>
          </cell>
        </row>
        <row r="1952">
          <cell r="I1952">
            <v>2007</v>
          </cell>
          <cell r="J1952" t="str">
            <v>Bonneterie Nouvelle TelecomScratch 20 000</v>
          </cell>
          <cell r="L1952">
            <v>1</v>
          </cell>
          <cell r="M1952" t="str">
            <v>1Bonneterie Nouvelle Telecom</v>
          </cell>
          <cell r="N1952" t="str">
            <v>Bonneterie Nouvelle TelecomScratch 20 000</v>
          </cell>
          <cell r="O1952" t="str">
            <v>Bonneterie Nouvelle Telecom</v>
          </cell>
          <cell r="P1952" t="str">
            <v>Scratch 20 000</v>
          </cell>
          <cell r="Q1952" t="str">
            <v>72007</v>
          </cell>
          <cell r="R1952" t="str">
            <v>72007Scratch 20 000</v>
          </cell>
          <cell r="S1952" t="str">
            <v>2007Scratch 20 000</v>
          </cell>
          <cell r="T1952" t="str">
            <v>72007Bonneterie Nouvelle Telecom</v>
          </cell>
          <cell r="U1952" t="str">
            <v>72007Bonneterie Nouvelle TelecomScratch 20 000</v>
          </cell>
          <cell r="V1952" t="str">
            <v>39280Scratch 20 000</v>
          </cell>
          <cell r="W1952" t="str">
            <v>2007Bonneterie Nouvelle Telecom</v>
          </cell>
          <cell r="X1952" t="str">
            <v>2007Bonneterie Nouvelle TelecomScratch 20 000</v>
          </cell>
        </row>
        <row r="1953">
          <cell r="I1953">
            <v>2007</v>
          </cell>
          <cell r="J1953" t="str">
            <v>Bonneterie Nouvelle TelecomScratch 10 000</v>
          </cell>
          <cell r="L1953">
            <v>0</v>
          </cell>
          <cell r="M1953" t="str">
            <v>Bonneterie Nouvelle Telecom</v>
          </cell>
          <cell r="N1953" t="str">
            <v>Bonneterie Nouvelle TelecomScratch 10 000</v>
          </cell>
          <cell r="O1953" t="str">
            <v>Bonneterie Nouvelle Telecom</v>
          </cell>
          <cell r="P1953" t="str">
            <v>Scratch 10 000</v>
          </cell>
          <cell r="Q1953" t="str">
            <v>72007</v>
          </cell>
          <cell r="R1953" t="str">
            <v>72007Scratch 10 000</v>
          </cell>
          <cell r="S1953" t="str">
            <v>2007Scratch 10 000</v>
          </cell>
          <cell r="T1953" t="str">
            <v>72007Bonneterie Nouvelle Telecom</v>
          </cell>
          <cell r="U1953" t="str">
            <v>72007Bonneterie Nouvelle TelecomScratch 10 000</v>
          </cell>
          <cell r="V1953" t="str">
            <v>39280Scratch 10 000</v>
          </cell>
          <cell r="W1953" t="str">
            <v>2007Bonneterie Nouvelle Telecom</v>
          </cell>
          <cell r="X1953" t="str">
            <v>2007Bonneterie Nouvelle TelecomScratch 10 000</v>
          </cell>
        </row>
        <row r="1954">
          <cell r="I1954">
            <v>2007</v>
          </cell>
          <cell r="J1954" t="str">
            <v>Bonneterie Nouvelle TelecomScratch 5 000</v>
          </cell>
          <cell r="L1954">
            <v>0</v>
          </cell>
          <cell r="M1954" t="str">
            <v>Bonneterie Nouvelle Telecom</v>
          </cell>
          <cell r="N1954" t="str">
            <v>Bonneterie Nouvelle TelecomScratch 5 000</v>
          </cell>
          <cell r="O1954" t="str">
            <v>Bonneterie Nouvelle Telecom</v>
          </cell>
          <cell r="P1954" t="str">
            <v>Scratch 5 000</v>
          </cell>
          <cell r="Q1954" t="str">
            <v>72007</v>
          </cell>
          <cell r="R1954" t="str">
            <v>72007Scratch 5 000</v>
          </cell>
          <cell r="S1954" t="str">
            <v>2007Scratch 5 000</v>
          </cell>
          <cell r="T1954" t="str">
            <v>72007Bonneterie Nouvelle Telecom</v>
          </cell>
          <cell r="U1954" t="str">
            <v>72007Bonneterie Nouvelle TelecomScratch 5 000</v>
          </cell>
          <cell r="V1954" t="str">
            <v>39280Scratch 5 000</v>
          </cell>
          <cell r="W1954" t="str">
            <v>2007Bonneterie Nouvelle Telecom</v>
          </cell>
          <cell r="X1954" t="str">
            <v>2007Bonneterie Nouvelle TelecomScratch 5 000</v>
          </cell>
        </row>
        <row r="1955">
          <cell r="I1955">
            <v>2007</v>
          </cell>
          <cell r="J1955" t="str">
            <v>Bonneterie Nouvelle TelecomScratch 2 000</v>
          </cell>
          <cell r="L1955">
            <v>0</v>
          </cell>
          <cell r="M1955" t="str">
            <v>Bonneterie Nouvelle Telecom</v>
          </cell>
          <cell r="N1955" t="str">
            <v>Bonneterie Nouvelle TelecomScratch 2 000</v>
          </cell>
          <cell r="O1955" t="str">
            <v>Bonneterie Nouvelle Telecom</v>
          </cell>
          <cell r="P1955" t="str">
            <v>Scratch 2 000</v>
          </cell>
          <cell r="Q1955" t="str">
            <v>72007</v>
          </cell>
          <cell r="R1955" t="str">
            <v>72007Scratch 2 000</v>
          </cell>
          <cell r="S1955" t="str">
            <v>2007Scratch 2 000</v>
          </cell>
          <cell r="T1955" t="str">
            <v>72007Bonneterie Nouvelle Telecom</v>
          </cell>
          <cell r="U1955" t="str">
            <v>72007Bonneterie Nouvelle TelecomScratch 2 000</v>
          </cell>
          <cell r="V1955" t="str">
            <v>39280Scratch 2 000</v>
          </cell>
          <cell r="W1955" t="str">
            <v>2007Bonneterie Nouvelle Telecom</v>
          </cell>
          <cell r="X1955" t="str">
            <v>2007Bonneterie Nouvelle TelecomScratch 2 000</v>
          </cell>
        </row>
        <row r="1956">
          <cell r="I1956">
            <v>2007</v>
          </cell>
          <cell r="J1956" t="str">
            <v>Bonneterie Nouvelle TelecomScratch 1 000</v>
          </cell>
          <cell r="L1956">
            <v>0</v>
          </cell>
          <cell r="M1956" t="str">
            <v>Bonneterie Nouvelle Telecom</v>
          </cell>
          <cell r="N1956" t="str">
            <v>Bonneterie Nouvelle TelecomScratch 1 000</v>
          </cell>
          <cell r="O1956" t="str">
            <v>Bonneterie Nouvelle Telecom</v>
          </cell>
          <cell r="P1956" t="str">
            <v>Scratch 1 000</v>
          </cell>
          <cell r="Q1956" t="str">
            <v>72007</v>
          </cell>
          <cell r="R1956" t="str">
            <v>72007Scratch 1 000</v>
          </cell>
          <cell r="S1956" t="str">
            <v>2007Scratch 1 000</v>
          </cell>
          <cell r="T1956" t="str">
            <v>72007Bonneterie Nouvelle Telecom</v>
          </cell>
          <cell r="U1956" t="str">
            <v>72007Bonneterie Nouvelle TelecomScratch 1 000</v>
          </cell>
          <cell r="V1956" t="str">
            <v>39280Scratch 1 000</v>
          </cell>
          <cell r="W1956" t="str">
            <v>2007Bonneterie Nouvelle Telecom</v>
          </cell>
          <cell r="X1956" t="str">
            <v>2007Bonneterie Nouvelle TelecomScratch 1 000</v>
          </cell>
        </row>
        <row r="1957">
          <cell r="I1957">
            <v>2007</v>
          </cell>
          <cell r="J1957" t="str">
            <v>GEMATELScratch 20 000</v>
          </cell>
          <cell r="L1957">
            <v>1</v>
          </cell>
          <cell r="M1957" t="str">
            <v>1GEMATEL</v>
          </cell>
          <cell r="N1957" t="str">
            <v>GEMATELScratch 20 000</v>
          </cell>
          <cell r="O1957" t="str">
            <v>GEMATEL</v>
          </cell>
          <cell r="P1957" t="str">
            <v>Scratch 20 000</v>
          </cell>
          <cell r="Q1957" t="str">
            <v>72007</v>
          </cell>
          <cell r="R1957" t="str">
            <v>72007Scratch 20 000</v>
          </cell>
          <cell r="S1957" t="str">
            <v>2007Scratch 20 000</v>
          </cell>
          <cell r="T1957" t="str">
            <v>72007GEMATEL</v>
          </cell>
          <cell r="U1957" t="str">
            <v>72007GEMATELScratch 20 000</v>
          </cell>
          <cell r="V1957" t="str">
            <v>39280Scratch 20 000</v>
          </cell>
          <cell r="W1957" t="str">
            <v>2007GEMATEL</v>
          </cell>
          <cell r="X1957" t="str">
            <v>2007GEMATELScratch 20 000</v>
          </cell>
        </row>
        <row r="1958">
          <cell r="I1958">
            <v>2007</v>
          </cell>
          <cell r="J1958" t="str">
            <v>GEMATELScratch 10 000</v>
          </cell>
          <cell r="L1958">
            <v>0</v>
          </cell>
          <cell r="M1958" t="str">
            <v>GEMATEL</v>
          </cell>
          <cell r="N1958" t="str">
            <v>GEMATELScratch 10 000</v>
          </cell>
          <cell r="O1958" t="str">
            <v>GEMATEL</v>
          </cell>
          <cell r="P1958" t="str">
            <v>Scratch 10 000</v>
          </cell>
          <cell r="Q1958" t="str">
            <v>72007</v>
          </cell>
          <cell r="R1958" t="str">
            <v>72007Scratch 10 000</v>
          </cell>
          <cell r="S1958" t="str">
            <v>2007Scratch 10 000</v>
          </cell>
          <cell r="T1958" t="str">
            <v>72007GEMATEL</v>
          </cell>
          <cell r="U1958" t="str">
            <v>72007GEMATELScratch 10 000</v>
          </cell>
          <cell r="V1958" t="str">
            <v>39280Scratch 10 000</v>
          </cell>
          <cell r="W1958" t="str">
            <v>2007GEMATEL</v>
          </cell>
          <cell r="X1958" t="str">
            <v>2007GEMATELScratch 10 000</v>
          </cell>
        </row>
        <row r="1959">
          <cell r="I1959">
            <v>2007</v>
          </cell>
          <cell r="J1959" t="str">
            <v>GEMATELScratch 5 000</v>
          </cell>
          <cell r="L1959">
            <v>0</v>
          </cell>
          <cell r="M1959" t="str">
            <v>GEMATEL</v>
          </cell>
          <cell r="N1959" t="str">
            <v>GEMATELScratch 5 000</v>
          </cell>
          <cell r="O1959" t="str">
            <v>GEMATEL</v>
          </cell>
          <cell r="P1959" t="str">
            <v>Scratch 5 000</v>
          </cell>
          <cell r="Q1959" t="str">
            <v>72007</v>
          </cell>
          <cell r="R1959" t="str">
            <v>72007Scratch 5 000</v>
          </cell>
          <cell r="S1959" t="str">
            <v>2007Scratch 5 000</v>
          </cell>
          <cell r="T1959" t="str">
            <v>72007GEMATEL</v>
          </cell>
          <cell r="U1959" t="str">
            <v>72007GEMATELScratch 5 000</v>
          </cell>
          <cell r="V1959" t="str">
            <v>39280Scratch 5 000</v>
          </cell>
          <cell r="W1959" t="str">
            <v>2007GEMATEL</v>
          </cell>
          <cell r="X1959" t="str">
            <v>2007GEMATELScratch 5 000</v>
          </cell>
        </row>
        <row r="1960">
          <cell r="I1960">
            <v>2007</v>
          </cell>
          <cell r="J1960" t="str">
            <v>GEMATELScratch 2 000</v>
          </cell>
          <cell r="L1960">
            <v>0</v>
          </cell>
          <cell r="M1960" t="str">
            <v>GEMATEL</v>
          </cell>
          <cell r="N1960" t="str">
            <v>GEMATELScratch 2 000</v>
          </cell>
          <cell r="O1960" t="str">
            <v>GEMATEL</v>
          </cell>
          <cell r="P1960" t="str">
            <v>Scratch 2 000</v>
          </cell>
          <cell r="Q1960" t="str">
            <v>72007</v>
          </cell>
          <cell r="R1960" t="str">
            <v>72007Scratch 2 000</v>
          </cell>
          <cell r="S1960" t="str">
            <v>2007Scratch 2 000</v>
          </cell>
          <cell r="T1960" t="str">
            <v>72007GEMATEL</v>
          </cell>
          <cell r="U1960" t="str">
            <v>72007GEMATELScratch 2 000</v>
          </cell>
          <cell r="V1960" t="str">
            <v>39280Scratch 2 000</v>
          </cell>
          <cell r="W1960" t="str">
            <v>2007GEMATEL</v>
          </cell>
          <cell r="X1960" t="str">
            <v>2007GEMATELScratch 2 000</v>
          </cell>
        </row>
        <row r="1961">
          <cell r="I1961">
            <v>2007</v>
          </cell>
          <cell r="J1961" t="str">
            <v>GEMATELScratch 1 000</v>
          </cell>
          <cell r="L1961">
            <v>0</v>
          </cell>
          <cell r="M1961" t="str">
            <v>GEMATEL</v>
          </cell>
          <cell r="N1961" t="str">
            <v>GEMATELScratch 1 000</v>
          </cell>
          <cell r="O1961" t="str">
            <v>GEMATEL</v>
          </cell>
          <cell r="P1961" t="str">
            <v>Scratch 1 000</v>
          </cell>
          <cell r="Q1961" t="str">
            <v>72007</v>
          </cell>
          <cell r="R1961" t="str">
            <v>72007Scratch 1 000</v>
          </cell>
          <cell r="S1961" t="str">
            <v>2007Scratch 1 000</v>
          </cell>
          <cell r="T1961" t="str">
            <v>72007GEMATEL</v>
          </cell>
          <cell r="U1961" t="str">
            <v>72007GEMATELScratch 1 000</v>
          </cell>
          <cell r="V1961" t="str">
            <v>39280Scratch 1 000</v>
          </cell>
          <cell r="W1961" t="str">
            <v>2007GEMATEL</v>
          </cell>
          <cell r="X1961" t="str">
            <v>2007GEMATELScratch 1 000</v>
          </cell>
        </row>
        <row r="1962">
          <cell r="I1962">
            <v>2007</v>
          </cell>
          <cell r="J1962" t="str">
            <v>ANKA SERVICESScratch 20 000</v>
          </cell>
          <cell r="L1962">
            <v>1</v>
          </cell>
          <cell r="M1962" t="str">
            <v>1ANKA SERVICES</v>
          </cell>
          <cell r="N1962" t="str">
            <v>ANKA SERVICESScratch 20 000</v>
          </cell>
          <cell r="O1962" t="str">
            <v>ANKA SERVICES</v>
          </cell>
          <cell r="P1962" t="str">
            <v>Scratch 20 000</v>
          </cell>
          <cell r="Q1962" t="str">
            <v>72007</v>
          </cell>
          <cell r="R1962" t="str">
            <v>72007Scratch 20 000</v>
          </cell>
          <cell r="S1962" t="str">
            <v>2007Scratch 20 000</v>
          </cell>
          <cell r="T1962" t="str">
            <v>72007ANKA SERVICES</v>
          </cell>
          <cell r="U1962" t="str">
            <v>72007ANKA SERVICESScratch 20 000</v>
          </cell>
          <cell r="V1962" t="str">
            <v>39280Scratch 20 000</v>
          </cell>
          <cell r="W1962" t="str">
            <v>2007ANKA SERVICES</v>
          </cell>
          <cell r="X1962" t="str">
            <v>2007ANKA SERVICESScratch 20 000</v>
          </cell>
        </row>
        <row r="1963">
          <cell r="I1963">
            <v>2007</v>
          </cell>
          <cell r="J1963" t="str">
            <v>ANKA SERVICESScratch 5 000</v>
          </cell>
          <cell r="L1963">
            <v>0</v>
          </cell>
          <cell r="M1963" t="str">
            <v>ANKA SERVICES</v>
          </cell>
          <cell r="N1963" t="str">
            <v>ANKA SERVICESScratch 5 000</v>
          </cell>
          <cell r="O1963" t="str">
            <v>ANKA SERVICES</v>
          </cell>
          <cell r="P1963" t="str">
            <v>Scratch 5 000</v>
          </cell>
          <cell r="Q1963" t="str">
            <v>72007</v>
          </cell>
          <cell r="R1963" t="str">
            <v>72007Scratch 5 000</v>
          </cell>
          <cell r="S1963" t="str">
            <v>2007Scratch 5 000</v>
          </cell>
          <cell r="T1963" t="str">
            <v>72007ANKA SERVICES</v>
          </cell>
          <cell r="U1963" t="str">
            <v>72007ANKA SERVICESScratch 5 000</v>
          </cell>
          <cell r="V1963" t="str">
            <v>39280Scratch 5 000</v>
          </cell>
          <cell r="W1963" t="str">
            <v>2007ANKA SERVICES</v>
          </cell>
          <cell r="X1963" t="str">
            <v>2007ANKA SERVICESScratch 5 000</v>
          </cell>
        </row>
        <row r="1964">
          <cell r="I1964">
            <v>2007</v>
          </cell>
          <cell r="J1964" t="str">
            <v>ANKA SERVICESScratch 2 000</v>
          </cell>
          <cell r="L1964">
            <v>0</v>
          </cell>
          <cell r="M1964" t="str">
            <v>ANKA SERVICES</v>
          </cell>
          <cell r="N1964" t="str">
            <v>ANKA SERVICESScratch 2 000</v>
          </cell>
          <cell r="O1964" t="str">
            <v>ANKA SERVICES</v>
          </cell>
          <cell r="P1964" t="str">
            <v>Scratch 2 000</v>
          </cell>
          <cell r="Q1964" t="str">
            <v>72007</v>
          </cell>
          <cell r="R1964" t="str">
            <v>72007Scratch 2 000</v>
          </cell>
          <cell r="S1964" t="str">
            <v>2007Scratch 2 000</v>
          </cell>
          <cell r="T1964" t="str">
            <v>72007ANKA SERVICES</v>
          </cell>
          <cell r="U1964" t="str">
            <v>72007ANKA SERVICESScratch 2 000</v>
          </cell>
          <cell r="V1964" t="str">
            <v>39280Scratch 2 000</v>
          </cell>
          <cell r="W1964" t="str">
            <v>2007ANKA SERVICES</v>
          </cell>
          <cell r="X1964" t="str">
            <v>2007ANKA SERVICESScratch 2 000</v>
          </cell>
        </row>
        <row r="1965">
          <cell r="I1965">
            <v>2007</v>
          </cell>
          <cell r="J1965" t="str">
            <v>ANKA SERVICESScratch 1 000</v>
          </cell>
          <cell r="L1965">
            <v>0</v>
          </cell>
          <cell r="M1965" t="str">
            <v>ANKA SERVICES</v>
          </cell>
          <cell r="N1965" t="str">
            <v>ANKA SERVICESScratch 1 000</v>
          </cell>
          <cell r="O1965" t="str">
            <v>ANKA SERVICES</v>
          </cell>
          <cell r="P1965" t="str">
            <v>Scratch 1 000</v>
          </cell>
          <cell r="Q1965" t="str">
            <v>72007</v>
          </cell>
          <cell r="R1965" t="str">
            <v>72007Scratch 1 000</v>
          </cell>
          <cell r="S1965" t="str">
            <v>2007Scratch 1 000</v>
          </cell>
          <cell r="T1965" t="str">
            <v>72007ANKA SERVICES</v>
          </cell>
          <cell r="U1965" t="str">
            <v>72007ANKA SERVICESScratch 1 000</v>
          </cell>
          <cell r="V1965" t="str">
            <v>39280Scratch 1 000</v>
          </cell>
          <cell r="W1965" t="str">
            <v>2007ANKA SERVICES</v>
          </cell>
          <cell r="X1965" t="str">
            <v>2007ANKA SERVICESScratch 1 000</v>
          </cell>
        </row>
        <row r="1966">
          <cell r="I1966">
            <v>2007</v>
          </cell>
          <cell r="J1966" t="str">
            <v>STS GAMBY &amp; FRERES (SOGAF) SarlScratch 5 000</v>
          </cell>
          <cell r="L1966">
            <v>1</v>
          </cell>
          <cell r="M1966" t="str">
            <v>1STS GAMBY &amp; FRERES (SOGAF) Sarl</v>
          </cell>
          <cell r="N1966" t="str">
            <v>STS GAMBY &amp; FRERES (SOGAF) SarlScratch 5 000</v>
          </cell>
          <cell r="O1966" t="str">
            <v>STS GAMBY &amp; FRERES (SOGAF) Sarl</v>
          </cell>
          <cell r="P1966" t="str">
            <v>Scratch 5 000</v>
          </cell>
          <cell r="Q1966" t="str">
            <v>72007</v>
          </cell>
          <cell r="R1966" t="str">
            <v>72007Scratch 5 000</v>
          </cell>
          <cell r="S1966" t="str">
            <v>2007Scratch 5 000</v>
          </cell>
          <cell r="T1966" t="str">
            <v>72007STS GAMBY &amp; FRERES (SOGAF) Sarl</v>
          </cell>
          <cell r="U1966" t="str">
            <v>72007STS GAMBY &amp; FRERES (SOGAF) SarlScratch 5 000</v>
          </cell>
          <cell r="V1966" t="str">
            <v>39281Scratch 5 000</v>
          </cell>
          <cell r="W1966" t="str">
            <v>2007STS GAMBY &amp; FRERES (SOGAF) Sarl</v>
          </cell>
          <cell r="X1966" t="str">
            <v>2007STS GAMBY &amp; FRERES (SOGAF) SarlScratch 5 000</v>
          </cell>
        </row>
        <row r="1967">
          <cell r="I1967">
            <v>2007</v>
          </cell>
          <cell r="J1967" t="str">
            <v>STS GAMBY &amp; FRERES (SOGAF) SarlScratch 2 000</v>
          </cell>
          <cell r="L1967">
            <v>0</v>
          </cell>
          <cell r="M1967" t="str">
            <v>STS GAMBY &amp; FRERES (SOGAF) Sarl</v>
          </cell>
          <cell r="N1967" t="str">
            <v>STS GAMBY &amp; FRERES (SOGAF) SarlScratch 2 000</v>
          </cell>
          <cell r="O1967" t="str">
            <v>STS GAMBY &amp; FRERES (SOGAF) Sarl</v>
          </cell>
          <cell r="P1967" t="str">
            <v>Scratch 2 000</v>
          </cell>
          <cell r="Q1967" t="str">
            <v>72007</v>
          </cell>
          <cell r="R1967" t="str">
            <v>72007Scratch 2 000</v>
          </cell>
          <cell r="S1967" t="str">
            <v>2007Scratch 2 000</v>
          </cell>
          <cell r="T1967" t="str">
            <v>72007STS GAMBY &amp; FRERES (SOGAF) Sarl</v>
          </cell>
          <cell r="U1967" t="str">
            <v>72007STS GAMBY &amp; FRERES (SOGAF) SarlScratch 2 000</v>
          </cell>
          <cell r="V1967" t="str">
            <v>39281Scratch 2 000</v>
          </cell>
          <cell r="W1967" t="str">
            <v>2007STS GAMBY &amp; FRERES (SOGAF) Sarl</v>
          </cell>
          <cell r="X1967" t="str">
            <v>2007STS GAMBY &amp; FRERES (SOGAF) SarlScratch 2 000</v>
          </cell>
        </row>
        <row r="1968">
          <cell r="I1968">
            <v>2007</v>
          </cell>
          <cell r="J1968" t="str">
            <v>STS GAMBY &amp; FRERES (SOGAF) SarlScratch 1 000</v>
          </cell>
          <cell r="L1968">
            <v>0</v>
          </cell>
          <cell r="M1968" t="str">
            <v>STS GAMBY &amp; FRERES (SOGAF) Sarl</v>
          </cell>
          <cell r="N1968" t="str">
            <v>STS GAMBY &amp; FRERES (SOGAF) SarlScratch 1 000</v>
          </cell>
          <cell r="O1968" t="str">
            <v>STS GAMBY &amp; FRERES (SOGAF) Sarl</v>
          </cell>
          <cell r="P1968" t="str">
            <v>Scratch 1 000</v>
          </cell>
          <cell r="Q1968" t="str">
            <v>72007</v>
          </cell>
          <cell r="R1968" t="str">
            <v>72007Scratch 1 000</v>
          </cell>
          <cell r="S1968" t="str">
            <v>2007Scratch 1 000</v>
          </cell>
          <cell r="T1968" t="str">
            <v>72007STS GAMBY &amp; FRERES (SOGAF) Sarl</v>
          </cell>
          <cell r="U1968" t="str">
            <v>72007STS GAMBY &amp; FRERES (SOGAF) SarlScratch 1 000</v>
          </cell>
          <cell r="V1968" t="str">
            <v>39281Scratch 1 000</v>
          </cell>
          <cell r="W1968" t="str">
            <v>2007STS GAMBY &amp; FRERES (SOGAF) Sarl</v>
          </cell>
          <cell r="X1968" t="str">
            <v>2007STS GAMBY &amp; FRERES (SOGAF) SarlScratch 1 000</v>
          </cell>
        </row>
        <row r="1969">
          <cell r="I1969">
            <v>2007</v>
          </cell>
          <cell r="J1969" t="str">
            <v>ANKA SERVICESScratch 20 000</v>
          </cell>
          <cell r="L1969">
            <v>1</v>
          </cell>
          <cell r="M1969" t="str">
            <v>1ANKA SERVICES</v>
          </cell>
          <cell r="N1969" t="str">
            <v>ANKA SERVICESScratch 20 000</v>
          </cell>
          <cell r="O1969" t="str">
            <v>ANKA SERVICES</v>
          </cell>
          <cell r="P1969" t="str">
            <v>Scratch 20 000</v>
          </cell>
          <cell r="Q1969" t="str">
            <v>72007</v>
          </cell>
          <cell r="R1969" t="str">
            <v>72007Scratch 20 000</v>
          </cell>
          <cell r="S1969" t="str">
            <v>2007Scratch 20 000</v>
          </cell>
          <cell r="T1969" t="str">
            <v>72007ANKA SERVICES</v>
          </cell>
          <cell r="U1969" t="str">
            <v>72007ANKA SERVICESScratch 20 000</v>
          </cell>
          <cell r="V1969" t="str">
            <v>39281Scratch 20 000</v>
          </cell>
          <cell r="W1969" t="str">
            <v>2007ANKA SERVICES</v>
          </cell>
          <cell r="X1969" t="str">
            <v>2007ANKA SERVICESScratch 20 000</v>
          </cell>
        </row>
        <row r="1970">
          <cell r="I1970">
            <v>2007</v>
          </cell>
          <cell r="J1970" t="str">
            <v>ANKA SERVICESScratch 10 000</v>
          </cell>
          <cell r="L1970">
            <v>0</v>
          </cell>
          <cell r="M1970" t="str">
            <v>ANKA SERVICES</v>
          </cell>
          <cell r="N1970" t="str">
            <v>ANKA SERVICESScratch 10 000</v>
          </cell>
          <cell r="O1970" t="str">
            <v>ANKA SERVICES</v>
          </cell>
          <cell r="P1970" t="str">
            <v>Scratch 10 000</v>
          </cell>
          <cell r="Q1970" t="str">
            <v>72007</v>
          </cell>
          <cell r="R1970" t="str">
            <v>72007Scratch 10 000</v>
          </cell>
          <cell r="S1970" t="str">
            <v>2007Scratch 10 000</v>
          </cell>
          <cell r="T1970" t="str">
            <v>72007ANKA SERVICES</v>
          </cell>
          <cell r="U1970" t="str">
            <v>72007ANKA SERVICESScratch 10 000</v>
          </cell>
          <cell r="V1970" t="str">
            <v>39281Scratch 10 000</v>
          </cell>
          <cell r="W1970" t="str">
            <v>2007ANKA SERVICES</v>
          </cell>
          <cell r="X1970" t="str">
            <v>2007ANKA SERVICESScratch 10 000</v>
          </cell>
        </row>
        <row r="1971">
          <cell r="I1971">
            <v>2007</v>
          </cell>
          <cell r="J1971" t="str">
            <v>ANKA SERVICESScratch 5 000</v>
          </cell>
          <cell r="L1971">
            <v>0</v>
          </cell>
          <cell r="M1971" t="str">
            <v>ANKA SERVICES</v>
          </cell>
          <cell r="N1971" t="str">
            <v>ANKA SERVICESScratch 5 000</v>
          </cell>
          <cell r="O1971" t="str">
            <v>ANKA SERVICES</v>
          </cell>
          <cell r="P1971" t="str">
            <v>Scratch 5 000</v>
          </cell>
          <cell r="Q1971" t="str">
            <v>72007</v>
          </cell>
          <cell r="R1971" t="str">
            <v>72007Scratch 5 000</v>
          </cell>
          <cell r="S1971" t="str">
            <v>2007Scratch 5 000</v>
          </cell>
          <cell r="T1971" t="str">
            <v>72007ANKA SERVICES</v>
          </cell>
          <cell r="U1971" t="str">
            <v>72007ANKA SERVICESScratch 5 000</v>
          </cell>
          <cell r="V1971" t="str">
            <v>39281Scratch 5 000</v>
          </cell>
          <cell r="W1971" t="str">
            <v>2007ANKA SERVICES</v>
          </cell>
          <cell r="X1971" t="str">
            <v>2007ANKA SERVICESScratch 5 000</v>
          </cell>
        </row>
        <row r="1972">
          <cell r="I1972">
            <v>2007</v>
          </cell>
          <cell r="J1972" t="str">
            <v>ANKA SERVICESScratch 2 000</v>
          </cell>
          <cell r="L1972">
            <v>0</v>
          </cell>
          <cell r="M1972" t="str">
            <v>ANKA SERVICES</v>
          </cell>
          <cell r="N1972" t="str">
            <v>ANKA SERVICESScratch 2 000</v>
          </cell>
          <cell r="O1972" t="str">
            <v>ANKA SERVICES</v>
          </cell>
          <cell r="P1972" t="str">
            <v>Scratch 2 000</v>
          </cell>
          <cell r="Q1972" t="str">
            <v>72007</v>
          </cell>
          <cell r="R1972" t="str">
            <v>72007Scratch 2 000</v>
          </cell>
          <cell r="S1972" t="str">
            <v>2007Scratch 2 000</v>
          </cell>
          <cell r="T1972" t="str">
            <v>72007ANKA SERVICES</v>
          </cell>
          <cell r="U1972" t="str">
            <v>72007ANKA SERVICESScratch 2 000</v>
          </cell>
          <cell r="V1972" t="str">
            <v>39281Scratch 2 000</v>
          </cell>
          <cell r="W1972" t="str">
            <v>2007ANKA SERVICES</v>
          </cell>
          <cell r="X1972" t="str">
            <v>2007ANKA SERVICESScratch 2 000</v>
          </cell>
        </row>
        <row r="1973">
          <cell r="I1973">
            <v>2007</v>
          </cell>
          <cell r="J1973" t="str">
            <v>ANKA SERVICESScratch 1 000</v>
          </cell>
          <cell r="L1973">
            <v>0</v>
          </cell>
          <cell r="M1973" t="str">
            <v>ANKA SERVICES</v>
          </cell>
          <cell r="N1973" t="str">
            <v>ANKA SERVICESScratch 1 000</v>
          </cell>
          <cell r="O1973" t="str">
            <v>ANKA SERVICES</v>
          </cell>
          <cell r="P1973" t="str">
            <v>Scratch 1 000</v>
          </cell>
          <cell r="Q1973" t="str">
            <v>72007</v>
          </cell>
          <cell r="R1973" t="str">
            <v>72007Scratch 1 000</v>
          </cell>
          <cell r="S1973" t="str">
            <v>2007Scratch 1 000</v>
          </cell>
          <cell r="T1973" t="str">
            <v>72007ANKA SERVICES</v>
          </cell>
          <cell r="U1973" t="str">
            <v>72007ANKA SERVICESScratch 1 000</v>
          </cell>
          <cell r="V1973" t="str">
            <v>39281Scratch 1 000</v>
          </cell>
          <cell r="W1973" t="str">
            <v>2007ANKA SERVICES</v>
          </cell>
          <cell r="X1973" t="str">
            <v>2007ANKA SERVICESScratch 1 000</v>
          </cell>
        </row>
        <row r="1974">
          <cell r="I1974">
            <v>2007</v>
          </cell>
          <cell r="J1974" t="str">
            <v>GEMATELScratch 10 000</v>
          </cell>
          <cell r="L1974">
            <v>1</v>
          </cell>
          <cell r="M1974" t="str">
            <v>1GEMATEL</v>
          </cell>
          <cell r="N1974" t="str">
            <v>GEMATELScratch 10 000</v>
          </cell>
          <cell r="O1974" t="str">
            <v>GEMATEL</v>
          </cell>
          <cell r="P1974" t="str">
            <v>Scratch 10 000</v>
          </cell>
          <cell r="Q1974" t="str">
            <v>72007</v>
          </cell>
          <cell r="R1974" t="str">
            <v>72007Scratch 10 000</v>
          </cell>
          <cell r="S1974" t="str">
            <v>2007Scratch 10 000</v>
          </cell>
          <cell r="T1974" t="str">
            <v>72007GEMATEL</v>
          </cell>
          <cell r="U1974" t="str">
            <v>72007GEMATELScratch 10 000</v>
          </cell>
          <cell r="V1974" t="str">
            <v>39281Scratch 10 000</v>
          </cell>
          <cell r="W1974" t="str">
            <v>2007GEMATEL</v>
          </cell>
          <cell r="X1974" t="str">
            <v>2007GEMATELScratch 10 000</v>
          </cell>
        </row>
        <row r="1975">
          <cell r="I1975">
            <v>2007</v>
          </cell>
          <cell r="J1975" t="str">
            <v>GEMATELScratch 5 000</v>
          </cell>
          <cell r="L1975">
            <v>0</v>
          </cell>
          <cell r="M1975" t="str">
            <v>GEMATEL</v>
          </cell>
          <cell r="N1975" t="str">
            <v>GEMATELScratch 5 000</v>
          </cell>
          <cell r="O1975" t="str">
            <v>GEMATEL</v>
          </cell>
          <cell r="P1975" t="str">
            <v>Scratch 5 000</v>
          </cell>
          <cell r="Q1975" t="str">
            <v>72007</v>
          </cell>
          <cell r="R1975" t="str">
            <v>72007Scratch 5 000</v>
          </cell>
          <cell r="S1975" t="str">
            <v>2007Scratch 5 000</v>
          </cell>
          <cell r="T1975" t="str">
            <v>72007GEMATEL</v>
          </cell>
          <cell r="U1975" t="str">
            <v>72007GEMATELScratch 5 000</v>
          </cell>
          <cell r="V1975" t="str">
            <v>39281Scratch 5 000</v>
          </cell>
          <cell r="W1975" t="str">
            <v>2007GEMATEL</v>
          </cell>
          <cell r="X1975" t="str">
            <v>2007GEMATELScratch 5 000</v>
          </cell>
        </row>
        <row r="1976">
          <cell r="I1976">
            <v>2007</v>
          </cell>
          <cell r="J1976" t="str">
            <v>GEMATELScratch 2 000</v>
          </cell>
          <cell r="L1976">
            <v>0</v>
          </cell>
          <cell r="M1976" t="str">
            <v>GEMATEL</v>
          </cell>
          <cell r="N1976" t="str">
            <v>GEMATELScratch 2 000</v>
          </cell>
          <cell r="O1976" t="str">
            <v>GEMATEL</v>
          </cell>
          <cell r="P1976" t="str">
            <v>Scratch 2 000</v>
          </cell>
          <cell r="Q1976" t="str">
            <v>72007</v>
          </cell>
          <cell r="R1976" t="str">
            <v>72007Scratch 2 000</v>
          </cell>
          <cell r="S1976" t="str">
            <v>2007Scratch 2 000</v>
          </cell>
          <cell r="T1976" t="str">
            <v>72007GEMATEL</v>
          </cell>
          <cell r="U1976" t="str">
            <v>72007GEMATELScratch 2 000</v>
          </cell>
          <cell r="V1976" t="str">
            <v>39281Scratch 2 000</v>
          </cell>
          <cell r="W1976" t="str">
            <v>2007GEMATEL</v>
          </cell>
          <cell r="X1976" t="str">
            <v>2007GEMATELScratch 2 000</v>
          </cell>
        </row>
        <row r="1977">
          <cell r="I1977">
            <v>2007</v>
          </cell>
          <cell r="J1977" t="str">
            <v>GEMATELScratch 1 000</v>
          </cell>
          <cell r="L1977">
            <v>0</v>
          </cell>
          <cell r="M1977" t="str">
            <v>GEMATEL</v>
          </cell>
          <cell r="N1977" t="str">
            <v>GEMATELScratch 1 000</v>
          </cell>
          <cell r="O1977" t="str">
            <v>GEMATEL</v>
          </cell>
          <cell r="P1977" t="str">
            <v>Scratch 1 000</v>
          </cell>
          <cell r="Q1977" t="str">
            <v>72007</v>
          </cell>
          <cell r="R1977" t="str">
            <v>72007Scratch 1 000</v>
          </cell>
          <cell r="S1977" t="str">
            <v>2007Scratch 1 000</v>
          </cell>
          <cell r="T1977" t="str">
            <v>72007GEMATEL</v>
          </cell>
          <cell r="U1977" t="str">
            <v>72007GEMATELScratch 1 000</v>
          </cell>
          <cell r="V1977" t="str">
            <v>39281Scratch 1 000</v>
          </cell>
          <cell r="W1977" t="str">
            <v>2007GEMATEL</v>
          </cell>
          <cell r="X1977" t="str">
            <v>2007GEMATELScratch 1 000</v>
          </cell>
        </row>
        <row r="1978">
          <cell r="I1978">
            <v>2007</v>
          </cell>
          <cell r="J1978" t="str">
            <v>Compagnie Internationale de NegoceScratch 5 000</v>
          </cell>
          <cell r="L1978">
            <v>1</v>
          </cell>
          <cell r="M1978" t="str">
            <v>1Compagnie Internationale de Negoce</v>
          </cell>
          <cell r="N1978" t="str">
            <v>Compagnie Internationale de NegoceScratch 5 000</v>
          </cell>
          <cell r="O1978" t="str">
            <v>Compagnie Internationale de Negoce</v>
          </cell>
          <cell r="P1978" t="str">
            <v>Scratch 5 000</v>
          </cell>
          <cell r="Q1978" t="str">
            <v>72007</v>
          </cell>
          <cell r="R1978" t="str">
            <v>72007Scratch 5 000</v>
          </cell>
          <cell r="S1978" t="str">
            <v>2007Scratch 5 000</v>
          </cell>
          <cell r="T1978" t="str">
            <v>72007Compagnie Internationale de Negoce</v>
          </cell>
          <cell r="U1978" t="str">
            <v>72007Compagnie Internationale de NegoceScratch 5 000</v>
          </cell>
          <cell r="V1978" t="str">
            <v>39282Scratch 5 000</v>
          </cell>
          <cell r="W1978" t="str">
            <v>2007Compagnie Internationale de Negoce</v>
          </cell>
          <cell r="X1978" t="str">
            <v>2007Compagnie Internationale de NegoceScratch 5 000</v>
          </cell>
        </row>
        <row r="1979">
          <cell r="I1979">
            <v>2007</v>
          </cell>
          <cell r="J1979" t="str">
            <v>Compagnie Internationale de NegoceScratch 2 000</v>
          </cell>
          <cell r="L1979">
            <v>0</v>
          </cell>
          <cell r="M1979" t="str">
            <v>Compagnie Internationale de Negoce</v>
          </cell>
          <cell r="N1979" t="str">
            <v>Compagnie Internationale de NegoceScratch 2 000</v>
          </cell>
          <cell r="O1979" t="str">
            <v>Compagnie Internationale de Negoce</v>
          </cell>
          <cell r="P1979" t="str">
            <v>Scratch 2 000</v>
          </cell>
          <cell r="Q1979" t="str">
            <v>72007</v>
          </cell>
          <cell r="R1979" t="str">
            <v>72007Scratch 2 000</v>
          </cell>
          <cell r="S1979" t="str">
            <v>2007Scratch 2 000</v>
          </cell>
          <cell r="T1979" t="str">
            <v>72007Compagnie Internationale de Negoce</v>
          </cell>
          <cell r="U1979" t="str">
            <v>72007Compagnie Internationale de NegoceScratch 2 000</v>
          </cell>
          <cell r="V1979" t="str">
            <v>39282Scratch 2 000</v>
          </cell>
          <cell r="W1979" t="str">
            <v>2007Compagnie Internationale de Negoce</v>
          </cell>
          <cell r="X1979" t="str">
            <v>2007Compagnie Internationale de NegoceScratch 2 000</v>
          </cell>
        </row>
        <row r="1980">
          <cell r="I1980">
            <v>2007</v>
          </cell>
          <cell r="J1980" t="str">
            <v>Compagnie Internationale de NegoceScratch 1 000</v>
          </cell>
          <cell r="L1980">
            <v>0</v>
          </cell>
          <cell r="M1980" t="str">
            <v>Compagnie Internationale de Negoce</v>
          </cell>
          <cell r="N1980" t="str">
            <v>Compagnie Internationale de NegoceScratch 1 000</v>
          </cell>
          <cell r="O1980" t="str">
            <v>Compagnie Internationale de Negoce</v>
          </cell>
          <cell r="P1980" t="str">
            <v>Scratch 1 000</v>
          </cell>
          <cell r="Q1980" t="str">
            <v>72007</v>
          </cell>
          <cell r="R1980" t="str">
            <v>72007Scratch 1 000</v>
          </cell>
          <cell r="S1980" t="str">
            <v>2007Scratch 1 000</v>
          </cell>
          <cell r="T1980" t="str">
            <v>72007Compagnie Internationale de Negoce</v>
          </cell>
          <cell r="U1980" t="str">
            <v>72007Compagnie Internationale de NegoceScratch 1 000</v>
          </cell>
          <cell r="V1980" t="str">
            <v>39282Scratch 1 000</v>
          </cell>
          <cell r="W1980" t="str">
            <v>2007Compagnie Internationale de Negoce</v>
          </cell>
          <cell r="X1980" t="str">
            <v>2007Compagnie Internationale de NegoceScratch 1 000</v>
          </cell>
        </row>
        <row r="1981">
          <cell r="I1981">
            <v>2007</v>
          </cell>
          <cell r="J1981" t="str">
            <v>STS GAMBY &amp; FRERES (SOGAF) SarlScratch 5 000</v>
          </cell>
          <cell r="L1981">
            <v>1</v>
          </cell>
          <cell r="M1981" t="str">
            <v>1STS GAMBY &amp; FRERES (SOGAF) Sarl</v>
          </cell>
          <cell r="N1981" t="str">
            <v>STS GAMBY &amp; FRERES (SOGAF) SarlScratch 5 000</v>
          </cell>
          <cell r="O1981" t="str">
            <v>STS GAMBY &amp; FRERES (SOGAF) Sarl</v>
          </cell>
          <cell r="P1981" t="str">
            <v>Scratch 5 000</v>
          </cell>
          <cell r="Q1981" t="str">
            <v>72007</v>
          </cell>
          <cell r="R1981" t="str">
            <v>72007Scratch 5 000</v>
          </cell>
          <cell r="S1981" t="str">
            <v>2007Scratch 5 000</v>
          </cell>
          <cell r="T1981" t="str">
            <v>72007STS GAMBY &amp; FRERES (SOGAF) Sarl</v>
          </cell>
          <cell r="U1981" t="str">
            <v>72007STS GAMBY &amp; FRERES (SOGAF) SarlScratch 5 000</v>
          </cell>
          <cell r="V1981" t="str">
            <v>39282Scratch 5 000</v>
          </cell>
          <cell r="W1981" t="str">
            <v>2007STS GAMBY &amp; FRERES (SOGAF) Sarl</v>
          </cell>
          <cell r="X1981" t="str">
            <v>2007STS GAMBY &amp; FRERES (SOGAF) SarlScratch 5 000</v>
          </cell>
        </row>
        <row r="1982">
          <cell r="I1982">
            <v>2007</v>
          </cell>
          <cell r="J1982" t="str">
            <v>STS GAMBY &amp; FRERES (SOGAF) SarlScratch 2 000</v>
          </cell>
          <cell r="L1982">
            <v>0</v>
          </cell>
          <cell r="M1982" t="str">
            <v>STS GAMBY &amp; FRERES (SOGAF) Sarl</v>
          </cell>
          <cell r="N1982" t="str">
            <v>STS GAMBY &amp; FRERES (SOGAF) SarlScratch 2 000</v>
          </cell>
          <cell r="O1982" t="str">
            <v>STS GAMBY &amp; FRERES (SOGAF) Sarl</v>
          </cell>
          <cell r="P1982" t="str">
            <v>Scratch 2 000</v>
          </cell>
          <cell r="Q1982" t="str">
            <v>72007</v>
          </cell>
          <cell r="R1982" t="str">
            <v>72007Scratch 2 000</v>
          </cell>
          <cell r="S1982" t="str">
            <v>2007Scratch 2 000</v>
          </cell>
          <cell r="T1982" t="str">
            <v>72007STS GAMBY &amp; FRERES (SOGAF) Sarl</v>
          </cell>
          <cell r="U1982" t="str">
            <v>72007STS GAMBY &amp; FRERES (SOGAF) SarlScratch 2 000</v>
          </cell>
          <cell r="V1982" t="str">
            <v>39282Scratch 2 000</v>
          </cell>
          <cell r="W1982" t="str">
            <v>2007STS GAMBY &amp; FRERES (SOGAF) Sarl</v>
          </cell>
          <cell r="X1982" t="str">
            <v>2007STS GAMBY &amp; FRERES (SOGAF) SarlScratch 2 000</v>
          </cell>
        </row>
        <row r="1983">
          <cell r="I1983">
            <v>2007</v>
          </cell>
          <cell r="J1983" t="str">
            <v>STS GAMBY &amp; FRERES (SOGAF) SarlScratch 1 000</v>
          </cell>
          <cell r="L1983">
            <v>0</v>
          </cell>
          <cell r="M1983" t="str">
            <v>STS GAMBY &amp; FRERES (SOGAF) Sarl</v>
          </cell>
          <cell r="N1983" t="str">
            <v>STS GAMBY &amp; FRERES (SOGAF) SarlScratch 1 000</v>
          </cell>
          <cell r="O1983" t="str">
            <v>STS GAMBY &amp; FRERES (SOGAF) Sarl</v>
          </cell>
          <cell r="P1983" t="str">
            <v>Scratch 1 000</v>
          </cell>
          <cell r="Q1983" t="str">
            <v>72007</v>
          </cell>
          <cell r="R1983" t="str">
            <v>72007Scratch 1 000</v>
          </cell>
          <cell r="S1983" t="str">
            <v>2007Scratch 1 000</v>
          </cell>
          <cell r="T1983" t="str">
            <v>72007STS GAMBY &amp; FRERES (SOGAF) Sarl</v>
          </cell>
          <cell r="U1983" t="str">
            <v>72007STS GAMBY &amp; FRERES (SOGAF) SarlScratch 1 000</v>
          </cell>
          <cell r="V1983" t="str">
            <v>39282Scratch 1 000</v>
          </cell>
          <cell r="W1983" t="str">
            <v>2007STS GAMBY &amp; FRERES (SOGAF) Sarl</v>
          </cell>
          <cell r="X1983" t="str">
            <v>2007STS GAMBY &amp; FRERES (SOGAF) SarlScratch 1 000</v>
          </cell>
        </row>
        <row r="1984">
          <cell r="I1984">
            <v>2007</v>
          </cell>
          <cell r="J1984" t="str">
            <v>ANKA SERVICESScratch 5 000</v>
          </cell>
          <cell r="L1984">
            <v>1</v>
          </cell>
          <cell r="M1984" t="str">
            <v>1ANKA SERVICES</v>
          </cell>
          <cell r="N1984" t="str">
            <v>ANKA SERVICESScratch 5 000</v>
          </cell>
          <cell r="O1984" t="str">
            <v>ANKA SERVICES</v>
          </cell>
          <cell r="P1984" t="str">
            <v>Scratch 5 000</v>
          </cell>
          <cell r="Q1984" t="str">
            <v>72007</v>
          </cell>
          <cell r="R1984" t="str">
            <v>72007Scratch 5 000</v>
          </cell>
          <cell r="S1984" t="str">
            <v>2007Scratch 5 000</v>
          </cell>
          <cell r="T1984" t="str">
            <v>72007ANKA SERVICES</v>
          </cell>
          <cell r="U1984" t="str">
            <v>72007ANKA SERVICESScratch 5 000</v>
          </cell>
          <cell r="V1984" t="str">
            <v>39282Scratch 5 000</v>
          </cell>
          <cell r="W1984" t="str">
            <v>2007ANKA SERVICES</v>
          </cell>
          <cell r="X1984" t="str">
            <v>2007ANKA SERVICESScratch 5 000</v>
          </cell>
        </row>
        <row r="1985">
          <cell r="I1985">
            <v>2007</v>
          </cell>
          <cell r="J1985" t="str">
            <v>ANKA SERVICESScratch 2 000</v>
          </cell>
          <cell r="L1985">
            <v>0</v>
          </cell>
          <cell r="M1985" t="str">
            <v>ANKA SERVICES</v>
          </cell>
          <cell r="N1985" t="str">
            <v>ANKA SERVICESScratch 2 000</v>
          </cell>
          <cell r="O1985" t="str">
            <v>ANKA SERVICES</v>
          </cell>
          <cell r="P1985" t="str">
            <v>Scratch 2 000</v>
          </cell>
          <cell r="Q1985" t="str">
            <v>72007</v>
          </cell>
          <cell r="R1985" t="str">
            <v>72007Scratch 2 000</v>
          </cell>
          <cell r="S1985" t="str">
            <v>2007Scratch 2 000</v>
          </cell>
          <cell r="T1985" t="str">
            <v>72007ANKA SERVICES</v>
          </cell>
          <cell r="U1985" t="str">
            <v>72007ANKA SERVICESScratch 2 000</v>
          </cell>
          <cell r="V1985" t="str">
            <v>39282Scratch 2 000</v>
          </cell>
          <cell r="W1985" t="str">
            <v>2007ANKA SERVICES</v>
          </cell>
          <cell r="X1985" t="str">
            <v>2007ANKA SERVICESScratch 2 000</v>
          </cell>
        </row>
        <row r="1986">
          <cell r="I1986">
            <v>2007</v>
          </cell>
          <cell r="J1986" t="str">
            <v>ANKA SERVICESScratch 1 000</v>
          </cell>
          <cell r="L1986">
            <v>0</v>
          </cell>
          <cell r="M1986" t="str">
            <v>ANKA SERVICES</v>
          </cell>
          <cell r="N1986" t="str">
            <v>ANKA SERVICESScratch 1 000</v>
          </cell>
          <cell r="O1986" t="str">
            <v>ANKA SERVICES</v>
          </cell>
          <cell r="P1986" t="str">
            <v>Scratch 1 000</v>
          </cell>
          <cell r="Q1986" t="str">
            <v>72007</v>
          </cell>
          <cell r="R1986" t="str">
            <v>72007Scratch 1 000</v>
          </cell>
          <cell r="S1986" t="str">
            <v>2007Scratch 1 000</v>
          </cell>
          <cell r="T1986" t="str">
            <v>72007ANKA SERVICES</v>
          </cell>
          <cell r="U1986" t="str">
            <v>72007ANKA SERVICESScratch 1 000</v>
          </cell>
          <cell r="V1986" t="str">
            <v>39282Scratch 1 000</v>
          </cell>
          <cell r="W1986" t="str">
            <v>2007ANKA SERVICES</v>
          </cell>
          <cell r="X1986" t="str">
            <v>2007ANKA SERVICESScratch 1 000</v>
          </cell>
        </row>
        <row r="1987">
          <cell r="I1987">
            <v>2007</v>
          </cell>
          <cell r="J1987" t="str">
            <v>GEMATELScratch 5 000</v>
          </cell>
          <cell r="L1987">
            <v>1</v>
          </cell>
          <cell r="M1987" t="str">
            <v>1GEMATEL</v>
          </cell>
          <cell r="N1987" t="str">
            <v>GEMATELScratch 5 000</v>
          </cell>
          <cell r="O1987" t="str">
            <v>GEMATEL</v>
          </cell>
          <cell r="P1987" t="str">
            <v>Scratch 5 000</v>
          </cell>
          <cell r="Q1987" t="str">
            <v>72007</v>
          </cell>
          <cell r="R1987" t="str">
            <v>72007Scratch 5 000</v>
          </cell>
          <cell r="S1987" t="str">
            <v>2007Scratch 5 000</v>
          </cell>
          <cell r="T1987" t="str">
            <v>72007GEMATEL</v>
          </cell>
          <cell r="U1987" t="str">
            <v>72007GEMATELScratch 5 000</v>
          </cell>
          <cell r="V1987" t="str">
            <v>39282Scratch 5 000</v>
          </cell>
          <cell r="W1987" t="str">
            <v>2007GEMATEL</v>
          </cell>
          <cell r="X1987" t="str">
            <v>2007GEMATELScratch 5 000</v>
          </cell>
        </row>
        <row r="1988">
          <cell r="I1988">
            <v>2007</v>
          </cell>
          <cell r="J1988" t="str">
            <v>GEMATELScratch 2 000</v>
          </cell>
          <cell r="L1988">
            <v>0</v>
          </cell>
          <cell r="M1988" t="str">
            <v>GEMATEL</v>
          </cell>
          <cell r="N1988" t="str">
            <v>GEMATELScratch 2 000</v>
          </cell>
          <cell r="O1988" t="str">
            <v>GEMATEL</v>
          </cell>
          <cell r="P1988" t="str">
            <v>Scratch 2 000</v>
          </cell>
          <cell r="Q1988" t="str">
            <v>72007</v>
          </cell>
          <cell r="R1988" t="str">
            <v>72007Scratch 2 000</v>
          </cell>
          <cell r="S1988" t="str">
            <v>2007Scratch 2 000</v>
          </cell>
          <cell r="T1988" t="str">
            <v>72007GEMATEL</v>
          </cell>
          <cell r="U1988" t="str">
            <v>72007GEMATELScratch 2 000</v>
          </cell>
          <cell r="V1988" t="str">
            <v>39282Scratch 2 000</v>
          </cell>
          <cell r="W1988" t="str">
            <v>2007GEMATEL</v>
          </cell>
          <cell r="X1988" t="str">
            <v>2007GEMATELScratch 2 000</v>
          </cell>
        </row>
        <row r="1989">
          <cell r="I1989">
            <v>2007</v>
          </cell>
          <cell r="J1989" t="str">
            <v>GEMATELScratch 1 000</v>
          </cell>
          <cell r="L1989">
            <v>0</v>
          </cell>
          <cell r="M1989" t="str">
            <v>GEMATEL</v>
          </cell>
          <cell r="N1989" t="str">
            <v>GEMATELScratch 1 000</v>
          </cell>
          <cell r="O1989" t="str">
            <v>GEMATEL</v>
          </cell>
          <cell r="P1989" t="str">
            <v>Scratch 1 000</v>
          </cell>
          <cell r="Q1989" t="str">
            <v>72007</v>
          </cell>
          <cell r="R1989" t="str">
            <v>72007Scratch 1 000</v>
          </cell>
          <cell r="S1989" t="str">
            <v>2007Scratch 1 000</v>
          </cell>
          <cell r="T1989" t="str">
            <v>72007GEMATEL</v>
          </cell>
          <cell r="U1989" t="str">
            <v>72007GEMATELScratch 1 000</v>
          </cell>
          <cell r="V1989" t="str">
            <v>39282Scratch 1 000</v>
          </cell>
          <cell r="W1989" t="str">
            <v>2007GEMATEL</v>
          </cell>
          <cell r="X1989" t="str">
            <v>2007GEMATELScratch 1 000</v>
          </cell>
        </row>
        <row r="1990">
          <cell r="I1990">
            <v>2007</v>
          </cell>
          <cell r="J1990" t="str">
            <v>STS GAMBY &amp; FRERES (SOGAF) SarlScratch 10 000</v>
          </cell>
          <cell r="L1990">
            <v>1</v>
          </cell>
          <cell r="M1990" t="str">
            <v>1STS GAMBY &amp; FRERES (SOGAF) Sarl</v>
          </cell>
          <cell r="N1990" t="str">
            <v>STS GAMBY &amp; FRERES (SOGAF) SarlScratch 10 000</v>
          </cell>
          <cell r="O1990" t="str">
            <v>STS GAMBY &amp; FRERES (SOGAF) Sarl</v>
          </cell>
          <cell r="P1990" t="str">
            <v>Scratch 10 000</v>
          </cell>
          <cell r="Q1990" t="str">
            <v>72007</v>
          </cell>
          <cell r="R1990" t="str">
            <v>72007Scratch 10 000</v>
          </cell>
          <cell r="S1990" t="str">
            <v>2007Scratch 10 000</v>
          </cell>
          <cell r="T1990" t="str">
            <v>72007STS GAMBY &amp; FRERES (SOGAF) Sarl</v>
          </cell>
          <cell r="U1990" t="str">
            <v>72007STS GAMBY &amp; FRERES (SOGAF) SarlScratch 10 000</v>
          </cell>
          <cell r="V1990" t="str">
            <v>39283Scratch 10 000</v>
          </cell>
          <cell r="W1990" t="str">
            <v>2007STS GAMBY &amp; FRERES (SOGAF) Sarl</v>
          </cell>
          <cell r="X1990" t="str">
            <v>2007STS GAMBY &amp; FRERES (SOGAF) SarlScratch 10 000</v>
          </cell>
        </row>
        <row r="1991">
          <cell r="I1991">
            <v>2007</v>
          </cell>
          <cell r="J1991" t="str">
            <v>STS GAMBY &amp; FRERES (SOGAF) SarlScratch 5 000</v>
          </cell>
          <cell r="L1991">
            <v>0</v>
          </cell>
          <cell r="M1991" t="str">
            <v>STS GAMBY &amp; FRERES (SOGAF) Sarl</v>
          </cell>
          <cell r="N1991" t="str">
            <v>STS GAMBY &amp; FRERES (SOGAF) SarlScratch 5 000</v>
          </cell>
          <cell r="O1991" t="str">
            <v>STS GAMBY &amp; FRERES (SOGAF) Sarl</v>
          </cell>
          <cell r="P1991" t="str">
            <v>Scratch 5 000</v>
          </cell>
          <cell r="Q1991" t="str">
            <v>72007</v>
          </cell>
          <cell r="R1991" t="str">
            <v>72007Scratch 5 000</v>
          </cell>
          <cell r="S1991" t="str">
            <v>2007Scratch 5 000</v>
          </cell>
          <cell r="T1991" t="str">
            <v>72007STS GAMBY &amp; FRERES (SOGAF) Sarl</v>
          </cell>
          <cell r="U1991" t="str">
            <v>72007STS GAMBY &amp; FRERES (SOGAF) SarlScratch 5 000</v>
          </cell>
          <cell r="V1991" t="str">
            <v>39283Scratch 5 000</v>
          </cell>
          <cell r="W1991" t="str">
            <v>2007STS GAMBY &amp; FRERES (SOGAF) Sarl</v>
          </cell>
          <cell r="X1991" t="str">
            <v>2007STS GAMBY &amp; FRERES (SOGAF) SarlScratch 5 000</v>
          </cell>
        </row>
        <row r="1992">
          <cell r="I1992">
            <v>2007</v>
          </cell>
          <cell r="J1992" t="str">
            <v>STS GAMBY &amp; FRERES (SOGAF) SarlScratch 2 000</v>
          </cell>
          <cell r="L1992">
            <v>0</v>
          </cell>
          <cell r="M1992" t="str">
            <v>STS GAMBY &amp; FRERES (SOGAF) Sarl</v>
          </cell>
          <cell r="N1992" t="str">
            <v>STS GAMBY &amp; FRERES (SOGAF) SarlScratch 2 000</v>
          </cell>
          <cell r="O1992" t="str">
            <v>STS GAMBY &amp; FRERES (SOGAF) Sarl</v>
          </cell>
          <cell r="P1992" t="str">
            <v>Scratch 2 000</v>
          </cell>
          <cell r="Q1992" t="str">
            <v>72007</v>
          </cell>
          <cell r="R1992" t="str">
            <v>72007Scratch 2 000</v>
          </cell>
          <cell r="S1992" t="str">
            <v>2007Scratch 2 000</v>
          </cell>
          <cell r="T1992" t="str">
            <v>72007STS GAMBY &amp; FRERES (SOGAF) Sarl</v>
          </cell>
          <cell r="U1992" t="str">
            <v>72007STS GAMBY &amp; FRERES (SOGAF) SarlScratch 2 000</v>
          </cell>
          <cell r="V1992" t="str">
            <v>39283Scratch 2 000</v>
          </cell>
          <cell r="W1992" t="str">
            <v>2007STS GAMBY &amp; FRERES (SOGAF) Sarl</v>
          </cell>
          <cell r="X1992" t="str">
            <v>2007STS GAMBY &amp; FRERES (SOGAF) SarlScratch 2 000</v>
          </cell>
        </row>
        <row r="1993">
          <cell r="I1993">
            <v>2007</v>
          </cell>
          <cell r="J1993" t="str">
            <v>STS GAMBY &amp; FRERES (SOGAF) SarlScratch 1 000</v>
          </cell>
          <cell r="L1993">
            <v>0</v>
          </cell>
          <cell r="M1993" t="str">
            <v>STS GAMBY &amp; FRERES (SOGAF) Sarl</v>
          </cell>
          <cell r="N1993" t="str">
            <v>STS GAMBY &amp; FRERES (SOGAF) SarlScratch 1 000</v>
          </cell>
          <cell r="O1993" t="str">
            <v>STS GAMBY &amp; FRERES (SOGAF) Sarl</v>
          </cell>
          <cell r="P1993" t="str">
            <v>Scratch 1 000</v>
          </cell>
          <cell r="Q1993" t="str">
            <v>72007</v>
          </cell>
          <cell r="R1993" t="str">
            <v>72007Scratch 1 000</v>
          </cell>
          <cell r="S1993" t="str">
            <v>2007Scratch 1 000</v>
          </cell>
          <cell r="T1993" t="str">
            <v>72007STS GAMBY &amp; FRERES (SOGAF) Sarl</v>
          </cell>
          <cell r="U1993" t="str">
            <v>72007STS GAMBY &amp; FRERES (SOGAF) SarlScratch 1 000</v>
          </cell>
          <cell r="V1993" t="str">
            <v>39283Scratch 1 000</v>
          </cell>
          <cell r="W1993" t="str">
            <v>2007STS GAMBY &amp; FRERES (SOGAF) Sarl</v>
          </cell>
          <cell r="X1993" t="str">
            <v>2007STS GAMBY &amp; FRERES (SOGAF) SarlScratch 1 000</v>
          </cell>
        </row>
        <row r="1994">
          <cell r="I1994">
            <v>2007</v>
          </cell>
          <cell r="J1994" t="str">
            <v>MALI COM SarlScratch 20 000</v>
          </cell>
          <cell r="L1994">
            <v>1</v>
          </cell>
          <cell r="M1994" t="str">
            <v>1MALI COM Sarl</v>
          </cell>
          <cell r="N1994" t="str">
            <v>MALI COM SarlScratch 20 000</v>
          </cell>
          <cell r="O1994" t="str">
            <v>MALI COM Sarl</v>
          </cell>
          <cell r="P1994" t="str">
            <v>Scratch 20 000</v>
          </cell>
          <cell r="Q1994" t="str">
            <v>72007</v>
          </cell>
          <cell r="R1994" t="str">
            <v>72007Scratch 20 000</v>
          </cell>
          <cell r="S1994" t="str">
            <v>2007Scratch 20 000</v>
          </cell>
          <cell r="T1994" t="str">
            <v>72007MALI COM Sarl</v>
          </cell>
          <cell r="U1994" t="str">
            <v>72007MALI COM SarlScratch 20 000</v>
          </cell>
          <cell r="V1994" t="str">
            <v>39283Scratch 20 000</v>
          </cell>
          <cell r="W1994" t="str">
            <v>2007MALI COM Sarl</v>
          </cell>
          <cell r="X1994" t="str">
            <v>2007MALI COM SarlScratch 20 000</v>
          </cell>
        </row>
        <row r="1995">
          <cell r="I1995">
            <v>2007</v>
          </cell>
          <cell r="J1995" t="str">
            <v>MALI COM SarlScratch 10 000</v>
          </cell>
          <cell r="L1995">
            <v>0</v>
          </cell>
          <cell r="M1995" t="str">
            <v>MALI COM Sarl</v>
          </cell>
          <cell r="N1995" t="str">
            <v>MALI COM SarlScratch 10 000</v>
          </cell>
          <cell r="O1995" t="str">
            <v>MALI COM Sarl</v>
          </cell>
          <cell r="P1995" t="str">
            <v>Scratch 10 000</v>
          </cell>
          <cell r="Q1995" t="str">
            <v>72007</v>
          </cell>
          <cell r="R1995" t="str">
            <v>72007Scratch 10 000</v>
          </cell>
          <cell r="S1995" t="str">
            <v>2007Scratch 10 000</v>
          </cell>
          <cell r="T1995" t="str">
            <v>72007MALI COM Sarl</v>
          </cell>
          <cell r="U1995" t="str">
            <v>72007MALI COM SarlScratch 10 000</v>
          </cell>
          <cell r="V1995" t="str">
            <v>39283Scratch 10 000</v>
          </cell>
          <cell r="W1995" t="str">
            <v>2007MALI COM Sarl</v>
          </cell>
          <cell r="X1995" t="str">
            <v>2007MALI COM SarlScratch 10 000</v>
          </cell>
        </row>
        <row r="1996">
          <cell r="I1996">
            <v>2007</v>
          </cell>
          <cell r="J1996" t="str">
            <v>MALI COM SarlScratch 5 000</v>
          </cell>
          <cell r="L1996">
            <v>0</v>
          </cell>
          <cell r="M1996" t="str">
            <v>MALI COM Sarl</v>
          </cell>
          <cell r="N1996" t="str">
            <v>MALI COM SarlScratch 5 000</v>
          </cell>
          <cell r="O1996" t="str">
            <v>MALI COM Sarl</v>
          </cell>
          <cell r="P1996" t="str">
            <v>Scratch 5 000</v>
          </cell>
          <cell r="Q1996" t="str">
            <v>72007</v>
          </cell>
          <cell r="R1996" t="str">
            <v>72007Scratch 5 000</v>
          </cell>
          <cell r="S1996" t="str">
            <v>2007Scratch 5 000</v>
          </cell>
          <cell r="T1996" t="str">
            <v>72007MALI COM Sarl</v>
          </cell>
          <cell r="U1996" t="str">
            <v>72007MALI COM SarlScratch 5 000</v>
          </cell>
          <cell r="V1996" t="str">
            <v>39283Scratch 5 000</v>
          </cell>
          <cell r="W1996" t="str">
            <v>2007MALI COM Sarl</v>
          </cell>
          <cell r="X1996" t="str">
            <v>2007MALI COM SarlScratch 5 000</v>
          </cell>
        </row>
        <row r="1997">
          <cell r="I1997">
            <v>2007</v>
          </cell>
          <cell r="J1997" t="str">
            <v>MALI COM SarlScratch 2 000</v>
          </cell>
          <cell r="L1997">
            <v>0</v>
          </cell>
          <cell r="M1997" t="str">
            <v>MALI COM Sarl</v>
          </cell>
          <cell r="N1997" t="str">
            <v>MALI COM SarlScratch 2 000</v>
          </cell>
          <cell r="O1997" t="str">
            <v>MALI COM Sarl</v>
          </cell>
          <cell r="P1997" t="str">
            <v>Scratch 2 000</v>
          </cell>
          <cell r="Q1997" t="str">
            <v>72007</v>
          </cell>
          <cell r="R1997" t="str">
            <v>72007Scratch 2 000</v>
          </cell>
          <cell r="S1997" t="str">
            <v>2007Scratch 2 000</v>
          </cell>
          <cell r="T1997" t="str">
            <v>72007MALI COM Sarl</v>
          </cell>
          <cell r="U1997" t="str">
            <v>72007MALI COM SarlScratch 2 000</v>
          </cell>
          <cell r="V1997" t="str">
            <v>39283Scratch 2 000</v>
          </cell>
          <cell r="W1997" t="str">
            <v>2007MALI COM Sarl</v>
          </cell>
          <cell r="X1997" t="str">
            <v>2007MALI COM SarlScratch 2 000</v>
          </cell>
        </row>
        <row r="1998">
          <cell r="I1998">
            <v>2007</v>
          </cell>
          <cell r="J1998" t="str">
            <v>MALI COM SarlScratch 1 000</v>
          </cell>
          <cell r="L1998">
            <v>0</v>
          </cell>
          <cell r="M1998" t="str">
            <v>MALI COM Sarl</v>
          </cell>
          <cell r="N1998" t="str">
            <v>MALI COM SarlScratch 1 000</v>
          </cell>
          <cell r="O1998" t="str">
            <v>MALI COM Sarl</v>
          </cell>
          <cell r="P1998" t="str">
            <v>Scratch 1 000</v>
          </cell>
          <cell r="Q1998" t="str">
            <v>72007</v>
          </cell>
          <cell r="R1998" t="str">
            <v>72007Scratch 1 000</v>
          </cell>
          <cell r="S1998" t="str">
            <v>2007Scratch 1 000</v>
          </cell>
          <cell r="T1998" t="str">
            <v>72007MALI COM Sarl</v>
          </cell>
          <cell r="U1998" t="str">
            <v>72007MALI COM SarlScratch 1 000</v>
          </cell>
          <cell r="V1998" t="str">
            <v>39283Scratch 1 000</v>
          </cell>
          <cell r="W1998" t="str">
            <v>2007MALI COM Sarl</v>
          </cell>
          <cell r="X1998" t="str">
            <v>2007MALI COM SarlScratch 1 000</v>
          </cell>
        </row>
        <row r="1999">
          <cell r="I1999">
            <v>2007</v>
          </cell>
          <cell r="J1999" t="str">
            <v>Ets Boubacar TANDIAScratch 20 000</v>
          </cell>
          <cell r="L1999">
            <v>1</v>
          </cell>
          <cell r="M1999" t="str">
            <v>1Ets Boubacar TANDIA</v>
          </cell>
          <cell r="N1999" t="str">
            <v>Ets Boubacar TANDIAScratch 20 000</v>
          </cell>
          <cell r="O1999" t="str">
            <v>Ets Boubacar TANDIA</v>
          </cell>
          <cell r="P1999" t="str">
            <v>Scratch 20 000</v>
          </cell>
          <cell r="Q1999" t="str">
            <v>72007</v>
          </cell>
          <cell r="R1999" t="str">
            <v>72007Scratch 20 000</v>
          </cell>
          <cell r="S1999" t="str">
            <v>2007Scratch 20 000</v>
          </cell>
          <cell r="T1999" t="str">
            <v>72007Ets Boubacar TANDIA</v>
          </cell>
          <cell r="U1999" t="str">
            <v>72007Ets Boubacar TANDIAScratch 20 000</v>
          </cell>
          <cell r="V1999" t="str">
            <v>39283Scratch 20 000</v>
          </cell>
          <cell r="W1999" t="str">
            <v>2007Ets Boubacar TANDIA</v>
          </cell>
          <cell r="X1999" t="str">
            <v>2007Ets Boubacar TANDIAScratch 20 000</v>
          </cell>
        </row>
        <row r="2000">
          <cell r="I2000">
            <v>2007</v>
          </cell>
          <cell r="J2000" t="str">
            <v>Ets Boubacar TANDIAScratch 10 000</v>
          </cell>
          <cell r="L2000">
            <v>0</v>
          </cell>
          <cell r="M2000" t="str">
            <v>Ets Boubacar TANDIA</v>
          </cell>
          <cell r="N2000" t="str">
            <v>Ets Boubacar TANDIAScratch 10 000</v>
          </cell>
          <cell r="O2000" t="str">
            <v>Ets Boubacar TANDIA</v>
          </cell>
          <cell r="P2000" t="str">
            <v>Scratch 10 000</v>
          </cell>
          <cell r="Q2000" t="str">
            <v>72007</v>
          </cell>
          <cell r="R2000" t="str">
            <v>72007Scratch 10 000</v>
          </cell>
          <cell r="S2000" t="str">
            <v>2007Scratch 10 000</v>
          </cell>
          <cell r="T2000" t="str">
            <v>72007Ets Boubacar TANDIA</v>
          </cell>
          <cell r="U2000" t="str">
            <v>72007Ets Boubacar TANDIAScratch 10 000</v>
          </cell>
          <cell r="V2000" t="str">
            <v>39283Scratch 10 000</v>
          </cell>
          <cell r="W2000" t="str">
            <v>2007Ets Boubacar TANDIA</v>
          </cell>
          <cell r="X2000" t="str">
            <v>2007Ets Boubacar TANDIAScratch 10 000</v>
          </cell>
        </row>
        <row r="2001">
          <cell r="I2001">
            <v>2007</v>
          </cell>
          <cell r="J2001" t="str">
            <v>Ets Boubacar TANDIAScratch 5 000</v>
          </cell>
          <cell r="L2001">
            <v>0</v>
          </cell>
          <cell r="M2001" t="str">
            <v>Ets Boubacar TANDIA</v>
          </cell>
          <cell r="N2001" t="str">
            <v>Ets Boubacar TANDIAScratch 5 000</v>
          </cell>
          <cell r="O2001" t="str">
            <v>Ets Boubacar TANDIA</v>
          </cell>
          <cell r="P2001" t="str">
            <v>Scratch 5 000</v>
          </cell>
          <cell r="Q2001" t="str">
            <v>72007</v>
          </cell>
          <cell r="R2001" t="str">
            <v>72007Scratch 5 000</v>
          </cell>
          <cell r="S2001" t="str">
            <v>2007Scratch 5 000</v>
          </cell>
          <cell r="T2001" t="str">
            <v>72007Ets Boubacar TANDIA</v>
          </cell>
          <cell r="U2001" t="str">
            <v>72007Ets Boubacar TANDIAScratch 5 000</v>
          </cell>
          <cell r="V2001" t="str">
            <v>39283Scratch 5 000</v>
          </cell>
          <cell r="W2001" t="str">
            <v>2007Ets Boubacar TANDIA</v>
          </cell>
          <cell r="X2001" t="str">
            <v>2007Ets Boubacar TANDIAScratch 5 000</v>
          </cell>
        </row>
        <row r="2002">
          <cell r="I2002">
            <v>2007</v>
          </cell>
          <cell r="J2002" t="str">
            <v>Ets Boubacar TANDIAScratch 2 000</v>
          </cell>
          <cell r="L2002">
            <v>0</v>
          </cell>
          <cell r="M2002" t="str">
            <v>Ets Boubacar TANDIA</v>
          </cell>
          <cell r="N2002" t="str">
            <v>Ets Boubacar TANDIAScratch 2 000</v>
          </cell>
          <cell r="O2002" t="str">
            <v>Ets Boubacar TANDIA</v>
          </cell>
          <cell r="P2002" t="str">
            <v>Scratch 2 000</v>
          </cell>
          <cell r="Q2002" t="str">
            <v>72007</v>
          </cell>
          <cell r="R2002" t="str">
            <v>72007Scratch 2 000</v>
          </cell>
          <cell r="S2002" t="str">
            <v>2007Scratch 2 000</v>
          </cell>
          <cell r="T2002" t="str">
            <v>72007Ets Boubacar TANDIA</v>
          </cell>
          <cell r="U2002" t="str">
            <v>72007Ets Boubacar TANDIAScratch 2 000</v>
          </cell>
          <cell r="V2002" t="str">
            <v>39283Scratch 2 000</v>
          </cell>
          <cell r="W2002" t="str">
            <v>2007Ets Boubacar TANDIA</v>
          </cell>
          <cell r="X2002" t="str">
            <v>2007Ets Boubacar TANDIAScratch 2 000</v>
          </cell>
        </row>
        <row r="2003">
          <cell r="I2003">
            <v>2007</v>
          </cell>
          <cell r="J2003" t="str">
            <v>Ets Boubacar TANDIAScratch 1 000</v>
          </cell>
          <cell r="L2003">
            <v>0</v>
          </cell>
          <cell r="M2003" t="str">
            <v>Ets Boubacar TANDIA</v>
          </cell>
          <cell r="N2003" t="str">
            <v>Ets Boubacar TANDIAScratch 1 000</v>
          </cell>
          <cell r="O2003" t="str">
            <v>Ets Boubacar TANDIA</v>
          </cell>
          <cell r="P2003" t="str">
            <v>Scratch 1 000</v>
          </cell>
          <cell r="Q2003" t="str">
            <v>72007</v>
          </cell>
          <cell r="R2003" t="str">
            <v>72007Scratch 1 000</v>
          </cell>
          <cell r="S2003" t="str">
            <v>2007Scratch 1 000</v>
          </cell>
          <cell r="T2003" t="str">
            <v>72007Ets Boubacar TANDIA</v>
          </cell>
          <cell r="U2003" t="str">
            <v>72007Ets Boubacar TANDIAScratch 1 000</v>
          </cell>
          <cell r="V2003" t="str">
            <v>39283Scratch 1 000</v>
          </cell>
          <cell r="W2003" t="str">
            <v>2007Ets Boubacar TANDIA</v>
          </cell>
          <cell r="X2003" t="str">
            <v>2007Ets Boubacar TANDIAScratch 1 000</v>
          </cell>
        </row>
        <row r="2004">
          <cell r="I2004">
            <v>2007</v>
          </cell>
          <cell r="J2004" t="str">
            <v>Bonneterie Nouvelle TelecomScratch 5 000</v>
          </cell>
          <cell r="L2004">
            <v>1</v>
          </cell>
          <cell r="M2004" t="str">
            <v>1Bonneterie Nouvelle Telecom</v>
          </cell>
          <cell r="N2004" t="str">
            <v>Bonneterie Nouvelle TelecomScratch 5 000</v>
          </cell>
          <cell r="O2004" t="str">
            <v>Bonneterie Nouvelle Telecom</v>
          </cell>
          <cell r="P2004" t="str">
            <v>Scratch 5 000</v>
          </cell>
          <cell r="Q2004" t="str">
            <v>72007</v>
          </cell>
          <cell r="R2004" t="str">
            <v>72007Scratch 5 000</v>
          </cell>
          <cell r="S2004" t="str">
            <v>2007Scratch 5 000</v>
          </cell>
          <cell r="T2004" t="str">
            <v>72007Bonneterie Nouvelle Telecom</v>
          </cell>
          <cell r="U2004" t="str">
            <v>72007Bonneterie Nouvelle TelecomScratch 5 000</v>
          </cell>
          <cell r="V2004" t="str">
            <v>39283Scratch 5 000</v>
          </cell>
          <cell r="W2004" t="str">
            <v>2007Bonneterie Nouvelle Telecom</v>
          </cell>
          <cell r="X2004" t="str">
            <v>2007Bonneterie Nouvelle TelecomScratch 5 000</v>
          </cell>
        </row>
        <row r="2005">
          <cell r="I2005">
            <v>2007</v>
          </cell>
          <cell r="J2005" t="str">
            <v>Bonneterie Nouvelle TelecomScratch 2 000</v>
          </cell>
          <cell r="L2005">
            <v>0</v>
          </cell>
          <cell r="M2005" t="str">
            <v>Bonneterie Nouvelle Telecom</v>
          </cell>
          <cell r="N2005" t="str">
            <v>Bonneterie Nouvelle TelecomScratch 2 000</v>
          </cell>
          <cell r="O2005" t="str">
            <v>Bonneterie Nouvelle Telecom</v>
          </cell>
          <cell r="P2005" t="str">
            <v>Scratch 2 000</v>
          </cell>
          <cell r="Q2005" t="str">
            <v>72007</v>
          </cell>
          <cell r="R2005" t="str">
            <v>72007Scratch 2 000</v>
          </cell>
          <cell r="S2005" t="str">
            <v>2007Scratch 2 000</v>
          </cell>
          <cell r="T2005" t="str">
            <v>72007Bonneterie Nouvelle Telecom</v>
          </cell>
          <cell r="U2005" t="str">
            <v>72007Bonneterie Nouvelle TelecomScratch 2 000</v>
          </cell>
          <cell r="V2005" t="str">
            <v>39283Scratch 2 000</v>
          </cell>
          <cell r="W2005" t="str">
            <v>2007Bonneterie Nouvelle Telecom</v>
          </cell>
          <cell r="X2005" t="str">
            <v>2007Bonneterie Nouvelle TelecomScratch 2 000</v>
          </cell>
        </row>
        <row r="2006">
          <cell r="I2006">
            <v>2007</v>
          </cell>
          <cell r="J2006" t="str">
            <v>Bonneterie Nouvelle TelecomScratch 1 000</v>
          </cell>
          <cell r="L2006">
            <v>0</v>
          </cell>
          <cell r="M2006" t="str">
            <v>Bonneterie Nouvelle Telecom</v>
          </cell>
          <cell r="N2006" t="str">
            <v>Bonneterie Nouvelle TelecomScratch 1 000</v>
          </cell>
          <cell r="O2006" t="str">
            <v>Bonneterie Nouvelle Telecom</v>
          </cell>
          <cell r="P2006" t="str">
            <v>Scratch 1 000</v>
          </cell>
          <cell r="Q2006" t="str">
            <v>72007</v>
          </cell>
          <cell r="R2006" t="str">
            <v>72007Scratch 1 000</v>
          </cell>
          <cell r="S2006" t="str">
            <v>2007Scratch 1 000</v>
          </cell>
          <cell r="T2006" t="str">
            <v>72007Bonneterie Nouvelle Telecom</v>
          </cell>
          <cell r="U2006" t="str">
            <v>72007Bonneterie Nouvelle TelecomScratch 1 000</v>
          </cell>
          <cell r="V2006" t="str">
            <v>39283Scratch 1 000</v>
          </cell>
          <cell r="W2006" t="str">
            <v>2007Bonneterie Nouvelle Telecom</v>
          </cell>
          <cell r="X2006" t="str">
            <v>2007Bonneterie Nouvelle TelecomScratch 1 000</v>
          </cell>
        </row>
        <row r="2007">
          <cell r="I2007">
            <v>2007</v>
          </cell>
          <cell r="J2007" t="str">
            <v>GEMATELScratch 20 000</v>
          </cell>
          <cell r="L2007">
            <v>1</v>
          </cell>
          <cell r="M2007" t="str">
            <v>1GEMATEL</v>
          </cell>
          <cell r="N2007" t="str">
            <v>GEMATELScratch 20 000</v>
          </cell>
          <cell r="O2007" t="str">
            <v>GEMATEL</v>
          </cell>
          <cell r="P2007" t="str">
            <v>Scratch 20 000</v>
          </cell>
          <cell r="Q2007" t="str">
            <v>72007</v>
          </cell>
          <cell r="R2007" t="str">
            <v>72007Scratch 20 000</v>
          </cell>
          <cell r="S2007" t="str">
            <v>2007Scratch 20 000</v>
          </cell>
          <cell r="T2007" t="str">
            <v>72007GEMATEL</v>
          </cell>
          <cell r="U2007" t="str">
            <v>72007GEMATELScratch 20 000</v>
          </cell>
          <cell r="V2007" t="str">
            <v>39283Scratch 20 000</v>
          </cell>
          <cell r="W2007" t="str">
            <v>2007GEMATEL</v>
          </cell>
          <cell r="X2007" t="str">
            <v>2007GEMATELScratch 20 000</v>
          </cell>
        </row>
        <row r="2008">
          <cell r="I2008">
            <v>2007</v>
          </cell>
          <cell r="J2008" t="str">
            <v>GEMATELScratch 5 000</v>
          </cell>
          <cell r="L2008">
            <v>0</v>
          </cell>
          <cell r="M2008" t="str">
            <v>GEMATEL</v>
          </cell>
          <cell r="N2008" t="str">
            <v>GEMATELScratch 5 000</v>
          </cell>
          <cell r="O2008" t="str">
            <v>GEMATEL</v>
          </cell>
          <cell r="P2008" t="str">
            <v>Scratch 5 000</v>
          </cell>
          <cell r="Q2008" t="str">
            <v>72007</v>
          </cell>
          <cell r="R2008" t="str">
            <v>72007Scratch 5 000</v>
          </cell>
          <cell r="S2008" t="str">
            <v>2007Scratch 5 000</v>
          </cell>
          <cell r="T2008" t="str">
            <v>72007GEMATEL</v>
          </cell>
          <cell r="U2008" t="str">
            <v>72007GEMATELScratch 5 000</v>
          </cell>
          <cell r="V2008" t="str">
            <v>39283Scratch 5 000</v>
          </cell>
          <cell r="W2008" t="str">
            <v>2007GEMATEL</v>
          </cell>
          <cell r="X2008" t="str">
            <v>2007GEMATELScratch 5 000</v>
          </cell>
        </row>
        <row r="2009">
          <cell r="I2009">
            <v>2007</v>
          </cell>
          <cell r="J2009" t="str">
            <v>GEMATELScratch 2 000</v>
          </cell>
          <cell r="L2009">
            <v>0</v>
          </cell>
          <cell r="M2009" t="str">
            <v>GEMATEL</v>
          </cell>
          <cell r="N2009" t="str">
            <v>GEMATELScratch 2 000</v>
          </cell>
          <cell r="O2009" t="str">
            <v>GEMATEL</v>
          </cell>
          <cell r="P2009" t="str">
            <v>Scratch 2 000</v>
          </cell>
          <cell r="Q2009" t="str">
            <v>72007</v>
          </cell>
          <cell r="R2009" t="str">
            <v>72007Scratch 2 000</v>
          </cell>
          <cell r="S2009" t="str">
            <v>2007Scratch 2 000</v>
          </cell>
          <cell r="T2009" t="str">
            <v>72007GEMATEL</v>
          </cell>
          <cell r="U2009" t="str">
            <v>72007GEMATELScratch 2 000</v>
          </cell>
          <cell r="V2009" t="str">
            <v>39283Scratch 2 000</v>
          </cell>
          <cell r="W2009" t="str">
            <v>2007GEMATEL</v>
          </cell>
          <cell r="X2009" t="str">
            <v>2007GEMATELScratch 2 000</v>
          </cell>
        </row>
        <row r="2010">
          <cell r="I2010">
            <v>2007</v>
          </cell>
          <cell r="J2010" t="str">
            <v>GEMATELScratch 1 000</v>
          </cell>
          <cell r="L2010">
            <v>0</v>
          </cell>
          <cell r="M2010" t="str">
            <v>GEMATEL</v>
          </cell>
          <cell r="N2010" t="str">
            <v>GEMATELScratch 1 000</v>
          </cell>
          <cell r="O2010" t="str">
            <v>GEMATEL</v>
          </cell>
          <cell r="P2010" t="str">
            <v>Scratch 1 000</v>
          </cell>
          <cell r="Q2010" t="str">
            <v>72007</v>
          </cell>
          <cell r="R2010" t="str">
            <v>72007Scratch 1 000</v>
          </cell>
          <cell r="S2010" t="str">
            <v>2007Scratch 1 000</v>
          </cell>
          <cell r="T2010" t="str">
            <v>72007GEMATEL</v>
          </cell>
          <cell r="U2010" t="str">
            <v>72007GEMATELScratch 1 000</v>
          </cell>
          <cell r="V2010" t="str">
            <v>39283Scratch 1 000</v>
          </cell>
          <cell r="W2010" t="str">
            <v>2007GEMATEL</v>
          </cell>
          <cell r="X2010" t="str">
            <v>2007GEMATELScratch 1 000</v>
          </cell>
        </row>
        <row r="2011">
          <cell r="I2011">
            <v>2007</v>
          </cell>
          <cell r="J2011" t="str">
            <v>ANKA SERVICESScratch 20 000</v>
          </cell>
          <cell r="L2011">
            <v>1</v>
          </cell>
          <cell r="M2011" t="str">
            <v>1ANKA SERVICES</v>
          </cell>
          <cell r="N2011" t="str">
            <v>ANKA SERVICESScratch 20 000</v>
          </cell>
          <cell r="O2011" t="str">
            <v>ANKA SERVICES</v>
          </cell>
          <cell r="P2011" t="str">
            <v>Scratch 20 000</v>
          </cell>
          <cell r="Q2011" t="str">
            <v>72007</v>
          </cell>
          <cell r="R2011" t="str">
            <v>72007Scratch 20 000</v>
          </cell>
          <cell r="S2011" t="str">
            <v>2007Scratch 20 000</v>
          </cell>
          <cell r="T2011" t="str">
            <v>72007ANKA SERVICES</v>
          </cell>
          <cell r="U2011" t="str">
            <v>72007ANKA SERVICESScratch 20 000</v>
          </cell>
          <cell r="V2011" t="str">
            <v>39283Scratch 20 000</v>
          </cell>
          <cell r="W2011" t="str">
            <v>2007ANKA SERVICES</v>
          </cell>
          <cell r="X2011" t="str">
            <v>2007ANKA SERVICESScratch 20 000</v>
          </cell>
        </row>
        <row r="2012">
          <cell r="I2012">
            <v>2007</v>
          </cell>
          <cell r="J2012" t="str">
            <v>ANKA SERVICESScratch 5 000</v>
          </cell>
          <cell r="L2012">
            <v>0</v>
          </cell>
          <cell r="M2012" t="str">
            <v>ANKA SERVICES</v>
          </cell>
          <cell r="N2012" t="str">
            <v>ANKA SERVICESScratch 5 000</v>
          </cell>
          <cell r="O2012" t="str">
            <v>ANKA SERVICES</v>
          </cell>
          <cell r="P2012" t="str">
            <v>Scratch 5 000</v>
          </cell>
          <cell r="Q2012" t="str">
            <v>72007</v>
          </cell>
          <cell r="R2012" t="str">
            <v>72007Scratch 5 000</v>
          </cell>
          <cell r="S2012" t="str">
            <v>2007Scratch 5 000</v>
          </cell>
          <cell r="T2012" t="str">
            <v>72007ANKA SERVICES</v>
          </cell>
          <cell r="U2012" t="str">
            <v>72007ANKA SERVICESScratch 5 000</v>
          </cell>
          <cell r="V2012" t="str">
            <v>39283Scratch 5 000</v>
          </cell>
          <cell r="W2012" t="str">
            <v>2007ANKA SERVICES</v>
          </cell>
          <cell r="X2012" t="str">
            <v>2007ANKA SERVICESScratch 5 000</v>
          </cell>
        </row>
        <row r="2013">
          <cell r="I2013">
            <v>2007</v>
          </cell>
          <cell r="J2013" t="str">
            <v>ANKA SERVICESScratch 2 000</v>
          </cell>
          <cell r="L2013">
            <v>0</v>
          </cell>
          <cell r="M2013" t="str">
            <v>ANKA SERVICES</v>
          </cell>
          <cell r="N2013" t="str">
            <v>ANKA SERVICESScratch 2 000</v>
          </cell>
          <cell r="O2013" t="str">
            <v>ANKA SERVICES</v>
          </cell>
          <cell r="P2013" t="str">
            <v>Scratch 2 000</v>
          </cell>
          <cell r="Q2013" t="str">
            <v>72007</v>
          </cell>
          <cell r="R2013" t="str">
            <v>72007Scratch 2 000</v>
          </cell>
          <cell r="S2013" t="str">
            <v>2007Scratch 2 000</v>
          </cell>
          <cell r="T2013" t="str">
            <v>72007ANKA SERVICES</v>
          </cell>
          <cell r="U2013" t="str">
            <v>72007ANKA SERVICESScratch 2 000</v>
          </cell>
          <cell r="V2013" t="str">
            <v>39283Scratch 2 000</v>
          </cell>
          <cell r="W2013" t="str">
            <v>2007ANKA SERVICES</v>
          </cell>
          <cell r="X2013" t="str">
            <v>2007ANKA SERVICESScratch 2 000</v>
          </cell>
        </row>
        <row r="2014">
          <cell r="I2014">
            <v>2007</v>
          </cell>
          <cell r="J2014" t="str">
            <v>ANKA SERVICESScratch 1 000</v>
          </cell>
          <cell r="L2014">
            <v>0</v>
          </cell>
          <cell r="M2014" t="str">
            <v>ANKA SERVICES</v>
          </cell>
          <cell r="N2014" t="str">
            <v>ANKA SERVICESScratch 1 000</v>
          </cell>
          <cell r="O2014" t="str">
            <v>ANKA SERVICES</v>
          </cell>
          <cell r="P2014" t="str">
            <v>Scratch 1 000</v>
          </cell>
          <cell r="Q2014" t="str">
            <v>72007</v>
          </cell>
          <cell r="R2014" t="str">
            <v>72007Scratch 1 000</v>
          </cell>
          <cell r="S2014" t="str">
            <v>2007Scratch 1 000</v>
          </cell>
          <cell r="T2014" t="str">
            <v>72007ANKA SERVICES</v>
          </cell>
          <cell r="U2014" t="str">
            <v>72007ANKA SERVICESScratch 1 000</v>
          </cell>
          <cell r="V2014" t="str">
            <v>39283Scratch 1 000</v>
          </cell>
          <cell r="W2014" t="str">
            <v>2007ANKA SERVICES</v>
          </cell>
          <cell r="X2014" t="str">
            <v>2007ANKA SERVICESScratch 1 000</v>
          </cell>
        </row>
        <row r="2015">
          <cell r="I2015">
            <v>2007</v>
          </cell>
          <cell r="J2015" t="str">
            <v>SOMAKOFFScratch 20 000</v>
          </cell>
          <cell r="L2015">
            <v>1</v>
          </cell>
          <cell r="M2015" t="str">
            <v>1SOMAKOFF</v>
          </cell>
          <cell r="N2015" t="str">
            <v>SOMAKOFFScratch 20 000</v>
          </cell>
          <cell r="O2015" t="str">
            <v>SOMAKOFF</v>
          </cell>
          <cell r="P2015" t="str">
            <v>Scratch 20 000</v>
          </cell>
          <cell r="Q2015" t="str">
            <v>72007</v>
          </cell>
          <cell r="R2015" t="str">
            <v>72007Scratch 20 000</v>
          </cell>
          <cell r="S2015" t="str">
            <v>2007Scratch 20 000</v>
          </cell>
          <cell r="T2015" t="str">
            <v>72007SOMAKOFF</v>
          </cell>
          <cell r="U2015" t="str">
            <v>72007SOMAKOFFScratch 20 000</v>
          </cell>
          <cell r="V2015" t="str">
            <v>39283Scratch 20 000</v>
          </cell>
          <cell r="W2015" t="str">
            <v>2007SOMAKOFF</v>
          </cell>
          <cell r="X2015" t="str">
            <v>2007SOMAKOFFScratch 20 000</v>
          </cell>
        </row>
        <row r="2016">
          <cell r="I2016">
            <v>2007</v>
          </cell>
          <cell r="J2016" t="str">
            <v>SOMAKOFFScratch 10 000</v>
          </cell>
          <cell r="L2016">
            <v>0</v>
          </cell>
          <cell r="M2016" t="str">
            <v>SOMAKOFF</v>
          </cell>
          <cell r="N2016" t="str">
            <v>SOMAKOFFScratch 10 000</v>
          </cell>
          <cell r="O2016" t="str">
            <v>SOMAKOFF</v>
          </cell>
          <cell r="P2016" t="str">
            <v>Scratch 10 000</v>
          </cell>
          <cell r="Q2016" t="str">
            <v>72007</v>
          </cell>
          <cell r="R2016" t="str">
            <v>72007Scratch 10 000</v>
          </cell>
          <cell r="S2016" t="str">
            <v>2007Scratch 10 000</v>
          </cell>
          <cell r="T2016" t="str">
            <v>72007SOMAKOFF</v>
          </cell>
          <cell r="U2016" t="str">
            <v>72007SOMAKOFFScratch 10 000</v>
          </cell>
          <cell r="V2016" t="str">
            <v>39283Scratch 10 000</v>
          </cell>
          <cell r="W2016" t="str">
            <v>2007SOMAKOFF</v>
          </cell>
          <cell r="X2016" t="str">
            <v>2007SOMAKOFFScratch 10 000</v>
          </cell>
        </row>
        <row r="2017">
          <cell r="I2017">
            <v>2007</v>
          </cell>
          <cell r="J2017" t="str">
            <v>SOMAKOFFScratch 2 000</v>
          </cell>
          <cell r="L2017">
            <v>0</v>
          </cell>
          <cell r="M2017" t="str">
            <v>SOMAKOFF</v>
          </cell>
          <cell r="N2017" t="str">
            <v>SOMAKOFFScratch 2 000</v>
          </cell>
          <cell r="O2017" t="str">
            <v>SOMAKOFF</v>
          </cell>
          <cell r="P2017" t="str">
            <v>Scratch 2 000</v>
          </cell>
          <cell r="Q2017" t="str">
            <v>72007</v>
          </cell>
          <cell r="R2017" t="str">
            <v>72007Scratch 2 000</v>
          </cell>
          <cell r="S2017" t="str">
            <v>2007Scratch 2 000</v>
          </cell>
          <cell r="T2017" t="str">
            <v>72007SOMAKOFF</v>
          </cell>
          <cell r="U2017" t="str">
            <v>72007SOMAKOFFScratch 2 000</v>
          </cell>
          <cell r="V2017" t="str">
            <v>39283Scratch 2 000</v>
          </cell>
          <cell r="W2017" t="str">
            <v>2007SOMAKOFF</v>
          </cell>
          <cell r="X2017" t="str">
            <v>2007SOMAKOFFScratch 2 000</v>
          </cell>
        </row>
        <row r="2018">
          <cell r="I2018">
            <v>2007</v>
          </cell>
          <cell r="J2018" t="str">
            <v>SOMAKOFFScratch 1 000</v>
          </cell>
          <cell r="L2018">
            <v>0</v>
          </cell>
          <cell r="M2018" t="str">
            <v>SOMAKOFF</v>
          </cell>
          <cell r="N2018" t="str">
            <v>SOMAKOFFScratch 1 000</v>
          </cell>
          <cell r="O2018" t="str">
            <v>SOMAKOFF</v>
          </cell>
          <cell r="P2018" t="str">
            <v>Scratch 1 000</v>
          </cell>
          <cell r="Q2018" t="str">
            <v>72007</v>
          </cell>
          <cell r="R2018" t="str">
            <v>72007Scratch 1 000</v>
          </cell>
          <cell r="S2018" t="str">
            <v>2007Scratch 1 000</v>
          </cell>
          <cell r="T2018" t="str">
            <v>72007SOMAKOFF</v>
          </cell>
          <cell r="U2018" t="str">
            <v>72007SOMAKOFFScratch 1 000</v>
          </cell>
          <cell r="V2018" t="str">
            <v>39283Scratch 1 000</v>
          </cell>
          <cell r="W2018" t="str">
            <v>2007SOMAKOFF</v>
          </cell>
          <cell r="X2018" t="str">
            <v>2007SOMAKOFFScratch 1 000</v>
          </cell>
        </row>
        <row r="2019">
          <cell r="I2019">
            <v>2007</v>
          </cell>
          <cell r="J2019" t="str">
            <v>Compagnie Internationale de NegoceScratch 20 000</v>
          </cell>
          <cell r="L2019">
            <v>1</v>
          </cell>
          <cell r="M2019" t="str">
            <v>1Compagnie Internationale de Negoce</v>
          </cell>
          <cell r="N2019" t="str">
            <v>Compagnie Internationale de NegoceScratch 20 000</v>
          </cell>
          <cell r="O2019" t="str">
            <v>Compagnie Internationale de Negoce</v>
          </cell>
          <cell r="P2019" t="str">
            <v>Scratch 20 000</v>
          </cell>
          <cell r="Q2019" t="str">
            <v>72007</v>
          </cell>
          <cell r="R2019" t="str">
            <v>72007Scratch 20 000</v>
          </cell>
          <cell r="S2019" t="str">
            <v>2007Scratch 20 000</v>
          </cell>
          <cell r="T2019" t="str">
            <v>72007Compagnie Internationale de Negoce</v>
          </cell>
          <cell r="U2019" t="str">
            <v>72007Compagnie Internationale de NegoceScratch 20 000</v>
          </cell>
          <cell r="V2019" t="str">
            <v>39286Scratch 20 000</v>
          </cell>
          <cell r="W2019" t="str">
            <v>2007Compagnie Internationale de Negoce</v>
          </cell>
          <cell r="X2019" t="str">
            <v>2007Compagnie Internationale de NegoceScratch 20 000</v>
          </cell>
        </row>
        <row r="2020">
          <cell r="I2020">
            <v>2007</v>
          </cell>
          <cell r="J2020" t="str">
            <v>Compagnie Internationale de NegoceScratch 10 000</v>
          </cell>
          <cell r="L2020">
            <v>0</v>
          </cell>
          <cell r="M2020" t="str">
            <v>Compagnie Internationale de Negoce</v>
          </cell>
          <cell r="N2020" t="str">
            <v>Compagnie Internationale de NegoceScratch 10 000</v>
          </cell>
          <cell r="O2020" t="str">
            <v>Compagnie Internationale de Negoce</v>
          </cell>
          <cell r="P2020" t="str">
            <v>Scratch 10 000</v>
          </cell>
          <cell r="Q2020" t="str">
            <v>72007</v>
          </cell>
          <cell r="R2020" t="str">
            <v>72007Scratch 10 000</v>
          </cell>
          <cell r="S2020" t="str">
            <v>2007Scratch 10 000</v>
          </cell>
          <cell r="T2020" t="str">
            <v>72007Compagnie Internationale de Negoce</v>
          </cell>
          <cell r="U2020" t="str">
            <v>72007Compagnie Internationale de NegoceScratch 10 000</v>
          </cell>
          <cell r="V2020" t="str">
            <v>39286Scratch 10 000</v>
          </cell>
          <cell r="W2020" t="str">
            <v>2007Compagnie Internationale de Negoce</v>
          </cell>
          <cell r="X2020" t="str">
            <v>2007Compagnie Internationale de NegoceScratch 10 000</v>
          </cell>
        </row>
        <row r="2021">
          <cell r="I2021">
            <v>2007</v>
          </cell>
          <cell r="J2021" t="str">
            <v>Compagnie Internationale de NegoceScratch 5 000</v>
          </cell>
          <cell r="L2021">
            <v>0</v>
          </cell>
          <cell r="M2021" t="str">
            <v>Compagnie Internationale de Negoce</v>
          </cell>
          <cell r="N2021" t="str">
            <v>Compagnie Internationale de NegoceScratch 5 000</v>
          </cell>
          <cell r="O2021" t="str">
            <v>Compagnie Internationale de Negoce</v>
          </cell>
          <cell r="P2021" t="str">
            <v>Scratch 5 000</v>
          </cell>
          <cell r="Q2021" t="str">
            <v>72007</v>
          </cell>
          <cell r="R2021" t="str">
            <v>72007Scratch 5 000</v>
          </cell>
          <cell r="S2021" t="str">
            <v>2007Scratch 5 000</v>
          </cell>
          <cell r="T2021" t="str">
            <v>72007Compagnie Internationale de Negoce</v>
          </cell>
          <cell r="U2021" t="str">
            <v>72007Compagnie Internationale de NegoceScratch 5 000</v>
          </cell>
          <cell r="V2021" t="str">
            <v>39286Scratch 5 000</v>
          </cell>
          <cell r="W2021" t="str">
            <v>2007Compagnie Internationale de Negoce</v>
          </cell>
          <cell r="X2021" t="str">
            <v>2007Compagnie Internationale de NegoceScratch 5 000</v>
          </cell>
        </row>
        <row r="2022">
          <cell r="I2022">
            <v>2007</v>
          </cell>
          <cell r="J2022" t="str">
            <v>Compagnie Internationale de NegoceScratch 2 000</v>
          </cell>
          <cell r="L2022">
            <v>0</v>
          </cell>
          <cell r="M2022" t="str">
            <v>Compagnie Internationale de Negoce</v>
          </cell>
          <cell r="N2022" t="str">
            <v>Compagnie Internationale de NegoceScratch 2 000</v>
          </cell>
          <cell r="O2022" t="str">
            <v>Compagnie Internationale de Negoce</v>
          </cell>
          <cell r="P2022" t="str">
            <v>Scratch 2 000</v>
          </cell>
          <cell r="Q2022" t="str">
            <v>72007</v>
          </cell>
          <cell r="R2022" t="str">
            <v>72007Scratch 2 000</v>
          </cell>
          <cell r="S2022" t="str">
            <v>2007Scratch 2 000</v>
          </cell>
          <cell r="T2022" t="str">
            <v>72007Compagnie Internationale de Negoce</v>
          </cell>
          <cell r="U2022" t="str">
            <v>72007Compagnie Internationale de NegoceScratch 2 000</v>
          </cell>
          <cell r="V2022" t="str">
            <v>39286Scratch 2 000</v>
          </cell>
          <cell r="W2022" t="str">
            <v>2007Compagnie Internationale de Negoce</v>
          </cell>
          <cell r="X2022" t="str">
            <v>2007Compagnie Internationale de NegoceScratch 2 000</v>
          </cell>
        </row>
        <row r="2023">
          <cell r="I2023">
            <v>2007</v>
          </cell>
          <cell r="J2023" t="str">
            <v>Compagnie Internationale de NegoceScratch 1 000</v>
          </cell>
          <cell r="L2023">
            <v>0</v>
          </cell>
          <cell r="M2023" t="str">
            <v>Compagnie Internationale de Negoce</v>
          </cell>
          <cell r="N2023" t="str">
            <v>Compagnie Internationale de NegoceScratch 1 000</v>
          </cell>
          <cell r="O2023" t="str">
            <v>Compagnie Internationale de Negoce</v>
          </cell>
          <cell r="P2023" t="str">
            <v>Scratch 1 000</v>
          </cell>
          <cell r="Q2023" t="str">
            <v>72007</v>
          </cell>
          <cell r="R2023" t="str">
            <v>72007Scratch 1 000</v>
          </cell>
          <cell r="S2023" t="str">
            <v>2007Scratch 1 000</v>
          </cell>
          <cell r="T2023" t="str">
            <v>72007Compagnie Internationale de Negoce</v>
          </cell>
          <cell r="U2023" t="str">
            <v>72007Compagnie Internationale de NegoceScratch 1 000</v>
          </cell>
          <cell r="V2023" t="str">
            <v>39286Scratch 1 000</v>
          </cell>
          <cell r="W2023" t="str">
            <v>2007Compagnie Internationale de Negoce</v>
          </cell>
          <cell r="X2023" t="str">
            <v>2007Compagnie Internationale de NegoceScratch 1 000</v>
          </cell>
        </row>
        <row r="2024">
          <cell r="I2024">
            <v>2007</v>
          </cell>
          <cell r="J2024" t="str">
            <v>STS GAMBY &amp; FRERES (SOGAF) SarlScratch 20 000</v>
          </cell>
          <cell r="L2024">
            <v>1</v>
          </cell>
          <cell r="M2024" t="str">
            <v>1STS GAMBY &amp; FRERES (SOGAF) Sarl</v>
          </cell>
          <cell r="N2024" t="str">
            <v>STS GAMBY &amp; FRERES (SOGAF) SarlScratch 20 000</v>
          </cell>
          <cell r="O2024" t="str">
            <v>STS GAMBY &amp; FRERES (SOGAF) Sarl</v>
          </cell>
          <cell r="P2024" t="str">
            <v>Scratch 20 000</v>
          </cell>
          <cell r="Q2024" t="str">
            <v>72007</v>
          </cell>
          <cell r="R2024" t="str">
            <v>72007Scratch 20 000</v>
          </cell>
          <cell r="S2024" t="str">
            <v>2007Scratch 20 000</v>
          </cell>
          <cell r="T2024" t="str">
            <v>72007STS GAMBY &amp; FRERES (SOGAF) Sarl</v>
          </cell>
          <cell r="U2024" t="str">
            <v>72007STS GAMBY &amp; FRERES (SOGAF) SarlScratch 20 000</v>
          </cell>
          <cell r="V2024" t="str">
            <v>39286Scratch 20 000</v>
          </cell>
          <cell r="W2024" t="str">
            <v>2007STS GAMBY &amp; FRERES (SOGAF) Sarl</v>
          </cell>
          <cell r="X2024" t="str">
            <v>2007STS GAMBY &amp; FRERES (SOGAF) SarlScratch 20 000</v>
          </cell>
        </row>
        <row r="2025">
          <cell r="I2025">
            <v>2007</v>
          </cell>
          <cell r="J2025" t="str">
            <v>STS GAMBY &amp; FRERES (SOGAF) SarlScratch 5 000</v>
          </cell>
          <cell r="L2025">
            <v>0</v>
          </cell>
          <cell r="M2025" t="str">
            <v>STS GAMBY &amp; FRERES (SOGAF) Sarl</v>
          </cell>
          <cell r="N2025" t="str">
            <v>STS GAMBY &amp; FRERES (SOGAF) SarlScratch 5 000</v>
          </cell>
          <cell r="O2025" t="str">
            <v>STS GAMBY &amp; FRERES (SOGAF) Sarl</v>
          </cell>
          <cell r="P2025" t="str">
            <v>Scratch 5 000</v>
          </cell>
          <cell r="Q2025" t="str">
            <v>72007</v>
          </cell>
          <cell r="R2025" t="str">
            <v>72007Scratch 5 000</v>
          </cell>
          <cell r="S2025" t="str">
            <v>2007Scratch 5 000</v>
          </cell>
          <cell r="T2025" t="str">
            <v>72007STS GAMBY &amp; FRERES (SOGAF) Sarl</v>
          </cell>
          <cell r="U2025" t="str">
            <v>72007STS GAMBY &amp; FRERES (SOGAF) SarlScratch 5 000</v>
          </cell>
          <cell r="V2025" t="str">
            <v>39286Scratch 5 000</v>
          </cell>
          <cell r="W2025" t="str">
            <v>2007STS GAMBY &amp; FRERES (SOGAF) Sarl</v>
          </cell>
          <cell r="X2025" t="str">
            <v>2007STS GAMBY &amp; FRERES (SOGAF) SarlScratch 5 000</v>
          </cell>
        </row>
        <row r="2026">
          <cell r="I2026">
            <v>2007</v>
          </cell>
          <cell r="J2026" t="str">
            <v>STS GAMBY &amp; FRERES (SOGAF) SarlScratch 2 000</v>
          </cell>
          <cell r="L2026">
            <v>0</v>
          </cell>
          <cell r="M2026" t="str">
            <v>STS GAMBY &amp; FRERES (SOGAF) Sarl</v>
          </cell>
          <cell r="N2026" t="str">
            <v>STS GAMBY &amp; FRERES (SOGAF) SarlScratch 2 000</v>
          </cell>
          <cell r="O2026" t="str">
            <v>STS GAMBY &amp; FRERES (SOGAF) Sarl</v>
          </cell>
          <cell r="P2026" t="str">
            <v>Scratch 2 000</v>
          </cell>
          <cell r="Q2026" t="str">
            <v>72007</v>
          </cell>
          <cell r="R2026" t="str">
            <v>72007Scratch 2 000</v>
          </cell>
          <cell r="S2026" t="str">
            <v>2007Scratch 2 000</v>
          </cell>
          <cell r="T2026" t="str">
            <v>72007STS GAMBY &amp; FRERES (SOGAF) Sarl</v>
          </cell>
          <cell r="U2026" t="str">
            <v>72007STS GAMBY &amp; FRERES (SOGAF) SarlScratch 2 000</v>
          </cell>
          <cell r="V2026" t="str">
            <v>39286Scratch 2 000</v>
          </cell>
          <cell r="W2026" t="str">
            <v>2007STS GAMBY &amp; FRERES (SOGAF) Sarl</v>
          </cell>
          <cell r="X2026" t="str">
            <v>2007STS GAMBY &amp; FRERES (SOGAF) SarlScratch 2 000</v>
          </cell>
        </row>
        <row r="2027">
          <cell r="I2027">
            <v>2007</v>
          </cell>
          <cell r="J2027" t="str">
            <v>STS GAMBY &amp; FRERES (SOGAF) SarlScratch 1 000</v>
          </cell>
          <cell r="L2027">
            <v>0</v>
          </cell>
          <cell r="M2027" t="str">
            <v>STS GAMBY &amp; FRERES (SOGAF) Sarl</v>
          </cell>
          <cell r="N2027" t="str">
            <v>STS GAMBY &amp; FRERES (SOGAF) SarlScratch 1 000</v>
          </cell>
          <cell r="O2027" t="str">
            <v>STS GAMBY &amp; FRERES (SOGAF) Sarl</v>
          </cell>
          <cell r="P2027" t="str">
            <v>Scratch 1 000</v>
          </cell>
          <cell r="Q2027" t="str">
            <v>72007</v>
          </cell>
          <cell r="R2027" t="str">
            <v>72007Scratch 1 000</v>
          </cell>
          <cell r="S2027" t="str">
            <v>2007Scratch 1 000</v>
          </cell>
          <cell r="T2027" t="str">
            <v>72007STS GAMBY &amp; FRERES (SOGAF) Sarl</v>
          </cell>
          <cell r="U2027" t="str">
            <v>72007STS GAMBY &amp; FRERES (SOGAF) SarlScratch 1 000</v>
          </cell>
          <cell r="V2027" t="str">
            <v>39286Scratch 1 000</v>
          </cell>
          <cell r="W2027" t="str">
            <v>2007STS GAMBY &amp; FRERES (SOGAF) Sarl</v>
          </cell>
          <cell r="X2027" t="str">
            <v>2007STS GAMBY &amp; FRERES (SOGAF) SarlScratch 1 000</v>
          </cell>
        </row>
        <row r="2028">
          <cell r="I2028">
            <v>2007</v>
          </cell>
          <cell r="J2028" t="str">
            <v>ANKA SERVICESScratch 20 000</v>
          </cell>
          <cell r="L2028">
            <v>1</v>
          </cell>
          <cell r="M2028" t="str">
            <v>1ANKA SERVICES</v>
          </cell>
          <cell r="N2028" t="str">
            <v>ANKA SERVICESScratch 20 000</v>
          </cell>
          <cell r="O2028" t="str">
            <v>ANKA SERVICES</v>
          </cell>
          <cell r="P2028" t="str">
            <v>Scratch 20 000</v>
          </cell>
          <cell r="Q2028" t="str">
            <v>72007</v>
          </cell>
          <cell r="R2028" t="str">
            <v>72007Scratch 20 000</v>
          </cell>
          <cell r="S2028" t="str">
            <v>2007Scratch 20 000</v>
          </cell>
          <cell r="T2028" t="str">
            <v>72007ANKA SERVICES</v>
          </cell>
          <cell r="U2028" t="str">
            <v>72007ANKA SERVICESScratch 20 000</v>
          </cell>
          <cell r="V2028" t="str">
            <v>39286Scratch 20 000</v>
          </cell>
          <cell r="W2028" t="str">
            <v>2007ANKA SERVICES</v>
          </cell>
          <cell r="X2028" t="str">
            <v>2007ANKA SERVICESScratch 20 000</v>
          </cell>
        </row>
        <row r="2029">
          <cell r="I2029">
            <v>2007</v>
          </cell>
          <cell r="J2029" t="str">
            <v>ANKA SERVICESScratch 5 000</v>
          </cell>
          <cell r="L2029">
            <v>0</v>
          </cell>
          <cell r="M2029" t="str">
            <v>ANKA SERVICES</v>
          </cell>
          <cell r="N2029" t="str">
            <v>ANKA SERVICESScratch 5 000</v>
          </cell>
          <cell r="O2029" t="str">
            <v>ANKA SERVICES</v>
          </cell>
          <cell r="P2029" t="str">
            <v>Scratch 5 000</v>
          </cell>
          <cell r="Q2029" t="str">
            <v>72007</v>
          </cell>
          <cell r="R2029" t="str">
            <v>72007Scratch 5 000</v>
          </cell>
          <cell r="S2029" t="str">
            <v>2007Scratch 5 000</v>
          </cell>
          <cell r="T2029" t="str">
            <v>72007ANKA SERVICES</v>
          </cell>
          <cell r="U2029" t="str">
            <v>72007ANKA SERVICESScratch 5 000</v>
          </cell>
          <cell r="V2029" t="str">
            <v>39286Scratch 5 000</v>
          </cell>
          <cell r="W2029" t="str">
            <v>2007ANKA SERVICES</v>
          </cell>
          <cell r="X2029" t="str">
            <v>2007ANKA SERVICESScratch 5 000</v>
          </cell>
        </row>
        <row r="2030">
          <cell r="I2030">
            <v>2007</v>
          </cell>
          <cell r="J2030" t="str">
            <v>ANKA SERVICESScratch 2 000</v>
          </cell>
          <cell r="L2030">
            <v>0</v>
          </cell>
          <cell r="M2030" t="str">
            <v>ANKA SERVICES</v>
          </cell>
          <cell r="N2030" t="str">
            <v>ANKA SERVICESScratch 2 000</v>
          </cell>
          <cell r="O2030" t="str">
            <v>ANKA SERVICES</v>
          </cell>
          <cell r="P2030" t="str">
            <v>Scratch 2 000</v>
          </cell>
          <cell r="Q2030" t="str">
            <v>72007</v>
          </cell>
          <cell r="R2030" t="str">
            <v>72007Scratch 2 000</v>
          </cell>
          <cell r="S2030" t="str">
            <v>2007Scratch 2 000</v>
          </cell>
          <cell r="T2030" t="str">
            <v>72007ANKA SERVICES</v>
          </cell>
          <cell r="U2030" t="str">
            <v>72007ANKA SERVICESScratch 2 000</v>
          </cell>
          <cell r="V2030" t="str">
            <v>39286Scratch 2 000</v>
          </cell>
          <cell r="W2030" t="str">
            <v>2007ANKA SERVICES</v>
          </cell>
          <cell r="X2030" t="str">
            <v>2007ANKA SERVICESScratch 2 000</v>
          </cell>
        </row>
        <row r="2031">
          <cell r="I2031">
            <v>2007</v>
          </cell>
          <cell r="J2031" t="str">
            <v>ANKA SERVICESScratch 1 000</v>
          </cell>
          <cell r="L2031">
            <v>0</v>
          </cell>
          <cell r="M2031" t="str">
            <v>ANKA SERVICES</v>
          </cell>
          <cell r="N2031" t="str">
            <v>ANKA SERVICESScratch 1 000</v>
          </cell>
          <cell r="O2031" t="str">
            <v>ANKA SERVICES</v>
          </cell>
          <cell r="P2031" t="str">
            <v>Scratch 1 000</v>
          </cell>
          <cell r="Q2031" t="str">
            <v>72007</v>
          </cell>
          <cell r="R2031" t="str">
            <v>72007Scratch 1 000</v>
          </cell>
          <cell r="S2031" t="str">
            <v>2007Scratch 1 000</v>
          </cell>
          <cell r="T2031" t="str">
            <v>72007ANKA SERVICES</v>
          </cell>
          <cell r="U2031" t="str">
            <v>72007ANKA SERVICESScratch 1 000</v>
          </cell>
          <cell r="V2031" t="str">
            <v>39286Scratch 1 000</v>
          </cell>
          <cell r="W2031" t="str">
            <v>2007ANKA SERVICES</v>
          </cell>
          <cell r="X2031" t="str">
            <v>2007ANKA SERVICESScratch 1 000</v>
          </cell>
        </row>
        <row r="2032">
          <cell r="I2032">
            <v>2007</v>
          </cell>
          <cell r="J2032" t="str">
            <v>Ets Mamadou GAMBYScratch 5 000</v>
          </cell>
          <cell r="L2032">
            <v>1</v>
          </cell>
          <cell r="M2032" t="str">
            <v>1Ets Mamadou GAMBY</v>
          </cell>
          <cell r="N2032" t="str">
            <v>Ets Mamadou GAMBYScratch 5 000</v>
          </cell>
          <cell r="O2032" t="str">
            <v>Ets Mamadou GAMBY</v>
          </cell>
          <cell r="P2032" t="str">
            <v>Scratch 5 000</v>
          </cell>
          <cell r="Q2032" t="str">
            <v>72007</v>
          </cell>
          <cell r="R2032" t="str">
            <v>72007Scratch 5 000</v>
          </cell>
          <cell r="S2032" t="str">
            <v>2007Scratch 5 000</v>
          </cell>
          <cell r="T2032" t="str">
            <v>72007Ets Mamadou GAMBY</v>
          </cell>
          <cell r="U2032" t="str">
            <v>72007Ets Mamadou GAMBYScratch 5 000</v>
          </cell>
          <cell r="V2032" t="str">
            <v>39286Scratch 5 000</v>
          </cell>
          <cell r="W2032" t="str">
            <v>2007Ets Mamadou GAMBY</v>
          </cell>
          <cell r="X2032" t="str">
            <v>2007Ets Mamadou GAMBYScratch 5 000</v>
          </cell>
        </row>
        <row r="2033">
          <cell r="I2033">
            <v>2007</v>
          </cell>
          <cell r="J2033" t="str">
            <v>Ets Mamadou GAMBYScratch 2 000</v>
          </cell>
          <cell r="L2033">
            <v>0</v>
          </cell>
          <cell r="M2033" t="str">
            <v>Ets Mamadou GAMBY</v>
          </cell>
          <cell r="N2033" t="str">
            <v>Ets Mamadou GAMBYScratch 2 000</v>
          </cell>
          <cell r="O2033" t="str">
            <v>Ets Mamadou GAMBY</v>
          </cell>
          <cell r="P2033" t="str">
            <v>Scratch 2 000</v>
          </cell>
          <cell r="Q2033" t="str">
            <v>72007</v>
          </cell>
          <cell r="R2033" t="str">
            <v>72007Scratch 2 000</v>
          </cell>
          <cell r="S2033" t="str">
            <v>2007Scratch 2 000</v>
          </cell>
          <cell r="T2033" t="str">
            <v>72007Ets Mamadou GAMBY</v>
          </cell>
          <cell r="U2033" t="str">
            <v>72007Ets Mamadou GAMBYScratch 2 000</v>
          </cell>
          <cell r="V2033" t="str">
            <v>39286Scratch 2 000</v>
          </cell>
          <cell r="W2033" t="str">
            <v>2007Ets Mamadou GAMBY</v>
          </cell>
          <cell r="X2033" t="str">
            <v>2007Ets Mamadou GAMBYScratch 2 000</v>
          </cell>
        </row>
        <row r="2034">
          <cell r="I2034">
            <v>2007</v>
          </cell>
          <cell r="J2034" t="str">
            <v>Ets Mamadou GAMBYScratch 1 000</v>
          </cell>
          <cell r="L2034">
            <v>0</v>
          </cell>
          <cell r="M2034" t="str">
            <v>Ets Mamadou GAMBY</v>
          </cell>
          <cell r="N2034" t="str">
            <v>Ets Mamadou GAMBYScratch 1 000</v>
          </cell>
          <cell r="O2034" t="str">
            <v>Ets Mamadou GAMBY</v>
          </cell>
          <cell r="P2034" t="str">
            <v>Scratch 1 000</v>
          </cell>
          <cell r="Q2034" t="str">
            <v>72007</v>
          </cell>
          <cell r="R2034" t="str">
            <v>72007Scratch 1 000</v>
          </cell>
          <cell r="S2034" t="str">
            <v>2007Scratch 1 000</v>
          </cell>
          <cell r="T2034" t="str">
            <v>72007Ets Mamadou GAMBY</v>
          </cell>
          <cell r="U2034" t="str">
            <v>72007Ets Mamadou GAMBYScratch 1 000</v>
          </cell>
          <cell r="V2034" t="str">
            <v>39286Scratch 1 000</v>
          </cell>
          <cell r="W2034" t="str">
            <v>2007Ets Mamadou GAMBY</v>
          </cell>
          <cell r="X2034" t="str">
            <v>2007Ets Mamadou GAMBYScratch 1 000</v>
          </cell>
        </row>
        <row r="2035">
          <cell r="I2035">
            <v>2007</v>
          </cell>
          <cell r="J2035" t="str">
            <v>GEMATELScratch 20 000</v>
          </cell>
          <cell r="L2035">
            <v>1</v>
          </cell>
          <cell r="M2035" t="str">
            <v>1GEMATEL</v>
          </cell>
          <cell r="N2035" t="str">
            <v>GEMATELScratch 20 000</v>
          </cell>
          <cell r="O2035" t="str">
            <v>GEMATEL</v>
          </cell>
          <cell r="P2035" t="str">
            <v>Scratch 20 000</v>
          </cell>
          <cell r="Q2035" t="str">
            <v>72007</v>
          </cell>
          <cell r="R2035" t="str">
            <v>72007Scratch 20 000</v>
          </cell>
          <cell r="S2035" t="str">
            <v>2007Scratch 20 000</v>
          </cell>
          <cell r="T2035" t="str">
            <v>72007GEMATEL</v>
          </cell>
          <cell r="U2035" t="str">
            <v>72007GEMATELScratch 20 000</v>
          </cell>
          <cell r="V2035" t="str">
            <v>39286Scratch 20 000</v>
          </cell>
          <cell r="W2035" t="str">
            <v>2007GEMATEL</v>
          </cell>
          <cell r="X2035" t="str">
            <v>2007GEMATELScratch 20 000</v>
          </cell>
        </row>
        <row r="2036">
          <cell r="I2036">
            <v>2007</v>
          </cell>
          <cell r="J2036" t="str">
            <v>GEMATELScratch 10 000</v>
          </cell>
          <cell r="L2036">
            <v>0</v>
          </cell>
          <cell r="M2036" t="str">
            <v>GEMATEL</v>
          </cell>
          <cell r="N2036" t="str">
            <v>GEMATELScratch 10 000</v>
          </cell>
          <cell r="O2036" t="str">
            <v>GEMATEL</v>
          </cell>
          <cell r="P2036" t="str">
            <v>Scratch 10 000</v>
          </cell>
          <cell r="Q2036" t="str">
            <v>72007</v>
          </cell>
          <cell r="R2036" t="str">
            <v>72007Scratch 10 000</v>
          </cell>
          <cell r="S2036" t="str">
            <v>2007Scratch 10 000</v>
          </cell>
          <cell r="T2036" t="str">
            <v>72007GEMATEL</v>
          </cell>
          <cell r="U2036" t="str">
            <v>72007GEMATELScratch 10 000</v>
          </cell>
          <cell r="V2036" t="str">
            <v>39286Scratch 10 000</v>
          </cell>
          <cell r="W2036" t="str">
            <v>2007GEMATEL</v>
          </cell>
          <cell r="X2036" t="str">
            <v>2007GEMATELScratch 10 000</v>
          </cell>
        </row>
        <row r="2037">
          <cell r="I2037">
            <v>2007</v>
          </cell>
          <cell r="J2037" t="str">
            <v>GEMATELScratch 5 000</v>
          </cell>
          <cell r="L2037">
            <v>0</v>
          </cell>
          <cell r="M2037" t="str">
            <v>GEMATEL</v>
          </cell>
          <cell r="N2037" t="str">
            <v>GEMATELScratch 5 000</v>
          </cell>
          <cell r="O2037" t="str">
            <v>GEMATEL</v>
          </cell>
          <cell r="P2037" t="str">
            <v>Scratch 5 000</v>
          </cell>
          <cell r="Q2037" t="str">
            <v>72007</v>
          </cell>
          <cell r="R2037" t="str">
            <v>72007Scratch 5 000</v>
          </cell>
          <cell r="S2037" t="str">
            <v>2007Scratch 5 000</v>
          </cell>
          <cell r="T2037" t="str">
            <v>72007GEMATEL</v>
          </cell>
          <cell r="U2037" t="str">
            <v>72007GEMATELScratch 5 000</v>
          </cell>
          <cell r="V2037" t="str">
            <v>39286Scratch 5 000</v>
          </cell>
          <cell r="W2037" t="str">
            <v>2007GEMATEL</v>
          </cell>
          <cell r="X2037" t="str">
            <v>2007GEMATELScratch 5 000</v>
          </cell>
        </row>
        <row r="2038">
          <cell r="I2038">
            <v>2007</v>
          </cell>
          <cell r="J2038" t="str">
            <v>GEMATELScratch 2 000</v>
          </cell>
          <cell r="L2038">
            <v>0</v>
          </cell>
          <cell r="M2038" t="str">
            <v>GEMATEL</v>
          </cell>
          <cell r="N2038" t="str">
            <v>GEMATELScratch 2 000</v>
          </cell>
          <cell r="O2038" t="str">
            <v>GEMATEL</v>
          </cell>
          <cell r="P2038" t="str">
            <v>Scratch 2 000</v>
          </cell>
          <cell r="Q2038" t="str">
            <v>72007</v>
          </cell>
          <cell r="R2038" t="str">
            <v>72007Scratch 2 000</v>
          </cell>
          <cell r="S2038" t="str">
            <v>2007Scratch 2 000</v>
          </cell>
          <cell r="T2038" t="str">
            <v>72007GEMATEL</v>
          </cell>
          <cell r="U2038" t="str">
            <v>72007GEMATELScratch 2 000</v>
          </cell>
          <cell r="V2038" t="str">
            <v>39286Scratch 2 000</v>
          </cell>
          <cell r="W2038" t="str">
            <v>2007GEMATEL</v>
          </cell>
          <cell r="X2038" t="str">
            <v>2007GEMATELScratch 2 000</v>
          </cell>
        </row>
        <row r="2039">
          <cell r="I2039">
            <v>2007</v>
          </cell>
          <cell r="J2039" t="str">
            <v>GEMATELScratch 1 000</v>
          </cell>
          <cell r="L2039">
            <v>0</v>
          </cell>
          <cell r="M2039" t="str">
            <v>GEMATEL</v>
          </cell>
          <cell r="N2039" t="str">
            <v>GEMATELScratch 1 000</v>
          </cell>
          <cell r="O2039" t="str">
            <v>GEMATEL</v>
          </cell>
          <cell r="P2039" t="str">
            <v>Scratch 1 000</v>
          </cell>
          <cell r="Q2039" t="str">
            <v>72007</v>
          </cell>
          <cell r="R2039" t="str">
            <v>72007Scratch 1 000</v>
          </cell>
          <cell r="S2039" t="str">
            <v>2007Scratch 1 000</v>
          </cell>
          <cell r="T2039" t="str">
            <v>72007GEMATEL</v>
          </cell>
          <cell r="U2039" t="str">
            <v>72007GEMATELScratch 1 000</v>
          </cell>
          <cell r="V2039" t="str">
            <v>39286Scratch 1 000</v>
          </cell>
          <cell r="W2039" t="str">
            <v>2007GEMATEL</v>
          </cell>
          <cell r="X2039" t="str">
            <v>2007GEMATELScratch 1 000</v>
          </cell>
        </row>
        <row r="2040">
          <cell r="I2040">
            <v>2007</v>
          </cell>
          <cell r="J2040" t="str">
            <v>MALI COM SarlScratch 5 000</v>
          </cell>
          <cell r="L2040">
            <v>1</v>
          </cell>
          <cell r="M2040" t="str">
            <v>1MALI COM Sarl</v>
          </cell>
          <cell r="N2040" t="str">
            <v>MALI COM SarlScratch 5 000</v>
          </cell>
          <cell r="O2040" t="str">
            <v>MALI COM Sarl</v>
          </cell>
          <cell r="P2040" t="str">
            <v>Scratch 5 000</v>
          </cell>
          <cell r="Q2040" t="str">
            <v>72007</v>
          </cell>
          <cell r="R2040" t="str">
            <v>72007Scratch 5 000</v>
          </cell>
          <cell r="S2040" t="str">
            <v>2007Scratch 5 000</v>
          </cell>
          <cell r="T2040" t="str">
            <v>72007MALI COM Sarl</v>
          </cell>
          <cell r="U2040" t="str">
            <v>72007MALI COM SarlScratch 5 000</v>
          </cell>
          <cell r="V2040" t="str">
            <v>39287Scratch 5 000</v>
          </cell>
          <cell r="W2040" t="str">
            <v>2007MALI COM Sarl</v>
          </cell>
          <cell r="X2040" t="str">
            <v>2007MALI COM SarlScratch 5 000</v>
          </cell>
        </row>
        <row r="2041">
          <cell r="I2041">
            <v>2007</v>
          </cell>
          <cell r="J2041" t="str">
            <v>MALI COM SarlScratch 2 000</v>
          </cell>
          <cell r="L2041">
            <v>0</v>
          </cell>
          <cell r="M2041" t="str">
            <v>MALI COM Sarl</v>
          </cell>
          <cell r="N2041" t="str">
            <v>MALI COM SarlScratch 2 000</v>
          </cell>
          <cell r="O2041" t="str">
            <v>MALI COM Sarl</v>
          </cell>
          <cell r="P2041" t="str">
            <v>Scratch 2 000</v>
          </cell>
          <cell r="Q2041" t="str">
            <v>72007</v>
          </cell>
          <cell r="R2041" t="str">
            <v>72007Scratch 2 000</v>
          </cell>
          <cell r="S2041" t="str">
            <v>2007Scratch 2 000</v>
          </cell>
          <cell r="T2041" t="str">
            <v>72007MALI COM Sarl</v>
          </cell>
          <cell r="U2041" t="str">
            <v>72007MALI COM SarlScratch 2 000</v>
          </cell>
          <cell r="V2041" t="str">
            <v>39287Scratch 2 000</v>
          </cell>
          <cell r="W2041" t="str">
            <v>2007MALI COM Sarl</v>
          </cell>
          <cell r="X2041" t="str">
            <v>2007MALI COM SarlScratch 2 000</v>
          </cell>
        </row>
        <row r="2042">
          <cell r="I2042">
            <v>2007</v>
          </cell>
          <cell r="J2042" t="str">
            <v>MALI COM SarlScratch 1 000</v>
          </cell>
          <cell r="L2042">
            <v>0</v>
          </cell>
          <cell r="M2042" t="str">
            <v>MALI COM Sarl</v>
          </cell>
          <cell r="N2042" t="str">
            <v>MALI COM SarlScratch 1 000</v>
          </cell>
          <cell r="O2042" t="str">
            <v>MALI COM Sarl</v>
          </cell>
          <cell r="P2042" t="str">
            <v>Scratch 1 000</v>
          </cell>
          <cell r="Q2042" t="str">
            <v>72007</v>
          </cell>
          <cell r="R2042" t="str">
            <v>72007Scratch 1 000</v>
          </cell>
          <cell r="S2042" t="str">
            <v>2007Scratch 1 000</v>
          </cell>
          <cell r="T2042" t="str">
            <v>72007MALI COM Sarl</v>
          </cell>
          <cell r="U2042" t="str">
            <v>72007MALI COM SarlScratch 1 000</v>
          </cell>
          <cell r="V2042" t="str">
            <v>39287Scratch 1 000</v>
          </cell>
          <cell r="W2042" t="str">
            <v>2007MALI COM Sarl</v>
          </cell>
          <cell r="X2042" t="str">
            <v>2007MALI COM SarlScratch 1 000</v>
          </cell>
        </row>
        <row r="2043">
          <cell r="I2043">
            <v>2007</v>
          </cell>
          <cell r="J2043" t="str">
            <v>STS GAMBY &amp; FRERES (SOGAF) SarlScratch 5 000</v>
          </cell>
          <cell r="L2043">
            <v>1</v>
          </cell>
          <cell r="M2043" t="str">
            <v>1STS GAMBY &amp; FRERES (SOGAF) Sarl</v>
          </cell>
          <cell r="N2043" t="str">
            <v>STS GAMBY &amp; FRERES (SOGAF) SarlScratch 5 000</v>
          </cell>
          <cell r="O2043" t="str">
            <v>STS GAMBY &amp; FRERES (SOGAF) Sarl</v>
          </cell>
          <cell r="P2043" t="str">
            <v>Scratch 5 000</v>
          </cell>
          <cell r="Q2043" t="str">
            <v>72007</v>
          </cell>
          <cell r="R2043" t="str">
            <v>72007Scratch 5 000</v>
          </cell>
          <cell r="S2043" t="str">
            <v>2007Scratch 5 000</v>
          </cell>
          <cell r="T2043" t="str">
            <v>72007STS GAMBY &amp; FRERES (SOGAF) Sarl</v>
          </cell>
          <cell r="U2043" t="str">
            <v>72007STS GAMBY &amp; FRERES (SOGAF) SarlScratch 5 000</v>
          </cell>
          <cell r="V2043" t="str">
            <v>39287Scratch 5 000</v>
          </cell>
          <cell r="W2043" t="str">
            <v>2007STS GAMBY &amp; FRERES (SOGAF) Sarl</v>
          </cell>
          <cell r="X2043" t="str">
            <v>2007STS GAMBY &amp; FRERES (SOGAF) SarlScratch 5 000</v>
          </cell>
        </row>
        <row r="2044">
          <cell r="I2044">
            <v>2007</v>
          </cell>
          <cell r="J2044" t="str">
            <v>STS GAMBY &amp; FRERES (SOGAF) SarlScratch 2 000</v>
          </cell>
          <cell r="L2044">
            <v>0</v>
          </cell>
          <cell r="M2044" t="str">
            <v>STS GAMBY &amp; FRERES (SOGAF) Sarl</v>
          </cell>
          <cell r="N2044" t="str">
            <v>STS GAMBY &amp; FRERES (SOGAF) SarlScratch 2 000</v>
          </cell>
          <cell r="O2044" t="str">
            <v>STS GAMBY &amp; FRERES (SOGAF) Sarl</v>
          </cell>
          <cell r="P2044" t="str">
            <v>Scratch 2 000</v>
          </cell>
          <cell r="Q2044" t="str">
            <v>72007</v>
          </cell>
          <cell r="R2044" t="str">
            <v>72007Scratch 2 000</v>
          </cell>
          <cell r="S2044" t="str">
            <v>2007Scratch 2 000</v>
          </cell>
          <cell r="T2044" t="str">
            <v>72007STS GAMBY &amp; FRERES (SOGAF) Sarl</v>
          </cell>
          <cell r="U2044" t="str">
            <v>72007STS GAMBY &amp; FRERES (SOGAF) SarlScratch 2 000</v>
          </cell>
          <cell r="V2044" t="str">
            <v>39287Scratch 2 000</v>
          </cell>
          <cell r="W2044" t="str">
            <v>2007STS GAMBY &amp; FRERES (SOGAF) Sarl</v>
          </cell>
          <cell r="X2044" t="str">
            <v>2007STS GAMBY &amp; FRERES (SOGAF) SarlScratch 2 000</v>
          </cell>
        </row>
        <row r="2045">
          <cell r="I2045">
            <v>2007</v>
          </cell>
          <cell r="J2045" t="str">
            <v>STS GAMBY &amp; FRERES (SOGAF) SarlScratch 1 000</v>
          </cell>
          <cell r="L2045">
            <v>0</v>
          </cell>
          <cell r="M2045" t="str">
            <v>STS GAMBY &amp; FRERES (SOGAF) Sarl</v>
          </cell>
          <cell r="N2045" t="str">
            <v>STS GAMBY &amp; FRERES (SOGAF) SarlScratch 1 000</v>
          </cell>
          <cell r="O2045" t="str">
            <v>STS GAMBY &amp; FRERES (SOGAF) Sarl</v>
          </cell>
          <cell r="P2045" t="str">
            <v>Scratch 1 000</v>
          </cell>
          <cell r="Q2045" t="str">
            <v>72007</v>
          </cell>
          <cell r="R2045" t="str">
            <v>72007Scratch 1 000</v>
          </cell>
          <cell r="S2045" t="str">
            <v>2007Scratch 1 000</v>
          </cell>
          <cell r="T2045" t="str">
            <v>72007STS GAMBY &amp; FRERES (SOGAF) Sarl</v>
          </cell>
          <cell r="U2045" t="str">
            <v>72007STS GAMBY &amp; FRERES (SOGAF) SarlScratch 1 000</v>
          </cell>
          <cell r="V2045" t="str">
            <v>39287Scratch 1 000</v>
          </cell>
          <cell r="W2045" t="str">
            <v>2007STS GAMBY &amp; FRERES (SOGAF) Sarl</v>
          </cell>
          <cell r="X2045" t="str">
            <v>2007STS GAMBY &amp; FRERES (SOGAF) SarlScratch 1 000</v>
          </cell>
        </row>
        <row r="2046">
          <cell r="I2046">
            <v>2007</v>
          </cell>
          <cell r="J2046" t="str">
            <v>ANKA SERVICESScratch 20 000</v>
          </cell>
          <cell r="L2046">
            <v>1</v>
          </cell>
          <cell r="M2046" t="str">
            <v>1ANKA SERVICES</v>
          </cell>
          <cell r="N2046" t="str">
            <v>ANKA SERVICESScratch 20 000</v>
          </cell>
          <cell r="O2046" t="str">
            <v>ANKA SERVICES</v>
          </cell>
          <cell r="P2046" t="str">
            <v>Scratch 20 000</v>
          </cell>
          <cell r="Q2046" t="str">
            <v>72007</v>
          </cell>
          <cell r="R2046" t="str">
            <v>72007Scratch 20 000</v>
          </cell>
          <cell r="S2046" t="str">
            <v>2007Scratch 20 000</v>
          </cell>
          <cell r="T2046" t="str">
            <v>72007ANKA SERVICES</v>
          </cell>
          <cell r="U2046" t="str">
            <v>72007ANKA SERVICESScratch 20 000</v>
          </cell>
          <cell r="V2046" t="str">
            <v>39287Scratch 20 000</v>
          </cell>
          <cell r="W2046" t="str">
            <v>2007ANKA SERVICES</v>
          </cell>
          <cell r="X2046" t="str">
            <v>2007ANKA SERVICESScratch 20 000</v>
          </cell>
        </row>
        <row r="2047">
          <cell r="I2047">
            <v>2007</v>
          </cell>
          <cell r="J2047" t="str">
            <v>ANKA SERVICESScratch 10 000</v>
          </cell>
          <cell r="L2047">
            <v>0</v>
          </cell>
          <cell r="M2047" t="str">
            <v>ANKA SERVICES</v>
          </cell>
          <cell r="N2047" t="str">
            <v>ANKA SERVICESScratch 10 000</v>
          </cell>
          <cell r="O2047" t="str">
            <v>ANKA SERVICES</v>
          </cell>
          <cell r="P2047" t="str">
            <v>Scratch 10 000</v>
          </cell>
          <cell r="Q2047" t="str">
            <v>72007</v>
          </cell>
          <cell r="R2047" t="str">
            <v>72007Scratch 10 000</v>
          </cell>
          <cell r="S2047" t="str">
            <v>2007Scratch 10 000</v>
          </cell>
          <cell r="T2047" t="str">
            <v>72007ANKA SERVICES</v>
          </cell>
          <cell r="U2047" t="str">
            <v>72007ANKA SERVICESScratch 10 000</v>
          </cell>
          <cell r="V2047" t="str">
            <v>39287Scratch 10 000</v>
          </cell>
          <cell r="W2047" t="str">
            <v>2007ANKA SERVICES</v>
          </cell>
          <cell r="X2047" t="str">
            <v>2007ANKA SERVICESScratch 10 000</v>
          </cell>
        </row>
        <row r="2048">
          <cell r="I2048">
            <v>2007</v>
          </cell>
          <cell r="J2048" t="str">
            <v>ANKA SERVICESScratch 5 000</v>
          </cell>
          <cell r="L2048">
            <v>0</v>
          </cell>
          <cell r="M2048" t="str">
            <v>ANKA SERVICES</v>
          </cell>
          <cell r="N2048" t="str">
            <v>ANKA SERVICESScratch 5 000</v>
          </cell>
          <cell r="O2048" t="str">
            <v>ANKA SERVICES</v>
          </cell>
          <cell r="P2048" t="str">
            <v>Scratch 5 000</v>
          </cell>
          <cell r="Q2048" t="str">
            <v>72007</v>
          </cell>
          <cell r="R2048" t="str">
            <v>72007Scratch 5 000</v>
          </cell>
          <cell r="S2048" t="str">
            <v>2007Scratch 5 000</v>
          </cell>
          <cell r="T2048" t="str">
            <v>72007ANKA SERVICES</v>
          </cell>
          <cell r="U2048" t="str">
            <v>72007ANKA SERVICESScratch 5 000</v>
          </cell>
          <cell r="V2048" t="str">
            <v>39287Scratch 5 000</v>
          </cell>
          <cell r="W2048" t="str">
            <v>2007ANKA SERVICES</v>
          </cell>
          <cell r="X2048" t="str">
            <v>2007ANKA SERVICESScratch 5 000</v>
          </cell>
        </row>
        <row r="2049">
          <cell r="I2049">
            <v>2007</v>
          </cell>
          <cell r="J2049" t="str">
            <v>ANKA SERVICESScratch 2 000</v>
          </cell>
          <cell r="L2049">
            <v>0</v>
          </cell>
          <cell r="M2049" t="str">
            <v>ANKA SERVICES</v>
          </cell>
          <cell r="N2049" t="str">
            <v>ANKA SERVICESScratch 2 000</v>
          </cell>
          <cell r="O2049" t="str">
            <v>ANKA SERVICES</v>
          </cell>
          <cell r="P2049" t="str">
            <v>Scratch 2 000</v>
          </cell>
          <cell r="Q2049" t="str">
            <v>72007</v>
          </cell>
          <cell r="R2049" t="str">
            <v>72007Scratch 2 000</v>
          </cell>
          <cell r="S2049" t="str">
            <v>2007Scratch 2 000</v>
          </cell>
          <cell r="T2049" t="str">
            <v>72007ANKA SERVICES</v>
          </cell>
          <cell r="U2049" t="str">
            <v>72007ANKA SERVICESScratch 2 000</v>
          </cell>
          <cell r="V2049" t="str">
            <v>39287Scratch 2 000</v>
          </cell>
          <cell r="W2049" t="str">
            <v>2007ANKA SERVICES</v>
          </cell>
          <cell r="X2049" t="str">
            <v>2007ANKA SERVICESScratch 2 000</v>
          </cell>
        </row>
        <row r="2050">
          <cell r="I2050">
            <v>2007</v>
          </cell>
          <cell r="J2050" t="str">
            <v>ANKA SERVICESScratch 1 000</v>
          </cell>
          <cell r="L2050">
            <v>0</v>
          </cell>
          <cell r="M2050" t="str">
            <v>ANKA SERVICES</v>
          </cell>
          <cell r="N2050" t="str">
            <v>ANKA SERVICESScratch 1 000</v>
          </cell>
          <cell r="O2050" t="str">
            <v>ANKA SERVICES</v>
          </cell>
          <cell r="P2050" t="str">
            <v>Scratch 1 000</v>
          </cell>
          <cell r="Q2050" t="str">
            <v>72007</v>
          </cell>
          <cell r="R2050" t="str">
            <v>72007Scratch 1 000</v>
          </cell>
          <cell r="S2050" t="str">
            <v>2007Scratch 1 000</v>
          </cell>
          <cell r="T2050" t="str">
            <v>72007ANKA SERVICES</v>
          </cell>
          <cell r="U2050" t="str">
            <v>72007ANKA SERVICESScratch 1 000</v>
          </cell>
          <cell r="V2050" t="str">
            <v>39287Scratch 1 000</v>
          </cell>
          <cell r="W2050" t="str">
            <v>2007ANKA SERVICES</v>
          </cell>
          <cell r="X2050" t="str">
            <v>2007ANKA SERVICESScratch 1 000</v>
          </cell>
        </row>
        <row r="2051">
          <cell r="I2051">
            <v>2007</v>
          </cell>
          <cell r="J2051" t="str">
            <v>GEMATELScratch 5 000</v>
          </cell>
          <cell r="L2051">
            <v>1</v>
          </cell>
          <cell r="M2051" t="str">
            <v>1GEMATEL</v>
          </cell>
          <cell r="N2051" t="str">
            <v>GEMATELScratch 5 000</v>
          </cell>
          <cell r="O2051" t="str">
            <v>GEMATEL</v>
          </cell>
          <cell r="P2051" t="str">
            <v>Scratch 5 000</v>
          </cell>
          <cell r="Q2051" t="str">
            <v>72007</v>
          </cell>
          <cell r="R2051" t="str">
            <v>72007Scratch 5 000</v>
          </cell>
          <cell r="S2051" t="str">
            <v>2007Scratch 5 000</v>
          </cell>
          <cell r="T2051" t="str">
            <v>72007GEMATEL</v>
          </cell>
          <cell r="U2051" t="str">
            <v>72007GEMATELScratch 5 000</v>
          </cell>
          <cell r="V2051" t="str">
            <v>39287Scratch 5 000</v>
          </cell>
          <cell r="W2051" t="str">
            <v>2007GEMATEL</v>
          </cell>
          <cell r="X2051" t="str">
            <v>2007GEMATELScratch 5 000</v>
          </cell>
        </row>
        <row r="2052">
          <cell r="I2052">
            <v>2007</v>
          </cell>
          <cell r="J2052" t="str">
            <v>GEMATELScratch 2 000</v>
          </cell>
          <cell r="L2052">
            <v>0</v>
          </cell>
          <cell r="M2052" t="str">
            <v>GEMATEL</v>
          </cell>
          <cell r="N2052" t="str">
            <v>GEMATELScratch 2 000</v>
          </cell>
          <cell r="O2052" t="str">
            <v>GEMATEL</v>
          </cell>
          <cell r="P2052" t="str">
            <v>Scratch 2 000</v>
          </cell>
          <cell r="Q2052" t="str">
            <v>72007</v>
          </cell>
          <cell r="R2052" t="str">
            <v>72007Scratch 2 000</v>
          </cell>
          <cell r="S2052" t="str">
            <v>2007Scratch 2 000</v>
          </cell>
          <cell r="T2052" t="str">
            <v>72007GEMATEL</v>
          </cell>
          <cell r="U2052" t="str">
            <v>72007GEMATELScratch 2 000</v>
          </cell>
          <cell r="V2052" t="str">
            <v>39287Scratch 2 000</v>
          </cell>
          <cell r="W2052" t="str">
            <v>2007GEMATEL</v>
          </cell>
          <cell r="X2052" t="str">
            <v>2007GEMATELScratch 2 000</v>
          </cell>
        </row>
        <row r="2053">
          <cell r="I2053">
            <v>2007</v>
          </cell>
          <cell r="J2053" t="str">
            <v>GEMATELScratch 1 000</v>
          </cell>
          <cell r="L2053">
            <v>0</v>
          </cell>
          <cell r="M2053" t="str">
            <v>GEMATEL</v>
          </cell>
          <cell r="N2053" t="str">
            <v>GEMATELScratch 1 000</v>
          </cell>
          <cell r="O2053" t="str">
            <v>GEMATEL</v>
          </cell>
          <cell r="P2053" t="str">
            <v>Scratch 1 000</v>
          </cell>
          <cell r="Q2053" t="str">
            <v>72007</v>
          </cell>
          <cell r="R2053" t="str">
            <v>72007Scratch 1 000</v>
          </cell>
          <cell r="S2053" t="str">
            <v>2007Scratch 1 000</v>
          </cell>
          <cell r="T2053" t="str">
            <v>72007GEMATEL</v>
          </cell>
          <cell r="U2053" t="str">
            <v>72007GEMATELScratch 1 000</v>
          </cell>
          <cell r="V2053" t="str">
            <v>39287Scratch 1 000</v>
          </cell>
          <cell r="W2053" t="str">
            <v>2007GEMATEL</v>
          </cell>
          <cell r="X2053" t="str">
            <v>2007GEMATELScratch 1 000</v>
          </cell>
        </row>
        <row r="2054">
          <cell r="I2054">
            <v>2007</v>
          </cell>
          <cell r="J2054" t="str">
            <v>GEMATELScratch 20 000</v>
          </cell>
          <cell r="L2054">
            <v>1</v>
          </cell>
          <cell r="M2054" t="str">
            <v>1GEMATEL</v>
          </cell>
          <cell r="N2054" t="str">
            <v>GEMATELScratch 20 000</v>
          </cell>
          <cell r="O2054" t="str">
            <v>GEMATEL</v>
          </cell>
          <cell r="P2054" t="str">
            <v>Scratch 20 000</v>
          </cell>
          <cell r="Q2054" t="str">
            <v>72007</v>
          </cell>
          <cell r="R2054" t="str">
            <v>72007Scratch 20 000</v>
          </cell>
          <cell r="S2054" t="str">
            <v>2007Scratch 20 000</v>
          </cell>
          <cell r="T2054" t="str">
            <v>72007GEMATEL</v>
          </cell>
          <cell r="U2054" t="str">
            <v>72007GEMATELScratch 20 000</v>
          </cell>
          <cell r="V2054" t="str">
            <v>39288Scratch 20 000</v>
          </cell>
          <cell r="W2054" t="str">
            <v>2007GEMATEL</v>
          </cell>
          <cell r="X2054" t="str">
            <v>2007GEMATELScratch 20 000</v>
          </cell>
        </row>
        <row r="2055">
          <cell r="I2055">
            <v>2007</v>
          </cell>
          <cell r="J2055" t="str">
            <v>GEMATELScratch 10 000</v>
          </cell>
          <cell r="L2055">
            <v>0</v>
          </cell>
          <cell r="M2055" t="str">
            <v>GEMATEL</v>
          </cell>
          <cell r="N2055" t="str">
            <v>GEMATELScratch 10 000</v>
          </cell>
          <cell r="O2055" t="str">
            <v>GEMATEL</v>
          </cell>
          <cell r="P2055" t="str">
            <v>Scratch 10 000</v>
          </cell>
          <cell r="Q2055" t="str">
            <v>72007</v>
          </cell>
          <cell r="R2055" t="str">
            <v>72007Scratch 10 000</v>
          </cell>
          <cell r="S2055" t="str">
            <v>2007Scratch 10 000</v>
          </cell>
          <cell r="T2055" t="str">
            <v>72007GEMATEL</v>
          </cell>
          <cell r="U2055" t="str">
            <v>72007GEMATELScratch 10 000</v>
          </cell>
          <cell r="V2055" t="str">
            <v>39288Scratch 10 000</v>
          </cell>
          <cell r="W2055" t="str">
            <v>2007GEMATEL</v>
          </cell>
          <cell r="X2055" t="str">
            <v>2007GEMATELScratch 10 000</v>
          </cell>
        </row>
        <row r="2056">
          <cell r="I2056">
            <v>2007</v>
          </cell>
          <cell r="J2056" t="str">
            <v>GEMATELScratch 5 000</v>
          </cell>
          <cell r="L2056">
            <v>0</v>
          </cell>
          <cell r="M2056" t="str">
            <v>GEMATEL</v>
          </cell>
          <cell r="N2056" t="str">
            <v>GEMATELScratch 5 000</v>
          </cell>
          <cell r="O2056" t="str">
            <v>GEMATEL</v>
          </cell>
          <cell r="P2056" t="str">
            <v>Scratch 5 000</v>
          </cell>
          <cell r="Q2056" t="str">
            <v>72007</v>
          </cell>
          <cell r="R2056" t="str">
            <v>72007Scratch 5 000</v>
          </cell>
          <cell r="S2056" t="str">
            <v>2007Scratch 5 000</v>
          </cell>
          <cell r="T2056" t="str">
            <v>72007GEMATEL</v>
          </cell>
          <cell r="U2056" t="str">
            <v>72007GEMATELScratch 5 000</v>
          </cell>
          <cell r="V2056" t="str">
            <v>39288Scratch 5 000</v>
          </cell>
          <cell r="W2056" t="str">
            <v>2007GEMATEL</v>
          </cell>
          <cell r="X2056" t="str">
            <v>2007GEMATELScratch 5 000</v>
          </cell>
        </row>
        <row r="2057">
          <cell r="I2057">
            <v>2007</v>
          </cell>
          <cell r="J2057" t="str">
            <v>GEMATELScratch 2 000</v>
          </cell>
          <cell r="L2057">
            <v>0</v>
          </cell>
          <cell r="M2057" t="str">
            <v>GEMATEL</v>
          </cell>
          <cell r="N2057" t="str">
            <v>GEMATELScratch 2 000</v>
          </cell>
          <cell r="O2057" t="str">
            <v>GEMATEL</v>
          </cell>
          <cell r="P2057" t="str">
            <v>Scratch 2 000</v>
          </cell>
          <cell r="Q2057" t="str">
            <v>72007</v>
          </cell>
          <cell r="R2057" t="str">
            <v>72007Scratch 2 000</v>
          </cell>
          <cell r="S2057" t="str">
            <v>2007Scratch 2 000</v>
          </cell>
          <cell r="T2057" t="str">
            <v>72007GEMATEL</v>
          </cell>
          <cell r="U2057" t="str">
            <v>72007GEMATELScratch 2 000</v>
          </cell>
          <cell r="V2057" t="str">
            <v>39288Scratch 2 000</v>
          </cell>
          <cell r="W2057" t="str">
            <v>2007GEMATEL</v>
          </cell>
          <cell r="X2057" t="str">
            <v>2007GEMATELScratch 2 000</v>
          </cell>
        </row>
        <row r="2058">
          <cell r="I2058">
            <v>2007</v>
          </cell>
          <cell r="J2058" t="str">
            <v>GEMATELScratch 1 000</v>
          </cell>
          <cell r="L2058">
            <v>0</v>
          </cell>
          <cell r="M2058" t="str">
            <v>GEMATEL</v>
          </cell>
          <cell r="N2058" t="str">
            <v>GEMATELScratch 1 000</v>
          </cell>
          <cell r="O2058" t="str">
            <v>GEMATEL</v>
          </cell>
          <cell r="P2058" t="str">
            <v>Scratch 1 000</v>
          </cell>
          <cell r="Q2058" t="str">
            <v>72007</v>
          </cell>
          <cell r="R2058" t="str">
            <v>72007Scratch 1 000</v>
          </cell>
          <cell r="S2058" t="str">
            <v>2007Scratch 1 000</v>
          </cell>
          <cell r="T2058" t="str">
            <v>72007GEMATEL</v>
          </cell>
          <cell r="U2058" t="str">
            <v>72007GEMATELScratch 1 000</v>
          </cell>
          <cell r="V2058" t="str">
            <v>39288Scratch 1 000</v>
          </cell>
          <cell r="W2058" t="str">
            <v>2007GEMATEL</v>
          </cell>
          <cell r="X2058" t="str">
            <v>2007GEMATELScratch 1 000</v>
          </cell>
        </row>
        <row r="2059">
          <cell r="I2059">
            <v>2007</v>
          </cell>
          <cell r="J2059" t="str">
            <v>STS GAMBY &amp; FRERES (SOGAF) SarlScratch 5 000</v>
          </cell>
          <cell r="L2059">
            <v>1</v>
          </cell>
          <cell r="M2059" t="str">
            <v>1STS GAMBY &amp; FRERES (SOGAF) Sarl</v>
          </cell>
          <cell r="N2059" t="str">
            <v>STS GAMBY &amp; FRERES (SOGAF) SarlScratch 5 000</v>
          </cell>
          <cell r="O2059" t="str">
            <v>STS GAMBY &amp; FRERES (SOGAF) Sarl</v>
          </cell>
          <cell r="P2059" t="str">
            <v>Scratch 5 000</v>
          </cell>
          <cell r="Q2059" t="str">
            <v>72007</v>
          </cell>
          <cell r="R2059" t="str">
            <v>72007Scratch 5 000</v>
          </cell>
          <cell r="S2059" t="str">
            <v>2007Scratch 5 000</v>
          </cell>
          <cell r="T2059" t="str">
            <v>72007STS GAMBY &amp; FRERES (SOGAF) Sarl</v>
          </cell>
          <cell r="U2059" t="str">
            <v>72007STS GAMBY &amp; FRERES (SOGAF) SarlScratch 5 000</v>
          </cell>
          <cell r="V2059" t="str">
            <v>39288Scratch 5 000</v>
          </cell>
          <cell r="W2059" t="str">
            <v>2007STS GAMBY &amp; FRERES (SOGAF) Sarl</v>
          </cell>
          <cell r="X2059" t="str">
            <v>2007STS GAMBY &amp; FRERES (SOGAF) SarlScratch 5 000</v>
          </cell>
        </row>
        <row r="2060">
          <cell r="I2060">
            <v>2007</v>
          </cell>
          <cell r="J2060" t="str">
            <v>STS GAMBY &amp; FRERES (SOGAF) SarlScratch 2 000</v>
          </cell>
          <cell r="L2060">
            <v>0</v>
          </cell>
          <cell r="M2060" t="str">
            <v>STS GAMBY &amp; FRERES (SOGAF) Sarl</v>
          </cell>
          <cell r="N2060" t="str">
            <v>STS GAMBY &amp; FRERES (SOGAF) SarlScratch 2 000</v>
          </cell>
          <cell r="O2060" t="str">
            <v>STS GAMBY &amp; FRERES (SOGAF) Sarl</v>
          </cell>
          <cell r="P2060" t="str">
            <v>Scratch 2 000</v>
          </cell>
          <cell r="Q2060" t="str">
            <v>72007</v>
          </cell>
          <cell r="R2060" t="str">
            <v>72007Scratch 2 000</v>
          </cell>
          <cell r="S2060" t="str">
            <v>2007Scratch 2 000</v>
          </cell>
          <cell r="T2060" t="str">
            <v>72007STS GAMBY &amp; FRERES (SOGAF) Sarl</v>
          </cell>
          <cell r="U2060" t="str">
            <v>72007STS GAMBY &amp; FRERES (SOGAF) SarlScratch 2 000</v>
          </cell>
          <cell r="V2060" t="str">
            <v>39288Scratch 2 000</v>
          </cell>
          <cell r="W2060" t="str">
            <v>2007STS GAMBY &amp; FRERES (SOGAF) Sarl</v>
          </cell>
          <cell r="X2060" t="str">
            <v>2007STS GAMBY &amp; FRERES (SOGAF) SarlScratch 2 000</v>
          </cell>
        </row>
        <row r="2061">
          <cell r="I2061">
            <v>2007</v>
          </cell>
          <cell r="J2061" t="str">
            <v>STS GAMBY &amp; FRERES (SOGAF) SarlScratch 1 000</v>
          </cell>
          <cell r="L2061">
            <v>0</v>
          </cell>
          <cell r="M2061" t="str">
            <v>STS GAMBY &amp; FRERES (SOGAF) Sarl</v>
          </cell>
          <cell r="N2061" t="str">
            <v>STS GAMBY &amp; FRERES (SOGAF) SarlScratch 1 000</v>
          </cell>
          <cell r="O2061" t="str">
            <v>STS GAMBY &amp; FRERES (SOGAF) Sarl</v>
          </cell>
          <cell r="P2061" t="str">
            <v>Scratch 1 000</v>
          </cell>
          <cell r="Q2061" t="str">
            <v>72007</v>
          </cell>
          <cell r="R2061" t="str">
            <v>72007Scratch 1 000</v>
          </cell>
          <cell r="S2061" t="str">
            <v>2007Scratch 1 000</v>
          </cell>
          <cell r="T2061" t="str">
            <v>72007STS GAMBY &amp; FRERES (SOGAF) Sarl</v>
          </cell>
          <cell r="U2061" t="str">
            <v>72007STS GAMBY &amp; FRERES (SOGAF) SarlScratch 1 000</v>
          </cell>
          <cell r="V2061" t="str">
            <v>39288Scratch 1 000</v>
          </cell>
          <cell r="W2061" t="str">
            <v>2007STS GAMBY &amp; FRERES (SOGAF) Sarl</v>
          </cell>
          <cell r="X2061" t="str">
            <v>2007STS GAMBY &amp; FRERES (SOGAF) SarlScratch 1 000</v>
          </cell>
        </row>
        <row r="2062">
          <cell r="I2062">
            <v>2007</v>
          </cell>
          <cell r="J2062" t="str">
            <v>Bonneterie Nouvelle TelecomScratch 5 000</v>
          </cell>
          <cell r="L2062">
            <v>1</v>
          </cell>
          <cell r="M2062" t="str">
            <v>1Bonneterie Nouvelle Telecom</v>
          </cell>
          <cell r="N2062" t="str">
            <v>Bonneterie Nouvelle TelecomScratch 5 000</v>
          </cell>
          <cell r="O2062" t="str">
            <v>Bonneterie Nouvelle Telecom</v>
          </cell>
          <cell r="P2062" t="str">
            <v>Scratch 5 000</v>
          </cell>
          <cell r="Q2062" t="str">
            <v>72007</v>
          </cell>
          <cell r="R2062" t="str">
            <v>72007Scratch 5 000</v>
          </cell>
          <cell r="S2062" t="str">
            <v>2007Scratch 5 000</v>
          </cell>
          <cell r="T2062" t="str">
            <v>72007Bonneterie Nouvelle Telecom</v>
          </cell>
          <cell r="U2062" t="str">
            <v>72007Bonneterie Nouvelle TelecomScratch 5 000</v>
          </cell>
          <cell r="V2062" t="str">
            <v>39288Scratch 5 000</v>
          </cell>
          <cell r="W2062" t="str">
            <v>2007Bonneterie Nouvelle Telecom</v>
          </cell>
          <cell r="X2062" t="str">
            <v>2007Bonneterie Nouvelle TelecomScratch 5 000</v>
          </cell>
        </row>
        <row r="2063">
          <cell r="I2063">
            <v>2007</v>
          </cell>
          <cell r="J2063" t="str">
            <v>Bonneterie Nouvelle TelecomScratch 2 000</v>
          </cell>
          <cell r="L2063">
            <v>0</v>
          </cell>
          <cell r="M2063" t="str">
            <v>Bonneterie Nouvelle Telecom</v>
          </cell>
          <cell r="N2063" t="str">
            <v>Bonneterie Nouvelle TelecomScratch 2 000</v>
          </cell>
          <cell r="O2063" t="str">
            <v>Bonneterie Nouvelle Telecom</v>
          </cell>
          <cell r="P2063" t="str">
            <v>Scratch 2 000</v>
          </cell>
          <cell r="Q2063" t="str">
            <v>72007</v>
          </cell>
          <cell r="R2063" t="str">
            <v>72007Scratch 2 000</v>
          </cell>
          <cell r="S2063" t="str">
            <v>2007Scratch 2 000</v>
          </cell>
          <cell r="T2063" t="str">
            <v>72007Bonneterie Nouvelle Telecom</v>
          </cell>
          <cell r="U2063" t="str">
            <v>72007Bonneterie Nouvelle TelecomScratch 2 000</v>
          </cell>
          <cell r="V2063" t="str">
            <v>39288Scratch 2 000</v>
          </cell>
          <cell r="W2063" t="str">
            <v>2007Bonneterie Nouvelle Telecom</v>
          </cell>
          <cell r="X2063" t="str">
            <v>2007Bonneterie Nouvelle TelecomScratch 2 000</v>
          </cell>
        </row>
        <row r="2064">
          <cell r="I2064">
            <v>2007</v>
          </cell>
          <cell r="J2064" t="str">
            <v>Bonneterie Nouvelle TelecomScratch 1 000</v>
          </cell>
          <cell r="L2064">
            <v>0</v>
          </cell>
          <cell r="M2064" t="str">
            <v>Bonneterie Nouvelle Telecom</v>
          </cell>
          <cell r="N2064" t="str">
            <v>Bonneterie Nouvelle TelecomScratch 1 000</v>
          </cell>
          <cell r="O2064" t="str">
            <v>Bonneterie Nouvelle Telecom</v>
          </cell>
          <cell r="P2064" t="str">
            <v>Scratch 1 000</v>
          </cell>
          <cell r="Q2064" t="str">
            <v>72007</v>
          </cell>
          <cell r="R2064" t="str">
            <v>72007Scratch 1 000</v>
          </cell>
          <cell r="S2064" t="str">
            <v>2007Scratch 1 000</v>
          </cell>
          <cell r="T2064" t="str">
            <v>72007Bonneterie Nouvelle Telecom</v>
          </cell>
          <cell r="U2064" t="str">
            <v>72007Bonneterie Nouvelle TelecomScratch 1 000</v>
          </cell>
          <cell r="V2064" t="str">
            <v>39288Scratch 1 000</v>
          </cell>
          <cell r="W2064" t="str">
            <v>2007Bonneterie Nouvelle Telecom</v>
          </cell>
          <cell r="X2064" t="str">
            <v>2007Bonneterie Nouvelle TelecomScratch 1 000</v>
          </cell>
        </row>
        <row r="2065">
          <cell r="I2065">
            <v>2007</v>
          </cell>
          <cell r="J2065" t="str">
            <v>ANKA SERVICESScratch 20 000</v>
          </cell>
          <cell r="L2065">
            <v>1</v>
          </cell>
          <cell r="M2065" t="str">
            <v>1ANKA SERVICES</v>
          </cell>
          <cell r="N2065" t="str">
            <v>ANKA SERVICESScratch 20 000</v>
          </cell>
          <cell r="O2065" t="str">
            <v>ANKA SERVICES</v>
          </cell>
          <cell r="P2065" t="str">
            <v>Scratch 20 000</v>
          </cell>
          <cell r="Q2065" t="str">
            <v>72007</v>
          </cell>
          <cell r="R2065" t="str">
            <v>72007Scratch 20 000</v>
          </cell>
          <cell r="S2065" t="str">
            <v>2007Scratch 20 000</v>
          </cell>
          <cell r="T2065" t="str">
            <v>72007ANKA SERVICES</v>
          </cell>
          <cell r="U2065" t="str">
            <v>72007ANKA SERVICESScratch 20 000</v>
          </cell>
          <cell r="V2065" t="str">
            <v>39288Scratch 20 000</v>
          </cell>
          <cell r="W2065" t="str">
            <v>2007ANKA SERVICES</v>
          </cell>
          <cell r="X2065" t="str">
            <v>2007ANKA SERVICESScratch 20 000</v>
          </cell>
        </row>
        <row r="2066">
          <cell r="I2066">
            <v>2007</v>
          </cell>
          <cell r="J2066" t="str">
            <v>ANKA SERVICESScratch 5 000</v>
          </cell>
          <cell r="L2066">
            <v>0</v>
          </cell>
          <cell r="M2066" t="str">
            <v>ANKA SERVICES</v>
          </cell>
          <cell r="N2066" t="str">
            <v>ANKA SERVICESScratch 5 000</v>
          </cell>
          <cell r="O2066" t="str">
            <v>ANKA SERVICES</v>
          </cell>
          <cell r="P2066" t="str">
            <v>Scratch 5 000</v>
          </cell>
          <cell r="Q2066" t="str">
            <v>72007</v>
          </cell>
          <cell r="R2066" t="str">
            <v>72007Scratch 5 000</v>
          </cell>
          <cell r="S2066" t="str">
            <v>2007Scratch 5 000</v>
          </cell>
          <cell r="T2066" t="str">
            <v>72007ANKA SERVICES</v>
          </cell>
          <cell r="U2066" t="str">
            <v>72007ANKA SERVICESScratch 5 000</v>
          </cell>
          <cell r="V2066" t="str">
            <v>39288Scratch 5 000</v>
          </cell>
          <cell r="W2066" t="str">
            <v>2007ANKA SERVICES</v>
          </cell>
          <cell r="X2066" t="str">
            <v>2007ANKA SERVICESScratch 5 000</v>
          </cell>
        </row>
        <row r="2067">
          <cell r="I2067">
            <v>2007</v>
          </cell>
          <cell r="J2067" t="str">
            <v>ANKA SERVICESScratch 2 000</v>
          </cell>
          <cell r="L2067">
            <v>0</v>
          </cell>
          <cell r="M2067" t="str">
            <v>ANKA SERVICES</v>
          </cell>
          <cell r="N2067" t="str">
            <v>ANKA SERVICESScratch 2 000</v>
          </cell>
          <cell r="O2067" t="str">
            <v>ANKA SERVICES</v>
          </cell>
          <cell r="P2067" t="str">
            <v>Scratch 2 000</v>
          </cell>
          <cell r="Q2067" t="str">
            <v>72007</v>
          </cell>
          <cell r="R2067" t="str">
            <v>72007Scratch 2 000</v>
          </cell>
          <cell r="S2067" t="str">
            <v>2007Scratch 2 000</v>
          </cell>
          <cell r="T2067" t="str">
            <v>72007ANKA SERVICES</v>
          </cell>
          <cell r="U2067" t="str">
            <v>72007ANKA SERVICESScratch 2 000</v>
          </cell>
          <cell r="V2067" t="str">
            <v>39288Scratch 2 000</v>
          </cell>
          <cell r="W2067" t="str">
            <v>2007ANKA SERVICES</v>
          </cell>
          <cell r="X2067" t="str">
            <v>2007ANKA SERVICESScratch 2 000</v>
          </cell>
        </row>
        <row r="2068">
          <cell r="I2068">
            <v>2007</v>
          </cell>
          <cell r="J2068" t="str">
            <v>ANKA SERVICESScratch 1 000</v>
          </cell>
          <cell r="L2068">
            <v>0</v>
          </cell>
          <cell r="M2068" t="str">
            <v>ANKA SERVICES</v>
          </cell>
          <cell r="N2068" t="str">
            <v>ANKA SERVICESScratch 1 000</v>
          </cell>
          <cell r="O2068" t="str">
            <v>ANKA SERVICES</v>
          </cell>
          <cell r="P2068" t="str">
            <v>Scratch 1 000</v>
          </cell>
          <cell r="Q2068" t="str">
            <v>72007</v>
          </cell>
          <cell r="R2068" t="str">
            <v>72007Scratch 1 000</v>
          </cell>
          <cell r="S2068" t="str">
            <v>2007Scratch 1 000</v>
          </cell>
          <cell r="T2068" t="str">
            <v>72007ANKA SERVICES</v>
          </cell>
          <cell r="U2068" t="str">
            <v>72007ANKA SERVICESScratch 1 000</v>
          </cell>
          <cell r="V2068" t="str">
            <v>39288Scratch 1 000</v>
          </cell>
          <cell r="W2068" t="str">
            <v>2007ANKA SERVICES</v>
          </cell>
          <cell r="X2068" t="str">
            <v>2007ANKA SERVICESScratch 1 000</v>
          </cell>
        </row>
        <row r="2069">
          <cell r="I2069">
            <v>2007</v>
          </cell>
          <cell r="J2069" t="str">
            <v>GEMATELScratch 20 000</v>
          </cell>
          <cell r="L2069">
            <v>1</v>
          </cell>
          <cell r="M2069" t="str">
            <v>1GEMATEL</v>
          </cell>
          <cell r="N2069" t="str">
            <v>GEMATELScratch 20 000</v>
          </cell>
          <cell r="O2069" t="str">
            <v>GEMATEL</v>
          </cell>
          <cell r="P2069" t="str">
            <v>Scratch 20 000</v>
          </cell>
          <cell r="Q2069" t="str">
            <v>72007</v>
          </cell>
          <cell r="R2069" t="str">
            <v>72007Scratch 20 000</v>
          </cell>
          <cell r="S2069" t="str">
            <v>2007Scratch 20 000</v>
          </cell>
          <cell r="T2069" t="str">
            <v>72007GEMATEL</v>
          </cell>
          <cell r="U2069" t="str">
            <v>72007GEMATELScratch 20 000</v>
          </cell>
          <cell r="V2069" t="str">
            <v>39288Scratch 20 000</v>
          </cell>
          <cell r="W2069" t="str">
            <v>2007GEMATEL</v>
          </cell>
          <cell r="X2069" t="str">
            <v>2007GEMATELScratch 20 000</v>
          </cell>
        </row>
        <row r="2070">
          <cell r="I2070">
            <v>2007</v>
          </cell>
          <cell r="J2070" t="str">
            <v>GEMATELScratch 10 000</v>
          </cell>
          <cell r="L2070">
            <v>0</v>
          </cell>
          <cell r="M2070" t="str">
            <v>GEMATEL</v>
          </cell>
          <cell r="N2070" t="str">
            <v>GEMATELScratch 10 000</v>
          </cell>
          <cell r="O2070" t="str">
            <v>GEMATEL</v>
          </cell>
          <cell r="P2070" t="str">
            <v>Scratch 10 000</v>
          </cell>
          <cell r="Q2070" t="str">
            <v>72007</v>
          </cell>
          <cell r="R2070" t="str">
            <v>72007Scratch 10 000</v>
          </cell>
          <cell r="S2070" t="str">
            <v>2007Scratch 10 000</v>
          </cell>
          <cell r="T2070" t="str">
            <v>72007GEMATEL</v>
          </cell>
          <cell r="U2070" t="str">
            <v>72007GEMATELScratch 10 000</v>
          </cell>
          <cell r="V2070" t="str">
            <v>39288Scratch 10 000</v>
          </cell>
          <cell r="W2070" t="str">
            <v>2007GEMATEL</v>
          </cell>
          <cell r="X2070" t="str">
            <v>2007GEMATELScratch 10 000</v>
          </cell>
        </row>
        <row r="2071">
          <cell r="I2071">
            <v>2007</v>
          </cell>
          <cell r="J2071" t="str">
            <v>GEMATELScratch 5 000</v>
          </cell>
          <cell r="L2071">
            <v>0</v>
          </cell>
          <cell r="M2071" t="str">
            <v>GEMATEL</v>
          </cell>
          <cell r="N2071" t="str">
            <v>GEMATELScratch 5 000</v>
          </cell>
          <cell r="O2071" t="str">
            <v>GEMATEL</v>
          </cell>
          <cell r="P2071" t="str">
            <v>Scratch 5 000</v>
          </cell>
          <cell r="Q2071" t="str">
            <v>72007</v>
          </cell>
          <cell r="R2071" t="str">
            <v>72007Scratch 5 000</v>
          </cell>
          <cell r="S2071" t="str">
            <v>2007Scratch 5 000</v>
          </cell>
          <cell r="T2071" t="str">
            <v>72007GEMATEL</v>
          </cell>
          <cell r="U2071" t="str">
            <v>72007GEMATELScratch 5 000</v>
          </cell>
          <cell r="V2071" t="str">
            <v>39288Scratch 5 000</v>
          </cell>
          <cell r="W2071" t="str">
            <v>2007GEMATEL</v>
          </cell>
          <cell r="X2071" t="str">
            <v>2007GEMATELScratch 5 000</v>
          </cell>
        </row>
        <row r="2072">
          <cell r="I2072">
            <v>2007</v>
          </cell>
          <cell r="J2072" t="str">
            <v>GEMATELScratch 2 000</v>
          </cell>
          <cell r="L2072">
            <v>0</v>
          </cell>
          <cell r="M2072" t="str">
            <v>GEMATEL</v>
          </cell>
          <cell r="N2072" t="str">
            <v>GEMATELScratch 2 000</v>
          </cell>
          <cell r="O2072" t="str">
            <v>GEMATEL</v>
          </cell>
          <cell r="P2072" t="str">
            <v>Scratch 2 000</v>
          </cell>
          <cell r="Q2072" t="str">
            <v>72007</v>
          </cell>
          <cell r="R2072" t="str">
            <v>72007Scratch 2 000</v>
          </cell>
          <cell r="S2072" t="str">
            <v>2007Scratch 2 000</v>
          </cell>
          <cell r="T2072" t="str">
            <v>72007GEMATEL</v>
          </cell>
          <cell r="U2072" t="str">
            <v>72007GEMATELScratch 2 000</v>
          </cell>
          <cell r="V2072" t="str">
            <v>39288Scratch 2 000</v>
          </cell>
          <cell r="W2072" t="str">
            <v>2007GEMATEL</v>
          </cell>
          <cell r="X2072" t="str">
            <v>2007GEMATELScratch 2 000</v>
          </cell>
        </row>
        <row r="2073">
          <cell r="I2073">
            <v>2007</v>
          </cell>
          <cell r="J2073" t="str">
            <v>GEMATELScratch 1 000</v>
          </cell>
          <cell r="L2073">
            <v>0</v>
          </cell>
          <cell r="M2073" t="str">
            <v>GEMATEL</v>
          </cell>
          <cell r="N2073" t="str">
            <v>GEMATELScratch 1 000</v>
          </cell>
          <cell r="O2073" t="str">
            <v>GEMATEL</v>
          </cell>
          <cell r="P2073" t="str">
            <v>Scratch 1 000</v>
          </cell>
          <cell r="Q2073" t="str">
            <v>72007</v>
          </cell>
          <cell r="R2073" t="str">
            <v>72007Scratch 1 000</v>
          </cell>
          <cell r="S2073" t="str">
            <v>2007Scratch 1 000</v>
          </cell>
          <cell r="T2073" t="str">
            <v>72007GEMATEL</v>
          </cell>
          <cell r="U2073" t="str">
            <v>72007GEMATELScratch 1 000</v>
          </cell>
          <cell r="V2073" t="str">
            <v>39288Scratch 1 000</v>
          </cell>
          <cell r="W2073" t="str">
            <v>2007GEMATEL</v>
          </cell>
          <cell r="X2073" t="str">
            <v>2007GEMATELScratch 1 000</v>
          </cell>
        </row>
        <row r="2074">
          <cell r="I2074">
            <v>2007</v>
          </cell>
          <cell r="J2074" t="str">
            <v>Grands ComptesVGFU (TTC)</v>
          </cell>
          <cell r="L2074">
            <v>1</v>
          </cell>
          <cell r="M2074" t="str">
            <v>1Grands Comptes</v>
          </cell>
          <cell r="N2074" t="str">
            <v>Grands ComptesVGFU (TTC)</v>
          </cell>
          <cell r="O2074" t="str">
            <v>Grands Comptes</v>
          </cell>
          <cell r="P2074" t="str">
            <v>VGFU (TTC)</v>
          </cell>
          <cell r="Q2074" t="str">
            <v>72007</v>
          </cell>
          <cell r="R2074" t="str">
            <v>72007VGFU (TTC)</v>
          </cell>
          <cell r="S2074" t="str">
            <v>2007VGFU (TTC)</v>
          </cell>
          <cell r="T2074" t="str">
            <v>72007Grands Comptes</v>
          </cell>
          <cell r="U2074" t="str">
            <v>72007Grands ComptesVGFU (TTC)</v>
          </cell>
          <cell r="V2074" t="str">
            <v>39288VGFU (TTC)</v>
          </cell>
          <cell r="W2074" t="str">
            <v>2007Grands Comptes</v>
          </cell>
          <cell r="X2074" t="str">
            <v>2007Grands ComptesVGFU (TTC)</v>
          </cell>
        </row>
        <row r="2075">
          <cell r="I2075">
            <v>2007</v>
          </cell>
          <cell r="J2075" t="str">
            <v>Grands ComptesVGFU (TTC)</v>
          </cell>
          <cell r="L2075">
            <v>1</v>
          </cell>
          <cell r="M2075" t="str">
            <v>1Grands Comptes</v>
          </cell>
          <cell r="N2075" t="str">
            <v>Grands ComptesVGFU (TTC)</v>
          </cell>
          <cell r="O2075" t="str">
            <v>Grands Comptes</v>
          </cell>
          <cell r="P2075" t="str">
            <v>VGFU (TTC)</v>
          </cell>
          <cell r="Q2075" t="str">
            <v>72007</v>
          </cell>
          <cell r="R2075" t="str">
            <v>72007VGFU (TTC)</v>
          </cell>
          <cell r="S2075" t="str">
            <v>2007VGFU (TTC)</v>
          </cell>
          <cell r="T2075" t="str">
            <v>72007Grands Comptes</v>
          </cell>
          <cell r="U2075" t="str">
            <v>72007Grands ComptesVGFU (TTC)</v>
          </cell>
          <cell r="V2075" t="str">
            <v>39288VGFU (TTC)</v>
          </cell>
          <cell r="W2075" t="str">
            <v>2007Grands Comptes</v>
          </cell>
          <cell r="X2075" t="str">
            <v>2007Grands ComptesVGFU (TTC)</v>
          </cell>
        </row>
        <row r="2076">
          <cell r="I2076">
            <v>2007</v>
          </cell>
          <cell r="J2076" t="str">
            <v>Grands ComptesVGFU (TTC)</v>
          </cell>
          <cell r="L2076">
            <v>1</v>
          </cell>
          <cell r="M2076" t="str">
            <v>1Grands Comptes</v>
          </cell>
          <cell r="N2076" t="str">
            <v>Grands ComptesVGFU (TTC)</v>
          </cell>
          <cell r="O2076" t="str">
            <v>Grands Comptes</v>
          </cell>
          <cell r="P2076" t="str">
            <v>VGFU (TTC)</v>
          </cell>
          <cell r="Q2076" t="str">
            <v>72007</v>
          </cell>
          <cell r="R2076" t="str">
            <v>72007VGFU (TTC)</v>
          </cell>
          <cell r="S2076" t="str">
            <v>2007VGFU (TTC)</v>
          </cell>
          <cell r="T2076" t="str">
            <v>72007Grands Comptes</v>
          </cell>
          <cell r="U2076" t="str">
            <v>72007Grands ComptesVGFU (TTC)</v>
          </cell>
          <cell r="V2076" t="str">
            <v>39288VGFU (TTC)</v>
          </cell>
          <cell r="W2076" t="str">
            <v>2007Grands Comptes</v>
          </cell>
          <cell r="X2076" t="str">
            <v>2007Grands ComptesVGFU (TTC)</v>
          </cell>
        </row>
        <row r="2077">
          <cell r="I2077">
            <v>2007</v>
          </cell>
          <cell r="J2077" t="str">
            <v>Grands ComptesVGFU (TTC)</v>
          </cell>
          <cell r="L2077">
            <v>1</v>
          </cell>
          <cell r="M2077" t="str">
            <v>1Grands Comptes</v>
          </cell>
          <cell r="N2077" t="str">
            <v>Grands ComptesVGFU (TTC)</v>
          </cell>
          <cell r="O2077" t="str">
            <v>Grands Comptes</v>
          </cell>
          <cell r="P2077" t="str">
            <v>VGFU (TTC)</v>
          </cell>
          <cell r="Q2077" t="str">
            <v>72007</v>
          </cell>
          <cell r="R2077" t="str">
            <v>72007VGFU (TTC)</v>
          </cell>
          <cell r="S2077" t="str">
            <v>2007VGFU (TTC)</v>
          </cell>
          <cell r="T2077" t="str">
            <v>72007Grands Comptes</v>
          </cell>
          <cell r="U2077" t="str">
            <v>72007Grands ComptesVGFU (TTC)</v>
          </cell>
          <cell r="V2077" t="str">
            <v>39290VGFU (TTC)</v>
          </cell>
          <cell r="W2077" t="str">
            <v>2007Grands Comptes</v>
          </cell>
          <cell r="X2077" t="str">
            <v>2007Grands ComptesVGFU (TTC)</v>
          </cell>
        </row>
        <row r="2078">
          <cell r="I2078">
            <v>2007</v>
          </cell>
          <cell r="J2078" t="str">
            <v>Soleil LevantScratch 2 000</v>
          </cell>
          <cell r="L2078">
            <v>1</v>
          </cell>
          <cell r="M2078" t="str">
            <v>1Soleil Levant</v>
          </cell>
          <cell r="N2078" t="str">
            <v>Soleil LevantScratch 2 000</v>
          </cell>
          <cell r="O2078" t="str">
            <v>Soleil Levant</v>
          </cell>
          <cell r="P2078" t="str">
            <v>Scratch 2 000</v>
          </cell>
          <cell r="Q2078" t="str">
            <v>72007</v>
          </cell>
          <cell r="R2078" t="str">
            <v>72007Scratch 2 000</v>
          </cell>
          <cell r="S2078" t="str">
            <v>2007Scratch 2 000</v>
          </cell>
          <cell r="T2078" t="str">
            <v>72007Soleil Levant</v>
          </cell>
          <cell r="U2078" t="str">
            <v>72007Soleil LevantScratch 2 000</v>
          </cell>
          <cell r="V2078" t="str">
            <v>39289Scratch 2 000</v>
          </cell>
          <cell r="W2078" t="str">
            <v>2007Soleil Levant</v>
          </cell>
          <cell r="X2078" t="str">
            <v>2007Soleil LevantScratch 2 000</v>
          </cell>
        </row>
        <row r="2079">
          <cell r="I2079">
            <v>2007</v>
          </cell>
          <cell r="J2079" t="str">
            <v>Soleil LevantScratch 1 000</v>
          </cell>
          <cell r="L2079">
            <v>0</v>
          </cell>
          <cell r="M2079" t="str">
            <v>Soleil Levant</v>
          </cell>
          <cell r="N2079" t="str">
            <v>Soleil LevantScratch 1 000</v>
          </cell>
          <cell r="O2079" t="str">
            <v>Soleil Levant</v>
          </cell>
          <cell r="P2079" t="str">
            <v>Scratch 1 000</v>
          </cell>
          <cell r="Q2079" t="str">
            <v>72007</v>
          </cell>
          <cell r="R2079" t="str">
            <v>72007Scratch 1 000</v>
          </cell>
          <cell r="S2079" t="str">
            <v>2007Scratch 1 000</v>
          </cell>
          <cell r="T2079" t="str">
            <v>72007Soleil Levant</v>
          </cell>
          <cell r="U2079" t="str">
            <v>72007Soleil LevantScratch 1 000</v>
          </cell>
          <cell r="V2079" t="str">
            <v>39289Scratch 1 000</v>
          </cell>
          <cell r="W2079" t="str">
            <v>2007Soleil Levant</v>
          </cell>
          <cell r="X2079" t="str">
            <v>2007Soleil LevantScratch 1 000</v>
          </cell>
        </row>
        <row r="2080">
          <cell r="I2080">
            <v>2007</v>
          </cell>
          <cell r="J2080" t="str">
            <v>Compagnie Internationale de NegoceScratch 5 000</v>
          </cell>
          <cell r="L2080">
            <v>1</v>
          </cell>
          <cell r="M2080" t="str">
            <v>1Compagnie Internationale de Negoce</v>
          </cell>
          <cell r="N2080" t="str">
            <v>Compagnie Internationale de NegoceScratch 5 000</v>
          </cell>
          <cell r="O2080" t="str">
            <v>Compagnie Internationale de Negoce</v>
          </cell>
          <cell r="P2080" t="str">
            <v>Scratch 5 000</v>
          </cell>
          <cell r="Q2080" t="str">
            <v>72007</v>
          </cell>
          <cell r="R2080" t="str">
            <v>72007Scratch 5 000</v>
          </cell>
          <cell r="S2080" t="str">
            <v>2007Scratch 5 000</v>
          </cell>
          <cell r="T2080" t="str">
            <v>72007Compagnie Internationale de Negoce</v>
          </cell>
          <cell r="U2080" t="str">
            <v>72007Compagnie Internationale de NegoceScratch 5 000</v>
          </cell>
          <cell r="V2080" t="str">
            <v>39289Scratch 5 000</v>
          </cell>
          <cell r="W2080" t="str">
            <v>2007Compagnie Internationale de Negoce</v>
          </cell>
          <cell r="X2080" t="str">
            <v>2007Compagnie Internationale de NegoceScratch 5 000</v>
          </cell>
        </row>
        <row r="2081">
          <cell r="I2081">
            <v>2007</v>
          </cell>
          <cell r="J2081" t="str">
            <v>Compagnie Internationale de NegoceScratch 2 000</v>
          </cell>
          <cell r="L2081">
            <v>0</v>
          </cell>
          <cell r="M2081" t="str">
            <v>Compagnie Internationale de Negoce</v>
          </cell>
          <cell r="N2081" t="str">
            <v>Compagnie Internationale de NegoceScratch 2 000</v>
          </cell>
          <cell r="O2081" t="str">
            <v>Compagnie Internationale de Negoce</v>
          </cell>
          <cell r="P2081" t="str">
            <v>Scratch 2 000</v>
          </cell>
          <cell r="Q2081" t="str">
            <v>72007</v>
          </cell>
          <cell r="R2081" t="str">
            <v>72007Scratch 2 000</v>
          </cell>
          <cell r="S2081" t="str">
            <v>2007Scratch 2 000</v>
          </cell>
          <cell r="T2081" t="str">
            <v>72007Compagnie Internationale de Negoce</v>
          </cell>
          <cell r="U2081" t="str">
            <v>72007Compagnie Internationale de NegoceScratch 2 000</v>
          </cell>
          <cell r="V2081" t="str">
            <v>39289Scratch 2 000</v>
          </cell>
          <cell r="W2081" t="str">
            <v>2007Compagnie Internationale de Negoce</v>
          </cell>
          <cell r="X2081" t="str">
            <v>2007Compagnie Internationale de NegoceScratch 2 000</v>
          </cell>
        </row>
        <row r="2082">
          <cell r="I2082">
            <v>2007</v>
          </cell>
          <cell r="J2082" t="str">
            <v>Compagnie Internationale de NegoceScratch 1 000</v>
          </cell>
          <cell r="L2082">
            <v>0</v>
          </cell>
          <cell r="M2082" t="str">
            <v>Compagnie Internationale de Negoce</v>
          </cell>
          <cell r="N2082" t="str">
            <v>Compagnie Internationale de NegoceScratch 1 000</v>
          </cell>
          <cell r="O2082" t="str">
            <v>Compagnie Internationale de Negoce</v>
          </cell>
          <cell r="P2082" t="str">
            <v>Scratch 1 000</v>
          </cell>
          <cell r="Q2082" t="str">
            <v>72007</v>
          </cell>
          <cell r="R2082" t="str">
            <v>72007Scratch 1 000</v>
          </cell>
          <cell r="S2082" t="str">
            <v>2007Scratch 1 000</v>
          </cell>
          <cell r="T2082" t="str">
            <v>72007Compagnie Internationale de Negoce</v>
          </cell>
          <cell r="U2082" t="str">
            <v>72007Compagnie Internationale de NegoceScratch 1 000</v>
          </cell>
          <cell r="V2082" t="str">
            <v>39289Scratch 1 000</v>
          </cell>
          <cell r="W2082" t="str">
            <v>2007Compagnie Internationale de Negoce</v>
          </cell>
          <cell r="X2082" t="str">
            <v>2007Compagnie Internationale de NegoceScratch 1 000</v>
          </cell>
        </row>
        <row r="2083">
          <cell r="I2083">
            <v>2007</v>
          </cell>
          <cell r="J2083" t="str">
            <v>STS GAMBY &amp; FRERES (SOGAF) SarlScratch 5 000</v>
          </cell>
          <cell r="L2083">
            <v>1</v>
          </cell>
          <cell r="M2083" t="str">
            <v>1STS GAMBY &amp; FRERES (SOGAF) Sarl</v>
          </cell>
          <cell r="N2083" t="str">
            <v>STS GAMBY &amp; FRERES (SOGAF) SarlScratch 5 000</v>
          </cell>
          <cell r="O2083" t="str">
            <v>STS GAMBY &amp; FRERES (SOGAF) Sarl</v>
          </cell>
          <cell r="P2083" t="str">
            <v>Scratch 5 000</v>
          </cell>
          <cell r="Q2083" t="str">
            <v>72007</v>
          </cell>
          <cell r="R2083" t="str">
            <v>72007Scratch 5 000</v>
          </cell>
          <cell r="S2083" t="str">
            <v>2007Scratch 5 000</v>
          </cell>
          <cell r="T2083" t="str">
            <v>72007STS GAMBY &amp; FRERES (SOGAF) Sarl</v>
          </cell>
          <cell r="U2083" t="str">
            <v>72007STS GAMBY &amp; FRERES (SOGAF) SarlScratch 5 000</v>
          </cell>
          <cell r="V2083" t="str">
            <v>39289Scratch 5 000</v>
          </cell>
          <cell r="W2083" t="str">
            <v>2007STS GAMBY &amp; FRERES (SOGAF) Sarl</v>
          </cell>
          <cell r="X2083" t="str">
            <v>2007STS GAMBY &amp; FRERES (SOGAF) SarlScratch 5 000</v>
          </cell>
        </row>
        <row r="2084">
          <cell r="I2084">
            <v>2007</v>
          </cell>
          <cell r="J2084" t="str">
            <v>STS GAMBY &amp; FRERES (SOGAF) SarlScratch 2 000</v>
          </cell>
          <cell r="L2084">
            <v>0</v>
          </cell>
          <cell r="M2084" t="str">
            <v>STS GAMBY &amp; FRERES (SOGAF) Sarl</v>
          </cell>
          <cell r="N2084" t="str">
            <v>STS GAMBY &amp; FRERES (SOGAF) SarlScratch 2 000</v>
          </cell>
          <cell r="O2084" t="str">
            <v>STS GAMBY &amp; FRERES (SOGAF) Sarl</v>
          </cell>
          <cell r="P2084" t="str">
            <v>Scratch 2 000</v>
          </cell>
          <cell r="Q2084" t="str">
            <v>72007</v>
          </cell>
          <cell r="R2084" t="str">
            <v>72007Scratch 2 000</v>
          </cell>
          <cell r="S2084" t="str">
            <v>2007Scratch 2 000</v>
          </cell>
          <cell r="T2084" t="str">
            <v>72007STS GAMBY &amp; FRERES (SOGAF) Sarl</v>
          </cell>
          <cell r="U2084" t="str">
            <v>72007STS GAMBY &amp; FRERES (SOGAF) SarlScratch 2 000</v>
          </cell>
          <cell r="V2084" t="str">
            <v>39289Scratch 2 000</v>
          </cell>
          <cell r="W2084" t="str">
            <v>2007STS GAMBY &amp; FRERES (SOGAF) Sarl</v>
          </cell>
          <cell r="X2084" t="str">
            <v>2007STS GAMBY &amp; FRERES (SOGAF) SarlScratch 2 000</v>
          </cell>
        </row>
        <row r="2085">
          <cell r="I2085">
            <v>2007</v>
          </cell>
          <cell r="J2085" t="str">
            <v>STS GAMBY &amp; FRERES (SOGAF) SarlScratch 1 000</v>
          </cell>
          <cell r="L2085">
            <v>0</v>
          </cell>
          <cell r="M2085" t="str">
            <v>STS GAMBY &amp; FRERES (SOGAF) Sarl</v>
          </cell>
          <cell r="N2085" t="str">
            <v>STS GAMBY &amp; FRERES (SOGAF) SarlScratch 1 000</v>
          </cell>
          <cell r="O2085" t="str">
            <v>STS GAMBY &amp; FRERES (SOGAF) Sarl</v>
          </cell>
          <cell r="P2085" t="str">
            <v>Scratch 1 000</v>
          </cell>
          <cell r="Q2085" t="str">
            <v>72007</v>
          </cell>
          <cell r="R2085" t="str">
            <v>72007Scratch 1 000</v>
          </cell>
          <cell r="S2085" t="str">
            <v>2007Scratch 1 000</v>
          </cell>
          <cell r="T2085" t="str">
            <v>72007STS GAMBY &amp; FRERES (SOGAF) Sarl</v>
          </cell>
          <cell r="U2085" t="str">
            <v>72007STS GAMBY &amp; FRERES (SOGAF) SarlScratch 1 000</v>
          </cell>
          <cell r="V2085" t="str">
            <v>39289Scratch 1 000</v>
          </cell>
          <cell r="W2085" t="str">
            <v>2007STS GAMBY &amp; FRERES (SOGAF) Sarl</v>
          </cell>
          <cell r="X2085" t="str">
            <v>2007STS GAMBY &amp; FRERES (SOGAF) SarlScratch 1 000</v>
          </cell>
        </row>
        <row r="2086">
          <cell r="I2086">
            <v>2007</v>
          </cell>
          <cell r="J2086" t="str">
            <v>GEMATELScratch 5 000</v>
          </cell>
          <cell r="L2086">
            <v>1</v>
          </cell>
          <cell r="M2086" t="str">
            <v>1GEMATEL</v>
          </cell>
          <cell r="N2086" t="str">
            <v>GEMATELScratch 5 000</v>
          </cell>
          <cell r="O2086" t="str">
            <v>GEMATEL</v>
          </cell>
          <cell r="P2086" t="str">
            <v>Scratch 5 000</v>
          </cell>
          <cell r="Q2086" t="str">
            <v>72007</v>
          </cell>
          <cell r="R2086" t="str">
            <v>72007Scratch 5 000</v>
          </cell>
          <cell r="S2086" t="str">
            <v>2007Scratch 5 000</v>
          </cell>
          <cell r="T2086" t="str">
            <v>72007GEMATEL</v>
          </cell>
          <cell r="U2086" t="str">
            <v>72007GEMATELScratch 5 000</v>
          </cell>
          <cell r="V2086" t="str">
            <v>39289Scratch 5 000</v>
          </cell>
          <cell r="W2086" t="str">
            <v>2007GEMATEL</v>
          </cell>
          <cell r="X2086" t="str">
            <v>2007GEMATELScratch 5 000</v>
          </cell>
        </row>
        <row r="2087">
          <cell r="I2087">
            <v>2007</v>
          </cell>
          <cell r="J2087" t="str">
            <v>GEMATELScratch 2 000</v>
          </cell>
          <cell r="L2087">
            <v>0</v>
          </cell>
          <cell r="M2087" t="str">
            <v>GEMATEL</v>
          </cell>
          <cell r="N2087" t="str">
            <v>GEMATELScratch 2 000</v>
          </cell>
          <cell r="O2087" t="str">
            <v>GEMATEL</v>
          </cell>
          <cell r="P2087" t="str">
            <v>Scratch 2 000</v>
          </cell>
          <cell r="Q2087" t="str">
            <v>72007</v>
          </cell>
          <cell r="R2087" t="str">
            <v>72007Scratch 2 000</v>
          </cell>
          <cell r="S2087" t="str">
            <v>2007Scratch 2 000</v>
          </cell>
          <cell r="T2087" t="str">
            <v>72007GEMATEL</v>
          </cell>
          <cell r="U2087" t="str">
            <v>72007GEMATELScratch 2 000</v>
          </cell>
          <cell r="V2087" t="str">
            <v>39289Scratch 2 000</v>
          </cell>
          <cell r="W2087" t="str">
            <v>2007GEMATEL</v>
          </cell>
          <cell r="X2087" t="str">
            <v>2007GEMATELScratch 2 000</v>
          </cell>
        </row>
        <row r="2088">
          <cell r="I2088">
            <v>2007</v>
          </cell>
          <cell r="J2088" t="str">
            <v>GEMATELScratch 1 000</v>
          </cell>
          <cell r="L2088">
            <v>0</v>
          </cell>
          <cell r="M2088" t="str">
            <v>GEMATEL</v>
          </cell>
          <cell r="N2088" t="str">
            <v>GEMATELScratch 1 000</v>
          </cell>
          <cell r="O2088" t="str">
            <v>GEMATEL</v>
          </cell>
          <cell r="P2088" t="str">
            <v>Scratch 1 000</v>
          </cell>
          <cell r="Q2088" t="str">
            <v>72007</v>
          </cell>
          <cell r="R2088" t="str">
            <v>72007Scratch 1 000</v>
          </cell>
          <cell r="S2088" t="str">
            <v>2007Scratch 1 000</v>
          </cell>
          <cell r="T2088" t="str">
            <v>72007GEMATEL</v>
          </cell>
          <cell r="U2088" t="str">
            <v>72007GEMATELScratch 1 000</v>
          </cell>
          <cell r="V2088" t="str">
            <v>39289Scratch 1 000</v>
          </cell>
          <cell r="W2088" t="str">
            <v>2007GEMATEL</v>
          </cell>
          <cell r="X2088" t="str">
            <v>2007GEMATELScratch 1 000</v>
          </cell>
        </row>
        <row r="2089">
          <cell r="I2089">
            <v>2007</v>
          </cell>
          <cell r="J2089" t="str">
            <v>ANKA SERVICESScratch 5 000</v>
          </cell>
          <cell r="L2089">
            <v>1</v>
          </cell>
          <cell r="M2089" t="str">
            <v>1ANKA SERVICES</v>
          </cell>
          <cell r="N2089" t="str">
            <v>ANKA SERVICESScratch 5 000</v>
          </cell>
          <cell r="O2089" t="str">
            <v>ANKA SERVICES</v>
          </cell>
          <cell r="P2089" t="str">
            <v>Scratch 5 000</v>
          </cell>
          <cell r="Q2089" t="str">
            <v>72007</v>
          </cell>
          <cell r="R2089" t="str">
            <v>72007Scratch 5 000</v>
          </cell>
          <cell r="S2089" t="str">
            <v>2007Scratch 5 000</v>
          </cell>
          <cell r="T2089" t="str">
            <v>72007ANKA SERVICES</v>
          </cell>
          <cell r="U2089" t="str">
            <v>72007ANKA SERVICESScratch 5 000</v>
          </cell>
          <cell r="V2089" t="str">
            <v>39290Scratch 5 000</v>
          </cell>
          <cell r="W2089" t="str">
            <v>2007ANKA SERVICES</v>
          </cell>
          <cell r="X2089" t="str">
            <v>2007ANKA SERVICESScratch 5 000</v>
          </cell>
        </row>
        <row r="2090">
          <cell r="I2090">
            <v>2007</v>
          </cell>
          <cell r="J2090" t="str">
            <v>ANKA SERVICESScratch 2 000</v>
          </cell>
          <cell r="L2090">
            <v>0</v>
          </cell>
          <cell r="M2090" t="str">
            <v>ANKA SERVICES</v>
          </cell>
          <cell r="N2090" t="str">
            <v>ANKA SERVICESScratch 2 000</v>
          </cell>
          <cell r="O2090" t="str">
            <v>ANKA SERVICES</v>
          </cell>
          <cell r="P2090" t="str">
            <v>Scratch 2 000</v>
          </cell>
          <cell r="Q2090" t="str">
            <v>72007</v>
          </cell>
          <cell r="R2090" t="str">
            <v>72007Scratch 2 000</v>
          </cell>
          <cell r="S2090" t="str">
            <v>2007Scratch 2 000</v>
          </cell>
          <cell r="T2090" t="str">
            <v>72007ANKA SERVICES</v>
          </cell>
          <cell r="U2090" t="str">
            <v>72007ANKA SERVICESScratch 2 000</v>
          </cell>
          <cell r="V2090" t="str">
            <v>39290Scratch 2 000</v>
          </cell>
          <cell r="W2090" t="str">
            <v>2007ANKA SERVICES</v>
          </cell>
          <cell r="X2090" t="str">
            <v>2007ANKA SERVICESScratch 2 000</v>
          </cell>
        </row>
        <row r="2091">
          <cell r="I2091">
            <v>2007</v>
          </cell>
          <cell r="J2091" t="str">
            <v>ANKA SERVICESScratch 1 000</v>
          </cell>
          <cell r="L2091">
            <v>0</v>
          </cell>
          <cell r="M2091" t="str">
            <v>ANKA SERVICES</v>
          </cell>
          <cell r="N2091" t="str">
            <v>ANKA SERVICESScratch 1 000</v>
          </cell>
          <cell r="O2091" t="str">
            <v>ANKA SERVICES</v>
          </cell>
          <cell r="P2091" t="str">
            <v>Scratch 1 000</v>
          </cell>
          <cell r="Q2091" t="str">
            <v>72007</v>
          </cell>
          <cell r="R2091" t="str">
            <v>72007Scratch 1 000</v>
          </cell>
          <cell r="S2091" t="str">
            <v>2007Scratch 1 000</v>
          </cell>
          <cell r="T2091" t="str">
            <v>72007ANKA SERVICES</v>
          </cell>
          <cell r="U2091" t="str">
            <v>72007ANKA SERVICESScratch 1 000</v>
          </cell>
          <cell r="V2091" t="str">
            <v>39290Scratch 1 000</v>
          </cell>
          <cell r="W2091" t="str">
            <v>2007ANKA SERVICES</v>
          </cell>
          <cell r="X2091" t="str">
            <v>2007ANKA SERVICESScratch 1 000</v>
          </cell>
        </row>
        <row r="2092">
          <cell r="I2092">
            <v>2007</v>
          </cell>
          <cell r="J2092" t="str">
            <v>MALI COM SarlScratch 20 000</v>
          </cell>
          <cell r="L2092">
            <v>1</v>
          </cell>
          <cell r="M2092" t="str">
            <v>1MALI COM Sarl</v>
          </cell>
          <cell r="N2092" t="str">
            <v>MALI COM SarlScratch 20 000</v>
          </cell>
          <cell r="O2092" t="str">
            <v>MALI COM Sarl</v>
          </cell>
          <cell r="P2092" t="str">
            <v>Scratch 20 000</v>
          </cell>
          <cell r="Q2092" t="str">
            <v>72007</v>
          </cell>
          <cell r="R2092" t="str">
            <v>72007Scratch 20 000</v>
          </cell>
          <cell r="S2092" t="str">
            <v>2007Scratch 20 000</v>
          </cell>
          <cell r="T2092" t="str">
            <v>72007MALI COM Sarl</v>
          </cell>
          <cell r="U2092" t="str">
            <v>72007MALI COM SarlScratch 20 000</v>
          </cell>
          <cell r="V2092" t="str">
            <v>39290Scratch 20 000</v>
          </cell>
          <cell r="W2092" t="str">
            <v>2007MALI COM Sarl</v>
          </cell>
          <cell r="X2092" t="str">
            <v>2007MALI COM SarlScratch 20 000</v>
          </cell>
        </row>
        <row r="2093">
          <cell r="I2093">
            <v>2007</v>
          </cell>
          <cell r="J2093" t="str">
            <v>MALI COM SarlScratch 5 000</v>
          </cell>
          <cell r="L2093">
            <v>0</v>
          </cell>
          <cell r="M2093" t="str">
            <v>MALI COM Sarl</v>
          </cell>
          <cell r="N2093" t="str">
            <v>MALI COM SarlScratch 5 000</v>
          </cell>
          <cell r="O2093" t="str">
            <v>MALI COM Sarl</v>
          </cell>
          <cell r="P2093" t="str">
            <v>Scratch 5 000</v>
          </cell>
          <cell r="Q2093" t="str">
            <v>72007</v>
          </cell>
          <cell r="R2093" t="str">
            <v>72007Scratch 5 000</v>
          </cell>
          <cell r="S2093" t="str">
            <v>2007Scratch 5 000</v>
          </cell>
          <cell r="T2093" t="str">
            <v>72007MALI COM Sarl</v>
          </cell>
          <cell r="U2093" t="str">
            <v>72007MALI COM SarlScratch 5 000</v>
          </cell>
          <cell r="V2093" t="str">
            <v>39290Scratch 5 000</v>
          </cell>
          <cell r="W2093" t="str">
            <v>2007MALI COM Sarl</v>
          </cell>
          <cell r="X2093" t="str">
            <v>2007MALI COM SarlScratch 5 000</v>
          </cell>
        </row>
        <row r="2094">
          <cell r="I2094">
            <v>2007</v>
          </cell>
          <cell r="J2094" t="str">
            <v>MALI COM SarlScratch 2 000</v>
          </cell>
          <cell r="L2094">
            <v>0</v>
          </cell>
          <cell r="M2094" t="str">
            <v>MALI COM Sarl</v>
          </cell>
          <cell r="N2094" t="str">
            <v>MALI COM SarlScratch 2 000</v>
          </cell>
          <cell r="O2094" t="str">
            <v>MALI COM Sarl</v>
          </cell>
          <cell r="P2094" t="str">
            <v>Scratch 2 000</v>
          </cell>
          <cell r="Q2094" t="str">
            <v>72007</v>
          </cell>
          <cell r="R2094" t="str">
            <v>72007Scratch 2 000</v>
          </cell>
          <cell r="S2094" t="str">
            <v>2007Scratch 2 000</v>
          </cell>
          <cell r="T2094" t="str">
            <v>72007MALI COM Sarl</v>
          </cell>
          <cell r="U2094" t="str">
            <v>72007MALI COM SarlScratch 2 000</v>
          </cell>
          <cell r="V2094" t="str">
            <v>39290Scratch 2 000</v>
          </cell>
          <cell r="W2094" t="str">
            <v>2007MALI COM Sarl</v>
          </cell>
          <cell r="X2094" t="str">
            <v>2007MALI COM SarlScratch 2 000</v>
          </cell>
        </row>
        <row r="2095">
          <cell r="I2095">
            <v>2007</v>
          </cell>
          <cell r="J2095" t="str">
            <v>MALI COM SarlScratch 1 000</v>
          </cell>
          <cell r="L2095">
            <v>0</v>
          </cell>
          <cell r="M2095" t="str">
            <v>MALI COM Sarl</v>
          </cell>
          <cell r="N2095" t="str">
            <v>MALI COM SarlScratch 1 000</v>
          </cell>
          <cell r="O2095" t="str">
            <v>MALI COM Sarl</v>
          </cell>
          <cell r="P2095" t="str">
            <v>Scratch 1 000</v>
          </cell>
          <cell r="Q2095" t="str">
            <v>72007</v>
          </cell>
          <cell r="R2095" t="str">
            <v>72007Scratch 1 000</v>
          </cell>
          <cell r="S2095" t="str">
            <v>2007Scratch 1 000</v>
          </cell>
          <cell r="T2095" t="str">
            <v>72007MALI COM Sarl</v>
          </cell>
          <cell r="U2095" t="str">
            <v>72007MALI COM SarlScratch 1 000</v>
          </cell>
          <cell r="V2095" t="str">
            <v>39290Scratch 1 000</v>
          </cell>
          <cell r="W2095" t="str">
            <v>2007MALI COM Sarl</v>
          </cell>
          <cell r="X2095" t="str">
            <v>2007MALI COM SarlScratch 1 000</v>
          </cell>
        </row>
        <row r="2096">
          <cell r="I2096">
            <v>2007</v>
          </cell>
          <cell r="J2096" t="str">
            <v>Ets Boubacar TANDIAScratch 5 000</v>
          </cell>
          <cell r="L2096">
            <v>1</v>
          </cell>
          <cell r="M2096" t="str">
            <v>1Ets Boubacar TANDIA</v>
          </cell>
          <cell r="N2096" t="str">
            <v>Ets Boubacar TANDIAScratch 5 000</v>
          </cell>
          <cell r="O2096" t="str">
            <v>Ets Boubacar TANDIA</v>
          </cell>
          <cell r="P2096" t="str">
            <v>Scratch 5 000</v>
          </cell>
          <cell r="Q2096" t="str">
            <v>72007</v>
          </cell>
          <cell r="R2096" t="str">
            <v>72007Scratch 5 000</v>
          </cell>
          <cell r="S2096" t="str">
            <v>2007Scratch 5 000</v>
          </cell>
          <cell r="T2096" t="str">
            <v>72007Ets Boubacar TANDIA</v>
          </cell>
          <cell r="U2096" t="str">
            <v>72007Ets Boubacar TANDIAScratch 5 000</v>
          </cell>
          <cell r="V2096" t="str">
            <v>39290Scratch 5 000</v>
          </cell>
          <cell r="W2096" t="str">
            <v>2007Ets Boubacar TANDIA</v>
          </cell>
          <cell r="X2096" t="str">
            <v>2007Ets Boubacar TANDIAScratch 5 000</v>
          </cell>
        </row>
        <row r="2097">
          <cell r="I2097">
            <v>2007</v>
          </cell>
          <cell r="J2097" t="str">
            <v>Ets Boubacar TANDIAScratch 2 000</v>
          </cell>
          <cell r="L2097">
            <v>0</v>
          </cell>
          <cell r="M2097" t="str">
            <v>Ets Boubacar TANDIA</v>
          </cell>
          <cell r="N2097" t="str">
            <v>Ets Boubacar TANDIAScratch 2 000</v>
          </cell>
          <cell r="O2097" t="str">
            <v>Ets Boubacar TANDIA</v>
          </cell>
          <cell r="P2097" t="str">
            <v>Scratch 2 000</v>
          </cell>
          <cell r="Q2097" t="str">
            <v>72007</v>
          </cell>
          <cell r="R2097" t="str">
            <v>72007Scratch 2 000</v>
          </cell>
          <cell r="S2097" t="str">
            <v>2007Scratch 2 000</v>
          </cell>
          <cell r="T2097" t="str">
            <v>72007Ets Boubacar TANDIA</v>
          </cell>
          <cell r="U2097" t="str">
            <v>72007Ets Boubacar TANDIAScratch 2 000</v>
          </cell>
          <cell r="V2097" t="str">
            <v>39290Scratch 2 000</v>
          </cell>
          <cell r="W2097" t="str">
            <v>2007Ets Boubacar TANDIA</v>
          </cell>
          <cell r="X2097" t="str">
            <v>2007Ets Boubacar TANDIAScratch 2 000</v>
          </cell>
        </row>
        <row r="2098">
          <cell r="I2098">
            <v>2007</v>
          </cell>
          <cell r="J2098" t="str">
            <v>Ets Boubacar TANDIAScratch 1 000</v>
          </cell>
          <cell r="L2098">
            <v>0</v>
          </cell>
          <cell r="M2098" t="str">
            <v>Ets Boubacar TANDIA</v>
          </cell>
          <cell r="N2098" t="str">
            <v>Ets Boubacar TANDIAScratch 1 000</v>
          </cell>
          <cell r="O2098" t="str">
            <v>Ets Boubacar TANDIA</v>
          </cell>
          <cell r="P2098" t="str">
            <v>Scratch 1 000</v>
          </cell>
          <cell r="Q2098" t="str">
            <v>72007</v>
          </cell>
          <cell r="R2098" t="str">
            <v>72007Scratch 1 000</v>
          </cell>
          <cell r="S2098" t="str">
            <v>2007Scratch 1 000</v>
          </cell>
          <cell r="T2098" t="str">
            <v>72007Ets Boubacar TANDIA</v>
          </cell>
          <cell r="U2098" t="str">
            <v>72007Ets Boubacar TANDIAScratch 1 000</v>
          </cell>
          <cell r="V2098" t="str">
            <v>39290Scratch 1 000</v>
          </cell>
          <cell r="W2098" t="str">
            <v>2007Ets Boubacar TANDIA</v>
          </cell>
          <cell r="X2098" t="str">
            <v>2007Ets Boubacar TANDIAScratch 1 000</v>
          </cell>
        </row>
        <row r="2099">
          <cell r="I2099">
            <v>2007</v>
          </cell>
          <cell r="J2099" t="str">
            <v>STS GAMBY &amp; FRERES (SOGAF) SarlScratch 5 000</v>
          </cell>
          <cell r="L2099">
            <v>1</v>
          </cell>
          <cell r="M2099" t="str">
            <v>1STS GAMBY &amp; FRERES (SOGAF) Sarl</v>
          </cell>
          <cell r="N2099" t="str">
            <v>STS GAMBY &amp; FRERES (SOGAF) SarlScratch 5 000</v>
          </cell>
          <cell r="O2099" t="str">
            <v>STS GAMBY &amp; FRERES (SOGAF) Sarl</v>
          </cell>
          <cell r="P2099" t="str">
            <v>Scratch 5 000</v>
          </cell>
          <cell r="Q2099" t="str">
            <v>72007</v>
          </cell>
          <cell r="R2099" t="str">
            <v>72007Scratch 5 000</v>
          </cell>
          <cell r="S2099" t="str">
            <v>2007Scratch 5 000</v>
          </cell>
          <cell r="T2099" t="str">
            <v>72007STS GAMBY &amp; FRERES (SOGAF) Sarl</v>
          </cell>
          <cell r="U2099" t="str">
            <v>72007STS GAMBY &amp; FRERES (SOGAF) SarlScratch 5 000</v>
          </cell>
          <cell r="V2099" t="str">
            <v>39290Scratch 5 000</v>
          </cell>
          <cell r="W2099" t="str">
            <v>2007STS GAMBY &amp; FRERES (SOGAF) Sarl</v>
          </cell>
          <cell r="X2099" t="str">
            <v>2007STS GAMBY &amp; FRERES (SOGAF) SarlScratch 5 000</v>
          </cell>
        </row>
        <row r="2100">
          <cell r="I2100">
            <v>2007</v>
          </cell>
          <cell r="J2100" t="str">
            <v>STS GAMBY &amp; FRERES (SOGAF) SarlScratch 2 000</v>
          </cell>
          <cell r="L2100">
            <v>0</v>
          </cell>
          <cell r="M2100" t="str">
            <v>STS GAMBY &amp; FRERES (SOGAF) Sarl</v>
          </cell>
          <cell r="N2100" t="str">
            <v>STS GAMBY &amp; FRERES (SOGAF) SarlScratch 2 000</v>
          </cell>
          <cell r="O2100" t="str">
            <v>STS GAMBY &amp; FRERES (SOGAF) Sarl</v>
          </cell>
          <cell r="P2100" t="str">
            <v>Scratch 2 000</v>
          </cell>
          <cell r="Q2100" t="str">
            <v>72007</v>
          </cell>
          <cell r="R2100" t="str">
            <v>72007Scratch 2 000</v>
          </cell>
          <cell r="S2100" t="str">
            <v>2007Scratch 2 000</v>
          </cell>
          <cell r="T2100" t="str">
            <v>72007STS GAMBY &amp; FRERES (SOGAF) Sarl</v>
          </cell>
          <cell r="U2100" t="str">
            <v>72007STS GAMBY &amp; FRERES (SOGAF) SarlScratch 2 000</v>
          </cell>
          <cell r="V2100" t="str">
            <v>39290Scratch 2 000</v>
          </cell>
          <cell r="W2100" t="str">
            <v>2007STS GAMBY &amp; FRERES (SOGAF) Sarl</v>
          </cell>
          <cell r="X2100" t="str">
            <v>2007STS GAMBY &amp; FRERES (SOGAF) SarlScratch 2 000</v>
          </cell>
        </row>
        <row r="2101">
          <cell r="I2101">
            <v>2007</v>
          </cell>
          <cell r="J2101" t="str">
            <v>STS GAMBY &amp; FRERES (SOGAF) SarlScratch 1 000</v>
          </cell>
          <cell r="L2101">
            <v>0</v>
          </cell>
          <cell r="M2101" t="str">
            <v>STS GAMBY &amp; FRERES (SOGAF) Sarl</v>
          </cell>
          <cell r="N2101" t="str">
            <v>STS GAMBY &amp; FRERES (SOGAF) SarlScratch 1 000</v>
          </cell>
          <cell r="O2101" t="str">
            <v>STS GAMBY &amp; FRERES (SOGAF) Sarl</v>
          </cell>
          <cell r="P2101" t="str">
            <v>Scratch 1 000</v>
          </cell>
          <cell r="Q2101" t="str">
            <v>72007</v>
          </cell>
          <cell r="R2101" t="str">
            <v>72007Scratch 1 000</v>
          </cell>
          <cell r="S2101" t="str">
            <v>2007Scratch 1 000</v>
          </cell>
          <cell r="T2101" t="str">
            <v>72007STS GAMBY &amp; FRERES (SOGAF) Sarl</v>
          </cell>
          <cell r="U2101" t="str">
            <v>72007STS GAMBY &amp; FRERES (SOGAF) SarlScratch 1 000</v>
          </cell>
          <cell r="V2101" t="str">
            <v>39290Scratch 1 000</v>
          </cell>
          <cell r="W2101" t="str">
            <v>2007STS GAMBY &amp; FRERES (SOGAF) Sarl</v>
          </cell>
          <cell r="X2101" t="str">
            <v>2007STS GAMBY &amp; FRERES (SOGAF) SarlScratch 1 000</v>
          </cell>
        </row>
        <row r="2102">
          <cell r="I2102">
            <v>2007</v>
          </cell>
          <cell r="J2102" t="str">
            <v>GEMATELScratch 5 000</v>
          </cell>
          <cell r="L2102">
            <v>1</v>
          </cell>
          <cell r="M2102" t="str">
            <v>1GEMATEL</v>
          </cell>
          <cell r="N2102" t="str">
            <v>GEMATELScratch 5 000</v>
          </cell>
          <cell r="O2102" t="str">
            <v>GEMATEL</v>
          </cell>
          <cell r="P2102" t="str">
            <v>Scratch 5 000</v>
          </cell>
          <cell r="Q2102" t="str">
            <v>72007</v>
          </cell>
          <cell r="R2102" t="str">
            <v>72007Scratch 5 000</v>
          </cell>
          <cell r="S2102" t="str">
            <v>2007Scratch 5 000</v>
          </cell>
          <cell r="T2102" t="str">
            <v>72007GEMATEL</v>
          </cell>
          <cell r="U2102" t="str">
            <v>72007GEMATELScratch 5 000</v>
          </cell>
          <cell r="V2102" t="str">
            <v>39290Scratch 5 000</v>
          </cell>
          <cell r="W2102" t="str">
            <v>2007GEMATEL</v>
          </cell>
          <cell r="X2102" t="str">
            <v>2007GEMATELScratch 5 000</v>
          </cell>
        </row>
        <row r="2103">
          <cell r="I2103">
            <v>2007</v>
          </cell>
          <cell r="J2103" t="str">
            <v>GEMATELScratch 2 000</v>
          </cell>
          <cell r="L2103">
            <v>0</v>
          </cell>
          <cell r="M2103" t="str">
            <v>GEMATEL</v>
          </cell>
          <cell r="N2103" t="str">
            <v>GEMATELScratch 2 000</v>
          </cell>
          <cell r="O2103" t="str">
            <v>GEMATEL</v>
          </cell>
          <cell r="P2103" t="str">
            <v>Scratch 2 000</v>
          </cell>
          <cell r="Q2103" t="str">
            <v>72007</v>
          </cell>
          <cell r="R2103" t="str">
            <v>72007Scratch 2 000</v>
          </cell>
          <cell r="S2103" t="str">
            <v>2007Scratch 2 000</v>
          </cell>
          <cell r="T2103" t="str">
            <v>72007GEMATEL</v>
          </cell>
          <cell r="U2103" t="str">
            <v>72007GEMATELScratch 2 000</v>
          </cell>
          <cell r="V2103" t="str">
            <v>39290Scratch 2 000</v>
          </cell>
          <cell r="W2103" t="str">
            <v>2007GEMATEL</v>
          </cell>
          <cell r="X2103" t="str">
            <v>2007GEMATELScratch 2 000</v>
          </cell>
        </row>
        <row r="2104">
          <cell r="I2104">
            <v>2007</v>
          </cell>
          <cell r="J2104" t="str">
            <v>GEMATELScratch 1 000</v>
          </cell>
          <cell r="L2104">
            <v>0</v>
          </cell>
          <cell r="M2104" t="str">
            <v>GEMATEL</v>
          </cell>
          <cell r="N2104" t="str">
            <v>GEMATELScratch 1 000</v>
          </cell>
          <cell r="O2104" t="str">
            <v>GEMATEL</v>
          </cell>
          <cell r="P2104" t="str">
            <v>Scratch 1 000</v>
          </cell>
          <cell r="Q2104" t="str">
            <v>72007</v>
          </cell>
          <cell r="R2104" t="str">
            <v>72007Scratch 1 000</v>
          </cell>
          <cell r="S2104" t="str">
            <v>2007Scratch 1 000</v>
          </cell>
          <cell r="T2104" t="str">
            <v>72007GEMATEL</v>
          </cell>
          <cell r="U2104" t="str">
            <v>72007GEMATELScratch 1 000</v>
          </cell>
          <cell r="V2104" t="str">
            <v>39290Scratch 1 000</v>
          </cell>
          <cell r="W2104" t="str">
            <v>2007GEMATEL</v>
          </cell>
          <cell r="X2104" t="str">
            <v>2007GEMATELScratch 1 000</v>
          </cell>
        </row>
        <row r="2105">
          <cell r="I2105">
            <v>2007</v>
          </cell>
          <cell r="J2105" t="str">
            <v>GEMATELScratch 20 000</v>
          </cell>
          <cell r="L2105">
            <v>1</v>
          </cell>
          <cell r="M2105" t="str">
            <v>1GEMATEL</v>
          </cell>
          <cell r="N2105" t="str">
            <v>GEMATELScratch 20 000</v>
          </cell>
          <cell r="O2105" t="str">
            <v>GEMATEL</v>
          </cell>
          <cell r="P2105" t="str">
            <v>Scratch 20 000</v>
          </cell>
          <cell r="Q2105" t="str">
            <v>72007</v>
          </cell>
          <cell r="R2105" t="str">
            <v>72007Scratch 20 000</v>
          </cell>
          <cell r="S2105" t="str">
            <v>2007Scratch 20 000</v>
          </cell>
          <cell r="T2105" t="str">
            <v>72007GEMATEL</v>
          </cell>
          <cell r="U2105" t="str">
            <v>72007GEMATELScratch 20 000</v>
          </cell>
          <cell r="V2105" t="str">
            <v>39290Scratch 20 000</v>
          </cell>
          <cell r="W2105" t="str">
            <v>2007GEMATEL</v>
          </cell>
          <cell r="X2105" t="str">
            <v>2007GEMATELScratch 20 000</v>
          </cell>
        </row>
        <row r="2106">
          <cell r="I2106">
            <v>2007</v>
          </cell>
          <cell r="J2106" t="str">
            <v>GEMATELScratch 5 000</v>
          </cell>
          <cell r="L2106">
            <v>0</v>
          </cell>
          <cell r="M2106" t="str">
            <v>GEMATEL</v>
          </cell>
          <cell r="N2106" t="str">
            <v>GEMATELScratch 5 000</v>
          </cell>
          <cell r="O2106" t="str">
            <v>GEMATEL</v>
          </cell>
          <cell r="P2106" t="str">
            <v>Scratch 5 000</v>
          </cell>
          <cell r="Q2106" t="str">
            <v>72007</v>
          </cell>
          <cell r="R2106" t="str">
            <v>72007Scratch 5 000</v>
          </cell>
          <cell r="S2106" t="str">
            <v>2007Scratch 5 000</v>
          </cell>
          <cell r="T2106" t="str">
            <v>72007GEMATEL</v>
          </cell>
          <cell r="U2106" t="str">
            <v>72007GEMATELScratch 5 000</v>
          </cell>
          <cell r="V2106" t="str">
            <v>39290Scratch 5 000</v>
          </cell>
          <cell r="W2106" t="str">
            <v>2007GEMATEL</v>
          </cell>
          <cell r="X2106" t="str">
            <v>2007GEMATELScratch 5 000</v>
          </cell>
        </row>
        <row r="2107">
          <cell r="I2107">
            <v>2007</v>
          </cell>
          <cell r="J2107" t="str">
            <v>GEMATELScratch 2 000</v>
          </cell>
          <cell r="L2107">
            <v>0</v>
          </cell>
          <cell r="M2107" t="str">
            <v>GEMATEL</v>
          </cell>
          <cell r="N2107" t="str">
            <v>GEMATELScratch 2 000</v>
          </cell>
          <cell r="O2107" t="str">
            <v>GEMATEL</v>
          </cell>
          <cell r="P2107" t="str">
            <v>Scratch 2 000</v>
          </cell>
          <cell r="Q2107" t="str">
            <v>72007</v>
          </cell>
          <cell r="R2107" t="str">
            <v>72007Scratch 2 000</v>
          </cell>
          <cell r="S2107" t="str">
            <v>2007Scratch 2 000</v>
          </cell>
          <cell r="T2107" t="str">
            <v>72007GEMATEL</v>
          </cell>
          <cell r="U2107" t="str">
            <v>72007GEMATELScratch 2 000</v>
          </cell>
          <cell r="V2107" t="str">
            <v>39290Scratch 2 000</v>
          </cell>
          <cell r="W2107" t="str">
            <v>2007GEMATEL</v>
          </cell>
          <cell r="X2107" t="str">
            <v>2007GEMATELScratch 2 000</v>
          </cell>
        </row>
        <row r="2108">
          <cell r="I2108">
            <v>2007</v>
          </cell>
          <cell r="J2108" t="str">
            <v>GEMATELScratch 1 000</v>
          </cell>
          <cell r="L2108">
            <v>0</v>
          </cell>
          <cell r="M2108" t="str">
            <v>GEMATEL</v>
          </cell>
          <cell r="N2108" t="str">
            <v>GEMATELScratch 1 000</v>
          </cell>
          <cell r="O2108" t="str">
            <v>GEMATEL</v>
          </cell>
          <cell r="P2108" t="str">
            <v>Scratch 1 000</v>
          </cell>
          <cell r="Q2108" t="str">
            <v>72007</v>
          </cell>
          <cell r="R2108" t="str">
            <v>72007Scratch 1 000</v>
          </cell>
          <cell r="S2108" t="str">
            <v>2007Scratch 1 000</v>
          </cell>
          <cell r="T2108" t="str">
            <v>72007GEMATEL</v>
          </cell>
          <cell r="U2108" t="str">
            <v>72007GEMATELScratch 1 000</v>
          </cell>
          <cell r="V2108" t="str">
            <v>39290Scratch 1 000</v>
          </cell>
          <cell r="W2108" t="str">
            <v>2007GEMATEL</v>
          </cell>
          <cell r="X2108" t="str">
            <v>2007GEMATELScratch 1 000</v>
          </cell>
        </row>
        <row r="2109">
          <cell r="I2109">
            <v>2007</v>
          </cell>
          <cell r="J2109" t="str">
            <v>ANKA SERVICESScratch 10 000</v>
          </cell>
          <cell r="L2109">
            <v>1</v>
          </cell>
          <cell r="M2109" t="str">
            <v>1ANKA SERVICES</v>
          </cell>
          <cell r="N2109" t="str">
            <v>ANKA SERVICESScratch 10 000</v>
          </cell>
          <cell r="O2109" t="str">
            <v>ANKA SERVICES</v>
          </cell>
          <cell r="P2109" t="str">
            <v>Scratch 10 000</v>
          </cell>
          <cell r="Q2109" t="str">
            <v>72007</v>
          </cell>
          <cell r="R2109" t="str">
            <v>72007Scratch 10 000</v>
          </cell>
          <cell r="S2109" t="str">
            <v>2007Scratch 10 000</v>
          </cell>
          <cell r="T2109" t="str">
            <v>72007ANKA SERVICES</v>
          </cell>
          <cell r="U2109" t="str">
            <v>72007ANKA SERVICESScratch 10 000</v>
          </cell>
          <cell r="V2109" t="str">
            <v>39290Scratch 10 000</v>
          </cell>
          <cell r="W2109" t="str">
            <v>2007ANKA SERVICES</v>
          </cell>
          <cell r="X2109" t="str">
            <v>2007ANKA SERVICESScratch 10 000</v>
          </cell>
        </row>
        <row r="2110">
          <cell r="I2110">
            <v>2007</v>
          </cell>
          <cell r="J2110" t="str">
            <v>ANKA SERVICESScratch 5 000</v>
          </cell>
          <cell r="L2110">
            <v>0</v>
          </cell>
          <cell r="M2110" t="str">
            <v>ANKA SERVICES</v>
          </cell>
          <cell r="N2110" t="str">
            <v>ANKA SERVICESScratch 5 000</v>
          </cell>
          <cell r="O2110" t="str">
            <v>ANKA SERVICES</v>
          </cell>
          <cell r="P2110" t="str">
            <v>Scratch 5 000</v>
          </cell>
          <cell r="Q2110" t="str">
            <v>72007</v>
          </cell>
          <cell r="R2110" t="str">
            <v>72007Scratch 5 000</v>
          </cell>
          <cell r="S2110" t="str">
            <v>2007Scratch 5 000</v>
          </cell>
          <cell r="T2110" t="str">
            <v>72007ANKA SERVICES</v>
          </cell>
          <cell r="U2110" t="str">
            <v>72007ANKA SERVICESScratch 5 000</v>
          </cell>
          <cell r="V2110" t="str">
            <v>39290Scratch 5 000</v>
          </cell>
          <cell r="W2110" t="str">
            <v>2007ANKA SERVICES</v>
          </cell>
          <cell r="X2110" t="str">
            <v>2007ANKA SERVICESScratch 5 000</v>
          </cell>
        </row>
        <row r="2111">
          <cell r="I2111">
            <v>2007</v>
          </cell>
          <cell r="J2111" t="str">
            <v>ANKA SERVICESScratch 2 000</v>
          </cell>
          <cell r="L2111">
            <v>0</v>
          </cell>
          <cell r="M2111" t="str">
            <v>ANKA SERVICES</v>
          </cell>
          <cell r="N2111" t="str">
            <v>ANKA SERVICESScratch 2 000</v>
          </cell>
          <cell r="O2111" t="str">
            <v>ANKA SERVICES</v>
          </cell>
          <cell r="P2111" t="str">
            <v>Scratch 2 000</v>
          </cell>
          <cell r="Q2111" t="str">
            <v>72007</v>
          </cell>
          <cell r="R2111" t="str">
            <v>72007Scratch 2 000</v>
          </cell>
          <cell r="S2111" t="str">
            <v>2007Scratch 2 000</v>
          </cell>
          <cell r="T2111" t="str">
            <v>72007ANKA SERVICES</v>
          </cell>
          <cell r="U2111" t="str">
            <v>72007ANKA SERVICESScratch 2 000</v>
          </cell>
          <cell r="V2111" t="str">
            <v>39290Scratch 2 000</v>
          </cell>
          <cell r="W2111" t="str">
            <v>2007ANKA SERVICES</v>
          </cell>
          <cell r="X2111" t="str">
            <v>2007ANKA SERVICESScratch 2 000</v>
          </cell>
        </row>
        <row r="2112">
          <cell r="I2112">
            <v>2007</v>
          </cell>
          <cell r="J2112" t="str">
            <v>ANKA SERVICESScratch 1 000</v>
          </cell>
          <cell r="L2112">
            <v>0</v>
          </cell>
          <cell r="M2112" t="str">
            <v>ANKA SERVICES</v>
          </cell>
          <cell r="N2112" t="str">
            <v>ANKA SERVICESScratch 1 000</v>
          </cell>
          <cell r="O2112" t="str">
            <v>ANKA SERVICES</v>
          </cell>
          <cell r="P2112" t="str">
            <v>Scratch 1 000</v>
          </cell>
          <cell r="Q2112" t="str">
            <v>72007</v>
          </cell>
          <cell r="R2112" t="str">
            <v>72007Scratch 1 000</v>
          </cell>
          <cell r="S2112" t="str">
            <v>2007Scratch 1 000</v>
          </cell>
          <cell r="T2112" t="str">
            <v>72007ANKA SERVICES</v>
          </cell>
          <cell r="U2112" t="str">
            <v>72007ANKA SERVICESScratch 1 000</v>
          </cell>
          <cell r="V2112" t="str">
            <v>39290Scratch 1 000</v>
          </cell>
          <cell r="W2112" t="str">
            <v>2007ANKA SERVICES</v>
          </cell>
          <cell r="X2112" t="str">
            <v>2007ANKA SERVICESScratch 1 000</v>
          </cell>
        </row>
        <row r="2113">
          <cell r="I2113">
            <v>2007</v>
          </cell>
          <cell r="J2113" t="str">
            <v>MALI COM SarlScratch 20 000</v>
          </cell>
          <cell r="L2113">
            <v>1</v>
          </cell>
          <cell r="M2113" t="str">
            <v>1MALI COM Sarl</v>
          </cell>
          <cell r="N2113" t="str">
            <v>MALI COM SarlScratch 20 000</v>
          </cell>
          <cell r="O2113" t="str">
            <v>MALI COM Sarl</v>
          </cell>
          <cell r="P2113" t="str">
            <v>Scratch 20 000</v>
          </cell>
          <cell r="Q2113" t="str">
            <v>72007</v>
          </cell>
          <cell r="R2113" t="str">
            <v>72007Scratch 20 000</v>
          </cell>
          <cell r="S2113" t="str">
            <v>2007Scratch 20 000</v>
          </cell>
          <cell r="T2113" t="str">
            <v>72007MALI COM Sarl</v>
          </cell>
          <cell r="U2113" t="str">
            <v>72007MALI COM SarlScratch 20 000</v>
          </cell>
          <cell r="V2113" t="str">
            <v>39293Scratch 20 000</v>
          </cell>
          <cell r="W2113" t="str">
            <v>2007MALI COM Sarl</v>
          </cell>
          <cell r="X2113" t="str">
            <v>2007MALI COM SarlScratch 20 000</v>
          </cell>
        </row>
        <row r="2114">
          <cell r="I2114">
            <v>2007</v>
          </cell>
          <cell r="J2114" t="str">
            <v>MALI COM SarlScratch 5 000</v>
          </cell>
          <cell r="L2114">
            <v>0</v>
          </cell>
          <cell r="M2114" t="str">
            <v>MALI COM Sarl</v>
          </cell>
          <cell r="N2114" t="str">
            <v>MALI COM SarlScratch 5 000</v>
          </cell>
          <cell r="O2114" t="str">
            <v>MALI COM Sarl</v>
          </cell>
          <cell r="P2114" t="str">
            <v>Scratch 5 000</v>
          </cell>
          <cell r="Q2114" t="str">
            <v>72007</v>
          </cell>
          <cell r="R2114" t="str">
            <v>72007Scratch 5 000</v>
          </cell>
          <cell r="S2114" t="str">
            <v>2007Scratch 5 000</v>
          </cell>
          <cell r="T2114" t="str">
            <v>72007MALI COM Sarl</v>
          </cell>
          <cell r="U2114" t="str">
            <v>72007MALI COM SarlScratch 5 000</v>
          </cell>
          <cell r="V2114" t="str">
            <v>39293Scratch 5 000</v>
          </cell>
          <cell r="W2114" t="str">
            <v>2007MALI COM Sarl</v>
          </cell>
          <cell r="X2114" t="str">
            <v>2007MALI COM SarlScratch 5 000</v>
          </cell>
        </row>
        <row r="2115">
          <cell r="I2115">
            <v>2007</v>
          </cell>
          <cell r="J2115" t="str">
            <v>MALI COM SarlScratch 2 000</v>
          </cell>
          <cell r="L2115">
            <v>0</v>
          </cell>
          <cell r="M2115" t="str">
            <v>MALI COM Sarl</v>
          </cell>
          <cell r="N2115" t="str">
            <v>MALI COM SarlScratch 2 000</v>
          </cell>
          <cell r="O2115" t="str">
            <v>MALI COM Sarl</v>
          </cell>
          <cell r="P2115" t="str">
            <v>Scratch 2 000</v>
          </cell>
          <cell r="Q2115" t="str">
            <v>72007</v>
          </cell>
          <cell r="R2115" t="str">
            <v>72007Scratch 2 000</v>
          </cell>
          <cell r="S2115" t="str">
            <v>2007Scratch 2 000</v>
          </cell>
          <cell r="T2115" t="str">
            <v>72007MALI COM Sarl</v>
          </cell>
          <cell r="U2115" t="str">
            <v>72007MALI COM SarlScratch 2 000</v>
          </cell>
          <cell r="V2115" t="str">
            <v>39293Scratch 2 000</v>
          </cell>
          <cell r="W2115" t="str">
            <v>2007MALI COM Sarl</v>
          </cell>
          <cell r="X2115" t="str">
            <v>2007MALI COM SarlScratch 2 000</v>
          </cell>
        </row>
        <row r="2116">
          <cell r="I2116">
            <v>2007</v>
          </cell>
          <cell r="J2116" t="str">
            <v>MALI COM SarlScratch 1 000</v>
          </cell>
          <cell r="L2116">
            <v>0</v>
          </cell>
          <cell r="M2116" t="str">
            <v>MALI COM Sarl</v>
          </cell>
          <cell r="N2116" t="str">
            <v>MALI COM SarlScratch 1 000</v>
          </cell>
          <cell r="O2116" t="str">
            <v>MALI COM Sarl</v>
          </cell>
          <cell r="P2116" t="str">
            <v>Scratch 1 000</v>
          </cell>
          <cell r="Q2116" t="str">
            <v>72007</v>
          </cell>
          <cell r="R2116" t="str">
            <v>72007Scratch 1 000</v>
          </cell>
          <cell r="S2116" t="str">
            <v>2007Scratch 1 000</v>
          </cell>
          <cell r="T2116" t="str">
            <v>72007MALI COM Sarl</v>
          </cell>
          <cell r="U2116" t="str">
            <v>72007MALI COM SarlScratch 1 000</v>
          </cell>
          <cell r="V2116" t="str">
            <v>39293Scratch 1 000</v>
          </cell>
          <cell r="W2116" t="str">
            <v>2007MALI COM Sarl</v>
          </cell>
          <cell r="X2116" t="str">
            <v>2007MALI COM SarlScratch 1 000</v>
          </cell>
        </row>
        <row r="2117">
          <cell r="I2117">
            <v>2007</v>
          </cell>
          <cell r="J2117" t="str">
            <v>STS GAMBY &amp; FRERES (SOGAF) SarlScratch 20 000</v>
          </cell>
          <cell r="L2117">
            <v>1</v>
          </cell>
          <cell r="M2117" t="str">
            <v>1STS GAMBY &amp; FRERES (SOGAF) Sarl</v>
          </cell>
          <cell r="N2117" t="str">
            <v>STS GAMBY &amp; FRERES (SOGAF) SarlScratch 20 000</v>
          </cell>
          <cell r="O2117" t="str">
            <v>STS GAMBY &amp; FRERES (SOGAF) Sarl</v>
          </cell>
          <cell r="P2117" t="str">
            <v>Scratch 20 000</v>
          </cell>
          <cell r="Q2117" t="str">
            <v>72007</v>
          </cell>
          <cell r="R2117" t="str">
            <v>72007Scratch 20 000</v>
          </cell>
          <cell r="S2117" t="str">
            <v>2007Scratch 20 000</v>
          </cell>
          <cell r="T2117" t="str">
            <v>72007STS GAMBY &amp; FRERES (SOGAF) Sarl</v>
          </cell>
          <cell r="U2117" t="str">
            <v>72007STS GAMBY &amp; FRERES (SOGAF) SarlScratch 20 000</v>
          </cell>
          <cell r="V2117" t="str">
            <v>39293Scratch 20 000</v>
          </cell>
          <cell r="W2117" t="str">
            <v>2007STS GAMBY &amp; FRERES (SOGAF) Sarl</v>
          </cell>
          <cell r="X2117" t="str">
            <v>2007STS GAMBY &amp; FRERES (SOGAF) SarlScratch 20 000</v>
          </cell>
        </row>
        <row r="2118">
          <cell r="I2118">
            <v>2007</v>
          </cell>
          <cell r="J2118" t="str">
            <v>STS GAMBY &amp; FRERES (SOGAF) SarlScratch 10 000</v>
          </cell>
          <cell r="L2118">
            <v>0</v>
          </cell>
          <cell r="M2118" t="str">
            <v>STS GAMBY &amp; FRERES (SOGAF) Sarl</v>
          </cell>
          <cell r="N2118" t="str">
            <v>STS GAMBY &amp; FRERES (SOGAF) SarlScratch 10 000</v>
          </cell>
          <cell r="O2118" t="str">
            <v>STS GAMBY &amp; FRERES (SOGAF) Sarl</v>
          </cell>
          <cell r="P2118" t="str">
            <v>Scratch 10 000</v>
          </cell>
          <cell r="Q2118" t="str">
            <v>72007</v>
          </cell>
          <cell r="R2118" t="str">
            <v>72007Scratch 10 000</v>
          </cell>
          <cell r="S2118" t="str">
            <v>2007Scratch 10 000</v>
          </cell>
          <cell r="T2118" t="str">
            <v>72007STS GAMBY &amp; FRERES (SOGAF) Sarl</v>
          </cell>
          <cell r="U2118" t="str">
            <v>72007STS GAMBY &amp; FRERES (SOGAF) SarlScratch 10 000</v>
          </cell>
          <cell r="V2118" t="str">
            <v>39293Scratch 10 000</v>
          </cell>
          <cell r="W2118" t="str">
            <v>2007STS GAMBY &amp; FRERES (SOGAF) Sarl</v>
          </cell>
          <cell r="X2118" t="str">
            <v>2007STS GAMBY &amp; FRERES (SOGAF) SarlScratch 10 000</v>
          </cell>
        </row>
        <row r="2119">
          <cell r="I2119">
            <v>2007</v>
          </cell>
          <cell r="J2119" t="str">
            <v>STS GAMBY &amp; FRERES (SOGAF) SarlScratch 5 000</v>
          </cell>
          <cell r="L2119">
            <v>0</v>
          </cell>
          <cell r="M2119" t="str">
            <v>STS GAMBY &amp; FRERES (SOGAF) Sarl</v>
          </cell>
          <cell r="N2119" t="str">
            <v>STS GAMBY &amp; FRERES (SOGAF) SarlScratch 5 000</v>
          </cell>
          <cell r="O2119" t="str">
            <v>STS GAMBY &amp; FRERES (SOGAF) Sarl</v>
          </cell>
          <cell r="P2119" t="str">
            <v>Scratch 5 000</v>
          </cell>
          <cell r="Q2119" t="str">
            <v>72007</v>
          </cell>
          <cell r="R2119" t="str">
            <v>72007Scratch 5 000</v>
          </cell>
          <cell r="S2119" t="str">
            <v>2007Scratch 5 000</v>
          </cell>
          <cell r="T2119" t="str">
            <v>72007STS GAMBY &amp; FRERES (SOGAF) Sarl</v>
          </cell>
          <cell r="U2119" t="str">
            <v>72007STS GAMBY &amp; FRERES (SOGAF) SarlScratch 5 000</v>
          </cell>
          <cell r="V2119" t="str">
            <v>39293Scratch 5 000</v>
          </cell>
          <cell r="W2119" t="str">
            <v>2007STS GAMBY &amp; FRERES (SOGAF) Sarl</v>
          </cell>
          <cell r="X2119" t="str">
            <v>2007STS GAMBY &amp; FRERES (SOGAF) SarlScratch 5 000</v>
          </cell>
        </row>
        <row r="2120">
          <cell r="I2120">
            <v>2007</v>
          </cell>
          <cell r="J2120" t="str">
            <v>STS GAMBY &amp; FRERES (SOGAF) SarlScratch 2 000</v>
          </cell>
          <cell r="L2120">
            <v>0</v>
          </cell>
          <cell r="M2120" t="str">
            <v>STS GAMBY &amp; FRERES (SOGAF) Sarl</v>
          </cell>
          <cell r="N2120" t="str">
            <v>STS GAMBY &amp; FRERES (SOGAF) SarlScratch 2 000</v>
          </cell>
          <cell r="O2120" t="str">
            <v>STS GAMBY &amp; FRERES (SOGAF) Sarl</v>
          </cell>
          <cell r="P2120" t="str">
            <v>Scratch 2 000</v>
          </cell>
          <cell r="Q2120" t="str">
            <v>72007</v>
          </cell>
          <cell r="R2120" t="str">
            <v>72007Scratch 2 000</v>
          </cell>
          <cell r="S2120" t="str">
            <v>2007Scratch 2 000</v>
          </cell>
          <cell r="T2120" t="str">
            <v>72007STS GAMBY &amp; FRERES (SOGAF) Sarl</v>
          </cell>
          <cell r="U2120" t="str">
            <v>72007STS GAMBY &amp; FRERES (SOGAF) SarlScratch 2 000</v>
          </cell>
          <cell r="V2120" t="str">
            <v>39293Scratch 2 000</v>
          </cell>
          <cell r="W2120" t="str">
            <v>2007STS GAMBY &amp; FRERES (SOGAF) Sarl</v>
          </cell>
          <cell r="X2120" t="str">
            <v>2007STS GAMBY &amp; FRERES (SOGAF) SarlScratch 2 000</v>
          </cell>
        </row>
        <row r="2121">
          <cell r="I2121">
            <v>2007</v>
          </cell>
          <cell r="J2121" t="str">
            <v>STS GAMBY &amp; FRERES (SOGAF) SarlScratch 1 000</v>
          </cell>
          <cell r="L2121">
            <v>0</v>
          </cell>
          <cell r="M2121" t="str">
            <v>STS GAMBY &amp; FRERES (SOGAF) Sarl</v>
          </cell>
          <cell r="N2121" t="str">
            <v>STS GAMBY &amp; FRERES (SOGAF) SarlScratch 1 000</v>
          </cell>
          <cell r="O2121" t="str">
            <v>STS GAMBY &amp; FRERES (SOGAF) Sarl</v>
          </cell>
          <cell r="P2121" t="str">
            <v>Scratch 1 000</v>
          </cell>
          <cell r="Q2121" t="str">
            <v>72007</v>
          </cell>
          <cell r="R2121" t="str">
            <v>72007Scratch 1 000</v>
          </cell>
          <cell r="S2121" t="str">
            <v>2007Scratch 1 000</v>
          </cell>
          <cell r="T2121" t="str">
            <v>72007STS GAMBY &amp; FRERES (SOGAF) Sarl</v>
          </cell>
          <cell r="U2121" t="str">
            <v>72007STS GAMBY &amp; FRERES (SOGAF) SarlScratch 1 000</v>
          </cell>
          <cell r="V2121" t="str">
            <v>39293Scratch 1 000</v>
          </cell>
          <cell r="W2121" t="str">
            <v>2007STS GAMBY &amp; FRERES (SOGAF) Sarl</v>
          </cell>
          <cell r="X2121" t="str">
            <v>2007STS GAMBY &amp; FRERES (SOGAF) SarlScratch 1 000</v>
          </cell>
        </row>
        <row r="2122">
          <cell r="I2122">
            <v>2007</v>
          </cell>
          <cell r="J2122" t="str">
            <v>Compagnie Internationale de NegoceScratch 20 000</v>
          </cell>
          <cell r="L2122">
            <v>1</v>
          </cell>
          <cell r="M2122" t="str">
            <v>1Compagnie Internationale de Negoce</v>
          </cell>
          <cell r="N2122" t="str">
            <v>Compagnie Internationale de NegoceScratch 20 000</v>
          </cell>
          <cell r="O2122" t="str">
            <v>Compagnie Internationale de Negoce</v>
          </cell>
          <cell r="P2122" t="str">
            <v>Scratch 20 000</v>
          </cell>
          <cell r="Q2122" t="str">
            <v>72007</v>
          </cell>
          <cell r="R2122" t="str">
            <v>72007Scratch 20 000</v>
          </cell>
          <cell r="S2122" t="str">
            <v>2007Scratch 20 000</v>
          </cell>
          <cell r="T2122" t="str">
            <v>72007Compagnie Internationale de Negoce</v>
          </cell>
          <cell r="U2122" t="str">
            <v>72007Compagnie Internationale de NegoceScratch 20 000</v>
          </cell>
          <cell r="V2122" t="str">
            <v>39293Scratch 20 000</v>
          </cell>
          <cell r="W2122" t="str">
            <v>2007Compagnie Internationale de Negoce</v>
          </cell>
          <cell r="X2122" t="str">
            <v>2007Compagnie Internationale de NegoceScratch 20 000</v>
          </cell>
        </row>
        <row r="2123">
          <cell r="I2123">
            <v>2007</v>
          </cell>
          <cell r="J2123" t="str">
            <v>Compagnie Internationale de NegoceScratch 10 000</v>
          </cell>
          <cell r="L2123">
            <v>0</v>
          </cell>
          <cell r="M2123" t="str">
            <v>Compagnie Internationale de Negoce</v>
          </cell>
          <cell r="N2123" t="str">
            <v>Compagnie Internationale de NegoceScratch 10 000</v>
          </cell>
          <cell r="O2123" t="str">
            <v>Compagnie Internationale de Negoce</v>
          </cell>
          <cell r="P2123" t="str">
            <v>Scratch 10 000</v>
          </cell>
          <cell r="Q2123" t="str">
            <v>72007</v>
          </cell>
          <cell r="R2123" t="str">
            <v>72007Scratch 10 000</v>
          </cell>
          <cell r="S2123" t="str">
            <v>2007Scratch 10 000</v>
          </cell>
          <cell r="T2123" t="str">
            <v>72007Compagnie Internationale de Negoce</v>
          </cell>
          <cell r="U2123" t="str">
            <v>72007Compagnie Internationale de NegoceScratch 10 000</v>
          </cell>
          <cell r="V2123" t="str">
            <v>39293Scratch 10 000</v>
          </cell>
          <cell r="W2123" t="str">
            <v>2007Compagnie Internationale de Negoce</v>
          </cell>
          <cell r="X2123" t="str">
            <v>2007Compagnie Internationale de NegoceScratch 10 000</v>
          </cell>
        </row>
        <row r="2124">
          <cell r="I2124">
            <v>2007</v>
          </cell>
          <cell r="J2124" t="str">
            <v>Compagnie Internationale de NegoceScratch 5 000</v>
          </cell>
          <cell r="L2124">
            <v>0</v>
          </cell>
          <cell r="M2124" t="str">
            <v>Compagnie Internationale de Negoce</v>
          </cell>
          <cell r="N2124" t="str">
            <v>Compagnie Internationale de NegoceScratch 5 000</v>
          </cell>
          <cell r="O2124" t="str">
            <v>Compagnie Internationale de Negoce</v>
          </cell>
          <cell r="P2124" t="str">
            <v>Scratch 5 000</v>
          </cell>
          <cell r="Q2124" t="str">
            <v>72007</v>
          </cell>
          <cell r="R2124" t="str">
            <v>72007Scratch 5 000</v>
          </cell>
          <cell r="S2124" t="str">
            <v>2007Scratch 5 000</v>
          </cell>
          <cell r="T2124" t="str">
            <v>72007Compagnie Internationale de Negoce</v>
          </cell>
          <cell r="U2124" t="str">
            <v>72007Compagnie Internationale de NegoceScratch 5 000</v>
          </cell>
          <cell r="V2124" t="str">
            <v>39293Scratch 5 000</v>
          </cell>
          <cell r="W2124" t="str">
            <v>2007Compagnie Internationale de Negoce</v>
          </cell>
          <cell r="X2124" t="str">
            <v>2007Compagnie Internationale de NegoceScratch 5 000</v>
          </cell>
        </row>
        <row r="2125">
          <cell r="I2125">
            <v>2007</v>
          </cell>
          <cell r="J2125" t="str">
            <v>Compagnie Internationale de NegoceScratch 2 000</v>
          </cell>
          <cell r="L2125">
            <v>0</v>
          </cell>
          <cell r="M2125" t="str">
            <v>Compagnie Internationale de Negoce</v>
          </cell>
          <cell r="N2125" t="str">
            <v>Compagnie Internationale de NegoceScratch 2 000</v>
          </cell>
          <cell r="O2125" t="str">
            <v>Compagnie Internationale de Negoce</v>
          </cell>
          <cell r="P2125" t="str">
            <v>Scratch 2 000</v>
          </cell>
          <cell r="Q2125" t="str">
            <v>72007</v>
          </cell>
          <cell r="R2125" t="str">
            <v>72007Scratch 2 000</v>
          </cell>
          <cell r="S2125" t="str">
            <v>2007Scratch 2 000</v>
          </cell>
          <cell r="T2125" t="str">
            <v>72007Compagnie Internationale de Negoce</v>
          </cell>
          <cell r="U2125" t="str">
            <v>72007Compagnie Internationale de NegoceScratch 2 000</v>
          </cell>
          <cell r="V2125" t="str">
            <v>39293Scratch 2 000</v>
          </cell>
          <cell r="W2125" t="str">
            <v>2007Compagnie Internationale de Negoce</v>
          </cell>
          <cell r="X2125" t="str">
            <v>2007Compagnie Internationale de NegoceScratch 2 000</v>
          </cell>
        </row>
        <row r="2126">
          <cell r="I2126">
            <v>2007</v>
          </cell>
          <cell r="J2126" t="str">
            <v>Compagnie Internationale de NegoceScratch 1 000</v>
          </cell>
          <cell r="L2126">
            <v>0</v>
          </cell>
          <cell r="M2126" t="str">
            <v>Compagnie Internationale de Negoce</v>
          </cell>
          <cell r="N2126" t="str">
            <v>Compagnie Internationale de NegoceScratch 1 000</v>
          </cell>
          <cell r="O2126" t="str">
            <v>Compagnie Internationale de Negoce</v>
          </cell>
          <cell r="P2126" t="str">
            <v>Scratch 1 000</v>
          </cell>
          <cell r="Q2126" t="str">
            <v>72007</v>
          </cell>
          <cell r="R2126" t="str">
            <v>72007Scratch 1 000</v>
          </cell>
          <cell r="S2126" t="str">
            <v>2007Scratch 1 000</v>
          </cell>
          <cell r="T2126" t="str">
            <v>72007Compagnie Internationale de Negoce</v>
          </cell>
          <cell r="U2126" t="str">
            <v>72007Compagnie Internationale de NegoceScratch 1 000</v>
          </cell>
          <cell r="V2126" t="str">
            <v>39293Scratch 1 000</v>
          </cell>
          <cell r="W2126" t="str">
            <v>2007Compagnie Internationale de Negoce</v>
          </cell>
          <cell r="X2126" t="str">
            <v>2007Compagnie Internationale de NegoceScratch 1 000</v>
          </cell>
        </row>
        <row r="2127">
          <cell r="I2127">
            <v>2007</v>
          </cell>
          <cell r="J2127" t="str">
            <v>ANKA SERVICESScratch 20 000</v>
          </cell>
          <cell r="L2127">
            <v>1</v>
          </cell>
          <cell r="M2127" t="str">
            <v>1ANKA SERVICES</v>
          </cell>
          <cell r="N2127" t="str">
            <v>ANKA SERVICESScratch 20 000</v>
          </cell>
          <cell r="O2127" t="str">
            <v>ANKA SERVICES</v>
          </cell>
          <cell r="P2127" t="str">
            <v>Scratch 20 000</v>
          </cell>
          <cell r="Q2127" t="str">
            <v>72007</v>
          </cell>
          <cell r="R2127" t="str">
            <v>72007Scratch 20 000</v>
          </cell>
          <cell r="S2127" t="str">
            <v>2007Scratch 20 000</v>
          </cell>
          <cell r="T2127" t="str">
            <v>72007ANKA SERVICES</v>
          </cell>
          <cell r="U2127" t="str">
            <v>72007ANKA SERVICESScratch 20 000</v>
          </cell>
          <cell r="V2127" t="str">
            <v>39293Scratch 20 000</v>
          </cell>
          <cell r="W2127" t="str">
            <v>2007ANKA SERVICES</v>
          </cell>
          <cell r="X2127" t="str">
            <v>2007ANKA SERVICESScratch 20 000</v>
          </cell>
        </row>
        <row r="2128">
          <cell r="I2128">
            <v>2007</v>
          </cell>
          <cell r="J2128" t="str">
            <v>ANKA SERVICESScratch 5 000</v>
          </cell>
          <cell r="L2128">
            <v>0</v>
          </cell>
          <cell r="M2128" t="str">
            <v>ANKA SERVICES</v>
          </cell>
          <cell r="N2128" t="str">
            <v>ANKA SERVICESScratch 5 000</v>
          </cell>
          <cell r="O2128" t="str">
            <v>ANKA SERVICES</v>
          </cell>
          <cell r="P2128" t="str">
            <v>Scratch 5 000</v>
          </cell>
          <cell r="Q2128" t="str">
            <v>72007</v>
          </cell>
          <cell r="R2128" t="str">
            <v>72007Scratch 5 000</v>
          </cell>
          <cell r="S2128" t="str">
            <v>2007Scratch 5 000</v>
          </cell>
          <cell r="T2128" t="str">
            <v>72007ANKA SERVICES</v>
          </cell>
          <cell r="U2128" t="str">
            <v>72007ANKA SERVICESScratch 5 000</v>
          </cell>
          <cell r="V2128" t="str">
            <v>39293Scratch 5 000</v>
          </cell>
          <cell r="W2128" t="str">
            <v>2007ANKA SERVICES</v>
          </cell>
          <cell r="X2128" t="str">
            <v>2007ANKA SERVICESScratch 5 000</v>
          </cell>
        </row>
        <row r="2129">
          <cell r="I2129">
            <v>2007</v>
          </cell>
          <cell r="J2129" t="str">
            <v>ANKA SERVICESScratch 2 000</v>
          </cell>
          <cell r="L2129">
            <v>0</v>
          </cell>
          <cell r="M2129" t="str">
            <v>ANKA SERVICES</v>
          </cell>
          <cell r="N2129" t="str">
            <v>ANKA SERVICESScratch 2 000</v>
          </cell>
          <cell r="O2129" t="str">
            <v>ANKA SERVICES</v>
          </cell>
          <cell r="P2129" t="str">
            <v>Scratch 2 000</v>
          </cell>
          <cell r="Q2129" t="str">
            <v>72007</v>
          </cell>
          <cell r="R2129" t="str">
            <v>72007Scratch 2 000</v>
          </cell>
          <cell r="S2129" t="str">
            <v>2007Scratch 2 000</v>
          </cell>
          <cell r="T2129" t="str">
            <v>72007ANKA SERVICES</v>
          </cell>
          <cell r="U2129" t="str">
            <v>72007ANKA SERVICESScratch 2 000</v>
          </cell>
          <cell r="V2129" t="str">
            <v>39293Scratch 2 000</v>
          </cell>
          <cell r="W2129" t="str">
            <v>2007ANKA SERVICES</v>
          </cell>
          <cell r="X2129" t="str">
            <v>2007ANKA SERVICESScratch 2 000</v>
          </cell>
        </row>
        <row r="2130">
          <cell r="I2130">
            <v>2007</v>
          </cell>
          <cell r="J2130" t="str">
            <v>ANKA SERVICESScratch 1 000</v>
          </cell>
          <cell r="L2130">
            <v>0</v>
          </cell>
          <cell r="M2130" t="str">
            <v>ANKA SERVICES</v>
          </cell>
          <cell r="N2130" t="str">
            <v>ANKA SERVICESScratch 1 000</v>
          </cell>
          <cell r="O2130" t="str">
            <v>ANKA SERVICES</v>
          </cell>
          <cell r="P2130" t="str">
            <v>Scratch 1 000</v>
          </cell>
          <cell r="Q2130" t="str">
            <v>72007</v>
          </cell>
          <cell r="R2130" t="str">
            <v>72007Scratch 1 000</v>
          </cell>
          <cell r="S2130" t="str">
            <v>2007Scratch 1 000</v>
          </cell>
          <cell r="T2130" t="str">
            <v>72007ANKA SERVICES</v>
          </cell>
          <cell r="U2130" t="str">
            <v>72007ANKA SERVICESScratch 1 000</v>
          </cell>
          <cell r="V2130" t="str">
            <v>39293Scratch 1 000</v>
          </cell>
          <cell r="W2130" t="str">
            <v>2007ANKA SERVICES</v>
          </cell>
          <cell r="X2130" t="str">
            <v>2007ANKA SERVICESScratch 1 000</v>
          </cell>
        </row>
        <row r="2131">
          <cell r="I2131">
            <v>2007</v>
          </cell>
          <cell r="J2131" t="str">
            <v>GEMATELScratch 20 000</v>
          </cell>
          <cell r="L2131">
            <v>1</v>
          </cell>
          <cell r="M2131" t="str">
            <v>1GEMATEL</v>
          </cell>
          <cell r="N2131" t="str">
            <v>GEMATELScratch 20 000</v>
          </cell>
          <cell r="O2131" t="str">
            <v>GEMATEL</v>
          </cell>
          <cell r="P2131" t="str">
            <v>Scratch 20 000</v>
          </cell>
          <cell r="Q2131" t="str">
            <v>72007</v>
          </cell>
          <cell r="R2131" t="str">
            <v>72007Scratch 20 000</v>
          </cell>
          <cell r="S2131" t="str">
            <v>2007Scratch 20 000</v>
          </cell>
          <cell r="T2131" t="str">
            <v>72007GEMATEL</v>
          </cell>
          <cell r="U2131" t="str">
            <v>72007GEMATELScratch 20 000</v>
          </cell>
          <cell r="V2131" t="str">
            <v>39293Scratch 20 000</v>
          </cell>
          <cell r="W2131" t="str">
            <v>2007GEMATEL</v>
          </cell>
          <cell r="X2131" t="str">
            <v>2007GEMATELScratch 20 000</v>
          </cell>
        </row>
        <row r="2132">
          <cell r="I2132">
            <v>2007</v>
          </cell>
          <cell r="J2132" t="str">
            <v>GEMATELScratch 10 000</v>
          </cell>
          <cell r="L2132">
            <v>0</v>
          </cell>
          <cell r="M2132" t="str">
            <v>GEMATEL</v>
          </cell>
          <cell r="N2132" t="str">
            <v>GEMATELScratch 10 000</v>
          </cell>
          <cell r="O2132" t="str">
            <v>GEMATEL</v>
          </cell>
          <cell r="P2132" t="str">
            <v>Scratch 10 000</v>
          </cell>
          <cell r="Q2132" t="str">
            <v>72007</v>
          </cell>
          <cell r="R2132" t="str">
            <v>72007Scratch 10 000</v>
          </cell>
          <cell r="S2132" t="str">
            <v>2007Scratch 10 000</v>
          </cell>
          <cell r="T2132" t="str">
            <v>72007GEMATEL</v>
          </cell>
          <cell r="U2132" t="str">
            <v>72007GEMATELScratch 10 000</v>
          </cell>
          <cell r="V2132" t="str">
            <v>39293Scratch 10 000</v>
          </cell>
          <cell r="W2132" t="str">
            <v>2007GEMATEL</v>
          </cell>
          <cell r="X2132" t="str">
            <v>2007GEMATELScratch 10 000</v>
          </cell>
        </row>
        <row r="2133">
          <cell r="I2133">
            <v>2007</v>
          </cell>
          <cell r="J2133" t="str">
            <v>GEMATELScratch 5 000</v>
          </cell>
          <cell r="L2133">
            <v>0</v>
          </cell>
          <cell r="M2133" t="str">
            <v>GEMATEL</v>
          </cell>
          <cell r="N2133" t="str">
            <v>GEMATELScratch 5 000</v>
          </cell>
          <cell r="O2133" t="str">
            <v>GEMATEL</v>
          </cell>
          <cell r="P2133" t="str">
            <v>Scratch 5 000</v>
          </cell>
          <cell r="Q2133" t="str">
            <v>72007</v>
          </cell>
          <cell r="R2133" t="str">
            <v>72007Scratch 5 000</v>
          </cell>
          <cell r="S2133" t="str">
            <v>2007Scratch 5 000</v>
          </cell>
          <cell r="T2133" t="str">
            <v>72007GEMATEL</v>
          </cell>
          <cell r="U2133" t="str">
            <v>72007GEMATELScratch 5 000</v>
          </cell>
          <cell r="V2133" t="str">
            <v>39293Scratch 5 000</v>
          </cell>
          <cell r="W2133" t="str">
            <v>2007GEMATEL</v>
          </cell>
          <cell r="X2133" t="str">
            <v>2007GEMATELScratch 5 000</v>
          </cell>
        </row>
        <row r="2134">
          <cell r="I2134">
            <v>2007</v>
          </cell>
          <cell r="J2134" t="str">
            <v>GEMATELScratch 2 000</v>
          </cell>
          <cell r="L2134">
            <v>0</v>
          </cell>
          <cell r="M2134" t="str">
            <v>GEMATEL</v>
          </cell>
          <cell r="N2134" t="str">
            <v>GEMATELScratch 2 000</v>
          </cell>
          <cell r="O2134" t="str">
            <v>GEMATEL</v>
          </cell>
          <cell r="P2134" t="str">
            <v>Scratch 2 000</v>
          </cell>
          <cell r="Q2134" t="str">
            <v>72007</v>
          </cell>
          <cell r="R2134" t="str">
            <v>72007Scratch 2 000</v>
          </cell>
          <cell r="S2134" t="str">
            <v>2007Scratch 2 000</v>
          </cell>
          <cell r="T2134" t="str">
            <v>72007GEMATEL</v>
          </cell>
          <cell r="U2134" t="str">
            <v>72007GEMATELScratch 2 000</v>
          </cell>
          <cell r="V2134" t="str">
            <v>39293Scratch 2 000</v>
          </cell>
          <cell r="W2134" t="str">
            <v>2007GEMATEL</v>
          </cell>
          <cell r="X2134" t="str">
            <v>2007GEMATELScratch 2 000</v>
          </cell>
        </row>
        <row r="2135">
          <cell r="I2135">
            <v>2007</v>
          </cell>
          <cell r="J2135" t="str">
            <v>GEMATELScratch 1 000</v>
          </cell>
          <cell r="L2135">
            <v>0</v>
          </cell>
          <cell r="M2135" t="str">
            <v>GEMATEL</v>
          </cell>
          <cell r="N2135" t="str">
            <v>GEMATELScratch 1 000</v>
          </cell>
          <cell r="O2135" t="str">
            <v>GEMATEL</v>
          </cell>
          <cell r="P2135" t="str">
            <v>Scratch 1 000</v>
          </cell>
          <cell r="Q2135" t="str">
            <v>72007</v>
          </cell>
          <cell r="R2135" t="str">
            <v>72007Scratch 1 000</v>
          </cell>
          <cell r="S2135" t="str">
            <v>2007Scratch 1 000</v>
          </cell>
          <cell r="T2135" t="str">
            <v>72007GEMATEL</v>
          </cell>
          <cell r="U2135" t="str">
            <v>72007GEMATELScratch 1 000</v>
          </cell>
          <cell r="V2135" t="str">
            <v>39293Scratch 1 000</v>
          </cell>
          <cell r="W2135" t="str">
            <v>2007GEMATEL</v>
          </cell>
          <cell r="X2135" t="str">
            <v>2007GEMATELScratch 1 000</v>
          </cell>
        </row>
        <row r="2136">
          <cell r="I2136">
            <v>2007</v>
          </cell>
          <cell r="J2136" t="str">
            <v>SOMAKOFFScratch 20 000</v>
          </cell>
          <cell r="L2136">
            <v>1</v>
          </cell>
          <cell r="M2136" t="str">
            <v>1SOMAKOFF</v>
          </cell>
          <cell r="N2136" t="str">
            <v>SOMAKOFFScratch 20 000</v>
          </cell>
          <cell r="O2136" t="str">
            <v>SOMAKOFF</v>
          </cell>
          <cell r="P2136" t="str">
            <v>Scratch 20 000</v>
          </cell>
          <cell r="Q2136" t="str">
            <v>72007</v>
          </cell>
          <cell r="R2136" t="str">
            <v>72007Scratch 20 000</v>
          </cell>
          <cell r="S2136" t="str">
            <v>2007Scratch 20 000</v>
          </cell>
          <cell r="T2136" t="str">
            <v>72007SOMAKOFF</v>
          </cell>
          <cell r="U2136" t="str">
            <v>72007SOMAKOFFScratch 20 000</v>
          </cell>
          <cell r="V2136" t="str">
            <v>39294Scratch 20 000</v>
          </cell>
          <cell r="W2136" t="str">
            <v>2007SOMAKOFF</v>
          </cell>
          <cell r="X2136" t="str">
            <v>2007SOMAKOFFScratch 20 000</v>
          </cell>
        </row>
        <row r="2137">
          <cell r="I2137">
            <v>2007</v>
          </cell>
          <cell r="J2137" t="str">
            <v>SOMAKOFFScratch 5 000</v>
          </cell>
          <cell r="L2137">
            <v>0</v>
          </cell>
          <cell r="M2137" t="str">
            <v>SOMAKOFF</v>
          </cell>
          <cell r="N2137" t="str">
            <v>SOMAKOFFScratch 5 000</v>
          </cell>
          <cell r="O2137" t="str">
            <v>SOMAKOFF</v>
          </cell>
          <cell r="P2137" t="str">
            <v>Scratch 5 000</v>
          </cell>
          <cell r="Q2137" t="str">
            <v>72007</v>
          </cell>
          <cell r="R2137" t="str">
            <v>72007Scratch 5 000</v>
          </cell>
          <cell r="S2137" t="str">
            <v>2007Scratch 5 000</v>
          </cell>
          <cell r="T2137" t="str">
            <v>72007SOMAKOFF</v>
          </cell>
          <cell r="U2137" t="str">
            <v>72007SOMAKOFFScratch 5 000</v>
          </cell>
          <cell r="V2137" t="str">
            <v>39294Scratch 5 000</v>
          </cell>
          <cell r="W2137" t="str">
            <v>2007SOMAKOFF</v>
          </cell>
          <cell r="X2137" t="str">
            <v>2007SOMAKOFFScratch 5 000</v>
          </cell>
        </row>
        <row r="2138">
          <cell r="I2138">
            <v>2007</v>
          </cell>
          <cell r="J2138" t="str">
            <v>SOMAKOFFScratch 2 000</v>
          </cell>
          <cell r="L2138">
            <v>0</v>
          </cell>
          <cell r="M2138" t="str">
            <v>SOMAKOFF</v>
          </cell>
          <cell r="N2138" t="str">
            <v>SOMAKOFFScratch 2 000</v>
          </cell>
          <cell r="O2138" t="str">
            <v>SOMAKOFF</v>
          </cell>
          <cell r="P2138" t="str">
            <v>Scratch 2 000</v>
          </cell>
          <cell r="Q2138" t="str">
            <v>72007</v>
          </cell>
          <cell r="R2138" t="str">
            <v>72007Scratch 2 000</v>
          </cell>
          <cell r="S2138" t="str">
            <v>2007Scratch 2 000</v>
          </cell>
          <cell r="T2138" t="str">
            <v>72007SOMAKOFF</v>
          </cell>
          <cell r="U2138" t="str">
            <v>72007SOMAKOFFScratch 2 000</v>
          </cell>
          <cell r="V2138" t="str">
            <v>39294Scratch 2 000</v>
          </cell>
          <cell r="W2138" t="str">
            <v>2007SOMAKOFF</v>
          </cell>
          <cell r="X2138" t="str">
            <v>2007SOMAKOFFScratch 2 000</v>
          </cell>
        </row>
        <row r="2139">
          <cell r="I2139">
            <v>2007</v>
          </cell>
          <cell r="J2139" t="str">
            <v>SOMAKOFFScratch 1 000</v>
          </cell>
          <cell r="L2139">
            <v>0</v>
          </cell>
          <cell r="M2139" t="str">
            <v>SOMAKOFF</v>
          </cell>
          <cell r="N2139" t="str">
            <v>SOMAKOFFScratch 1 000</v>
          </cell>
          <cell r="O2139" t="str">
            <v>SOMAKOFF</v>
          </cell>
          <cell r="P2139" t="str">
            <v>Scratch 1 000</v>
          </cell>
          <cell r="Q2139" t="str">
            <v>72007</v>
          </cell>
          <cell r="R2139" t="str">
            <v>72007Scratch 1 000</v>
          </cell>
          <cell r="S2139" t="str">
            <v>2007Scratch 1 000</v>
          </cell>
          <cell r="T2139" t="str">
            <v>72007SOMAKOFF</v>
          </cell>
          <cell r="U2139" t="str">
            <v>72007SOMAKOFFScratch 1 000</v>
          </cell>
          <cell r="V2139" t="str">
            <v>39294Scratch 1 000</v>
          </cell>
          <cell r="W2139" t="str">
            <v>2007SOMAKOFF</v>
          </cell>
          <cell r="X2139" t="str">
            <v>2007SOMAKOFFScratch 1 000</v>
          </cell>
        </row>
        <row r="2140">
          <cell r="I2140">
            <v>2007</v>
          </cell>
          <cell r="J2140" t="str">
            <v>Bonneterie Nouvelle TelecomScratch 20 000</v>
          </cell>
          <cell r="L2140">
            <v>1</v>
          </cell>
          <cell r="M2140" t="str">
            <v>1Bonneterie Nouvelle Telecom</v>
          </cell>
          <cell r="N2140" t="str">
            <v>Bonneterie Nouvelle TelecomScratch 20 000</v>
          </cell>
          <cell r="O2140" t="str">
            <v>Bonneterie Nouvelle Telecom</v>
          </cell>
          <cell r="P2140" t="str">
            <v>Scratch 20 000</v>
          </cell>
          <cell r="Q2140" t="str">
            <v>72007</v>
          </cell>
          <cell r="R2140" t="str">
            <v>72007Scratch 20 000</v>
          </cell>
          <cell r="S2140" t="str">
            <v>2007Scratch 20 000</v>
          </cell>
          <cell r="T2140" t="str">
            <v>72007Bonneterie Nouvelle Telecom</v>
          </cell>
          <cell r="U2140" t="str">
            <v>72007Bonneterie Nouvelle TelecomScratch 20 000</v>
          </cell>
          <cell r="V2140" t="str">
            <v>39294Scratch 20 000</v>
          </cell>
          <cell r="W2140" t="str">
            <v>2007Bonneterie Nouvelle Telecom</v>
          </cell>
          <cell r="X2140" t="str">
            <v>2007Bonneterie Nouvelle TelecomScratch 20 000</v>
          </cell>
        </row>
        <row r="2141">
          <cell r="I2141">
            <v>2007</v>
          </cell>
          <cell r="J2141" t="str">
            <v>Bonneterie Nouvelle TelecomScratch 5 000</v>
          </cell>
          <cell r="L2141">
            <v>0</v>
          </cell>
          <cell r="M2141" t="str">
            <v>Bonneterie Nouvelle Telecom</v>
          </cell>
          <cell r="N2141" t="str">
            <v>Bonneterie Nouvelle TelecomScratch 5 000</v>
          </cell>
          <cell r="O2141" t="str">
            <v>Bonneterie Nouvelle Telecom</v>
          </cell>
          <cell r="P2141" t="str">
            <v>Scratch 5 000</v>
          </cell>
          <cell r="Q2141" t="str">
            <v>72007</v>
          </cell>
          <cell r="R2141" t="str">
            <v>72007Scratch 5 000</v>
          </cell>
          <cell r="S2141" t="str">
            <v>2007Scratch 5 000</v>
          </cell>
          <cell r="T2141" t="str">
            <v>72007Bonneterie Nouvelle Telecom</v>
          </cell>
          <cell r="U2141" t="str">
            <v>72007Bonneterie Nouvelle TelecomScratch 5 000</v>
          </cell>
          <cell r="V2141" t="str">
            <v>39294Scratch 5 000</v>
          </cell>
          <cell r="W2141" t="str">
            <v>2007Bonneterie Nouvelle Telecom</v>
          </cell>
          <cell r="X2141" t="str">
            <v>2007Bonneterie Nouvelle TelecomScratch 5 000</v>
          </cell>
        </row>
        <row r="2142">
          <cell r="I2142">
            <v>2007</v>
          </cell>
          <cell r="J2142" t="str">
            <v>Bonneterie Nouvelle TelecomScratch 2 000</v>
          </cell>
          <cell r="L2142">
            <v>0</v>
          </cell>
          <cell r="M2142" t="str">
            <v>Bonneterie Nouvelle Telecom</v>
          </cell>
          <cell r="N2142" t="str">
            <v>Bonneterie Nouvelle TelecomScratch 2 000</v>
          </cell>
          <cell r="O2142" t="str">
            <v>Bonneterie Nouvelle Telecom</v>
          </cell>
          <cell r="P2142" t="str">
            <v>Scratch 2 000</v>
          </cell>
          <cell r="Q2142" t="str">
            <v>72007</v>
          </cell>
          <cell r="R2142" t="str">
            <v>72007Scratch 2 000</v>
          </cell>
          <cell r="S2142" t="str">
            <v>2007Scratch 2 000</v>
          </cell>
          <cell r="T2142" t="str">
            <v>72007Bonneterie Nouvelle Telecom</v>
          </cell>
          <cell r="U2142" t="str">
            <v>72007Bonneterie Nouvelle TelecomScratch 2 000</v>
          </cell>
          <cell r="V2142" t="str">
            <v>39294Scratch 2 000</v>
          </cell>
          <cell r="W2142" t="str">
            <v>2007Bonneterie Nouvelle Telecom</v>
          </cell>
          <cell r="X2142" t="str">
            <v>2007Bonneterie Nouvelle TelecomScratch 2 000</v>
          </cell>
        </row>
        <row r="2143">
          <cell r="I2143">
            <v>2007</v>
          </cell>
          <cell r="J2143" t="str">
            <v>Bonneterie Nouvelle TelecomScratch 1 000</v>
          </cell>
          <cell r="L2143">
            <v>0</v>
          </cell>
          <cell r="M2143" t="str">
            <v>Bonneterie Nouvelle Telecom</v>
          </cell>
          <cell r="N2143" t="str">
            <v>Bonneterie Nouvelle TelecomScratch 1 000</v>
          </cell>
          <cell r="O2143" t="str">
            <v>Bonneterie Nouvelle Telecom</v>
          </cell>
          <cell r="P2143" t="str">
            <v>Scratch 1 000</v>
          </cell>
          <cell r="Q2143" t="str">
            <v>72007</v>
          </cell>
          <cell r="R2143" t="str">
            <v>72007Scratch 1 000</v>
          </cell>
          <cell r="S2143" t="str">
            <v>2007Scratch 1 000</v>
          </cell>
          <cell r="T2143" t="str">
            <v>72007Bonneterie Nouvelle Telecom</v>
          </cell>
          <cell r="U2143" t="str">
            <v>72007Bonneterie Nouvelle TelecomScratch 1 000</v>
          </cell>
          <cell r="V2143" t="str">
            <v>39294Scratch 1 000</v>
          </cell>
          <cell r="W2143" t="str">
            <v>2007Bonneterie Nouvelle Telecom</v>
          </cell>
          <cell r="X2143" t="str">
            <v>2007Bonneterie Nouvelle TelecomScratch 1 000</v>
          </cell>
        </row>
        <row r="2144">
          <cell r="I2144">
            <v>2007</v>
          </cell>
          <cell r="J2144" t="str">
            <v>STS GAMBY &amp; FRERES (SOGAF) SarlScratch 20 000</v>
          </cell>
          <cell r="L2144">
            <v>1</v>
          </cell>
          <cell r="M2144" t="str">
            <v>1STS GAMBY &amp; FRERES (SOGAF) Sarl</v>
          </cell>
          <cell r="N2144" t="str">
            <v>STS GAMBY &amp; FRERES (SOGAF) SarlScratch 20 000</v>
          </cell>
          <cell r="O2144" t="str">
            <v>STS GAMBY &amp; FRERES (SOGAF) Sarl</v>
          </cell>
          <cell r="P2144" t="str">
            <v>Scratch 20 000</v>
          </cell>
          <cell r="Q2144" t="str">
            <v>72007</v>
          </cell>
          <cell r="R2144" t="str">
            <v>72007Scratch 20 000</v>
          </cell>
          <cell r="S2144" t="str">
            <v>2007Scratch 20 000</v>
          </cell>
          <cell r="T2144" t="str">
            <v>72007STS GAMBY &amp; FRERES (SOGAF) Sarl</v>
          </cell>
          <cell r="U2144" t="str">
            <v>72007STS GAMBY &amp; FRERES (SOGAF) SarlScratch 20 000</v>
          </cell>
          <cell r="V2144" t="str">
            <v>39294Scratch 20 000</v>
          </cell>
          <cell r="W2144" t="str">
            <v>2007STS GAMBY &amp; FRERES (SOGAF) Sarl</v>
          </cell>
          <cell r="X2144" t="str">
            <v>2007STS GAMBY &amp; FRERES (SOGAF) SarlScratch 20 000</v>
          </cell>
        </row>
        <row r="2145">
          <cell r="I2145">
            <v>2007</v>
          </cell>
          <cell r="J2145" t="str">
            <v>STS GAMBY &amp; FRERES (SOGAF) SarlScratch 5 000</v>
          </cell>
          <cell r="L2145">
            <v>0</v>
          </cell>
          <cell r="M2145" t="str">
            <v>STS GAMBY &amp; FRERES (SOGAF) Sarl</v>
          </cell>
          <cell r="N2145" t="str">
            <v>STS GAMBY &amp; FRERES (SOGAF) SarlScratch 5 000</v>
          </cell>
          <cell r="O2145" t="str">
            <v>STS GAMBY &amp; FRERES (SOGAF) Sarl</v>
          </cell>
          <cell r="P2145" t="str">
            <v>Scratch 5 000</v>
          </cell>
          <cell r="Q2145" t="str">
            <v>72007</v>
          </cell>
          <cell r="R2145" t="str">
            <v>72007Scratch 5 000</v>
          </cell>
          <cell r="S2145" t="str">
            <v>2007Scratch 5 000</v>
          </cell>
          <cell r="T2145" t="str">
            <v>72007STS GAMBY &amp; FRERES (SOGAF) Sarl</v>
          </cell>
          <cell r="U2145" t="str">
            <v>72007STS GAMBY &amp; FRERES (SOGAF) SarlScratch 5 000</v>
          </cell>
          <cell r="V2145" t="str">
            <v>39294Scratch 5 000</v>
          </cell>
          <cell r="W2145" t="str">
            <v>2007STS GAMBY &amp; FRERES (SOGAF) Sarl</v>
          </cell>
          <cell r="X2145" t="str">
            <v>2007STS GAMBY &amp; FRERES (SOGAF) SarlScratch 5 000</v>
          </cell>
        </row>
        <row r="2146">
          <cell r="I2146">
            <v>2007</v>
          </cell>
          <cell r="J2146" t="str">
            <v>STS GAMBY &amp; FRERES (SOGAF) SarlScratch 2 000</v>
          </cell>
          <cell r="L2146">
            <v>0</v>
          </cell>
          <cell r="M2146" t="str">
            <v>STS GAMBY &amp; FRERES (SOGAF) Sarl</v>
          </cell>
          <cell r="N2146" t="str">
            <v>STS GAMBY &amp; FRERES (SOGAF) SarlScratch 2 000</v>
          </cell>
          <cell r="O2146" t="str">
            <v>STS GAMBY &amp; FRERES (SOGAF) Sarl</v>
          </cell>
          <cell r="P2146" t="str">
            <v>Scratch 2 000</v>
          </cell>
          <cell r="Q2146" t="str">
            <v>72007</v>
          </cell>
          <cell r="R2146" t="str">
            <v>72007Scratch 2 000</v>
          </cell>
          <cell r="S2146" t="str">
            <v>2007Scratch 2 000</v>
          </cell>
          <cell r="T2146" t="str">
            <v>72007STS GAMBY &amp; FRERES (SOGAF) Sarl</v>
          </cell>
          <cell r="U2146" t="str">
            <v>72007STS GAMBY &amp; FRERES (SOGAF) SarlScratch 2 000</v>
          </cell>
          <cell r="V2146" t="str">
            <v>39294Scratch 2 000</v>
          </cell>
          <cell r="W2146" t="str">
            <v>2007STS GAMBY &amp; FRERES (SOGAF) Sarl</v>
          </cell>
          <cell r="X2146" t="str">
            <v>2007STS GAMBY &amp; FRERES (SOGAF) SarlScratch 2 000</v>
          </cell>
        </row>
        <row r="2147">
          <cell r="I2147">
            <v>2007</v>
          </cell>
          <cell r="J2147" t="str">
            <v>STS GAMBY &amp; FRERES (SOGAF) SarlScratch 1 000</v>
          </cell>
          <cell r="L2147">
            <v>0</v>
          </cell>
          <cell r="M2147" t="str">
            <v>STS GAMBY &amp; FRERES (SOGAF) Sarl</v>
          </cell>
          <cell r="N2147" t="str">
            <v>STS GAMBY &amp; FRERES (SOGAF) SarlScratch 1 000</v>
          </cell>
          <cell r="O2147" t="str">
            <v>STS GAMBY &amp; FRERES (SOGAF) Sarl</v>
          </cell>
          <cell r="P2147" t="str">
            <v>Scratch 1 000</v>
          </cell>
          <cell r="Q2147" t="str">
            <v>72007</v>
          </cell>
          <cell r="R2147" t="str">
            <v>72007Scratch 1 000</v>
          </cell>
          <cell r="S2147" t="str">
            <v>2007Scratch 1 000</v>
          </cell>
          <cell r="T2147" t="str">
            <v>72007STS GAMBY &amp; FRERES (SOGAF) Sarl</v>
          </cell>
          <cell r="U2147" t="str">
            <v>72007STS GAMBY &amp; FRERES (SOGAF) SarlScratch 1 000</v>
          </cell>
          <cell r="V2147" t="str">
            <v>39294Scratch 1 000</v>
          </cell>
          <cell r="W2147" t="str">
            <v>2007STS GAMBY &amp; FRERES (SOGAF) Sarl</v>
          </cell>
          <cell r="X2147" t="str">
            <v>2007STS GAMBY &amp; FRERES (SOGAF) SarlScratch 1 000</v>
          </cell>
        </row>
        <row r="2148">
          <cell r="I2148">
            <v>2007</v>
          </cell>
          <cell r="J2148" t="str">
            <v>GEMATELScratch 20 000</v>
          </cell>
          <cell r="L2148">
            <v>1</v>
          </cell>
          <cell r="M2148" t="str">
            <v>1GEMATEL</v>
          </cell>
          <cell r="N2148" t="str">
            <v>GEMATELScratch 20 000</v>
          </cell>
          <cell r="O2148" t="str">
            <v>GEMATEL</v>
          </cell>
          <cell r="P2148" t="str">
            <v>Scratch 20 000</v>
          </cell>
          <cell r="Q2148" t="str">
            <v>72007</v>
          </cell>
          <cell r="R2148" t="str">
            <v>72007Scratch 20 000</v>
          </cell>
          <cell r="S2148" t="str">
            <v>2007Scratch 20 000</v>
          </cell>
          <cell r="T2148" t="str">
            <v>72007GEMATEL</v>
          </cell>
          <cell r="U2148" t="str">
            <v>72007GEMATELScratch 20 000</v>
          </cell>
          <cell r="V2148" t="str">
            <v>39294Scratch 20 000</v>
          </cell>
          <cell r="W2148" t="str">
            <v>2007GEMATEL</v>
          </cell>
          <cell r="X2148" t="str">
            <v>2007GEMATELScratch 20 000</v>
          </cell>
        </row>
        <row r="2149">
          <cell r="I2149">
            <v>2007</v>
          </cell>
          <cell r="J2149" t="str">
            <v>GEMATELScratch 10 000</v>
          </cell>
          <cell r="L2149">
            <v>0</v>
          </cell>
          <cell r="M2149" t="str">
            <v>GEMATEL</v>
          </cell>
          <cell r="N2149" t="str">
            <v>GEMATELScratch 10 000</v>
          </cell>
          <cell r="O2149" t="str">
            <v>GEMATEL</v>
          </cell>
          <cell r="P2149" t="str">
            <v>Scratch 10 000</v>
          </cell>
          <cell r="Q2149" t="str">
            <v>72007</v>
          </cell>
          <cell r="R2149" t="str">
            <v>72007Scratch 10 000</v>
          </cell>
          <cell r="S2149" t="str">
            <v>2007Scratch 10 000</v>
          </cell>
          <cell r="T2149" t="str">
            <v>72007GEMATEL</v>
          </cell>
          <cell r="U2149" t="str">
            <v>72007GEMATELScratch 10 000</v>
          </cell>
          <cell r="V2149" t="str">
            <v>39294Scratch 10 000</v>
          </cell>
          <cell r="W2149" t="str">
            <v>2007GEMATEL</v>
          </cell>
          <cell r="X2149" t="str">
            <v>2007GEMATELScratch 10 000</v>
          </cell>
        </row>
        <row r="2150">
          <cell r="I2150">
            <v>2007</v>
          </cell>
          <cell r="J2150" t="str">
            <v>GEMATELScratch 5 000</v>
          </cell>
          <cell r="L2150">
            <v>0</v>
          </cell>
          <cell r="M2150" t="str">
            <v>GEMATEL</v>
          </cell>
          <cell r="N2150" t="str">
            <v>GEMATELScratch 5 000</v>
          </cell>
          <cell r="O2150" t="str">
            <v>GEMATEL</v>
          </cell>
          <cell r="P2150" t="str">
            <v>Scratch 5 000</v>
          </cell>
          <cell r="Q2150" t="str">
            <v>72007</v>
          </cell>
          <cell r="R2150" t="str">
            <v>72007Scratch 5 000</v>
          </cell>
          <cell r="S2150" t="str">
            <v>2007Scratch 5 000</v>
          </cell>
          <cell r="T2150" t="str">
            <v>72007GEMATEL</v>
          </cell>
          <cell r="U2150" t="str">
            <v>72007GEMATELScratch 5 000</v>
          </cell>
          <cell r="V2150" t="str">
            <v>39294Scratch 5 000</v>
          </cell>
          <cell r="W2150" t="str">
            <v>2007GEMATEL</v>
          </cell>
          <cell r="X2150" t="str">
            <v>2007GEMATELScratch 5 000</v>
          </cell>
        </row>
        <row r="2151">
          <cell r="I2151">
            <v>2007</v>
          </cell>
          <cell r="J2151" t="str">
            <v>GEMATELScratch 2 000</v>
          </cell>
          <cell r="L2151">
            <v>0</v>
          </cell>
          <cell r="M2151" t="str">
            <v>GEMATEL</v>
          </cell>
          <cell r="N2151" t="str">
            <v>GEMATELScratch 2 000</v>
          </cell>
          <cell r="O2151" t="str">
            <v>GEMATEL</v>
          </cell>
          <cell r="P2151" t="str">
            <v>Scratch 2 000</v>
          </cell>
          <cell r="Q2151" t="str">
            <v>72007</v>
          </cell>
          <cell r="R2151" t="str">
            <v>72007Scratch 2 000</v>
          </cell>
          <cell r="S2151" t="str">
            <v>2007Scratch 2 000</v>
          </cell>
          <cell r="T2151" t="str">
            <v>72007GEMATEL</v>
          </cell>
          <cell r="U2151" t="str">
            <v>72007GEMATELScratch 2 000</v>
          </cell>
          <cell r="V2151" t="str">
            <v>39294Scratch 2 000</v>
          </cell>
          <cell r="W2151" t="str">
            <v>2007GEMATEL</v>
          </cell>
          <cell r="X2151" t="str">
            <v>2007GEMATELScratch 2 000</v>
          </cell>
        </row>
        <row r="2152">
          <cell r="I2152">
            <v>2007</v>
          </cell>
          <cell r="J2152" t="str">
            <v>GEMATELScratch 1 000</v>
          </cell>
          <cell r="L2152">
            <v>0</v>
          </cell>
          <cell r="M2152" t="str">
            <v>GEMATEL</v>
          </cell>
          <cell r="N2152" t="str">
            <v>GEMATELScratch 1 000</v>
          </cell>
          <cell r="O2152" t="str">
            <v>GEMATEL</v>
          </cell>
          <cell r="P2152" t="str">
            <v>Scratch 1 000</v>
          </cell>
          <cell r="Q2152" t="str">
            <v>72007</v>
          </cell>
          <cell r="R2152" t="str">
            <v>72007Scratch 1 000</v>
          </cell>
          <cell r="S2152" t="str">
            <v>2007Scratch 1 000</v>
          </cell>
          <cell r="T2152" t="str">
            <v>72007GEMATEL</v>
          </cell>
          <cell r="U2152" t="str">
            <v>72007GEMATELScratch 1 000</v>
          </cell>
          <cell r="V2152" t="str">
            <v>39294Scratch 1 000</v>
          </cell>
          <cell r="W2152" t="str">
            <v>2007GEMATEL</v>
          </cell>
          <cell r="X2152" t="str">
            <v>2007GEMATELScratch 1 000</v>
          </cell>
        </row>
        <row r="2153">
          <cell r="I2153">
            <v>2007</v>
          </cell>
          <cell r="J2153" t="str">
            <v>ANKA SERVICESScratch 20 000</v>
          </cell>
          <cell r="L2153">
            <v>1</v>
          </cell>
          <cell r="M2153" t="str">
            <v>1ANKA SERVICES</v>
          </cell>
          <cell r="N2153" t="str">
            <v>ANKA SERVICESScratch 20 000</v>
          </cell>
          <cell r="O2153" t="str">
            <v>ANKA SERVICES</v>
          </cell>
          <cell r="P2153" t="str">
            <v>Scratch 20 000</v>
          </cell>
          <cell r="Q2153" t="str">
            <v>72007</v>
          </cell>
          <cell r="R2153" t="str">
            <v>72007Scratch 20 000</v>
          </cell>
          <cell r="S2153" t="str">
            <v>2007Scratch 20 000</v>
          </cell>
          <cell r="T2153" t="str">
            <v>72007ANKA SERVICES</v>
          </cell>
          <cell r="U2153" t="str">
            <v>72007ANKA SERVICESScratch 20 000</v>
          </cell>
          <cell r="V2153" t="str">
            <v>39294Scratch 20 000</v>
          </cell>
          <cell r="W2153" t="str">
            <v>2007ANKA SERVICES</v>
          </cell>
          <cell r="X2153" t="str">
            <v>2007ANKA SERVICESScratch 20 000</v>
          </cell>
        </row>
        <row r="2154">
          <cell r="I2154">
            <v>2007</v>
          </cell>
          <cell r="J2154" t="str">
            <v>ANKA SERVICESScratch 5 000</v>
          </cell>
          <cell r="L2154">
            <v>0</v>
          </cell>
          <cell r="M2154" t="str">
            <v>ANKA SERVICES</v>
          </cell>
          <cell r="N2154" t="str">
            <v>ANKA SERVICESScratch 5 000</v>
          </cell>
          <cell r="O2154" t="str">
            <v>ANKA SERVICES</v>
          </cell>
          <cell r="P2154" t="str">
            <v>Scratch 5 000</v>
          </cell>
          <cell r="Q2154" t="str">
            <v>72007</v>
          </cell>
          <cell r="R2154" t="str">
            <v>72007Scratch 5 000</v>
          </cell>
          <cell r="S2154" t="str">
            <v>2007Scratch 5 000</v>
          </cell>
          <cell r="T2154" t="str">
            <v>72007ANKA SERVICES</v>
          </cell>
          <cell r="U2154" t="str">
            <v>72007ANKA SERVICESScratch 5 000</v>
          </cell>
          <cell r="V2154" t="str">
            <v>39294Scratch 5 000</v>
          </cell>
          <cell r="W2154" t="str">
            <v>2007ANKA SERVICES</v>
          </cell>
          <cell r="X2154" t="str">
            <v>2007ANKA SERVICESScratch 5 000</v>
          </cell>
        </row>
        <row r="2155">
          <cell r="I2155">
            <v>2007</v>
          </cell>
          <cell r="J2155" t="str">
            <v>ANKA SERVICESScratch 2 000</v>
          </cell>
          <cell r="L2155">
            <v>0</v>
          </cell>
          <cell r="M2155" t="str">
            <v>ANKA SERVICES</v>
          </cell>
          <cell r="N2155" t="str">
            <v>ANKA SERVICESScratch 2 000</v>
          </cell>
          <cell r="O2155" t="str">
            <v>ANKA SERVICES</v>
          </cell>
          <cell r="P2155" t="str">
            <v>Scratch 2 000</v>
          </cell>
          <cell r="Q2155" t="str">
            <v>72007</v>
          </cell>
          <cell r="R2155" t="str">
            <v>72007Scratch 2 000</v>
          </cell>
          <cell r="S2155" t="str">
            <v>2007Scratch 2 000</v>
          </cell>
          <cell r="T2155" t="str">
            <v>72007ANKA SERVICES</v>
          </cell>
          <cell r="U2155" t="str">
            <v>72007ANKA SERVICESScratch 2 000</v>
          </cell>
          <cell r="V2155" t="str">
            <v>39294Scratch 2 000</v>
          </cell>
          <cell r="W2155" t="str">
            <v>2007ANKA SERVICES</v>
          </cell>
          <cell r="X2155" t="str">
            <v>2007ANKA SERVICESScratch 2 000</v>
          </cell>
        </row>
        <row r="2156">
          <cell r="I2156">
            <v>2007</v>
          </cell>
          <cell r="J2156" t="str">
            <v>ANKA SERVICESScratch 1 000</v>
          </cell>
          <cell r="L2156">
            <v>0</v>
          </cell>
          <cell r="M2156" t="str">
            <v>ANKA SERVICES</v>
          </cell>
          <cell r="N2156" t="str">
            <v>ANKA SERVICESScratch 1 000</v>
          </cell>
          <cell r="O2156" t="str">
            <v>ANKA SERVICES</v>
          </cell>
          <cell r="P2156" t="str">
            <v>Scratch 1 000</v>
          </cell>
          <cell r="Q2156" t="str">
            <v>72007</v>
          </cell>
          <cell r="R2156" t="str">
            <v>72007Scratch 1 000</v>
          </cell>
          <cell r="S2156" t="str">
            <v>2007Scratch 1 000</v>
          </cell>
          <cell r="T2156" t="str">
            <v>72007ANKA SERVICES</v>
          </cell>
          <cell r="U2156" t="str">
            <v>72007ANKA SERVICESScratch 1 000</v>
          </cell>
          <cell r="V2156" t="str">
            <v>39294Scratch 1 000</v>
          </cell>
          <cell r="W2156" t="str">
            <v>2007ANKA SERVICES</v>
          </cell>
          <cell r="X2156" t="str">
            <v>2007ANKA SERVICESScratch 1 000</v>
          </cell>
        </row>
        <row r="2157">
          <cell r="I2157">
            <v>2007</v>
          </cell>
          <cell r="J2157" t="str">
            <v>CellNets MaliMinutes</v>
          </cell>
          <cell r="L2157">
            <v>1</v>
          </cell>
          <cell r="M2157" t="str">
            <v>1CellNets Mali</v>
          </cell>
          <cell r="N2157" t="str">
            <v>CellNets MaliMinutes</v>
          </cell>
          <cell r="O2157" t="str">
            <v>CellNets Mali</v>
          </cell>
          <cell r="P2157" t="str">
            <v>Minutes</v>
          </cell>
          <cell r="Q2157" t="str">
            <v>72007</v>
          </cell>
          <cell r="R2157" t="str">
            <v>72007Minutes</v>
          </cell>
          <cell r="S2157" t="str">
            <v>2007Minutes</v>
          </cell>
          <cell r="T2157" t="str">
            <v>72007CellNets Mali</v>
          </cell>
          <cell r="U2157" t="str">
            <v>72007CellNets MaliMinutes</v>
          </cell>
          <cell r="V2157" t="str">
            <v>39265Minutes</v>
          </cell>
          <cell r="W2157" t="str">
            <v>2007CellNets Mali</v>
          </cell>
          <cell r="X2157" t="str">
            <v>2007CellNets MaliMinutes</v>
          </cell>
        </row>
        <row r="2158">
          <cell r="I2158">
            <v>2007</v>
          </cell>
          <cell r="J2158" t="str">
            <v>CellNets MaliMinutes</v>
          </cell>
          <cell r="L2158">
            <v>1</v>
          </cell>
          <cell r="M2158" t="str">
            <v>1CellNets Mali</v>
          </cell>
          <cell r="N2158" t="str">
            <v>CellNets MaliMinutes</v>
          </cell>
          <cell r="O2158" t="str">
            <v>CellNets Mali</v>
          </cell>
          <cell r="P2158" t="str">
            <v>Minutes</v>
          </cell>
          <cell r="Q2158" t="str">
            <v>72007</v>
          </cell>
          <cell r="R2158" t="str">
            <v>72007Minutes</v>
          </cell>
          <cell r="S2158" t="str">
            <v>2007Minutes</v>
          </cell>
          <cell r="T2158" t="str">
            <v>72007CellNets Mali</v>
          </cell>
          <cell r="U2158" t="str">
            <v>72007CellNets MaliMinutes</v>
          </cell>
          <cell r="V2158" t="str">
            <v>39269Minutes</v>
          </cell>
          <cell r="W2158" t="str">
            <v>2007CellNets Mali</v>
          </cell>
          <cell r="X2158" t="str">
            <v>2007CellNets MaliMinutes</v>
          </cell>
        </row>
        <row r="2159">
          <cell r="I2159">
            <v>2007</v>
          </cell>
          <cell r="J2159" t="str">
            <v>CellNets MaliMinutes</v>
          </cell>
          <cell r="L2159">
            <v>1</v>
          </cell>
          <cell r="M2159" t="str">
            <v>1CellNets Mali</v>
          </cell>
          <cell r="N2159" t="str">
            <v>CellNets MaliMinutes</v>
          </cell>
          <cell r="O2159" t="str">
            <v>CellNets Mali</v>
          </cell>
          <cell r="P2159" t="str">
            <v>Minutes</v>
          </cell>
          <cell r="Q2159" t="str">
            <v>72007</v>
          </cell>
          <cell r="R2159" t="str">
            <v>72007Minutes</v>
          </cell>
          <cell r="S2159" t="str">
            <v>2007Minutes</v>
          </cell>
          <cell r="T2159" t="str">
            <v>72007CellNets Mali</v>
          </cell>
          <cell r="U2159" t="str">
            <v>72007CellNets MaliMinutes</v>
          </cell>
          <cell r="V2159" t="str">
            <v>39274Minutes</v>
          </cell>
          <cell r="W2159" t="str">
            <v>2007CellNets Mali</v>
          </cell>
          <cell r="X2159" t="str">
            <v>2007CellNets MaliMinutes</v>
          </cell>
        </row>
        <row r="2160">
          <cell r="I2160">
            <v>2007</v>
          </cell>
          <cell r="J2160" t="str">
            <v>CellNets MaliMinutes</v>
          </cell>
          <cell r="L2160">
            <v>1</v>
          </cell>
          <cell r="M2160" t="str">
            <v>1CellNets Mali</v>
          </cell>
          <cell r="N2160" t="str">
            <v>CellNets MaliMinutes</v>
          </cell>
          <cell r="O2160" t="str">
            <v>CellNets Mali</v>
          </cell>
          <cell r="P2160" t="str">
            <v>Minutes</v>
          </cell>
          <cell r="Q2160" t="str">
            <v>72007</v>
          </cell>
          <cell r="R2160" t="str">
            <v>72007Minutes</v>
          </cell>
          <cell r="S2160" t="str">
            <v>2007Minutes</v>
          </cell>
          <cell r="T2160" t="str">
            <v>72007CellNets Mali</v>
          </cell>
          <cell r="U2160" t="str">
            <v>72007CellNets MaliMinutes</v>
          </cell>
          <cell r="V2160" t="str">
            <v>39280Minutes</v>
          </cell>
          <cell r="W2160" t="str">
            <v>2007CellNets Mali</v>
          </cell>
          <cell r="X2160" t="str">
            <v>2007CellNets MaliMinutes</v>
          </cell>
        </row>
        <row r="2161">
          <cell r="I2161">
            <v>2007</v>
          </cell>
          <cell r="J2161" t="str">
            <v>CellNets MaliMinutes</v>
          </cell>
          <cell r="L2161">
            <v>1</v>
          </cell>
          <cell r="M2161" t="str">
            <v>1CellNets Mali</v>
          </cell>
          <cell r="N2161" t="str">
            <v>CellNets MaliMinutes</v>
          </cell>
          <cell r="O2161" t="str">
            <v>CellNets Mali</v>
          </cell>
          <cell r="P2161" t="str">
            <v>Minutes</v>
          </cell>
          <cell r="Q2161" t="str">
            <v>72007</v>
          </cell>
          <cell r="R2161" t="str">
            <v>72007Minutes</v>
          </cell>
          <cell r="S2161" t="str">
            <v>2007Minutes</v>
          </cell>
          <cell r="T2161" t="str">
            <v>72007CellNets Mali</v>
          </cell>
          <cell r="U2161" t="str">
            <v>72007CellNets MaliMinutes</v>
          </cell>
          <cell r="V2161" t="str">
            <v>39286Minutes</v>
          </cell>
          <cell r="W2161" t="str">
            <v>2007CellNets Mali</v>
          </cell>
          <cell r="X2161" t="str">
            <v>2007CellNets MaliMinutes</v>
          </cell>
        </row>
        <row r="2162">
          <cell r="I2162">
            <v>2007</v>
          </cell>
          <cell r="J2162" t="str">
            <v>SDC TELECOMScratch 5 000</v>
          </cell>
          <cell r="L2162">
            <v>1</v>
          </cell>
          <cell r="M2162" t="str">
            <v>1SDC TELECOM</v>
          </cell>
          <cell r="N2162" t="str">
            <v>SDC TELECOMScratch 5 000</v>
          </cell>
          <cell r="O2162" t="str">
            <v>SDC TELECOM</v>
          </cell>
          <cell r="P2162" t="str">
            <v>Scratch 5 000</v>
          </cell>
          <cell r="Q2162" t="str">
            <v>82007</v>
          </cell>
          <cell r="R2162" t="str">
            <v>82007Scratch 5 000</v>
          </cell>
          <cell r="S2162" t="str">
            <v>2007Scratch 5 000</v>
          </cell>
          <cell r="T2162" t="str">
            <v>82007SDC TELECOM</v>
          </cell>
          <cell r="U2162" t="str">
            <v>82007SDC TELECOMScratch 5 000</v>
          </cell>
          <cell r="V2162" t="str">
            <v>39295Scratch 5 000</v>
          </cell>
          <cell r="W2162" t="str">
            <v>2007SDC TELECOM</v>
          </cell>
          <cell r="X2162" t="str">
            <v>2007SDC TELECOMScratch 5 000</v>
          </cell>
        </row>
        <row r="2163">
          <cell r="I2163">
            <v>2007</v>
          </cell>
          <cell r="J2163" t="str">
            <v>SDC TELECOMScratch 2 000</v>
          </cell>
          <cell r="L2163">
            <v>0</v>
          </cell>
          <cell r="M2163" t="str">
            <v>SDC TELECOM</v>
          </cell>
          <cell r="N2163" t="str">
            <v>SDC TELECOMScratch 2 000</v>
          </cell>
          <cell r="O2163" t="str">
            <v>SDC TELECOM</v>
          </cell>
          <cell r="P2163" t="str">
            <v>Scratch 2 000</v>
          </cell>
          <cell r="Q2163" t="str">
            <v>82007</v>
          </cell>
          <cell r="R2163" t="str">
            <v>82007Scratch 2 000</v>
          </cell>
          <cell r="S2163" t="str">
            <v>2007Scratch 2 000</v>
          </cell>
          <cell r="T2163" t="str">
            <v>82007SDC TELECOM</v>
          </cell>
          <cell r="U2163" t="str">
            <v>82007SDC TELECOMScratch 2 000</v>
          </cell>
          <cell r="V2163" t="str">
            <v>39295Scratch 2 000</v>
          </cell>
          <cell r="W2163" t="str">
            <v>2007SDC TELECOM</v>
          </cell>
          <cell r="X2163" t="str">
            <v>2007SDC TELECOMScratch 2 000</v>
          </cell>
        </row>
        <row r="2164">
          <cell r="I2164">
            <v>2007</v>
          </cell>
          <cell r="J2164" t="str">
            <v>SDC TELECOMScratch 1 000</v>
          </cell>
          <cell r="L2164">
            <v>0</v>
          </cell>
          <cell r="M2164" t="str">
            <v>SDC TELECOM</v>
          </cell>
          <cell r="N2164" t="str">
            <v>SDC TELECOMScratch 1 000</v>
          </cell>
          <cell r="O2164" t="str">
            <v>SDC TELECOM</v>
          </cell>
          <cell r="P2164" t="str">
            <v>Scratch 1 000</v>
          </cell>
          <cell r="Q2164" t="str">
            <v>82007</v>
          </cell>
          <cell r="R2164" t="str">
            <v>82007Scratch 1 000</v>
          </cell>
          <cell r="S2164" t="str">
            <v>2007Scratch 1 000</v>
          </cell>
          <cell r="T2164" t="str">
            <v>82007SDC TELECOM</v>
          </cell>
          <cell r="U2164" t="str">
            <v>82007SDC TELECOMScratch 1 000</v>
          </cell>
          <cell r="V2164" t="str">
            <v>39295Scratch 1 000</v>
          </cell>
          <cell r="W2164" t="str">
            <v>2007SDC TELECOM</v>
          </cell>
          <cell r="X2164" t="str">
            <v>2007SDC TELECOMScratch 1 000</v>
          </cell>
        </row>
        <row r="2165">
          <cell r="I2165">
            <v>2007</v>
          </cell>
          <cell r="J2165" t="str">
            <v>STS GAMBY &amp; FRERES (SOGAF) SarlScratch 5 000</v>
          </cell>
          <cell r="L2165">
            <v>1</v>
          </cell>
          <cell r="M2165" t="str">
            <v>1STS GAMBY &amp; FRERES (SOGAF) Sarl</v>
          </cell>
          <cell r="N2165" t="str">
            <v>STS GAMBY &amp; FRERES (SOGAF) SarlScratch 5 000</v>
          </cell>
          <cell r="O2165" t="str">
            <v>STS GAMBY &amp; FRERES (SOGAF) Sarl</v>
          </cell>
          <cell r="P2165" t="str">
            <v>Scratch 5 000</v>
          </cell>
          <cell r="Q2165" t="str">
            <v>82007</v>
          </cell>
          <cell r="R2165" t="str">
            <v>82007Scratch 5 000</v>
          </cell>
          <cell r="S2165" t="str">
            <v>2007Scratch 5 000</v>
          </cell>
          <cell r="T2165" t="str">
            <v>82007STS GAMBY &amp; FRERES (SOGAF) Sarl</v>
          </cell>
          <cell r="U2165" t="str">
            <v>82007STS GAMBY &amp; FRERES (SOGAF) SarlScratch 5 000</v>
          </cell>
          <cell r="V2165" t="str">
            <v>39295Scratch 5 000</v>
          </cell>
          <cell r="W2165" t="str">
            <v>2007STS GAMBY &amp; FRERES (SOGAF) Sarl</v>
          </cell>
          <cell r="X2165" t="str">
            <v>2007STS GAMBY &amp; FRERES (SOGAF) SarlScratch 5 000</v>
          </cell>
        </row>
        <row r="2166">
          <cell r="I2166">
            <v>2007</v>
          </cell>
          <cell r="J2166" t="str">
            <v>STS GAMBY &amp; FRERES (SOGAF) SarlScratch 2 000</v>
          </cell>
          <cell r="L2166">
            <v>0</v>
          </cell>
          <cell r="M2166" t="str">
            <v>STS GAMBY &amp; FRERES (SOGAF) Sarl</v>
          </cell>
          <cell r="N2166" t="str">
            <v>STS GAMBY &amp; FRERES (SOGAF) SarlScratch 2 000</v>
          </cell>
          <cell r="O2166" t="str">
            <v>STS GAMBY &amp; FRERES (SOGAF) Sarl</v>
          </cell>
          <cell r="P2166" t="str">
            <v>Scratch 2 000</v>
          </cell>
          <cell r="Q2166" t="str">
            <v>82007</v>
          </cell>
          <cell r="R2166" t="str">
            <v>82007Scratch 2 000</v>
          </cell>
          <cell r="S2166" t="str">
            <v>2007Scratch 2 000</v>
          </cell>
          <cell r="T2166" t="str">
            <v>82007STS GAMBY &amp; FRERES (SOGAF) Sarl</v>
          </cell>
          <cell r="U2166" t="str">
            <v>82007STS GAMBY &amp; FRERES (SOGAF) SarlScratch 2 000</v>
          </cell>
          <cell r="V2166" t="str">
            <v>39295Scratch 2 000</v>
          </cell>
          <cell r="W2166" t="str">
            <v>2007STS GAMBY &amp; FRERES (SOGAF) Sarl</v>
          </cell>
          <cell r="X2166" t="str">
            <v>2007STS GAMBY &amp; FRERES (SOGAF) SarlScratch 2 000</v>
          </cell>
        </row>
        <row r="2167">
          <cell r="I2167">
            <v>2007</v>
          </cell>
          <cell r="J2167" t="str">
            <v>STS GAMBY &amp; FRERES (SOGAF) SarlScratch 1 000</v>
          </cell>
          <cell r="L2167">
            <v>0</v>
          </cell>
          <cell r="M2167" t="str">
            <v>STS GAMBY &amp; FRERES (SOGAF) Sarl</v>
          </cell>
          <cell r="N2167" t="str">
            <v>STS GAMBY &amp; FRERES (SOGAF) SarlScratch 1 000</v>
          </cell>
          <cell r="O2167" t="str">
            <v>STS GAMBY &amp; FRERES (SOGAF) Sarl</v>
          </cell>
          <cell r="P2167" t="str">
            <v>Scratch 1 000</v>
          </cell>
          <cell r="Q2167" t="str">
            <v>82007</v>
          </cell>
          <cell r="R2167" t="str">
            <v>82007Scratch 1 000</v>
          </cell>
          <cell r="S2167" t="str">
            <v>2007Scratch 1 000</v>
          </cell>
          <cell r="T2167" t="str">
            <v>82007STS GAMBY &amp; FRERES (SOGAF) Sarl</v>
          </cell>
          <cell r="U2167" t="str">
            <v>82007STS GAMBY &amp; FRERES (SOGAF) SarlScratch 1 000</v>
          </cell>
          <cell r="V2167" t="str">
            <v>39295Scratch 1 000</v>
          </cell>
          <cell r="W2167" t="str">
            <v>2007STS GAMBY &amp; FRERES (SOGAF) Sarl</v>
          </cell>
          <cell r="X2167" t="str">
            <v>2007STS GAMBY &amp; FRERES (SOGAF) SarlScratch 1 000</v>
          </cell>
        </row>
        <row r="2168">
          <cell r="I2168">
            <v>2007</v>
          </cell>
          <cell r="J2168" t="str">
            <v>ANKA SERVICESScratch 10 000</v>
          </cell>
          <cell r="L2168">
            <v>1</v>
          </cell>
          <cell r="M2168" t="str">
            <v>1ANKA SERVICES</v>
          </cell>
          <cell r="N2168" t="str">
            <v>ANKA SERVICESScratch 10 000</v>
          </cell>
          <cell r="O2168" t="str">
            <v>ANKA SERVICES</v>
          </cell>
          <cell r="P2168" t="str">
            <v>Scratch 10 000</v>
          </cell>
          <cell r="Q2168" t="str">
            <v>82007</v>
          </cell>
          <cell r="R2168" t="str">
            <v>82007Scratch 10 000</v>
          </cell>
          <cell r="S2168" t="str">
            <v>2007Scratch 10 000</v>
          </cell>
          <cell r="T2168" t="str">
            <v>82007ANKA SERVICES</v>
          </cell>
          <cell r="U2168" t="str">
            <v>82007ANKA SERVICESScratch 10 000</v>
          </cell>
          <cell r="V2168" t="str">
            <v>39295Scratch 10 000</v>
          </cell>
          <cell r="W2168" t="str">
            <v>2007ANKA SERVICES</v>
          </cell>
          <cell r="X2168" t="str">
            <v>2007ANKA SERVICESScratch 10 000</v>
          </cell>
        </row>
        <row r="2169">
          <cell r="I2169">
            <v>2007</v>
          </cell>
          <cell r="J2169" t="str">
            <v>ANKA SERVICESScratch 5 000</v>
          </cell>
          <cell r="L2169">
            <v>0</v>
          </cell>
          <cell r="M2169" t="str">
            <v>ANKA SERVICES</v>
          </cell>
          <cell r="N2169" t="str">
            <v>ANKA SERVICESScratch 5 000</v>
          </cell>
          <cell r="O2169" t="str">
            <v>ANKA SERVICES</v>
          </cell>
          <cell r="P2169" t="str">
            <v>Scratch 5 000</v>
          </cell>
          <cell r="Q2169" t="str">
            <v>82007</v>
          </cell>
          <cell r="R2169" t="str">
            <v>82007Scratch 5 000</v>
          </cell>
          <cell r="S2169" t="str">
            <v>2007Scratch 5 000</v>
          </cell>
          <cell r="T2169" t="str">
            <v>82007ANKA SERVICES</v>
          </cell>
          <cell r="U2169" t="str">
            <v>82007ANKA SERVICESScratch 5 000</v>
          </cell>
          <cell r="V2169" t="str">
            <v>39295Scratch 5 000</v>
          </cell>
          <cell r="W2169" t="str">
            <v>2007ANKA SERVICES</v>
          </cell>
          <cell r="X2169" t="str">
            <v>2007ANKA SERVICESScratch 5 000</v>
          </cell>
        </row>
        <row r="2170">
          <cell r="I2170">
            <v>2007</v>
          </cell>
          <cell r="J2170" t="str">
            <v>ANKA SERVICESScratch 2 000</v>
          </cell>
          <cell r="L2170">
            <v>0</v>
          </cell>
          <cell r="M2170" t="str">
            <v>ANKA SERVICES</v>
          </cell>
          <cell r="N2170" t="str">
            <v>ANKA SERVICESScratch 2 000</v>
          </cell>
          <cell r="O2170" t="str">
            <v>ANKA SERVICES</v>
          </cell>
          <cell r="P2170" t="str">
            <v>Scratch 2 000</v>
          </cell>
          <cell r="Q2170" t="str">
            <v>82007</v>
          </cell>
          <cell r="R2170" t="str">
            <v>82007Scratch 2 000</v>
          </cell>
          <cell r="S2170" t="str">
            <v>2007Scratch 2 000</v>
          </cell>
          <cell r="T2170" t="str">
            <v>82007ANKA SERVICES</v>
          </cell>
          <cell r="U2170" t="str">
            <v>82007ANKA SERVICESScratch 2 000</v>
          </cell>
          <cell r="V2170" t="str">
            <v>39295Scratch 2 000</v>
          </cell>
          <cell r="W2170" t="str">
            <v>2007ANKA SERVICES</v>
          </cell>
          <cell r="X2170" t="str">
            <v>2007ANKA SERVICESScratch 2 000</v>
          </cell>
        </row>
        <row r="2171">
          <cell r="I2171">
            <v>2007</v>
          </cell>
          <cell r="J2171" t="str">
            <v>ANKA SERVICESScratch 1 000</v>
          </cell>
          <cell r="L2171">
            <v>0</v>
          </cell>
          <cell r="M2171" t="str">
            <v>ANKA SERVICES</v>
          </cell>
          <cell r="N2171" t="str">
            <v>ANKA SERVICESScratch 1 000</v>
          </cell>
          <cell r="O2171" t="str">
            <v>ANKA SERVICES</v>
          </cell>
          <cell r="P2171" t="str">
            <v>Scratch 1 000</v>
          </cell>
          <cell r="Q2171" t="str">
            <v>82007</v>
          </cell>
          <cell r="R2171" t="str">
            <v>82007Scratch 1 000</v>
          </cell>
          <cell r="S2171" t="str">
            <v>2007Scratch 1 000</v>
          </cell>
          <cell r="T2171" t="str">
            <v>82007ANKA SERVICES</v>
          </cell>
          <cell r="U2171" t="str">
            <v>82007ANKA SERVICESScratch 1 000</v>
          </cell>
          <cell r="V2171" t="str">
            <v>39295Scratch 1 000</v>
          </cell>
          <cell r="W2171" t="str">
            <v>2007ANKA SERVICES</v>
          </cell>
          <cell r="X2171" t="str">
            <v>2007ANKA SERVICESScratch 1 000</v>
          </cell>
        </row>
        <row r="2172">
          <cell r="I2172">
            <v>2007</v>
          </cell>
          <cell r="J2172" t="str">
            <v>GEMATELScratch 5 000</v>
          </cell>
          <cell r="L2172">
            <v>1</v>
          </cell>
          <cell r="M2172" t="str">
            <v>1GEMATEL</v>
          </cell>
          <cell r="N2172" t="str">
            <v>GEMATELScratch 5 000</v>
          </cell>
          <cell r="O2172" t="str">
            <v>GEMATEL</v>
          </cell>
          <cell r="P2172" t="str">
            <v>Scratch 5 000</v>
          </cell>
          <cell r="Q2172" t="str">
            <v>82007</v>
          </cell>
          <cell r="R2172" t="str">
            <v>82007Scratch 5 000</v>
          </cell>
          <cell r="S2172" t="str">
            <v>2007Scratch 5 000</v>
          </cell>
          <cell r="T2172" t="str">
            <v>82007GEMATEL</v>
          </cell>
          <cell r="U2172" t="str">
            <v>82007GEMATELScratch 5 000</v>
          </cell>
          <cell r="V2172" t="str">
            <v>39295Scratch 5 000</v>
          </cell>
          <cell r="W2172" t="str">
            <v>2007GEMATEL</v>
          </cell>
          <cell r="X2172" t="str">
            <v>2007GEMATELScratch 5 000</v>
          </cell>
        </row>
        <row r="2173">
          <cell r="I2173">
            <v>2007</v>
          </cell>
          <cell r="J2173" t="str">
            <v>GEMATELScratch 2 000</v>
          </cell>
          <cell r="L2173">
            <v>0</v>
          </cell>
          <cell r="M2173" t="str">
            <v>GEMATEL</v>
          </cell>
          <cell r="N2173" t="str">
            <v>GEMATELScratch 2 000</v>
          </cell>
          <cell r="O2173" t="str">
            <v>GEMATEL</v>
          </cell>
          <cell r="P2173" t="str">
            <v>Scratch 2 000</v>
          </cell>
          <cell r="Q2173" t="str">
            <v>82007</v>
          </cell>
          <cell r="R2173" t="str">
            <v>82007Scratch 2 000</v>
          </cell>
          <cell r="S2173" t="str">
            <v>2007Scratch 2 000</v>
          </cell>
          <cell r="T2173" t="str">
            <v>82007GEMATEL</v>
          </cell>
          <cell r="U2173" t="str">
            <v>82007GEMATELScratch 2 000</v>
          </cell>
          <cell r="V2173" t="str">
            <v>39295Scratch 2 000</v>
          </cell>
          <cell r="W2173" t="str">
            <v>2007GEMATEL</v>
          </cell>
          <cell r="X2173" t="str">
            <v>2007GEMATELScratch 2 000</v>
          </cell>
        </row>
        <row r="2174">
          <cell r="I2174">
            <v>2007</v>
          </cell>
          <cell r="J2174" t="str">
            <v>GEMATELScratch 1 000</v>
          </cell>
          <cell r="L2174">
            <v>0</v>
          </cell>
          <cell r="M2174" t="str">
            <v>GEMATEL</v>
          </cell>
          <cell r="N2174" t="str">
            <v>GEMATELScratch 1 000</v>
          </cell>
          <cell r="O2174" t="str">
            <v>GEMATEL</v>
          </cell>
          <cell r="P2174" t="str">
            <v>Scratch 1 000</v>
          </cell>
          <cell r="Q2174" t="str">
            <v>82007</v>
          </cell>
          <cell r="R2174" t="str">
            <v>82007Scratch 1 000</v>
          </cell>
          <cell r="S2174" t="str">
            <v>2007Scratch 1 000</v>
          </cell>
          <cell r="T2174" t="str">
            <v>82007GEMATEL</v>
          </cell>
          <cell r="U2174" t="str">
            <v>82007GEMATELScratch 1 000</v>
          </cell>
          <cell r="V2174" t="str">
            <v>39295Scratch 1 000</v>
          </cell>
          <cell r="W2174" t="str">
            <v>2007GEMATEL</v>
          </cell>
          <cell r="X2174" t="str">
            <v>2007GEMATELScratch 1 000</v>
          </cell>
        </row>
        <row r="2175">
          <cell r="I2175">
            <v>2007</v>
          </cell>
          <cell r="J2175" t="str">
            <v>MALI COM SarlScratch 5 000</v>
          </cell>
          <cell r="L2175">
            <v>1</v>
          </cell>
          <cell r="M2175" t="str">
            <v>1MALI COM Sarl</v>
          </cell>
          <cell r="N2175" t="str">
            <v>MALI COM SarlScratch 5 000</v>
          </cell>
          <cell r="O2175" t="str">
            <v>MALI COM Sarl</v>
          </cell>
          <cell r="P2175" t="str">
            <v>Scratch 5 000</v>
          </cell>
          <cell r="Q2175" t="str">
            <v>82007</v>
          </cell>
          <cell r="R2175" t="str">
            <v>82007Scratch 5 000</v>
          </cell>
          <cell r="S2175" t="str">
            <v>2007Scratch 5 000</v>
          </cell>
          <cell r="T2175" t="str">
            <v>82007MALI COM Sarl</v>
          </cell>
          <cell r="U2175" t="str">
            <v>82007MALI COM SarlScratch 5 000</v>
          </cell>
          <cell r="V2175" t="str">
            <v>39296Scratch 5 000</v>
          </cell>
          <cell r="W2175" t="str">
            <v>2007MALI COM Sarl</v>
          </cell>
          <cell r="X2175" t="str">
            <v>2007MALI COM SarlScratch 5 000</v>
          </cell>
        </row>
        <row r="2176">
          <cell r="I2176">
            <v>2007</v>
          </cell>
          <cell r="J2176" t="str">
            <v>MALI COM SarlScratch 2 000</v>
          </cell>
          <cell r="L2176">
            <v>0</v>
          </cell>
          <cell r="M2176" t="str">
            <v>MALI COM Sarl</v>
          </cell>
          <cell r="N2176" t="str">
            <v>MALI COM SarlScratch 2 000</v>
          </cell>
          <cell r="O2176" t="str">
            <v>MALI COM Sarl</v>
          </cell>
          <cell r="P2176" t="str">
            <v>Scratch 2 000</v>
          </cell>
          <cell r="Q2176" t="str">
            <v>82007</v>
          </cell>
          <cell r="R2176" t="str">
            <v>82007Scratch 2 000</v>
          </cell>
          <cell r="S2176" t="str">
            <v>2007Scratch 2 000</v>
          </cell>
          <cell r="T2176" t="str">
            <v>82007MALI COM Sarl</v>
          </cell>
          <cell r="U2176" t="str">
            <v>82007MALI COM SarlScratch 2 000</v>
          </cell>
          <cell r="V2176" t="str">
            <v>39296Scratch 2 000</v>
          </cell>
          <cell r="W2176" t="str">
            <v>2007MALI COM Sarl</v>
          </cell>
          <cell r="X2176" t="str">
            <v>2007MALI COM SarlScratch 2 000</v>
          </cell>
        </row>
        <row r="2177">
          <cell r="I2177">
            <v>2007</v>
          </cell>
          <cell r="J2177" t="str">
            <v>MALI COM SarlScratch 1 000</v>
          </cell>
          <cell r="L2177">
            <v>0</v>
          </cell>
          <cell r="M2177" t="str">
            <v>MALI COM Sarl</v>
          </cell>
          <cell r="N2177" t="str">
            <v>MALI COM SarlScratch 1 000</v>
          </cell>
          <cell r="O2177" t="str">
            <v>MALI COM Sarl</v>
          </cell>
          <cell r="P2177" t="str">
            <v>Scratch 1 000</v>
          </cell>
          <cell r="Q2177" t="str">
            <v>82007</v>
          </cell>
          <cell r="R2177" t="str">
            <v>82007Scratch 1 000</v>
          </cell>
          <cell r="S2177" t="str">
            <v>2007Scratch 1 000</v>
          </cell>
          <cell r="T2177" t="str">
            <v>82007MALI COM Sarl</v>
          </cell>
          <cell r="U2177" t="str">
            <v>82007MALI COM SarlScratch 1 000</v>
          </cell>
          <cell r="V2177" t="str">
            <v>39296Scratch 1 000</v>
          </cell>
          <cell r="W2177" t="str">
            <v>2007MALI COM Sarl</v>
          </cell>
          <cell r="X2177" t="str">
            <v>2007MALI COM SarlScratch 1 000</v>
          </cell>
        </row>
        <row r="2178">
          <cell r="I2178">
            <v>2007</v>
          </cell>
          <cell r="J2178" t="str">
            <v>STS GAMBY &amp; FRERES (SOGAF) SarlScratch 20 000</v>
          </cell>
          <cell r="L2178">
            <v>1</v>
          </cell>
          <cell r="M2178" t="str">
            <v>1STS GAMBY &amp; FRERES (SOGAF) Sarl</v>
          </cell>
          <cell r="N2178" t="str">
            <v>STS GAMBY &amp; FRERES (SOGAF) SarlScratch 20 000</v>
          </cell>
          <cell r="O2178" t="str">
            <v>STS GAMBY &amp; FRERES (SOGAF) Sarl</v>
          </cell>
          <cell r="P2178" t="str">
            <v>Scratch 20 000</v>
          </cell>
          <cell r="Q2178" t="str">
            <v>82007</v>
          </cell>
          <cell r="R2178" t="str">
            <v>82007Scratch 20 000</v>
          </cell>
          <cell r="S2178" t="str">
            <v>2007Scratch 20 000</v>
          </cell>
          <cell r="T2178" t="str">
            <v>82007STS GAMBY &amp; FRERES (SOGAF) Sarl</v>
          </cell>
          <cell r="U2178" t="str">
            <v>82007STS GAMBY &amp; FRERES (SOGAF) SarlScratch 20 000</v>
          </cell>
          <cell r="V2178" t="str">
            <v>39296Scratch 20 000</v>
          </cell>
          <cell r="W2178" t="str">
            <v>2007STS GAMBY &amp; FRERES (SOGAF) Sarl</v>
          </cell>
          <cell r="X2178" t="str">
            <v>2007STS GAMBY &amp; FRERES (SOGAF) SarlScratch 20 000</v>
          </cell>
        </row>
        <row r="2179">
          <cell r="I2179">
            <v>2007</v>
          </cell>
          <cell r="J2179" t="str">
            <v>STS GAMBY &amp; FRERES (SOGAF) SarlScratch 5 000</v>
          </cell>
          <cell r="L2179">
            <v>0</v>
          </cell>
          <cell r="M2179" t="str">
            <v>STS GAMBY &amp; FRERES (SOGAF) Sarl</v>
          </cell>
          <cell r="N2179" t="str">
            <v>STS GAMBY &amp; FRERES (SOGAF) SarlScratch 5 000</v>
          </cell>
          <cell r="O2179" t="str">
            <v>STS GAMBY &amp; FRERES (SOGAF) Sarl</v>
          </cell>
          <cell r="P2179" t="str">
            <v>Scratch 5 000</v>
          </cell>
          <cell r="Q2179" t="str">
            <v>82007</v>
          </cell>
          <cell r="R2179" t="str">
            <v>82007Scratch 5 000</v>
          </cell>
          <cell r="S2179" t="str">
            <v>2007Scratch 5 000</v>
          </cell>
          <cell r="T2179" t="str">
            <v>82007STS GAMBY &amp; FRERES (SOGAF) Sarl</v>
          </cell>
          <cell r="U2179" t="str">
            <v>82007STS GAMBY &amp; FRERES (SOGAF) SarlScratch 5 000</v>
          </cell>
          <cell r="V2179" t="str">
            <v>39296Scratch 5 000</v>
          </cell>
          <cell r="W2179" t="str">
            <v>2007STS GAMBY &amp; FRERES (SOGAF) Sarl</v>
          </cell>
          <cell r="X2179" t="str">
            <v>2007STS GAMBY &amp; FRERES (SOGAF) SarlScratch 5 000</v>
          </cell>
        </row>
        <row r="2180">
          <cell r="I2180">
            <v>2007</v>
          </cell>
          <cell r="J2180" t="str">
            <v>STS GAMBY &amp; FRERES (SOGAF) SarlScratch 2 000</v>
          </cell>
          <cell r="L2180">
            <v>0</v>
          </cell>
          <cell r="M2180" t="str">
            <v>STS GAMBY &amp; FRERES (SOGAF) Sarl</v>
          </cell>
          <cell r="N2180" t="str">
            <v>STS GAMBY &amp; FRERES (SOGAF) SarlScratch 2 000</v>
          </cell>
          <cell r="O2180" t="str">
            <v>STS GAMBY &amp; FRERES (SOGAF) Sarl</v>
          </cell>
          <cell r="P2180" t="str">
            <v>Scratch 2 000</v>
          </cell>
          <cell r="Q2180" t="str">
            <v>82007</v>
          </cell>
          <cell r="R2180" t="str">
            <v>82007Scratch 2 000</v>
          </cell>
          <cell r="S2180" t="str">
            <v>2007Scratch 2 000</v>
          </cell>
          <cell r="T2180" t="str">
            <v>82007STS GAMBY &amp; FRERES (SOGAF) Sarl</v>
          </cell>
          <cell r="U2180" t="str">
            <v>82007STS GAMBY &amp; FRERES (SOGAF) SarlScratch 2 000</v>
          </cell>
          <cell r="V2180" t="str">
            <v>39296Scratch 2 000</v>
          </cell>
          <cell r="W2180" t="str">
            <v>2007STS GAMBY &amp; FRERES (SOGAF) Sarl</v>
          </cell>
          <cell r="X2180" t="str">
            <v>2007STS GAMBY &amp; FRERES (SOGAF) SarlScratch 2 000</v>
          </cell>
        </row>
        <row r="2181">
          <cell r="I2181">
            <v>2007</v>
          </cell>
          <cell r="J2181" t="str">
            <v>STS GAMBY &amp; FRERES (SOGAF) SarlScratch 1 000</v>
          </cell>
          <cell r="L2181">
            <v>0</v>
          </cell>
          <cell r="M2181" t="str">
            <v>STS GAMBY &amp; FRERES (SOGAF) Sarl</v>
          </cell>
          <cell r="N2181" t="str">
            <v>STS GAMBY &amp; FRERES (SOGAF) SarlScratch 1 000</v>
          </cell>
          <cell r="O2181" t="str">
            <v>STS GAMBY &amp; FRERES (SOGAF) Sarl</v>
          </cell>
          <cell r="P2181" t="str">
            <v>Scratch 1 000</v>
          </cell>
          <cell r="Q2181" t="str">
            <v>82007</v>
          </cell>
          <cell r="R2181" t="str">
            <v>82007Scratch 1 000</v>
          </cell>
          <cell r="S2181" t="str">
            <v>2007Scratch 1 000</v>
          </cell>
          <cell r="T2181" t="str">
            <v>82007STS GAMBY &amp; FRERES (SOGAF) Sarl</v>
          </cell>
          <cell r="U2181" t="str">
            <v>82007STS GAMBY &amp; FRERES (SOGAF) SarlScratch 1 000</v>
          </cell>
          <cell r="V2181" t="str">
            <v>39296Scratch 1 000</v>
          </cell>
          <cell r="W2181" t="str">
            <v>2007STS GAMBY &amp; FRERES (SOGAF) Sarl</v>
          </cell>
          <cell r="X2181" t="str">
            <v>2007STS GAMBY &amp; FRERES (SOGAF) SarlScratch 1 000</v>
          </cell>
        </row>
        <row r="2182">
          <cell r="I2182">
            <v>2007</v>
          </cell>
          <cell r="J2182" t="str">
            <v>Bonneterie Nouvelle TelecomScratch 20 000</v>
          </cell>
          <cell r="L2182">
            <v>1</v>
          </cell>
          <cell r="M2182" t="str">
            <v>1Bonneterie Nouvelle Telecom</v>
          </cell>
          <cell r="N2182" t="str">
            <v>Bonneterie Nouvelle TelecomScratch 20 000</v>
          </cell>
          <cell r="O2182" t="str">
            <v>Bonneterie Nouvelle Telecom</v>
          </cell>
          <cell r="P2182" t="str">
            <v>Scratch 20 000</v>
          </cell>
          <cell r="Q2182" t="str">
            <v>82007</v>
          </cell>
          <cell r="R2182" t="str">
            <v>82007Scratch 20 000</v>
          </cell>
          <cell r="S2182" t="str">
            <v>2007Scratch 20 000</v>
          </cell>
          <cell r="T2182" t="str">
            <v>82007Bonneterie Nouvelle Telecom</v>
          </cell>
          <cell r="U2182" t="str">
            <v>82007Bonneterie Nouvelle TelecomScratch 20 000</v>
          </cell>
          <cell r="V2182" t="str">
            <v>39296Scratch 20 000</v>
          </cell>
          <cell r="W2182" t="str">
            <v>2007Bonneterie Nouvelle Telecom</v>
          </cell>
          <cell r="X2182" t="str">
            <v>2007Bonneterie Nouvelle TelecomScratch 20 000</v>
          </cell>
        </row>
        <row r="2183">
          <cell r="I2183">
            <v>2007</v>
          </cell>
          <cell r="J2183" t="str">
            <v>Bonneterie Nouvelle TelecomScratch 10 000</v>
          </cell>
          <cell r="L2183">
            <v>0</v>
          </cell>
          <cell r="M2183" t="str">
            <v>Bonneterie Nouvelle Telecom</v>
          </cell>
          <cell r="N2183" t="str">
            <v>Bonneterie Nouvelle TelecomScratch 10 000</v>
          </cell>
          <cell r="O2183" t="str">
            <v>Bonneterie Nouvelle Telecom</v>
          </cell>
          <cell r="P2183" t="str">
            <v>Scratch 10 000</v>
          </cell>
          <cell r="Q2183" t="str">
            <v>82007</v>
          </cell>
          <cell r="R2183" t="str">
            <v>82007Scratch 10 000</v>
          </cell>
          <cell r="S2183" t="str">
            <v>2007Scratch 10 000</v>
          </cell>
          <cell r="T2183" t="str">
            <v>82007Bonneterie Nouvelle Telecom</v>
          </cell>
          <cell r="U2183" t="str">
            <v>82007Bonneterie Nouvelle TelecomScratch 10 000</v>
          </cell>
          <cell r="V2183" t="str">
            <v>39296Scratch 10 000</v>
          </cell>
          <cell r="W2183" t="str">
            <v>2007Bonneterie Nouvelle Telecom</v>
          </cell>
          <cell r="X2183" t="str">
            <v>2007Bonneterie Nouvelle TelecomScratch 10 000</v>
          </cell>
        </row>
        <row r="2184">
          <cell r="I2184">
            <v>2007</v>
          </cell>
          <cell r="J2184" t="str">
            <v>Bonneterie Nouvelle TelecomScratch 5 000</v>
          </cell>
          <cell r="L2184">
            <v>0</v>
          </cell>
          <cell r="M2184" t="str">
            <v>Bonneterie Nouvelle Telecom</v>
          </cell>
          <cell r="N2184" t="str">
            <v>Bonneterie Nouvelle TelecomScratch 5 000</v>
          </cell>
          <cell r="O2184" t="str">
            <v>Bonneterie Nouvelle Telecom</v>
          </cell>
          <cell r="P2184" t="str">
            <v>Scratch 5 000</v>
          </cell>
          <cell r="Q2184" t="str">
            <v>82007</v>
          </cell>
          <cell r="R2184" t="str">
            <v>82007Scratch 5 000</v>
          </cell>
          <cell r="S2184" t="str">
            <v>2007Scratch 5 000</v>
          </cell>
          <cell r="T2184" t="str">
            <v>82007Bonneterie Nouvelle Telecom</v>
          </cell>
          <cell r="U2184" t="str">
            <v>82007Bonneterie Nouvelle TelecomScratch 5 000</v>
          </cell>
          <cell r="V2184" t="str">
            <v>39296Scratch 5 000</v>
          </cell>
          <cell r="W2184" t="str">
            <v>2007Bonneterie Nouvelle Telecom</v>
          </cell>
          <cell r="X2184" t="str">
            <v>2007Bonneterie Nouvelle TelecomScratch 5 000</v>
          </cell>
        </row>
        <row r="2185">
          <cell r="I2185">
            <v>2007</v>
          </cell>
          <cell r="J2185" t="str">
            <v>Bonneterie Nouvelle TelecomScratch 2 000</v>
          </cell>
          <cell r="L2185">
            <v>0</v>
          </cell>
          <cell r="M2185" t="str">
            <v>Bonneterie Nouvelle Telecom</v>
          </cell>
          <cell r="N2185" t="str">
            <v>Bonneterie Nouvelle TelecomScratch 2 000</v>
          </cell>
          <cell r="O2185" t="str">
            <v>Bonneterie Nouvelle Telecom</v>
          </cell>
          <cell r="P2185" t="str">
            <v>Scratch 2 000</v>
          </cell>
          <cell r="Q2185" t="str">
            <v>82007</v>
          </cell>
          <cell r="R2185" t="str">
            <v>82007Scratch 2 000</v>
          </cell>
          <cell r="S2185" t="str">
            <v>2007Scratch 2 000</v>
          </cell>
          <cell r="T2185" t="str">
            <v>82007Bonneterie Nouvelle Telecom</v>
          </cell>
          <cell r="U2185" t="str">
            <v>82007Bonneterie Nouvelle TelecomScratch 2 000</v>
          </cell>
          <cell r="V2185" t="str">
            <v>39296Scratch 2 000</v>
          </cell>
          <cell r="W2185" t="str">
            <v>2007Bonneterie Nouvelle Telecom</v>
          </cell>
          <cell r="X2185" t="str">
            <v>2007Bonneterie Nouvelle TelecomScratch 2 000</v>
          </cell>
        </row>
        <row r="2186">
          <cell r="I2186">
            <v>2007</v>
          </cell>
          <cell r="J2186" t="str">
            <v>Bonneterie Nouvelle TelecomScratch 1 000</v>
          </cell>
          <cell r="L2186">
            <v>0</v>
          </cell>
          <cell r="M2186" t="str">
            <v>Bonneterie Nouvelle Telecom</v>
          </cell>
          <cell r="N2186" t="str">
            <v>Bonneterie Nouvelle TelecomScratch 1 000</v>
          </cell>
          <cell r="O2186" t="str">
            <v>Bonneterie Nouvelle Telecom</v>
          </cell>
          <cell r="P2186" t="str">
            <v>Scratch 1 000</v>
          </cell>
          <cell r="Q2186" t="str">
            <v>82007</v>
          </cell>
          <cell r="R2186" t="str">
            <v>82007Scratch 1 000</v>
          </cell>
          <cell r="S2186" t="str">
            <v>2007Scratch 1 000</v>
          </cell>
          <cell r="T2186" t="str">
            <v>82007Bonneterie Nouvelle Telecom</v>
          </cell>
          <cell r="U2186" t="str">
            <v>82007Bonneterie Nouvelle TelecomScratch 1 000</v>
          </cell>
          <cell r="V2186" t="str">
            <v>39296Scratch 1 000</v>
          </cell>
          <cell r="W2186" t="str">
            <v>2007Bonneterie Nouvelle Telecom</v>
          </cell>
          <cell r="X2186" t="str">
            <v>2007Bonneterie Nouvelle TelecomScratch 1 000</v>
          </cell>
        </row>
        <row r="2187">
          <cell r="I2187">
            <v>2007</v>
          </cell>
          <cell r="J2187" t="str">
            <v>ANKA SERVICESScratch 20 000</v>
          </cell>
          <cell r="L2187">
            <v>1</v>
          </cell>
          <cell r="M2187" t="str">
            <v>1ANKA SERVICES</v>
          </cell>
          <cell r="N2187" t="str">
            <v>ANKA SERVICESScratch 20 000</v>
          </cell>
          <cell r="O2187" t="str">
            <v>ANKA SERVICES</v>
          </cell>
          <cell r="P2187" t="str">
            <v>Scratch 20 000</v>
          </cell>
          <cell r="Q2187" t="str">
            <v>82007</v>
          </cell>
          <cell r="R2187" t="str">
            <v>82007Scratch 20 000</v>
          </cell>
          <cell r="S2187" t="str">
            <v>2007Scratch 20 000</v>
          </cell>
          <cell r="T2187" t="str">
            <v>82007ANKA SERVICES</v>
          </cell>
          <cell r="U2187" t="str">
            <v>82007ANKA SERVICESScratch 20 000</v>
          </cell>
          <cell r="V2187" t="str">
            <v>39296Scratch 20 000</v>
          </cell>
          <cell r="W2187" t="str">
            <v>2007ANKA SERVICES</v>
          </cell>
          <cell r="X2187" t="str">
            <v>2007ANKA SERVICESScratch 20 000</v>
          </cell>
        </row>
        <row r="2188">
          <cell r="I2188">
            <v>2007</v>
          </cell>
          <cell r="J2188" t="str">
            <v>ANKA SERVICESScratch 5 000</v>
          </cell>
          <cell r="L2188">
            <v>0</v>
          </cell>
          <cell r="M2188" t="str">
            <v>ANKA SERVICES</v>
          </cell>
          <cell r="N2188" t="str">
            <v>ANKA SERVICESScratch 5 000</v>
          </cell>
          <cell r="O2188" t="str">
            <v>ANKA SERVICES</v>
          </cell>
          <cell r="P2188" t="str">
            <v>Scratch 5 000</v>
          </cell>
          <cell r="Q2188" t="str">
            <v>82007</v>
          </cell>
          <cell r="R2188" t="str">
            <v>82007Scratch 5 000</v>
          </cell>
          <cell r="S2188" t="str">
            <v>2007Scratch 5 000</v>
          </cell>
          <cell r="T2188" t="str">
            <v>82007ANKA SERVICES</v>
          </cell>
          <cell r="U2188" t="str">
            <v>82007ANKA SERVICESScratch 5 000</v>
          </cell>
          <cell r="V2188" t="str">
            <v>39296Scratch 5 000</v>
          </cell>
          <cell r="W2188" t="str">
            <v>2007ANKA SERVICES</v>
          </cell>
          <cell r="X2188" t="str">
            <v>2007ANKA SERVICESScratch 5 000</v>
          </cell>
        </row>
        <row r="2189">
          <cell r="I2189">
            <v>2007</v>
          </cell>
          <cell r="J2189" t="str">
            <v>ANKA SERVICESScratch 2 000</v>
          </cell>
          <cell r="L2189">
            <v>0</v>
          </cell>
          <cell r="M2189" t="str">
            <v>ANKA SERVICES</v>
          </cell>
          <cell r="N2189" t="str">
            <v>ANKA SERVICESScratch 2 000</v>
          </cell>
          <cell r="O2189" t="str">
            <v>ANKA SERVICES</v>
          </cell>
          <cell r="P2189" t="str">
            <v>Scratch 2 000</v>
          </cell>
          <cell r="Q2189" t="str">
            <v>82007</v>
          </cell>
          <cell r="R2189" t="str">
            <v>82007Scratch 2 000</v>
          </cell>
          <cell r="S2189" t="str">
            <v>2007Scratch 2 000</v>
          </cell>
          <cell r="T2189" t="str">
            <v>82007ANKA SERVICES</v>
          </cell>
          <cell r="U2189" t="str">
            <v>82007ANKA SERVICESScratch 2 000</v>
          </cell>
          <cell r="V2189" t="str">
            <v>39296Scratch 2 000</v>
          </cell>
          <cell r="W2189" t="str">
            <v>2007ANKA SERVICES</v>
          </cell>
          <cell r="X2189" t="str">
            <v>2007ANKA SERVICESScratch 2 000</v>
          </cell>
        </row>
        <row r="2190">
          <cell r="I2190">
            <v>2007</v>
          </cell>
          <cell r="J2190" t="str">
            <v>ANKA SERVICESScratch 1 000</v>
          </cell>
          <cell r="L2190">
            <v>0</v>
          </cell>
          <cell r="M2190" t="str">
            <v>ANKA SERVICES</v>
          </cell>
          <cell r="N2190" t="str">
            <v>ANKA SERVICESScratch 1 000</v>
          </cell>
          <cell r="O2190" t="str">
            <v>ANKA SERVICES</v>
          </cell>
          <cell r="P2190" t="str">
            <v>Scratch 1 000</v>
          </cell>
          <cell r="Q2190" t="str">
            <v>82007</v>
          </cell>
          <cell r="R2190" t="str">
            <v>82007Scratch 1 000</v>
          </cell>
          <cell r="S2190" t="str">
            <v>2007Scratch 1 000</v>
          </cell>
          <cell r="T2190" t="str">
            <v>82007ANKA SERVICES</v>
          </cell>
          <cell r="U2190" t="str">
            <v>82007ANKA SERVICESScratch 1 000</v>
          </cell>
          <cell r="V2190" t="str">
            <v>39296Scratch 1 000</v>
          </cell>
          <cell r="W2190" t="str">
            <v>2007ANKA SERVICES</v>
          </cell>
          <cell r="X2190" t="str">
            <v>2007ANKA SERVICESScratch 1 000</v>
          </cell>
        </row>
        <row r="2191">
          <cell r="I2191">
            <v>2007</v>
          </cell>
          <cell r="J2191" t="str">
            <v>Burtel MacsymScratch 5 000</v>
          </cell>
          <cell r="L2191">
            <v>1</v>
          </cell>
          <cell r="M2191" t="str">
            <v>1Burtel Macsym</v>
          </cell>
          <cell r="N2191" t="str">
            <v>Burtel MacsymScratch 5 000</v>
          </cell>
          <cell r="O2191" t="str">
            <v>Burtel Macsym</v>
          </cell>
          <cell r="P2191" t="str">
            <v>Scratch 5 000</v>
          </cell>
          <cell r="Q2191" t="str">
            <v>82007</v>
          </cell>
          <cell r="R2191" t="str">
            <v>82007Scratch 5 000</v>
          </cell>
          <cell r="S2191" t="str">
            <v>2007Scratch 5 000</v>
          </cell>
          <cell r="T2191" t="str">
            <v>82007Burtel Macsym</v>
          </cell>
          <cell r="U2191" t="str">
            <v>82007Burtel MacsymScratch 5 000</v>
          </cell>
          <cell r="V2191" t="str">
            <v>39296Scratch 5 000</v>
          </cell>
          <cell r="W2191" t="str">
            <v>2007Burtel Macsym</v>
          </cell>
          <cell r="X2191" t="str">
            <v>2007Burtel MacsymScratch 5 000</v>
          </cell>
        </row>
        <row r="2192">
          <cell r="I2192">
            <v>2007</v>
          </cell>
          <cell r="J2192" t="str">
            <v>Burtel MacsymScratch 2 000</v>
          </cell>
          <cell r="L2192">
            <v>0</v>
          </cell>
          <cell r="M2192" t="str">
            <v>Burtel Macsym</v>
          </cell>
          <cell r="N2192" t="str">
            <v>Burtel MacsymScratch 2 000</v>
          </cell>
          <cell r="O2192" t="str">
            <v>Burtel Macsym</v>
          </cell>
          <cell r="P2192" t="str">
            <v>Scratch 2 000</v>
          </cell>
          <cell r="Q2192" t="str">
            <v>82007</v>
          </cell>
          <cell r="R2192" t="str">
            <v>82007Scratch 2 000</v>
          </cell>
          <cell r="S2192" t="str">
            <v>2007Scratch 2 000</v>
          </cell>
          <cell r="T2192" t="str">
            <v>82007Burtel Macsym</v>
          </cell>
          <cell r="U2192" t="str">
            <v>82007Burtel MacsymScratch 2 000</v>
          </cell>
          <cell r="V2192" t="str">
            <v>39296Scratch 2 000</v>
          </cell>
          <cell r="W2192" t="str">
            <v>2007Burtel Macsym</v>
          </cell>
          <cell r="X2192" t="str">
            <v>2007Burtel MacsymScratch 2 000</v>
          </cell>
        </row>
        <row r="2193">
          <cell r="I2193">
            <v>2007</v>
          </cell>
          <cell r="J2193" t="str">
            <v>Burtel MacsymScratch 1 000</v>
          </cell>
          <cell r="L2193">
            <v>0</v>
          </cell>
          <cell r="M2193" t="str">
            <v>Burtel Macsym</v>
          </cell>
          <cell r="N2193" t="str">
            <v>Burtel MacsymScratch 1 000</v>
          </cell>
          <cell r="O2193" t="str">
            <v>Burtel Macsym</v>
          </cell>
          <cell r="P2193" t="str">
            <v>Scratch 1 000</v>
          </cell>
          <cell r="Q2193" t="str">
            <v>82007</v>
          </cell>
          <cell r="R2193" t="str">
            <v>82007Scratch 1 000</v>
          </cell>
          <cell r="S2193" t="str">
            <v>2007Scratch 1 000</v>
          </cell>
          <cell r="T2193" t="str">
            <v>82007Burtel Macsym</v>
          </cell>
          <cell r="U2193" t="str">
            <v>82007Burtel MacsymScratch 1 000</v>
          </cell>
          <cell r="V2193" t="str">
            <v>39296Scratch 1 000</v>
          </cell>
          <cell r="W2193" t="str">
            <v>2007Burtel Macsym</v>
          </cell>
          <cell r="X2193" t="str">
            <v>2007Burtel MacsymScratch 1 000</v>
          </cell>
        </row>
        <row r="2194">
          <cell r="I2194">
            <v>2007</v>
          </cell>
          <cell r="J2194" t="str">
            <v>Soleil LevantScratch 10 000</v>
          </cell>
          <cell r="L2194">
            <v>1</v>
          </cell>
          <cell r="M2194" t="str">
            <v>1Soleil Levant</v>
          </cell>
          <cell r="N2194" t="str">
            <v>Soleil LevantScratch 10 000</v>
          </cell>
          <cell r="O2194" t="str">
            <v>Soleil Levant</v>
          </cell>
          <cell r="P2194" t="str">
            <v>Scratch 10 000</v>
          </cell>
          <cell r="Q2194" t="str">
            <v>82007</v>
          </cell>
          <cell r="R2194" t="str">
            <v>82007Scratch 10 000</v>
          </cell>
          <cell r="S2194" t="str">
            <v>2007Scratch 10 000</v>
          </cell>
          <cell r="T2194" t="str">
            <v>82007Soleil Levant</v>
          </cell>
          <cell r="U2194" t="str">
            <v>82007Soleil LevantScratch 10 000</v>
          </cell>
          <cell r="V2194" t="str">
            <v>39297Scratch 10 000</v>
          </cell>
          <cell r="W2194" t="str">
            <v>2007Soleil Levant</v>
          </cell>
          <cell r="X2194" t="str">
            <v>2007Soleil LevantScratch 10 000</v>
          </cell>
        </row>
        <row r="2195">
          <cell r="I2195">
            <v>2007</v>
          </cell>
          <cell r="J2195" t="str">
            <v>Soleil LevantScratch 5 000</v>
          </cell>
          <cell r="L2195">
            <v>0</v>
          </cell>
          <cell r="M2195" t="str">
            <v>Soleil Levant</v>
          </cell>
          <cell r="N2195" t="str">
            <v>Soleil LevantScratch 5 000</v>
          </cell>
          <cell r="O2195" t="str">
            <v>Soleil Levant</v>
          </cell>
          <cell r="P2195" t="str">
            <v>Scratch 5 000</v>
          </cell>
          <cell r="Q2195" t="str">
            <v>82007</v>
          </cell>
          <cell r="R2195" t="str">
            <v>82007Scratch 5 000</v>
          </cell>
          <cell r="S2195" t="str">
            <v>2007Scratch 5 000</v>
          </cell>
          <cell r="T2195" t="str">
            <v>82007Soleil Levant</v>
          </cell>
          <cell r="U2195" t="str">
            <v>82007Soleil LevantScratch 5 000</v>
          </cell>
          <cell r="V2195" t="str">
            <v>39297Scratch 5 000</v>
          </cell>
          <cell r="W2195" t="str">
            <v>2007Soleil Levant</v>
          </cell>
          <cell r="X2195" t="str">
            <v>2007Soleil LevantScratch 5 000</v>
          </cell>
        </row>
        <row r="2196">
          <cell r="I2196">
            <v>2007</v>
          </cell>
          <cell r="J2196" t="str">
            <v>Soleil LevantScratch 2 000</v>
          </cell>
          <cell r="L2196">
            <v>0</v>
          </cell>
          <cell r="M2196" t="str">
            <v>Soleil Levant</v>
          </cell>
          <cell r="N2196" t="str">
            <v>Soleil LevantScratch 2 000</v>
          </cell>
          <cell r="O2196" t="str">
            <v>Soleil Levant</v>
          </cell>
          <cell r="P2196" t="str">
            <v>Scratch 2 000</v>
          </cell>
          <cell r="Q2196" t="str">
            <v>82007</v>
          </cell>
          <cell r="R2196" t="str">
            <v>82007Scratch 2 000</v>
          </cell>
          <cell r="S2196" t="str">
            <v>2007Scratch 2 000</v>
          </cell>
          <cell r="T2196" t="str">
            <v>82007Soleil Levant</v>
          </cell>
          <cell r="U2196" t="str">
            <v>82007Soleil LevantScratch 2 000</v>
          </cell>
          <cell r="V2196" t="str">
            <v>39297Scratch 2 000</v>
          </cell>
          <cell r="W2196" t="str">
            <v>2007Soleil Levant</v>
          </cell>
          <cell r="X2196" t="str">
            <v>2007Soleil LevantScratch 2 000</v>
          </cell>
        </row>
        <row r="2197">
          <cell r="I2197">
            <v>2007</v>
          </cell>
          <cell r="J2197" t="str">
            <v>Soleil LevantScratch 1 000</v>
          </cell>
          <cell r="L2197">
            <v>0</v>
          </cell>
          <cell r="M2197" t="str">
            <v>Soleil Levant</v>
          </cell>
          <cell r="N2197" t="str">
            <v>Soleil LevantScratch 1 000</v>
          </cell>
          <cell r="O2197" t="str">
            <v>Soleil Levant</v>
          </cell>
          <cell r="P2197" t="str">
            <v>Scratch 1 000</v>
          </cell>
          <cell r="Q2197" t="str">
            <v>82007</v>
          </cell>
          <cell r="R2197" t="str">
            <v>82007Scratch 1 000</v>
          </cell>
          <cell r="S2197" t="str">
            <v>2007Scratch 1 000</v>
          </cell>
          <cell r="T2197" t="str">
            <v>82007Soleil Levant</v>
          </cell>
          <cell r="U2197" t="str">
            <v>82007Soleil LevantScratch 1 000</v>
          </cell>
          <cell r="V2197" t="str">
            <v>39297Scratch 1 000</v>
          </cell>
          <cell r="W2197" t="str">
            <v>2007Soleil Levant</v>
          </cell>
          <cell r="X2197" t="str">
            <v>2007Soleil LevantScratch 1 000</v>
          </cell>
        </row>
        <row r="2198">
          <cell r="I2198">
            <v>2007</v>
          </cell>
          <cell r="J2198" t="str">
            <v>SOMAKOFFScratch 5 000</v>
          </cell>
          <cell r="L2198">
            <v>1</v>
          </cell>
          <cell r="M2198" t="str">
            <v>1SOMAKOFF</v>
          </cell>
          <cell r="N2198" t="str">
            <v>SOMAKOFFScratch 5 000</v>
          </cell>
          <cell r="O2198" t="str">
            <v>SOMAKOFF</v>
          </cell>
          <cell r="P2198" t="str">
            <v>Scratch 5 000</v>
          </cell>
          <cell r="Q2198" t="str">
            <v>82007</v>
          </cell>
          <cell r="R2198" t="str">
            <v>82007Scratch 5 000</v>
          </cell>
          <cell r="S2198" t="str">
            <v>2007Scratch 5 000</v>
          </cell>
          <cell r="T2198" t="str">
            <v>82007SOMAKOFF</v>
          </cell>
          <cell r="U2198" t="str">
            <v>82007SOMAKOFFScratch 5 000</v>
          </cell>
          <cell r="V2198" t="str">
            <v>39297Scratch 5 000</v>
          </cell>
          <cell r="W2198" t="str">
            <v>2007SOMAKOFF</v>
          </cell>
          <cell r="X2198" t="str">
            <v>2007SOMAKOFFScratch 5 000</v>
          </cell>
        </row>
        <row r="2199">
          <cell r="I2199">
            <v>2007</v>
          </cell>
          <cell r="J2199" t="str">
            <v>SOMAKOFFScratch 2 000</v>
          </cell>
          <cell r="L2199">
            <v>0</v>
          </cell>
          <cell r="M2199" t="str">
            <v>SOMAKOFF</v>
          </cell>
          <cell r="N2199" t="str">
            <v>SOMAKOFFScratch 2 000</v>
          </cell>
          <cell r="O2199" t="str">
            <v>SOMAKOFF</v>
          </cell>
          <cell r="P2199" t="str">
            <v>Scratch 2 000</v>
          </cell>
          <cell r="Q2199" t="str">
            <v>82007</v>
          </cell>
          <cell r="R2199" t="str">
            <v>82007Scratch 2 000</v>
          </cell>
          <cell r="S2199" t="str">
            <v>2007Scratch 2 000</v>
          </cell>
          <cell r="T2199" t="str">
            <v>82007SOMAKOFF</v>
          </cell>
          <cell r="U2199" t="str">
            <v>82007SOMAKOFFScratch 2 000</v>
          </cell>
          <cell r="V2199" t="str">
            <v>39297Scratch 2 000</v>
          </cell>
          <cell r="W2199" t="str">
            <v>2007SOMAKOFF</v>
          </cell>
          <cell r="X2199" t="str">
            <v>2007SOMAKOFFScratch 2 000</v>
          </cell>
        </row>
        <row r="2200">
          <cell r="I2200">
            <v>2007</v>
          </cell>
          <cell r="J2200" t="str">
            <v>SOMAKOFFScratch 1 000</v>
          </cell>
          <cell r="L2200">
            <v>0</v>
          </cell>
          <cell r="M2200" t="str">
            <v>SOMAKOFF</v>
          </cell>
          <cell r="N2200" t="str">
            <v>SOMAKOFFScratch 1 000</v>
          </cell>
          <cell r="O2200" t="str">
            <v>SOMAKOFF</v>
          </cell>
          <cell r="P2200" t="str">
            <v>Scratch 1 000</v>
          </cell>
          <cell r="Q2200" t="str">
            <v>82007</v>
          </cell>
          <cell r="R2200" t="str">
            <v>82007Scratch 1 000</v>
          </cell>
          <cell r="S2200" t="str">
            <v>2007Scratch 1 000</v>
          </cell>
          <cell r="T2200" t="str">
            <v>82007SOMAKOFF</v>
          </cell>
          <cell r="U2200" t="str">
            <v>82007SOMAKOFFScratch 1 000</v>
          </cell>
          <cell r="V2200" t="str">
            <v>39297Scratch 1 000</v>
          </cell>
          <cell r="W2200" t="str">
            <v>2007SOMAKOFF</v>
          </cell>
          <cell r="X2200" t="str">
            <v>2007SOMAKOFFScratch 1 000</v>
          </cell>
        </row>
        <row r="2201">
          <cell r="I2201">
            <v>2007</v>
          </cell>
          <cell r="J2201" t="str">
            <v>STS GAMBY &amp; FRERES (SOGAF) SarlScratch 5 000</v>
          </cell>
          <cell r="L2201">
            <v>1</v>
          </cell>
          <cell r="M2201" t="str">
            <v>1STS GAMBY &amp; FRERES (SOGAF) Sarl</v>
          </cell>
          <cell r="N2201" t="str">
            <v>STS GAMBY &amp; FRERES (SOGAF) SarlScratch 5 000</v>
          </cell>
          <cell r="O2201" t="str">
            <v>STS GAMBY &amp; FRERES (SOGAF) Sarl</v>
          </cell>
          <cell r="P2201" t="str">
            <v>Scratch 5 000</v>
          </cell>
          <cell r="Q2201" t="str">
            <v>82007</v>
          </cell>
          <cell r="R2201" t="str">
            <v>82007Scratch 5 000</v>
          </cell>
          <cell r="S2201" t="str">
            <v>2007Scratch 5 000</v>
          </cell>
          <cell r="T2201" t="str">
            <v>82007STS GAMBY &amp; FRERES (SOGAF) Sarl</v>
          </cell>
          <cell r="U2201" t="str">
            <v>82007STS GAMBY &amp; FRERES (SOGAF) SarlScratch 5 000</v>
          </cell>
          <cell r="V2201" t="str">
            <v>39297Scratch 5 000</v>
          </cell>
          <cell r="W2201" t="str">
            <v>2007STS GAMBY &amp; FRERES (SOGAF) Sarl</v>
          </cell>
          <cell r="X2201" t="str">
            <v>2007STS GAMBY &amp; FRERES (SOGAF) SarlScratch 5 000</v>
          </cell>
        </row>
        <row r="2202">
          <cell r="I2202">
            <v>2007</v>
          </cell>
          <cell r="J2202" t="str">
            <v>STS GAMBY &amp; FRERES (SOGAF) SarlScratch 2 000</v>
          </cell>
          <cell r="L2202">
            <v>0</v>
          </cell>
          <cell r="M2202" t="str">
            <v>STS GAMBY &amp; FRERES (SOGAF) Sarl</v>
          </cell>
          <cell r="N2202" t="str">
            <v>STS GAMBY &amp; FRERES (SOGAF) SarlScratch 2 000</v>
          </cell>
          <cell r="O2202" t="str">
            <v>STS GAMBY &amp; FRERES (SOGAF) Sarl</v>
          </cell>
          <cell r="P2202" t="str">
            <v>Scratch 2 000</v>
          </cell>
          <cell r="Q2202" t="str">
            <v>82007</v>
          </cell>
          <cell r="R2202" t="str">
            <v>82007Scratch 2 000</v>
          </cell>
          <cell r="S2202" t="str">
            <v>2007Scratch 2 000</v>
          </cell>
          <cell r="T2202" t="str">
            <v>82007STS GAMBY &amp; FRERES (SOGAF) Sarl</v>
          </cell>
          <cell r="U2202" t="str">
            <v>82007STS GAMBY &amp; FRERES (SOGAF) SarlScratch 2 000</v>
          </cell>
          <cell r="V2202" t="str">
            <v>39297Scratch 2 000</v>
          </cell>
          <cell r="W2202" t="str">
            <v>2007STS GAMBY &amp; FRERES (SOGAF) Sarl</v>
          </cell>
          <cell r="X2202" t="str">
            <v>2007STS GAMBY &amp; FRERES (SOGAF) SarlScratch 2 000</v>
          </cell>
        </row>
        <row r="2203">
          <cell r="I2203">
            <v>2007</v>
          </cell>
          <cell r="J2203" t="str">
            <v>STS GAMBY &amp; FRERES (SOGAF) SarlScratch 1 000</v>
          </cell>
          <cell r="L2203">
            <v>0</v>
          </cell>
          <cell r="M2203" t="str">
            <v>STS GAMBY &amp; FRERES (SOGAF) Sarl</v>
          </cell>
          <cell r="N2203" t="str">
            <v>STS GAMBY &amp; FRERES (SOGAF) SarlScratch 1 000</v>
          </cell>
          <cell r="O2203" t="str">
            <v>STS GAMBY &amp; FRERES (SOGAF) Sarl</v>
          </cell>
          <cell r="P2203" t="str">
            <v>Scratch 1 000</v>
          </cell>
          <cell r="Q2203" t="str">
            <v>82007</v>
          </cell>
          <cell r="R2203" t="str">
            <v>82007Scratch 1 000</v>
          </cell>
          <cell r="S2203" t="str">
            <v>2007Scratch 1 000</v>
          </cell>
          <cell r="T2203" t="str">
            <v>82007STS GAMBY &amp; FRERES (SOGAF) Sarl</v>
          </cell>
          <cell r="U2203" t="str">
            <v>82007STS GAMBY &amp; FRERES (SOGAF) SarlScratch 1 000</v>
          </cell>
          <cell r="V2203" t="str">
            <v>39297Scratch 1 000</v>
          </cell>
          <cell r="W2203" t="str">
            <v>2007STS GAMBY &amp; FRERES (SOGAF) Sarl</v>
          </cell>
          <cell r="X2203" t="str">
            <v>2007STS GAMBY &amp; FRERES (SOGAF) SarlScratch 1 000</v>
          </cell>
        </row>
        <row r="2204">
          <cell r="I2204">
            <v>2007</v>
          </cell>
          <cell r="J2204" t="str">
            <v>Ets Boubacar TANDIAScratch 20 000</v>
          </cell>
          <cell r="L2204">
            <v>1</v>
          </cell>
          <cell r="M2204" t="str">
            <v>1Ets Boubacar TANDIA</v>
          </cell>
          <cell r="N2204" t="str">
            <v>Ets Boubacar TANDIAScratch 20 000</v>
          </cell>
          <cell r="O2204" t="str">
            <v>Ets Boubacar TANDIA</v>
          </cell>
          <cell r="P2204" t="str">
            <v>Scratch 20 000</v>
          </cell>
          <cell r="Q2204" t="str">
            <v>82007</v>
          </cell>
          <cell r="R2204" t="str">
            <v>82007Scratch 20 000</v>
          </cell>
          <cell r="S2204" t="str">
            <v>2007Scratch 20 000</v>
          </cell>
          <cell r="T2204" t="str">
            <v>82007Ets Boubacar TANDIA</v>
          </cell>
          <cell r="U2204" t="str">
            <v>82007Ets Boubacar TANDIAScratch 20 000</v>
          </cell>
          <cell r="V2204" t="str">
            <v>39297Scratch 20 000</v>
          </cell>
          <cell r="W2204" t="str">
            <v>2007Ets Boubacar TANDIA</v>
          </cell>
          <cell r="X2204" t="str">
            <v>2007Ets Boubacar TANDIAScratch 20 000</v>
          </cell>
        </row>
        <row r="2205">
          <cell r="I2205">
            <v>2007</v>
          </cell>
          <cell r="J2205" t="str">
            <v>Ets Boubacar TANDIAScratch 5 000</v>
          </cell>
          <cell r="L2205">
            <v>0</v>
          </cell>
          <cell r="M2205" t="str">
            <v>Ets Boubacar TANDIA</v>
          </cell>
          <cell r="N2205" t="str">
            <v>Ets Boubacar TANDIAScratch 5 000</v>
          </cell>
          <cell r="O2205" t="str">
            <v>Ets Boubacar TANDIA</v>
          </cell>
          <cell r="P2205" t="str">
            <v>Scratch 5 000</v>
          </cell>
          <cell r="Q2205" t="str">
            <v>82007</v>
          </cell>
          <cell r="R2205" t="str">
            <v>82007Scratch 5 000</v>
          </cell>
          <cell r="S2205" t="str">
            <v>2007Scratch 5 000</v>
          </cell>
          <cell r="T2205" t="str">
            <v>82007Ets Boubacar TANDIA</v>
          </cell>
          <cell r="U2205" t="str">
            <v>82007Ets Boubacar TANDIAScratch 5 000</v>
          </cell>
          <cell r="V2205" t="str">
            <v>39297Scratch 5 000</v>
          </cell>
          <cell r="W2205" t="str">
            <v>2007Ets Boubacar TANDIA</v>
          </cell>
          <cell r="X2205" t="str">
            <v>2007Ets Boubacar TANDIAScratch 5 000</v>
          </cell>
        </row>
        <row r="2206">
          <cell r="I2206">
            <v>2007</v>
          </cell>
          <cell r="J2206" t="str">
            <v>Ets Boubacar TANDIAScratch 2 000</v>
          </cell>
          <cell r="L2206">
            <v>0</v>
          </cell>
          <cell r="M2206" t="str">
            <v>Ets Boubacar TANDIA</v>
          </cell>
          <cell r="N2206" t="str">
            <v>Ets Boubacar TANDIAScratch 2 000</v>
          </cell>
          <cell r="O2206" t="str">
            <v>Ets Boubacar TANDIA</v>
          </cell>
          <cell r="P2206" t="str">
            <v>Scratch 2 000</v>
          </cell>
          <cell r="Q2206" t="str">
            <v>82007</v>
          </cell>
          <cell r="R2206" t="str">
            <v>82007Scratch 2 000</v>
          </cell>
          <cell r="S2206" t="str">
            <v>2007Scratch 2 000</v>
          </cell>
          <cell r="T2206" t="str">
            <v>82007Ets Boubacar TANDIA</v>
          </cell>
          <cell r="U2206" t="str">
            <v>82007Ets Boubacar TANDIAScratch 2 000</v>
          </cell>
          <cell r="V2206" t="str">
            <v>39297Scratch 2 000</v>
          </cell>
          <cell r="W2206" t="str">
            <v>2007Ets Boubacar TANDIA</v>
          </cell>
          <cell r="X2206" t="str">
            <v>2007Ets Boubacar TANDIAScratch 2 000</v>
          </cell>
        </row>
        <row r="2207">
          <cell r="I2207">
            <v>2007</v>
          </cell>
          <cell r="J2207" t="str">
            <v>Ets Boubacar TANDIAScratch 1 000</v>
          </cell>
          <cell r="L2207">
            <v>0</v>
          </cell>
          <cell r="M2207" t="str">
            <v>Ets Boubacar TANDIA</v>
          </cell>
          <cell r="N2207" t="str">
            <v>Ets Boubacar TANDIAScratch 1 000</v>
          </cell>
          <cell r="O2207" t="str">
            <v>Ets Boubacar TANDIA</v>
          </cell>
          <cell r="P2207" t="str">
            <v>Scratch 1 000</v>
          </cell>
          <cell r="Q2207" t="str">
            <v>82007</v>
          </cell>
          <cell r="R2207" t="str">
            <v>82007Scratch 1 000</v>
          </cell>
          <cell r="S2207" t="str">
            <v>2007Scratch 1 000</v>
          </cell>
          <cell r="T2207" t="str">
            <v>82007Ets Boubacar TANDIA</v>
          </cell>
          <cell r="U2207" t="str">
            <v>82007Ets Boubacar TANDIAScratch 1 000</v>
          </cell>
          <cell r="V2207" t="str">
            <v>39297Scratch 1 000</v>
          </cell>
          <cell r="W2207" t="str">
            <v>2007Ets Boubacar TANDIA</v>
          </cell>
          <cell r="X2207" t="str">
            <v>2007Ets Boubacar TANDIAScratch 1 000</v>
          </cell>
        </row>
        <row r="2208">
          <cell r="I2208">
            <v>2007</v>
          </cell>
          <cell r="J2208" t="str">
            <v>GEMATELScratch 20 000</v>
          </cell>
          <cell r="L2208">
            <v>1</v>
          </cell>
          <cell r="M2208" t="str">
            <v>1GEMATEL</v>
          </cell>
          <cell r="N2208" t="str">
            <v>GEMATELScratch 20 000</v>
          </cell>
          <cell r="O2208" t="str">
            <v>GEMATEL</v>
          </cell>
          <cell r="P2208" t="str">
            <v>Scratch 20 000</v>
          </cell>
          <cell r="Q2208" t="str">
            <v>82007</v>
          </cell>
          <cell r="R2208" t="str">
            <v>82007Scratch 20 000</v>
          </cell>
          <cell r="S2208" t="str">
            <v>2007Scratch 20 000</v>
          </cell>
          <cell r="T2208" t="str">
            <v>82007GEMATEL</v>
          </cell>
          <cell r="U2208" t="str">
            <v>82007GEMATELScratch 20 000</v>
          </cell>
          <cell r="V2208" t="str">
            <v>39297Scratch 20 000</v>
          </cell>
          <cell r="W2208" t="str">
            <v>2007GEMATEL</v>
          </cell>
          <cell r="X2208" t="str">
            <v>2007GEMATELScratch 20 000</v>
          </cell>
        </row>
        <row r="2209">
          <cell r="I2209">
            <v>2007</v>
          </cell>
          <cell r="J2209" t="str">
            <v>GEMATELScratch 10 000</v>
          </cell>
          <cell r="L2209">
            <v>0</v>
          </cell>
          <cell r="M2209" t="str">
            <v>GEMATEL</v>
          </cell>
          <cell r="N2209" t="str">
            <v>GEMATELScratch 10 000</v>
          </cell>
          <cell r="O2209" t="str">
            <v>GEMATEL</v>
          </cell>
          <cell r="P2209" t="str">
            <v>Scratch 10 000</v>
          </cell>
          <cell r="Q2209" t="str">
            <v>82007</v>
          </cell>
          <cell r="R2209" t="str">
            <v>82007Scratch 10 000</v>
          </cell>
          <cell r="S2209" t="str">
            <v>2007Scratch 10 000</v>
          </cell>
          <cell r="T2209" t="str">
            <v>82007GEMATEL</v>
          </cell>
          <cell r="U2209" t="str">
            <v>82007GEMATELScratch 10 000</v>
          </cell>
          <cell r="V2209" t="str">
            <v>39297Scratch 10 000</v>
          </cell>
          <cell r="W2209" t="str">
            <v>2007GEMATEL</v>
          </cell>
          <cell r="X2209" t="str">
            <v>2007GEMATELScratch 10 000</v>
          </cell>
        </row>
        <row r="2210">
          <cell r="I2210">
            <v>2007</v>
          </cell>
          <cell r="J2210" t="str">
            <v>GEMATELScratch 5 000</v>
          </cell>
          <cell r="L2210">
            <v>0</v>
          </cell>
          <cell r="M2210" t="str">
            <v>GEMATEL</v>
          </cell>
          <cell r="N2210" t="str">
            <v>GEMATELScratch 5 000</v>
          </cell>
          <cell r="O2210" t="str">
            <v>GEMATEL</v>
          </cell>
          <cell r="P2210" t="str">
            <v>Scratch 5 000</v>
          </cell>
          <cell r="Q2210" t="str">
            <v>82007</v>
          </cell>
          <cell r="R2210" t="str">
            <v>82007Scratch 5 000</v>
          </cell>
          <cell r="S2210" t="str">
            <v>2007Scratch 5 000</v>
          </cell>
          <cell r="T2210" t="str">
            <v>82007GEMATEL</v>
          </cell>
          <cell r="U2210" t="str">
            <v>82007GEMATELScratch 5 000</v>
          </cell>
          <cell r="V2210" t="str">
            <v>39297Scratch 5 000</v>
          </cell>
          <cell r="W2210" t="str">
            <v>2007GEMATEL</v>
          </cell>
          <cell r="X2210" t="str">
            <v>2007GEMATELScratch 5 000</v>
          </cell>
        </row>
        <row r="2211">
          <cell r="I2211">
            <v>2007</v>
          </cell>
          <cell r="J2211" t="str">
            <v>GEMATELScratch 2 000</v>
          </cell>
          <cell r="L2211">
            <v>0</v>
          </cell>
          <cell r="M2211" t="str">
            <v>GEMATEL</v>
          </cell>
          <cell r="N2211" t="str">
            <v>GEMATELScratch 2 000</v>
          </cell>
          <cell r="O2211" t="str">
            <v>GEMATEL</v>
          </cell>
          <cell r="P2211" t="str">
            <v>Scratch 2 000</v>
          </cell>
          <cell r="Q2211" t="str">
            <v>82007</v>
          </cell>
          <cell r="R2211" t="str">
            <v>82007Scratch 2 000</v>
          </cell>
          <cell r="S2211" t="str">
            <v>2007Scratch 2 000</v>
          </cell>
          <cell r="T2211" t="str">
            <v>82007GEMATEL</v>
          </cell>
          <cell r="U2211" t="str">
            <v>82007GEMATELScratch 2 000</v>
          </cell>
          <cell r="V2211" t="str">
            <v>39297Scratch 2 000</v>
          </cell>
          <cell r="W2211" t="str">
            <v>2007GEMATEL</v>
          </cell>
          <cell r="X2211" t="str">
            <v>2007GEMATELScratch 2 000</v>
          </cell>
        </row>
        <row r="2212">
          <cell r="I2212">
            <v>2007</v>
          </cell>
          <cell r="J2212" t="str">
            <v>GEMATELScratch 1 000</v>
          </cell>
          <cell r="L2212">
            <v>0</v>
          </cell>
          <cell r="M2212" t="str">
            <v>GEMATEL</v>
          </cell>
          <cell r="N2212" t="str">
            <v>GEMATELScratch 1 000</v>
          </cell>
          <cell r="O2212" t="str">
            <v>GEMATEL</v>
          </cell>
          <cell r="P2212" t="str">
            <v>Scratch 1 000</v>
          </cell>
          <cell r="Q2212" t="str">
            <v>82007</v>
          </cell>
          <cell r="R2212" t="str">
            <v>82007Scratch 1 000</v>
          </cell>
          <cell r="S2212" t="str">
            <v>2007Scratch 1 000</v>
          </cell>
          <cell r="T2212" t="str">
            <v>82007GEMATEL</v>
          </cell>
          <cell r="U2212" t="str">
            <v>82007GEMATELScratch 1 000</v>
          </cell>
          <cell r="V2212" t="str">
            <v>39297Scratch 1 000</v>
          </cell>
          <cell r="W2212" t="str">
            <v>2007GEMATEL</v>
          </cell>
          <cell r="X2212" t="str">
            <v>2007GEMATELScratch 1 000</v>
          </cell>
        </row>
        <row r="2213">
          <cell r="I2213">
            <v>2007</v>
          </cell>
          <cell r="J2213" t="str">
            <v>ANKA SERVICESScratch 20 000</v>
          </cell>
          <cell r="L2213">
            <v>1</v>
          </cell>
          <cell r="M2213" t="str">
            <v>1ANKA SERVICES</v>
          </cell>
          <cell r="N2213" t="str">
            <v>ANKA SERVICESScratch 20 000</v>
          </cell>
          <cell r="O2213" t="str">
            <v>ANKA SERVICES</v>
          </cell>
          <cell r="P2213" t="str">
            <v>Scratch 20 000</v>
          </cell>
          <cell r="Q2213" t="str">
            <v>82007</v>
          </cell>
          <cell r="R2213" t="str">
            <v>82007Scratch 20 000</v>
          </cell>
          <cell r="S2213" t="str">
            <v>2007Scratch 20 000</v>
          </cell>
          <cell r="T2213" t="str">
            <v>82007ANKA SERVICES</v>
          </cell>
          <cell r="U2213" t="str">
            <v>82007ANKA SERVICESScratch 20 000</v>
          </cell>
          <cell r="V2213" t="str">
            <v>39297Scratch 20 000</v>
          </cell>
          <cell r="W2213" t="str">
            <v>2007ANKA SERVICES</v>
          </cell>
          <cell r="X2213" t="str">
            <v>2007ANKA SERVICESScratch 20 000</v>
          </cell>
        </row>
        <row r="2214">
          <cell r="I2214">
            <v>2007</v>
          </cell>
          <cell r="J2214" t="str">
            <v>ANKA SERVICESScratch 5 000</v>
          </cell>
          <cell r="L2214">
            <v>0</v>
          </cell>
          <cell r="M2214" t="str">
            <v>ANKA SERVICES</v>
          </cell>
          <cell r="N2214" t="str">
            <v>ANKA SERVICESScratch 5 000</v>
          </cell>
          <cell r="O2214" t="str">
            <v>ANKA SERVICES</v>
          </cell>
          <cell r="P2214" t="str">
            <v>Scratch 5 000</v>
          </cell>
          <cell r="Q2214" t="str">
            <v>82007</v>
          </cell>
          <cell r="R2214" t="str">
            <v>82007Scratch 5 000</v>
          </cell>
          <cell r="S2214" t="str">
            <v>2007Scratch 5 000</v>
          </cell>
          <cell r="T2214" t="str">
            <v>82007ANKA SERVICES</v>
          </cell>
          <cell r="U2214" t="str">
            <v>82007ANKA SERVICESScratch 5 000</v>
          </cell>
          <cell r="V2214" t="str">
            <v>39297Scratch 5 000</v>
          </cell>
          <cell r="W2214" t="str">
            <v>2007ANKA SERVICES</v>
          </cell>
          <cell r="X2214" t="str">
            <v>2007ANKA SERVICESScratch 5 000</v>
          </cell>
        </row>
        <row r="2215">
          <cell r="I2215">
            <v>2007</v>
          </cell>
          <cell r="J2215" t="str">
            <v>ANKA SERVICESScratch 2 000</v>
          </cell>
          <cell r="L2215">
            <v>0</v>
          </cell>
          <cell r="M2215" t="str">
            <v>ANKA SERVICES</v>
          </cell>
          <cell r="N2215" t="str">
            <v>ANKA SERVICESScratch 2 000</v>
          </cell>
          <cell r="O2215" t="str">
            <v>ANKA SERVICES</v>
          </cell>
          <cell r="P2215" t="str">
            <v>Scratch 2 000</v>
          </cell>
          <cell r="Q2215" t="str">
            <v>82007</v>
          </cell>
          <cell r="R2215" t="str">
            <v>82007Scratch 2 000</v>
          </cell>
          <cell r="S2215" t="str">
            <v>2007Scratch 2 000</v>
          </cell>
          <cell r="T2215" t="str">
            <v>82007ANKA SERVICES</v>
          </cell>
          <cell r="U2215" t="str">
            <v>82007ANKA SERVICESScratch 2 000</v>
          </cell>
          <cell r="V2215" t="str">
            <v>39297Scratch 2 000</v>
          </cell>
          <cell r="W2215" t="str">
            <v>2007ANKA SERVICES</v>
          </cell>
          <cell r="X2215" t="str">
            <v>2007ANKA SERVICESScratch 2 000</v>
          </cell>
        </row>
        <row r="2216">
          <cell r="I2216">
            <v>2007</v>
          </cell>
          <cell r="J2216" t="str">
            <v>ANKA SERVICESScratch 1 000</v>
          </cell>
          <cell r="L2216">
            <v>0</v>
          </cell>
          <cell r="M2216" t="str">
            <v>ANKA SERVICES</v>
          </cell>
          <cell r="N2216" t="str">
            <v>ANKA SERVICESScratch 1 000</v>
          </cell>
          <cell r="O2216" t="str">
            <v>ANKA SERVICES</v>
          </cell>
          <cell r="P2216" t="str">
            <v>Scratch 1 000</v>
          </cell>
          <cell r="Q2216" t="str">
            <v>82007</v>
          </cell>
          <cell r="R2216" t="str">
            <v>82007Scratch 1 000</v>
          </cell>
          <cell r="S2216" t="str">
            <v>2007Scratch 1 000</v>
          </cell>
          <cell r="T2216" t="str">
            <v>82007ANKA SERVICES</v>
          </cell>
          <cell r="U2216" t="str">
            <v>82007ANKA SERVICESScratch 1 000</v>
          </cell>
          <cell r="V2216" t="str">
            <v>39297Scratch 1 000</v>
          </cell>
          <cell r="W2216" t="str">
            <v>2007ANKA SERVICES</v>
          </cell>
          <cell r="X2216" t="str">
            <v>2007ANKA SERVICESScratch 1 000</v>
          </cell>
        </row>
        <row r="2217">
          <cell r="I2217">
            <v>2007</v>
          </cell>
          <cell r="J2217" t="str">
            <v>ANKA SERVICESScratch 20 000</v>
          </cell>
          <cell r="L2217">
            <v>1</v>
          </cell>
          <cell r="M2217" t="str">
            <v>1ANKA SERVICES</v>
          </cell>
          <cell r="N2217" t="str">
            <v>ANKA SERVICESScratch 20 000</v>
          </cell>
          <cell r="O2217" t="str">
            <v>ANKA SERVICES</v>
          </cell>
          <cell r="P2217" t="str">
            <v>Scratch 20 000</v>
          </cell>
          <cell r="Q2217" t="str">
            <v>82007</v>
          </cell>
          <cell r="R2217" t="str">
            <v>82007Scratch 20 000</v>
          </cell>
          <cell r="S2217" t="str">
            <v>2007Scratch 20 000</v>
          </cell>
          <cell r="T2217" t="str">
            <v>82007ANKA SERVICES</v>
          </cell>
          <cell r="U2217" t="str">
            <v>82007ANKA SERVICESScratch 20 000</v>
          </cell>
          <cell r="V2217" t="str">
            <v>39302Scratch 20 000</v>
          </cell>
          <cell r="W2217" t="str">
            <v>2007ANKA SERVICES</v>
          </cell>
          <cell r="X2217" t="str">
            <v>2007ANKA SERVICESScratch 20 000</v>
          </cell>
        </row>
        <row r="2218">
          <cell r="I2218">
            <v>2007</v>
          </cell>
          <cell r="J2218" t="str">
            <v>ANKA SERVICESScratch 10 000</v>
          </cell>
          <cell r="L2218">
            <v>0</v>
          </cell>
          <cell r="M2218" t="str">
            <v>ANKA SERVICES</v>
          </cell>
          <cell r="N2218" t="str">
            <v>ANKA SERVICESScratch 10 000</v>
          </cell>
          <cell r="O2218" t="str">
            <v>ANKA SERVICES</v>
          </cell>
          <cell r="P2218" t="str">
            <v>Scratch 10 000</v>
          </cell>
          <cell r="Q2218" t="str">
            <v>82007</v>
          </cell>
          <cell r="R2218" t="str">
            <v>82007Scratch 10 000</v>
          </cell>
          <cell r="S2218" t="str">
            <v>2007Scratch 10 000</v>
          </cell>
          <cell r="T2218" t="str">
            <v>82007ANKA SERVICES</v>
          </cell>
          <cell r="U2218" t="str">
            <v>82007ANKA SERVICESScratch 10 000</v>
          </cell>
          <cell r="V2218" t="str">
            <v>39302Scratch 10 000</v>
          </cell>
          <cell r="W2218" t="str">
            <v>2007ANKA SERVICES</v>
          </cell>
          <cell r="X2218" t="str">
            <v>2007ANKA SERVICESScratch 10 000</v>
          </cell>
        </row>
        <row r="2219">
          <cell r="I2219">
            <v>2007</v>
          </cell>
          <cell r="J2219" t="str">
            <v>ANKA SERVICESScratch 5 000</v>
          </cell>
          <cell r="L2219">
            <v>0</v>
          </cell>
          <cell r="M2219" t="str">
            <v>ANKA SERVICES</v>
          </cell>
          <cell r="N2219" t="str">
            <v>ANKA SERVICESScratch 5 000</v>
          </cell>
          <cell r="O2219" t="str">
            <v>ANKA SERVICES</v>
          </cell>
          <cell r="P2219" t="str">
            <v>Scratch 5 000</v>
          </cell>
          <cell r="Q2219" t="str">
            <v>82007</v>
          </cell>
          <cell r="R2219" t="str">
            <v>82007Scratch 5 000</v>
          </cell>
          <cell r="S2219" t="str">
            <v>2007Scratch 5 000</v>
          </cell>
          <cell r="T2219" t="str">
            <v>82007ANKA SERVICES</v>
          </cell>
          <cell r="U2219" t="str">
            <v>82007ANKA SERVICESScratch 5 000</v>
          </cell>
          <cell r="V2219" t="str">
            <v>39302Scratch 5 000</v>
          </cell>
          <cell r="W2219" t="str">
            <v>2007ANKA SERVICES</v>
          </cell>
          <cell r="X2219" t="str">
            <v>2007ANKA SERVICESScratch 5 000</v>
          </cell>
        </row>
        <row r="2220">
          <cell r="I2220">
            <v>2007</v>
          </cell>
          <cell r="J2220" t="str">
            <v>ANKA SERVICESScratch 2 000</v>
          </cell>
          <cell r="L2220">
            <v>0</v>
          </cell>
          <cell r="M2220" t="str">
            <v>ANKA SERVICES</v>
          </cell>
          <cell r="N2220" t="str">
            <v>ANKA SERVICESScratch 2 000</v>
          </cell>
          <cell r="O2220" t="str">
            <v>ANKA SERVICES</v>
          </cell>
          <cell r="P2220" t="str">
            <v>Scratch 2 000</v>
          </cell>
          <cell r="Q2220" t="str">
            <v>82007</v>
          </cell>
          <cell r="R2220" t="str">
            <v>82007Scratch 2 000</v>
          </cell>
          <cell r="S2220" t="str">
            <v>2007Scratch 2 000</v>
          </cell>
          <cell r="T2220" t="str">
            <v>82007ANKA SERVICES</v>
          </cell>
          <cell r="U2220" t="str">
            <v>82007ANKA SERVICESScratch 2 000</v>
          </cell>
          <cell r="V2220" t="str">
            <v>39302Scratch 2 000</v>
          </cell>
          <cell r="W2220" t="str">
            <v>2007ANKA SERVICES</v>
          </cell>
          <cell r="X2220" t="str">
            <v>2007ANKA SERVICESScratch 2 000</v>
          </cell>
        </row>
        <row r="2221">
          <cell r="I2221">
            <v>2007</v>
          </cell>
          <cell r="J2221" t="str">
            <v>ANKA SERVICESScratch 1 000</v>
          </cell>
          <cell r="L2221">
            <v>0</v>
          </cell>
          <cell r="M2221" t="str">
            <v>ANKA SERVICES</v>
          </cell>
          <cell r="N2221" t="str">
            <v>ANKA SERVICESScratch 1 000</v>
          </cell>
          <cell r="O2221" t="str">
            <v>ANKA SERVICES</v>
          </cell>
          <cell r="P2221" t="str">
            <v>Scratch 1 000</v>
          </cell>
          <cell r="Q2221" t="str">
            <v>82007</v>
          </cell>
          <cell r="R2221" t="str">
            <v>82007Scratch 1 000</v>
          </cell>
          <cell r="S2221" t="str">
            <v>2007Scratch 1 000</v>
          </cell>
          <cell r="T2221" t="str">
            <v>82007ANKA SERVICES</v>
          </cell>
          <cell r="U2221" t="str">
            <v>82007ANKA SERVICESScratch 1 000</v>
          </cell>
          <cell r="V2221" t="str">
            <v>39302Scratch 1 000</v>
          </cell>
          <cell r="W2221" t="str">
            <v>2007ANKA SERVICES</v>
          </cell>
          <cell r="X2221" t="str">
            <v>2007ANKA SERVICESScratch 1 000</v>
          </cell>
        </row>
        <row r="2222">
          <cell r="I2222">
            <v>2007</v>
          </cell>
          <cell r="J2222" t="str">
            <v>Compagnie Internationale de NegoceScratch 20 000</v>
          </cell>
          <cell r="L2222">
            <v>1</v>
          </cell>
          <cell r="M2222" t="str">
            <v>1Compagnie Internationale de Negoce</v>
          </cell>
          <cell r="N2222" t="str">
            <v>Compagnie Internationale de NegoceScratch 20 000</v>
          </cell>
          <cell r="O2222" t="str">
            <v>Compagnie Internationale de Negoce</v>
          </cell>
          <cell r="P2222" t="str">
            <v>Scratch 20 000</v>
          </cell>
          <cell r="Q2222" t="str">
            <v>82007</v>
          </cell>
          <cell r="R2222" t="str">
            <v>82007Scratch 20 000</v>
          </cell>
          <cell r="S2222" t="str">
            <v>2007Scratch 20 000</v>
          </cell>
          <cell r="T2222" t="str">
            <v>82007Compagnie Internationale de Negoce</v>
          </cell>
          <cell r="U2222" t="str">
            <v>82007Compagnie Internationale de NegoceScratch 20 000</v>
          </cell>
          <cell r="V2222" t="str">
            <v>39302Scratch 20 000</v>
          </cell>
          <cell r="W2222" t="str">
            <v>2007Compagnie Internationale de Negoce</v>
          </cell>
          <cell r="X2222" t="str">
            <v>2007Compagnie Internationale de NegoceScratch 20 000</v>
          </cell>
        </row>
        <row r="2223">
          <cell r="I2223">
            <v>2007</v>
          </cell>
          <cell r="J2223" t="str">
            <v>Compagnie Internationale de NegoceScratch 10 000</v>
          </cell>
          <cell r="L2223">
            <v>0</v>
          </cell>
          <cell r="M2223" t="str">
            <v>Compagnie Internationale de Negoce</v>
          </cell>
          <cell r="N2223" t="str">
            <v>Compagnie Internationale de NegoceScratch 10 000</v>
          </cell>
          <cell r="O2223" t="str">
            <v>Compagnie Internationale de Negoce</v>
          </cell>
          <cell r="P2223" t="str">
            <v>Scratch 10 000</v>
          </cell>
          <cell r="Q2223" t="str">
            <v>82007</v>
          </cell>
          <cell r="R2223" t="str">
            <v>82007Scratch 10 000</v>
          </cell>
          <cell r="S2223" t="str">
            <v>2007Scratch 10 000</v>
          </cell>
          <cell r="T2223" t="str">
            <v>82007Compagnie Internationale de Negoce</v>
          </cell>
          <cell r="U2223" t="str">
            <v>82007Compagnie Internationale de NegoceScratch 10 000</v>
          </cell>
          <cell r="V2223" t="str">
            <v>39302Scratch 10 000</v>
          </cell>
          <cell r="W2223" t="str">
            <v>2007Compagnie Internationale de Negoce</v>
          </cell>
          <cell r="X2223" t="str">
            <v>2007Compagnie Internationale de NegoceScratch 10 000</v>
          </cell>
        </row>
        <row r="2224">
          <cell r="I2224">
            <v>2007</v>
          </cell>
          <cell r="J2224" t="str">
            <v>Compagnie Internationale de NegoceScratch 5 000</v>
          </cell>
          <cell r="L2224">
            <v>0</v>
          </cell>
          <cell r="M2224" t="str">
            <v>Compagnie Internationale de Negoce</v>
          </cell>
          <cell r="N2224" t="str">
            <v>Compagnie Internationale de NegoceScratch 5 000</v>
          </cell>
          <cell r="O2224" t="str">
            <v>Compagnie Internationale de Negoce</v>
          </cell>
          <cell r="P2224" t="str">
            <v>Scratch 5 000</v>
          </cell>
          <cell r="Q2224" t="str">
            <v>82007</v>
          </cell>
          <cell r="R2224" t="str">
            <v>82007Scratch 5 000</v>
          </cell>
          <cell r="S2224" t="str">
            <v>2007Scratch 5 000</v>
          </cell>
          <cell r="T2224" t="str">
            <v>82007Compagnie Internationale de Negoce</v>
          </cell>
          <cell r="U2224" t="str">
            <v>82007Compagnie Internationale de NegoceScratch 5 000</v>
          </cell>
          <cell r="V2224" t="str">
            <v>39302Scratch 5 000</v>
          </cell>
          <cell r="W2224" t="str">
            <v>2007Compagnie Internationale de Negoce</v>
          </cell>
          <cell r="X2224" t="str">
            <v>2007Compagnie Internationale de NegoceScratch 5 000</v>
          </cell>
        </row>
        <row r="2225">
          <cell r="I2225">
            <v>2007</v>
          </cell>
          <cell r="J2225" t="str">
            <v>Compagnie Internationale de NegoceScratch 2 000</v>
          </cell>
          <cell r="L2225">
            <v>0</v>
          </cell>
          <cell r="M2225" t="str">
            <v>Compagnie Internationale de Negoce</v>
          </cell>
          <cell r="N2225" t="str">
            <v>Compagnie Internationale de NegoceScratch 2 000</v>
          </cell>
          <cell r="O2225" t="str">
            <v>Compagnie Internationale de Negoce</v>
          </cell>
          <cell r="P2225" t="str">
            <v>Scratch 2 000</v>
          </cell>
          <cell r="Q2225" t="str">
            <v>82007</v>
          </cell>
          <cell r="R2225" t="str">
            <v>82007Scratch 2 000</v>
          </cell>
          <cell r="S2225" t="str">
            <v>2007Scratch 2 000</v>
          </cell>
          <cell r="T2225" t="str">
            <v>82007Compagnie Internationale de Negoce</v>
          </cell>
          <cell r="U2225" t="str">
            <v>82007Compagnie Internationale de NegoceScratch 2 000</v>
          </cell>
          <cell r="V2225" t="str">
            <v>39302Scratch 2 000</v>
          </cell>
          <cell r="W2225" t="str">
            <v>2007Compagnie Internationale de Negoce</v>
          </cell>
          <cell r="X2225" t="str">
            <v>2007Compagnie Internationale de NegoceScratch 2 000</v>
          </cell>
        </row>
        <row r="2226">
          <cell r="I2226">
            <v>2007</v>
          </cell>
          <cell r="J2226" t="str">
            <v>Compagnie Internationale de NegoceScratch 1 000</v>
          </cell>
          <cell r="L2226">
            <v>0</v>
          </cell>
          <cell r="M2226" t="str">
            <v>Compagnie Internationale de Negoce</v>
          </cell>
          <cell r="N2226" t="str">
            <v>Compagnie Internationale de NegoceScratch 1 000</v>
          </cell>
          <cell r="O2226" t="str">
            <v>Compagnie Internationale de Negoce</v>
          </cell>
          <cell r="P2226" t="str">
            <v>Scratch 1 000</v>
          </cell>
          <cell r="Q2226" t="str">
            <v>82007</v>
          </cell>
          <cell r="R2226" t="str">
            <v>82007Scratch 1 000</v>
          </cell>
          <cell r="S2226" t="str">
            <v>2007Scratch 1 000</v>
          </cell>
          <cell r="T2226" t="str">
            <v>82007Compagnie Internationale de Negoce</v>
          </cell>
          <cell r="U2226" t="str">
            <v>82007Compagnie Internationale de NegoceScratch 1 000</v>
          </cell>
          <cell r="V2226" t="str">
            <v>39302Scratch 1 000</v>
          </cell>
          <cell r="W2226" t="str">
            <v>2007Compagnie Internationale de Negoce</v>
          </cell>
          <cell r="X2226" t="str">
            <v>2007Compagnie Internationale de NegoceScratch 1 000</v>
          </cell>
        </row>
        <row r="2227">
          <cell r="I2227">
            <v>2007</v>
          </cell>
          <cell r="J2227" t="str">
            <v>STS GAMBY &amp; FRERES (SOGAF) SarlScratch 1 000</v>
          </cell>
          <cell r="L2227">
            <v>1</v>
          </cell>
          <cell r="M2227" t="str">
            <v>1STS GAMBY &amp; FRERES (SOGAF) Sarl</v>
          </cell>
          <cell r="N2227" t="str">
            <v>STS GAMBY &amp; FRERES (SOGAF) SarlScratch 1 000</v>
          </cell>
          <cell r="O2227" t="str">
            <v>STS GAMBY &amp; FRERES (SOGAF) Sarl</v>
          </cell>
          <cell r="P2227" t="str">
            <v>Scratch 1 000</v>
          </cell>
          <cell r="Q2227" t="str">
            <v>82007</v>
          </cell>
          <cell r="R2227" t="str">
            <v>82007Scratch 1 000</v>
          </cell>
          <cell r="S2227" t="str">
            <v>2007Scratch 1 000</v>
          </cell>
          <cell r="T2227" t="str">
            <v>82007STS GAMBY &amp; FRERES (SOGAF) Sarl</v>
          </cell>
          <cell r="U2227" t="str">
            <v>82007STS GAMBY &amp; FRERES (SOGAF) SarlScratch 1 000</v>
          </cell>
          <cell r="V2227" t="str">
            <v>39302Scratch 1 000</v>
          </cell>
          <cell r="W2227" t="str">
            <v>2007STS GAMBY &amp; FRERES (SOGAF) Sarl</v>
          </cell>
          <cell r="X2227" t="str">
            <v>2007STS GAMBY &amp; FRERES (SOGAF) SarlScratch 1 000</v>
          </cell>
        </row>
        <row r="2228">
          <cell r="I2228">
            <v>2007</v>
          </cell>
          <cell r="J2228" t="str">
            <v>MALI COM SarlScratch 5 000</v>
          </cell>
          <cell r="L2228">
            <v>1</v>
          </cell>
          <cell r="M2228" t="str">
            <v>1MALI COM Sarl</v>
          </cell>
          <cell r="N2228" t="str">
            <v>MALI COM SarlScratch 5 000</v>
          </cell>
          <cell r="O2228" t="str">
            <v>MALI COM Sarl</v>
          </cell>
          <cell r="P2228" t="str">
            <v>Scratch 5 000</v>
          </cell>
          <cell r="Q2228" t="str">
            <v>82007</v>
          </cell>
          <cell r="R2228" t="str">
            <v>82007Scratch 5 000</v>
          </cell>
          <cell r="S2228" t="str">
            <v>2007Scratch 5 000</v>
          </cell>
          <cell r="T2228" t="str">
            <v>82007MALI COM Sarl</v>
          </cell>
          <cell r="U2228" t="str">
            <v>82007MALI COM SarlScratch 5 000</v>
          </cell>
          <cell r="V2228" t="str">
            <v>39302Scratch 5 000</v>
          </cell>
          <cell r="W2228" t="str">
            <v>2007MALI COM Sarl</v>
          </cell>
          <cell r="X2228" t="str">
            <v>2007MALI COM SarlScratch 5 000</v>
          </cell>
        </row>
        <row r="2229">
          <cell r="I2229">
            <v>2007</v>
          </cell>
          <cell r="J2229" t="str">
            <v>MALI COM SarlScratch 2 000</v>
          </cell>
          <cell r="L2229">
            <v>0</v>
          </cell>
          <cell r="M2229" t="str">
            <v>MALI COM Sarl</v>
          </cell>
          <cell r="N2229" t="str">
            <v>MALI COM SarlScratch 2 000</v>
          </cell>
          <cell r="O2229" t="str">
            <v>MALI COM Sarl</v>
          </cell>
          <cell r="P2229" t="str">
            <v>Scratch 2 000</v>
          </cell>
          <cell r="Q2229" t="str">
            <v>82007</v>
          </cell>
          <cell r="R2229" t="str">
            <v>82007Scratch 2 000</v>
          </cell>
          <cell r="S2229" t="str">
            <v>2007Scratch 2 000</v>
          </cell>
          <cell r="T2229" t="str">
            <v>82007MALI COM Sarl</v>
          </cell>
          <cell r="U2229" t="str">
            <v>82007MALI COM SarlScratch 2 000</v>
          </cell>
          <cell r="V2229" t="str">
            <v>39302Scratch 2 000</v>
          </cell>
          <cell r="W2229" t="str">
            <v>2007MALI COM Sarl</v>
          </cell>
          <cell r="X2229" t="str">
            <v>2007MALI COM SarlScratch 2 000</v>
          </cell>
        </row>
        <row r="2230">
          <cell r="I2230">
            <v>2007</v>
          </cell>
          <cell r="J2230" t="str">
            <v>MALI COM SarlScratch 1 000</v>
          </cell>
          <cell r="L2230">
            <v>0</v>
          </cell>
          <cell r="M2230" t="str">
            <v>MALI COM Sarl</v>
          </cell>
          <cell r="N2230" t="str">
            <v>MALI COM SarlScratch 1 000</v>
          </cell>
          <cell r="O2230" t="str">
            <v>MALI COM Sarl</v>
          </cell>
          <cell r="P2230" t="str">
            <v>Scratch 1 000</v>
          </cell>
          <cell r="Q2230" t="str">
            <v>82007</v>
          </cell>
          <cell r="R2230" t="str">
            <v>82007Scratch 1 000</v>
          </cell>
          <cell r="S2230" t="str">
            <v>2007Scratch 1 000</v>
          </cell>
          <cell r="T2230" t="str">
            <v>82007MALI COM Sarl</v>
          </cell>
          <cell r="U2230" t="str">
            <v>82007MALI COM SarlScratch 1 000</v>
          </cell>
          <cell r="V2230" t="str">
            <v>39302Scratch 1 000</v>
          </cell>
          <cell r="W2230" t="str">
            <v>2007MALI COM Sarl</v>
          </cell>
          <cell r="X2230" t="str">
            <v>2007MALI COM SarlScratch 1 000</v>
          </cell>
        </row>
        <row r="2231">
          <cell r="I2231">
            <v>2007</v>
          </cell>
          <cell r="J2231" t="str">
            <v>Ets Mamadou GAMBYScratch 5 000</v>
          </cell>
          <cell r="L2231">
            <v>1</v>
          </cell>
          <cell r="M2231" t="str">
            <v>1Ets Mamadou GAMBY</v>
          </cell>
          <cell r="N2231" t="str">
            <v>Ets Mamadou GAMBYScratch 5 000</v>
          </cell>
          <cell r="O2231" t="str">
            <v>Ets Mamadou GAMBY</v>
          </cell>
          <cell r="P2231" t="str">
            <v>Scratch 5 000</v>
          </cell>
          <cell r="Q2231" t="str">
            <v>82007</v>
          </cell>
          <cell r="R2231" t="str">
            <v>82007Scratch 5 000</v>
          </cell>
          <cell r="S2231" t="str">
            <v>2007Scratch 5 000</v>
          </cell>
          <cell r="T2231" t="str">
            <v>82007Ets Mamadou GAMBY</v>
          </cell>
          <cell r="U2231" t="str">
            <v>82007Ets Mamadou GAMBYScratch 5 000</v>
          </cell>
          <cell r="V2231" t="str">
            <v>39302Scratch 5 000</v>
          </cell>
          <cell r="W2231" t="str">
            <v>2007Ets Mamadou GAMBY</v>
          </cell>
          <cell r="X2231" t="str">
            <v>2007Ets Mamadou GAMBYScratch 5 000</v>
          </cell>
        </row>
        <row r="2232">
          <cell r="I2232">
            <v>2007</v>
          </cell>
          <cell r="J2232" t="str">
            <v>Ets Mamadou GAMBYScratch 2 000</v>
          </cell>
          <cell r="L2232">
            <v>0</v>
          </cell>
          <cell r="M2232" t="str">
            <v>Ets Mamadou GAMBY</v>
          </cell>
          <cell r="N2232" t="str">
            <v>Ets Mamadou GAMBYScratch 2 000</v>
          </cell>
          <cell r="O2232" t="str">
            <v>Ets Mamadou GAMBY</v>
          </cell>
          <cell r="P2232" t="str">
            <v>Scratch 2 000</v>
          </cell>
          <cell r="Q2232" t="str">
            <v>82007</v>
          </cell>
          <cell r="R2232" t="str">
            <v>82007Scratch 2 000</v>
          </cell>
          <cell r="S2232" t="str">
            <v>2007Scratch 2 000</v>
          </cell>
          <cell r="T2232" t="str">
            <v>82007Ets Mamadou GAMBY</v>
          </cell>
          <cell r="U2232" t="str">
            <v>82007Ets Mamadou GAMBYScratch 2 000</v>
          </cell>
          <cell r="V2232" t="str">
            <v>39302Scratch 2 000</v>
          </cell>
          <cell r="W2232" t="str">
            <v>2007Ets Mamadou GAMBY</v>
          </cell>
          <cell r="X2232" t="str">
            <v>2007Ets Mamadou GAMBYScratch 2 000</v>
          </cell>
        </row>
        <row r="2233">
          <cell r="I2233">
            <v>2007</v>
          </cell>
          <cell r="J2233" t="str">
            <v>SOMAKOFFScratch 20 000</v>
          </cell>
          <cell r="L2233">
            <v>1</v>
          </cell>
          <cell r="M2233" t="str">
            <v>1SOMAKOFF</v>
          </cell>
          <cell r="N2233" t="str">
            <v>SOMAKOFFScratch 20 000</v>
          </cell>
          <cell r="O2233" t="str">
            <v>SOMAKOFF</v>
          </cell>
          <cell r="P2233" t="str">
            <v>Scratch 20 000</v>
          </cell>
          <cell r="Q2233" t="str">
            <v>82007</v>
          </cell>
          <cell r="R2233" t="str">
            <v>82007Scratch 20 000</v>
          </cell>
          <cell r="S2233" t="str">
            <v>2007Scratch 20 000</v>
          </cell>
          <cell r="T2233" t="str">
            <v>82007SOMAKOFF</v>
          </cell>
          <cell r="U2233" t="str">
            <v>82007SOMAKOFFScratch 20 000</v>
          </cell>
          <cell r="V2233" t="str">
            <v>39302Scratch 20 000</v>
          </cell>
          <cell r="W2233" t="str">
            <v>2007SOMAKOFF</v>
          </cell>
          <cell r="X2233" t="str">
            <v>2007SOMAKOFFScratch 20 000</v>
          </cell>
        </row>
        <row r="2234">
          <cell r="I2234">
            <v>2007</v>
          </cell>
          <cell r="J2234" t="str">
            <v>SOMAKOFFScratch 5 000</v>
          </cell>
          <cell r="L2234">
            <v>0</v>
          </cell>
          <cell r="M2234" t="str">
            <v>SOMAKOFF</v>
          </cell>
          <cell r="N2234" t="str">
            <v>SOMAKOFFScratch 5 000</v>
          </cell>
          <cell r="O2234" t="str">
            <v>SOMAKOFF</v>
          </cell>
          <cell r="P2234" t="str">
            <v>Scratch 5 000</v>
          </cell>
          <cell r="Q2234" t="str">
            <v>82007</v>
          </cell>
          <cell r="R2234" t="str">
            <v>82007Scratch 5 000</v>
          </cell>
          <cell r="S2234" t="str">
            <v>2007Scratch 5 000</v>
          </cell>
          <cell r="T2234" t="str">
            <v>82007SOMAKOFF</v>
          </cell>
          <cell r="U2234" t="str">
            <v>82007SOMAKOFFScratch 5 000</v>
          </cell>
          <cell r="V2234" t="str">
            <v>39302Scratch 5 000</v>
          </cell>
          <cell r="W2234" t="str">
            <v>2007SOMAKOFF</v>
          </cell>
          <cell r="X2234" t="str">
            <v>2007SOMAKOFFScratch 5 000</v>
          </cell>
        </row>
        <row r="2235">
          <cell r="I2235">
            <v>2007</v>
          </cell>
          <cell r="J2235" t="str">
            <v>SOMAKOFFScratch 2 000</v>
          </cell>
          <cell r="L2235">
            <v>0</v>
          </cell>
          <cell r="M2235" t="str">
            <v>SOMAKOFF</v>
          </cell>
          <cell r="N2235" t="str">
            <v>SOMAKOFFScratch 2 000</v>
          </cell>
          <cell r="O2235" t="str">
            <v>SOMAKOFF</v>
          </cell>
          <cell r="P2235" t="str">
            <v>Scratch 2 000</v>
          </cell>
          <cell r="Q2235" t="str">
            <v>82007</v>
          </cell>
          <cell r="R2235" t="str">
            <v>82007Scratch 2 000</v>
          </cell>
          <cell r="S2235" t="str">
            <v>2007Scratch 2 000</v>
          </cell>
          <cell r="T2235" t="str">
            <v>82007SOMAKOFF</v>
          </cell>
          <cell r="U2235" t="str">
            <v>82007SOMAKOFFScratch 2 000</v>
          </cell>
          <cell r="V2235" t="str">
            <v>39302Scratch 2 000</v>
          </cell>
          <cell r="W2235" t="str">
            <v>2007SOMAKOFF</v>
          </cell>
          <cell r="X2235" t="str">
            <v>2007SOMAKOFFScratch 2 000</v>
          </cell>
        </row>
        <row r="2236">
          <cell r="I2236">
            <v>2007</v>
          </cell>
          <cell r="J2236" t="str">
            <v>SOMAKOFFScratch 1 000</v>
          </cell>
          <cell r="L2236">
            <v>0</v>
          </cell>
          <cell r="M2236" t="str">
            <v>SOMAKOFF</v>
          </cell>
          <cell r="N2236" t="str">
            <v>SOMAKOFFScratch 1 000</v>
          </cell>
          <cell r="O2236" t="str">
            <v>SOMAKOFF</v>
          </cell>
          <cell r="P2236" t="str">
            <v>Scratch 1 000</v>
          </cell>
          <cell r="Q2236" t="str">
            <v>82007</v>
          </cell>
          <cell r="R2236" t="str">
            <v>82007Scratch 1 000</v>
          </cell>
          <cell r="S2236" t="str">
            <v>2007Scratch 1 000</v>
          </cell>
          <cell r="T2236" t="str">
            <v>82007SOMAKOFF</v>
          </cell>
          <cell r="U2236" t="str">
            <v>82007SOMAKOFFScratch 1 000</v>
          </cell>
          <cell r="V2236" t="str">
            <v>39302Scratch 1 000</v>
          </cell>
          <cell r="W2236" t="str">
            <v>2007SOMAKOFF</v>
          </cell>
          <cell r="X2236" t="str">
            <v>2007SOMAKOFFScratch 1 000</v>
          </cell>
        </row>
        <row r="2237">
          <cell r="I2237">
            <v>2007</v>
          </cell>
          <cell r="J2237" t="str">
            <v>Soleil LevantScratch 5 000</v>
          </cell>
          <cell r="L2237">
            <v>1</v>
          </cell>
          <cell r="M2237" t="str">
            <v>1Soleil Levant</v>
          </cell>
          <cell r="N2237" t="str">
            <v>Soleil LevantScratch 5 000</v>
          </cell>
          <cell r="O2237" t="str">
            <v>Soleil Levant</v>
          </cell>
          <cell r="P2237" t="str">
            <v>Scratch 5 000</v>
          </cell>
          <cell r="Q2237" t="str">
            <v>82007</v>
          </cell>
          <cell r="R2237" t="str">
            <v>82007Scratch 5 000</v>
          </cell>
          <cell r="S2237" t="str">
            <v>2007Scratch 5 000</v>
          </cell>
          <cell r="T2237" t="str">
            <v>82007Soleil Levant</v>
          </cell>
          <cell r="U2237" t="str">
            <v>82007Soleil LevantScratch 5 000</v>
          </cell>
          <cell r="V2237" t="str">
            <v>39302Scratch 5 000</v>
          </cell>
          <cell r="W2237" t="str">
            <v>2007Soleil Levant</v>
          </cell>
          <cell r="X2237" t="str">
            <v>2007Soleil LevantScratch 5 000</v>
          </cell>
        </row>
        <row r="2238">
          <cell r="I2238">
            <v>2007</v>
          </cell>
          <cell r="J2238" t="str">
            <v>Soleil LevantScratch 2 000</v>
          </cell>
          <cell r="L2238">
            <v>0</v>
          </cell>
          <cell r="M2238" t="str">
            <v>Soleil Levant</v>
          </cell>
          <cell r="N2238" t="str">
            <v>Soleil LevantScratch 2 000</v>
          </cell>
          <cell r="O2238" t="str">
            <v>Soleil Levant</v>
          </cell>
          <cell r="P2238" t="str">
            <v>Scratch 2 000</v>
          </cell>
          <cell r="Q2238" t="str">
            <v>82007</v>
          </cell>
          <cell r="R2238" t="str">
            <v>82007Scratch 2 000</v>
          </cell>
          <cell r="S2238" t="str">
            <v>2007Scratch 2 000</v>
          </cell>
          <cell r="T2238" t="str">
            <v>82007Soleil Levant</v>
          </cell>
          <cell r="U2238" t="str">
            <v>82007Soleil LevantScratch 2 000</v>
          </cell>
          <cell r="V2238" t="str">
            <v>39302Scratch 2 000</v>
          </cell>
          <cell r="W2238" t="str">
            <v>2007Soleil Levant</v>
          </cell>
          <cell r="X2238" t="str">
            <v>2007Soleil LevantScratch 2 000</v>
          </cell>
        </row>
        <row r="2239">
          <cell r="I2239">
            <v>2007</v>
          </cell>
          <cell r="J2239" t="str">
            <v>Soleil LevantScratch 1 000</v>
          </cell>
          <cell r="L2239">
            <v>0</v>
          </cell>
          <cell r="M2239" t="str">
            <v>Soleil Levant</v>
          </cell>
          <cell r="N2239" t="str">
            <v>Soleil LevantScratch 1 000</v>
          </cell>
          <cell r="O2239" t="str">
            <v>Soleil Levant</v>
          </cell>
          <cell r="P2239" t="str">
            <v>Scratch 1 000</v>
          </cell>
          <cell r="Q2239" t="str">
            <v>82007</v>
          </cell>
          <cell r="R2239" t="str">
            <v>82007Scratch 1 000</v>
          </cell>
          <cell r="S2239" t="str">
            <v>2007Scratch 1 000</v>
          </cell>
          <cell r="T2239" t="str">
            <v>82007Soleil Levant</v>
          </cell>
          <cell r="U2239" t="str">
            <v>82007Soleil LevantScratch 1 000</v>
          </cell>
          <cell r="V2239" t="str">
            <v>39302Scratch 1 000</v>
          </cell>
          <cell r="W2239" t="str">
            <v>2007Soleil Levant</v>
          </cell>
          <cell r="X2239" t="str">
            <v>2007Soleil LevantScratch 1 000</v>
          </cell>
        </row>
        <row r="2240">
          <cell r="I2240">
            <v>2007</v>
          </cell>
          <cell r="J2240" t="str">
            <v>GEMATELScratch 20 000</v>
          </cell>
          <cell r="L2240">
            <v>1</v>
          </cell>
          <cell r="M2240" t="str">
            <v>1GEMATEL</v>
          </cell>
          <cell r="N2240" t="str">
            <v>GEMATELScratch 20 000</v>
          </cell>
          <cell r="O2240" t="str">
            <v>GEMATEL</v>
          </cell>
          <cell r="P2240" t="str">
            <v>Scratch 20 000</v>
          </cell>
          <cell r="Q2240" t="str">
            <v>82007</v>
          </cell>
          <cell r="R2240" t="str">
            <v>82007Scratch 20 000</v>
          </cell>
          <cell r="S2240" t="str">
            <v>2007Scratch 20 000</v>
          </cell>
          <cell r="T2240" t="str">
            <v>82007GEMATEL</v>
          </cell>
          <cell r="U2240" t="str">
            <v>82007GEMATELScratch 20 000</v>
          </cell>
          <cell r="V2240" t="str">
            <v>39302Scratch 20 000</v>
          </cell>
          <cell r="W2240" t="str">
            <v>2007GEMATEL</v>
          </cell>
          <cell r="X2240" t="str">
            <v>2007GEMATELScratch 20 000</v>
          </cell>
        </row>
        <row r="2241">
          <cell r="I2241">
            <v>2007</v>
          </cell>
          <cell r="J2241" t="str">
            <v>GEMATELScratch 10 000</v>
          </cell>
          <cell r="L2241">
            <v>0</v>
          </cell>
          <cell r="M2241" t="str">
            <v>GEMATEL</v>
          </cell>
          <cell r="N2241" t="str">
            <v>GEMATELScratch 10 000</v>
          </cell>
          <cell r="O2241" t="str">
            <v>GEMATEL</v>
          </cell>
          <cell r="P2241" t="str">
            <v>Scratch 10 000</v>
          </cell>
          <cell r="Q2241" t="str">
            <v>82007</v>
          </cell>
          <cell r="R2241" t="str">
            <v>82007Scratch 10 000</v>
          </cell>
          <cell r="S2241" t="str">
            <v>2007Scratch 10 000</v>
          </cell>
          <cell r="T2241" t="str">
            <v>82007GEMATEL</v>
          </cell>
          <cell r="U2241" t="str">
            <v>82007GEMATELScratch 10 000</v>
          </cell>
          <cell r="V2241" t="str">
            <v>39302Scratch 10 000</v>
          </cell>
          <cell r="W2241" t="str">
            <v>2007GEMATEL</v>
          </cell>
          <cell r="X2241" t="str">
            <v>2007GEMATELScratch 10 000</v>
          </cell>
        </row>
        <row r="2242">
          <cell r="I2242">
            <v>2007</v>
          </cell>
          <cell r="J2242" t="str">
            <v>GEMATELScratch 5 000</v>
          </cell>
          <cell r="L2242">
            <v>0</v>
          </cell>
          <cell r="M2242" t="str">
            <v>GEMATEL</v>
          </cell>
          <cell r="N2242" t="str">
            <v>GEMATELScratch 5 000</v>
          </cell>
          <cell r="O2242" t="str">
            <v>GEMATEL</v>
          </cell>
          <cell r="P2242" t="str">
            <v>Scratch 5 000</v>
          </cell>
          <cell r="Q2242" t="str">
            <v>82007</v>
          </cell>
          <cell r="R2242" t="str">
            <v>82007Scratch 5 000</v>
          </cell>
          <cell r="S2242" t="str">
            <v>2007Scratch 5 000</v>
          </cell>
          <cell r="T2242" t="str">
            <v>82007GEMATEL</v>
          </cell>
          <cell r="U2242" t="str">
            <v>82007GEMATELScratch 5 000</v>
          </cell>
          <cell r="V2242" t="str">
            <v>39302Scratch 5 000</v>
          </cell>
          <cell r="W2242" t="str">
            <v>2007GEMATEL</v>
          </cell>
          <cell r="X2242" t="str">
            <v>2007GEMATELScratch 5 000</v>
          </cell>
        </row>
        <row r="2243">
          <cell r="I2243">
            <v>2007</v>
          </cell>
          <cell r="J2243" t="str">
            <v>GEMATELScratch 2 000</v>
          </cell>
          <cell r="L2243">
            <v>0</v>
          </cell>
          <cell r="M2243" t="str">
            <v>GEMATEL</v>
          </cell>
          <cell r="N2243" t="str">
            <v>GEMATELScratch 2 000</v>
          </cell>
          <cell r="O2243" t="str">
            <v>GEMATEL</v>
          </cell>
          <cell r="P2243" t="str">
            <v>Scratch 2 000</v>
          </cell>
          <cell r="Q2243" t="str">
            <v>82007</v>
          </cell>
          <cell r="R2243" t="str">
            <v>82007Scratch 2 000</v>
          </cell>
          <cell r="S2243" t="str">
            <v>2007Scratch 2 000</v>
          </cell>
          <cell r="T2243" t="str">
            <v>82007GEMATEL</v>
          </cell>
          <cell r="U2243" t="str">
            <v>82007GEMATELScratch 2 000</v>
          </cell>
          <cell r="V2243" t="str">
            <v>39302Scratch 2 000</v>
          </cell>
          <cell r="W2243" t="str">
            <v>2007GEMATEL</v>
          </cell>
          <cell r="X2243" t="str">
            <v>2007GEMATELScratch 2 000</v>
          </cell>
        </row>
        <row r="2244">
          <cell r="I2244">
            <v>2007</v>
          </cell>
          <cell r="J2244" t="str">
            <v>GEMATELScratch 1 000</v>
          </cell>
          <cell r="L2244">
            <v>0</v>
          </cell>
          <cell r="M2244" t="str">
            <v>GEMATEL</v>
          </cell>
          <cell r="N2244" t="str">
            <v>GEMATELScratch 1 000</v>
          </cell>
          <cell r="O2244" t="str">
            <v>GEMATEL</v>
          </cell>
          <cell r="P2244" t="str">
            <v>Scratch 1 000</v>
          </cell>
          <cell r="Q2244" t="str">
            <v>82007</v>
          </cell>
          <cell r="R2244" t="str">
            <v>82007Scratch 1 000</v>
          </cell>
          <cell r="S2244" t="str">
            <v>2007Scratch 1 000</v>
          </cell>
          <cell r="T2244" t="str">
            <v>82007GEMATEL</v>
          </cell>
          <cell r="U2244" t="str">
            <v>82007GEMATELScratch 1 000</v>
          </cell>
          <cell r="V2244" t="str">
            <v>39302Scratch 1 000</v>
          </cell>
          <cell r="W2244" t="str">
            <v>2007GEMATEL</v>
          </cell>
          <cell r="X2244" t="str">
            <v>2007GEMATELScratch 1 000</v>
          </cell>
        </row>
        <row r="2245">
          <cell r="I2245">
            <v>2007</v>
          </cell>
          <cell r="J2245" t="str">
            <v>Ets Mamadou GAMBYScratch 5 000</v>
          </cell>
          <cell r="L2245">
            <v>1</v>
          </cell>
          <cell r="M2245" t="str">
            <v>1Ets Mamadou GAMBY</v>
          </cell>
          <cell r="N2245" t="str">
            <v>Ets Mamadou GAMBYScratch 5 000</v>
          </cell>
          <cell r="O2245" t="str">
            <v>Ets Mamadou GAMBY</v>
          </cell>
          <cell r="P2245" t="str">
            <v>Scratch 5 000</v>
          </cell>
          <cell r="Q2245" t="str">
            <v>82007</v>
          </cell>
          <cell r="R2245" t="str">
            <v>82007Scratch 5 000</v>
          </cell>
          <cell r="S2245" t="str">
            <v>2007Scratch 5 000</v>
          </cell>
          <cell r="T2245" t="str">
            <v>82007Ets Mamadou GAMBY</v>
          </cell>
          <cell r="U2245" t="str">
            <v>82007Ets Mamadou GAMBYScratch 5 000</v>
          </cell>
          <cell r="V2245" t="str">
            <v>39302Scratch 5 000</v>
          </cell>
          <cell r="W2245" t="str">
            <v>2007Ets Mamadou GAMBY</v>
          </cell>
          <cell r="X2245" t="str">
            <v>2007Ets Mamadou GAMBYScratch 5 000</v>
          </cell>
        </row>
        <row r="2246">
          <cell r="I2246">
            <v>2007</v>
          </cell>
          <cell r="J2246" t="str">
            <v>Ets Mamadou GAMBYScratch 2 000</v>
          </cell>
          <cell r="L2246">
            <v>0</v>
          </cell>
          <cell r="M2246" t="str">
            <v>Ets Mamadou GAMBY</v>
          </cell>
          <cell r="N2246" t="str">
            <v>Ets Mamadou GAMBYScratch 2 000</v>
          </cell>
          <cell r="O2246" t="str">
            <v>Ets Mamadou GAMBY</v>
          </cell>
          <cell r="P2246" t="str">
            <v>Scratch 2 000</v>
          </cell>
          <cell r="Q2246" t="str">
            <v>82007</v>
          </cell>
          <cell r="R2246" t="str">
            <v>82007Scratch 2 000</v>
          </cell>
          <cell r="S2246" t="str">
            <v>2007Scratch 2 000</v>
          </cell>
          <cell r="T2246" t="str">
            <v>82007Ets Mamadou GAMBY</v>
          </cell>
          <cell r="U2246" t="str">
            <v>82007Ets Mamadou GAMBYScratch 2 000</v>
          </cell>
          <cell r="V2246" t="str">
            <v>39302Scratch 2 000</v>
          </cell>
          <cell r="W2246" t="str">
            <v>2007Ets Mamadou GAMBY</v>
          </cell>
          <cell r="X2246" t="str">
            <v>2007Ets Mamadou GAMBYScratch 2 000</v>
          </cell>
        </row>
        <row r="2247">
          <cell r="I2247">
            <v>2007</v>
          </cell>
          <cell r="J2247" t="str">
            <v>Ets Mamadou GAMBYScratch 1 000</v>
          </cell>
          <cell r="L2247">
            <v>0</v>
          </cell>
          <cell r="M2247" t="str">
            <v>Ets Mamadou GAMBY</v>
          </cell>
          <cell r="N2247" t="str">
            <v>Ets Mamadou GAMBYScratch 1 000</v>
          </cell>
          <cell r="O2247" t="str">
            <v>Ets Mamadou GAMBY</v>
          </cell>
          <cell r="P2247" t="str">
            <v>Scratch 1 000</v>
          </cell>
          <cell r="Q2247" t="str">
            <v>82007</v>
          </cell>
          <cell r="R2247" t="str">
            <v>82007Scratch 1 000</v>
          </cell>
          <cell r="S2247" t="str">
            <v>2007Scratch 1 000</v>
          </cell>
          <cell r="T2247" t="str">
            <v>82007Ets Mamadou GAMBY</v>
          </cell>
          <cell r="U2247" t="str">
            <v>82007Ets Mamadou GAMBYScratch 1 000</v>
          </cell>
          <cell r="V2247" t="str">
            <v>39302Scratch 1 000</v>
          </cell>
          <cell r="W2247" t="str">
            <v>2007Ets Mamadou GAMBY</v>
          </cell>
          <cell r="X2247" t="str">
            <v>2007Ets Mamadou GAMBYScratch 1 000</v>
          </cell>
        </row>
        <row r="2248">
          <cell r="I2248">
            <v>2007</v>
          </cell>
          <cell r="J2248" t="str">
            <v>Burtel MacsymScratch 5 000</v>
          </cell>
          <cell r="L2248">
            <v>1</v>
          </cell>
          <cell r="M2248" t="str">
            <v>1Burtel Macsym</v>
          </cell>
          <cell r="N2248" t="str">
            <v>Burtel MacsymScratch 5 000</v>
          </cell>
          <cell r="O2248" t="str">
            <v>Burtel Macsym</v>
          </cell>
          <cell r="P2248" t="str">
            <v>Scratch 5 000</v>
          </cell>
          <cell r="Q2248" t="str">
            <v>82007</v>
          </cell>
          <cell r="R2248" t="str">
            <v>82007Scratch 5 000</v>
          </cell>
          <cell r="S2248" t="str">
            <v>2007Scratch 5 000</v>
          </cell>
          <cell r="T2248" t="str">
            <v>82007Burtel Macsym</v>
          </cell>
          <cell r="U2248" t="str">
            <v>82007Burtel MacsymScratch 5 000</v>
          </cell>
          <cell r="V2248" t="str">
            <v>39302Scratch 5 000</v>
          </cell>
          <cell r="W2248" t="str">
            <v>2007Burtel Macsym</v>
          </cell>
          <cell r="X2248" t="str">
            <v>2007Burtel MacsymScratch 5 000</v>
          </cell>
        </row>
        <row r="2249">
          <cell r="I2249">
            <v>2007</v>
          </cell>
          <cell r="J2249" t="str">
            <v>Burtel MacsymScratch 2 000</v>
          </cell>
          <cell r="L2249">
            <v>0</v>
          </cell>
          <cell r="M2249" t="str">
            <v>Burtel Macsym</v>
          </cell>
          <cell r="N2249" t="str">
            <v>Burtel MacsymScratch 2 000</v>
          </cell>
          <cell r="O2249" t="str">
            <v>Burtel Macsym</v>
          </cell>
          <cell r="P2249" t="str">
            <v>Scratch 2 000</v>
          </cell>
          <cell r="Q2249" t="str">
            <v>82007</v>
          </cell>
          <cell r="R2249" t="str">
            <v>82007Scratch 2 000</v>
          </cell>
          <cell r="S2249" t="str">
            <v>2007Scratch 2 000</v>
          </cell>
          <cell r="T2249" t="str">
            <v>82007Burtel Macsym</v>
          </cell>
          <cell r="U2249" t="str">
            <v>82007Burtel MacsymScratch 2 000</v>
          </cell>
          <cell r="V2249" t="str">
            <v>39302Scratch 2 000</v>
          </cell>
          <cell r="W2249" t="str">
            <v>2007Burtel Macsym</v>
          </cell>
          <cell r="X2249" t="str">
            <v>2007Burtel MacsymScratch 2 000</v>
          </cell>
        </row>
        <row r="2250">
          <cell r="I2250">
            <v>2007</v>
          </cell>
          <cell r="J2250" t="str">
            <v>Burtel MacsymScratch 1 000</v>
          </cell>
          <cell r="L2250">
            <v>0</v>
          </cell>
          <cell r="M2250" t="str">
            <v>Burtel Macsym</v>
          </cell>
          <cell r="N2250" t="str">
            <v>Burtel MacsymScratch 1 000</v>
          </cell>
          <cell r="O2250" t="str">
            <v>Burtel Macsym</v>
          </cell>
          <cell r="P2250" t="str">
            <v>Scratch 1 000</v>
          </cell>
          <cell r="Q2250" t="str">
            <v>82007</v>
          </cell>
          <cell r="R2250" t="str">
            <v>82007Scratch 1 000</v>
          </cell>
          <cell r="S2250" t="str">
            <v>2007Scratch 1 000</v>
          </cell>
          <cell r="T2250" t="str">
            <v>82007Burtel Macsym</v>
          </cell>
          <cell r="U2250" t="str">
            <v>82007Burtel MacsymScratch 1 000</v>
          </cell>
          <cell r="V2250" t="str">
            <v>39302Scratch 1 000</v>
          </cell>
          <cell r="W2250" t="str">
            <v>2007Burtel Macsym</v>
          </cell>
          <cell r="X2250" t="str">
            <v>2007Burtel MacsymScratch 1 000</v>
          </cell>
        </row>
        <row r="2251">
          <cell r="I2251">
            <v>2007</v>
          </cell>
          <cell r="J2251" t="str">
            <v>ANKA SERVICESScratch 20 000</v>
          </cell>
          <cell r="L2251">
            <v>1</v>
          </cell>
          <cell r="M2251" t="str">
            <v>1ANKA SERVICES</v>
          </cell>
          <cell r="N2251" t="str">
            <v>ANKA SERVICESScratch 20 000</v>
          </cell>
          <cell r="O2251" t="str">
            <v>ANKA SERVICES</v>
          </cell>
          <cell r="P2251" t="str">
            <v>Scratch 20 000</v>
          </cell>
          <cell r="Q2251" t="str">
            <v>82007</v>
          </cell>
          <cell r="R2251" t="str">
            <v>82007Scratch 20 000</v>
          </cell>
          <cell r="S2251" t="str">
            <v>2007Scratch 20 000</v>
          </cell>
          <cell r="T2251" t="str">
            <v>82007ANKA SERVICES</v>
          </cell>
          <cell r="U2251" t="str">
            <v>82007ANKA SERVICESScratch 20 000</v>
          </cell>
          <cell r="V2251" t="str">
            <v>39302Scratch 20 000</v>
          </cell>
          <cell r="W2251" t="str">
            <v>2007ANKA SERVICES</v>
          </cell>
          <cell r="X2251" t="str">
            <v>2007ANKA SERVICESScratch 20 000</v>
          </cell>
        </row>
        <row r="2252">
          <cell r="I2252">
            <v>2007</v>
          </cell>
          <cell r="J2252" t="str">
            <v>ANKA SERVICESScratch 5 000</v>
          </cell>
          <cell r="L2252">
            <v>0</v>
          </cell>
          <cell r="M2252" t="str">
            <v>ANKA SERVICES</v>
          </cell>
          <cell r="N2252" t="str">
            <v>ANKA SERVICESScratch 5 000</v>
          </cell>
          <cell r="O2252" t="str">
            <v>ANKA SERVICES</v>
          </cell>
          <cell r="P2252" t="str">
            <v>Scratch 5 000</v>
          </cell>
          <cell r="Q2252" t="str">
            <v>82007</v>
          </cell>
          <cell r="R2252" t="str">
            <v>82007Scratch 5 000</v>
          </cell>
          <cell r="S2252" t="str">
            <v>2007Scratch 5 000</v>
          </cell>
          <cell r="T2252" t="str">
            <v>82007ANKA SERVICES</v>
          </cell>
          <cell r="U2252" t="str">
            <v>82007ANKA SERVICESScratch 5 000</v>
          </cell>
          <cell r="V2252" t="str">
            <v>39302Scratch 5 000</v>
          </cell>
          <cell r="W2252" t="str">
            <v>2007ANKA SERVICES</v>
          </cell>
          <cell r="X2252" t="str">
            <v>2007ANKA SERVICESScratch 5 000</v>
          </cell>
        </row>
        <row r="2253">
          <cell r="I2253">
            <v>2007</v>
          </cell>
          <cell r="J2253" t="str">
            <v>ANKA SERVICESScratch 2 000</v>
          </cell>
          <cell r="L2253">
            <v>0</v>
          </cell>
          <cell r="M2253" t="str">
            <v>ANKA SERVICES</v>
          </cell>
          <cell r="N2253" t="str">
            <v>ANKA SERVICESScratch 2 000</v>
          </cell>
          <cell r="O2253" t="str">
            <v>ANKA SERVICES</v>
          </cell>
          <cell r="P2253" t="str">
            <v>Scratch 2 000</v>
          </cell>
          <cell r="Q2253" t="str">
            <v>82007</v>
          </cell>
          <cell r="R2253" t="str">
            <v>82007Scratch 2 000</v>
          </cell>
          <cell r="S2253" t="str">
            <v>2007Scratch 2 000</v>
          </cell>
          <cell r="T2253" t="str">
            <v>82007ANKA SERVICES</v>
          </cell>
          <cell r="U2253" t="str">
            <v>82007ANKA SERVICESScratch 2 000</v>
          </cell>
          <cell r="V2253" t="str">
            <v>39302Scratch 2 000</v>
          </cell>
          <cell r="W2253" t="str">
            <v>2007ANKA SERVICES</v>
          </cell>
          <cell r="X2253" t="str">
            <v>2007ANKA SERVICESScratch 2 000</v>
          </cell>
        </row>
        <row r="2254">
          <cell r="I2254">
            <v>2007</v>
          </cell>
          <cell r="J2254" t="str">
            <v>ANKA SERVICESScratch 1 000</v>
          </cell>
          <cell r="L2254">
            <v>0</v>
          </cell>
          <cell r="M2254" t="str">
            <v>ANKA SERVICES</v>
          </cell>
          <cell r="N2254" t="str">
            <v>ANKA SERVICESScratch 1 000</v>
          </cell>
          <cell r="O2254" t="str">
            <v>ANKA SERVICES</v>
          </cell>
          <cell r="P2254" t="str">
            <v>Scratch 1 000</v>
          </cell>
          <cell r="Q2254" t="str">
            <v>82007</v>
          </cell>
          <cell r="R2254" t="str">
            <v>82007Scratch 1 000</v>
          </cell>
          <cell r="S2254" t="str">
            <v>2007Scratch 1 000</v>
          </cell>
          <cell r="T2254" t="str">
            <v>82007ANKA SERVICES</v>
          </cell>
          <cell r="U2254" t="str">
            <v>82007ANKA SERVICESScratch 1 000</v>
          </cell>
          <cell r="V2254" t="str">
            <v>39302Scratch 1 000</v>
          </cell>
          <cell r="W2254" t="str">
            <v>2007ANKA SERVICES</v>
          </cell>
          <cell r="X2254" t="str">
            <v>2007ANKA SERVICESScratch 1 000</v>
          </cell>
        </row>
        <row r="2255">
          <cell r="I2255">
            <v>2007</v>
          </cell>
          <cell r="J2255" t="str">
            <v>Bonneterie Nouvelle TelecomScratch 20 000</v>
          </cell>
          <cell r="L2255">
            <v>1</v>
          </cell>
          <cell r="M2255" t="str">
            <v>1Bonneterie Nouvelle Telecom</v>
          </cell>
          <cell r="N2255" t="str">
            <v>Bonneterie Nouvelle TelecomScratch 20 000</v>
          </cell>
          <cell r="O2255" t="str">
            <v>Bonneterie Nouvelle Telecom</v>
          </cell>
          <cell r="P2255" t="str">
            <v>Scratch 20 000</v>
          </cell>
          <cell r="Q2255" t="str">
            <v>82007</v>
          </cell>
          <cell r="R2255" t="str">
            <v>82007Scratch 20 000</v>
          </cell>
          <cell r="S2255" t="str">
            <v>2007Scratch 20 000</v>
          </cell>
          <cell r="T2255" t="str">
            <v>82007Bonneterie Nouvelle Telecom</v>
          </cell>
          <cell r="U2255" t="str">
            <v>82007Bonneterie Nouvelle TelecomScratch 20 000</v>
          </cell>
          <cell r="V2255" t="str">
            <v>39302Scratch 20 000</v>
          </cell>
          <cell r="W2255" t="str">
            <v>2007Bonneterie Nouvelle Telecom</v>
          </cell>
          <cell r="X2255" t="str">
            <v>2007Bonneterie Nouvelle TelecomScratch 20 000</v>
          </cell>
        </row>
        <row r="2256">
          <cell r="I2256">
            <v>2007</v>
          </cell>
          <cell r="J2256" t="str">
            <v>Bonneterie Nouvelle TelecomScratch 5 000</v>
          </cell>
          <cell r="L2256">
            <v>0</v>
          </cell>
          <cell r="M2256" t="str">
            <v>Bonneterie Nouvelle Telecom</v>
          </cell>
          <cell r="N2256" t="str">
            <v>Bonneterie Nouvelle TelecomScratch 5 000</v>
          </cell>
          <cell r="O2256" t="str">
            <v>Bonneterie Nouvelle Telecom</v>
          </cell>
          <cell r="P2256" t="str">
            <v>Scratch 5 000</v>
          </cell>
          <cell r="Q2256" t="str">
            <v>82007</v>
          </cell>
          <cell r="R2256" t="str">
            <v>82007Scratch 5 000</v>
          </cell>
          <cell r="S2256" t="str">
            <v>2007Scratch 5 000</v>
          </cell>
          <cell r="T2256" t="str">
            <v>82007Bonneterie Nouvelle Telecom</v>
          </cell>
          <cell r="U2256" t="str">
            <v>82007Bonneterie Nouvelle TelecomScratch 5 000</v>
          </cell>
          <cell r="V2256" t="str">
            <v>39302Scratch 5 000</v>
          </cell>
          <cell r="W2256" t="str">
            <v>2007Bonneterie Nouvelle Telecom</v>
          </cell>
          <cell r="X2256" t="str">
            <v>2007Bonneterie Nouvelle TelecomScratch 5 000</v>
          </cell>
        </row>
        <row r="2257">
          <cell r="I2257">
            <v>2007</v>
          </cell>
          <cell r="J2257" t="str">
            <v>Bonneterie Nouvelle TelecomScratch 2 000</v>
          </cell>
          <cell r="L2257">
            <v>0</v>
          </cell>
          <cell r="M2257" t="str">
            <v>Bonneterie Nouvelle Telecom</v>
          </cell>
          <cell r="N2257" t="str">
            <v>Bonneterie Nouvelle TelecomScratch 2 000</v>
          </cell>
          <cell r="O2257" t="str">
            <v>Bonneterie Nouvelle Telecom</v>
          </cell>
          <cell r="P2257" t="str">
            <v>Scratch 2 000</v>
          </cell>
          <cell r="Q2257" t="str">
            <v>82007</v>
          </cell>
          <cell r="R2257" t="str">
            <v>82007Scratch 2 000</v>
          </cell>
          <cell r="S2257" t="str">
            <v>2007Scratch 2 000</v>
          </cell>
          <cell r="T2257" t="str">
            <v>82007Bonneterie Nouvelle Telecom</v>
          </cell>
          <cell r="U2257" t="str">
            <v>82007Bonneterie Nouvelle TelecomScratch 2 000</v>
          </cell>
          <cell r="V2257" t="str">
            <v>39302Scratch 2 000</v>
          </cell>
          <cell r="W2257" t="str">
            <v>2007Bonneterie Nouvelle Telecom</v>
          </cell>
          <cell r="X2257" t="str">
            <v>2007Bonneterie Nouvelle TelecomScratch 2 000</v>
          </cell>
        </row>
        <row r="2258">
          <cell r="I2258">
            <v>2007</v>
          </cell>
          <cell r="J2258" t="str">
            <v>Bonneterie Nouvelle TelecomScratch 1 000</v>
          </cell>
          <cell r="L2258">
            <v>0</v>
          </cell>
          <cell r="M2258" t="str">
            <v>Bonneterie Nouvelle Telecom</v>
          </cell>
          <cell r="N2258" t="str">
            <v>Bonneterie Nouvelle TelecomScratch 1 000</v>
          </cell>
          <cell r="O2258" t="str">
            <v>Bonneterie Nouvelle Telecom</v>
          </cell>
          <cell r="P2258" t="str">
            <v>Scratch 1 000</v>
          </cell>
          <cell r="Q2258" t="str">
            <v>82007</v>
          </cell>
          <cell r="R2258" t="str">
            <v>82007Scratch 1 000</v>
          </cell>
          <cell r="S2258" t="str">
            <v>2007Scratch 1 000</v>
          </cell>
          <cell r="T2258" t="str">
            <v>82007Bonneterie Nouvelle Telecom</v>
          </cell>
          <cell r="U2258" t="str">
            <v>82007Bonneterie Nouvelle TelecomScratch 1 000</v>
          </cell>
          <cell r="V2258" t="str">
            <v>39302Scratch 1 000</v>
          </cell>
          <cell r="W2258" t="str">
            <v>2007Bonneterie Nouvelle Telecom</v>
          </cell>
          <cell r="X2258" t="str">
            <v>2007Bonneterie Nouvelle TelecomScratch 1 000</v>
          </cell>
        </row>
        <row r="2259">
          <cell r="I2259">
            <v>2007</v>
          </cell>
          <cell r="J2259" t="str">
            <v>GEMATELScratch 20 000</v>
          </cell>
          <cell r="L2259">
            <v>1</v>
          </cell>
          <cell r="M2259" t="str">
            <v>1GEMATEL</v>
          </cell>
          <cell r="N2259" t="str">
            <v>GEMATELScratch 20 000</v>
          </cell>
          <cell r="O2259" t="str">
            <v>GEMATEL</v>
          </cell>
          <cell r="P2259" t="str">
            <v>Scratch 20 000</v>
          </cell>
          <cell r="Q2259" t="str">
            <v>82007</v>
          </cell>
          <cell r="R2259" t="str">
            <v>82007Scratch 20 000</v>
          </cell>
          <cell r="S2259" t="str">
            <v>2007Scratch 20 000</v>
          </cell>
          <cell r="T2259" t="str">
            <v>82007GEMATEL</v>
          </cell>
          <cell r="U2259" t="str">
            <v>82007GEMATELScratch 20 000</v>
          </cell>
          <cell r="V2259" t="str">
            <v>39302Scratch 20 000</v>
          </cell>
          <cell r="W2259" t="str">
            <v>2007GEMATEL</v>
          </cell>
          <cell r="X2259" t="str">
            <v>2007GEMATELScratch 20 000</v>
          </cell>
        </row>
        <row r="2260">
          <cell r="I2260">
            <v>2007</v>
          </cell>
          <cell r="J2260" t="str">
            <v>GEMATELScratch 5 000</v>
          </cell>
          <cell r="L2260">
            <v>0</v>
          </cell>
          <cell r="M2260" t="str">
            <v>GEMATEL</v>
          </cell>
          <cell r="N2260" t="str">
            <v>GEMATELScratch 5 000</v>
          </cell>
          <cell r="O2260" t="str">
            <v>GEMATEL</v>
          </cell>
          <cell r="P2260" t="str">
            <v>Scratch 5 000</v>
          </cell>
          <cell r="Q2260" t="str">
            <v>82007</v>
          </cell>
          <cell r="R2260" t="str">
            <v>82007Scratch 5 000</v>
          </cell>
          <cell r="S2260" t="str">
            <v>2007Scratch 5 000</v>
          </cell>
          <cell r="T2260" t="str">
            <v>82007GEMATEL</v>
          </cell>
          <cell r="U2260" t="str">
            <v>82007GEMATELScratch 5 000</v>
          </cell>
          <cell r="V2260" t="str">
            <v>39302Scratch 5 000</v>
          </cell>
          <cell r="W2260" t="str">
            <v>2007GEMATEL</v>
          </cell>
          <cell r="X2260" t="str">
            <v>2007GEMATELScratch 5 000</v>
          </cell>
        </row>
        <row r="2261">
          <cell r="I2261">
            <v>2007</v>
          </cell>
          <cell r="J2261" t="str">
            <v>GEMATELScratch 2 000</v>
          </cell>
          <cell r="L2261">
            <v>0</v>
          </cell>
          <cell r="M2261" t="str">
            <v>GEMATEL</v>
          </cell>
          <cell r="N2261" t="str">
            <v>GEMATELScratch 2 000</v>
          </cell>
          <cell r="O2261" t="str">
            <v>GEMATEL</v>
          </cell>
          <cell r="P2261" t="str">
            <v>Scratch 2 000</v>
          </cell>
          <cell r="Q2261" t="str">
            <v>82007</v>
          </cell>
          <cell r="R2261" t="str">
            <v>82007Scratch 2 000</v>
          </cell>
          <cell r="S2261" t="str">
            <v>2007Scratch 2 000</v>
          </cell>
          <cell r="T2261" t="str">
            <v>82007GEMATEL</v>
          </cell>
          <cell r="U2261" t="str">
            <v>82007GEMATELScratch 2 000</v>
          </cell>
          <cell r="V2261" t="str">
            <v>39302Scratch 2 000</v>
          </cell>
          <cell r="W2261" t="str">
            <v>2007GEMATEL</v>
          </cell>
          <cell r="X2261" t="str">
            <v>2007GEMATELScratch 2 000</v>
          </cell>
        </row>
        <row r="2262">
          <cell r="I2262">
            <v>2007</v>
          </cell>
          <cell r="J2262" t="str">
            <v>GEMATELScratch 1 000</v>
          </cell>
          <cell r="L2262">
            <v>0</v>
          </cell>
          <cell r="M2262" t="str">
            <v>GEMATEL</v>
          </cell>
          <cell r="N2262" t="str">
            <v>GEMATELScratch 1 000</v>
          </cell>
          <cell r="O2262" t="str">
            <v>GEMATEL</v>
          </cell>
          <cell r="P2262" t="str">
            <v>Scratch 1 000</v>
          </cell>
          <cell r="Q2262" t="str">
            <v>82007</v>
          </cell>
          <cell r="R2262" t="str">
            <v>82007Scratch 1 000</v>
          </cell>
          <cell r="S2262" t="str">
            <v>2007Scratch 1 000</v>
          </cell>
          <cell r="T2262" t="str">
            <v>82007GEMATEL</v>
          </cell>
          <cell r="U2262" t="str">
            <v>82007GEMATELScratch 1 000</v>
          </cell>
          <cell r="V2262" t="str">
            <v>39302Scratch 1 000</v>
          </cell>
          <cell r="W2262" t="str">
            <v>2007GEMATEL</v>
          </cell>
          <cell r="X2262" t="str">
            <v>2007GEMATELScratch 1 000</v>
          </cell>
        </row>
        <row r="2263">
          <cell r="I2263">
            <v>2007</v>
          </cell>
          <cell r="J2263" t="str">
            <v>ANKA SERVICESScratch 20 000</v>
          </cell>
          <cell r="L2263">
            <v>1</v>
          </cell>
          <cell r="M2263" t="str">
            <v>1ANKA SERVICES</v>
          </cell>
          <cell r="N2263" t="str">
            <v>ANKA SERVICESScratch 20 000</v>
          </cell>
          <cell r="O2263" t="str">
            <v>ANKA SERVICES</v>
          </cell>
          <cell r="P2263" t="str">
            <v>Scratch 20 000</v>
          </cell>
          <cell r="Q2263" t="str">
            <v>82007</v>
          </cell>
          <cell r="R2263" t="str">
            <v>82007Scratch 20 000</v>
          </cell>
          <cell r="S2263" t="str">
            <v>2007Scratch 20 000</v>
          </cell>
          <cell r="T2263" t="str">
            <v>82007ANKA SERVICES</v>
          </cell>
          <cell r="U2263" t="str">
            <v>82007ANKA SERVICESScratch 20 000</v>
          </cell>
          <cell r="V2263" t="str">
            <v>39302Scratch 20 000</v>
          </cell>
          <cell r="W2263" t="str">
            <v>2007ANKA SERVICES</v>
          </cell>
          <cell r="X2263" t="str">
            <v>2007ANKA SERVICESScratch 20 000</v>
          </cell>
        </row>
        <row r="2264">
          <cell r="I2264">
            <v>2007</v>
          </cell>
          <cell r="J2264" t="str">
            <v>ANKA SERVICESScratch 5 000</v>
          </cell>
          <cell r="L2264">
            <v>0</v>
          </cell>
          <cell r="M2264" t="str">
            <v>ANKA SERVICES</v>
          </cell>
          <cell r="N2264" t="str">
            <v>ANKA SERVICESScratch 5 000</v>
          </cell>
          <cell r="O2264" t="str">
            <v>ANKA SERVICES</v>
          </cell>
          <cell r="P2264" t="str">
            <v>Scratch 5 000</v>
          </cell>
          <cell r="Q2264" t="str">
            <v>82007</v>
          </cell>
          <cell r="R2264" t="str">
            <v>82007Scratch 5 000</v>
          </cell>
          <cell r="S2264" t="str">
            <v>2007Scratch 5 000</v>
          </cell>
          <cell r="T2264" t="str">
            <v>82007ANKA SERVICES</v>
          </cell>
          <cell r="U2264" t="str">
            <v>82007ANKA SERVICESScratch 5 000</v>
          </cell>
          <cell r="V2264" t="str">
            <v>39302Scratch 5 000</v>
          </cell>
          <cell r="W2264" t="str">
            <v>2007ANKA SERVICES</v>
          </cell>
          <cell r="X2264" t="str">
            <v>2007ANKA SERVICESScratch 5 000</v>
          </cell>
        </row>
        <row r="2265">
          <cell r="I2265">
            <v>2007</v>
          </cell>
          <cell r="J2265" t="str">
            <v>ANKA SERVICESScratch 2 000</v>
          </cell>
          <cell r="L2265">
            <v>0</v>
          </cell>
          <cell r="M2265" t="str">
            <v>ANKA SERVICES</v>
          </cell>
          <cell r="N2265" t="str">
            <v>ANKA SERVICESScratch 2 000</v>
          </cell>
          <cell r="O2265" t="str">
            <v>ANKA SERVICES</v>
          </cell>
          <cell r="P2265" t="str">
            <v>Scratch 2 000</v>
          </cell>
          <cell r="Q2265" t="str">
            <v>82007</v>
          </cell>
          <cell r="R2265" t="str">
            <v>82007Scratch 2 000</v>
          </cell>
          <cell r="S2265" t="str">
            <v>2007Scratch 2 000</v>
          </cell>
          <cell r="T2265" t="str">
            <v>82007ANKA SERVICES</v>
          </cell>
          <cell r="U2265" t="str">
            <v>82007ANKA SERVICESScratch 2 000</v>
          </cell>
          <cell r="V2265" t="str">
            <v>39302Scratch 2 000</v>
          </cell>
          <cell r="W2265" t="str">
            <v>2007ANKA SERVICES</v>
          </cell>
          <cell r="X2265" t="str">
            <v>2007ANKA SERVICESScratch 2 000</v>
          </cell>
        </row>
        <row r="2266">
          <cell r="I2266">
            <v>2007</v>
          </cell>
          <cell r="J2266" t="str">
            <v>ANKA SERVICESScratch 1 000</v>
          </cell>
          <cell r="L2266">
            <v>0</v>
          </cell>
          <cell r="M2266" t="str">
            <v>ANKA SERVICES</v>
          </cell>
          <cell r="N2266" t="str">
            <v>ANKA SERVICESScratch 1 000</v>
          </cell>
          <cell r="O2266" t="str">
            <v>ANKA SERVICES</v>
          </cell>
          <cell r="P2266" t="str">
            <v>Scratch 1 000</v>
          </cell>
          <cell r="Q2266" t="str">
            <v>82007</v>
          </cell>
          <cell r="R2266" t="str">
            <v>82007Scratch 1 000</v>
          </cell>
          <cell r="S2266" t="str">
            <v>2007Scratch 1 000</v>
          </cell>
          <cell r="T2266" t="str">
            <v>82007ANKA SERVICES</v>
          </cell>
          <cell r="U2266" t="str">
            <v>82007ANKA SERVICESScratch 1 000</v>
          </cell>
          <cell r="V2266" t="str">
            <v>39302Scratch 1 000</v>
          </cell>
          <cell r="W2266" t="str">
            <v>2007ANKA SERVICES</v>
          </cell>
          <cell r="X2266" t="str">
            <v>2007ANKA SERVICESScratch 1 000</v>
          </cell>
        </row>
        <row r="2267">
          <cell r="I2267">
            <v>2007</v>
          </cell>
          <cell r="J2267" t="str">
            <v>GEMATELScratch 20 000</v>
          </cell>
          <cell r="L2267">
            <v>1</v>
          </cell>
          <cell r="M2267" t="str">
            <v>1GEMATEL</v>
          </cell>
          <cell r="N2267" t="str">
            <v>GEMATELScratch 20 000</v>
          </cell>
          <cell r="O2267" t="str">
            <v>GEMATEL</v>
          </cell>
          <cell r="P2267" t="str">
            <v>Scratch 20 000</v>
          </cell>
          <cell r="Q2267" t="str">
            <v>82007</v>
          </cell>
          <cell r="R2267" t="str">
            <v>82007Scratch 20 000</v>
          </cell>
          <cell r="S2267" t="str">
            <v>2007Scratch 20 000</v>
          </cell>
          <cell r="T2267" t="str">
            <v>82007GEMATEL</v>
          </cell>
          <cell r="U2267" t="str">
            <v>82007GEMATELScratch 20 000</v>
          </cell>
          <cell r="V2267" t="str">
            <v>39302Scratch 20 000</v>
          </cell>
          <cell r="W2267" t="str">
            <v>2007GEMATEL</v>
          </cell>
          <cell r="X2267" t="str">
            <v>2007GEMATELScratch 20 000</v>
          </cell>
        </row>
        <row r="2268">
          <cell r="I2268">
            <v>2007</v>
          </cell>
          <cell r="J2268" t="str">
            <v>GEMATELScratch 5 000</v>
          </cell>
          <cell r="L2268">
            <v>0</v>
          </cell>
          <cell r="M2268" t="str">
            <v>GEMATEL</v>
          </cell>
          <cell r="N2268" t="str">
            <v>GEMATELScratch 5 000</v>
          </cell>
          <cell r="O2268" t="str">
            <v>GEMATEL</v>
          </cell>
          <cell r="P2268" t="str">
            <v>Scratch 5 000</v>
          </cell>
          <cell r="Q2268" t="str">
            <v>82007</v>
          </cell>
          <cell r="R2268" t="str">
            <v>82007Scratch 5 000</v>
          </cell>
          <cell r="S2268" t="str">
            <v>2007Scratch 5 000</v>
          </cell>
          <cell r="T2268" t="str">
            <v>82007GEMATEL</v>
          </cell>
          <cell r="U2268" t="str">
            <v>82007GEMATELScratch 5 000</v>
          </cell>
          <cell r="V2268" t="str">
            <v>39302Scratch 5 000</v>
          </cell>
          <cell r="W2268" t="str">
            <v>2007GEMATEL</v>
          </cell>
          <cell r="X2268" t="str">
            <v>2007GEMATELScratch 5 000</v>
          </cell>
        </row>
        <row r="2269">
          <cell r="I2269">
            <v>2007</v>
          </cell>
          <cell r="J2269" t="str">
            <v>GEMATELScratch 2 000</v>
          </cell>
          <cell r="L2269">
            <v>0</v>
          </cell>
          <cell r="M2269" t="str">
            <v>GEMATEL</v>
          </cell>
          <cell r="N2269" t="str">
            <v>GEMATELScratch 2 000</v>
          </cell>
          <cell r="O2269" t="str">
            <v>GEMATEL</v>
          </cell>
          <cell r="P2269" t="str">
            <v>Scratch 2 000</v>
          </cell>
          <cell r="Q2269" t="str">
            <v>82007</v>
          </cell>
          <cell r="R2269" t="str">
            <v>82007Scratch 2 000</v>
          </cell>
          <cell r="S2269" t="str">
            <v>2007Scratch 2 000</v>
          </cell>
          <cell r="T2269" t="str">
            <v>82007GEMATEL</v>
          </cell>
          <cell r="U2269" t="str">
            <v>82007GEMATELScratch 2 000</v>
          </cell>
          <cell r="V2269" t="str">
            <v>39302Scratch 2 000</v>
          </cell>
          <cell r="W2269" t="str">
            <v>2007GEMATEL</v>
          </cell>
          <cell r="X2269" t="str">
            <v>2007GEMATELScratch 2 000</v>
          </cell>
        </row>
        <row r="2270">
          <cell r="I2270">
            <v>2007</v>
          </cell>
          <cell r="J2270" t="str">
            <v>GEMATELScratch 1 000</v>
          </cell>
          <cell r="L2270">
            <v>0</v>
          </cell>
          <cell r="M2270" t="str">
            <v>GEMATEL</v>
          </cell>
          <cell r="N2270" t="str">
            <v>GEMATELScratch 1 000</v>
          </cell>
          <cell r="O2270" t="str">
            <v>GEMATEL</v>
          </cell>
          <cell r="P2270" t="str">
            <v>Scratch 1 000</v>
          </cell>
          <cell r="Q2270" t="str">
            <v>82007</v>
          </cell>
          <cell r="R2270" t="str">
            <v>82007Scratch 1 000</v>
          </cell>
          <cell r="S2270" t="str">
            <v>2007Scratch 1 000</v>
          </cell>
          <cell r="T2270" t="str">
            <v>82007GEMATEL</v>
          </cell>
          <cell r="U2270" t="str">
            <v>82007GEMATELScratch 1 000</v>
          </cell>
          <cell r="V2270" t="str">
            <v>39302Scratch 1 000</v>
          </cell>
          <cell r="W2270" t="str">
            <v>2007GEMATEL</v>
          </cell>
          <cell r="X2270" t="str">
            <v>2007GEMATELScratch 1 000</v>
          </cell>
        </row>
        <row r="2271">
          <cell r="I2271">
            <v>2007</v>
          </cell>
          <cell r="J2271" t="str">
            <v>STS GAMBY &amp; FRERES (SOGAF) SarlScratch 20 000</v>
          </cell>
          <cell r="L2271">
            <v>1</v>
          </cell>
          <cell r="M2271" t="str">
            <v>1STS GAMBY &amp; FRERES (SOGAF) Sarl</v>
          </cell>
          <cell r="N2271" t="str">
            <v>STS GAMBY &amp; FRERES (SOGAF) SarlScratch 20 000</v>
          </cell>
          <cell r="O2271" t="str">
            <v>STS GAMBY &amp; FRERES (SOGAF) Sarl</v>
          </cell>
          <cell r="P2271" t="str">
            <v>Scratch 20 000</v>
          </cell>
          <cell r="Q2271" t="str">
            <v>82007</v>
          </cell>
          <cell r="R2271" t="str">
            <v>82007Scratch 20 000</v>
          </cell>
          <cell r="S2271" t="str">
            <v>2007Scratch 20 000</v>
          </cell>
          <cell r="T2271" t="str">
            <v>82007STS GAMBY &amp; FRERES (SOGAF) Sarl</v>
          </cell>
          <cell r="U2271" t="str">
            <v>82007STS GAMBY &amp; FRERES (SOGAF) SarlScratch 20 000</v>
          </cell>
          <cell r="V2271" t="str">
            <v>39303Scratch 20 000</v>
          </cell>
          <cell r="W2271" t="str">
            <v>2007STS GAMBY &amp; FRERES (SOGAF) Sarl</v>
          </cell>
          <cell r="X2271" t="str">
            <v>2007STS GAMBY &amp; FRERES (SOGAF) SarlScratch 20 000</v>
          </cell>
        </row>
        <row r="2272">
          <cell r="I2272">
            <v>2007</v>
          </cell>
          <cell r="J2272" t="str">
            <v>STS GAMBY &amp; FRERES (SOGAF) SarlScratch 5 000</v>
          </cell>
          <cell r="L2272">
            <v>0</v>
          </cell>
          <cell r="M2272" t="str">
            <v>STS GAMBY &amp; FRERES (SOGAF) Sarl</v>
          </cell>
          <cell r="N2272" t="str">
            <v>STS GAMBY &amp; FRERES (SOGAF) SarlScratch 5 000</v>
          </cell>
          <cell r="O2272" t="str">
            <v>STS GAMBY &amp; FRERES (SOGAF) Sarl</v>
          </cell>
          <cell r="P2272" t="str">
            <v>Scratch 5 000</v>
          </cell>
          <cell r="Q2272" t="str">
            <v>82007</v>
          </cell>
          <cell r="R2272" t="str">
            <v>82007Scratch 5 000</v>
          </cell>
          <cell r="S2272" t="str">
            <v>2007Scratch 5 000</v>
          </cell>
          <cell r="T2272" t="str">
            <v>82007STS GAMBY &amp; FRERES (SOGAF) Sarl</v>
          </cell>
          <cell r="U2272" t="str">
            <v>82007STS GAMBY &amp; FRERES (SOGAF) SarlScratch 5 000</v>
          </cell>
          <cell r="V2272" t="str">
            <v>39303Scratch 5 000</v>
          </cell>
          <cell r="W2272" t="str">
            <v>2007STS GAMBY &amp; FRERES (SOGAF) Sarl</v>
          </cell>
          <cell r="X2272" t="str">
            <v>2007STS GAMBY &amp; FRERES (SOGAF) SarlScratch 5 000</v>
          </cell>
        </row>
        <row r="2273">
          <cell r="I2273">
            <v>2007</v>
          </cell>
          <cell r="J2273" t="str">
            <v>STS GAMBY &amp; FRERES (SOGAF) SarlScratch 2 000</v>
          </cell>
          <cell r="L2273">
            <v>0</v>
          </cell>
          <cell r="M2273" t="str">
            <v>STS GAMBY &amp; FRERES (SOGAF) Sarl</v>
          </cell>
          <cell r="N2273" t="str">
            <v>STS GAMBY &amp; FRERES (SOGAF) SarlScratch 2 000</v>
          </cell>
          <cell r="O2273" t="str">
            <v>STS GAMBY &amp; FRERES (SOGAF) Sarl</v>
          </cell>
          <cell r="P2273" t="str">
            <v>Scratch 2 000</v>
          </cell>
          <cell r="Q2273" t="str">
            <v>82007</v>
          </cell>
          <cell r="R2273" t="str">
            <v>82007Scratch 2 000</v>
          </cell>
          <cell r="S2273" t="str">
            <v>2007Scratch 2 000</v>
          </cell>
          <cell r="T2273" t="str">
            <v>82007STS GAMBY &amp; FRERES (SOGAF) Sarl</v>
          </cell>
          <cell r="U2273" t="str">
            <v>82007STS GAMBY &amp; FRERES (SOGAF) SarlScratch 2 000</v>
          </cell>
          <cell r="V2273" t="str">
            <v>39303Scratch 2 000</v>
          </cell>
          <cell r="W2273" t="str">
            <v>2007STS GAMBY &amp; FRERES (SOGAF) Sarl</v>
          </cell>
          <cell r="X2273" t="str">
            <v>2007STS GAMBY &amp; FRERES (SOGAF) SarlScratch 2 000</v>
          </cell>
        </row>
        <row r="2274">
          <cell r="I2274">
            <v>2007</v>
          </cell>
          <cell r="J2274" t="str">
            <v>STS GAMBY &amp; FRERES (SOGAF) SarlScratch 1 000</v>
          </cell>
          <cell r="L2274">
            <v>0</v>
          </cell>
          <cell r="M2274" t="str">
            <v>STS GAMBY &amp; FRERES (SOGAF) Sarl</v>
          </cell>
          <cell r="N2274" t="str">
            <v>STS GAMBY &amp; FRERES (SOGAF) SarlScratch 1 000</v>
          </cell>
          <cell r="O2274" t="str">
            <v>STS GAMBY &amp; FRERES (SOGAF) Sarl</v>
          </cell>
          <cell r="P2274" t="str">
            <v>Scratch 1 000</v>
          </cell>
          <cell r="Q2274" t="str">
            <v>82007</v>
          </cell>
          <cell r="R2274" t="str">
            <v>82007Scratch 1 000</v>
          </cell>
          <cell r="S2274" t="str">
            <v>2007Scratch 1 000</v>
          </cell>
          <cell r="T2274" t="str">
            <v>82007STS GAMBY &amp; FRERES (SOGAF) Sarl</v>
          </cell>
          <cell r="U2274" t="str">
            <v>82007STS GAMBY &amp; FRERES (SOGAF) SarlScratch 1 000</v>
          </cell>
          <cell r="V2274" t="str">
            <v>39303Scratch 1 000</v>
          </cell>
          <cell r="W2274" t="str">
            <v>2007STS GAMBY &amp; FRERES (SOGAF) Sarl</v>
          </cell>
          <cell r="X2274" t="str">
            <v>2007STS GAMBY &amp; FRERES (SOGAF) SarlScratch 1 000</v>
          </cell>
        </row>
        <row r="2275">
          <cell r="I2275">
            <v>2007</v>
          </cell>
          <cell r="J2275" t="str">
            <v>ANKA SERVICESScratch 20 000</v>
          </cell>
          <cell r="L2275">
            <v>1</v>
          </cell>
          <cell r="M2275" t="str">
            <v>1ANKA SERVICES</v>
          </cell>
          <cell r="N2275" t="str">
            <v>ANKA SERVICESScratch 20 000</v>
          </cell>
          <cell r="O2275" t="str">
            <v>ANKA SERVICES</v>
          </cell>
          <cell r="P2275" t="str">
            <v>Scratch 20 000</v>
          </cell>
          <cell r="Q2275" t="str">
            <v>82007</v>
          </cell>
          <cell r="R2275" t="str">
            <v>82007Scratch 20 000</v>
          </cell>
          <cell r="S2275" t="str">
            <v>2007Scratch 20 000</v>
          </cell>
          <cell r="T2275" t="str">
            <v>82007ANKA SERVICES</v>
          </cell>
          <cell r="U2275" t="str">
            <v>82007ANKA SERVICESScratch 20 000</v>
          </cell>
          <cell r="V2275" t="str">
            <v>39303Scratch 20 000</v>
          </cell>
          <cell r="W2275" t="str">
            <v>2007ANKA SERVICES</v>
          </cell>
          <cell r="X2275" t="str">
            <v>2007ANKA SERVICESScratch 20 000</v>
          </cell>
        </row>
        <row r="2276">
          <cell r="I2276">
            <v>2007</v>
          </cell>
          <cell r="J2276" t="str">
            <v>ANKA SERVICESScratch 5 000</v>
          </cell>
          <cell r="L2276">
            <v>0</v>
          </cell>
          <cell r="M2276" t="str">
            <v>ANKA SERVICES</v>
          </cell>
          <cell r="N2276" t="str">
            <v>ANKA SERVICESScratch 5 000</v>
          </cell>
          <cell r="O2276" t="str">
            <v>ANKA SERVICES</v>
          </cell>
          <cell r="P2276" t="str">
            <v>Scratch 5 000</v>
          </cell>
          <cell r="Q2276" t="str">
            <v>82007</v>
          </cell>
          <cell r="R2276" t="str">
            <v>82007Scratch 5 000</v>
          </cell>
          <cell r="S2276" t="str">
            <v>2007Scratch 5 000</v>
          </cell>
          <cell r="T2276" t="str">
            <v>82007ANKA SERVICES</v>
          </cell>
          <cell r="U2276" t="str">
            <v>82007ANKA SERVICESScratch 5 000</v>
          </cell>
          <cell r="V2276" t="str">
            <v>39303Scratch 5 000</v>
          </cell>
          <cell r="W2276" t="str">
            <v>2007ANKA SERVICES</v>
          </cell>
          <cell r="X2276" t="str">
            <v>2007ANKA SERVICESScratch 5 000</v>
          </cell>
        </row>
        <row r="2277">
          <cell r="I2277">
            <v>2007</v>
          </cell>
          <cell r="J2277" t="str">
            <v>ANKA SERVICESScratch 2 000</v>
          </cell>
          <cell r="L2277">
            <v>0</v>
          </cell>
          <cell r="M2277" t="str">
            <v>ANKA SERVICES</v>
          </cell>
          <cell r="N2277" t="str">
            <v>ANKA SERVICESScratch 2 000</v>
          </cell>
          <cell r="O2277" t="str">
            <v>ANKA SERVICES</v>
          </cell>
          <cell r="P2277" t="str">
            <v>Scratch 2 000</v>
          </cell>
          <cell r="Q2277" t="str">
            <v>82007</v>
          </cell>
          <cell r="R2277" t="str">
            <v>82007Scratch 2 000</v>
          </cell>
          <cell r="S2277" t="str">
            <v>2007Scratch 2 000</v>
          </cell>
          <cell r="T2277" t="str">
            <v>82007ANKA SERVICES</v>
          </cell>
          <cell r="U2277" t="str">
            <v>82007ANKA SERVICESScratch 2 000</v>
          </cell>
          <cell r="V2277" t="str">
            <v>39303Scratch 2 000</v>
          </cell>
          <cell r="W2277" t="str">
            <v>2007ANKA SERVICES</v>
          </cell>
          <cell r="X2277" t="str">
            <v>2007ANKA SERVICESScratch 2 000</v>
          </cell>
        </row>
        <row r="2278">
          <cell r="I2278">
            <v>2007</v>
          </cell>
          <cell r="J2278" t="str">
            <v>ANKA SERVICESScratch 1 000</v>
          </cell>
          <cell r="L2278">
            <v>0</v>
          </cell>
          <cell r="M2278" t="str">
            <v>ANKA SERVICES</v>
          </cell>
          <cell r="N2278" t="str">
            <v>ANKA SERVICESScratch 1 000</v>
          </cell>
          <cell r="O2278" t="str">
            <v>ANKA SERVICES</v>
          </cell>
          <cell r="P2278" t="str">
            <v>Scratch 1 000</v>
          </cell>
          <cell r="Q2278" t="str">
            <v>82007</v>
          </cell>
          <cell r="R2278" t="str">
            <v>82007Scratch 1 000</v>
          </cell>
          <cell r="S2278" t="str">
            <v>2007Scratch 1 000</v>
          </cell>
          <cell r="T2278" t="str">
            <v>82007ANKA SERVICES</v>
          </cell>
          <cell r="U2278" t="str">
            <v>82007ANKA SERVICESScratch 1 000</v>
          </cell>
          <cell r="V2278" t="str">
            <v>39303Scratch 1 000</v>
          </cell>
          <cell r="W2278" t="str">
            <v>2007ANKA SERVICES</v>
          </cell>
          <cell r="X2278" t="str">
            <v>2007ANKA SERVICESScratch 1 000</v>
          </cell>
        </row>
        <row r="2279">
          <cell r="I2279">
            <v>2007</v>
          </cell>
          <cell r="J2279" t="str">
            <v>GEMATELScratch 20 000</v>
          </cell>
          <cell r="L2279">
            <v>1</v>
          </cell>
          <cell r="M2279" t="str">
            <v>1GEMATEL</v>
          </cell>
          <cell r="N2279" t="str">
            <v>GEMATELScratch 20 000</v>
          </cell>
          <cell r="O2279" t="str">
            <v>GEMATEL</v>
          </cell>
          <cell r="P2279" t="str">
            <v>Scratch 20 000</v>
          </cell>
          <cell r="Q2279" t="str">
            <v>82007</v>
          </cell>
          <cell r="R2279" t="str">
            <v>82007Scratch 20 000</v>
          </cell>
          <cell r="S2279" t="str">
            <v>2007Scratch 20 000</v>
          </cell>
          <cell r="T2279" t="str">
            <v>82007GEMATEL</v>
          </cell>
          <cell r="U2279" t="str">
            <v>82007GEMATELScratch 20 000</v>
          </cell>
          <cell r="V2279" t="str">
            <v>39303Scratch 20 000</v>
          </cell>
          <cell r="W2279" t="str">
            <v>2007GEMATEL</v>
          </cell>
          <cell r="X2279" t="str">
            <v>2007GEMATELScratch 20 000</v>
          </cell>
        </row>
        <row r="2280">
          <cell r="I2280">
            <v>2007</v>
          </cell>
          <cell r="J2280" t="str">
            <v>GEMATELScratch 10 000</v>
          </cell>
          <cell r="L2280">
            <v>0</v>
          </cell>
          <cell r="M2280" t="str">
            <v>GEMATEL</v>
          </cell>
          <cell r="N2280" t="str">
            <v>GEMATELScratch 10 000</v>
          </cell>
          <cell r="O2280" t="str">
            <v>GEMATEL</v>
          </cell>
          <cell r="P2280" t="str">
            <v>Scratch 10 000</v>
          </cell>
          <cell r="Q2280" t="str">
            <v>82007</v>
          </cell>
          <cell r="R2280" t="str">
            <v>82007Scratch 10 000</v>
          </cell>
          <cell r="S2280" t="str">
            <v>2007Scratch 10 000</v>
          </cell>
          <cell r="T2280" t="str">
            <v>82007GEMATEL</v>
          </cell>
          <cell r="U2280" t="str">
            <v>82007GEMATELScratch 10 000</v>
          </cell>
          <cell r="V2280" t="str">
            <v>39303Scratch 10 000</v>
          </cell>
          <cell r="W2280" t="str">
            <v>2007GEMATEL</v>
          </cell>
          <cell r="X2280" t="str">
            <v>2007GEMATELScratch 10 000</v>
          </cell>
        </row>
        <row r="2281">
          <cell r="I2281">
            <v>2007</v>
          </cell>
          <cell r="J2281" t="str">
            <v>GEMATELScratch 5 000</v>
          </cell>
          <cell r="L2281">
            <v>0</v>
          </cell>
          <cell r="M2281" t="str">
            <v>GEMATEL</v>
          </cell>
          <cell r="N2281" t="str">
            <v>GEMATELScratch 5 000</v>
          </cell>
          <cell r="O2281" t="str">
            <v>GEMATEL</v>
          </cell>
          <cell r="P2281" t="str">
            <v>Scratch 5 000</v>
          </cell>
          <cell r="Q2281" t="str">
            <v>82007</v>
          </cell>
          <cell r="R2281" t="str">
            <v>82007Scratch 5 000</v>
          </cell>
          <cell r="S2281" t="str">
            <v>2007Scratch 5 000</v>
          </cell>
          <cell r="T2281" t="str">
            <v>82007GEMATEL</v>
          </cell>
          <cell r="U2281" t="str">
            <v>82007GEMATELScratch 5 000</v>
          </cell>
          <cell r="V2281" t="str">
            <v>39303Scratch 5 000</v>
          </cell>
          <cell r="W2281" t="str">
            <v>2007GEMATEL</v>
          </cell>
          <cell r="X2281" t="str">
            <v>2007GEMATELScratch 5 000</v>
          </cell>
        </row>
        <row r="2282">
          <cell r="I2282">
            <v>2007</v>
          </cell>
          <cell r="J2282" t="str">
            <v>GEMATELScratch 2 000</v>
          </cell>
          <cell r="L2282">
            <v>0</v>
          </cell>
          <cell r="M2282" t="str">
            <v>GEMATEL</v>
          </cell>
          <cell r="N2282" t="str">
            <v>GEMATELScratch 2 000</v>
          </cell>
          <cell r="O2282" t="str">
            <v>GEMATEL</v>
          </cell>
          <cell r="P2282" t="str">
            <v>Scratch 2 000</v>
          </cell>
          <cell r="Q2282" t="str">
            <v>82007</v>
          </cell>
          <cell r="R2282" t="str">
            <v>82007Scratch 2 000</v>
          </cell>
          <cell r="S2282" t="str">
            <v>2007Scratch 2 000</v>
          </cell>
          <cell r="T2282" t="str">
            <v>82007GEMATEL</v>
          </cell>
          <cell r="U2282" t="str">
            <v>82007GEMATELScratch 2 000</v>
          </cell>
          <cell r="V2282" t="str">
            <v>39303Scratch 2 000</v>
          </cell>
          <cell r="W2282" t="str">
            <v>2007GEMATEL</v>
          </cell>
          <cell r="X2282" t="str">
            <v>2007GEMATELScratch 2 000</v>
          </cell>
        </row>
        <row r="2283">
          <cell r="I2283">
            <v>2007</v>
          </cell>
          <cell r="J2283" t="str">
            <v>GEMATELScratch 1 000</v>
          </cell>
          <cell r="L2283">
            <v>0</v>
          </cell>
          <cell r="M2283" t="str">
            <v>GEMATEL</v>
          </cell>
          <cell r="N2283" t="str">
            <v>GEMATELScratch 1 000</v>
          </cell>
          <cell r="O2283" t="str">
            <v>GEMATEL</v>
          </cell>
          <cell r="P2283" t="str">
            <v>Scratch 1 000</v>
          </cell>
          <cell r="Q2283" t="str">
            <v>82007</v>
          </cell>
          <cell r="R2283" t="str">
            <v>82007Scratch 1 000</v>
          </cell>
          <cell r="S2283" t="str">
            <v>2007Scratch 1 000</v>
          </cell>
          <cell r="T2283" t="str">
            <v>82007GEMATEL</v>
          </cell>
          <cell r="U2283" t="str">
            <v>82007GEMATELScratch 1 000</v>
          </cell>
          <cell r="V2283" t="str">
            <v>39303Scratch 1 000</v>
          </cell>
          <cell r="W2283" t="str">
            <v>2007GEMATEL</v>
          </cell>
          <cell r="X2283" t="str">
            <v>2007GEMATELScratch 1 000</v>
          </cell>
        </row>
        <row r="2284">
          <cell r="I2284">
            <v>2007</v>
          </cell>
          <cell r="J2284" t="str">
            <v>Compagnie Internationale de NegoceScratch 5 000</v>
          </cell>
          <cell r="L2284">
            <v>1</v>
          </cell>
          <cell r="M2284" t="str">
            <v>1Compagnie Internationale de Negoce</v>
          </cell>
          <cell r="N2284" t="str">
            <v>Compagnie Internationale de NegoceScratch 5 000</v>
          </cell>
          <cell r="O2284" t="str">
            <v>Compagnie Internationale de Negoce</v>
          </cell>
          <cell r="P2284" t="str">
            <v>Scratch 5 000</v>
          </cell>
          <cell r="Q2284" t="str">
            <v>82007</v>
          </cell>
          <cell r="R2284" t="str">
            <v>82007Scratch 5 000</v>
          </cell>
          <cell r="S2284" t="str">
            <v>2007Scratch 5 000</v>
          </cell>
          <cell r="T2284" t="str">
            <v>82007Compagnie Internationale de Negoce</v>
          </cell>
          <cell r="U2284" t="str">
            <v>82007Compagnie Internationale de NegoceScratch 5 000</v>
          </cell>
          <cell r="V2284" t="str">
            <v>39303Scratch 5 000</v>
          </cell>
          <cell r="W2284" t="str">
            <v>2007Compagnie Internationale de Negoce</v>
          </cell>
          <cell r="X2284" t="str">
            <v>2007Compagnie Internationale de NegoceScratch 5 000</v>
          </cell>
        </row>
        <row r="2285">
          <cell r="I2285">
            <v>2007</v>
          </cell>
          <cell r="J2285" t="str">
            <v>Compagnie Internationale de NegoceScratch 2 000</v>
          </cell>
          <cell r="L2285">
            <v>0</v>
          </cell>
          <cell r="M2285" t="str">
            <v>Compagnie Internationale de Negoce</v>
          </cell>
          <cell r="N2285" t="str">
            <v>Compagnie Internationale de NegoceScratch 2 000</v>
          </cell>
          <cell r="O2285" t="str">
            <v>Compagnie Internationale de Negoce</v>
          </cell>
          <cell r="P2285" t="str">
            <v>Scratch 2 000</v>
          </cell>
          <cell r="Q2285" t="str">
            <v>82007</v>
          </cell>
          <cell r="R2285" t="str">
            <v>82007Scratch 2 000</v>
          </cell>
          <cell r="S2285" t="str">
            <v>2007Scratch 2 000</v>
          </cell>
          <cell r="T2285" t="str">
            <v>82007Compagnie Internationale de Negoce</v>
          </cell>
          <cell r="U2285" t="str">
            <v>82007Compagnie Internationale de NegoceScratch 2 000</v>
          </cell>
          <cell r="V2285" t="str">
            <v>39303Scratch 2 000</v>
          </cell>
          <cell r="W2285" t="str">
            <v>2007Compagnie Internationale de Negoce</v>
          </cell>
          <cell r="X2285" t="str">
            <v>2007Compagnie Internationale de NegoceScratch 2 000</v>
          </cell>
        </row>
        <row r="2286">
          <cell r="I2286">
            <v>2007</v>
          </cell>
          <cell r="J2286" t="str">
            <v>Compagnie Internationale de NegoceScratch 1 000</v>
          </cell>
          <cell r="L2286">
            <v>0</v>
          </cell>
          <cell r="M2286" t="str">
            <v>Compagnie Internationale de Negoce</v>
          </cell>
          <cell r="N2286" t="str">
            <v>Compagnie Internationale de NegoceScratch 1 000</v>
          </cell>
          <cell r="O2286" t="str">
            <v>Compagnie Internationale de Negoce</v>
          </cell>
          <cell r="P2286" t="str">
            <v>Scratch 1 000</v>
          </cell>
          <cell r="Q2286" t="str">
            <v>82007</v>
          </cell>
          <cell r="R2286" t="str">
            <v>82007Scratch 1 000</v>
          </cell>
          <cell r="S2286" t="str">
            <v>2007Scratch 1 000</v>
          </cell>
          <cell r="T2286" t="str">
            <v>82007Compagnie Internationale de Negoce</v>
          </cell>
          <cell r="U2286" t="str">
            <v>82007Compagnie Internationale de NegoceScratch 1 000</v>
          </cell>
          <cell r="V2286" t="str">
            <v>39303Scratch 1 000</v>
          </cell>
          <cell r="W2286" t="str">
            <v>2007Compagnie Internationale de Negoce</v>
          </cell>
          <cell r="X2286" t="str">
            <v>2007Compagnie Internationale de NegoceScratch 1 000</v>
          </cell>
        </row>
        <row r="2287">
          <cell r="I2287">
            <v>2007</v>
          </cell>
          <cell r="J2287" t="str">
            <v>Soleil LevantScratch 5 000</v>
          </cell>
          <cell r="L2287">
            <v>1</v>
          </cell>
          <cell r="M2287" t="str">
            <v>1Soleil Levant</v>
          </cell>
          <cell r="N2287" t="str">
            <v>Soleil LevantScratch 5 000</v>
          </cell>
          <cell r="O2287" t="str">
            <v>Soleil Levant</v>
          </cell>
          <cell r="P2287" t="str">
            <v>Scratch 5 000</v>
          </cell>
          <cell r="Q2287" t="str">
            <v>82007</v>
          </cell>
          <cell r="R2287" t="str">
            <v>82007Scratch 5 000</v>
          </cell>
          <cell r="S2287" t="str">
            <v>2007Scratch 5 000</v>
          </cell>
          <cell r="T2287" t="str">
            <v>82007Soleil Levant</v>
          </cell>
          <cell r="U2287" t="str">
            <v>82007Soleil LevantScratch 5 000</v>
          </cell>
          <cell r="V2287" t="str">
            <v>39304Scratch 5 000</v>
          </cell>
          <cell r="W2287" t="str">
            <v>2007Soleil Levant</v>
          </cell>
          <cell r="X2287" t="str">
            <v>2007Soleil LevantScratch 5 000</v>
          </cell>
        </row>
        <row r="2288">
          <cell r="I2288">
            <v>2007</v>
          </cell>
          <cell r="J2288" t="str">
            <v>Soleil LevantScratch 2 000</v>
          </cell>
          <cell r="L2288">
            <v>0</v>
          </cell>
          <cell r="M2288" t="str">
            <v>Soleil Levant</v>
          </cell>
          <cell r="N2288" t="str">
            <v>Soleil LevantScratch 2 000</v>
          </cell>
          <cell r="O2288" t="str">
            <v>Soleil Levant</v>
          </cell>
          <cell r="P2288" t="str">
            <v>Scratch 2 000</v>
          </cell>
          <cell r="Q2288" t="str">
            <v>82007</v>
          </cell>
          <cell r="R2288" t="str">
            <v>82007Scratch 2 000</v>
          </cell>
          <cell r="S2288" t="str">
            <v>2007Scratch 2 000</v>
          </cell>
          <cell r="T2288" t="str">
            <v>82007Soleil Levant</v>
          </cell>
          <cell r="U2288" t="str">
            <v>82007Soleil LevantScratch 2 000</v>
          </cell>
          <cell r="V2288" t="str">
            <v>39304Scratch 2 000</v>
          </cell>
          <cell r="W2288" t="str">
            <v>2007Soleil Levant</v>
          </cell>
          <cell r="X2288" t="str">
            <v>2007Soleil LevantScratch 2 000</v>
          </cell>
        </row>
        <row r="2289">
          <cell r="I2289">
            <v>2007</v>
          </cell>
          <cell r="J2289" t="str">
            <v>Soleil LevantScratch 1 000</v>
          </cell>
          <cell r="L2289">
            <v>0</v>
          </cell>
          <cell r="M2289" t="str">
            <v>Soleil Levant</v>
          </cell>
          <cell r="N2289" t="str">
            <v>Soleil LevantScratch 1 000</v>
          </cell>
          <cell r="O2289" t="str">
            <v>Soleil Levant</v>
          </cell>
          <cell r="P2289" t="str">
            <v>Scratch 1 000</v>
          </cell>
          <cell r="Q2289" t="str">
            <v>82007</v>
          </cell>
          <cell r="R2289" t="str">
            <v>82007Scratch 1 000</v>
          </cell>
          <cell r="S2289" t="str">
            <v>2007Scratch 1 000</v>
          </cell>
          <cell r="T2289" t="str">
            <v>82007Soleil Levant</v>
          </cell>
          <cell r="U2289" t="str">
            <v>82007Soleil LevantScratch 1 000</v>
          </cell>
          <cell r="V2289" t="str">
            <v>39304Scratch 1 000</v>
          </cell>
          <cell r="W2289" t="str">
            <v>2007Soleil Levant</v>
          </cell>
          <cell r="X2289" t="str">
            <v>2007Soleil LevantScratch 1 000</v>
          </cell>
        </row>
        <row r="2290">
          <cell r="I2290">
            <v>2007</v>
          </cell>
          <cell r="J2290" t="str">
            <v>MALI COM SarlScratch 20 000</v>
          </cell>
          <cell r="L2290">
            <v>1</v>
          </cell>
          <cell r="M2290" t="str">
            <v>1MALI COM Sarl</v>
          </cell>
          <cell r="N2290" t="str">
            <v>MALI COM SarlScratch 20 000</v>
          </cell>
          <cell r="O2290" t="str">
            <v>MALI COM Sarl</v>
          </cell>
          <cell r="P2290" t="str">
            <v>Scratch 20 000</v>
          </cell>
          <cell r="Q2290" t="str">
            <v>82007</v>
          </cell>
          <cell r="R2290" t="str">
            <v>82007Scratch 20 000</v>
          </cell>
          <cell r="S2290" t="str">
            <v>2007Scratch 20 000</v>
          </cell>
          <cell r="T2290" t="str">
            <v>82007MALI COM Sarl</v>
          </cell>
          <cell r="U2290" t="str">
            <v>82007MALI COM SarlScratch 20 000</v>
          </cell>
          <cell r="V2290" t="str">
            <v>39304Scratch 20 000</v>
          </cell>
          <cell r="W2290" t="str">
            <v>2007MALI COM Sarl</v>
          </cell>
          <cell r="X2290" t="str">
            <v>2007MALI COM SarlScratch 20 000</v>
          </cell>
        </row>
        <row r="2291">
          <cell r="I2291">
            <v>2007</v>
          </cell>
          <cell r="J2291" t="str">
            <v>MALI COM SarlScratch 10 000</v>
          </cell>
          <cell r="L2291">
            <v>0</v>
          </cell>
          <cell r="M2291" t="str">
            <v>MALI COM Sarl</v>
          </cell>
          <cell r="N2291" t="str">
            <v>MALI COM SarlScratch 10 000</v>
          </cell>
          <cell r="O2291" t="str">
            <v>MALI COM Sarl</v>
          </cell>
          <cell r="P2291" t="str">
            <v>Scratch 10 000</v>
          </cell>
          <cell r="Q2291" t="str">
            <v>82007</v>
          </cell>
          <cell r="R2291" t="str">
            <v>82007Scratch 10 000</v>
          </cell>
          <cell r="S2291" t="str">
            <v>2007Scratch 10 000</v>
          </cell>
          <cell r="T2291" t="str">
            <v>82007MALI COM Sarl</v>
          </cell>
          <cell r="U2291" t="str">
            <v>82007MALI COM SarlScratch 10 000</v>
          </cell>
          <cell r="V2291" t="str">
            <v>39304Scratch 10 000</v>
          </cell>
          <cell r="W2291" t="str">
            <v>2007MALI COM Sarl</v>
          </cell>
          <cell r="X2291" t="str">
            <v>2007MALI COM SarlScratch 10 000</v>
          </cell>
        </row>
        <row r="2292">
          <cell r="I2292">
            <v>2007</v>
          </cell>
          <cell r="J2292" t="str">
            <v>MALI COM SarlScratch 5 000</v>
          </cell>
          <cell r="L2292">
            <v>0</v>
          </cell>
          <cell r="M2292" t="str">
            <v>MALI COM Sarl</v>
          </cell>
          <cell r="N2292" t="str">
            <v>MALI COM SarlScratch 5 000</v>
          </cell>
          <cell r="O2292" t="str">
            <v>MALI COM Sarl</v>
          </cell>
          <cell r="P2292" t="str">
            <v>Scratch 5 000</v>
          </cell>
          <cell r="Q2292" t="str">
            <v>82007</v>
          </cell>
          <cell r="R2292" t="str">
            <v>82007Scratch 5 000</v>
          </cell>
          <cell r="S2292" t="str">
            <v>2007Scratch 5 000</v>
          </cell>
          <cell r="T2292" t="str">
            <v>82007MALI COM Sarl</v>
          </cell>
          <cell r="U2292" t="str">
            <v>82007MALI COM SarlScratch 5 000</v>
          </cell>
          <cell r="V2292" t="str">
            <v>39304Scratch 5 000</v>
          </cell>
          <cell r="W2292" t="str">
            <v>2007MALI COM Sarl</v>
          </cell>
          <cell r="X2292" t="str">
            <v>2007MALI COM SarlScratch 5 000</v>
          </cell>
        </row>
        <row r="2293">
          <cell r="I2293">
            <v>2007</v>
          </cell>
          <cell r="J2293" t="str">
            <v>MALI COM SarlScratch 2 000</v>
          </cell>
          <cell r="L2293">
            <v>0</v>
          </cell>
          <cell r="M2293" t="str">
            <v>MALI COM Sarl</v>
          </cell>
          <cell r="N2293" t="str">
            <v>MALI COM SarlScratch 2 000</v>
          </cell>
          <cell r="O2293" t="str">
            <v>MALI COM Sarl</v>
          </cell>
          <cell r="P2293" t="str">
            <v>Scratch 2 000</v>
          </cell>
          <cell r="Q2293" t="str">
            <v>82007</v>
          </cell>
          <cell r="R2293" t="str">
            <v>82007Scratch 2 000</v>
          </cell>
          <cell r="S2293" t="str">
            <v>2007Scratch 2 000</v>
          </cell>
          <cell r="T2293" t="str">
            <v>82007MALI COM Sarl</v>
          </cell>
          <cell r="U2293" t="str">
            <v>82007MALI COM SarlScratch 2 000</v>
          </cell>
          <cell r="V2293" t="str">
            <v>39304Scratch 2 000</v>
          </cell>
          <cell r="W2293" t="str">
            <v>2007MALI COM Sarl</v>
          </cell>
          <cell r="X2293" t="str">
            <v>2007MALI COM SarlScratch 2 000</v>
          </cell>
        </row>
        <row r="2294">
          <cell r="I2294">
            <v>2007</v>
          </cell>
          <cell r="J2294" t="str">
            <v>MALI COM SarlScratch 1 000</v>
          </cell>
          <cell r="L2294">
            <v>0</v>
          </cell>
          <cell r="M2294" t="str">
            <v>MALI COM Sarl</v>
          </cell>
          <cell r="N2294" t="str">
            <v>MALI COM SarlScratch 1 000</v>
          </cell>
          <cell r="O2294" t="str">
            <v>MALI COM Sarl</v>
          </cell>
          <cell r="P2294" t="str">
            <v>Scratch 1 000</v>
          </cell>
          <cell r="Q2294" t="str">
            <v>82007</v>
          </cell>
          <cell r="R2294" t="str">
            <v>82007Scratch 1 000</v>
          </cell>
          <cell r="S2294" t="str">
            <v>2007Scratch 1 000</v>
          </cell>
          <cell r="T2294" t="str">
            <v>82007MALI COM Sarl</v>
          </cell>
          <cell r="U2294" t="str">
            <v>82007MALI COM SarlScratch 1 000</v>
          </cell>
          <cell r="V2294" t="str">
            <v>39304Scratch 1 000</v>
          </cell>
          <cell r="W2294" t="str">
            <v>2007MALI COM Sarl</v>
          </cell>
          <cell r="X2294" t="str">
            <v>2007MALI COM SarlScratch 1 000</v>
          </cell>
        </row>
        <row r="2295">
          <cell r="I2295">
            <v>2007</v>
          </cell>
          <cell r="J2295" t="str">
            <v>Burtel MacsymScratch 5 000</v>
          </cell>
          <cell r="L2295">
            <v>1</v>
          </cell>
          <cell r="M2295" t="str">
            <v>1Burtel Macsym</v>
          </cell>
          <cell r="N2295" t="str">
            <v>Burtel MacsymScratch 5 000</v>
          </cell>
          <cell r="O2295" t="str">
            <v>Burtel Macsym</v>
          </cell>
          <cell r="P2295" t="str">
            <v>Scratch 5 000</v>
          </cell>
          <cell r="Q2295" t="str">
            <v>82007</v>
          </cell>
          <cell r="R2295" t="str">
            <v>82007Scratch 5 000</v>
          </cell>
          <cell r="S2295" t="str">
            <v>2007Scratch 5 000</v>
          </cell>
          <cell r="T2295" t="str">
            <v>82007Burtel Macsym</v>
          </cell>
          <cell r="U2295" t="str">
            <v>82007Burtel MacsymScratch 5 000</v>
          </cell>
          <cell r="V2295" t="str">
            <v>39304Scratch 5 000</v>
          </cell>
          <cell r="W2295" t="str">
            <v>2007Burtel Macsym</v>
          </cell>
          <cell r="X2295" t="str">
            <v>2007Burtel MacsymScratch 5 000</v>
          </cell>
        </row>
        <row r="2296">
          <cell r="I2296">
            <v>2007</v>
          </cell>
          <cell r="J2296" t="str">
            <v>Burtel MacsymScratch 2 000</v>
          </cell>
          <cell r="L2296">
            <v>0</v>
          </cell>
          <cell r="M2296" t="str">
            <v>Burtel Macsym</v>
          </cell>
          <cell r="N2296" t="str">
            <v>Burtel MacsymScratch 2 000</v>
          </cell>
          <cell r="O2296" t="str">
            <v>Burtel Macsym</v>
          </cell>
          <cell r="P2296" t="str">
            <v>Scratch 2 000</v>
          </cell>
          <cell r="Q2296" t="str">
            <v>82007</v>
          </cell>
          <cell r="R2296" t="str">
            <v>82007Scratch 2 000</v>
          </cell>
          <cell r="S2296" t="str">
            <v>2007Scratch 2 000</v>
          </cell>
          <cell r="T2296" t="str">
            <v>82007Burtel Macsym</v>
          </cell>
          <cell r="U2296" t="str">
            <v>82007Burtel MacsymScratch 2 000</v>
          </cell>
          <cell r="V2296" t="str">
            <v>39304Scratch 2 000</v>
          </cell>
          <cell r="W2296" t="str">
            <v>2007Burtel Macsym</v>
          </cell>
          <cell r="X2296" t="str">
            <v>2007Burtel MacsymScratch 2 000</v>
          </cell>
        </row>
        <row r="2297">
          <cell r="I2297">
            <v>2007</v>
          </cell>
          <cell r="J2297" t="str">
            <v>Burtel MacsymScratch 1 000</v>
          </cell>
          <cell r="L2297">
            <v>0</v>
          </cell>
          <cell r="M2297" t="str">
            <v>Burtel Macsym</v>
          </cell>
          <cell r="N2297" t="str">
            <v>Burtel MacsymScratch 1 000</v>
          </cell>
          <cell r="O2297" t="str">
            <v>Burtel Macsym</v>
          </cell>
          <cell r="P2297" t="str">
            <v>Scratch 1 000</v>
          </cell>
          <cell r="Q2297" t="str">
            <v>82007</v>
          </cell>
          <cell r="R2297" t="str">
            <v>82007Scratch 1 000</v>
          </cell>
          <cell r="S2297" t="str">
            <v>2007Scratch 1 000</v>
          </cell>
          <cell r="T2297" t="str">
            <v>82007Burtel Macsym</v>
          </cell>
          <cell r="U2297" t="str">
            <v>82007Burtel MacsymScratch 1 000</v>
          </cell>
          <cell r="V2297" t="str">
            <v>39304Scratch 1 000</v>
          </cell>
          <cell r="W2297" t="str">
            <v>2007Burtel Macsym</v>
          </cell>
          <cell r="X2297" t="str">
            <v>2007Burtel MacsymScratch 1 000</v>
          </cell>
        </row>
        <row r="2298">
          <cell r="I2298">
            <v>2007</v>
          </cell>
          <cell r="J2298" t="str">
            <v>ANKA SERVICESScratch 5 000</v>
          </cell>
          <cell r="L2298">
            <v>1</v>
          </cell>
          <cell r="M2298" t="str">
            <v>1ANKA SERVICES</v>
          </cell>
          <cell r="N2298" t="str">
            <v>ANKA SERVICESScratch 5 000</v>
          </cell>
          <cell r="O2298" t="str">
            <v>ANKA SERVICES</v>
          </cell>
          <cell r="P2298" t="str">
            <v>Scratch 5 000</v>
          </cell>
          <cell r="Q2298" t="str">
            <v>82007</v>
          </cell>
          <cell r="R2298" t="str">
            <v>82007Scratch 5 000</v>
          </cell>
          <cell r="S2298" t="str">
            <v>2007Scratch 5 000</v>
          </cell>
          <cell r="T2298" t="str">
            <v>82007ANKA SERVICES</v>
          </cell>
          <cell r="U2298" t="str">
            <v>82007ANKA SERVICESScratch 5 000</v>
          </cell>
          <cell r="V2298" t="str">
            <v>39304Scratch 5 000</v>
          </cell>
          <cell r="W2298" t="str">
            <v>2007ANKA SERVICES</v>
          </cell>
          <cell r="X2298" t="str">
            <v>2007ANKA SERVICESScratch 5 000</v>
          </cell>
        </row>
        <row r="2299">
          <cell r="I2299">
            <v>2007</v>
          </cell>
          <cell r="J2299" t="str">
            <v>ANKA SERVICESScratch 2 000</v>
          </cell>
          <cell r="L2299">
            <v>0</v>
          </cell>
          <cell r="M2299" t="str">
            <v>ANKA SERVICES</v>
          </cell>
          <cell r="N2299" t="str">
            <v>ANKA SERVICESScratch 2 000</v>
          </cell>
          <cell r="O2299" t="str">
            <v>ANKA SERVICES</v>
          </cell>
          <cell r="P2299" t="str">
            <v>Scratch 2 000</v>
          </cell>
          <cell r="Q2299" t="str">
            <v>82007</v>
          </cell>
          <cell r="R2299" t="str">
            <v>82007Scratch 2 000</v>
          </cell>
          <cell r="S2299" t="str">
            <v>2007Scratch 2 000</v>
          </cell>
          <cell r="T2299" t="str">
            <v>82007ANKA SERVICES</v>
          </cell>
          <cell r="U2299" t="str">
            <v>82007ANKA SERVICESScratch 2 000</v>
          </cell>
          <cell r="V2299" t="str">
            <v>39304Scratch 2 000</v>
          </cell>
          <cell r="W2299" t="str">
            <v>2007ANKA SERVICES</v>
          </cell>
          <cell r="X2299" t="str">
            <v>2007ANKA SERVICESScratch 2 000</v>
          </cell>
        </row>
        <row r="2300">
          <cell r="I2300">
            <v>2007</v>
          </cell>
          <cell r="J2300" t="str">
            <v>ANKA SERVICESScratch 1 000</v>
          </cell>
          <cell r="L2300">
            <v>0</v>
          </cell>
          <cell r="M2300" t="str">
            <v>ANKA SERVICES</v>
          </cell>
          <cell r="N2300" t="str">
            <v>ANKA SERVICESScratch 1 000</v>
          </cell>
          <cell r="O2300" t="str">
            <v>ANKA SERVICES</v>
          </cell>
          <cell r="P2300" t="str">
            <v>Scratch 1 000</v>
          </cell>
          <cell r="Q2300" t="str">
            <v>82007</v>
          </cell>
          <cell r="R2300" t="str">
            <v>82007Scratch 1 000</v>
          </cell>
          <cell r="S2300" t="str">
            <v>2007Scratch 1 000</v>
          </cell>
          <cell r="T2300" t="str">
            <v>82007ANKA SERVICES</v>
          </cell>
          <cell r="U2300" t="str">
            <v>82007ANKA SERVICESScratch 1 000</v>
          </cell>
          <cell r="V2300" t="str">
            <v>39304Scratch 1 000</v>
          </cell>
          <cell r="W2300" t="str">
            <v>2007ANKA SERVICES</v>
          </cell>
          <cell r="X2300" t="str">
            <v>2007ANKA SERVICESScratch 1 000</v>
          </cell>
        </row>
        <row r="2301">
          <cell r="I2301">
            <v>2007</v>
          </cell>
          <cell r="J2301" t="str">
            <v>Ets Boubacar TANDIAScratch 20 000</v>
          </cell>
          <cell r="L2301">
            <v>1</v>
          </cell>
          <cell r="M2301" t="str">
            <v>1Ets Boubacar TANDIA</v>
          </cell>
          <cell r="N2301" t="str">
            <v>Ets Boubacar TANDIAScratch 20 000</v>
          </cell>
          <cell r="O2301" t="str">
            <v>Ets Boubacar TANDIA</v>
          </cell>
          <cell r="P2301" t="str">
            <v>Scratch 20 000</v>
          </cell>
          <cell r="Q2301" t="str">
            <v>82007</v>
          </cell>
          <cell r="R2301" t="str">
            <v>82007Scratch 20 000</v>
          </cell>
          <cell r="S2301" t="str">
            <v>2007Scratch 20 000</v>
          </cell>
          <cell r="T2301" t="str">
            <v>82007Ets Boubacar TANDIA</v>
          </cell>
          <cell r="U2301" t="str">
            <v>82007Ets Boubacar TANDIAScratch 20 000</v>
          </cell>
          <cell r="V2301" t="str">
            <v>39304Scratch 20 000</v>
          </cell>
          <cell r="W2301" t="str">
            <v>2007Ets Boubacar TANDIA</v>
          </cell>
          <cell r="X2301" t="str">
            <v>2007Ets Boubacar TANDIAScratch 20 000</v>
          </cell>
        </row>
        <row r="2302">
          <cell r="I2302">
            <v>2007</v>
          </cell>
          <cell r="J2302" t="str">
            <v>Ets Boubacar TANDIAScratch 10 000</v>
          </cell>
          <cell r="L2302">
            <v>0</v>
          </cell>
          <cell r="M2302" t="str">
            <v>Ets Boubacar TANDIA</v>
          </cell>
          <cell r="N2302" t="str">
            <v>Ets Boubacar TANDIAScratch 10 000</v>
          </cell>
          <cell r="O2302" t="str">
            <v>Ets Boubacar TANDIA</v>
          </cell>
          <cell r="P2302" t="str">
            <v>Scratch 10 000</v>
          </cell>
          <cell r="Q2302" t="str">
            <v>82007</v>
          </cell>
          <cell r="R2302" t="str">
            <v>82007Scratch 10 000</v>
          </cell>
          <cell r="S2302" t="str">
            <v>2007Scratch 10 000</v>
          </cell>
          <cell r="T2302" t="str">
            <v>82007Ets Boubacar TANDIA</v>
          </cell>
          <cell r="U2302" t="str">
            <v>82007Ets Boubacar TANDIAScratch 10 000</v>
          </cell>
          <cell r="V2302" t="str">
            <v>39304Scratch 10 000</v>
          </cell>
          <cell r="W2302" t="str">
            <v>2007Ets Boubacar TANDIA</v>
          </cell>
          <cell r="X2302" t="str">
            <v>2007Ets Boubacar TANDIAScratch 10 000</v>
          </cell>
        </row>
        <row r="2303">
          <cell r="I2303">
            <v>2007</v>
          </cell>
          <cell r="J2303" t="str">
            <v>Ets Boubacar TANDIAScratch 5 000</v>
          </cell>
          <cell r="L2303">
            <v>0</v>
          </cell>
          <cell r="M2303" t="str">
            <v>Ets Boubacar TANDIA</v>
          </cell>
          <cell r="N2303" t="str">
            <v>Ets Boubacar TANDIAScratch 5 000</v>
          </cell>
          <cell r="O2303" t="str">
            <v>Ets Boubacar TANDIA</v>
          </cell>
          <cell r="P2303" t="str">
            <v>Scratch 5 000</v>
          </cell>
          <cell r="Q2303" t="str">
            <v>82007</v>
          </cell>
          <cell r="R2303" t="str">
            <v>82007Scratch 5 000</v>
          </cell>
          <cell r="S2303" t="str">
            <v>2007Scratch 5 000</v>
          </cell>
          <cell r="T2303" t="str">
            <v>82007Ets Boubacar TANDIA</v>
          </cell>
          <cell r="U2303" t="str">
            <v>82007Ets Boubacar TANDIAScratch 5 000</v>
          </cell>
          <cell r="V2303" t="str">
            <v>39304Scratch 5 000</v>
          </cell>
          <cell r="W2303" t="str">
            <v>2007Ets Boubacar TANDIA</v>
          </cell>
          <cell r="X2303" t="str">
            <v>2007Ets Boubacar TANDIAScratch 5 000</v>
          </cell>
        </row>
        <row r="2304">
          <cell r="I2304">
            <v>2007</v>
          </cell>
          <cell r="J2304" t="str">
            <v>Ets Boubacar TANDIAScratch 2 000</v>
          </cell>
          <cell r="L2304">
            <v>0</v>
          </cell>
          <cell r="M2304" t="str">
            <v>Ets Boubacar TANDIA</v>
          </cell>
          <cell r="N2304" t="str">
            <v>Ets Boubacar TANDIAScratch 2 000</v>
          </cell>
          <cell r="O2304" t="str">
            <v>Ets Boubacar TANDIA</v>
          </cell>
          <cell r="P2304" t="str">
            <v>Scratch 2 000</v>
          </cell>
          <cell r="Q2304" t="str">
            <v>82007</v>
          </cell>
          <cell r="R2304" t="str">
            <v>82007Scratch 2 000</v>
          </cell>
          <cell r="S2304" t="str">
            <v>2007Scratch 2 000</v>
          </cell>
          <cell r="T2304" t="str">
            <v>82007Ets Boubacar TANDIA</v>
          </cell>
          <cell r="U2304" t="str">
            <v>82007Ets Boubacar TANDIAScratch 2 000</v>
          </cell>
          <cell r="V2304" t="str">
            <v>39304Scratch 2 000</v>
          </cell>
          <cell r="W2304" t="str">
            <v>2007Ets Boubacar TANDIA</v>
          </cell>
          <cell r="X2304" t="str">
            <v>2007Ets Boubacar TANDIAScratch 2 000</v>
          </cell>
        </row>
        <row r="2305">
          <cell r="I2305">
            <v>2007</v>
          </cell>
          <cell r="J2305" t="str">
            <v>Ets Boubacar TANDIAScratch 1 000</v>
          </cell>
          <cell r="L2305">
            <v>0</v>
          </cell>
          <cell r="M2305" t="str">
            <v>Ets Boubacar TANDIA</v>
          </cell>
          <cell r="N2305" t="str">
            <v>Ets Boubacar TANDIAScratch 1 000</v>
          </cell>
          <cell r="O2305" t="str">
            <v>Ets Boubacar TANDIA</v>
          </cell>
          <cell r="P2305" t="str">
            <v>Scratch 1 000</v>
          </cell>
          <cell r="Q2305" t="str">
            <v>82007</v>
          </cell>
          <cell r="R2305" t="str">
            <v>82007Scratch 1 000</v>
          </cell>
          <cell r="S2305" t="str">
            <v>2007Scratch 1 000</v>
          </cell>
          <cell r="T2305" t="str">
            <v>82007Ets Boubacar TANDIA</v>
          </cell>
          <cell r="U2305" t="str">
            <v>82007Ets Boubacar TANDIAScratch 1 000</v>
          </cell>
          <cell r="V2305" t="str">
            <v>39304Scratch 1 000</v>
          </cell>
          <cell r="W2305" t="str">
            <v>2007Ets Boubacar TANDIA</v>
          </cell>
          <cell r="X2305" t="str">
            <v>2007Ets Boubacar TANDIAScratch 1 000</v>
          </cell>
        </row>
        <row r="2306">
          <cell r="I2306">
            <v>2007</v>
          </cell>
          <cell r="J2306" t="str">
            <v>GEMATELScratch 5 000</v>
          </cell>
          <cell r="L2306">
            <v>1</v>
          </cell>
          <cell r="M2306" t="str">
            <v>1GEMATEL</v>
          </cell>
          <cell r="N2306" t="str">
            <v>GEMATELScratch 5 000</v>
          </cell>
          <cell r="O2306" t="str">
            <v>GEMATEL</v>
          </cell>
          <cell r="P2306" t="str">
            <v>Scratch 5 000</v>
          </cell>
          <cell r="Q2306" t="str">
            <v>82007</v>
          </cell>
          <cell r="R2306" t="str">
            <v>82007Scratch 5 000</v>
          </cell>
          <cell r="S2306" t="str">
            <v>2007Scratch 5 000</v>
          </cell>
          <cell r="T2306" t="str">
            <v>82007GEMATEL</v>
          </cell>
          <cell r="U2306" t="str">
            <v>82007GEMATELScratch 5 000</v>
          </cell>
          <cell r="V2306" t="str">
            <v>39304Scratch 5 000</v>
          </cell>
          <cell r="W2306" t="str">
            <v>2007GEMATEL</v>
          </cell>
          <cell r="X2306" t="str">
            <v>2007GEMATELScratch 5 000</v>
          </cell>
        </row>
        <row r="2307">
          <cell r="I2307">
            <v>2007</v>
          </cell>
          <cell r="J2307" t="str">
            <v>GEMATELScratch 2 000</v>
          </cell>
          <cell r="L2307">
            <v>0</v>
          </cell>
          <cell r="M2307" t="str">
            <v>GEMATEL</v>
          </cell>
          <cell r="N2307" t="str">
            <v>GEMATELScratch 2 000</v>
          </cell>
          <cell r="O2307" t="str">
            <v>GEMATEL</v>
          </cell>
          <cell r="P2307" t="str">
            <v>Scratch 2 000</v>
          </cell>
          <cell r="Q2307" t="str">
            <v>82007</v>
          </cell>
          <cell r="R2307" t="str">
            <v>82007Scratch 2 000</v>
          </cell>
          <cell r="S2307" t="str">
            <v>2007Scratch 2 000</v>
          </cell>
          <cell r="T2307" t="str">
            <v>82007GEMATEL</v>
          </cell>
          <cell r="U2307" t="str">
            <v>82007GEMATELScratch 2 000</v>
          </cell>
          <cell r="V2307" t="str">
            <v>39304Scratch 2 000</v>
          </cell>
          <cell r="W2307" t="str">
            <v>2007GEMATEL</v>
          </cell>
          <cell r="X2307" t="str">
            <v>2007GEMATELScratch 2 000</v>
          </cell>
        </row>
        <row r="2308">
          <cell r="I2308">
            <v>2007</v>
          </cell>
          <cell r="J2308" t="str">
            <v>GEMATELScratch 1 000</v>
          </cell>
          <cell r="L2308">
            <v>0</v>
          </cell>
          <cell r="M2308" t="str">
            <v>GEMATEL</v>
          </cell>
          <cell r="N2308" t="str">
            <v>GEMATELScratch 1 000</v>
          </cell>
          <cell r="O2308" t="str">
            <v>GEMATEL</v>
          </cell>
          <cell r="P2308" t="str">
            <v>Scratch 1 000</v>
          </cell>
          <cell r="Q2308" t="str">
            <v>82007</v>
          </cell>
          <cell r="R2308" t="str">
            <v>82007Scratch 1 000</v>
          </cell>
          <cell r="S2308" t="str">
            <v>2007Scratch 1 000</v>
          </cell>
          <cell r="T2308" t="str">
            <v>82007GEMATEL</v>
          </cell>
          <cell r="U2308" t="str">
            <v>82007GEMATELScratch 1 000</v>
          </cell>
          <cell r="V2308" t="str">
            <v>39304Scratch 1 000</v>
          </cell>
          <cell r="W2308" t="str">
            <v>2007GEMATEL</v>
          </cell>
          <cell r="X2308" t="str">
            <v>2007GEMATELScratch 1 000</v>
          </cell>
        </row>
        <row r="2309">
          <cell r="I2309">
            <v>2007</v>
          </cell>
          <cell r="J2309" t="str">
            <v>Ets Mamadou GAMBYScratch 5 000</v>
          </cell>
          <cell r="L2309">
            <v>1</v>
          </cell>
          <cell r="M2309" t="str">
            <v>1Ets Mamadou GAMBY</v>
          </cell>
          <cell r="N2309" t="str">
            <v>Ets Mamadou GAMBYScratch 5 000</v>
          </cell>
          <cell r="O2309" t="str">
            <v>Ets Mamadou GAMBY</v>
          </cell>
          <cell r="P2309" t="str">
            <v>Scratch 5 000</v>
          </cell>
          <cell r="Q2309" t="str">
            <v>82007</v>
          </cell>
          <cell r="R2309" t="str">
            <v>82007Scratch 5 000</v>
          </cell>
          <cell r="S2309" t="str">
            <v>2007Scratch 5 000</v>
          </cell>
          <cell r="T2309" t="str">
            <v>82007Ets Mamadou GAMBY</v>
          </cell>
          <cell r="U2309" t="str">
            <v>82007Ets Mamadou GAMBYScratch 5 000</v>
          </cell>
          <cell r="V2309" t="str">
            <v>39307Scratch 5 000</v>
          </cell>
          <cell r="W2309" t="str">
            <v>2007Ets Mamadou GAMBY</v>
          </cell>
          <cell r="X2309" t="str">
            <v>2007Ets Mamadou GAMBYScratch 5 000</v>
          </cell>
        </row>
        <row r="2310">
          <cell r="I2310">
            <v>2007</v>
          </cell>
          <cell r="J2310" t="str">
            <v>Ets Mamadou GAMBYScratch 2 000</v>
          </cell>
          <cell r="L2310">
            <v>0</v>
          </cell>
          <cell r="M2310" t="str">
            <v>Ets Mamadou GAMBY</v>
          </cell>
          <cell r="N2310" t="str">
            <v>Ets Mamadou GAMBYScratch 2 000</v>
          </cell>
          <cell r="O2310" t="str">
            <v>Ets Mamadou GAMBY</v>
          </cell>
          <cell r="P2310" t="str">
            <v>Scratch 2 000</v>
          </cell>
          <cell r="Q2310" t="str">
            <v>82007</v>
          </cell>
          <cell r="R2310" t="str">
            <v>82007Scratch 2 000</v>
          </cell>
          <cell r="S2310" t="str">
            <v>2007Scratch 2 000</v>
          </cell>
          <cell r="T2310" t="str">
            <v>82007Ets Mamadou GAMBY</v>
          </cell>
          <cell r="U2310" t="str">
            <v>82007Ets Mamadou GAMBYScratch 2 000</v>
          </cell>
          <cell r="V2310" t="str">
            <v>39307Scratch 2 000</v>
          </cell>
          <cell r="W2310" t="str">
            <v>2007Ets Mamadou GAMBY</v>
          </cell>
          <cell r="X2310" t="str">
            <v>2007Ets Mamadou GAMBYScratch 2 000</v>
          </cell>
        </row>
        <row r="2311">
          <cell r="I2311">
            <v>2007</v>
          </cell>
          <cell r="J2311" t="str">
            <v>Ets Mamadou GAMBYScratch 1 000</v>
          </cell>
          <cell r="L2311">
            <v>0</v>
          </cell>
          <cell r="M2311" t="str">
            <v>Ets Mamadou GAMBY</v>
          </cell>
          <cell r="N2311" t="str">
            <v>Ets Mamadou GAMBYScratch 1 000</v>
          </cell>
          <cell r="O2311" t="str">
            <v>Ets Mamadou GAMBY</v>
          </cell>
          <cell r="P2311" t="str">
            <v>Scratch 1 000</v>
          </cell>
          <cell r="Q2311" t="str">
            <v>82007</v>
          </cell>
          <cell r="R2311" t="str">
            <v>82007Scratch 1 000</v>
          </cell>
          <cell r="S2311" t="str">
            <v>2007Scratch 1 000</v>
          </cell>
          <cell r="T2311" t="str">
            <v>82007Ets Mamadou GAMBY</v>
          </cell>
          <cell r="U2311" t="str">
            <v>82007Ets Mamadou GAMBYScratch 1 000</v>
          </cell>
          <cell r="V2311" t="str">
            <v>39307Scratch 1 000</v>
          </cell>
          <cell r="W2311" t="str">
            <v>2007Ets Mamadou GAMBY</v>
          </cell>
          <cell r="X2311" t="str">
            <v>2007Ets Mamadou GAMBYScratch 1 000</v>
          </cell>
        </row>
        <row r="2312">
          <cell r="I2312">
            <v>2007</v>
          </cell>
          <cell r="J2312" t="str">
            <v>ANKA SERVICESScratch 20 000</v>
          </cell>
          <cell r="L2312">
            <v>1</v>
          </cell>
          <cell r="M2312" t="str">
            <v>1ANKA SERVICES</v>
          </cell>
          <cell r="N2312" t="str">
            <v>ANKA SERVICESScratch 20 000</v>
          </cell>
          <cell r="O2312" t="str">
            <v>ANKA SERVICES</v>
          </cell>
          <cell r="P2312" t="str">
            <v>Scratch 20 000</v>
          </cell>
          <cell r="Q2312" t="str">
            <v>82007</v>
          </cell>
          <cell r="R2312" t="str">
            <v>82007Scratch 20 000</v>
          </cell>
          <cell r="S2312" t="str">
            <v>2007Scratch 20 000</v>
          </cell>
          <cell r="T2312" t="str">
            <v>82007ANKA SERVICES</v>
          </cell>
          <cell r="U2312" t="str">
            <v>82007ANKA SERVICESScratch 20 000</v>
          </cell>
          <cell r="V2312" t="str">
            <v>39307Scratch 20 000</v>
          </cell>
          <cell r="W2312" t="str">
            <v>2007ANKA SERVICES</v>
          </cell>
          <cell r="X2312" t="str">
            <v>2007ANKA SERVICESScratch 20 000</v>
          </cell>
        </row>
        <row r="2313">
          <cell r="I2313">
            <v>2007</v>
          </cell>
          <cell r="J2313" t="str">
            <v>ANKA SERVICESScratch 10 000</v>
          </cell>
          <cell r="L2313">
            <v>0</v>
          </cell>
          <cell r="M2313" t="str">
            <v>ANKA SERVICES</v>
          </cell>
          <cell r="N2313" t="str">
            <v>ANKA SERVICESScratch 10 000</v>
          </cell>
          <cell r="O2313" t="str">
            <v>ANKA SERVICES</v>
          </cell>
          <cell r="P2313" t="str">
            <v>Scratch 10 000</v>
          </cell>
          <cell r="Q2313" t="str">
            <v>82007</v>
          </cell>
          <cell r="R2313" t="str">
            <v>82007Scratch 10 000</v>
          </cell>
          <cell r="S2313" t="str">
            <v>2007Scratch 10 000</v>
          </cell>
          <cell r="T2313" t="str">
            <v>82007ANKA SERVICES</v>
          </cell>
          <cell r="U2313" t="str">
            <v>82007ANKA SERVICESScratch 10 000</v>
          </cell>
          <cell r="V2313" t="str">
            <v>39307Scratch 10 000</v>
          </cell>
          <cell r="W2313" t="str">
            <v>2007ANKA SERVICES</v>
          </cell>
          <cell r="X2313" t="str">
            <v>2007ANKA SERVICESScratch 10 000</v>
          </cell>
        </row>
        <row r="2314">
          <cell r="I2314">
            <v>2007</v>
          </cell>
          <cell r="J2314" t="str">
            <v>ANKA SERVICESScratch 5 000</v>
          </cell>
          <cell r="L2314">
            <v>0</v>
          </cell>
          <cell r="M2314" t="str">
            <v>ANKA SERVICES</v>
          </cell>
          <cell r="N2314" t="str">
            <v>ANKA SERVICESScratch 5 000</v>
          </cell>
          <cell r="O2314" t="str">
            <v>ANKA SERVICES</v>
          </cell>
          <cell r="P2314" t="str">
            <v>Scratch 5 000</v>
          </cell>
          <cell r="Q2314" t="str">
            <v>82007</v>
          </cell>
          <cell r="R2314" t="str">
            <v>82007Scratch 5 000</v>
          </cell>
          <cell r="S2314" t="str">
            <v>2007Scratch 5 000</v>
          </cell>
          <cell r="T2314" t="str">
            <v>82007ANKA SERVICES</v>
          </cell>
          <cell r="U2314" t="str">
            <v>82007ANKA SERVICESScratch 5 000</v>
          </cell>
          <cell r="V2314" t="str">
            <v>39307Scratch 5 000</v>
          </cell>
          <cell r="W2314" t="str">
            <v>2007ANKA SERVICES</v>
          </cell>
          <cell r="X2314" t="str">
            <v>2007ANKA SERVICESScratch 5 000</v>
          </cell>
        </row>
        <row r="2315">
          <cell r="I2315">
            <v>2007</v>
          </cell>
          <cell r="J2315" t="str">
            <v>ANKA SERVICESScratch 2 000</v>
          </cell>
          <cell r="L2315">
            <v>0</v>
          </cell>
          <cell r="M2315" t="str">
            <v>ANKA SERVICES</v>
          </cell>
          <cell r="N2315" t="str">
            <v>ANKA SERVICESScratch 2 000</v>
          </cell>
          <cell r="O2315" t="str">
            <v>ANKA SERVICES</v>
          </cell>
          <cell r="P2315" t="str">
            <v>Scratch 2 000</v>
          </cell>
          <cell r="Q2315" t="str">
            <v>82007</v>
          </cell>
          <cell r="R2315" t="str">
            <v>82007Scratch 2 000</v>
          </cell>
          <cell r="S2315" t="str">
            <v>2007Scratch 2 000</v>
          </cell>
          <cell r="T2315" t="str">
            <v>82007ANKA SERVICES</v>
          </cell>
          <cell r="U2315" t="str">
            <v>82007ANKA SERVICESScratch 2 000</v>
          </cell>
          <cell r="V2315" t="str">
            <v>39307Scratch 2 000</v>
          </cell>
          <cell r="W2315" t="str">
            <v>2007ANKA SERVICES</v>
          </cell>
          <cell r="X2315" t="str">
            <v>2007ANKA SERVICESScratch 2 000</v>
          </cell>
        </row>
        <row r="2316">
          <cell r="I2316">
            <v>2007</v>
          </cell>
          <cell r="J2316" t="str">
            <v>ANKA SERVICESScratch 1 000</v>
          </cell>
          <cell r="L2316">
            <v>0</v>
          </cell>
          <cell r="M2316" t="str">
            <v>ANKA SERVICES</v>
          </cell>
          <cell r="N2316" t="str">
            <v>ANKA SERVICESScratch 1 000</v>
          </cell>
          <cell r="O2316" t="str">
            <v>ANKA SERVICES</v>
          </cell>
          <cell r="P2316" t="str">
            <v>Scratch 1 000</v>
          </cell>
          <cell r="Q2316" t="str">
            <v>82007</v>
          </cell>
          <cell r="R2316" t="str">
            <v>82007Scratch 1 000</v>
          </cell>
          <cell r="S2316" t="str">
            <v>2007Scratch 1 000</v>
          </cell>
          <cell r="T2316" t="str">
            <v>82007ANKA SERVICES</v>
          </cell>
          <cell r="U2316" t="str">
            <v>82007ANKA SERVICESScratch 1 000</v>
          </cell>
          <cell r="V2316" t="str">
            <v>39307Scratch 1 000</v>
          </cell>
          <cell r="W2316" t="str">
            <v>2007ANKA SERVICES</v>
          </cell>
          <cell r="X2316" t="str">
            <v>2007ANKA SERVICESScratch 1 000</v>
          </cell>
        </row>
        <row r="2317">
          <cell r="I2317">
            <v>2007</v>
          </cell>
          <cell r="J2317" t="str">
            <v>MALI COM SarlScratch 5 000</v>
          </cell>
          <cell r="L2317">
            <v>1</v>
          </cell>
          <cell r="M2317" t="str">
            <v>1MALI COM Sarl</v>
          </cell>
          <cell r="N2317" t="str">
            <v>MALI COM SarlScratch 5 000</v>
          </cell>
          <cell r="O2317" t="str">
            <v>MALI COM Sarl</v>
          </cell>
          <cell r="P2317" t="str">
            <v>Scratch 5 000</v>
          </cell>
          <cell r="Q2317" t="str">
            <v>82007</v>
          </cell>
          <cell r="R2317" t="str">
            <v>82007Scratch 5 000</v>
          </cell>
          <cell r="S2317" t="str">
            <v>2007Scratch 5 000</v>
          </cell>
          <cell r="T2317" t="str">
            <v>82007MALI COM Sarl</v>
          </cell>
          <cell r="U2317" t="str">
            <v>82007MALI COM SarlScratch 5 000</v>
          </cell>
          <cell r="V2317" t="str">
            <v>39307Scratch 5 000</v>
          </cell>
          <cell r="W2317" t="str">
            <v>2007MALI COM Sarl</v>
          </cell>
          <cell r="X2317" t="str">
            <v>2007MALI COM SarlScratch 5 000</v>
          </cell>
        </row>
        <row r="2318">
          <cell r="I2318">
            <v>2007</v>
          </cell>
          <cell r="J2318" t="str">
            <v>MALI COM SarlScratch 2 000</v>
          </cell>
          <cell r="L2318">
            <v>0</v>
          </cell>
          <cell r="M2318" t="str">
            <v>MALI COM Sarl</v>
          </cell>
          <cell r="N2318" t="str">
            <v>MALI COM SarlScratch 2 000</v>
          </cell>
          <cell r="O2318" t="str">
            <v>MALI COM Sarl</v>
          </cell>
          <cell r="P2318" t="str">
            <v>Scratch 2 000</v>
          </cell>
          <cell r="Q2318" t="str">
            <v>82007</v>
          </cell>
          <cell r="R2318" t="str">
            <v>82007Scratch 2 000</v>
          </cell>
          <cell r="S2318" t="str">
            <v>2007Scratch 2 000</v>
          </cell>
          <cell r="T2318" t="str">
            <v>82007MALI COM Sarl</v>
          </cell>
          <cell r="U2318" t="str">
            <v>82007MALI COM SarlScratch 2 000</v>
          </cell>
          <cell r="V2318" t="str">
            <v>39307Scratch 2 000</v>
          </cell>
          <cell r="W2318" t="str">
            <v>2007MALI COM Sarl</v>
          </cell>
          <cell r="X2318" t="str">
            <v>2007MALI COM SarlScratch 2 000</v>
          </cell>
        </row>
        <row r="2319">
          <cell r="I2319">
            <v>2007</v>
          </cell>
          <cell r="J2319" t="str">
            <v>MALI COM SarlScratch 1 000</v>
          </cell>
          <cell r="L2319">
            <v>0</v>
          </cell>
          <cell r="M2319" t="str">
            <v>MALI COM Sarl</v>
          </cell>
          <cell r="N2319" t="str">
            <v>MALI COM SarlScratch 1 000</v>
          </cell>
          <cell r="O2319" t="str">
            <v>MALI COM Sarl</v>
          </cell>
          <cell r="P2319" t="str">
            <v>Scratch 1 000</v>
          </cell>
          <cell r="Q2319" t="str">
            <v>82007</v>
          </cell>
          <cell r="R2319" t="str">
            <v>82007Scratch 1 000</v>
          </cell>
          <cell r="S2319" t="str">
            <v>2007Scratch 1 000</v>
          </cell>
          <cell r="T2319" t="str">
            <v>82007MALI COM Sarl</v>
          </cell>
          <cell r="U2319" t="str">
            <v>82007MALI COM SarlScratch 1 000</v>
          </cell>
          <cell r="V2319" t="str">
            <v>39307Scratch 1 000</v>
          </cell>
          <cell r="W2319" t="str">
            <v>2007MALI COM Sarl</v>
          </cell>
          <cell r="X2319" t="str">
            <v>2007MALI COM SarlScratch 1 000</v>
          </cell>
        </row>
        <row r="2320">
          <cell r="I2320">
            <v>2007</v>
          </cell>
          <cell r="J2320" t="str">
            <v>Bonneterie Nouvelle TelecomScratch 10 000</v>
          </cell>
          <cell r="L2320">
            <v>1</v>
          </cell>
          <cell r="M2320" t="str">
            <v>1Bonneterie Nouvelle Telecom</v>
          </cell>
          <cell r="N2320" t="str">
            <v>Bonneterie Nouvelle TelecomScratch 10 000</v>
          </cell>
          <cell r="O2320" t="str">
            <v>Bonneterie Nouvelle Telecom</v>
          </cell>
          <cell r="P2320" t="str">
            <v>Scratch 10 000</v>
          </cell>
          <cell r="Q2320" t="str">
            <v>82007</v>
          </cell>
          <cell r="R2320" t="str">
            <v>82007Scratch 10 000</v>
          </cell>
          <cell r="S2320" t="str">
            <v>2007Scratch 10 000</v>
          </cell>
          <cell r="T2320" t="str">
            <v>82007Bonneterie Nouvelle Telecom</v>
          </cell>
          <cell r="U2320" t="str">
            <v>82007Bonneterie Nouvelle TelecomScratch 10 000</v>
          </cell>
          <cell r="V2320" t="str">
            <v>39307Scratch 10 000</v>
          </cell>
          <cell r="W2320" t="str">
            <v>2007Bonneterie Nouvelle Telecom</v>
          </cell>
          <cell r="X2320" t="str">
            <v>2007Bonneterie Nouvelle TelecomScratch 10 000</v>
          </cell>
        </row>
        <row r="2321">
          <cell r="I2321">
            <v>2007</v>
          </cell>
          <cell r="J2321" t="str">
            <v>Bonneterie Nouvelle TelecomScratch 5 000</v>
          </cell>
          <cell r="L2321">
            <v>0</v>
          </cell>
          <cell r="M2321" t="str">
            <v>Bonneterie Nouvelle Telecom</v>
          </cell>
          <cell r="N2321" t="str">
            <v>Bonneterie Nouvelle TelecomScratch 5 000</v>
          </cell>
          <cell r="O2321" t="str">
            <v>Bonneterie Nouvelle Telecom</v>
          </cell>
          <cell r="P2321" t="str">
            <v>Scratch 5 000</v>
          </cell>
          <cell r="Q2321" t="str">
            <v>82007</v>
          </cell>
          <cell r="R2321" t="str">
            <v>82007Scratch 5 000</v>
          </cell>
          <cell r="S2321" t="str">
            <v>2007Scratch 5 000</v>
          </cell>
          <cell r="T2321" t="str">
            <v>82007Bonneterie Nouvelle Telecom</v>
          </cell>
          <cell r="U2321" t="str">
            <v>82007Bonneterie Nouvelle TelecomScratch 5 000</v>
          </cell>
          <cell r="V2321" t="str">
            <v>39307Scratch 5 000</v>
          </cell>
          <cell r="W2321" t="str">
            <v>2007Bonneterie Nouvelle Telecom</v>
          </cell>
          <cell r="X2321" t="str">
            <v>2007Bonneterie Nouvelle TelecomScratch 5 000</v>
          </cell>
        </row>
        <row r="2322">
          <cell r="I2322">
            <v>2007</v>
          </cell>
          <cell r="J2322" t="str">
            <v>Bonneterie Nouvelle TelecomScratch 2 000</v>
          </cell>
          <cell r="L2322">
            <v>0</v>
          </cell>
          <cell r="M2322" t="str">
            <v>Bonneterie Nouvelle Telecom</v>
          </cell>
          <cell r="N2322" t="str">
            <v>Bonneterie Nouvelle TelecomScratch 2 000</v>
          </cell>
          <cell r="O2322" t="str">
            <v>Bonneterie Nouvelle Telecom</v>
          </cell>
          <cell r="P2322" t="str">
            <v>Scratch 2 000</v>
          </cell>
          <cell r="Q2322" t="str">
            <v>82007</v>
          </cell>
          <cell r="R2322" t="str">
            <v>82007Scratch 2 000</v>
          </cell>
          <cell r="S2322" t="str">
            <v>2007Scratch 2 000</v>
          </cell>
          <cell r="T2322" t="str">
            <v>82007Bonneterie Nouvelle Telecom</v>
          </cell>
          <cell r="U2322" t="str">
            <v>82007Bonneterie Nouvelle TelecomScratch 2 000</v>
          </cell>
          <cell r="V2322" t="str">
            <v>39307Scratch 2 000</v>
          </cell>
          <cell r="W2322" t="str">
            <v>2007Bonneterie Nouvelle Telecom</v>
          </cell>
          <cell r="X2322" t="str">
            <v>2007Bonneterie Nouvelle TelecomScratch 2 000</v>
          </cell>
        </row>
        <row r="2323">
          <cell r="I2323">
            <v>2007</v>
          </cell>
          <cell r="J2323" t="str">
            <v>Bonneterie Nouvelle TelecomScratch 1 000</v>
          </cell>
          <cell r="L2323">
            <v>0</v>
          </cell>
          <cell r="M2323" t="str">
            <v>Bonneterie Nouvelle Telecom</v>
          </cell>
          <cell r="N2323" t="str">
            <v>Bonneterie Nouvelle TelecomScratch 1 000</v>
          </cell>
          <cell r="O2323" t="str">
            <v>Bonneterie Nouvelle Telecom</v>
          </cell>
          <cell r="P2323" t="str">
            <v>Scratch 1 000</v>
          </cell>
          <cell r="Q2323" t="str">
            <v>82007</v>
          </cell>
          <cell r="R2323" t="str">
            <v>82007Scratch 1 000</v>
          </cell>
          <cell r="S2323" t="str">
            <v>2007Scratch 1 000</v>
          </cell>
          <cell r="T2323" t="str">
            <v>82007Bonneterie Nouvelle Telecom</v>
          </cell>
          <cell r="U2323" t="str">
            <v>82007Bonneterie Nouvelle TelecomScratch 1 000</v>
          </cell>
          <cell r="V2323" t="str">
            <v>39307Scratch 1 000</v>
          </cell>
          <cell r="W2323" t="str">
            <v>2007Bonneterie Nouvelle Telecom</v>
          </cell>
          <cell r="X2323" t="str">
            <v>2007Bonneterie Nouvelle TelecomScratch 1 000</v>
          </cell>
        </row>
        <row r="2324">
          <cell r="I2324">
            <v>2007</v>
          </cell>
          <cell r="J2324" t="str">
            <v>GEMATELScratch 20 000</v>
          </cell>
          <cell r="L2324">
            <v>1</v>
          </cell>
          <cell r="M2324" t="str">
            <v>1GEMATEL</v>
          </cell>
          <cell r="N2324" t="str">
            <v>GEMATELScratch 20 000</v>
          </cell>
          <cell r="O2324" t="str">
            <v>GEMATEL</v>
          </cell>
          <cell r="P2324" t="str">
            <v>Scratch 20 000</v>
          </cell>
          <cell r="Q2324" t="str">
            <v>82007</v>
          </cell>
          <cell r="R2324" t="str">
            <v>82007Scratch 20 000</v>
          </cell>
          <cell r="S2324" t="str">
            <v>2007Scratch 20 000</v>
          </cell>
          <cell r="T2324" t="str">
            <v>82007GEMATEL</v>
          </cell>
          <cell r="U2324" t="str">
            <v>82007GEMATELScratch 20 000</v>
          </cell>
          <cell r="V2324" t="str">
            <v>39307Scratch 20 000</v>
          </cell>
          <cell r="W2324" t="str">
            <v>2007GEMATEL</v>
          </cell>
          <cell r="X2324" t="str">
            <v>2007GEMATELScratch 20 000</v>
          </cell>
        </row>
        <row r="2325">
          <cell r="I2325">
            <v>2007</v>
          </cell>
          <cell r="J2325" t="str">
            <v>GEMATELScratch 10 000</v>
          </cell>
          <cell r="L2325">
            <v>0</v>
          </cell>
          <cell r="M2325" t="str">
            <v>GEMATEL</v>
          </cell>
          <cell r="N2325" t="str">
            <v>GEMATELScratch 10 000</v>
          </cell>
          <cell r="O2325" t="str">
            <v>GEMATEL</v>
          </cell>
          <cell r="P2325" t="str">
            <v>Scratch 10 000</v>
          </cell>
          <cell r="Q2325" t="str">
            <v>82007</v>
          </cell>
          <cell r="R2325" t="str">
            <v>82007Scratch 10 000</v>
          </cell>
          <cell r="S2325" t="str">
            <v>2007Scratch 10 000</v>
          </cell>
          <cell r="T2325" t="str">
            <v>82007GEMATEL</v>
          </cell>
          <cell r="U2325" t="str">
            <v>82007GEMATELScratch 10 000</v>
          </cell>
          <cell r="V2325" t="str">
            <v>39307Scratch 10 000</v>
          </cell>
          <cell r="W2325" t="str">
            <v>2007GEMATEL</v>
          </cell>
          <cell r="X2325" t="str">
            <v>2007GEMATELScratch 10 000</v>
          </cell>
        </row>
        <row r="2326">
          <cell r="I2326">
            <v>2007</v>
          </cell>
          <cell r="J2326" t="str">
            <v>GEMATELScratch 5 000</v>
          </cell>
          <cell r="L2326">
            <v>0</v>
          </cell>
          <cell r="M2326" t="str">
            <v>GEMATEL</v>
          </cell>
          <cell r="N2326" t="str">
            <v>GEMATELScratch 5 000</v>
          </cell>
          <cell r="O2326" t="str">
            <v>GEMATEL</v>
          </cell>
          <cell r="P2326" t="str">
            <v>Scratch 5 000</v>
          </cell>
          <cell r="Q2326" t="str">
            <v>82007</v>
          </cell>
          <cell r="R2326" t="str">
            <v>82007Scratch 5 000</v>
          </cell>
          <cell r="S2326" t="str">
            <v>2007Scratch 5 000</v>
          </cell>
          <cell r="T2326" t="str">
            <v>82007GEMATEL</v>
          </cell>
          <cell r="U2326" t="str">
            <v>82007GEMATELScratch 5 000</v>
          </cell>
          <cell r="V2326" t="str">
            <v>39307Scratch 5 000</v>
          </cell>
          <cell r="W2326" t="str">
            <v>2007GEMATEL</v>
          </cell>
          <cell r="X2326" t="str">
            <v>2007GEMATELScratch 5 000</v>
          </cell>
        </row>
        <row r="2327">
          <cell r="I2327">
            <v>2007</v>
          </cell>
          <cell r="J2327" t="str">
            <v>GEMATELScratch 2 000</v>
          </cell>
          <cell r="L2327">
            <v>0</v>
          </cell>
          <cell r="M2327" t="str">
            <v>GEMATEL</v>
          </cell>
          <cell r="N2327" t="str">
            <v>GEMATELScratch 2 000</v>
          </cell>
          <cell r="O2327" t="str">
            <v>GEMATEL</v>
          </cell>
          <cell r="P2327" t="str">
            <v>Scratch 2 000</v>
          </cell>
          <cell r="Q2327" t="str">
            <v>82007</v>
          </cell>
          <cell r="R2327" t="str">
            <v>82007Scratch 2 000</v>
          </cell>
          <cell r="S2327" t="str">
            <v>2007Scratch 2 000</v>
          </cell>
          <cell r="T2327" t="str">
            <v>82007GEMATEL</v>
          </cell>
          <cell r="U2327" t="str">
            <v>82007GEMATELScratch 2 000</v>
          </cell>
          <cell r="V2327" t="str">
            <v>39307Scratch 2 000</v>
          </cell>
          <cell r="W2327" t="str">
            <v>2007GEMATEL</v>
          </cell>
          <cell r="X2327" t="str">
            <v>2007GEMATELScratch 2 000</v>
          </cell>
        </row>
        <row r="2328">
          <cell r="I2328">
            <v>2007</v>
          </cell>
          <cell r="J2328" t="str">
            <v>GEMATELScratch 1 000</v>
          </cell>
          <cell r="L2328">
            <v>0</v>
          </cell>
          <cell r="M2328" t="str">
            <v>GEMATEL</v>
          </cell>
          <cell r="N2328" t="str">
            <v>GEMATELScratch 1 000</v>
          </cell>
          <cell r="O2328" t="str">
            <v>GEMATEL</v>
          </cell>
          <cell r="P2328" t="str">
            <v>Scratch 1 000</v>
          </cell>
          <cell r="Q2328" t="str">
            <v>82007</v>
          </cell>
          <cell r="R2328" t="str">
            <v>82007Scratch 1 000</v>
          </cell>
          <cell r="S2328" t="str">
            <v>2007Scratch 1 000</v>
          </cell>
          <cell r="T2328" t="str">
            <v>82007GEMATEL</v>
          </cell>
          <cell r="U2328" t="str">
            <v>82007GEMATELScratch 1 000</v>
          </cell>
          <cell r="V2328" t="str">
            <v>39307Scratch 1 000</v>
          </cell>
          <cell r="W2328" t="str">
            <v>2007GEMATEL</v>
          </cell>
          <cell r="X2328" t="str">
            <v>2007GEMATELScratch 1 000</v>
          </cell>
        </row>
        <row r="2329">
          <cell r="I2329">
            <v>2007</v>
          </cell>
          <cell r="J2329" t="str">
            <v>Burtel MacsymScratch 5 000</v>
          </cell>
          <cell r="L2329">
            <v>1</v>
          </cell>
          <cell r="M2329" t="str">
            <v>1Burtel Macsym</v>
          </cell>
          <cell r="N2329" t="str">
            <v>Burtel MacsymScratch 5 000</v>
          </cell>
          <cell r="O2329" t="str">
            <v>Burtel Macsym</v>
          </cell>
          <cell r="P2329" t="str">
            <v>Scratch 5 000</v>
          </cell>
          <cell r="Q2329" t="str">
            <v>82007</v>
          </cell>
          <cell r="R2329" t="str">
            <v>82007Scratch 5 000</v>
          </cell>
          <cell r="S2329" t="str">
            <v>2007Scratch 5 000</v>
          </cell>
          <cell r="T2329" t="str">
            <v>82007Burtel Macsym</v>
          </cell>
          <cell r="U2329" t="str">
            <v>82007Burtel MacsymScratch 5 000</v>
          </cell>
          <cell r="V2329" t="str">
            <v>39308Scratch 5 000</v>
          </cell>
          <cell r="W2329" t="str">
            <v>2007Burtel Macsym</v>
          </cell>
          <cell r="X2329" t="str">
            <v>2007Burtel MacsymScratch 5 000</v>
          </cell>
        </row>
        <row r="2330">
          <cell r="I2330">
            <v>2007</v>
          </cell>
          <cell r="J2330" t="str">
            <v>Burtel MacsymScratch 2 000</v>
          </cell>
          <cell r="L2330">
            <v>0</v>
          </cell>
          <cell r="M2330" t="str">
            <v>Burtel Macsym</v>
          </cell>
          <cell r="N2330" t="str">
            <v>Burtel MacsymScratch 2 000</v>
          </cell>
          <cell r="O2330" t="str">
            <v>Burtel Macsym</v>
          </cell>
          <cell r="P2330" t="str">
            <v>Scratch 2 000</v>
          </cell>
          <cell r="Q2330" t="str">
            <v>82007</v>
          </cell>
          <cell r="R2330" t="str">
            <v>82007Scratch 2 000</v>
          </cell>
          <cell r="S2330" t="str">
            <v>2007Scratch 2 000</v>
          </cell>
          <cell r="T2330" t="str">
            <v>82007Burtel Macsym</v>
          </cell>
          <cell r="U2330" t="str">
            <v>82007Burtel MacsymScratch 2 000</v>
          </cell>
          <cell r="V2330" t="str">
            <v>39308Scratch 2 000</v>
          </cell>
          <cell r="W2330" t="str">
            <v>2007Burtel Macsym</v>
          </cell>
          <cell r="X2330" t="str">
            <v>2007Burtel MacsymScratch 2 000</v>
          </cell>
        </row>
        <row r="2331">
          <cell r="I2331">
            <v>2007</v>
          </cell>
          <cell r="J2331" t="str">
            <v>Burtel MacsymScratch 1 000</v>
          </cell>
          <cell r="L2331">
            <v>0</v>
          </cell>
          <cell r="M2331" t="str">
            <v>Burtel Macsym</v>
          </cell>
          <cell r="N2331" t="str">
            <v>Burtel MacsymScratch 1 000</v>
          </cell>
          <cell r="O2331" t="str">
            <v>Burtel Macsym</v>
          </cell>
          <cell r="P2331" t="str">
            <v>Scratch 1 000</v>
          </cell>
          <cell r="Q2331" t="str">
            <v>82007</v>
          </cell>
          <cell r="R2331" t="str">
            <v>82007Scratch 1 000</v>
          </cell>
          <cell r="S2331" t="str">
            <v>2007Scratch 1 000</v>
          </cell>
          <cell r="T2331" t="str">
            <v>82007Burtel Macsym</v>
          </cell>
          <cell r="U2331" t="str">
            <v>82007Burtel MacsymScratch 1 000</v>
          </cell>
          <cell r="V2331" t="str">
            <v>39308Scratch 1 000</v>
          </cell>
          <cell r="W2331" t="str">
            <v>2007Burtel Macsym</v>
          </cell>
          <cell r="X2331" t="str">
            <v>2007Burtel MacsymScratch 1 000</v>
          </cell>
        </row>
        <row r="2332">
          <cell r="I2332">
            <v>2007</v>
          </cell>
          <cell r="J2332" t="str">
            <v>GEMATELScratch 20 000</v>
          </cell>
          <cell r="L2332">
            <v>1</v>
          </cell>
          <cell r="M2332" t="str">
            <v>1GEMATEL</v>
          </cell>
          <cell r="N2332" t="str">
            <v>GEMATELScratch 20 000</v>
          </cell>
          <cell r="O2332" t="str">
            <v>GEMATEL</v>
          </cell>
          <cell r="P2332" t="str">
            <v>Scratch 20 000</v>
          </cell>
          <cell r="Q2332" t="str">
            <v>82007</v>
          </cell>
          <cell r="R2332" t="str">
            <v>82007Scratch 20 000</v>
          </cell>
          <cell r="S2332" t="str">
            <v>2007Scratch 20 000</v>
          </cell>
          <cell r="T2332" t="str">
            <v>82007GEMATEL</v>
          </cell>
          <cell r="U2332" t="str">
            <v>82007GEMATELScratch 20 000</v>
          </cell>
          <cell r="V2332" t="str">
            <v>39308Scratch 20 000</v>
          </cell>
          <cell r="W2332" t="str">
            <v>2007GEMATEL</v>
          </cell>
          <cell r="X2332" t="str">
            <v>2007GEMATELScratch 20 000</v>
          </cell>
        </row>
        <row r="2333">
          <cell r="I2333">
            <v>2007</v>
          </cell>
          <cell r="J2333" t="str">
            <v>GEMATELScratch 10 000</v>
          </cell>
          <cell r="L2333">
            <v>0</v>
          </cell>
          <cell r="M2333" t="str">
            <v>GEMATEL</v>
          </cell>
          <cell r="N2333" t="str">
            <v>GEMATELScratch 10 000</v>
          </cell>
          <cell r="O2333" t="str">
            <v>GEMATEL</v>
          </cell>
          <cell r="P2333" t="str">
            <v>Scratch 10 000</v>
          </cell>
          <cell r="Q2333" t="str">
            <v>82007</v>
          </cell>
          <cell r="R2333" t="str">
            <v>82007Scratch 10 000</v>
          </cell>
          <cell r="S2333" t="str">
            <v>2007Scratch 10 000</v>
          </cell>
          <cell r="T2333" t="str">
            <v>82007GEMATEL</v>
          </cell>
          <cell r="U2333" t="str">
            <v>82007GEMATELScratch 10 000</v>
          </cell>
          <cell r="V2333" t="str">
            <v>39308Scratch 10 000</v>
          </cell>
          <cell r="W2333" t="str">
            <v>2007GEMATEL</v>
          </cell>
          <cell r="X2333" t="str">
            <v>2007GEMATELScratch 10 000</v>
          </cell>
        </row>
        <row r="2334">
          <cell r="I2334">
            <v>2007</v>
          </cell>
          <cell r="J2334" t="str">
            <v>GEMATELScratch 5 000</v>
          </cell>
          <cell r="L2334">
            <v>0</v>
          </cell>
          <cell r="M2334" t="str">
            <v>GEMATEL</v>
          </cell>
          <cell r="N2334" t="str">
            <v>GEMATELScratch 5 000</v>
          </cell>
          <cell r="O2334" t="str">
            <v>GEMATEL</v>
          </cell>
          <cell r="P2334" t="str">
            <v>Scratch 5 000</v>
          </cell>
          <cell r="Q2334" t="str">
            <v>82007</v>
          </cell>
          <cell r="R2334" t="str">
            <v>82007Scratch 5 000</v>
          </cell>
          <cell r="S2334" t="str">
            <v>2007Scratch 5 000</v>
          </cell>
          <cell r="T2334" t="str">
            <v>82007GEMATEL</v>
          </cell>
          <cell r="U2334" t="str">
            <v>82007GEMATELScratch 5 000</v>
          </cell>
          <cell r="V2334" t="str">
            <v>39308Scratch 5 000</v>
          </cell>
          <cell r="W2334" t="str">
            <v>2007GEMATEL</v>
          </cell>
          <cell r="X2334" t="str">
            <v>2007GEMATELScratch 5 000</v>
          </cell>
        </row>
        <row r="2335">
          <cell r="I2335">
            <v>2007</v>
          </cell>
          <cell r="J2335" t="str">
            <v>GEMATELScratch 2 000</v>
          </cell>
          <cell r="L2335">
            <v>0</v>
          </cell>
          <cell r="M2335" t="str">
            <v>GEMATEL</v>
          </cell>
          <cell r="N2335" t="str">
            <v>GEMATELScratch 2 000</v>
          </cell>
          <cell r="O2335" t="str">
            <v>GEMATEL</v>
          </cell>
          <cell r="P2335" t="str">
            <v>Scratch 2 000</v>
          </cell>
          <cell r="Q2335" t="str">
            <v>82007</v>
          </cell>
          <cell r="R2335" t="str">
            <v>82007Scratch 2 000</v>
          </cell>
          <cell r="S2335" t="str">
            <v>2007Scratch 2 000</v>
          </cell>
          <cell r="T2335" t="str">
            <v>82007GEMATEL</v>
          </cell>
          <cell r="U2335" t="str">
            <v>82007GEMATELScratch 2 000</v>
          </cell>
          <cell r="V2335" t="str">
            <v>39308Scratch 2 000</v>
          </cell>
          <cell r="W2335" t="str">
            <v>2007GEMATEL</v>
          </cell>
          <cell r="X2335" t="str">
            <v>2007GEMATELScratch 2 000</v>
          </cell>
        </row>
        <row r="2336">
          <cell r="I2336">
            <v>2007</v>
          </cell>
          <cell r="J2336" t="str">
            <v>GEMATELScratch 1 000</v>
          </cell>
          <cell r="L2336">
            <v>0</v>
          </cell>
          <cell r="M2336" t="str">
            <v>GEMATEL</v>
          </cell>
          <cell r="N2336" t="str">
            <v>GEMATELScratch 1 000</v>
          </cell>
          <cell r="O2336" t="str">
            <v>GEMATEL</v>
          </cell>
          <cell r="P2336" t="str">
            <v>Scratch 1 000</v>
          </cell>
          <cell r="Q2336" t="str">
            <v>82007</v>
          </cell>
          <cell r="R2336" t="str">
            <v>82007Scratch 1 000</v>
          </cell>
          <cell r="S2336" t="str">
            <v>2007Scratch 1 000</v>
          </cell>
          <cell r="T2336" t="str">
            <v>82007GEMATEL</v>
          </cell>
          <cell r="U2336" t="str">
            <v>82007GEMATELScratch 1 000</v>
          </cell>
          <cell r="V2336" t="str">
            <v>39308Scratch 1 000</v>
          </cell>
          <cell r="W2336" t="str">
            <v>2007GEMATEL</v>
          </cell>
          <cell r="X2336" t="str">
            <v>2007GEMATELScratch 1 000</v>
          </cell>
        </row>
        <row r="2337">
          <cell r="I2337">
            <v>2007</v>
          </cell>
          <cell r="J2337" t="str">
            <v>STS GAMBY &amp; FRERES (SOGAF) SarlScratch 5 000</v>
          </cell>
          <cell r="L2337">
            <v>1</v>
          </cell>
          <cell r="M2337" t="str">
            <v>1STS GAMBY &amp; FRERES (SOGAF) Sarl</v>
          </cell>
          <cell r="N2337" t="str">
            <v>STS GAMBY &amp; FRERES (SOGAF) SarlScratch 5 000</v>
          </cell>
          <cell r="O2337" t="str">
            <v>STS GAMBY &amp; FRERES (SOGAF) Sarl</v>
          </cell>
          <cell r="P2337" t="str">
            <v>Scratch 5 000</v>
          </cell>
          <cell r="Q2337" t="str">
            <v>82007</v>
          </cell>
          <cell r="R2337" t="str">
            <v>82007Scratch 5 000</v>
          </cell>
          <cell r="S2337" t="str">
            <v>2007Scratch 5 000</v>
          </cell>
          <cell r="T2337" t="str">
            <v>82007STS GAMBY &amp; FRERES (SOGAF) Sarl</v>
          </cell>
          <cell r="U2337" t="str">
            <v>82007STS GAMBY &amp; FRERES (SOGAF) SarlScratch 5 000</v>
          </cell>
          <cell r="V2337" t="str">
            <v>39308Scratch 5 000</v>
          </cell>
          <cell r="W2337" t="str">
            <v>2007STS GAMBY &amp; FRERES (SOGAF) Sarl</v>
          </cell>
          <cell r="X2337" t="str">
            <v>2007STS GAMBY &amp; FRERES (SOGAF) SarlScratch 5 000</v>
          </cell>
        </row>
        <row r="2338">
          <cell r="I2338">
            <v>2007</v>
          </cell>
          <cell r="J2338" t="str">
            <v>STS GAMBY &amp; FRERES (SOGAF) SarlScratch 2 000</v>
          </cell>
          <cell r="L2338">
            <v>0</v>
          </cell>
          <cell r="M2338" t="str">
            <v>STS GAMBY &amp; FRERES (SOGAF) Sarl</v>
          </cell>
          <cell r="N2338" t="str">
            <v>STS GAMBY &amp; FRERES (SOGAF) SarlScratch 2 000</v>
          </cell>
          <cell r="O2338" t="str">
            <v>STS GAMBY &amp; FRERES (SOGAF) Sarl</v>
          </cell>
          <cell r="P2338" t="str">
            <v>Scratch 2 000</v>
          </cell>
          <cell r="Q2338" t="str">
            <v>82007</v>
          </cell>
          <cell r="R2338" t="str">
            <v>82007Scratch 2 000</v>
          </cell>
          <cell r="S2338" t="str">
            <v>2007Scratch 2 000</v>
          </cell>
          <cell r="T2338" t="str">
            <v>82007STS GAMBY &amp; FRERES (SOGAF) Sarl</v>
          </cell>
          <cell r="U2338" t="str">
            <v>82007STS GAMBY &amp; FRERES (SOGAF) SarlScratch 2 000</v>
          </cell>
          <cell r="V2338" t="str">
            <v>39308Scratch 2 000</v>
          </cell>
          <cell r="W2338" t="str">
            <v>2007STS GAMBY &amp; FRERES (SOGAF) Sarl</v>
          </cell>
          <cell r="X2338" t="str">
            <v>2007STS GAMBY &amp; FRERES (SOGAF) SarlScratch 2 000</v>
          </cell>
        </row>
        <row r="2339">
          <cell r="I2339">
            <v>2007</v>
          </cell>
          <cell r="J2339" t="str">
            <v>STS GAMBY &amp; FRERES (SOGAF) SarlScratch 1 000</v>
          </cell>
          <cell r="L2339">
            <v>0</v>
          </cell>
          <cell r="M2339" t="str">
            <v>STS GAMBY &amp; FRERES (SOGAF) Sarl</v>
          </cell>
          <cell r="N2339" t="str">
            <v>STS GAMBY &amp; FRERES (SOGAF) SarlScratch 1 000</v>
          </cell>
          <cell r="O2339" t="str">
            <v>STS GAMBY &amp; FRERES (SOGAF) Sarl</v>
          </cell>
          <cell r="P2339" t="str">
            <v>Scratch 1 000</v>
          </cell>
          <cell r="Q2339" t="str">
            <v>82007</v>
          </cell>
          <cell r="R2339" t="str">
            <v>82007Scratch 1 000</v>
          </cell>
          <cell r="S2339" t="str">
            <v>2007Scratch 1 000</v>
          </cell>
          <cell r="T2339" t="str">
            <v>82007STS GAMBY &amp; FRERES (SOGAF) Sarl</v>
          </cell>
          <cell r="U2339" t="str">
            <v>82007STS GAMBY &amp; FRERES (SOGAF) SarlScratch 1 000</v>
          </cell>
          <cell r="V2339" t="str">
            <v>39308Scratch 1 000</v>
          </cell>
          <cell r="W2339" t="str">
            <v>2007STS GAMBY &amp; FRERES (SOGAF) Sarl</v>
          </cell>
          <cell r="X2339" t="str">
            <v>2007STS GAMBY &amp; FRERES (SOGAF) SarlScratch 1 000</v>
          </cell>
        </row>
        <row r="2340">
          <cell r="I2340">
            <v>2007</v>
          </cell>
          <cell r="J2340" t="str">
            <v>ANKA SERVICESScratch 20 000</v>
          </cell>
          <cell r="L2340">
            <v>1</v>
          </cell>
          <cell r="M2340" t="str">
            <v>1ANKA SERVICES</v>
          </cell>
          <cell r="N2340" t="str">
            <v>ANKA SERVICESScratch 20 000</v>
          </cell>
          <cell r="O2340" t="str">
            <v>ANKA SERVICES</v>
          </cell>
          <cell r="P2340" t="str">
            <v>Scratch 20 000</v>
          </cell>
          <cell r="Q2340" t="str">
            <v>82007</v>
          </cell>
          <cell r="R2340" t="str">
            <v>82007Scratch 20 000</v>
          </cell>
          <cell r="S2340" t="str">
            <v>2007Scratch 20 000</v>
          </cell>
          <cell r="T2340" t="str">
            <v>82007ANKA SERVICES</v>
          </cell>
          <cell r="U2340" t="str">
            <v>82007ANKA SERVICESScratch 20 000</v>
          </cell>
          <cell r="V2340" t="str">
            <v>39308Scratch 20 000</v>
          </cell>
          <cell r="W2340" t="str">
            <v>2007ANKA SERVICES</v>
          </cell>
          <cell r="X2340" t="str">
            <v>2007ANKA SERVICESScratch 20 000</v>
          </cell>
        </row>
        <row r="2341">
          <cell r="I2341">
            <v>2007</v>
          </cell>
          <cell r="J2341" t="str">
            <v>ANKA SERVICESScratch 5 000</v>
          </cell>
          <cell r="L2341">
            <v>0</v>
          </cell>
          <cell r="M2341" t="str">
            <v>ANKA SERVICES</v>
          </cell>
          <cell r="N2341" t="str">
            <v>ANKA SERVICESScratch 5 000</v>
          </cell>
          <cell r="O2341" t="str">
            <v>ANKA SERVICES</v>
          </cell>
          <cell r="P2341" t="str">
            <v>Scratch 5 000</v>
          </cell>
          <cell r="Q2341" t="str">
            <v>82007</v>
          </cell>
          <cell r="R2341" t="str">
            <v>82007Scratch 5 000</v>
          </cell>
          <cell r="S2341" t="str">
            <v>2007Scratch 5 000</v>
          </cell>
          <cell r="T2341" t="str">
            <v>82007ANKA SERVICES</v>
          </cell>
          <cell r="U2341" t="str">
            <v>82007ANKA SERVICESScratch 5 000</v>
          </cell>
          <cell r="V2341" t="str">
            <v>39308Scratch 5 000</v>
          </cell>
          <cell r="W2341" t="str">
            <v>2007ANKA SERVICES</v>
          </cell>
          <cell r="X2341" t="str">
            <v>2007ANKA SERVICESScratch 5 000</v>
          </cell>
        </row>
        <row r="2342">
          <cell r="I2342">
            <v>2007</v>
          </cell>
          <cell r="J2342" t="str">
            <v>ANKA SERVICESScratch 2 000</v>
          </cell>
          <cell r="L2342">
            <v>0</v>
          </cell>
          <cell r="M2342" t="str">
            <v>ANKA SERVICES</v>
          </cell>
          <cell r="N2342" t="str">
            <v>ANKA SERVICESScratch 2 000</v>
          </cell>
          <cell r="O2342" t="str">
            <v>ANKA SERVICES</v>
          </cell>
          <cell r="P2342" t="str">
            <v>Scratch 2 000</v>
          </cell>
          <cell r="Q2342" t="str">
            <v>82007</v>
          </cell>
          <cell r="R2342" t="str">
            <v>82007Scratch 2 000</v>
          </cell>
          <cell r="S2342" t="str">
            <v>2007Scratch 2 000</v>
          </cell>
          <cell r="T2342" t="str">
            <v>82007ANKA SERVICES</v>
          </cell>
          <cell r="U2342" t="str">
            <v>82007ANKA SERVICESScratch 2 000</v>
          </cell>
          <cell r="V2342" t="str">
            <v>39308Scratch 2 000</v>
          </cell>
          <cell r="W2342" t="str">
            <v>2007ANKA SERVICES</v>
          </cell>
          <cell r="X2342" t="str">
            <v>2007ANKA SERVICESScratch 2 000</v>
          </cell>
        </row>
        <row r="2343">
          <cell r="I2343">
            <v>2007</v>
          </cell>
          <cell r="J2343" t="str">
            <v>ANKA SERVICESScratch 1 000</v>
          </cell>
          <cell r="L2343">
            <v>0</v>
          </cell>
          <cell r="M2343" t="str">
            <v>ANKA SERVICES</v>
          </cell>
          <cell r="N2343" t="str">
            <v>ANKA SERVICESScratch 1 000</v>
          </cell>
          <cell r="O2343" t="str">
            <v>ANKA SERVICES</v>
          </cell>
          <cell r="P2343" t="str">
            <v>Scratch 1 000</v>
          </cell>
          <cell r="Q2343" t="str">
            <v>82007</v>
          </cell>
          <cell r="R2343" t="str">
            <v>82007Scratch 1 000</v>
          </cell>
          <cell r="S2343" t="str">
            <v>2007Scratch 1 000</v>
          </cell>
          <cell r="T2343" t="str">
            <v>82007ANKA SERVICES</v>
          </cell>
          <cell r="U2343" t="str">
            <v>82007ANKA SERVICESScratch 1 000</v>
          </cell>
          <cell r="V2343" t="str">
            <v>39308Scratch 1 000</v>
          </cell>
          <cell r="W2343" t="str">
            <v>2007ANKA SERVICES</v>
          </cell>
          <cell r="X2343" t="str">
            <v>2007ANKA SERVICESScratch 1 000</v>
          </cell>
        </row>
        <row r="2344">
          <cell r="I2344">
            <v>2007</v>
          </cell>
          <cell r="J2344" t="str">
            <v>SOMAKOFFScratch 20 000</v>
          </cell>
          <cell r="L2344">
            <v>1</v>
          </cell>
          <cell r="M2344" t="str">
            <v>1SOMAKOFF</v>
          </cell>
          <cell r="N2344" t="str">
            <v>SOMAKOFFScratch 20 000</v>
          </cell>
          <cell r="O2344" t="str">
            <v>SOMAKOFF</v>
          </cell>
          <cell r="P2344" t="str">
            <v>Scratch 20 000</v>
          </cell>
          <cell r="Q2344" t="str">
            <v>82007</v>
          </cell>
          <cell r="R2344" t="str">
            <v>82007Scratch 20 000</v>
          </cell>
          <cell r="S2344" t="str">
            <v>2007Scratch 20 000</v>
          </cell>
          <cell r="T2344" t="str">
            <v>82007SOMAKOFF</v>
          </cell>
          <cell r="U2344" t="str">
            <v>82007SOMAKOFFScratch 20 000</v>
          </cell>
          <cell r="V2344" t="str">
            <v>39308Scratch 20 000</v>
          </cell>
          <cell r="W2344" t="str">
            <v>2007SOMAKOFF</v>
          </cell>
          <cell r="X2344" t="str">
            <v>2007SOMAKOFFScratch 20 000</v>
          </cell>
        </row>
        <row r="2345">
          <cell r="I2345">
            <v>2007</v>
          </cell>
          <cell r="J2345" t="str">
            <v>SOMAKOFFScratch 10 000</v>
          </cell>
          <cell r="L2345">
            <v>0</v>
          </cell>
          <cell r="M2345" t="str">
            <v>SOMAKOFF</v>
          </cell>
          <cell r="N2345" t="str">
            <v>SOMAKOFFScratch 10 000</v>
          </cell>
          <cell r="O2345" t="str">
            <v>SOMAKOFF</v>
          </cell>
          <cell r="P2345" t="str">
            <v>Scratch 10 000</v>
          </cell>
          <cell r="Q2345" t="str">
            <v>82007</v>
          </cell>
          <cell r="R2345" t="str">
            <v>82007Scratch 10 000</v>
          </cell>
          <cell r="S2345" t="str">
            <v>2007Scratch 10 000</v>
          </cell>
          <cell r="T2345" t="str">
            <v>82007SOMAKOFF</v>
          </cell>
          <cell r="U2345" t="str">
            <v>82007SOMAKOFFScratch 10 000</v>
          </cell>
          <cell r="V2345" t="str">
            <v>39308Scratch 10 000</v>
          </cell>
          <cell r="W2345" t="str">
            <v>2007SOMAKOFF</v>
          </cell>
          <cell r="X2345" t="str">
            <v>2007SOMAKOFFScratch 10 000</v>
          </cell>
        </row>
        <row r="2346">
          <cell r="I2346">
            <v>2007</v>
          </cell>
          <cell r="J2346" t="str">
            <v>SOMAKOFFScratch 5 000</v>
          </cell>
          <cell r="L2346">
            <v>0</v>
          </cell>
          <cell r="M2346" t="str">
            <v>SOMAKOFF</v>
          </cell>
          <cell r="N2346" t="str">
            <v>SOMAKOFFScratch 5 000</v>
          </cell>
          <cell r="O2346" t="str">
            <v>SOMAKOFF</v>
          </cell>
          <cell r="P2346" t="str">
            <v>Scratch 5 000</v>
          </cell>
          <cell r="Q2346" t="str">
            <v>82007</v>
          </cell>
          <cell r="R2346" t="str">
            <v>82007Scratch 5 000</v>
          </cell>
          <cell r="S2346" t="str">
            <v>2007Scratch 5 000</v>
          </cell>
          <cell r="T2346" t="str">
            <v>82007SOMAKOFF</v>
          </cell>
          <cell r="U2346" t="str">
            <v>82007SOMAKOFFScratch 5 000</v>
          </cell>
          <cell r="V2346" t="str">
            <v>39308Scratch 5 000</v>
          </cell>
          <cell r="W2346" t="str">
            <v>2007SOMAKOFF</v>
          </cell>
          <cell r="X2346" t="str">
            <v>2007SOMAKOFFScratch 5 000</v>
          </cell>
        </row>
        <row r="2347">
          <cell r="I2347">
            <v>2007</v>
          </cell>
          <cell r="J2347" t="str">
            <v>SOMAKOFFScratch 2 000</v>
          </cell>
          <cell r="L2347">
            <v>0</v>
          </cell>
          <cell r="M2347" t="str">
            <v>SOMAKOFF</v>
          </cell>
          <cell r="N2347" t="str">
            <v>SOMAKOFFScratch 2 000</v>
          </cell>
          <cell r="O2347" t="str">
            <v>SOMAKOFF</v>
          </cell>
          <cell r="P2347" t="str">
            <v>Scratch 2 000</v>
          </cell>
          <cell r="Q2347" t="str">
            <v>82007</v>
          </cell>
          <cell r="R2347" t="str">
            <v>82007Scratch 2 000</v>
          </cell>
          <cell r="S2347" t="str">
            <v>2007Scratch 2 000</v>
          </cell>
          <cell r="T2347" t="str">
            <v>82007SOMAKOFF</v>
          </cell>
          <cell r="U2347" t="str">
            <v>82007SOMAKOFFScratch 2 000</v>
          </cell>
          <cell r="V2347" t="str">
            <v>39308Scratch 2 000</v>
          </cell>
          <cell r="W2347" t="str">
            <v>2007SOMAKOFF</v>
          </cell>
          <cell r="X2347" t="str">
            <v>2007SOMAKOFFScratch 2 000</v>
          </cell>
        </row>
        <row r="2348">
          <cell r="I2348">
            <v>2007</v>
          </cell>
          <cell r="J2348" t="str">
            <v>SOMAKOFFScratch 1 000</v>
          </cell>
          <cell r="L2348">
            <v>0</v>
          </cell>
          <cell r="M2348" t="str">
            <v>SOMAKOFF</v>
          </cell>
          <cell r="N2348" t="str">
            <v>SOMAKOFFScratch 1 000</v>
          </cell>
          <cell r="O2348" t="str">
            <v>SOMAKOFF</v>
          </cell>
          <cell r="P2348" t="str">
            <v>Scratch 1 000</v>
          </cell>
          <cell r="Q2348" t="str">
            <v>82007</v>
          </cell>
          <cell r="R2348" t="str">
            <v>82007Scratch 1 000</v>
          </cell>
          <cell r="S2348" t="str">
            <v>2007Scratch 1 000</v>
          </cell>
          <cell r="T2348" t="str">
            <v>82007SOMAKOFF</v>
          </cell>
          <cell r="U2348" t="str">
            <v>82007SOMAKOFFScratch 1 000</v>
          </cell>
          <cell r="V2348" t="str">
            <v>39308Scratch 1 000</v>
          </cell>
          <cell r="W2348" t="str">
            <v>2007SOMAKOFF</v>
          </cell>
          <cell r="X2348" t="str">
            <v>2007SOMAKOFFScratch 1 000</v>
          </cell>
        </row>
        <row r="2349">
          <cell r="I2349">
            <v>2007</v>
          </cell>
          <cell r="J2349" t="str">
            <v>GEMATELScratch 20 000</v>
          </cell>
          <cell r="L2349">
            <v>1</v>
          </cell>
          <cell r="M2349" t="str">
            <v>1GEMATEL</v>
          </cell>
          <cell r="N2349" t="str">
            <v>GEMATELScratch 20 000</v>
          </cell>
          <cell r="O2349" t="str">
            <v>GEMATEL</v>
          </cell>
          <cell r="P2349" t="str">
            <v>Scratch 20 000</v>
          </cell>
          <cell r="Q2349" t="str">
            <v>82007</v>
          </cell>
          <cell r="R2349" t="str">
            <v>82007Scratch 20 000</v>
          </cell>
          <cell r="S2349" t="str">
            <v>2007Scratch 20 000</v>
          </cell>
          <cell r="T2349" t="str">
            <v>82007GEMATEL</v>
          </cell>
          <cell r="U2349" t="str">
            <v>82007GEMATELScratch 20 000</v>
          </cell>
          <cell r="V2349" t="str">
            <v>39308Scratch 20 000</v>
          </cell>
          <cell r="W2349" t="str">
            <v>2007GEMATEL</v>
          </cell>
          <cell r="X2349" t="str">
            <v>2007GEMATELScratch 20 000</v>
          </cell>
        </row>
        <row r="2350">
          <cell r="I2350">
            <v>2007</v>
          </cell>
          <cell r="J2350" t="str">
            <v>GEMATELScratch 5 000</v>
          </cell>
          <cell r="L2350">
            <v>0</v>
          </cell>
          <cell r="M2350" t="str">
            <v>GEMATEL</v>
          </cell>
          <cell r="N2350" t="str">
            <v>GEMATELScratch 5 000</v>
          </cell>
          <cell r="O2350" t="str">
            <v>GEMATEL</v>
          </cell>
          <cell r="P2350" t="str">
            <v>Scratch 5 000</v>
          </cell>
          <cell r="Q2350" t="str">
            <v>82007</v>
          </cell>
          <cell r="R2350" t="str">
            <v>82007Scratch 5 000</v>
          </cell>
          <cell r="S2350" t="str">
            <v>2007Scratch 5 000</v>
          </cell>
          <cell r="T2350" t="str">
            <v>82007GEMATEL</v>
          </cell>
          <cell r="U2350" t="str">
            <v>82007GEMATELScratch 5 000</v>
          </cell>
          <cell r="V2350" t="str">
            <v>39308Scratch 5 000</v>
          </cell>
          <cell r="W2350" t="str">
            <v>2007GEMATEL</v>
          </cell>
          <cell r="X2350" t="str">
            <v>2007GEMATELScratch 5 000</v>
          </cell>
        </row>
        <row r="2351">
          <cell r="I2351">
            <v>2007</v>
          </cell>
          <cell r="J2351" t="str">
            <v>GEMATELScratch 2 000</v>
          </cell>
          <cell r="L2351">
            <v>0</v>
          </cell>
          <cell r="M2351" t="str">
            <v>GEMATEL</v>
          </cell>
          <cell r="N2351" t="str">
            <v>GEMATELScratch 2 000</v>
          </cell>
          <cell r="O2351" t="str">
            <v>GEMATEL</v>
          </cell>
          <cell r="P2351" t="str">
            <v>Scratch 2 000</v>
          </cell>
          <cell r="Q2351" t="str">
            <v>82007</v>
          </cell>
          <cell r="R2351" t="str">
            <v>82007Scratch 2 000</v>
          </cell>
          <cell r="S2351" t="str">
            <v>2007Scratch 2 000</v>
          </cell>
          <cell r="T2351" t="str">
            <v>82007GEMATEL</v>
          </cell>
          <cell r="U2351" t="str">
            <v>82007GEMATELScratch 2 000</v>
          </cell>
          <cell r="V2351" t="str">
            <v>39308Scratch 2 000</v>
          </cell>
          <cell r="W2351" t="str">
            <v>2007GEMATEL</v>
          </cell>
          <cell r="X2351" t="str">
            <v>2007GEMATELScratch 2 000</v>
          </cell>
        </row>
        <row r="2352">
          <cell r="I2352">
            <v>2007</v>
          </cell>
          <cell r="J2352" t="str">
            <v>GEMATELScratch 1 000</v>
          </cell>
          <cell r="L2352">
            <v>0</v>
          </cell>
          <cell r="M2352" t="str">
            <v>GEMATEL</v>
          </cell>
          <cell r="N2352" t="str">
            <v>GEMATELScratch 1 000</v>
          </cell>
          <cell r="O2352" t="str">
            <v>GEMATEL</v>
          </cell>
          <cell r="P2352" t="str">
            <v>Scratch 1 000</v>
          </cell>
          <cell r="Q2352" t="str">
            <v>82007</v>
          </cell>
          <cell r="R2352" t="str">
            <v>82007Scratch 1 000</v>
          </cell>
          <cell r="S2352" t="str">
            <v>2007Scratch 1 000</v>
          </cell>
          <cell r="T2352" t="str">
            <v>82007GEMATEL</v>
          </cell>
          <cell r="U2352" t="str">
            <v>82007GEMATELScratch 1 000</v>
          </cell>
          <cell r="V2352" t="str">
            <v>39308Scratch 1 000</v>
          </cell>
          <cell r="W2352" t="str">
            <v>2007GEMATEL</v>
          </cell>
          <cell r="X2352" t="str">
            <v>2007GEMATELScratch 1 000</v>
          </cell>
        </row>
        <row r="2353">
          <cell r="I2353">
            <v>2007</v>
          </cell>
          <cell r="J2353" t="str">
            <v>Compagnie Internationale de NegoceScratch 20 000</v>
          </cell>
          <cell r="L2353">
            <v>1</v>
          </cell>
          <cell r="M2353" t="str">
            <v>1Compagnie Internationale de Negoce</v>
          </cell>
          <cell r="N2353" t="str">
            <v>Compagnie Internationale de NegoceScratch 20 000</v>
          </cell>
          <cell r="O2353" t="str">
            <v>Compagnie Internationale de Negoce</v>
          </cell>
          <cell r="P2353" t="str">
            <v>Scratch 20 000</v>
          </cell>
          <cell r="Q2353" t="str">
            <v>82007</v>
          </cell>
          <cell r="R2353" t="str">
            <v>82007Scratch 20 000</v>
          </cell>
          <cell r="S2353" t="str">
            <v>2007Scratch 20 000</v>
          </cell>
          <cell r="T2353" t="str">
            <v>82007Compagnie Internationale de Negoce</v>
          </cell>
          <cell r="U2353" t="str">
            <v>82007Compagnie Internationale de NegoceScratch 20 000</v>
          </cell>
          <cell r="V2353" t="str">
            <v>39308Scratch 20 000</v>
          </cell>
          <cell r="W2353" t="str">
            <v>2007Compagnie Internationale de Negoce</v>
          </cell>
          <cell r="X2353" t="str">
            <v>2007Compagnie Internationale de NegoceScratch 20 000</v>
          </cell>
        </row>
        <row r="2354">
          <cell r="I2354">
            <v>2007</v>
          </cell>
          <cell r="J2354" t="str">
            <v>Compagnie Internationale de NegoceScratch 10 000</v>
          </cell>
          <cell r="L2354">
            <v>0</v>
          </cell>
          <cell r="M2354" t="str">
            <v>Compagnie Internationale de Negoce</v>
          </cell>
          <cell r="N2354" t="str">
            <v>Compagnie Internationale de NegoceScratch 10 000</v>
          </cell>
          <cell r="O2354" t="str">
            <v>Compagnie Internationale de Negoce</v>
          </cell>
          <cell r="P2354" t="str">
            <v>Scratch 10 000</v>
          </cell>
          <cell r="Q2354" t="str">
            <v>82007</v>
          </cell>
          <cell r="R2354" t="str">
            <v>82007Scratch 10 000</v>
          </cell>
          <cell r="S2354" t="str">
            <v>2007Scratch 10 000</v>
          </cell>
          <cell r="T2354" t="str">
            <v>82007Compagnie Internationale de Negoce</v>
          </cell>
          <cell r="U2354" t="str">
            <v>82007Compagnie Internationale de NegoceScratch 10 000</v>
          </cell>
          <cell r="V2354" t="str">
            <v>39308Scratch 10 000</v>
          </cell>
          <cell r="W2354" t="str">
            <v>2007Compagnie Internationale de Negoce</v>
          </cell>
          <cell r="X2354" t="str">
            <v>2007Compagnie Internationale de NegoceScratch 10 000</v>
          </cell>
        </row>
        <row r="2355">
          <cell r="I2355">
            <v>2007</v>
          </cell>
          <cell r="J2355" t="str">
            <v>Compagnie Internationale de NegoceScratch 5 000</v>
          </cell>
          <cell r="L2355">
            <v>0</v>
          </cell>
          <cell r="M2355" t="str">
            <v>Compagnie Internationale de Negoce</v>
          </cell>
          <cell r="N2355" t="str">
            <v>Compagnie Internationale de NegoceScratch 5 000</v>
          </cell>
          <cell r="O2355" t="str">
            <v>Compagnie Internationale de Negoce</v>
          </cell>
          <cell r="P2355" t="str">
            <v>Scratch 5 000</v>
          </cell>
          <cell r="Q2355" t="str">
            <v>82007</v>
          </cell>
          <cell r="R2355" t="str">
            <v>82007Scratch 5 000</v>
          </cell>
          <cell r="S2355" t="str">
            <v>2007Scratch 5 000</v>
          </cell>
          <cell r="T2355" t="str">
            <v>82007Compagnie Internationale de Negoce</v>
          </cell>
          <cell r="U2355" t="str">
            <v>82007Compagnie Internationale de NegoceScratch 5 000</v>
          </cell>
          <cell r="V2355" t="str">
            <v>39308Scratch 5 000</v>
          </cell>
          <cell r="W2355" t="str">
            <v>2007Compagnie Internationale de Negoce</v>
          </cell>
          <cell r="X2355" t="str">
            <v>2007Compagnie Internationale de NegoceScratch 5 000</v>
          </cell>
        </row>
        <row r="2356">
          <cell r="I2356">
            <v>2007</v>
          </cell>
          <cell r="J2356" t="str">
            <v>Compagnie Internationale de NegoceScratch 2 000</v>
          </cell>
          <cell r="L2356">
            <v>0</v>
          </cell>
          <cell r="M2356" t="str">
            <v>Compagnie Internationale de Negoce</v>
          </cell>
          <cell r="N2356" t="str">
            <v>Compagnie Internationale de NegoceScratch 2 000</v>
          </cell>
          <cell r="O2356" t="str">
            <v>Compagnie Internationale de Negoce</v>
          </cell>
          <cell r="P2356" t="str">
            <v>Scratch 2 000</v>
          </cell>
          <cell r="Q2356" t="str">
            <v>82007</v>
          </cell>
          <cell r="R2356" t="str">
            <v>82007Scratch 2 000</v>
          </cell>
          <cell r="S2356" t="str">
            <v>2007Scratch 2 000</v>
          </cell>
          <cell r="T2356" t="str">
            <v>82007Compagnie Internationale de Negoce</v>
          </cell>
          <cell r="U2356" t="str">
            <v>82007Compagnie Internationale de NegoceScratch 2 000</v>
          </cell>
          <cell r="V2356" t="str">
            <v>39308Scratch 2 000</v>
          </cell>
          <cell r="W2356" t="str">
            <v>2007Compagnie Internationale de Negoce</v>
          </cell>
          <cell r="X2356" t="str">
            <v>2007Compagnie Internationale de NegoceScratch 2 000</v>
          </cell>
        </row>
        <row r="2357">
          <cell r="I2357">
            <v>2007</v>
          </cell>
          <cell r="J2357" t="str">
            <v>Compagnie Internationale de NegoceScratch 1 000</v>
          </cell>
          <cell r="L2357">
            <v>0</v>
          </cell>
          <cell r="M2357" t="str">
            <v>Compagnie Internationale de Negoce</v>
          </cell>
          <cell r="N2357" t="str">
            <v>Compagnie Internationale de NegoceScratch 1 000</v>
          </cell>
          <cell r="O2357" t="str">
            <v>Compagnie Internationale de Negoce</v>
          </cell>
          <cell r="P2357" t="str">
            <v>Scratch 1 000</v>
          </cell>
          <cell r="Q2357" t="str">
            <v>82007</v>
          </cell>
          <cell r="R2357" t="str">
            <v>82007Scratch 1 000</v>
          </cell>
          <cell r="S2357" t="str">
            <v>2007Scratch 1 000</v>
          </cell>
          <cell r="T2357" t="str">
            <v>82007Compagnie Internationale de Negoce</v>
          </cell>
          <cell r="U2357" t="str">
            <v>82007Compagnie Internationale de NegoceScratch 1 000</v>
          </cell>
          <cell r="V2357" t="str">
            <v>39308Scratch 1 000</v>
          </cell>
          <cell r="W2357" t="str">
            <v>2007Compagnie Internationale de Negoce</v>
          </cell>
          <cell r="X2357" t="str">
            <v>2007Compagnie Internationale de NegoceScratch 1 000</v>
          </cell>
        </row>
        <row r="2358">
          <cell r="I2358">
            <v>2007</v>
          </cell>
          <cell r="J2358" t="str">
            <v>STS GAMBY &amp; FRERES (SOGAF) SarlScratch 5 000</v>
          </cell>
          <cell r="L2358">
            <v>1</v>
          </cell>
          <cell r="M2358" t="str">
            <v>1STS GAMBY &amp; FRERES (SOGAF) Sarl</v>
          </cell>
          <cell r="N2358" t="str">
            <v>STS GAMBY &amp; FRERES (SOGAF) SarlScratch 5 000</v>
          </cell>
          <cell r="O2358" t="str">
            <v>STS GAMBY &amp; FRERES (SOGAF) Sarl</v>
          </cell>
          <cell r="P2358" t="str">
            <v>Scratch 5 000</v>
          </cell>
          <cell r="Q2358" t="str">
            <v>82007</v>
          </cell>
          <cell r="R2358" t="str">
            <v>82007Scratch 5 000</v>
          </cell>
          <cell r="S2358" t="str">
            <v>2007Scratch 5 000</v>
          </cell>
          <cell r="T2358" t="str">
            <v>82007STS GAMBY &amp; FRERES (SOGAF) Sarl</v>
          </cell>
          <cell r="U2358" t="str">
            <v>82007STS GAMBY &amp; FRERES (SOGAF) SarlScratch 5 000</v>
          </cell>
          <cell r="V2358" t="str">
            <v>39309Scratch 5 000</v>
          </cell>
          <cell r="W2358" t="str">
            <v>2007STS GAMBY &amp; FRERES (SOGAF) Sarl</v>
          </cell>
          <cell r="X2358" t="str">
            <v>2007STS GAMBY &amp; FRERES (SOGAF) SarlScratch 5 000</v>
          </cell>
        </row>
        <row r="2359">
          <cell r="I2359">
            <v>2007</v>
          </cell>
          <cell r="J2359" t="str">
            <v>STS GAMBY &amp; FRERES (SOGAF) SarlScratch 2 000</v>
          </cell>
          <cell r="L2359">
            <v>0</v>
          </cell>
          <cell r="M2359" t="str">
            <v>STS GAMBY &amp; FRERES (SOGAF) Sarl</v>
          </cell>
          <cell r="N2359" t="str">
            <v>STS GAMBY &amp; FRERES (SOGAF) SarlScratch 2 000</v>
          </cell>
          <cell r="O2359" t="str">
            <v>STS GAMBY &amp; FRERES (SOGAF) Sarl</v>
          </cell>
          <cell r="P2359" t="str">
            <v>Scratch 2 000</v>
          </cell>
          <cell r="Q2359" t="str">
            <v>82007</v>
          </cell>
          <cell r="R2359" t="str">
            <v>82007Scratch 2 000</v>
          </cell>
          <cell r="S2359" t="str">
            <v>2007Scratch 2 000</v>
          </cell>
          <cell r="T2359" t="str">
            <v>82007STS GAMBY &amp; FRERES (SOGAF) Sarl</v>
          </cell>
          <cell r="U2359" t="str">
            <v>82007STS GAMBY &amp; FRERES (SOGAF) SarlScratch 2 000</v>
          </cell>
          <cell r="V2359" t="str">
            <v>39309Scratch 2 000</v>
          </cell>
          <cell r="W2359" t="str">
            <v>2007STS GAMBY &amp; FRERES (SOGAF) Sarl</v>
          </cell>
          <cell r="X2359" t="str">
            <v>2007STS GAMBY &amp; FRERES (SOGAF) SarlScratch 2 000</v>
          </cell>
        </row>
        <row r="2360">
          <cell r="I2360">
            <v>2007</v>
          </cell>
          <cell r="J2360" t="str">
            <v>STS GAMBY &amp; FRERES (SOGAF) SarlScratch 1 000</v>
          </cell>
          <cell r="L2360">
            <v>0</v>
          </cell>
          <cell r="M2360" t="str">
            <v>STS GAMBY &amp; FRERES (SOGAF) Sarl</v>
          </cell>
          <cell r="N2360" t="str">
            <v>STS GAMBY &amp; FRERES (SOGAF) SarlScratch 1 000</v>
          </cell>
          <cell r="O2360" t="str">
            <v>STS GAMBY &amp; FRERES (SOGAF) Sarl</v>
          </cell>
          <cell r="P2360" t="str">
            <v>Scratch 1 000</v>
          </cell>
          <cell r="Q2360" t="str">
            <v>82007</v>
          </cell>
          <cell r="R2360" t="str">
            <v>82007Scratch 1 000</v>
          </cell>
          <cell r="S2360" t="str">
            <v>2007Scratch 1 000</v>
          </cell>
          <cell r="T2360" t="str">
            <v>82007STS GAMBY &amp; FRERES (SOGAF) Sarl</v>
          </cell>
          <cell r="U2360" t="str">
            <v>82007STS GAMBY &amp; FRERES (SOGAF) SarlScratch 1 000</v>
          </cell>
          <cell r="V2360" t="str">
            <v>39309Scratch 1 000</v>
          </cell>
          <cell r="W2360" t="str">
            <v>2007STS GAMBY &amp; FRERES (SOGAF) Sarl</v>
          </cell>
          <cell r="X2360" t="str">
            <v>2007STS GAMBY &amp; FRERES (SOGAF) SarlScratch 1 000</v>
          </cell>
        </row>
        <row r="2361">
          <cell r="I2361">
            <v>2007</v>
          </cell>
          <cell r="J2361" t="str">
            <v>ANKA SERVICESScratch 5 000</v>
          </cell>
          <cell r="L2361">
            <v>1</v>
          </cell>
          <cell r="M2361" t="str">
            <v>1ANKA SERVICES</v>
          </cell>
          <cell r="N2361" t="str">
            <v>ANKA SERVICESScratch 5 000</v>
          </cell>
          <cell r="O2361" t="str">
            <v>ANKA SERVICES</v>
          </cell>
          <cell r="P2361" t="str">
            <v>Scratch 5 000</v>
          </cell>
          <cell r="Q2361" t="str">
            <v>82007</v>
          </cell>
          <cell r="R2361" t="str">
            <v>82007Scratch 5 000</v>
          </cell>
          <cell r="S2361" t="str">
            <v>2007Scratch 5 000</v>
          </cell>
          <cell r="T2361" t="str">
            <v>82007ANKA SERVICES</v>
          </cell>
          <cell r="U2361" t="str">
            <v>82007ANKA SERVICESScratch 5 000</v>
          </cell>
          <cell r="V2361" t="str">
            <v>39309Scratch 5 000</v>
          </cell>
          <cell r="W2361" t="str">
            <v>2007ANKA SERVICES</v>
          </cell>
          <cell r="X2361" t="str">
            <v>2007ANKA SERVICESScratch 5 000</v>
          </cell>
        </row>
        <row r="2362">
          <cell r="I2362">
            <v>2007</v>
          </cell>
          <cell r="J2362" t="str">
            <v>ANKA SERVICESScratch 2 000</v>
          </cell>
          <cell r="L2362">
            <v>0</v>
          </cell>
          <cell r="M2362" t="str">
            <v>ANKA SERVICES</v>
          </cell>
          <cell r="N2362" t="str">
            <v>ANKA SERVICESScratch 2 000</v>
          </cell>
          <cell r="O2362" t="str">
            <v>ANKA SERVICES</v>
          </cell>
          <cell r="P2362" t="str">
            <v>Scratch 2 000</v>
          </cell>
          <cell r="Q2362" t="str">
            <v>82007</v>
          </cell>
          <cell r="R2362" t="str">
            <v>82007Scratch 2 000</v>
          </cell>
          <cell r="S2362" t="str">
            <v>2007Scratch 2 000</v>
          </cell>
          <cell r="T2362" t="str">
            <v>82007ANKA SERVICES</v>
          </cell>
          <cell r="U2362" t="str">
            <v>82007ANKA SERVICESScratch 2 000</v>
          </cell>
          <cell r="V2362" t="str">
            <v>39309Scratch 2 000</v>
          </cell>
          <cell r="W2362" t="str">
            <v>2007ANKA SERVICES</v>
          </cell>
          <cell r="X2362" t="str">
            <v>2007ANKA SERVICESScratch 2 000</v>
          </cell>
        </row>
        <row r="2363">
          <cell r="I2363">
            <v>2007</v>
          </cell>
          <cell r="J2363" t="str">
            <v>ANKA SERVICESScratch 1 000</v>
          </cell>
          <cell r="L2363">
            <v>0</v>
          </cell>
          <cell r="M2363" t="str">
            <v>ANKA SERVICES</v>
          </cell>
          <cell r="N2363" t="str">
            <v>ANKA SERVICESScratch 1 000</v>
          </cell>
          <cell r="O2363" t="str">
            <v>ANKA SERVICES</v>
          </cell>
          <cell r="P2363" t="str">
            <v>Scratch 1 000</v>
          </cell>
          <cell r="Q2363" t="str">
            <v>82007</v>
          </cell>
          <cell r="R2363" t="str">
            <v>82007Scratch 1 000</v>
          </cell>
          <cell r="S2363" t="str">
            <v>2007Scratch 1 000</v>
          </cell>
          <cell r="T2363" t="str">
            <v>82007ANKA SERVICES</v>
          </cell>
          <cell r="U2363" t="str">
            <v>82007ANKA SERVICESScratch 1 000</v>
          </cell>
          <cell r="V2363" t="str">
            <v>39309Scratch 1 000</v>
          </cell>
          <cell r="W2363" t="str">
            <v>2007ANKA SERVICES</v>
          </cell>
          <cell r="X2363" t="str">
            <v>2007ANKA SERVICESScratch 1 000</v>
          </cell>
        </row>
        <row r="2364">
          <cell r="I2364">
            <v>2007</v>
          </cell>
          <cell r="J2364" t="str">
            <v>GEMATELScratch 20 000</v>
          </cell>
          <cell r="L2364">
            <v>1</v>
          </cell>
          <cell r="M2364" t="str">
            <v>1GEMATEL</v>
          </cell>
          <cell r="N2364" t="str">
            <v>GEMATELScratch 20 000</v>
          </cell>
          <cell r="O2364" t="str">
            <v>GEMATEL</v>
          </cell>
          <cell r="P2364" t="str">
            <v>Scratch 20 000</v>
          </cell>
          <cell r="Q2364" t="str">
            <v>82007</v>
          </cell>
          <cell r="R2364" t="str">
            <v>82007Scratch 20 000</v>
          </cell>
          <cell r="S2364" t="str">
            <v>2007Scratch 20 000</v>
          </cell>
          <cell r="T2364" t="str">
            <v>82007GEMATEL</v>
          </cell>
          <cell r="U2364" t="str">
            <v>82007GEMATELScratch 20 000</v>
          </cell>
          <cell r="V2364" t="str">
            <v>39309Scratch 20 000</v>
          </cell>
          <cell r="W2364" t="str">
            <v>2007GEMATEL</v>
          </cell>
          <cell r="X2364" t="str">
            <v>2007GEMATELScratch 20 000</v>
          </cell>
        </row>
        <row r="2365">
          <cell r="I2365">
            <v>2007</v>
          </cell>
          <cell r="J2365" t="str">
            <v>GEMATELScratch 5 000</v>
          </cell>
          <cell r="L2365">
            <v>0</v>
          </cell>
          <cell r="M2365" t="str">
            <v>GEMATEL</v>
          </cell>
          <cell r="N2365" t="str">
            <v>GEMATELScratch 5 000</v>
          </cell>
          <cell r="O2365" t="str">
            <v>GEMATEL</v>
          </cell>
          <cell r="P2365" t="str">
            <v>Scratch 5 000</v>
          </cell>
          <cell r="Q2365" t="str">
            <v>82007</v>
          </cell>
          <cell r="R2365" t="str">
            <v>82007Scratch 5 000</v>
          </cell>
          <cell r="S2365" t="str">
            <v>2007Scratch 5 000</v>
          </cell>
          <cell r="T2365" t="str">
            <v>82007GEMATEL</v>
          </cell>
          <cell r="U2365" t="str">
            <v>82007GEMATELScratch 5 000</v>
          </cell>
          <cell r="V2365" t="str">
            <v>39309Scratch 5 000</v>
          </cell>
          <cell r="W2365" t="str">
            <v>2007GEMATEL</v>
          </cell>
          <cell r="X2365" t="str">
            <v>2007GEMATELScratch 5 000</v>
          </cell>
        </row>
        <row r="2366">
          <cell r="I2366">
            <v>2007</v>
          </cell>
          <cell r="J2366" t="str">
            <v>GEMATELScratch 2 000</v>
          </cell>
          <cell r="L2366">
            <v>0</v>
          </cell>
          <cell r="M2366" t="str">
            <v>GEMATEL</v>
          </cell>
          <cell r="N2366" t="str">
            <v>GEMATELScratch 2 000</v>
          </cell>
          <cell r="O2366" t="str">
            <v>GEMATEL</v>
          </cell>
          <cell r="P2366" t="str">
            <v>Scratch 2 000</v>
          </cell>
          <cell r="Q2366" t="str">
            <v>82007</v>
          </cell>
          <cell r="R2366" t="str">
            <v>82007Scratch 2 000</v>
          </cell>
          <cell r="S2366" t="str">
            <v>2007Scratch 2 000</v>
          </cell>
          <cell r="T2366" t="str">
            <v>82007GEMATEL</v>
          </cell>
          <cell r="U2366" t="str">
            <v>82007GEMATELScratch 2 000</v>
          </cell>
          <cell r="V2366" t="str">
            <v>39309Scratch 2 000</v>
          </cell>
          <cell r="W2366" t="str">
            <v>2007GEMATEL</v>
          </cell>
          <cell r="X2366" t="str">
            <v>2007GEMATELScratch 2 000</v>
          </cell>
        </row>
        <row r="2367">
          <cell r="I2367">
            <v>2007</v>
          </cell>
          <cell r="J2367" t="str">
            <v>GEMATELScratch 1 000</v>
          </cell>
          <cell r="L2367">
            <v>0</v>
          </cell>
          <cell r="M2367" t="str">
            <v>GEMATEL</v>
          </cell>
          <cell r="N2367" t="str">
            <v>GEMATELScratch 1 000</v>
          </cell>
          <cell r="O2367" t="str">
            <v>GEMATEL</v>
          </cell>
          <cell r="P2367" t="str">
            <v>Scratch 1 000</v>
          </cell>
          <cell r="Q2367" t="str">
            <v>82007</v>
          </cell>
          <cell r="R2367" t="str">
            <v>82007Scratch 1 000</v>
          </cell>
          <cell r="S2367" t="str">
            <v>2007Scratch 1 000</v>
          </cell>
          <cell r="T2367" t="str">
            <v>82007GEMATEL</v>
          </cell>
          <cell r="U2367" t="str">
            <v>82007GEMATELScratch 1 000</v>
          </cell>
          <cell r="V2367" t="str">
            <v>39309Scratch 1 000</v>
          </cell>
          <cell r="W2367" t="str">
            <v>2007GEMATEL</v>
          </cell>
          <cell r="X2367" t="str">
            <v>2007GEMATELScratch 1 000</v>
          </cell>
        </row>
        <row r="2368">
          <cell r="I2368">
            <v>2007</v>
          </cell>
          <cell r="J2368" t="str">
            <v>Soleil LevantScratch 5 000</v>
          </cell>
          <cell r="L2368">
            <v>1</v>
          </cell>
          <cell r="M2368" t="str">
            <v>1Soleil Levant</v>
          </cell>
          <cell r="N2368" t="str">
            <v>Soleil LevantScratch 5 000</v>
          </cell>
          <cell r="O2368" t="str">
            <v>Soleil Levant</v>
          </cell>
          <cell r="P2368" t="str">
            <v>Scratch 5 000</v>
          </cell>
          <cell r="Q2368" t="str">
            <v>82007</v>
          </cell>
          <cell r="R2368" t="str">
            <v>82007Scratch 5 000</v>
          </cell>
          <cell r="S2368" t="str">
            <v>2007Scratch 5 000</v>
          </cell>
          <cell r="T2368" t="str">
            <v>82007Soleil Levant</v>
          </cell>
          <cell r="U2368" t="str">
            <v>82007Soleil LevantScratch 5 000</v>
          </cell>
          <cell r="V2368" t="str">
            <v>39310Scratch 5 000</v>
          </cell>
          <cell r="W2368" t="str">
            <v>2007Soleil Levant</v>
          </cell>
          <cell r="X2368" t="str">
            <v>2007Soleil LevantScratch 5 000</v>
          </cell>
        </row>
        <row r="2369">
          <cell r="I2369">
            <v>2007</v>
          </cell>
          <cell r="J2369" t="str">
            <v>Soleil LevantScratch 2 000</v>
          </cell>
          <cell r="L2369">
            <v>0</v>
          </cell>
          <cell r="M2369" t="str">
            <v>Soleil Levant</v>
          </cell>
          <cell r="N2369" t="str">
            <v>Soleil LevantScratch 2 000</v>
          </cell>
          <cell r="O2369" t="str">
            <v>Soleil Levant</v>
          </cell>
          <cell r="P2369" t="str">
            <v>Scratch 2 000</v>
          </cell>
          <cell r="Q2369" t="str">
            <v>82007</v>
          </cell>
          <cell r="R2369" t="str">
            <v>82007Scratch 2 000</v>
          </cell>
          <cell r="S2369" t="str">
            <v>2007Scratch 2 000</v>
          </cell>
          <cell r="T2369" t="str">
            <v>82007Soleil Levant</v>
          </cell>
          <cell r="U2369" t="str">
            <v>82007Soleil LevantScratch 2 000</v>
          </cell>
          <cell r="V2369" t="str">
            <v>39310Scratch 2 000</v>
          </cell>
          <cell r="W2369" t="str">
            <v>2007Soleil Levant</v>
          </cell>
          <cell r="X2369" t="str">
            <v>2007Soleil LevantScratch 2 000</v>
          </cell>
        </row>
        <row r="2370">
          <cell r="I2370">
            <v>2007</v>
          </cell>
          <cell r="J2370" t="str">
            <v>Soleil LevantScratch 1 000</v>
          </cell>
          <cell r="L2370">
            <v>0</v>
          </cell>
          <cell r="M2370" t="str">
            <v>Soleil Levant</v>
          </cell>
          <cell r="N2370" t="str">
            <v>Soleil LevantScratch 1 000</v>
          </cell>
          <cell r="O2370" t="str">
            <v>Soleil Levant</v>
          </cell>
          <cell r="P2370" t="str">
            <v>Scratch 1 000</v>
          </cell>
          <cell r="Q2370" t="str">
            <v>82007</v>
          </cell>
          <cell r="R2370" t="str">
            <v>82007Scratch 1 000</v>
          </cell>
          <cell r="S2370" t="str">
            <v>2007Scratch 1 000</v>
          </cell>
          <cell r="T2370" t="str">
            <v>82007Soleil Levant</v>
          </cell>
          <cell r="U2370" t="str">
            <v>82007Soleil LevantScratch 1 000</v>
          </cell>
          <cell r="V2370" t="str">
            <v>39310Scratch 1 000</v>
          </cell>
          <cell r="W2370" t="str">
            <v>2007Soleil Levant</v>
          </cell>
          <cell r="X2370" t="str">
            <v>2007Soleil LevantScratch 1 000</v>
          </cell>
        </row>
        <row r="2371">
          <cell r="I2371">
            <v>2007</v>
          </cell>
          <cell r="J2371" t="str">
            <v>STS GAMBY &amp; FRERES (SOGAF) SarlScratch 20 000</v>
          </cell>
          <cell r="L2371">
            <v>1</v>
          </cell>
          <cell r="M2371" t="str">
            <v>1STS GAMBY &amp; FRERES (SOGAF) Sarl</v>
          </cell>
          <cell r="N2371" t="str">
            <v>STS GAMBY &amp; FRERES (SOGAF) SarlScratch 20 000</v>
          </cell>
          <cell r="O2371" t="str">
            <v>STS GAMBY &amp; FRERES (SOGAF) Sarl</v>
          </cell>
          <cell r="P2371" t="str">
            <v>Scratch 20 000</v>
          </cell>
          <cell r="Q2371" t="str">
            <v>82007</v>
          </cell>
          <cell r="R2371" t="str">
            <v>82007Scratch 20 000</v>
          </cell>
          <cell r="S2371" t="str">
            <v>2007Scratch 20 000</v>
          </cell>
          <cell r="T2371" t="str">
            <v>82007STS GAMBY &amp; FRERES (SOGAF) Sarl</v>
          </cell>
          <cell r="U2371" t="str">
            <v>82007STS GAMBY &amp; FRERES (SOGAF) SarlScratch 20 000</v>
          </cell>
          <cell r="V2371" t="str">
            <v>39310Scratch 20 000</v>
          </cell>
          <cell r="W2371" t="str">
            <v>2007STS GAMBY &amp; FRERES (SOGAF) Sarl</v>
          </cell>
          <cell r="X2371" t="str">
            <v>2007STS GAMBY &amp; FRERES (SOGAF) SarlScratch 20 000</v>
          </cell>
        </row>
        <row r="2372">
          <cell r="I2372">
            <v>2007</v>
          </cell>
          <cell r="J2372" t="str">
            <v>STS GAMBY &amp; FRERES (SOGAF) SarlScratch 10 000</v>
          </cell>
          <cell r="L2372">
            <v>0</v>
          </cell>
          <cell r="M2372" t="str">
            <v>STS GAMBY &amp; FRERES (SOGAF) Sarl</v>
          </cell>
          <cell r="N2372" t="str">
            <v>STS GAMBY &amp; FRERES (SOGAF) SarlScratch 10 000</v>
          </cell>
          <cell r="O2372" t="str">
            <v>STS GAMBY &amp; FRERES (SOGAF) Sarl</v>
          </cell>
          <cell r="P2372" t="str">
            <v>Scratch 10 000</v>
          </cell>
          <cell r="Q2372" t="str">
            <v>82007</v>
          </cell>
          <cell r="R2372" t="str">
            <v>82007Scratch 10 000</v>
          </cell>
          <cell r="S2372" t="str">
            <v>2007Scratch 10 000</v>
          </cell>
          <cell r="T2372" t="str">
            <v>82007STS GAMBY &amp; FRERES (SOGAF) Sarl</v>
          </cell>
          <cell r="U2372" t="str">
            <v>82007STS GAMBY &amp; FRERES (SOGAF) SarlScratch 10 000</v>
          </cell>
          <cell r="V2372" t="str">
            <v>39310Scratch 10 000</v>
          </cell>
          <cell r="W2372" t="str">
            <v>2007STS GAMBY &amp; FRERES (SOGAF) Sarl</v>
          </cell>
          <cell r="X2372" t="str">
            <v>2007STS GAMBY &amp; FRERES (SOGAF) SarlScratch 10 000</v>
          </cell>
        </row>
        <row r="2373">
          <cell r="I2373">
            <v>2007</v>
          </cell>
          <cell r="J2373" t="str">
            <v>STS GAMBY &amp; FRERES (SOGAF) SarlScratch 5 000</v>
          </cell>
          <cell r="L2373">
            <v>0</v>
          </cell>
          <cell r="M2373" t="str">
            <v>STS GAMBY &amp; FRERES (SOGAF) Sarl</v>
          </cell>
          <cell r="N2373" t="str">
            <v>STS GAMBY &amp; FRERES (SOGAF) SarlScratch 5 000</v>
          </cell>
          <cell r="O2373" t="str">
            <v>STS GAMBY &amp; FRERES (SOGAF) Sarl</v>
          </cell>
          <cell r="P2373" t="str">
            <v>Scratch 5 000</v>
          </cell>
          <cell r="Q2373" t="str">
            <v>82007</v>
          </cell>
          <cell r="R2373" t="str">
            <v>82007Scratch 5 000</v>
          </cell>
          <cell r="S2373" t="str">
            <v>2007Scratch 5 000</v>
          </cell>
          <cell r="T2373" t="str">
            <v>82007STS GAMBY &amp; FRERES (SOGAF) Sarl</v>
          </cell>
          <cell r="U2373" t="str">
            <v>82007STS GAMBY &amp; FRERES (SOGAF) SarlScratch 5 000</v>
          </cell>
          <cell r="V2373" t="str">
            <v>39310Scratch 5 000</v>
          </cell>
          <cell r="W2373" t="str">
            <v>2007STS GAMBY &amp; FRERES (SOGAF) Sarl</v>
          </cell>
          <cell r="X2373" t="str">
            <v>2007STS GAMBY &amp; FRERES (SOGAF) SarlScratch 5 000</v>
          </cell>
        </row>
        <row r="2374">
          <cell r="I2374">
            <v>2007</v>
          </cell>
          <cell r="J2374" t="str">
            <v>STS GAMBY &amp; FRERES (SOGAF) SarlScratch 2 000</v>
          </cell>
          <cell r="L2374">
            <v>0</v>
          </cell>
          <cell r="M2374" t="str">
            <v>STS GAMBY &amp; FRERES (SOGAF) Sarl</v>
          </cell>
          <cell r="N2374" t="str">
            <v>STS GAMBY &amp; FRERES (SOGAF) SarlScratch 2 000</v>
          </cell>
          <cell r="O2374" t="str">
            <v>STS GAMBY &amp; FRERES (SOGAF) Sarl</v>
          </cell>
          <cell r="P2374" t="str">
            <v>Scratch 2 000</v>
          </cell>
          <cell r="Q2374" t="str">
            <v>82007</v>
          </cell>
          <cell r="R2374" t="str">
            <v>82007Scratch 2 000</v>
          </cell>
          <cell r="S2374" t="str">
            <v>2007Scratch 2 000</v>
          </cell>
          <cell r="T2374" t="str">
            <v>82007STS GAMBY &amp; FRERES (SOGAF) Sarl</v>
          </cell>
          <cell r="U2374" t="str">
            <v>82007STS GAMBY &amp; FRERES (SOGAF) SarlScratch 2 000</v>
          </cell>
          <cell r="V2374" t="str">
            <v>39310Scratch 2 000</v>
          </cell>
          <cell r="W2374" t="str">
            <v>2007STS GAMBY &amp; FRERES (SOGAF) Sarl</v>
          </cell>
          <cell r="X2374" t="str">
            <v>2007STS GAMBY &amp; FRERES (SOGAF) SarlScratch 2 000</v>
          </cell>
        </row>
        <row r="2375">
          <cell r="I2375">
            <v>2007</v>
          </cell>
          <cell r="J2375" t="str">
            <v>STS GAMBY &amp; FRERES (SOGAF) SarlScratch 1 000</v>
          </cell>
          <cell r="L2375">
            <v>0</v>
          </cell>
          <cell r="M2375" t="str">
            <v>STS GAMBY &amp; FRERES (SOGAF) Sarl</v>
          </cell>
          <cell r="N2375" t="str">
            <v>STS GAMBY &amp; FRERES (SOGAF) SarlScratch 1 000</v>
          </cell>
          <cell r="O2375" t="str">
            <v>STS GAMBY &amp; FRERES (SOGAF) Sarl</v>
          </cell>
          <cell r="P2375" t="str">
            <v>Scratch 1 000</v>
          </cell>
          <cell r="Q2375" t="str">
            <v>82007</v>
          </cell>
          <cell r="R2375" t="str">
            <v>82007Scratch 1 000</v>
          </cell>
          <cell r="S2375" t="str">
            <v>2007Scratch 1 000</v>
          </cell>
          <cell r="T2375" t="str">
            <v>82007STS GAMBY &amp; FRERES (SOGAF) Sarl</v>
          </cell>
          <cell r="U2375" t="str">
            <v>82007STS GAMBY &amp; FRERES (SOGAF) SarlScratch 1 000</v>
          </cell>
          <cell r="V2375" t="str">
            <v>39310Scratch 1 000</v>
          </cell>
          <cell r="W2375" t="str">
            <v>2007STS GAMBY &amp; FRERES (SOGAF) Sarl</v>
          </cell>
          <cell r="X2375" t="str">
            <v>2007STS GAMBY &amp; FRERES (SOGAF) SarlScratch 1 000</v>
          </cell>
        </row>
        <row r="2376">
          <cell r="I2376">
            <v>2007</v>
          </cell>
          <cell r="J2376" t="str">
            <v>Compagnie Internationale de NegoceScratch 5 000</v>
          </cell>
          <cell r="L2376">
            <v>1</v>
          </cell>
          <cell r="M2376" t="str">
            <v>1Compagnie Internationale de Negoce</v>
          </cell>
          <cell r="N2376" t="str">
            <v>Compagnie Internationale de NegoceScratch 5 000</v>
          </cell>
          <cell r="O2376" t="str">
            <v>Compagnie Internationale de Negoce</v>
          </cell>
          <cell r="P2376" t="str">
            <v>Scratch 5 000</v>
          </cell>
          <cell r="Q2376" t="str">
            <v>82007</v>
          </cell>
          <cell r="R2376" t="str">
            <v>82007Scratch 5 000</v>
          </cell>
          <cell r="S2376" t="str">
            <v>2007Scratch 5 000</v>
          </cell>
          <cell r="T2376" t="str">
            <v>82007Compagnie Internationale de Negoce</v>
          </cell>
          <cell r="U2376" t="str">
            <v>82007Compagnie Internationale de NegoceScratch 5 000</v>
          </cell>
          <cell r="V2376" t="str">
            <v>39310Scratch 5 000</v>
          </cell>
          <cell r="W2376" t="str">
            <v>2007Compagnie Internationale de Negoce</v>
          </cell>
          <cell r="X2376" t="str">
            <v>2007Compagnie Internationale de NegoceScratch 5 000</v>
          </cell>
        </row>
        <row r="2377">
          <cell r="I2377">
            <v>2007</v>
          </cell>
          <cell r="J2377" t="str">
            <v>Compagnie Internationale de NegoceScratch 2 000</v>
          </cell>
          <cell r="L2377">
            <v>0</v>
          </cell>
          <cell r="M2377" t="str">
            <v>Compagnie Internationale de Negoce</v>
          </cell>
          <cell r="N2377" t="str">
            <v>Compagnie Internationale de NegoceScratch 2 000</v>
          </cell>
          <cell r="O2377" t="str">
            <v>Compagnie Internationale de Negoce</v>
          </cell>
          <cell r="P2377" t="str">
            <v>Scratch 2 000</v>
          </cell>
          <cell r="Q2377" t="str">
            <v>82007</v>
          </cell>
          <cell r="R2377" t="str">
            <v>82007Scratch 2 000</v>
          </cell>
          <cell r="S2377" t="str">
            <v>2007Scratch 2 000</v>
          </cell>
          <cell r="T2377" t="str">
            <v>82007Compagnie Internationale de Negoce</v>
          </cell>
          <cell r="U2377" t="str">
            <v>82007Compagnie Internationale de NegoceScratch 2 000</v>
          </cell>
          <cell r="V2377" t="str">
            <v>39310Scratch 2 000</v>
          </cell>
          <cell r="W2377" t="str">
            <v>2007Compagnie Internationale de Negoce</v>
          </cell>
          <cell r="X2377" t="str">
            <v>2007Compagnie Internationale de NegoceScratch 2 000</v>
          </cell>
        </row>
        <row r="2378">
          <cell r="I2378">
            <v>2007</v>
          </cell>
          <cell r="J2378" t="str">
            <v>Compagnie Internationale de NegoceScratch 1 000</v>
          </cell>
          <cell r="L2378">
            <v>0</v>
          </cell>
          <cell r="M2378" t="str">
            <v>Compagnie Internationale de Negoce</v>
          </cell>
          <cell r="N2378" t="str">
            <v>Compagnie Internationale de NegoceScratch 1 000</v>
          </cell>
          <cell r="O2378" t="str">
            <v>Compagnie Internationale de Negoce</v>
          </cell>
          <cell r="P2378" t="str">
            <v>Scratch 1 000</v>
          </cell>
          <cell r="Q2378" t="str">
            <v>82007</v>
          </cell>
          <cell r="R2378" t="str">
            <v>82007Scratch 1 000</v>
          </cell>
          <cell r="S2378" t="str">
            <v>2007Scratch 1 000</v>
          </cell>
          <cell r="T2378" t="str">
            <v>82007Compagnie Internationale de Negoce</v>
          </cell>
          <cell r="U2378" t="str">
            <v>82007Compagnie Internationale de NegoceScratch 1 000</v>
          </cell>
          <cell r="V2378" t="str">
            <v>39310Scratch 1 000</v>
          </cell>
          <cell r="W2378" t="str">
            <v>2007Compagnie Internationale de Negoce</v>
          </cell>
          <cell r="X2378" t="str">
            <v>2007Compagnie Internationale de NegoceScratch 1 000</v>
          </cell>
        </row>
        <row r="2379">
          <cell r="I2379">
            <v>2007</v>
          </cell>
          <cell r="J2379" t="str">
            <v>GEMATELScratch 5 000</v>
          </cell>
          <cell r="L2379">
            <v>1</v>
          </cell>
          <cell r="M2379" t="str">
            <v>1GEMATEL</v>
          </cell>
          <cell r="N2379" t="str">
            <v>GEMATELScratch 5 000</v>
          </cell>
          <cell r="O2379" t="str">
            <v>GEMATEL</v>
          </cell>
          <cell r="P2379" t="str">
            <v>Scratch 5 000</v>
          </cell>
          <cell r="Q2379" t="str">
            <v>82007</v>
          </cell>
          <cell r="R2379" t="str">
            <v>82007Scratch 5 000</v>
          </cell>
          <cell r="S2379" t="str">
            <v>2007Scratch 5 000</v>
          </cell>
          <cell r="T2379" t="str">
            <v>82007GEMATEL</v>
          </cell>
          <cell r="U2379" t="str">
            <v>82007GEMATELScratch 5 000</v>
          </cell>
          <cell r="V2379" t="str">
            <v>39310Scratch 5 000</v>
          </cell>
          <cell r="W2379" t="str">
            <v>2007GEMATEL</v>
          </cell>
          <cell r="X2379" t="str">
            <v>2007GEMATELScratch 5 000</v>
          </cell>
        </row>
        <row r="2380">
          <cell r="I2380">
            <v>2007</v>
          </cell>
          <cell r="J2380" t="str">
            <v>GEMATELScratch 2 000</v>
          </cell>
          <cell r="L2380">
            <v>0</v>
          </cell>
          <cell r="M2380" t="str">
            <v>GEMATEL</v>
          </cell>
          <cell r="N2380" t="str">
            <v>GEMATELScratch 2 000</v>
          </cell>
          <cell r="O2380" t="str">
            <v>GEMATEL</v>
          </cell>
          <cell r="P2380" t="str">
            <v>Scratch 2 000</v>
          </cell>
          <cell r="Q2380" t="str">
            <v>82007</v>
          </cell>
          <cell r="R2380" t="str">
            <v>82007Scratch 2 000</v>
          </cell>
          <cell r="S2380" t="str">
            <v>2007Scratch 2 000</v>
          </cell>
          <cell r="T2380" t="str">
            <v>82007GEMATEL</v>
          </cell>
          <cell r="U2380" t="str">
            <v>82007GEMATELScratch 2 000</v>
          </cell>
          <cell r="V2380" t="str">
            <v>39310Scratch 2 000</v>
          </cell>
          <cell r="W2380" t="str">
            <v>2007GEMATEL</v>
          </cell>
          <cell r="X2380" t="str">
            <v>2007GEMATELScratch 2 000</v>
          </cell>
        </row>
        <row r="2381">
          <cell r="I2381">
            <v>2007</v>
          </cell>
          <cell r="J2381" t="str">
            <v>GEMATELScratch 1 000</v>
          </cell>
          <cell r="L2381">
            <v>0</v>
          </cell>
          <cell r="M2381" t="str">
            <v>GEMATEL</v>
          </cell>
          <cell r="N2381" t="str">
            <v>GEMATELScratch 1 000</v>
          </cell>
          <cell r="O2381" t="str">
            <v>GEMATEL</v>
          </cell>
          <cell r="P2381" t="str">
            <v>Scratch 1 000</v>
          </cell>
          <cell r="Q2381" t="str">
            <v>82007</v>
          </cell>
          <cell r="R2381" t="str">
            <v>82007Scratch 1 000</v>
          </cell>
          <cell r="S2381" t="str">
            <v>2007Scratch 1 000</v>
          </cell>
          <cell r="T2381" t="str">
            <v>82007GEMATEL</v>
          </cell>
          <cell r="U2381" t="str">
            <v>82007GEMATELScratch 1 000</v>
          </cell>
          <cell r="V2381" t="str">
            <v>39310Scratch 1 000</v>
          </cell>
          <cell r="W2381" t="str">
            <v>2007GEMATEL</v>
          </cell>
          <cell r="X2381" t="str">
            <v>2007GEMATELScratch 1 000</v>
          </cell>
        </row>
        <row r="2382">
          <cell r="I2382">
            <v>2007</v>
          </cell>
          <cell r="J2382" t="str">
            <v>ANKA SERVICESScratch 5 000</v>
          </cell>
          <cell r="L2382">
            <v>1</v>
          </cell>
          <cell r="M2382" t="str">
            <v>1ANKA SERVICES</v>
          </cell>
          <cell r="N2382" t="str">
            <v>ANKA SERVICESScratch 5 000</v>
          </cell>
          <cell r="O2382" t="str">
            <v>ANKA SERVICES</v>
          </cell>
          <cell r="P2382" t="str">
            <v>Scratch 5 000</v>
          </cell>
          <cell r="Q2382" t="str">
            <v>82007</v>
          </cell>
          <cell r="R2382" t="str">
            <v>82007Scratch 5 000</v>
          </cell>
          <cell r="S2382" t="str">
            <v>2007Scratch 5 000</v>
          </cell>
          <cell r="T2382" t="str">
            <v>82007ANKA SERVICES</v>
          </cell>
          <cell r="U2382" t="str">
            <v>82007ANKA SERVICESScratch 5 000</v>
          </cell>
          <cell r="V2382" t="str">
            <v>39310Scratch 5 000</v>
          </cell>
          <cell r="W2382" t="str">
            <v>2007ANKA SERVICES</v>
          </cell>
          <cell r="X2382" t="str">
            <v>2007ANKA SERVICESScratch 5 000</v>
          </cell>
        </row>
        <row r="2383">
          <cell r="I2383">
            <v>2007</v>
          </cell>
          <cell r="J2383" t="str">
            <v>ANKA SERVICESScratch 2 000</v>
          </cell>
          <cell r="L2383">
            <v>0</v>
          </cell>
          <cell r="M2383" t="str">
            <v>ANKA SERVICES</v>
          </cell>
          <cell r="N2383" t="str">
            <v>ANKA SERVICESScratch 2 000</v>
          </cell>
          <cell r="O2383" t="str">
            <v>ANKA SERVICES</v>
          </cell>
          <cell r="P2383" t="str">
            <v>Scratch 2 000</v>
          </cell>
          <cell r="Q2383" t="str">
            <v>82007</v>
          </cell>
          <cell r="R2383" t="str">
            <v>82007Scratch 2 000</v>
          </cell>
          <cell r="S2383" t="str">
            <v>2007Scratch 2 000</v>
          </cell>
          <cell r="T2383" t="str">
            <v>82007ANKA SERVICES</v>
          </cell>
          <cell r="U2383" t="str">
            <v>82007ANKA SERVICESScratch 2 000</v>
          </cell>
          <cell r="V2383" t="str">
            <v>39310Scratch 2 000</v>
          </cell>
          <cell r="W2383" t="str">
            <v>2007ANKA SERVICES</v>
          </cell>
          <cell r="X2383" t="str">
            <v>2007ANKA SERVICESScratch 2 000</v>
          </cell>
        </row>
        <row r="2384">
          <cell r="I2384">
            <v>2007</v>
          </cell>
          <cell r="J2384" t="str">
            <v>ANKA SERVICESScratch 1 000</v>
          </cell>
          <cell r="L2384">
            <v>0</v>
          </cell>
          <cell r="M2384" t="str">
            <v>ANKA SERVICES</v>
          </cell>
          <cell r="N2384" t="str">
            <v>ANKA SERVICESScratch 1 000</v>
          </cell>
          <cell r="O2384" t="str">
            <v>ANKA SERVICES</v>
          </cell>
          <cell r="P2384" t="str">
            <v>Scratch 1 000</v>
          </cell>
          <cell r="Q2384" t="str">
            <v>82007</v>
          </cell>
          <cell r="R2384" t="str">
            <v>82007Scratch 1 000</v>
          </cell>
          <cell r="S2384" t="str">
            <v>2007Scratch 1 000</v>
          </cell>
          <cell r="T2384" t="str">
            <v>82007ANKA SERVICES</v>
          </cell>
          <cell r="U2384" t="str">
            <v>82007ANKA SERVICESScratch 1 000</v>
          </cell>
          <cell r="V2384" t="str">
            <v>39310Scratch 1 000</v>
          </cell>
          <cell r="W2384" t="str">
            <v>2007ANKA SERVICES</v>
          </cell>
          <cell r="X2384" t="str">
            <v>2007ANKA SERVICESScratch 1 000</v>
          </cell>
        </row>
        <row r="2385">
          <cell r="I2385">
            <v>2007</v>
          </cell>
          <cell r="J2385" t="str">
            <v>Burtel MacsymScratch 20 000</v>
          </cell>
          <cell r="L2385">
            <v>1</v>
          </cell>
          <cell r="M2385" t="str">
            <v>1Burtel Macsym</v>
          </cell>
          <cell r="N2385" t="str">
            <v>Burtel MacsymScratch 20 000</v>
          </cell>
          <cell r="O2385" t="str">
            <v>Burtel Macsym</v>
          </cell>
          <cell r="P2385" t="str">
            <v>Scratch 20 000</v>
          </cell>
          <cell r="Q2385" t="str">
            <v>82007</v>
          </cell>
          <cell r="R2385" t="str">
            <v>82007Scratch 20 000</v>
          </cell>
          <cell r="S2385" t="str">
            <v>2007Scratch 20 000</v>
          </cell>
          <cell r="T2385" t="str">
            <v>82007Burtel Macsym</v>
          </cell>
          <cell r="U2385" t="str">
            <v>82007Burtel MacsymScratch 20 000</v>
          </cell>
          <cell r="V2385" t="str">
            <v>39311Scratch 20 000</v>
          </cell>
          <cell r="W2385" t="str">
            <v>2007Burtel Macsym</v>
          </cell>
          <cell r="X2385" t="str">
            <v>2007Burtel MacsymScratch 20 000</v>
          </cell>
        </row>
        <row r="2386">
          <cell r="I2386">
            <v>2007</v>
          </cell>
          <cell r="J2386" t="str">
            <v>Burtel MacsymScratch 10 000</v>
          </cell>
          <cell r="L2386">
            <v>0</v>
          </cell>
          <cell r="M2386" t="str">
            <v>Burtel Macsym</v>
          </cell>
          <cell r="N2386" t="str">
            <v>Burtel MacsymScratch 10 000</v>
          </cell>
          <cell r="O2386" t="str">
            <v>Burtel Macsym</v>
          </cell>
          <cell r="P2386" t="str">
            <v>Scratch 10 000</v>
          </cell>
          <cell r="Q2386" t="str">
            <v>82007</v>
          </cell>
          <cell r="R2386" t="str">
            <v>82007Scratch 10 000</v>
          </cell>
          <cell r="S2386" t="str">
            <v>2007Scratch 10 000</v>
          </cell>
          <cell r="T2386" t="str">
            <v>82007Burtel Macsym</v>
          </cell>
          <cell r="U2386" t="str">
            <v>82007Burtel MacsymScratch 10 000</v>
          </cell>
          <cell r="V2386" t="str">
            <v>39311Scratch 10 000</v>
          </cell>
          <cell r="W2386" t="str">
            <v>2007Burtel Macsym</v>
          </cell>
          <cell r="X2386" t="str">
            <v>2007Burtel MacsymScratch 10 000</v>
          </cell>
        </row>
        <row r="2387">
          <cell r="I2387">
            <v>2007</v>
          </cell>
          <cell r="J2387" t="str">
            <v>Burtel MacsymScratch 5 000</v>
          </cell>
          <cell r="L2387">
            <v>0</v>
          </cell>
          <cell r="M2387" t="str">
            <v>Burtel Macsym</v>
          </cell>
          <cell r="N2387" t="str">
            <v>Burtel MacsymScratch 5 000</v>
          </cell>
          <cell r="O2387" t="str">
            <v>Burtel Macsym</v>
          </cell>
          <cell r="P2387" t="str">
            <v>Scratch 5 000</v>
          </cell>
          <cell r="Q2387" t="str">
            <v>82007</v>
          </cell>
          <cell r="R2387" t="str">
            <v>82007Scratch 5 000</v>
          </cell>
          <cell r="S2387" t="str">
            <v>2007Scratch 5 000</v>
          </cell>
          <cell r="T2387" t="str">
            <v>82007Burtel Macsym</v>
          </cell>
          <cell r="U2387" t="str">
            <v>82007Burtel MacsymScratch 5 000</v>
          </cell>
          <cell r="V2387" t="str">
            <v>39311Scratch 5 000</v>
          </cell>
          <cell r="W2387" t="str">
            <v>2007Burtel Macsym</v>
          </cell>
          <cell r="X2387" t="str">
            <v>2007Burtel MacsymScratch 5 000</v>
          </cell>
        </row>
        <row r="2388">
          <cell r="I2388">
            <v>2007</v>
          </cell>
          <cell r="J2388" t="str">
            <v>Burtel MacsymScratch 2 000</v>
          </cell>
          <cell r="L2388">
            <v>0</v>
          </cell>
          <cell r="M2388" t="str">
            <v>Burtel Macsym</v>
          </cell>
          <cell r="N2388" t="str">
            <v>Burtel MacsymScratch 2 000</v>
          </cell>
          <cell r="O2388" t="str">
            <v>Burtel Macsym</v>
          </cell>
          <cell r="P2388" t="str">
            <v>Scratch 2 000</v>
          </cell>
          <cell r="Q2388" t="str">
            <v>82007</v>
          </cell>
          <cell r="R2388" t="str">
            <v>82007Scratch 2 000</v>
          </cell>
          <cell r="S2388" t="str">
            <v>2007Scratch 2 000</v>
          </cell>
          <cell r="T2388" t="str">
            <v>82007Burtel Macsym</v>
          </cell>
          <cell r="U2388" t="str">
            <v>82007Burtel MacsymScratch 2 000</v>
          </cell>
          <cell r="V2388" t="str">
            <v>39311Scratch 2 000</v>
          </cell>
          <cell r="W2388" t="str">
            <v>2007Burtel Macsym</v>
          </cell>
          <cell r="X2388" t="str">
            <v>2007Burtel MacsymScratch 2 000</v>
          </cell>
        </row>
        <row r="2389">
          <cell r="I2389">
            <v>2007</v>
          </cell>
          <cell r="J2389" t="str">
            <v>Burtel MacsymScratch 1 000</v>
          </cell>
          <cell r="L2389">
            <v>0</v>
          </cell>
          <cell r="M2389" t="str">
            <v>Burtel Macsym</v>
          </cell>
          <cell r="N2389" t="str">
            <v>Burtel MacsymScratch 1 000</v>
          </cell>
          <cell r="O2389" t="str">
            <v>Burtel Macsym</v>
          </cell>
          <cell r="P2389" t="str">
            <v>Scratch 1 000</v>
          </cell>
          <cell r="Q2389" t="str">
            <v>82007</v>
          </cell>
          <cell r="R2389" t="str">
            <v>82007Scratch 1 000</v>
          </cell>
          <cell r="S2389" t="str">
            <v>2007Scratch 1 000</v>
          </cell>
          <cell r="T2389" t="str">
            <v>82007Burtel Macsym</v>
          </cell>
          <cell r="U2389" t="str">
            <v>82007Burtel MacsymScratch 1 000</v>
          </cell>
          <cell r="V2389" t="str">
            <v>39311Scratch 1 000</v>
          </cell>
          <cell r="W2389" t="str">
            <v>2007Burtel Macsym</v>
          </cell>
          <cell r="X2389" t="str">
            <v>2007Burtel MacsymScratch 1 000</v>
          </cell>
        </row>
        <row r="2390">
          <cell r="I2390">
            <v>2007</v>
          </cell>
          <cell r="J2390" t="str">
            <v>MALI COM SarlScratch 20 000</v>
          </cell>
          <cell r="L2390">
            <v>1</v>
          </cell>
          <cell r="M2390" t="str">
            <v>1MALI COM Sarl</v>
          </cell>
          <cell r="N2390" t="str">
            <v>MALI COM SarlScratch 20 000</v>
          </cell>
          <cell r="O2390" t="str">
            <v>MALI COM Sarl</v>
          </cell>
          <cell r="P2390" t="str">
            <v>Scratch 20 000</v>
          </cell>
          <cell r="Q2390" t="str">
            <v>82007</v>
          </cell>
          <cell r="R2390" t="str">
            <v>82007Scratch 20 000</v>
          </cell>
          <cell r="S2390" t="str">
            <v>2007Scratch 20 000</v>
          </cell>
          <cell r="T2390" t="str">
            <v>82007MALI COM Sarl</v>
          </cell>
          <cell r="U2390" t="str">
            <v>82007MALI COM SarlScratch 20 000</v>
          </cell>
          <cell r="V2390" t="str">
            <v>39311Scratch 20 000</v>
          </cell>
          <cell r="W2390" t="str">
            <v>2007MALI COM Sarl</v>
          </cell>
          <cell r="X2390" t="str">
            <v>2007MALI COM SarlScratch 20 000</v>
          </cell>
        </row>
        <row r="2391">
          <cell r="I2391">
            <v>2007</v>
          </cell>
          <cell r="J2391" t="str">
            <v>MALI COM SarlScratch 5 000</v>
          </cell>
          <cell r="L2391">
            <v>0</v>
          </cell>
          <cell r="M2391" t="str">
            <v>MALI COM Sarl</v>
          </cell>
          <cell r="N2391" t="str">
            <v>MALI COM SarlScratch 5 000</v>
          </cell>
          <cell r="O2391" t="str">
            <v>MALI COM Sarl</v>
          </cell>
          <cell r="P2391" t="str">
            <v>Scratch 5 000</v>
          </cell>
          <cell r="Q2391" t="str">
            <v>82007</v>
          </cell>
          <cell r="R2391" t="str">
            <v>82007Scratch 5 000</v>
          </cell>
          <cell r="S2391" t="str">
            <v>2007Scratch 5 000</v>
          </cell>
          <cell r="T2391" t="str">
            <v>82007MALI COM Sarl</v>
          </cell>
          <cell r="U2391" t="str">
            <v>82007MALI COM SarlScratch 5 000</v>
          </cell>
          <cell r="V2391" t="str">
            <v>39311Scratch 5 000</v>
          </cell>
          <cell r="W2391" t="str">
            <v>2007MALI COM Sarl</v>
          </cell>
          <cell r="X2391" t="str">
            <v>2007MALI COM SarlScratch 5 000</v>
          </cell>
        </row>
        <row r="2392">
          <cell r="I2392">
            <v>2007</v>
          </cell>
          <cell r="J2392" t="str">
            <v>MALI COM SarlScratch 2 000</v>
          </cell>
          <cell r="L2392">
            <v>0</v>
          </cell>
          <cell r="M2392" t="str">
            <v>MALI COM Sarl</v>
          </cell>
          <cell r="N2392" t="str">
            <v>MALI COM SarlScratch 2 000</v>
          </cell>
          <cell r="O2392" t="str">
            <v>MALI COM Sarl</v>
          </cell>
          <cell r="P2392" t="str">
            <v>Scratch 2 000</v>
          </cell>
          <cell r="Q2392" t="str">
            <v>82007</v>
          </cell>
          <cell r="R2392" t="str">
            <v>82007Scratch 2 000</v>
          </cell>
          <cell r="S2392" t="str">
            <v>2007Scratch 2 000</v>
          </cell>
          <cell r="T2392" t="str">
            <v>82007MALI COM Sarl</v>
          </cell>
          <cell r="U2392" t="str">
            <v>82007MALI COM SarlScratch 2 000</v>
          </cell>
          <cell r="V2392" t="str">
            <v>39311Scratch 2 000</v>
          </cell>
          <cell r="W2392" t="str">
            <v>2007MALI COM Sarl</v>
          </cell>
          <cell r="X2392" t="str">
            <v>2007MALI COM SarlScratch 2 000</v>
          </cell>
        </row>
        <row r="2393">
          <cell r="I2393">
            <v>2007</v>
          </cell>
          <cell r="J2393" t="str">
            <v>MALI COM SarlScratch 1 000</v>
          </cell>
          <cell r="L2393">
            <v>0</v>
          </cell>
          <cell r="M2393" t="str">
            <v>MALI COM Sarl</v>
          </cell>
          <cell r="N2393" t="str">
            <v>MALI COM SarlScratch 1 000</v>
          </cell>
          <cell r="O2393" t="str">
            <v>MALI COM Sarl</v>
          </cell>
          <cell r="P2393" t="str">
            <v>Scratch 1 000</v>
          </cell>
          <cell r="Q2393" t="str">
            <v>82007</v>
          </cell>
          <cell r="R2393" t="str">
            <v>82007Scratch 1 000</v>
          </cell>
          <cell r="S2393" t="str">
            <v>2007Scratch 1 000</v>
          </cell>
          <cell r="T2393" t="str">
            <v>82007MALI COM Sarl</v>
          </cell>
          <cell r="U2393" t="str">
            <v>82007MALI COM SarlScratch 1 000</v>
          </cell>
          <cell r="V2393" t="str">
            <v>39311Scratch 1 000</v>
          </cell>
          <cell r="W2393" t="str">
            <v>2007MALI COM Sarl</v>
          </cell>
          <cell r="X2393" t="str">
            <v>2007MALI COM SarlScratch 1 000</v>
          </cell>
        </row>
        <row r="2394">
          <cell r="I2394">
            <v>2007</v>
          </cell>
          <cell r="J2394" t="str">
            <v>Bonneterie Nouvelle TelecomScratch 20 000</v>
          </cell>
          <cell r="L2394">
            <v>1</v>
          </cell>
          <cell r="M2394" t="str">
            <v>1Bonneterie Nouvelle Telecom</v>
          </cell>
          <cell r="N2394" t="str">
            <v>Bonneterie Nouvelle TelecomScratch 20 000</v>
          </cell>
          <cell r="O2394" t="str">
            <v>Bonneterie Nouvelle Telecom</v>
          </cell>
          <cell r="P2394" t="str">
            <v>Scratch 20 000</v>
          </cell>
          <cell r="Q2394" t="str">
            <v>82007</v>
          </cell>
          <cell r="R2394" t="str">
            <v>82007Scratch 20 000</v>
          </cell>
          <cell r="S2394" t="str">
            <v>2007Scratch 20 000</v>
          </cell>
          <cell r="T2394" t="str">
            <v>82007Bonneterie Nouvelle Telecom</v>
          </cell>
          <cell r="U2394" t="str">
            <v>82007Bonneterie Nouvelle TelecomScratch 20 000</v>
          </cell>
          <cell r="V2394" t="str">
            <v>39311Scratch 20 000</v>
          </cell>
          <cell r="W2394" t="str">
            <v>2007Bonneterie Nouvelle Telecom</v>
          </cell>
          <cell r="X2394" t="str">
            <v>2007Bonneterie Nouvelle TelecomScratch 20 000</v>
          </cell>
        </row>
        <row r="2395">
          <cell r="I2395">
            <v>2007</v>
          </cell>
          <cell r="J2395" t="str">
            <v>Bonneterie Nouvelle TelecomScratch 5 000</v>
          </cell>
          <cell r="L2395">
            <v>0</v>
          </cell>
          <cell r="M2395" t="str">
            <v>Bonneterie Nouvelle Telecom</v>
          </cell>
          <cell r="N2395" t="str">
            <v>Bonneterie Nouvelle TelecomScratch 5 000</v>
          </cell>
          <cell r="O2395" t="str">
            <v>Bonneterie Nouvelle Telecom</v>
          </cell>
          <cell r="P2395" t="str">
            <v>Scratch 5 000</v>
          </cell>
          <cell r="Q2395" t="str">
            <v>82007</v>
          </cell>
          <cell r="R2395" t="str">
            <v>82007Scratch 5 000</v>
          </cell>
          <cell r="S2395" t="str">
            <v>2007Scratch 5 000</v>
          </cell>
          <cell r="T2395" t="str">
            <v>82007Bonneterie Nouvelle Telecom</v>
          </cell>
          <cell r="U2395" t="str">
            <v>82007Bonneterie Nouvelle TelecomScratch 5 000</v>
          </cell>
          <cell r="V2395" t="str">
            <v>39311Scratch 5 000</v>
          </cell>
          <cell r="W2395" t="str">
            <v>2007Bonneterie Nouvelle Telecom</v>
          </cell>
          <cell r="X2395" t="str">
            <v>2007Bonneterie Nouvelle TelecomScratch 5 000</v>
          </cell>
        </row>
        <row r="2396">
          <cell r="I2396">
            <v>2007</v>
          </cell>
          <cell r="J2396" t="str">
            <v>Bonneterie Nouvelle TelecomScratch 2 000</v>
          </cell>
          <cell r="L2396">
            <v>0</v>
          </cell>
          <cell r="M2396" t="str">
            <v>Bonneterie Nouvelle Telecom</v>
          </cell>
          <cell r="N2396" t="str">
            <v>Bonneterie Nouvelle TelecomScratch 2 000</v>
          </cell>
          <cell r="O2396" t="str">
            <v>Bonneterie Nouvelle Telecom</v>
          </cell>
          <cell r="P2396" t="str">
            <v>Scratch 2 000</v>
          </cell>
          <cell r="Q2396" t="str">
            <v>82007</v>
          </cell>
          <cell r="R2396" t="str">
            <v>82007Scratch 2 000</v>
          </cell>
          <cell r="S2396" t="str">
            <v>2007Scratch 2 000</v>
          </cell>
          <cell r="T2396" t="str">
            <v>82007Bonneterie Nouvelle Telecom</v>
          </cell>
          <cell r="U2396" t="str">
            <v>82007Bonneterie Nouvelle TelecomScratch 2 000</v>
          </cell>
          <cell r="V2396" t="str">
            <v>39311Scratch 2 000</v>
          </cell>
          <cell r="W2396" t="str">
            <v>2007Bonneterie Nouvelle Telecom</v>
          </cell>
          <cell r="X2396" t="str">
            <v>2007Bonneterie Nouvelle TelecomScratch 2 000</v>
          </cell>
        </row>
        <row r="2397">
          <cell r="I2397">
            <v>2007</v>
          </cell>
          <cell r="J2397" t="str">
            <v>Bonneterie Nouvelle TelecomScratch 1 000</v>
          </cell>
          <cell r="L2397">
            <v>0</v>
          </cell>
          <cell r="M2397" t="str">
            <v>Bonneterie Nouvelle Telecom</v>
          </cell>
          <cell r="N2397" t="str">
            <v>Bonneterie Nouvelle TelecomScratch 1 000</v>
          </cell>
          <cell r="O2397" t="str">
            <v>Bonneterie Nouvelle Telecom</v>
          </cell>
          <cell r="P2397" t="str">
            <v>Scratch 1 000</v>
          </cell>
          <cell r="Q2397" t="str">
            <v>82007</v>
          </cell>
          <cell r="R2397" t="str">
            <v>82007Scratch 1 000</v>
          </cell>
          <cell r="S2397" t="str">
            <v>2007Scratch 1 000</v>
          </cell>
          <cell r="T2397" t="str">
            <v>82007Bonneterie Nouvelle Telecom</v>
          </cell>
          <cell r="U2397" t="str">
            <v>82007Bonneterie Nouvelle TelecomScratch 1 000</v>
          </cell>
          <cell r="V2397" t="str">
            <v>39311Scratch 1 000</v>
          </cell>
          <cell r="W2397" t="str">
            <v>2007Bonneterie Nouvelle Telecom</v>
          </cell>
          <cell r="X2397" t="str">
            <v>2007Bonneterie Nouvelle TelecomScratch 1 000</v>
          </cell>
        </row>
        <row r="2398">
          <cell r="I2398">
            <v>2007</v>
          </cell>
          <cell r="J2398" t="str">
            <v>Ets Boubacar TANDIAScratch 20 000</v>
          </cell>
          <cell r="L2398">
            <v>1</v>
          </cell>
          <cell r="M2398" t="str">
            <v>1Ets Boubacar TANDIA</v>
          </cell>
          <cell r="N2398" t="str">
            <v>Ets Boubacar TANDIAScratch 20 000</v>
          </cell>
          <cell r="O2398" t="str">
            <v>Ets Boubacar TANDIA</v>
          </cell>
          <cell r="P2398" t="str">
            <v>Scratch 20 000</v>
          </cell>
          <cell r="Q2398" t="str">
            <v>82007</v>
          </cell>
          <cell r="R2398" t="str">
            <v>82007Scratch 20 000</v>
          </cell>
          <cell r="S2398" t="str">
            <v>2007Scratch 20 000</v>
          </cell>
          <cell r="T2398" t="str">
            <v>82007Ets Boubacar TANDIA</v>
          </cell>
          <cell r="U2398" t="str">
            <v>82007Ets Boubacar TANDIAScratch 20 000</v>
          </cell>
          <cell r="V2398" t="str">
            <v>39311Scratch 20 000</v>
          </cell>
          <cell r="W2398" t="str">
            <v>2007Ets Boubacar TANDIA</v>
          </cell>
          <cell r="X2398" t="str">
            <v>2007Ets Boubacar TANDIAScratch 20 000</v>
          </cell>
        </row>
        <row r="2399">
          <cell r="I2399">
            <v>2007</v>
          </cell>
          <cell r="J2399" t="str">
            <v>Ets Boubacar TANDIAScratch 5 000</v>
          </cell>
          <cell r="L2399">
            <v>0</v>
          </cell>
          <cell r="M2399" t="str">
            <v>Ets Boubacar TANDIA</v>
          </cell>
          <cell r="N2399" t="str">
            <v>Ets Boubacar TANDIAScratch 5 000</v>
          </cell>
          <cell r="O2399" t="str">
            <v>Ets Boubacar TANDIA</v>
          </cell>
          <cell r="P2399" t="str">
            <v>Scratch 5 000</v>
          </cell>
          <cell r="Q2399" t="str">
            <v>82007</v>
          </cell>
          <cell r="R2399" t="str">
            <v>82007Scratch 5 000</v>
          </cell>
          <cell r="S2399" t="str">
            <v>2007Scratch 5 000</v>
          </cell>
          <cell r="T2399" t="str">
            <v>82007Ets Boubacar TANDIA</v>
          </cell>
          <cell r="U2399" t="str">
            <v>82007Ets Boubacar TANDIAScratch 5 000</v>
          </cell>
          <cell r="V2399" t="str">
            <v>39311Scratch 5 000</v>
          </cell>
          <cell r="W2399" t="str">
            <v>2007Ets Boubacar TANDIA</v>
          </cell>
          <cell r="X2399" t="str">
            <v>2007Ets Boubacar TANDIAScratch 5 000</v>
          </cell>
        </row>
        <row r="2400">
          <cell r="I2400">
            <v>2007</v>
          </cell>
          <cell r="J2400" t="str">
            <v>Ets Boubacar TANDIAScratch 2 000</v>
          </cell>
          <cell r="L2400">
            <v>0</v>
          </cell>
          <cell r="M2400" t="str">
            <v>Ets Boubacar TANDIA</v>
          </cell>
          <cell r="N2400" t="str">
            <v>Ets Boubacar TANDIAScratch 2 000</v>
          </cell>
          <cell r="O2400" t="str">
            <v>Ets Boubacar TANDIA</v>
          </cell>
          <cell r="P2400" t="str">
            <v>Scratch 2 000</v>
          </cell>
          <cell r="Q2400" t="str">
            <v>82007</v>
          </cell>
          <cell r="R2400" t="str">
            <v>82007Scratch 2 000</v>
          </cell>
          <cell r="S2400" t="str">
            <v>2007Scratch 2 000</v>
          </cell>
          <cell r="T2400" t="str">
            <v>82007Ets Boubacar TANDIA</v>
          </cell>
          <cell r="U2400" t="str">
            <v>82007Ets Boubacar TANDIAScratch 2 000</v>
          </cell>
          <cell r="V2400" t="str">
            <v>39311Scratch 2 000</v>
          </cell>
          <cell r="W2400" t="str">
            <v>2007Ets Boubacar TANDIA</v>
          </cell>
          <cell r="X2400" t="str">
            <v>2007Ets Boubacar TANDIAScratch 2 000</v>
          </cell>
        </row>
        <row r="2401">
          <cell r="I2401">
            <v>2007</v>
          </cell>
          <cell r="J2401" t="str">
            <v>Ets Boubacar TANDIAScratch 1 000</v>
          </cell>
          <cell r="L2401">
            <v>0</v>
          </cell>
          <cell r="M2401" t="str">
            <v>Ets Boubacar TANDIA</v>
          </cell>
          <cell r="N2401" t="str">
            <v>Ets Boubacar TANDIAScratch 1 000</v>
          </cell>
          <cell r="O2401" t="str">
            <v>Ets Boubacar TANDIA</v>
          </cell>
          <cell r="P2401" t="str">
            <v>Scratch 1 000</v>
          </cell>
          <cell r="Q2401" t="str">
            <v>82007</v>
          </cell>
          <cell r="R2401" t="str">
            <v>82007Scratch 1 000</v>
          </cell>
          <cell r="S2401" t="str">
            <v>2007Scratch 1 000</v>
          </cell>
          <cell r="T2401" t="str">
            <v>82007Ets Boubacar TANDIA</v>
          </cell>
          <cell r="U2401" t="str">
            <v>82007Ets Boubacar TANDIAScratch 1 000</v>
          </cell>
          <cell r="V2401" t="str">
            <v>39311Scratch 1 000</v>
          </cell>
          <cell r="W2401" t="str">
            <v>2007Ets Boubacar TANDIA</v>
          </cell>
          <cell r="X2401" t="str">
            <v>2007Ets Boubacar TANDIAScratch 1 000</v>
          </cell>
        </row>
        <row r="2402">
          <cell r="I2402">
            <v>2007</v>
          </cell>
          <cell r="J2402" t="str">
            <v>GEMATELScratch 20 000</v>
          </cell>
          <cell r="L2402">
            <v>1</v>
          </cell>
          <cell r="M2402" t="str">
            <v>1GEMATEL</v>
          </cell>
          <cell r="N2402" t="str">
            <v>GEMATELScratch 20 000</v>
          </cell>
          <cell r="O2402" t="str">
            <v>GEMATEL</v>
          </cell>
          <cell r="P2402" t="str">
            <v>Scratch 20 000</v>
          </cell>
          <cell r="Q2402" t="str">
            <v>82007</v>
          </cell>
          <cell r="R2402" t="str">
            <v>82007Scratch 20 000</v>
          </cell>
          <cell r="S2402" t="str">
            <v>2007Scratch 20 000</v>
          </cell>
          <cell r="T2402" t="str">
            <v>82007GEMATEL</v>
          </cell>
          <cell r="U2402" t="str">
            <v>82007GEMATELScratch 20 000</v>
          </cell>
          <cell r="V2402" t="str">
            <v>39311Scratch 20 000</v>
          </cell>
          <cell r="W2402" t="str">
            <v>2007GEMATEL</v>
          </cell>
          <cell r="X2402" t="str">
            <v>2007GEMATELScratch 20 000</v>
          </cell>
        </row>
        <row r="2403">
          <cell r="I2403">
            <v>2007</v>
          </cell>
          <cell r="J2403" t="str">
            <v>GEMATELScratch 10 000</v>
          </cell>
          <cell r="L2403">
            <v>0</v>
          </cell>
          <cell r="M2403" t="str">
            <v>GEMATEL</v>
          </cell>
          <cell r="N2403" t="str">
            <v>GEMATELScratch 10 000</v>
          </cell>
          <cell r="O2403" t="str">
            <v>GEMATEL</v>
          </cell>
          <cell r="P2403" t="str">
            <v>Scratch 10 000</v>
          </cell>
          <cell r="Q2403" t="str">
            <v>82007</v>
          </cell>
          <cell r="R2403" t="str">
            <v>82007Scratch 10 000</v>
          </cell>
          <cell r="S2403" t="str">
            <v>2007Scratch 10 000</v>
          </cell>
          <cell r="T2403" t="str">
            <v>82007GEMATEL</v>
          </cell>
          <cell r="U2403" t="str">
            <v>82007GEMATELScratch 10 000</v>
          </cell>
          <cell r="V2403" t="str">
            <v>39311Scratch 10 000</v>
          </cell>
          <cell r="W2403" t="str">
            <v>2007GEMATEL</v>
          </cell>
          <cell r="X2403" t="str">
            <v>2007GEMATELScratch 10 000</v>
          </cell>
        </row>
        <row r="2404">
          <cell r="I2404">
            <v>2007</v>
          </cell>
          <cell r="J2404" t="str">
            <v>GEMATELScratch 5 000</v>
          </cell>
          <cell r="L2404">
            <v>0</v>
          </cell>
          <cell r="M2404" t="str">
            <v>GEMATEL</v>
          </cell>
          <cell r="N2404" t="str">
            <v>GEMATELScratch 5 000</v>
          </cell>
          <cell r="O2404" t="str">
            <v>GEMATEL</v>
          </cell>
          <cell r="P2404" t="str">
            <v>Scratch 5 000</v>
          </cell>
          <cell r="Q2404" t="str">
            <v>82007</v>
          </cell>
          <cell r="R2404" t="str">
            <v>82007Scratch 5 000</v>
          </cell>
          <cell r="S2404" t="str">
            <v>2007Scratch 5 000</v>
          </cell>
          <cell r="T2404" t="str">
            <v>82007GEMATEL</v>
          </cell>
          <cell r="U2404" t="str">
            <v>82007GEMATELScratch 5 000</v>
          </cell>
          <cell r="V2404" t="str">
            <v>39311Scratch 5 000</v>
          </cell>
          <cell r="W2404" t="str">
            <v>2007GEMATEL</v>
          </cell>
          <cell r="X2404" t="str">
            <v>2007GEMATELScratch 5 000</v>
          </cell>
        </row>
        <row r="2405">
          <cell r="I2405">
            <v>2007</v>
          </cell>
          <cell r="J2405" t="str">
            <v>GEMATELScratch 2 000</v>
          </cell>
          <cell r="L2405">
            <v>0</v>
          </cell>
          <cell r="M2405" t="str">
            <v>GEMATEL</v>
          </cell>
          <cell r="N2405" t="str">
            <v>GEMATELScratch 2 000</v>
          </cell>
          <cell r="O2405" t="str">
            <v>GEMATEL</v>
          </cell>
          <cell r="P2405" t="str">
            <v>Scratch 2 000</v>
          </cell>
          <cell r="Q2405" t="str">
            <v>82007</v>
          </cell>
          <cell r="R2405" t="str">
            <v>82007Scratch 2 000</v>
          </cell>
          <cell r="S2405" t="str">
            <v>2007Scratch 2 000</v>
          </cell>
          <cell r="T2405" t="str">
            <v>82007GEMATEL</v>
          </cell>
          <cell r="U2405" t="str">
            <v>82007GEMATELScratch 2 000</v>
          </cell>
          <cell r="V2405" t="str">
            <v>39311Scratch 2 000</v>
          </cell>
          <cell r="W2405" t="str">
            <v>2007GEMATEL</v>
          </cell>
          <cell r="X2405" t="str">
            <v>2007GEMATELScratch 2 000</v>
          </cell>
        </row>
        <row r="2406">
          <cell r="I2406">
            <v>2007</v>
          </cell>
          <cell r="J2406" t="str">
            <v>GEMATELScratch 1 000</v>
          </cell>
          <cell r="L2406">
            <v>0</v>
          </cell>
          <cell r="M2406" t="str">
            <v>GEMATEL</v>
          </cell>
          <cell r="N2406" t="str">
            <v>GEMATELScratch 1 000</v>
          </cell>
          <cell r="O2406" t="str">
            <v>GEMATEL</v>
          </cell>
          <cell r="P2406" t="str">
            <v>Scratch 1 000</v>
          </cell>
          <cell r="Q2406" t="str">
            <v>82007</v>
          </cell>
          <cell r="R2406" t="str">
            <v>82007Scratch 1 000</v>
          </cell>
          <cell r="S2406" t="str">
            <v>2007Scratch 1 000</v>
          </cell>
          <cell r="T2406" t="str">
            <v>82007GEMATEL</v>
          </cell>
          <cell r="U2406" t="str">
            <v>82007GEMATELScratch 1 000</v>
          </cell>
          <cell r="V2406" t="str">
            <v>39311Scratch 1 000</v>
          </cell>
          <cell r="W2406" t="str">
            <v>2007GEMATEL</v>
          </cell>
          <cell r="X2406" t="str">
            <v>2007GEMATELScratch 1 000</v>
          </cell>
        </row>
        <row r="2407">
          <cell r="I2407">
            <v>2007</v>
          </cell>
          <cell r="J2407" t="str">
            <v>ANKA SERVICESScratch 5 000</v>
          </cell>
          <cell r="L2407">
            <v>1</v>
          </cell>
          <cell r="M2407" t="str">
            <v>1ANKA SERVICES</v>
          </cell>
          <cell r="N2407" t="str">
            <v>ANKA SERVICESScratch 5 000</v>
          </cell>
          <cell r="O2407" t="str">
            <v>ANKA SERVICES</v>
          </cell>
          <cell r="P2407" t="str">
            <v>Scratch 5 000</v>
          </cell>
          <cell r="Q2407" t="str">
            <v>82007</v>
          </cell>
          <cell r="R2407" t="str">
            <v>82007Scratch 5 000</v>
          </cell>
          <cell r="S2407" t="str">
            <v>2007Scratch 5 000</v>
          </cell>
          <cell r="T2407" t="str">
            <v>82007ANKA SERVICES</v>
          </cell>
          <cell r="U2407" t="str">
            <v>82007ANKA SERVICESScratch 5 000</v>
          </cell>
          <cell r="V2407" t="str">
            <v>39311Scratch 5 000</v>
          </cell>
          <cell r="W2407" t="str">
            <v>2007ANKA SERVICES</v>
          </cell>
          <cell r="X2407" t="str">
            <v>2007ANKA SERVICESScratch 5 000</v>
          </cell>
        </row>
        <row r="2408">
          <cell r="I2408">
            <v>2007</v>
          </cell>
          <cell r="J2408" t="str">
            <v>ANKA SERVICESScratch 2 000</v>
          </cell>
          <cell r="L2408">
            <v>0</v>
          </cell>
          <cell r="M2408" t="str">
            <v>ANKA SERVICES</v>
          </cell>
          <cell r="N2408" t="str">
            <v>ANKA SERVICESScratch 2 000</v>
          </cell>
          <cell r="O2408" t="str">
            <v>ANKA SERVICES</v>
          </cell>
          <cell r="P2408" t="str">
            <v>Scratch 2 000</v>
          </cell>
          <cell r="Q2408" t="str">
            <v>82007</v>
          </cell>
          <cell r="R2408" t="str">
            <v>82007Scratch 2 000</v>
          </cell>
          <cell r="S2408" t="str">
            <v>2007Scratch 2 000</v>
          </cell>
          <cell r="T2408" t="str">
            <v>82007ANKA SERVICES</v>
          </cell>
          <cell r="U2408" t="str">
            <v>82007ANKA SERVICESScratch 2 000</v>
          </cell>
          <cell r="V2408" t="str">
            <v>39311Scratch 2 000</v>
          </cell>
          <cell r="W2408" t="str">
            <v>2007ANKA SERVICES</v>
          </cell>
          <cell r="X2408" t="str">
            <v>2007ANKA SERVICESScratch 2 000</v>
          </cell>
        </row>
        <row r="2409">
          <cell r="I2409">
            <v>2007</v>
          </cell>
          <cell r="J2409" t="str">
            <v>ANKA SERVICESScratch 1 000</v>
          </cell>
          <cell r="L2409">
            <v>0</v>
          </cell>
          <cell r="M2409" t="str">
            <v>ANKA SERVICES</v>
          </cell>
          <cell r="N2409" t="str">
            <v>ANKA SERVICESScratch 1 000</v>
          </cell>
          <cell r="O2409" t="str">
            <v>ANKA SERVICES</v>
          </cell>
          <cell r="P2409" t="str">
            <v>Scratch 1 000</v>
          </cell>
          <cell r="Q2409" t="str">
            <v>82007</v>
          </cell>
          <cell r="R2409" t="str">
            <v>82007Scratch 1 000</v>
          </cell>
          <cell r="S2409" t="str">
            <v>2007Scratch 1 000</v>
          </cell>
          <cell r="T2409" t="str">
            <v>82007ANKA SERVICES</v>
          </cell>
          <cell r="U2409" t="str">
            <v>82007ANKA SERVICESScratch 1 000</v>
          </cell>
          <cell r="V2409" t="str">
            <v>39311Scratch 1 000</v>
          </cell>
          <cell r="W2409" t="str">
            <v>2007ANKA SERVICES</v>
          </cell>
          <cell r="X2409" t="str">
            <v>2007ANKA SERVICESScratch 1 000</v>
          </cell>
        </row>
        <row r="2410">
          <cell r="I2410">
            <v>2007</v>
          </cell>
          <cell r="J2410" t="str">
            <v>Soleil LevantScratch 5 000</v>
          </cell>
          <cell r="L2410">
            <v>1</v>
          </cell>
          <cell r="M2410" t="str">
            <v>1Soleil Levant</v>
          </cell>
          <cell r="N2410" t="str">
            <v>Soleil LevantScratch 5 000</v>
          </cell>
          <cell r="O2410" t="str">
            <v>Soleil Levant</v>
          </cell>
          <cell r="P2410" t="str">
            <v>Scratch 5 000</v>
          </cell>
          <cell r="Q2410" t="str">
            <v>82007</v>
          </cell>
          <cell r="R2410" t="str">
            <v>82007Scratch 5 000</v>
          </cell>
          <cell r="S2410" t="str">
            <v>2007Scratch 5 000</v>
          </cell>
          <cell r="T2410" t="str">
            <v>82007Soleil Levant</v>
          </cell>
          <cell r="U2410" t="str">
            <v>82007Soleil LevantScratch 5 000</v>
          </cell>
          <cell r="V2410" t="str">
            <v>39314Scratch 5 000</v>
          </cell>
          <cell r="W2410" t="str">
            <v>2007Soleil Levant</v>
          </cell>
          <cell r="X2410" t="str">
            <v>2007Soleil LevantScratch 5 000</v>
          </cell>
        </row>
        <row r="2411">
          <cell r="I2411">
            <v>2007</v>
          </cell>
          <cell r="J2411" t="str">
            <v>Soleil LevantScratch 2 000</v>
          </cell>
          <cell r="L2411">
            <v>0</v>
          </cell>
          <cell r="M2411" t="str">
            <v>Soleil Levant</v>
          </cell>
          <cell r="N2411" t="str">
            <v>Soleil LevantScratch 2 000</v>
          </cell>
          <cell r="O2411" t="str">
            <v>Soleil Levant</v>
          </cell>
          <cell r="P2411" t="str">
            <v>Scratch 2 000</v>
          </cell>
          <cell r="Q2411" t="str">
            <v>82007</v>
          </cell>
          <cell r="R2411" t="str">
            <v>82007Scratch 2 000</v>
          </cell>
          <cell r="S2411" t="str">
            <v>2007Scratch 2 000</v>
          </cell>
          <cell r="T2411" t="str">
            <v>82007Soleil Levant</v>
          </cell>
          <cell r="U2411" t="str">
            <v>82007Soleil LevantScratch 2 000</v>
          </cell>
          <cell r="V2411" t="str">
            <v>39314Scratch 2 000</v>
          </cell>
          <cell r="W2411" t="str">
            <v>2007Soleil Levant</v>
          </cell>
          <cell r="X2411" t="str">
            <v>2007Soleil LevantScratch 2 000</v>
          </cell>
        </row>
        <row r="2412">
          <cell r="I2412">
            <v>2007</v>
          </cell>
          <cell r="J2412" t="str">
            <v>Soleil LevantScratch 1 000</v>
          </cell>
          <cell r="L2412">
            <v>0</v>
          </cell>
          <cell r="M2412" t="str">
            <v>Soleil Levant</v>
          </cell>
          <cell r="N2412" t="str">
            <v>Soleil LevantScratch 1 000</v>
          </cell>
          <cell r="O2412" t="str">
            <v>Soleil Levant</v>
          </cell>
          <cell r="P2412" t="str">
            <v>Scratch 1 000</v>
          </cell>
          <cell r="Q2412" t="str">
            <v>82007</v>
          </cell>
          <cell r="R2412" t="str">
            <v>82007Scratch 1 000</v>
          </cell>
          <cell r="S2412" t="str">
            <v>2007Scratch 1 000</v>
          </cell>
          <cell r="T2412" t="str">
            <v>82007Soleil Levant</v>
          </cell>
          <cell r="U2412" t="str">
            <v>82007Soleil LevantScratch 1 000</v>
          </cell>
          <cell r="V2412" t="str">
            <v>39314Scratch 1 000</v>
          </cell>
          <cell r="W2412" t="str">
            <v>2007Soleil Levant</v>
          </cell>
          <cell r="X2412" t="str">
            <v>2007Soleil LevantScratch 1 000</v>
          </cell>
        </row>
        <row r="2413">
          <cell r="I2413">
            <v>2007</v>
          </cell>
          <cell r="J2413" t="str">
            <v>Ets Mamadou GAMBYScratch 5 000</v>
          </cell>
          <cell r="L2413">
            <v>1</v>
          </cell>
          <cell r="M2413" t="str">
            <v>1Ets Mamadou GAMBY</v>
          </cell>
          <cell r="N2413" t="str">
            <v>Ets Mamadou GAMBYScratch 5 000</v>
          </cell>
          <cell r="O2413" t="str">
            <v>Ets Mamadou GAMBY</v>
          </cell>
          <cell r="P2413" t="str">
            <v>Scratch 5 000</v>
          </cell>
          <cell r="Q2413" t="str">
            <v>82007</v>
          </cell>
          <cell r="R2413" t="str">
            <v>82007Scratch 5 000</v>
          </cell>
          <cell r="S2413" t="str">
            <v>2007Scratch 5 000</v>
          </cell>
          <cell r="T2413" t="str">
            <v>82007Ets Mamadou GAMBY</v>
          </cell>
          <cell r="U2413" t="str">
            <v>82007Ets Mamadou GAMBYScratch 5 000</v>
          </cell>
          <cell r="V2413" t="str">
            <v>39314Scratch 5 000</v>
          </cell>
          <cell r="W2413" t="str">
            <v>2007Ets Mamadou GAMBY</v>
          </cell>
          <cell r="X2413" t="str">
            <v>2007Ets Mamadou GAMBYScratch 5 000</v>
          </cell>
        </row>
        <row r="2414">
          <cell r="I2414">
            <v>2007</v>
          </cell>
          <cell r="J2414" t="str">
            <v>Ets Mamadou GAMBYScratch 2 000</v>
          </cell>
          <cell r="L2414">
            <v>0</v>
          </cell>
          <cell r="M2414" t="str">
            <v>Ets Mamadou GAMBY</v>
          </cell>
          <cell r="N2414" t="str">
            <v>Ets Mamadou GAMBYScratch 2 000</v>
          </cell>
          <cell r="O2414" t="str">
            <v>Ets Mamadou GAMBY</v>
          </cell>
          <cell r="P2414" t="str">
            <v>Scratch 2 000</v>
          </cell>
          <cell r="Q2414" t="str">
            <v>82007</v>
          </cell>
          <cell r="R2414" t="str">
            <v>82007Scratch 2 000</v>
          </cell>
          <cell r="S2414" t="str">
            <v>2007Scratch 2 000</v>
          </cell>
          <cell r="T2414" t="str">
            <v>82007Ets Mamadou GAMBY</v>
          </cell>
          <cell r="U2414" t="str">
            <v>82007Ets Mamadou GAMBYScratch 2 000</v>
          </cell>
          <cell r="V2414" t="str">
            <v>39314Scratch 2 000</v>
          </cell>
          <cell r="W2414" t="str">
            <v>2007Ets Mamadou GAMBY</v>
          </cell>
          <cell r="X2414" t="str">
            <v>2007Ets Mamadou GAMBYScratch 2 000</v>
          </cell>
        </row>
        <row r="2415">
          <cell r="I2415">
            <v>2007</v>
          </cell>
          <cell r="J2415" t="str">
            <v>Ets Mamadou GAMBYScratch 1 000</v>
          </cell>
          <cell r="L2415">
            <v>0</v>
          </cell>
          <cell r="M2415" t="str">
            <v>Ets Mamadou GAMBY</v>
          </cell>
          <cell r="N2415" t="str">
            <v>Ets Mamadou GAMBYScratch 1 000</v>
          </cell>
          <cell r="O2415" t="str">
            <v>Ets Mamadou GAMBY</v>
          </cell>
          <cell r="P2415" t="str">
            <v>Scratch 1 000</v>
          </cell>
          <cell r="Q2415" t="str">
            <v>82007</v>
          </cell>
          <cell r="R2415" t="str">
            <v>82007Scratch 1 000</v>
          </cell>
          <cell r="S2415" t="str">
            <v>2007Scratch 1 000</v>
          </cell>
          <cell r="T2415" t="str">
            <v>82007Ets Mamadou GAMBY</v>
          </cell>
          <cell r="U2415" t="str">
            <v>82007Ets Mamadou GAMBYScratch 1 000</v>
          </cell>
          <cell r="V2415" t="str">
            <v>39314Scratch 1 000</v>
          </cell>
          <cell r="W2415" t="str">
            <v>2007Ets Mamadou GAMBY</v>
          </cell>
          <cell r="X2415" t="str">
            <v>2007Ets Mamadou GAMBYScratch 1 000</v>
          </cell>
        </row>
        <row r="2416">
          <cell r="I2416">
            <v>2007</v>
          </cell>
          <cell r="J2416" t="str">
            <v>Burtel MacsymScratch 20 000</v>
          </cell>
          <cell r="L2416">
            <v>1</v>
          </cell>
          <cell r="M2416" t="str">
            <v>1Burtel Macsym</v>
          </cell>
          <cell r="N2416" t="str">
            <v>Burtel MacsymScratch 20 000</v>
          </cell>
          <cell r="O2416" t="str">
            <v>Burtel Macsym</v>
          </cell>
          <cell r="P2416" t="str">
            <v>Scratch 20 000</v>
          </cell>
          <cell r="Q2416" t="str">
            <v>82007</v>
          </cell>
          <cell r="R2416" t="str">
            <v>82007Scratch 20 000</v>
          </cell>
          <cell r="S2416" t="str">
            <v>2007Scratch 20 000</v>
          </cell>
          <cell r="T2416" t="str">
            <v>82007Burtel Macsym</v>
          </cell>
          <cell r="U2416" t="str">
            <v>82007Burtel MacsymScratch 20 000</v>
          </cell>
          <cell r="V2416" t="str">
            <v>39314Scratch 20 000</v>
          </cell>
          <cell r="W2416" t="str">
            <v>2007Burtel Macsym</v>
          </cell>
          <cell r="X2416" t="str">
            <v>2007Burtel MacsymScratch 20 000</v>
          </cell>
        </row>
        <row r="2417">
          <cell r="I2417">
            <v>2007</v>
          </cell>
          <cell r="J2417" t="str">
            <v>Burtel MacsymScratch 5 000</v>
          </cell>
          <cell r="L2417">
            <v>0</v>
          </cell>
          <cell r="M2417" t="str">
            <v>Burtel Macsym</v>
          </cell>
          <cell r="N2417" t="str">
            <v>Burtel MacsymScratch 5 000</v>
          </cell>
          <cell r="O2417" t="str">
            <v>Burtel Macsym</v>
          </cell>
          <cell r="P2417" t="str">
            <v>Scratch 5 000</v>
          </cell>
          <cell r="Q2417" t="str">
            <v>82007</v>
          </cell>
          <cell r="R2417" t="str">
            <v>82007Scratch 5 000</v>
          </cell>
          <cell r="S2417" t="str">
            <v>2007Scratch 5 000</v>
          </cell>
          <cell r="T2417" t="str">
            <v>82007Burtel Macsym</v>
          </cell>
          <cell r="U2417" t="str">
            <v>82007Burtel MacsymScratch 5 000</v>
          </cell>
          <cell r="V2417" t="str">
            <v>39314Scratch 5 000</v>
          </cell>
          <cell r="W2417" t="str">
            <v>2007Burtel Macsym</v>
          </cell>
          <cell r="X2417" t="str">
            <v>2007Burtel MacsymScratch 5 000</v>
          </cell>
        </row>
        <row r="2418">
          <cell r="I2418">
            <v>2007</v>
          </cell>
          <cell r="J2418" t="str">
            <v>Burtel MacsymScratch 2 000</v>
          </cell>
          <cell r="L2418">
            <v>0</v>
          </cell>
          <cell r="M2418" t="str">
            <v>Burtel Macsym</v>
          </cell>
          <cell r="N2418" t="str">
            <v>Burtel MacsymScratch 2 000</v>
          </cell>
          <cell r="O2418" t="str">
            <v>Burtel Macsym</v>
          </cell>
          <cell r="P2418" t="str">
            <v>Scratch 2 000</v>
          </cell>
          <cell r="Q2418" t="str">
            <v>82007</v>
          </cell>
          <cell r="R2418" t="str">
            <v>82007Scratch 2 000</v>
          </cell>
          <cell r="S2418" t="str">
            <v>2007Scratch 2 000</v>
          </cell>
          <cell r="T2418" t="str">
            <v>82007Burtel Macsym</v>
          </cell>
          <cell r="U2418" t="str">
            <v>82007Burtel MacsymScratch 2 000</v>
          </cell>
          <cell r="V2418" t="str">
            <v>39314Scratch 2 000</v>
          </cell>
          <cell r="W2418" t="str">
            <v>2007Burtel Macsym</v>
          </cell>
          <cell r="X2418" t="str">
            <v>2007Burtel MacsymScratch 2 000</v>
          </cell>
        </row>
        <row r="2419">
          <cell r="I2419">
            <v>2007</v>
          </cell>
          <cell r="J2419" t="str">
            <v>Burtel MacsymScratch 1 000</v>
          </cell>
          <cell r="L2419">
            <v>0</v>
          </cell>
          <cell r="M2419" t="str">
            <v>Burtel Macsym</v>
          </cell>
          <cell r="N2419" t="str">
            <v>Burtel MacsymScratch 1 000</v>
          </cell>
          <cell r="O2419" t="str">
            <v>Burtel Macsym</v>
          </cell>
          <cell r="P2419" t="str">
            <v>Scratch 1 000</v>
          </cell>
          <cell r="Q2419" t="str">
            <v>82007</v>
          </cell>
          <cell r="R2419" t="str">
            <v>82007Scratch 1 000</v>
          </cell>
          <cell r="S2419" t="str">
            <v>2007Scratch 1 000</v>
          </cell>
          <cell r="T2419" t="str">
            <v>82007Burtel Macsym</v>
          </cell>
          <cell r="U2419" t="str">
            <v>82007Burtel MacsymScratch 1 000</v>
          </cell>
          <cell r="V2419" t="str">
            <v>39314Scratch 1 000</v>
          </cell>
          <cell r="W2419" t="str">
            <v>2007Burtel Macsym</v>
          </cell>
          <cell r="X2419" t="str">
            <v>2007Burtel MacsymScratch 1 000</v>
          </cell>
        </row>
        <row r="2420">
          <cell r="I2420">
            <v>2007</v>
          </cell>
          <cell r="J2420" t="str">
            <v>SOMAKOFFScratch 10 000</v>
          </cell>
          <cell r="L2420">
            <v>1</v>
          </cell>
          <cell r="M2420" t="str">
            <v>1SOMAKOFF</v>
          </cell>
          <cell r="N2420" t="str">
            <v>SOMAKOFFScratch 10 000</v>
          </cell>
          <cell r="O2420" t="str">
            <v>SOMAKOFF</v>
          </cell>
          <cell r="P2420" t="str">
            <v>Scratch 10 000</v>
          </cell>
          <cell r="Q2420" t="str">
            <v>82007</v>
          </cell>
          <cell r="R2420" t="str">
            <v>82007Scratch 10 000</v>
          </cell>
          <cell r="S2420" t="str">
            <v>2007Scratch 10 000</v>
          </cell>
          <cell r="T2420" t="str">
            <v>82007SOMAKOFF</v>
          </cell>
          <cell r="U2420" t="str">
            <v>82007SOMAKOFFScratch 10 000</v>
          </cell>
          <cell r="V2420" t="str">
            <v>39314Scratch 10 000</v>
          </cell>
          <cell r="W2420" t="str">
            <v>2007SOMAKOFF</v>
          </cell>
          <cell r="X2420" t="str">
            <v>2007SOMAKOFFScratch 10 000</v>
          </cell>
        </row>
        <row r="2421">
          <cell r="I2421">
            <v>2007</v>
          </cell>
          <cell r="J2421" t="str">
            <v>SOMAKOFFScratch 5 000</v>
          </cell>
          <cell r="L2421">
            <v>0</v>
          </cell>
          <cell r="M2421" t="str">
            <v>SOMAKOFF</v>
          </cell>
          <cell r="N2421" t="str">
            <v>SOMAKOFFScratch 5 000</v>
          </cell>
          <cell r="O2421" t="str">
            <v>SOMAKOFF</v>
          </cell>
          <cell r="P2421" t="str">
            <v>Scratch 5 000</v>
          </cell>
          <cell r="Q2421" t="str">
            <v>82007</v>
          </cell>
          <cell r="R2421" t="str">
            <v>82007Scratch 5 000</v>
          </cell>
          <cell r="S2421" t="str">
            <v>2007Scratch 5 000</v>
          </cell>
          <cell r="T2421" t="str">
            <v>82007SOMAKOFF</v>
          </cell>
          <cell r="U2421" t="str">
            <v>82007SOMAKOFFScratch 5 000</v>
          </cell>
          <cell r="V2421" t="str">
            <v>39314Scratch 5 000</v>
          </cell>
          <cell r="W2421" t="str">
            <v>2007SOMAKOFF</v>
          </cell>
          <cell r="X2421" t="str">
            <v>2007SOMAKOFFScratch 5 000</v>
          </cell>
        </row>
        <row r="2422">
          <cell r="I2422">
            <v>2007</v>
          </cell>
          <cell r="J2422" t="str">
            <v>SOMAKOFFScratch 2 000</v>
          </cell>
          <cell r="L2422">
            <v>0</v>
          </cell>
          <cell r="M2422" t="str">
            <v>SOMAKOFF</v>
          </cell>
          <cell r="N2422" t="str">
            <v>SOMAKOFFScratch 2 000</v>
          </cell>
          <cell r="O2422" t="str">
            <v>SOMAKOFF</v>
          </cell>
          <cell r="P2422" t="str">
            <v>Scratch 2 000</v>
          </cell>
          <cell r="Q2422" t="str">
            <v>82007</v>
          </cell>
          <cell r="R2422" t="str">
            <v>82007Scratch 2 000</v>
          </cell>
          <cell r="S2422" t="str">
            <v>2007Scratch 2 000</v>
          </cell>
          <cell r="T2422" t="str">
            <v>82007SOMAKOFF</v>
          </cell>
          <cell r="U2422" t="str">
            <v>82007SOMAKOFFScratch 2 000</v>
          </cell>
          <cell r="V2422" t="str">
            <v>39314Scratch 2 000</v>
          </cell>
          <cell r="W2422" t="str">
            <v>2007SOMAKOFF</v>
          </cell>
          <cell r="X2422" t="str">
            <v>2007SOMAKOFFScratch 2 000</v>
          </cell>
        </row>
        <row r="2423">
          <cell r="I2423">
            <v>2007</v>
          </cell>
          <cell r="J2423" t="str">
            <v>SOMAKOFFScratch 1 000</v>
          </cell>
          <cell r="L2423">
            <v>0</v>
          </cell>
          <cell r="M2423" t="str">
            <v>SOMAKOFF</v>
          </cell>
          <cell r="N2423" t="str">
            <v>SOMAKOFFScratch 1 000</v>
          </cell>
          <cell r="O2423" t="str">
            <v>SOMAKOFF</v>
          </cell>
          <cell r="P2423" t="str">
            <v>Scratch 1 000</v>
          </cell>
          <cell r="Q2423" t="str">
            <v>82007</v>
          </cell>
          <cell r="R2423" t="str">
            <v>82007Scratch 1 000</v>
          </cell>
          <cell r="S2423" t="str">
            <v>2007Scratch 1 000</v>
          </cell>
          <cell r="T2423" t="str">
            <v>82007SOMAKOFF</v>
          </cell>
          <cell r="U2423" t="str">
            <v>82007SOMAKOFFScratch 1 000</v>
          </cell>
          <cell r="V2423" t="str">
            <v>39314Scratch 1 000</v>
          </cell>
          <cell r="W2423" t="str">
            <v>2007SOMAKOFF</v>
          </cell>
          <cell r="X2423" t="str">
            <v>2007SOMAKOFFScratch 1 000</v>
          </cell>
        </row>
        <row r="2424">
          <cell r="I2424">
            <v>2007</v>
          </cell>
          <cell r="J2424" t="str">
            <v>Soleil LevantScratch 20 000</v>
          </cell>
          <cell r="L2424">
            <v>1</v>
          </cell>
          <cell r="M2424" t="str">
            <v>1Soleil Levant</v>
          </cell>
          <cell r="N2424" t="str">
            <v>Soleil LevantScratch 20 000</v>
          </cell>
          <cell r="O2424" t="str">
            <v>Soleil Levant</v>
          </cell>
          <cell r="P2424" t="str">
            <v>Scratch 20 000</v>
          </cell>
          <cell r="Q2424" t="str">
            <v>82007</v>
          </cell>
          <cell r="R2424" t="str">
            <v>82007Scratch 20 000</v>
          </cell>
          <cell r="S2424" t="str">
            <v>2007Scratch 20 000</v>
          </cell>
          <cell r="T2424" t="str">
            <v>82007Soleil Levant</v>
          </cell>
          <cell r="U2424" t="str">
            <v>82007Soleil LevantScratch 20 000</v>
          </cell>
          <cell r="V2424" t="str">
            <v>39315Scratch 20 000</v>
          </cell>
          <cell r="W2424" t="str">
            <v>2007Soleil Levant</v>
          </cell>
          <cell r="X2424" t="str">
            <v>2007Soleil LevantScratch 20 000</v>
          </cell>
        </row>
        <row r="2425">
          <cell r="I2425">
            <v>2007</v>
          </cell>
          <cell r="J2425" t="str">
            <v>Soleil LevantScratch 10 000</v>
          </cell>
          <cell r="L2425">
            <v>0</v>
          </cell>
          <cell r="M2425" t="str">
            <v>Soleil Levant</v>
          </cell>
          <cell r="N2425" t="str">
            <v>Soleil LevantScratch 10 000</v>
          </cell>
          <cell r="O2425" t="str">
            <v>Soleil Levant</v>
          </cell>
          <cell r="P2425" t="str">
            <v>Scratch 10 000</v>
          </cell>
          <cell r="Q2425" t="str">
            <v>82007</v>
          </cell>
          <cell r="R2425" t="str">
            <v>82007Scratch 10 000</v>
          </cell>
          <cell r="S2425" t="str">
            <v>2007Scratch 10 000</v>
          </cell>
          <cell r="T2425" t="str">
            <v>82007Soleil Levant</v>
          </cell>
          <cell r="U2425" t="str">
            <v>82007Soleil LevantScratch 10 000</v>
          </cell>
          <cell r="V2425" t="str">
            <v>39315Scratch 10 000</v>
          </cell>
          <cell r="W2425" t="str">
            <v>2007Soleil Levant</v>
          </cell>
          <cell r="X2425" t="str">
            <v>2007Soleil LevantScratch 10 000</v>
          </cell>
        </row>
        <row r="2426">
          <cell r="I2426">
            <v>2007</v>
          </cell>
          <cell r="J2426" t="str">
            <v>Soleil LevantScratch 5 000</v>
          </cell>
          <cell r="L2426">
            <v>0</v>
          </cell>
          <cell r="M2426" t="str">
            <v>Soleil Levant</v>
          </cell>
          <cell r="N2426" t="str">
            <v>Soleil LevantScratch 5 000</v>
          </cell>
          <cell r="O2426" t="str">
            <v>Soleil Levant</v>
          </cell>
          <cell r="P2426" t="str">
            <v>Scratch 5 000</v>
          </cell>
          <cell r="Q2426" t="str">
            <v>82007</v>
          </cell>
          <cell r="R2426" t="str">
            <v>82007Scratch 5 000</v>
          </cell>
          <cell r="S2426" t="str">
            <v>2007Scratch 5 000</v>
          </cell>
          <cell r="T2426" t="str">
            <v>82007Soleil Levant</v>
          </cell>
          <cell r="U2426" t="str">
            <v>82007Soleil LevantScratch 5 000</v>
          </cell>
          <cell r="V2426" t="str">
            <v>39315Scratch 5 000</v>
          </cell>
          <cell r="W2426" t="str">
            <v>2007Soleil Levant</v>
          </cell>
          <cell r="X2426" t="str">
            <v>2007Soleil LevantScratch 5 000</v>
          </cell>
        </row>
        <row r="2427">
          <cell r="I2427">
            <v>2007</v>
          </cell>
          <cell r="J2427" t="str">
            <v>Soleil LevantScratch 2 000</v>
          </cell>
          <cell r="L2427">
            <v>0</v>
          </cell>
          <cell r="M2427" t="str">
            <v>Soleil Levant</v>
          </cell>
          <cell r="N2427" t="str">
            <v>Soleil LevantScratch 2 000</v>
          </cell>
          <cell r="O2427" t="str">
            <v>Soleil Levant</v>
          </cell>
          <cell r="P2427" t="str">
            <v>Scratch 2 000</v>
          </cell>
          <cell r="Q2427" t="str">
            <v>82007</v>
          </cell>
          <cell r="R2427" t="str">
            <v>82007Scratch 2 000</v>
          </cell>
          <cell r="S2427" t="str">
            <v>2007Scratch 2 000</v>
          </cell>
          <cell r="T2427" t="str">
            <v>82007Soleil Levant</v>
          </cell>
          <cell r="U2427" t="str">
            <v>82007Soleil LevantScratch 2 000</v>
          </cell>
          <cell r="V2427" t="str">
            <v>39315Scratch 2 000</v>
          </cell>
          <cell r="W2427" t="str">
            <v>2007Soleil Levant</v>
          </cell>
          <cell r="X2427" t="str">
            <v>2007Soleil LevantScratch 2 000</v>
          </cell>
        </row>
        <row r="2428">
          <cell r="I2428">
            <v>2007</v>
          </cell>
          <cell r="J2428" t="str">
            <v>Soleil LevantScratch 1 000</v>
          </cell>
          <cell r="L2428">
            <v>0</v>
          </cell>
          <cell r="M2428" t="str">
            <v>Soleil Levant</v>
          </cell>
          <cell r="N2428" t="str">
            <v>Soleil LevantScratch 1 000</v>
          </cell>
          <cell r="O2428" t="str">
            <v>Soleil Levant</v>
          </cell>
          <cell r="P2428" t="str">
            <v>Scratch 1 000</v>
          </cell>
          <cell r="Q2428" t="str">
            <v>82007</v>
          </cell>
          <cell r="R2428" t="str">
            <v>82007Scratch 1 000</v>
          </cell>
          <cell r="S2428" t="str">
            <v>2007Scratch 1 000</v>
          </cell>
          <cell r="T2428" t="str">
            <v>82007Soleil Levant</v>
          </cell>
          <cell r="U2428" t="str">
            <v>82007Soleil LevantScratch 1 000</v>
          </cell>
          <cell r="V2428" t="str">
            <v>39315Scratch 1 000</v>
          </cell>
          <cell r="W2428" t="str">
            <v>2007Soleil Levant</v>
          </cell>
          <cell r="X2428" t="str">
            <v>2007Soleil LevantScratch 1 000</v>
          </cell>
        </row>
        <row r="2429">
          <cell r="I2429">
            <v>2007</v>
          </cell>
          <cell r="J2429" t="str">
            <v>Compagnie Internationale de NegoceScratch 20 000</v>
          </cell>
          <cell r="L2429">
            <v>1</v>
          </cell>
          <cell r="M2429" t="str">
            <v>1Compagnie Internationale de Negoce</v>
          </cell>
          <cell r="N2429" t="str">
            <v>Compagnie Internationale de NegoceScratch 20 000</v>
          </cell>
          <cell r="O2429" t="str">
            <v>Compagnie Internationale de Negoce</v>
          </cell>
          <cell r="P2429" t="str">
            <v>Scratch 20 000</v>
          </cell>
          <cell r="Q2429" t="str">
            <v>82007</v>
          </cell>
          <cell r="R2429" t="str">
            <v>82007Scratch 20 000</v>
          </cell>
          <cell r="S2429" t="str">
            <v>2007Scratch 20 000</v>
          </cell>
          <cell r="T2429" t="str">
            <v>82007Compagnie Internationale de Negoce</v>
          </cell>
          <cell r="U2429" t="str">
            <v>82007Compagnie Internationale de NegoceScratch 20 000</v>
          </cell>
          <cell r="V2429" t="str">
            <v>39315Scratch 20 000</v>
          </cell>
          <cell r="W2429" t="str">
            <v>2007Compagnie Internationale de Negoce</v>
          </cell>
          <cell r="X2429" t="str">
            <v>2007Compagnie Internationale de NegoceScratch 20 000</v>
          </cell>
        </row>
        <row r="2430">
          <cell r="I2430">
            <v>2007</v>
          </cell>
          <cell r="J2430" t="str">
            <v>Compagnie Internationale de NegoceScratch 5 000</v>
          </cell>
          <cell r="L2430">
            <v>0</v>
          </cell>
          <cell r="M2430" t="str">
            <v>Compagnie Internationale de Negoce</v>
          </cell>
          <cell r="N2430" t="str">
            <v>Compagnie Internationale de NegoceScratch 5 000</v>
          </cell>
          <cell r="O2430" t="str">
            <v>Compagnie Internationale de Negoce</v>
          </cell>
          <cell r="P2430" t="str">
            <v>Scratch 5 000</v>
          </cell>
          <cell r="Q2430" t="str">
            <v>82007</v>
          </cell>
          <cell r="R2430" t="str">
            <v>82007Scratch 5 000</v>
          </cell>
          <cell r="S2430" t="str">
            <v>2007Scratch 5 000</v>
          </cell>
          <cell r="T2430" t="str">
            <v>82007Compagnie Internationale de Negoce</v>
          </cell>
          <cell r="U2430" t="str">
            <v>82007Compagnie Internationale de NegoceScratch 5 000</v>
          </cell>
          <cell r="V2430" t="str">
            <v>39315Scratch 5 000</v>
          </cell>
          <cell r="W2430" t="str">
            <v>2007Compagnie Internationale de Negoce</v>
          </cell>
          <cell r="X2430" t="str">
            <v>2007Compagnie Internationale de NegoceScratch 5 000</v>
          </cell>
        </row>
        <row r="2431">
          <cell r="I2431">
            <v>2007</v>
          </cell>
          <cell r="J2431" t="str">
            <v>Compagnie Internationale de NegoceScratch 2 000</v>
          </cell>
          <cell r="L2431">
            <v>0</v>
          </cell>
          <cell r="M2431" t="str">
            <v>Compagnie Internationale de Negoce</v>
          </cell>
          <cell r="N2431" t="str">
            <v>Compagnie Internationale de NegoceScratch 2 000</v>
          </cell>
          <cell r="O2431" t="str">
            <v>Compagnie Internationale de Negoce</v>
          </cell>
          <cell r="P2431" t="str">
            <v>Scratch 2 000</v>
          </cell>
          <cell r="Q2431" t="str">
            <v>82007</v>
          </cell>
          <cell r="R2431" t="str">
            <v>82007Scratch 2 000</v>
          </cell>
          <cell r="S2431" t="str">
            <v>2007Scratch 2 000</v>
          </cell>
          <cell r="T2431" t="str">
            <v>82007Compagnie Internationale de Negoce</v>
          </cell>
          <cell r="U2431" t="str">
            <v>82007Compagnie Internationale de NegoceScratch 2 000</v>
          </cell>
          <cell r="V2431" t="str">
            <v>39315Scratch 2 000</v>
          </cell>
          <cell r="W2431" t="str">
            <v>2007Compagnie Internationale de Negoce</v>
          </cell>
          <cell r="X2431" t="str">
            <v>2007Compagnie Internationale de NegoceScratch 2 000</v>
          </cell>
        </row>
        <row r="2432">
          <cell r="I2432">
            <v>2007</v>
          </cell>
          <cell r="J2432" t="str">
            <v>Compagnie Internationale de NegoceScratch 1 000</v>
          </cell>
          <cell r="L2432">
            <v>0</v>
          </cell>
          <cell r="M2432" t="str">
            <v>Compagnie Internationale de Negoce</v>
          </cell>
          <cell r="N2432" t="str">
            <v>Compagnie Internationale de NegoceScratch 1 000</v>
          </cell>
          <cell r="O2432" t="str">
            <v>Compagnie Internationale de Negoce</v>
          </cell>
          <cell r="P2432" t="str">
            <v>Scratch 1 000</v>
          </cell>
          <cell r="Q2432" t="str">
            <v>82007</v>
          </cell>
          <cell r="R2432" t="str">
            <v>82007Scratch 1 000</v>
          </cell>
          <cell r="S2432" t="str">
            <v>2007Scratch 1 000</v>
          </cell>
          <cell r="T2432" t="str">
            <v>82007Compagnie Internationale de Negoce</v>
          </cell>
          <cell r="U2432" t="str">
            <v>82007Compagnie Internationale de NegoceScratch 1 000</v>
          </cell>
          <cell r="V2432" t="str">
            <v>39315Scratch 1 000</v>
          </cell>
          <cell r="W2432" t="str">
            <v>2007Compagnie Internationale de Negoce</v>
          </cell>
          <cell r="X2432" t="str">
            <v>2007Compagnie Internationale de NegoceScratch 1 000</v>
          </cell>
        </row>
        <row r="2433">
          <cell r="I2433">
            <v>2007</v>
          </cell>
          <cell r="J2433" t="str">
            <v>Soleil LevantScratch 5 000</v>
          </cell>
          <cell r="L2433">
            <v>1</v>
          </cell>
          <cell r="M2433" t="str">
            <v>1Soleil Levant</v>
          </cell>
          <cell r="N2433" t="str">
            <v>Soleil LevantScratch 5 000</v>
          </cell>
          <cell r="O2433" t="str">
            <v>Soleil Levant</v>
          </cell>
          <cell r="P2433" t="str">
            <v>Scratch 5 000</v>
          </cell>
          <cell r="Q2433" t="str">
            <v>82007</v>
          </cell>
          <cell r="R2433" t="str">
            <v>82007Scratch 5 000</v>
          </cell>
          <cell r="S2433" t="str">
            <v>2007Scratch 5 000</v>
          </cell>
          <cell r="T2433" t="str">
            <v>82007Soleil Levant</v>
          </cell>
          <cell r="U2433" t="str">
            <v>82007Soleil LevantScratch 5 000</v>
          </cell>
          <cell r="V2433" t="str">
            <v>39315Scratch 5 000</v>
          </cell>
          <cell r="W2433" t="str">
            <v>2007Soleil Levant</v>
          </cell>
          <cell r="X2433" t="str">
            <v>2007Soleil LevantScratch 5 000</v>
          </cell>
        </row>
        <row r="2434">
          <cell r="I2434">
            <v>2007</v>
          </cell>
          <cell r="J2434" t="str">
            <v>Soleil LevantScratch 2 000</v>
          </cell>
          <cell r="L2434">
            <v>0</v>
          </cell>
          <cell r="M2434" t="str">
            <v>Soleil Levant</v>
          </cell>
          <cell r="N2434" t="str">
            <v>Soleil LevantScratch 2 000</v>
          </cell>
          <cell r="O2434" t="str">
            <v>Soleil Levant</v>
          </cell>
          <cell r="P2434" t="str">
            <v>Scratch 2 000</v>
          </cell>
          <cell r="Q2434" t="str">
            <v>82007</v>
          </cell>
          <cell r="R2434" t="str">
            <v>82007Scratch 2 000</v>
          </cell>
          <cell r="S2434" t="str">
            <v>2007Scratch 2 000</v>
          </cell>
          <cell r="T2434" t="str">
            <v>82007Soleil Levant</v>
          </cell>
          <cell r="U2434" t="str">
            <v>82007Soleil LevantScratch 2 000</v>
          </cell>
          <cell r="V2434" t="str">
            <v>39315Scratch 2 000</v>
          </cell>
          <cell r="W2434" t="str">
            <v>2007Soleil Levant</v>
          </cell>
          <cell r="X2434" t="str">
            <v>2007Soleil LevantScratch 2 000</v>
          </cell>
        </row>
        <row r="2435">
          <cell r="I2435">
            <v>2007</v>
          </cell>
          <cell r="J2435" t="str">
            <v>Soleil LevantScratch 1 000</v>
          </cell>
          <cell r="L2435">
            <v>0</v>
          </cell>
          <cell r="M2435" t="str">
            <v>Soleil Levant</v>
          </cell>
          <cell r="N2435" t="str">
            <v>Soleil LevantScratch 1 000</v>
          </cell>
          <cell r="O2435" t="str">
            <v>Soleil Levant</v>
          </cell>
          <cell r="P2435" t="str">
            <v>Scratch 1 000</v>
          </cell>
          <cell r="Q2435" t="str">
            <v>82007</v>
          </cell>
          <cell r="R2435" t="str">
            <v>82007Scratch 1 000</v>
          </cell>
          <cell r="S2435" t="str">
            <v>2007Scratch 1 000</v>
          </cell>
          <cell r="T2435" t="str">
            <v>82007Soleil Levant</v>
          </cell>
          <cell r="U2435" t="str">
            <v>82007Soleil LevantScratch 1 000</v>
          </cell>
          <cell r="V2435" t="str">
            <v>39315Scratch 1 000</v>
          </cell>
          <cell r="W2435" t="str">
            <v>2007Soleil Levant</v>
          </cell>
          <cell r="X2435" t="str">
            <v>2007Soleil LevantScratch 1 000</v>
          </cell>
        </row>
        <row r="2436">
          <cell r="I2436">
            <v>2007</v>
          </cell>
          <cell r="J2436" t="str">
            <v>SDC TELECOMScratch 20 000</v>
          </cell>
          <cell r="L2436">
            <v>1</v>
          </cell>
          <cell r="M2436" t="str">
            <v>1SDC TELECOM</v>
          </cell>
          <cell r="N2436" t="str">
            <v>SDC TELECOMScratch 20 000</v>
          </cell>
          <cell r="O2436" t="str">
            <v>SDC TELECOM</v>
          </cell>
          <cell r="P2436" t="str">
            <v>Scratch 20 000</v>
          </cell>
          <cell r="Q2436" t="str">
            <v>82007</v>
          </cell>
          <cell r="R2436" t="str">
            <v>82007Scratch 20 000</v>
          </cell>
          <cell r="S2436" t="str">
            <v>2007Scratch 20 000</v>
          </cell>
          <cell r="T2436" t="str">
            <v>82007SDC TELECOM</v>
          </cell>
          <cell r="U2436" t="str">
            <v>82007SDC TELECOMScratch 20 000</v>
          </cell>
          <cell r="V2436" t="str">
            <v>39316Scratch 20 000</v>
          </cell>
          <cell r="W2436" t="str">
            <v>2007SDC TELECOM</v>
          </cell>
          <cell r="X2436" t="str">
            <v>2007SDC TELECOMScratch 20 000</v>
          </cell>
        </row>
        <row r="2437">
          <cell r="I2437">
            <v>2007</v>
          </cell>
          <cell r="J2437" t="str">
            <v>SDC TELECOMScratch 5 000</v>
          </cell>
          <cell r="L2437">
            <v>0</v>
          </cell>
          <cell r="M2437" t="str">
            <v>SDC TELECOM</v>
          </cell>
          <cell r="N2437" t="str">
            <v>SDC TELECOMScratch 5 000</v>
          </cell>
          <cell r="O2437" t="str">
            <v>SDC TELECOM</v>
          </cell>
          <cell r="P2437" t="str">
            <v>Scratch 5 000</v>
          </cell>
          <cell r="Q2437" t="str">
            <v>82007</v>
          </cell>
          <cell r="R2437" t="str">
            <v>82007Scratch 5 000</v>
          </cell>
          <cell r="S2437" t="str">
            <v>2007Scratch 5 000</v>
          </cell>
          <cell r="T2437" t="str">
            <v>82007SDC TELECOM</v>
          </cell>
          <cell r="U2437" t="str">
            <v>82007SDC TELECOMScratch 5 000</v>
          </cell>
          <cell r="V2437" t="str">
            <v>39316Scratch 5 000</v>
          </cell>
          <cell r="W2437" t="str">
            <v>2007SDC TELECOM</v>
          </cell>
          <cell r="X2437" t="str">
            <v>2007SDC TELECOMScratch 5 000</v>
          </cell>
        </row>
        <row r="2438">
          <cell r="I2438">
            <v>2007</v>
          </cell>
          <cell r="J2438" t="str">
            <v>SDC TELECOMScratch 2 000</v>
          </cell>
          <cell r="L2438">
            <v>0</v>
          </cell>
          <cell r="M2438" t="str">
            <v>SDC TELECOM</v>
          </cell>
          <cell r="N2438" t="str">
            <v>SDC TELECOMScratch 2 000</v>
          </cell>
          <cell r="O2438" t="str">
            <v>SDC TELECOM</v>
          </cell>
          <cell r="P2438" t="str">
            <v>Scratch 2 000</v>
          </cell>
          <cell r="Q2438" t="str">
            <v>82007</v>
          </cell>
          <cell r="R2438" t="str">
            <v>82007Scratch 2 000</v>
          </cell>
          <cell r="S2438" t="str">
            <v>2007Scratch 2 000</v>
          </cell>
          <cell r="T2438" t="str">
            <v>82007SDC TELECOM</v>
          </cell>
          <cell r="U2438" t="str">
            <v>82007SDC TELECOMScratch 2 000</v>
          </cell>
          <cell r="V2438" t="str">
            <v>39316Scratch 2 000</v>
          </cell>
          <cell r="W2438" t="str">
            <v>2007SDC TELECOM</v>
          </cell>
          <cell r="X2438" t="str">
            <v>2007SDC TELECOMScratch 2 000</v>
          </cell>
        </row>
        <row r="2439">
          <cell r="I2439">
            <v>2007</v>
          </cell>
          <cell r="J2439" t="str">
            <v>SDC TELECOMScratch 1 000</v>
          </cell>
          <cell r="L2439">
            <v>0</v>
          </cell>
          <cell r="M2439" t="str">
            <v>SDC TELECOM</v>
          </cell>
          <cell r="N2439" t="str">
            <v>SDC TELECOMScratch 1 000</v>
          </cell>
          <cell r="O2439" t="str">
            <v>SDC TELECOM</v>
          </cell>
          <cell r="P2439" t="str">
            <v>Scratch 1 000</v>
          </cell>
          <cell r="Q2439" t="str">
            <v>82007</v>
          </cell>
          <cell r="R2439" t="str">
            <v>82007Scratch 1 000</v>
          </cell>
          <cell r="S2439" t="str">
            <v>2007Scratch 1 000</v>
          </cell>
          <cell r="T2439" t="str">
            <v>82007SDC TELECOM</v>
          </cell>
          <cell r="U2439" t="str">
            <v>82007SDC TELECOMScratch 1 000</v>
          </cell>
          <cell r="V2439" t="str">
            <v>39316Scratch 1 000</v>
          </cell>
          <cell r="W2439" t="str">
            <v>2007SDC TELECOM</v>
          </cell>
          <cell r="X2439" t="str">
            <v>2007SDC TELECOMScratch 1 000</v>
          </cell>
        </row>
        <row r="2440">
          <cell r="I2440">
            <v>2007</v>
          </cell>
          <cell r="J2440" t="str">
            <v>Burtel MacsymScratch 20 000</v>
          </cell>
          <cell r="L2440">
            <v>1</v>
          </cell>
          <cell r="M2440" t="str">
            <v>1Burtel Macsym</v>
          </cell>
          <cell r="N2440" t="str">
            <v>Burtel MacsymScratch 20 000</v>
          </cell>
          <cell r="O2440" t="str">
            <v>Burtel Macsym</v>
          </cell>
          <cell r="P2440" t="str">
            <v>Scratch 20 000</v>
          </cell>
          <cell r="Q2440" t="str">
            <v>82007</v>
          </cell>
          <cell r="R2440" t="str">
            <v>82007Scratch 20 000</v>
          </cell>
          <cell r="S2440" t="str">
            <v>2007Scratch 20 000</v>
          </cell>
          <cell r="T2440" t="str">
            <v>82007Burtel Macsym</v>
          </cell>
          <cell r="U2440" t="str">
            <v>82007Burtel MacsymScratch 20 000</v>
          </cell>
          <cell r="V2440" t="str">
            <v>39316Scratch 20 000</v>
          </cell>
          <cell r="W2440" t="str">
            <v>2007Burtel Macsym</v>
          </cell>
          <cell r="X2440" t="str">
            <v>2007Burtel MacsymScratch 20 000</v>
          </cell>
        </row>
        <row r="2441">
          <cell r="I2441">
            <v>2007</v>
          </cell>
          <cell r="J2441" t="str">
            <v>Burtel MacsymScratch 5 000</v>
          </cell>
          <cell r="L2441">
            <v>0</v>
          </cell>
          <cell r="M2441" t="str">
            <v>Burtel Macsym</v>
          </cell>
          <cell r="N2441" t="str">
            <v>Burtel MacsymScratch 5 000</v>
          </cell>
          <cell r="O2441" t="str">
            <v>Burtel Macsym</v>
          </cell>
          <cell r="P2441" t="str">
            <v>Scratch 5 000</v>
          </cell>
          <cell r="Q2441" t="str">
            <v>82007</v>
          </cell>
          <cell r="R2441" t="str">
            <v>82007Scratch 5 000</v>
          </cell>
          <cell r="S2441" t="str">
            <v>2007Scratch 5 000</v>
          </cell>
          <cell r="T2441" t="str">
            <v>82007Burtel Macsym</v>
          </cell>
          <cell r="U2441" t="str">
            <v>82007Burtel MacsymScratch 5 000</v>
          </cell>
          <cell r="V2441" t="str">
            <v>39316Scratch 5 000</v>
          </cell>
          <cell r="W2441" t="str">
            <v>2007Burtel Macsym</v>
          </cell>
          <cell r="X2441" t="str">
            <v>2007Burtel MacsymScratch 5 000</v>
          </cell>
        </row>
        <row r="2442">
          <cell r="I2442">
            <v>2007</v>
          </cell>
          <cell r="J2442" t="str">
            <v>Burtel MacsymScratch 2 000</v>
          </cell>
          <cell r="L2442">
            <v>0</v>
          </cell>
          <cell r="M2442" t="str">
            <v>Burtel Macsym</v>
          </cell>
          <cell r="N2442" t="str">
            <v>Burtel MacsymScratch 2 000</v>
          </cell>
          <cell r="O2442" t="str">
            <v>Burtel Macsym</v>
          </cell>
          <cell r="P2442" t="str">
            <v>Scratch 2 000</v>
          </cell>
          <cell r="Q2442" t="str">
            <v>82007</v>
          </cell>
          <cell r="R2442" t="str">
            <v>82007Scratch 2 000</v>
          </cell>
          <cell r="S2442" t="str">
            <v>2007Scratch 2 000</v>
          </cell>
          <cell r="T2442" t="str">
            <v>82007Burtel Macsym</v>
          </cell>
          <cell r="U2442" t="str">
            <v>82007Burtel MacsymScratch 2 000</v>
          </cell>
          <cell r="V2442" t="str">
            <v>39316Scratch 2 000</v>
          </cell>
          <cell r="W2442" t="str">
            <v>2007Burtel Macsym</v>
          </cell>
          <cell r="X2442" t="str">
            <v>2007Burtel MacsymScratch 2 000</v>
          </cell>
        </row>
        <row r="2443">
          <cell r="I2443">
            <v>2007</v>
          </cell>
          <cell r="J2443" t="str">
            <v>Burtel MacsymScratch 1 000</v>
          </cell>
          <cell r="L2443">
            <v>0</v>
          </cell>
          <cell r="M2443" t="str">
            <v>Burtel Macsym</v>
          </cell>
          <cell r="N2443" t="str">
            <v>Burtel MacsymScratch 1 000</v>
          </cell>
          <cell r="O2443" t="str">
            <v>Burtel Macsym</v>
          </cell>
          <cell r="P2443" t="str">
            <v>Scratch 1 000</v>
          </cell>
          <cell r="Q2443" t="str">
            <v>82007</v>
          </cell>
          <cell r="R2443" t="str">
            <v>82007Scratch 1 000</v>
          </cell>
          <cell r="S2443" t="str">
            <v>2007Scratch 1 000</v>
          </cell>
          <cell r="T2443" t="str">
            <v>82007Burtel Macsym</v>
          </cell>
          <cell r="U2443" t="str">
            <v>82007Burtel MacsymScratch 1 000</v>
          </cell>
          <cell r="V2443" t="str">
            <v>39316Scratch 1 000</v>
          </cell>
          <cell r="W2443" t="str">
            <v>2007Burtel Macsym</v>
          </cell>
          <cell r="X2443" t="str">
            <v>2007Burtel MacsymScratch 1 000</v>
          </cell>
        </row>
        <row r="2444">
          <cell r="I2444">
            <v>2007</v>
          </cell>
          <cell r="J2444" t="str">
            <v>Ets Mamadou GAMBYScratch 20 000</v>
          </cell>
          <cell r="L2444">
            <v>1</v>
          </cell>
          <cell r="M2444" t="str">
            <v>1Ets Mamadou GAMBY</v>
          </cell>
          <cell r="N2444" t="str">
            <v>Ets Mamadou GAMBYScratch 20 000</v>
          </cell>
          <cell r="O2444" t="str">
            <v>Ets Mamadou GAMBY</v>
          </cell>
          <cell r="P2444" t="str">
            <v>Scratch 20 000</v>
          </cell>
          <cell r="Q2444" t="str">
            <v>82007</v>
          </cell>
          <cell r="R2444" t="str">
            <v>82007Scratch 20 000</v>
          </cell>
          <cell r="S2444" t="str">
            <v>2007Scratch 20 000</v>
          </cell>
          <cell r="T2444" t="str">
            <v>82007Ets Mamadou GAMBY</v>
          </cell>
          <cell r="U2444" t="str">
            <v>82007Ets Mamadou GAMBYScratch 20 000</v>
          </cell>
          <cell r="V2444" t="str">
            <v>39316Scratch 20 000</v>
          </cell>
          <cell r="W2444" t="str">
            <v>2007Ets Mamadou GAMBY</v>
          </cell>
          <cell r="X2444" t="str">
            <v>2007Ets Mamadou GAMBYScratch 20 000</v>
          </cell>
        </row>
        <row r="2445">
          <cell r="I2445">
            <v>2007</v>
          </cell>
          <cell r="J2445" t="str">
            <v>Ets Mamadou GAMBYScratch 5 000</v>
          </cell>
          <cell r="L2445">
            <v>0</v>
          </cell>
          <cell r="M2445" t="str">
            <v>Ets Mamadou GAMBY</v>
          </cell>
          <cell r="N2445" t="str">
            <v>Ets Mamadou GAMBYScratch 5 000</v>
          </cell>
          <cell r="O2445" t="str">
            <v>Ets Mamadou GAMBY</v>
          </cell>
          <cell r="P2445" t="str">
            <v>Scratch 5 000</v>
          </cell>
          <cell r="Q2445" t="str">
            <v>82007</v>
          </cell>
          <cell r="R2445" t="str">
            <v>82007Scratch 5 000</v>
          </cell>
          <cell r="S2445" t="str">
            <v>2007Scratch 5 000</v>
          </cell>
          <cell r="T2445" t="str">
            <v>82007Ets Mamadou GAMBY</v>
          </cell>
          <cell r="U2445" t="str">
            <v>82007Ets Mamadou GAMBYScratch 5 000</v>
          </cell>
          <cell r="V2445" t="str">
            <v>39316Scratch 5 000</v>
          </cell>
          <cell r="W2445" t="str">
            <v>2007Ets Mamadou GAMBY</v>
          </cell>
          <cell r="X2445" t="str">
            <v>2007Ets Mamadou GAMBYScratch 5 000</v>
          </cell>
        </row>
        <row r="2446">
          <cell r="I2446">
            <v>2007</v>
          </cell>
          <cell r="J2446" t="str">
            <v>Ets Mamadou GAMBYScratch 2 000</v>
          </cell>
          <cell r="L2446">
            <v>0</v>
          </cell>
          <cell r="M2446" t="str">
            <v>Ets Mamadou GAMBY</v>
          </cell>
          <cell r="N2446" t="str">
            <v>Ets Mamadou GAMBYScratch 2 000</v>
          </cell>
          <cell r="O2446" t="str">
            <v>Ets Mamadou GAMBY</v>
          </cell>
          <cell r="P2446" t="str">
            <v>Scratch 2 000</v>
          </cell>
          <cell r="Q2446" t="str">
            <v>82007</v>
          </cell>
          <cell r="R2446" t="str">
            <v>82007Scratch 2 000</v>
          </cell>
          <cell r="S2446" t="str">
            <v>2007Scratch 2 000</v>
          </cell>
          <cell r="T2446" t="str">
            <v>82007Ets Mamadou GAMBY</v>
          </cell>
          <cell r="U2446" t="str">
            <v>82007Ets Mamadou GAMBYScratch 2 000</v>
          </cell>
          <cell r="V2446" t="str">
            <v>39316Scratch 2 000</v>
          </cell>
          <cell r="W2446" t="str">
            <v>2007Ets Mamadou GAMBY</v>
          </cell>
          <cell r="X2446" t="str">
            <v>2007Ets Mamadou GAMBYScratch 2 000</v>
          </cell>
        </row>
        <row r="2447">
          <cell r="I2447">
            <v>2007</v>
          </cell>
          <cell r="J2447" t="str">
            <v>Ets Mamadou GAMBYScratch 1 000</v>
          </cell>
          <cell r="L2447">
            <v>0</v>
          </cell>
          <cell r="M2447" t="str">
            <v>Ets Mamadou GAMBY</v>
          </cell>
          <cell r="N2447" t="str">
            <v>Ets Mamadou GAMBYScratch 1 000</v>
          </cell>
          <cell r="O2447" t="str">
            <v>Ets Mamadou GAMBY</v>
          </cell>
          <cell r="P2447" t="str">
            <v>Scratch 1 000</v>
          </cell>
          <cell r="Q2447" t="str">
            <v>82007</v>
          </cell>
          <cell r="R2447" t="str">
            <v>82007Scratch 1 000</v>
          </cell>
          <cell r="S2447" t="str">
            <v>2007Scratch 1 000</v>
          </cell>
          <cell r="T2447" t="str">
            <v>82007Ets Mamadou GAMBY</v>
          </cell>
          <cell r="U2447" t="str">
            <v>82007Ets Mamadou GAMBYScratch 1 000</v>
          </cell>
          <cell r="V2447" t="str">
            <v>39316Scratch 1 000</v>
          </cell>
          <cell r="W2447" t="str">
            <v>2007Ets Mamadou GAMBY</v>
          </cell>
          <cell r="X2447" t="str">
            <v>2007Ets Mamadou GAMBYScratch 1 000</v>
          </cell>
        </row>
        <row r="2448">
          <cell r="I2448">
            <v>2007</v>
          </cell>
          <cell r="J2448" t="str">
            <v>Soleil LevantScratch 5 000</v>
          </cell>
          <cell r="L2448">
            <v>1</v>
          </cell>
          <cell r="M2448" t="str">
            <v>1Soleil Levant</v>
          </cell>
          <cell r="N2448" t="str">
            <v>Soleil LevantScratch 5 000</v>
          </cell>
          <cell r="O2448" t="str">
            <v>Soleil Levant</v>
          </cell>
          <cell r="P2448" t="str">
            <v>Scratch 5 000</v>
          </cell>
          <cell r="Q2448" t="str">
            <v>82007</v>
          </cell>
          <cell r="R2448" t="str">
            <v>82007Scratch 5 000</v>
          </cell>
          <cell r="S2448" t="str">
            <v>2007Scratch 5 000</v>
          </cell>
          <cell r="T2448" t="str">
            <v>82007Soleil Levant</v>
          </cell>
          <cell r="U2448" t="str">
            <v>82007Soleil LevantScratch 5 000</v>
          </cell>
          <cell r="V2448" t="str">
            <v>39316Scratch 5 000</v>
          </cell>
          <cell r="W2448" t="str">
            <v>2007Soleil Levant</v>
          </cell>
          <cell r="X2448" t="str">
            <v>2007Soleil LevantScratch 5 000</v>
          </cell>
        </row>
        <row r="2449">
          <cell r="I2449">
            <v>2007</v>
          </cell>
          <cell r="J2449" t="str">
            <v>Soleil LevantScratch 2 000</v>
          </cell>
          <cell r="L2449">
            <v>0</v>
          </cell>
          <cell r="M2449" t="str">
            <v>Soleil Levant</v>
          </cell>
          <cell r="N2449" t="str">
            <v>Soleil LevantScratch 2 000</v>
          </cell>
          <cell r="O2449" t="str">
            <v>Soleil Levant</v>
          </cell>
          <cell r="P2449" t="str">
            <v>Scratch 2 000</v>
          </cell>
          <cell r="Q2449" t="str">
            <v>82007</v>
          </cell>
          <cell r="R2449" t="str">
            <v>82007Scratch 2 000</v>
          </cell>
          <cell r="S2449" t="str">
            <v>2007Scratch 2 000</v>
          </cell>
          <cell r="T2449" t="str">
            <v>82007Soleil Levant</v>
          </cell>
          <cell r="U2449" t="str">
            <v>82007Soleil LevantScratch 2 000</v>
          </cell>
          <cell r="V2449" t="str">
            <v>39316Scratch 2 000</v>
          </cell>
          <cell r="W2449" t="str">
            <v>2007Soleil Levant</v>
          </cell>
          <cell r="X2449" t="str">
            <v>2007Soleil LevantScratch 2 000</v>
          </cell>
        </row>
        <row r="2450">
          <cell r="I2450">
            <v>2007</v>
          </cell>
          <cell r="J2450" t="str">
            <v>Soleil LevantScratch 1 000</v>
          </cell>
          <cell r="L2450">
            <v>0</v>
          </cell>
          <cell r="M2450" t="str">
            <v>Soleil Levant</v>
          </cell>
          <cell r="N2450" t="str">
            <v>Soleil LevantScratch 1 000</v>
          </cell>
          <cell r="O2450" t="str">
            <v>Soleil Levant</v>
          </cell>
          <cell r="P2450" t="str">
            <v>Scratch 1 000</v>
          </cell>
          <cell r="Q2450" t="str">
            <v>82007</v>
          </cell>
          <cell r="R2450" t="str">
            <v>82007Scratch 1 000</v>
          </cell>
          <cell r="S2450" t="str">
            <v>2007Scratch 1 000</v>
          </cell>
          <cell r="T2450" t="str">
            <v>82007Soleil Levant</v>
          </cell>
          <cell r="U2450" t="str">
            <v>82007Soleil LevantScratch 1 000</v>
          </cell>
          <cell r="V2450" t="str">
            <v>39316Scratch 1 000</v>
          </cell>
          <cell r="W2450" t="str">
            <v>2007Soleil Levant</v>
          </cell>
          <cell r="X2450" t="str">
            <v>2007Soleil LevantScratch 1 000</v>
          </cell>
        </row>
        <row r="2451">
          <cell r="I2451">
            <v>2007</v>
          </cell>
          <cell r="J2451" t="str">
            <v>SDC TELECOMScratch 5 000</v>
          </cell>
          <cell r="L2451">
            <v>1</v>
          </cell>
          <cell r="M2451" t="str">
            <v>1SDC TELECOM</v>
          </cell>
          <cell r="N2451" t="str">
            <v>SDC TELECOMScratch 5 000</v>
          </cell>
          <cell r="O2451" t="str">
            <v>SDC TELECOM</v>
          </cell>
          <cell r="P2451" t="str">
            <v>Scratch 5 000</v>
          </cell>
          <cell r="Q2451" t="str">
            <v>82007</v>
          </cell>
          <cell r="R2451" t="str">
            <v>82007Scratch 5 000</v>
          </cell>
          <cell r="S2451" t="str">
            <v>2007Scratch 5 000</v>
          </cell>
          <cell r="T2451" t="str">
            <v>82007SDC TELECOM</v>
          </cell>
          <cell r="U2451" t="str">
            <v>82007SDC TELECOMScratch 5 000</v>
          </cell>
          <cell r="V2451" t="str">
            <v>39316Scratch 5 000</v>
          </cell>
          <cell r="W2451" t="str">
            <v>2007SDC TELECOM</v>
          </cell>
          <cell r="X2451" t="str">
            <v>2007SDC TELECOMScratch 5 000</v>
          </cell>
        </row>
        <row r="2452">
          <cell r="I2452">
            <v>2007</v>
          </cell>
          <cell r="J2452" t="str">
            <v>SDC TELECOMScratch 2 000</v>
          </cell>
          <cell r="L2452">
            <v>0</v>
          </cell>
          <cell r="M2452" t="str">
            <v>SDC TELECOM</v>
          </cell>
          <cell r="N2452" t="str">
            <v>SDC TELECOMScratch 2 000</v>
          </cell>
          <cell r="O2452" t="str">
            <v>SDC TELECOM</v>
          </cell>
          <cell r="P2452" t="str">
            <v>Scratch 2 000</v>
          </cell>
          <cell r="Q2452" t="str">
            <v>82007</v>
          </cell>
          <cell r="R2452" t="str">
            <v>82007Scratch 2 000</v>
          </cell>
          <cell r="S2452" t="str">
            <v>2007Scratch 2 000</v>
          </cell>
          <cell r="T2452" t="str">
            <v>82007SDC TELECOM</v>
          </cell>
          <cell r="U2452" t="str">
            <v>82007SDC TELECOMScratch 2 000</v>
          </cell>
          <cell r="V2452" t="str">
            <v>39316Scratch 2 000</v>
          </cell>
          <cell r="W2452" t="str">
            <v>2007SDC TELECOM</v>
          </cell>
          <cell r="X2452" t="str">
            <v>2007SDC TELECOMScratch 2 000</v>
          </cell>
        </row>
        <row r="2453">
          <cell r="I2453">
            <v>2007</v>
          </cell>
          <cell r="J2453" t="str">
            <v>SDC TELECOMScratch 1 000</v>
          </cell>
          <cell r="L2453">
            <v>0</v>
          </cell>
          <cell r="M2453" t="str">
            <v>SDC TELECOM</v>
          </cell>
          <cell r="N2453" t="str">
            <v>SDC TELECOMScratch 1 000</v>
          </cell>
          <cell r="O2453" t="str">
            <v>SDC TELECOM</v>
          </cell>
          <cell r="P2453" t="str">
            <v>Scratch 1 000</v>
          </cell>
          <cell r="Q2453" t="str">
            <v>82007</v>
          </cell>
          <cell r="R2453" t="str">
            <v>82007Scratch 1 000</v>
          </cell>
          <cell r="S2453" t="str">
            <v>2007Scratch 1 000</v>
          </cell>
          <cell r="T2453" t="str">
            <v>82007SDC TELECOM</v>
          </cell>
          <cell r="U2453" t="str">
            <v>82007SDC TELECOMScratch 1 000</v>
          </cell>
          <cell r="V2453" t="str">
            <v>39316Scratch 1 000</v>
          </cell>
          <cell r="W2453" t="str">
            <v>2007SDC TELECOM</v>
          </cell>
          <cell r="X2453" t="str">
            <v>2007SDC TELECOMScratch 1 000</v>
          </cell>
        </row>
        <row r="2454">
          <cell r="I2454">
            <v>2007</v>
          </cell>
          <cell r="J2454" t="str">
            <v>Compagnie Internationale de NegoceScratch 5 000</v>
          </cell>
          <cell r="L2454">
            <v>1</v>
          </cell>
          <cell r="M2454" t="str">
            <v>1Compagnie Internationale de Negoce</v>
          </cell>
          <cell r="N2454" t="str">
            <v>Compagnie Internationale de NegoceScratch 5 000</v>
          </cell>
          <cell r="O2454" t="str">
            <v>Compagnie Internationale de Negoce</v>
          </cell>
          <cell r="P2454" t="str">
            <v>Scratch 5 000</v>
          </cell>
          <cell r="Q2454" t="str">
            <v>82007</v>
          </cell>
          <cell r="R2454" t="str">
            <v>82007Scratch 5 000</v>
          </cell>
          <cell r="S2454" t="str">
            <v>2007Scratch 5 000</v>
          </cell>
          <cell r="T2454" t="str">
            <v>82007Compagnie Internationale de Negoce</v>
          </cell>
          <cell r="U2454" t="str">
            <v>82007Compagnie Internationale de NegoceScratch 5 000</v>
          </cell>
          <cell r="V2454" t="str">
            <v>39317Scratch 5 000</v>
          </cell>
          <cell r="W2454" t="str">
            <v>2007Compagnie Internationale de Negoce</v>
          </cell>
          <cell r="X2454" t="str">
            <v>2007Compagnie Internationale de NegoceScratch 5 000</v>
          </cell>
        </row>
        <row r="2455">
          <cell r="I2455">
            <v>2007</v>
          </cell>
          <cell r="J2455" t="str">
            <v>Compagnie Internationale de NegoceScratch 2 000</v>
          </cell>
          <cell r="L2455">
            <v>0</v>
          </cell>
          <cell r="M2455" t="str">
            <v>Compagnie Internationale de Negoce</v>
          </cell>
          <cell r="N2455" t="str">
            <v>Compagnie Internationale de NegoceScratch 2 000</v>
          </cell>
          <cell r="O2455" t="str">
            <v>Compagnie Internationale de Negoce</v>
          </cell>
          <cell r="P2455" t="str">
            <v>Scratch 2 000</v>
          </cell>
          <cell r="Q2455" t="str">
            <v>82007</v>
          </cell>
          <cell r="R2455" t="str">
            <v>82007Scratch 2 000</v>
          </cell>
          <cell r="S2455" t="str">
            <v>2007Scratch 2 000</v>
          </cell>
          <cell r="T2455" t="str">
            <v>82007Compagnie Internationale de Negoce</v>
          </cell>
          <cell r="U2455" t="str">
            <v>82007Compagnie Internationale de NegoceScratch 2 000</v>
          </cell>
          <cell r="V2455" t="str">
            <v>39317Scratch 2 000</v>
          </cell>
          <cell r="W2455" t="str">
            <v>2007Compagnie Internationale de Negoce</v>
          </cell>
          <cell r="X2455" t="str">
            <v>2007Compagnie Internationale de NegoceScratch 2 000</v>
          </cell>
        </row>
        <row r="2456">
          <cell r="I2456">
            <v>2007</v>
          </cell>
          <cell r="J2456" t="str">
            <v>Compagnie Internationale de NegoceScratch 1 000</v>
          </cell>
          <cell r="L2456">
            <v>0</v>
          </cell>
          <cell r="M2456" t="str">
            <v>Compagnie Internationale de Negoce</v>
          </cell>
          <cell r="N2456" t="str">
            <v>Compagnie Internationale de NegoceScratch 1 000</v>
          </cell>
          <cell r="O2456" t="str">
            <v>Compagnie Internationale de Negoce</v>
          </cell>
          <cell r="P2456" t="str">
            <v>Scratch 1 000</v>
          </cell>
          <cell r="Q2456" t="str">
            <v>82007</v>
          </cell>
          <cell r="R2456" t="str">
            <v>82007Scratch 1 000</v>
          </cell>
          <cell r="S2456" t="str">
            <v>2007Scratch 1 000</v>
          </cell>
          <cell r="T2456" t="str">
            <v>82007Compagnie Internationale de Negoce</v>
          </cell>
          <cell r="U2456" t="str">
            <v>82007Compagnie Internationale de NegoceScratch 1 000</v>
          </cell>
          <cell r="V2456" t="str">
            <v>39317Scratch 1 000</v>
          </cell>
          <cell r="W2456" t="str">
            <v>2007Compagnie Internationale de Negoce</v>
          </cell>
          <cell r="X2456" t="str">
            <v>2007Compagnie Internationale de NegoceScratch 1 000</v>
          </cell>
        </row>
        <row r="2457">
          <cell r="I2457">
            <v>2007</v>
          </cell>
          <cell r="J2457" t="str">
            <v>Soleil LevantScratch 5 000</v>
          </cell>
          <cell r="L2457">
            <v>1</v>
          </cell>
          <cell r="M2457" t="str">
            <v>1Soleil Levant</v>
          </cell>
          <cell r="N2457" t="str">
            <v>Soleil LevantScratch 5 000</v>
          </cell>
          <cell r="O2457" t="str">
            <v>Soleil Levant</v>
          </cell>
          <cell r="P2457" t="str">
            <v>Scratch 5 000</v>
          </cell>
          <cell r="Q2457" t="str">
            <v>82007</v>
          </cell>
          <cell r="R2457" t="str">
            <v>82007Scratch 5 000</v>
          </cell>
          <cell r="S2457" t="str">
            <v>2007Scratch 5 000</v>
          </cell>
          <cell r="T2457" t="str">
            <v>82007Soleil Levant</v>
          </cell>
          <cell r="U2457" t="str">
            <v>82007Soleil LevantScratch 5 000</v>
          </cell>
          <cell r="V2457" t="str">
            <v>39317Scratch 5 000</v>
          </cell>
          <cell r="W2457" t="str">
            <v>2007Soleil Levant</v>
          </cell>
          <cell r="X2457" t="str">
            <v>2007Soleil LevantScratch 5 000</v>
          </cell>
        </row>
        <row r="2458">
          <cell r="I2458">
            <v>2007</v>
          </cell>
          <cell r="J2458" t="str">
            <v>Soleil LevantScratch 2 000</v>
          </cell>
          <cell r="L2458">
            <v>0</v>
          </cell>
          <cell r="M2458" t="str">
            <v>Soleil Levant</v>
          </cell>
          <cell r="N2458" t="str">
            <v>Soleil LevantScratch 2 000</v>
          </cell>
          <cell r="O2458" t="str">
            <v>Soleil Levant</v>
          </cell>
          <cell r="P2458" t="str">
            <v>Scratch 2 000</v>
          </cell>
          <cell r="Q2458" t="str">
            <v>82007</v>
          </cell>
          <cell r="R2458" t="str">
            <v>82007Scratch 2 000</v>
          </cell>
          <cell r="S2458" t="str">
            <v>2007Scratch 2 000</v>
          </cell>
          <cell r="T2458" t="str">
            <v>82007Soleil Levant</v>
          </cell>
          <cell r="U2458" t="str">
            <v>82007Soleil LevantScratch 2 000</v>
          </cell>
          <cell r="V2458" t="str">
            <v>39317Scratch 2 000</v>
          </cell>
          <cell r="W2458" t="str">
            <v>2007Soleil Levant</v>
          </cell>
          <cell r="X2458" t="str">
            <v>2007Soleil LevantScratch 2 000</v>
          </cell>
        </row>
        <row r="2459">
          <cell r="I2459">
            <v>2007</v>
          </cell>
          <cell r="J2459" t="str">
            <v>Soleil LevantScratch 1 000</v>
          </cell>
          <cell r="L2459">
            <v>0</v>
          </cell>
          <cell r="M2459" t="str">
            <v>Soleil Levant</v>
          </cell>
          <cell r="N2459" t="str">
            <v>Soleil LevantScratch 1 000</v>
          </cell>
          <cell r="O2459" t="str">
            <v>Soleil Levant</v>
          </cell>
          <cell r="P2459" t="str">
            <v>Scratch 1 000</v>
          </cell>
          <cell r="Q2459" t="str">
            <v>82007</v>
          </cell>
          <cell r="R2459" t="str">
            <v>82007Scratch 1 000</v>
          </cell>
          <cell r="S2459" t="str">
            <v>2007Scratch 1 000</v>
          </cell>
          <cell r="T2459" t="str">
            <v>82007Soleil Levant</v>
          </cell>
          <cell r="U2459" t="str">
            <v>82007Soleil LevantScratch 1 000</v>
          </cell>
          <cell r="V2459" t="str">
            <v>39317Scratch 1 000</v>
          </cell>
          <cell r="W2459" t="str">
            <v>2007Soleil Levant</v>
          </cell>
          <cell r="X2459" t="str">
            <v>2007Soleil LevantScratch 1 000</v>
          </cell>
        </row>
        <row r="2460">
          <cell r="I2460">
            <v>2007</v>
          </cell>
          <cell r="J2460" t="str">
            <v>SDC TELECOMScratch 20 000</v>
          </cell>
          <cell r="L2460">
            <v>1</v>
          </cell>
          <cell r="M2460" t="str">
            <v>1SDC TELECOM</v>
          </cell>
          <cell r="N2460" t="str">
            <v>SDC TELECOMScratch 20 000</v>
          </cell>
          <cell r="O2460" t="str">
            <v>SDC TELECOM</v>
          </cell>
          <cell r="P2460" t="str">
            <v>Scratch 20 000</v>
          </cell>
          <cell r="Q2460" t="str">
            <v>82007</v>
          </cell>
          <cell r="R2460" t="str">
            <v>82007Scratch 20 000</v>
          </cell>
          <cell r="S2460" t="str">
            <v>2007Scratch 20 000</v>
          </cell>
          <cell r="T2460" t="str">
            <v>82007SDC TELECOM</v>
          </cell>
          <cell r="U2460" t="str">
            <v>82007SDC TELECOMScratch 20 000</v>
          </cell>
          <cell r="V2460" t="str">
            <v>39317Scratch 20 000</v>
          </cell>
          <cell r="W2460" t="str">
            <v>2007SDC TELECOM</v>
          </cell>
          <cell r="X2460" t="str">
            <v>2007SDC TELECOMScratch 20 000</v>
          </cell>
        </row>
        <row r="2461">
          <cell r="I2461">
            <v>2007</v>
          </cell>
          <cell r="J2461" t="str">
            <v>SDC TELECOMScratch 10 000</v>
          </cell>
          <cell r="L2461">
            <v>0</v>
          </cell>
          <cell r="M2461" t="str">
            <v>SDC TELECOM</v>
          </cell>
          <cell r="N2461" t="str">
            <v>SDC TELECOMScratch 10 000</v>
          </cell>
          <cell r="O2461" t="str">
            <v>SDC TELECOM</v>
          </cell>
          <cell r="P2461" t="str">
            <v>Scratch 10 000</v>
          </cell>
          <cell r="Q2461" t="str">
            <v>82007</v>
          </cell>
          <cell r="R2461" t="str">
            <v>82007Scratch 10 000</v>
          </cell>
          <cell r="S2461" t="str">
            <v>2007Scratch 10 000</v>
          </cell>
          <cell r="T2461" t="str">
            <v>82007SDC TELECOM</v>
          </cell>
          <cell r="U2461" t="str">
            <v>82007SDC TELECOMScratch 10 000</v>
          </cell>
          <cell r="V2461" t="str">
            <v>39317Scratch 10 000</v>
          </cell>
          <cell r="W2461" t="str">
            <v>2007SDC TELECOM</v>
          </cell>
          <cell r="X2461" t="str">
            <v>2007SDC TELECOMScratch 10 000</v>
          </cell>
        </row>
        <row r="2462">
          <cell r="I2462">
            <v>2007</v>
          </cell>
          <cell r="J2462" t="str">
            <v>SDC TELECOMScratch 5 000</v>
          </cell>
          <cell r="L2462">
            <v>0</v>
          </cell>
          <cell r="M2462" t="str">
            <v>SDC TELECOM</v>
          </cell>
          <cell r="N2462" t="str">
            <v>SDC TELECOMScratch 5 000</v>
          </cell>
          <cell r="O2462" t="str">
            <v>SDC TELECOM</v>
          </cell>
          <cell r="P2462" t="str">
            <v>Scratch 5 000</v>
          </cell>
          <cell r="Q2462" t="str">
            <v>82007</v>
          </cell>
          <cell r="R2462" t="str">
            <v>82007Scratch 5 000</v>
          </cell>
          <cell r="S2462" t="str">
            <v>2007Scratch 5 000</v>
          </cell>
          <cell r="T2462" t="str">
            <v>82007SDC TELECOM</v>
          </cell>
          <cell r="U2462" t="str">
            <v>82007SDC TELECOMScratch 5 000</v>
          </cell>
          <cell r="V2462" t="str">
            <v>39317Scratch 5 000</v>
          </cell>
          <cell r="W2462" t="str">
            <v>2007SDC TELECOM</v>
          </cell>
          <cell r="X2462" t="str">
            <v>2007SDC TELECOMScratch 5 000</v>
          </cell>
        </row>
        <row r="2463">
          <cell r="I2463">
            <v>2007</v>
          </cell>
          <cell r="J2463" t="str">
            <v>SDC TELECOMScratch 2 000</v>
          </cell>
          <cell r="L2463">
            <v>0</v>
          </cell>
          <cell r="M2463" t="str">
            <v>SDC TELECOM</v>
          </cell>
          <cell r="N2463" t="str">
            <v>SDC TELECOMScratch 2 000</v>
          </cell>
          <cell r="O2463" t="str">
            <v>SDC TELECOM</v>
          </cell>
          <cell r="P2463" t="str">
            <v>Scratch 2 000</v>
          </cell>
          <cell r="Q2463" t="str">
            <v>82007</v>
          </cell>
          <cell r="R2463" t="str">
            <v>82007Scratch 2 000</v>
          </cell>
          <cell r="S2463" t="str">
            <v>2007Scratch 2 000</v>
          </cell>
          <cell r="T2463" t="str">
            <v>82007SDC TELECOM</v>
          </cell>
          <cell r="U2463" t="str">
            <v>82007SDC TELECOMScratch 2 000</v>
          </cell>
          <cell r="V2463" t="str">
            <v>39317Scratch 2 000</v>
          </cell>
          <cell r="W2463" t="str">
            <v>2007SDC TELECOM</v>
          </cell>
          <cell r="X2463" t="str">
            <v>2007SDC TELECOMScratch 2 000</v>
          </cell>
        </row>
        <row r="2464">
          <cell r="I2464">
            <v>2007</v>
          </cell>
          <cell r="J2464" t="str">
            <v>SDC TELECOMScratch 1 000</v>
          </cell>
          <cell r="L2464">
            <v>0</v>
          </cell>
          <cell r="M2464" t="str">
            <v>SDC TELECOM</v>
          </cell>
          <cell r="N2464" t="str">
            <v>SDC TELECOMScratch 1 000</v>
          </cell>
          <cell r="O2464" t="str">
            <v>SDC TELECOM</v>
          </cell>
          <cell r="P2464" t="str">
            <v>Scratch 1 000</v>
          </cell>
          <cell r="Q2464" t="str">
            <v>82007</v>
          </cell>
          <cell r="R2464" t="str">
            <v>82007Scratch 1 000</v>
          </cell>
          <cell r="S2464" t="str">
            <v>2007Scratch 1 000</v>
          </cell>
          <cell r="T2464" t="str">
            <v>82007SDC TELECOM</v>
          </cell>
          <cell r="U2464" t="str">
            <v>82007SDC TELECOMScratch 1 000</v>
          </cell>
          <cell r="V2464" t="str">
            <v>39317Scratch 1 000</v>
          </cell>
          <cell r="W2464" t="str">
            <v>2007SDC TELECOM</v>
          </cell>
          <cell r="X2464" t="str">
            <v>2007SDC TELECOMScratch 1 000</v>
          </cell>
        </row>
        <row r="2465">
          <cell r="I2465">
            <v>2007</v>
          </cell>
          <cell r="J2465" t="str">
            <v>Burtel MacsymScratch 20 000</v>
          </cell>
          <cell r="L2465">
            <v>1</v>
          </cell>
          <cell r="M2465" t="str">
            <v>1Burtel Macsym</v>
          </cell>
          <cell r="N2465" t="str">
            <v>Burtel MacsymScratch 20 000</v>
          </cell>
          <cell r="O2465" t="str">
            <v>Burtel Macsym</v>
          </cell>
          <cell r="P2465" t="str">
            <v>Scratch 20 000</v>
          </cell>
          <cell r="Q2465" t="str">
            <v>82007</v>
          </cell>
          <cell r="R2465" t="str">
            <v>82007Scratch 20 000</v>
          </cell>
          <cell r="S2465" t="str">
            <v>2007Scratch 20 000</v>
          </cell>
          <cell r="T2465" t="str">
            <v>82007Burtel Macsym</v>
          </cell>
          <cell r="U2465" t="str">
            <v>82007Burtel MacsymScratch 20 000</v>
          </cell>
          <cell r="V2465" t="str">
            <v>39318Scratch 20 000</v>
          </cell>
          <cell r="W2465" t="str">
            <v>2007Burtel Macsym</v>
          </cell>
          <cell r="X2465" t="str">
            <v>2007Burtel MacsymScratch 20 000</v>
          </cell>
        </row>
        <row r="2466">
          <cell r="I2466">
            <v>2007</v>
          </cell>
          <cell r="J2466" t="str">
            <v>Burtel MacsymScratch 10 000</v>
          </cell>
          <cell r="L2466">
            <v>0</v>
          </cell>
          <cell r="M2466" t="str">
            <v>Burtel Macsym</v>
          </cell>
          <cell r="N2466" t="str">
            <v>Burtel MacsymScratch 10 000</v>
          </cell>
          <cell r="O2466" t="str">
            <v>Burtel Macsym</v>
          </cell>
          <cell r="P2466" t="str">
            <v>Scratch 10 000</v>
          </cell>
          <cell r="Q2466" t="str">
            <v>82007</v>
          </cell>
          <cell r="R2466" t="str">
            <v>82007Scratch 10 000</v>
          </cell>
          <cell r="S2466" t="str">
            <v>2007Scratch 10 000</v>
          </cell>
          <cell r="T2466" t="str">
            <v>82007Burtel Macsym</v>
          </cell>
          <cell r="U2466" t="str">
            <v>82007Burtel MacsymScratch 10 000</v>
          </cell>
          <cell r="V2466" t="str">
            <v>39318Scratch 10 000</v>
          </cell>
          <cell r="W2466" t="str">
            <v>2007Burtel Macsym</v>
          </cell>
          <cell r="X2466" t="str">
            <v>2007Burtel MacsymScratch 10 000</v>
          </cell>
        </row>
        <row r="2467">
          <cell r="I2467">
            <v>2007</v>
          </cell>
          <cell r="J2467" t="str">
            <v>Burtel MacsymScratch 5 000</v>
          </cell>
          <cell r="L2467">
            <v>0</v>
          </cell>
          <cell r="M2467" t="str">
            <v>Burtel Macsym</v>
          </cell>
          <cell r="N2467" t="str">
            <v>Burtel MacsymScratch 5 000</v>
          </cell>
          <cell r="O2467" t="str">
            <v>Burtel Macsym</v>
          </cell>
          <cell r="P2467" t="str">
            <v>Scratch 5 000</v>
          </cell>
          <cell r="Q2467" t="str">
            <v>82007</v>
          </cell>
          <cell r="R2467" t="str">
            <v>82007Scratch 5 000</v>
          </cell>
          <cell r="S2467" t="str">
            <v>2007Scratch 5 000</v>
          </cell>
          <cell r="T2467" t="str">
            <v>82007Burtel Macsym</v>
          </cell>
          <cell r="U2467" t="str">
            <v>82007Burtel MacsymScratch 5 000</v>
          </cell>
          <cell r="V2467" t="str">
            <v>39318Scratch 5 000</v>
          </cell>
          <cell r="W2467" t="str">
            <v>2007Burtel Macsym</v>
          </cell>
          <cell r="X2467" t="str">
            <v>2007Burtel MacsymScratch 5 000</v>
          </cell>
        </row>
        <row r="2468">
          <cell r="I2468">
            <v>2007</v>
          </cell>
          <cell r="J2468" t="str">
            <v>Burtel MacsymScratch 2 000</v>
          </cell>
          <cell r="L2468">
            <v>0</v>
          </cell>
          <cell r="M2468" t="str">
            <v>Burtel Macsym</v>
          </cell>
          <cell r="N2468" t="str">
            <v>Burtel MacsymScratch 2 000</v>
          </cell>
          <cell r="O2468" t="str">
            <v>Burtel Macsym</v>
          </cell>
          <cell r="P2468" t="str">
            <v>Scratch 2 000</v>
          </cell>
          <cell r="Q2468" t="str">
            <v>82007</v>
          </cell>
          <cell r="R2468" t="str">
            <v>82007Scratch 2 000</v>
          </cell>
          <cell r="S2468" t="str">
            <v>2007Scratch 2 000</v>
          </cell>
          <cell r="T2468" t="str">
            <v>82007Burtel Macsym</v>
          </cell>
          <cell r="U2468" t="str">
            <v>82007Burtel MacsymScratch 2 000</v>
          </cell>
          <cell r="V2468" t="str">
            <v>39318Scratch 2 000</v>
          </cell>
          <cell r="W2468" t="str">
            <v>2007Burtel Macsym</v>
          </cell>
          <cell r="X2468" t="str">
            <v>2007Burtel MacsymScratch 2 000</v>
          </cell>
        </row>
        <row r="2469">
          <cell r="I2469">
            <v>2007</v>
          </cell>
          <cell r="J2469" t="str">
            <v>Burtel MacsymScratch 1 000</v>
          </cell>
          <cell r="L2469">
            <v>0</v>
          </cell>
          <cell r="M2469" t="str">
            <v>Burtel Macsym</v>
          </cell>
          <cell r="N2469" t="str">
            <v>Burtel MacsymScratch 1 000</v>
          </cell>
          <cell r="O2469" t="str">
            <v>Burtel Macsym</v>
          </cell>
          <cell r="P2469" t="str">
            <v>Scratch 1 000</v>
          </cell>
          <cell r="Q2469" t="str">
            <v>82007</v>
          </cell>
          <cell r="R2469" t="str">
            <v>82007Scratch 1 000</v>
          </cell>
          <cell r="S2469" t="str">
            <v>2007Scratch 1 000</v>
          </cell>
          <cell r="T2469" t="str">
            <v>82007Burtel Macsym</v>
          </cell>
          <cell r="U2469" t="str">
            <v>82007Burtel MacsymScratch 1 000</v>
          </cell>
          <cell r="V2469" t="str">
            <v>39318Scratch 1 000</v>
          </cell>
          <cell r="W2469" t="str">
            <v>2007Burtel Macsym</v>
          </cell>
          <cell r="X2469" t="str">
            <v>2007Burtel MacsymScratch 1 000</v>
          </cell>
        </row>
        <row r="2470">
          <cell r="I2470">
            <v>2007</v>
          </cell>
          <cell r="J2470" t="str">
            <v>SOMAKOFFScratch 20 000</v>
          </cell>
          <cell r="L2470">
            <v>1</v>
          </cell>
          <cell r="M2470" t="str">
            <v>1SOMAKOFF</v>
          </cell>
          <cell r="N2470" t="str">
            <v>SOMAKOFFScratch 20 000</v>
          </cell>
          <cell r="O2470" t="str">
            <v>SOMAKOFF</v>
          </cell>
          <cell r="P2470" t="str">
            <v>Scratch 20 000</v>
          </cell>
          <cell r="Q2470" t="str">
            <v>82007</v>
          </cell>
          <cell r="R2470" t="str">
            <v>82007Scratch 20 000</v>
          </cell>
          <cell r="S2470" t="str">
            <v>2007Scratch 20 000</v>
          </cell>
          <cell r="T2470" t="str">
            <v>82007SOMAKOFF</v>
          </cell>
          <cell r="U2470" t="str">
            <v>82007SOMAKOFFScratch 20 000</v>
          </cell>
          <cell r="V2470" t="str">
            <v>39318Scratch 20 000</v>
          </cell>
          <cell r="W2470" t="str">
            <v>2007SOMAKOFF</v>
          </cell>
          <cell r="X2470" t="str">
            <v>2007SOMAKOFFScratch 20 000</v>
          </cell>
        </row>
        <row r="2471">
          <cell r="I2471">
            <v>2007</v>
          </cell>
          <cell r="J2471" t="str">
            <v>SOMAKOFFScratch 5 000</v>
          </cell>
          <cell r="L2471">
            <v>0</v>
          </cell>
          <cell r="M2471" t="str">
            <v>SOMAKOFF</v>
          </cell>
          <cell r="N2471" t="str">
            <v>SOMAKOFFScratch 5 000</v>
          </cell>
          <cell r="O2471" t="str">
            <v>SOMAKOFF</v>
          </cell>
          <cell r="P2471" t="str">
            <v>Scratch 5 000</v>
          </cell>
          <cell r="Q2471" t="str">
            <v>82007</v>
          </cell>
          <cell r="R2471" t="str">
            <v>82007Scratch 5 000</v>
          </cell>
          <cell r="S2471" t="str">
            <v>2007Scratch 5 000</v>
          </cell>
          <cell r="T2471" t="str">
            <v>82007SOMAKOFF</v>
          </cell>
          <cell r="U2471" t="str">
            <v>82007SOMAKOFFScratch 5 000</v>
          </cell>
          <cell r="V2471" t="str">
            <v>39318Scratch 5 000</v>
          </cell>
          <cell r="W2471" t="str">
            <v>2007SOMAKOFF</v>
          </cell>
          <cell r="X2471" t="str">
            <v>2007SOMAKOFFScratch 5 000</v>
          </cell>
        </row>
        <row r="2472">
          <cell r="I2472">
            <v>2007</v>
          </cell>
          <cell r="J2472" t="str">
            <v>SOMAKOFFScratch 2 000</v>
          </cell>
          <cell r="L2472">
            <v>0</v>
          </cell>
          <cell r="M2472" t="str">
            <v>SOMAKOFF</v>
          </cell>
          <cell r="N2472" t="str">
            <v>SOMAKOFFScratch 2 000</v>
          </cell>
          <cell r="O2472" t="str">
            <v>SOMAKOFF</v>
          </cell>
          <cell r="P2472" t="str">
            <v>Scratch 2 000</v>
          </cell>
          <cell r="Q2472" t="str">
            <v>82007</v>
          </cell>
          <cell r="R2472" t="str">
            <v>82007Scratch 2 000</v>
          </cell>
          <cell r="S2472" t="str">
            <v>2007Scratch 2 000</v>
          </cell>
          <cell r="T2472" t="str">
            <v>82007SOMAKOFF</v>
          </cell>
          <cell r="U2472" t="str">
            <v>82007SOMAKOFFScratch 2 000</v>
          </cell>
          <cell r="V2472" t="str">
            <v>39318Scratch 2 000</v>
          </cell>
          <cell r="W2472" t="str">
            <v>2007SOMAKOFF</v>
          </cell>
          <cell r="X2472" t="str">
            <v>2007SOMAKOFFScratch 2 000</v>
          </cell>
        </row>
        <row r="2473">
          <cell r="I2473">
            <v>2007</v>
          </cell>
          <cell r="J2473" t="str">
            <v>SOMAKOFFScratch 1 000</v>
          </cell>
          <cell r="L2473">
            <v>0</v>
          </cell>
          <cell r="M2473" t="str">
            <v>SOMAKOFF</v>
          </cell>
          <cell r="N2473" t="str">
            <v>SOMAKOFFScratch 1 000</v>
          </cell>
          <cell r="O2473" t="str">
            <v>SOMAKOFF</v>
          </cell>
          <cell r="P2473" t="str">
            <v>Scratch 1 000</v>
          </cell>
          <cell r="Q2473" t="str">
            <v>82007</v>
          </cell>
          <cell r="R2473" t="str">
            <v>82007Scratch 1 000</v>
          </cell>
          <cell r="S2473" t="str">
            <v>2007Scratch 1 000</v>
          </cell>
          <cell r="T2473" t="str">
            <v>82007SOMAKOFF</v>
          </cell>
          <cell r="U2473" t="str">
            <v>82007SOMAKOFFScratch 1 000</v>
          </cell>
          <cell r="V2473" t="str">
            <v>39318Scratch 1 000</v>
          </cell>
          <cell r="W2473" t="str">
            <v>2007SOMAKOFF</v>
          </cell>
          <cell r="X2473" t="str">
            <v>2007SOMAKOFFScratch 1 000</v>
          </cell>
        </row>
        <row r="2474">
          <cell r="I2474">
            <v>2007</v>
          </cell>
          <cell r="J2474" t="str">
            <v>Ets Boubacar TANDIAScratch 20 000</v>
          </cell>
          <cell r="L2474">
            <v>1</v>
          </cell>
          <cell r="M2474" t="str">
            <v>1Ets Boubacar TANDIA</v>
          </cell>
          <cell r="N2474" t="str">
            <v>Ets Boubacar TANDIAScratch 20 000</v>
          </cell>
          <cell r="O2474" t="str">
            <v>Ets Boubacar TANDIA</v>
          </cell>
          <cell r="P2474" t="str">
            <v>Scratch 20 000</v>
          </cell>
          <cell r="Q2474" t="str">
            <v>82007</v>
          </cell>
          <cell r="R2474" t="str">
            <v>82007Scratch 20 000</v>
          </cell>
          <cell r="S2474" t="str">
            <v>2007Scratch 20 000</v>
          </cell>
          <cell r="T2474" t="str">
            <v>82007Ets Boubacar TANDIA</v>
          </cell>
          <cell r="U2474" t="str">
            <v>82007Ets Boubacar TANDIAScratch 20 000</v>
          </cell>
          <cell r="V2474" t="str">
            <v>39318Scratch 20 000</v>
          </cell>
          <cell r="W2474" t="str">
            <v>2007Ets Boubacar TANDIA</v>
          </cell>
          <cell r="X2474" t="str">
            <v>2007Ets Boubacar TANDIAScratch 20 000</v>
          </cell>
        </row>
        <row r="2475">
          <cell r="I2475">
            <v>2007</v>
          </cell>
          <cell r="J2475" t="str">
            <v>Ets Boubacar TANDIAScratch 10 000</v>
          </cell>
          <cell r="L2475">
            <v>0</v>
          </cell>
          <cell r="M2475" t="str">
            <v>Ets Boubacar TANDIA</v>
          </cell>
          <cell r="N2475" t="str">
            <v>Ets Boubacar TANDIAScratch 10 000</v>
          </cell>
          <cell r="O2475" t="str">
            <v>Ets Boubacar TANDIA</v>
          </cell>
          <cell r="P2475" t="str">
            <v>Scratch 10 000</v>
          </cell>
          <cell r="Q2475" t="str">
            <v>82007</v>
          </cell>
          <cell r="R2475" t="str">
            <v>82007Scratch 10 000</v>
          </cell>
          <cell r="S2475" t="str">
            <v>2007Scratch 10 000</v>
          </cell>
          <cell r="T2475" t="str">
            <v>82007Ets Boubacar TANDIA</v>
          </cell>
          <cell r="U2475" t="str">
            <v>82007Ets Boubacar TANDIAScratch 10 000</v>
          </cell>
          <cell r="V2475" t="str">
            <v>39318Scratch 10 000</v>
          </cell>
          <cell r="W2475" t="str">
            <v>2007Ets Boubacar TANDIA</v>
          </cell>
          <cell r="X2475" t="str">
            <v>2007Ets Boubacar TANDIAScratch 10 000</v>
          </cell>
        </row>
        <row r="2476">
          <cell r="I2476">
            <v>2007</v>
          </cell>
          <cell r="J2476" t="str">
            <v>Ets Boubacar TANDIAScratch 5 000</v>
          </cell>
          <cell r="L2476">
            <v>0</v>
          </cell>
          <cell r="M2476" t="str">
            <v>Ets Boubacar TANDIA</v>
          </cell>
          <cell r="N2476" t="str">
            <v>Ets Boubacar TANDIAScratch 5 000</v>
          </cell>
          <cell r="O2476" t="str">
            <v>Ets Boubacar TANDIA</v>
          </cell>
          <cell r="P2476" t="str">
            <v>Scratch 5 000</v>
          </cell>
          <cell r="Q2476" t="str">
            <v>82007</v>
          </cell>
          <cell r="R2476" t="str">
            <v>82007Scratch 5 000</v>
          </cell>
          <cell r="S2476" t="str">
            <v>2007Scratch 5 000</v>
          </cell>
          <cell r="T2476" t="str">
            <v>82007Ets Boubacar TANDIA</v>
          </cell>
          <cell r="U2476" t="str">
            <v>82007Ets Boubacar TANDIAScratch 5 000</v>
          </cell>
          <cell r="V2476" t="str">
            <v>39318Scratch 5 000</v>
          </cell>
          <cell r="W2476" t="str">
            <v>2007Ets Boubacar TANDIA</v>
          </cell>
          <cell r="X2476" t="str">
            <v>2007Ets Boubacar TANDIAScratch 5 000</v>
          </cell>
        </row>
        <row r="2477">
          <cell r="I2477">
            <v>2007</v>
          </cell>
          <cell r="J2477" t="str">
            <v>Ets Boubacar TANDIAScratch 2 000</v>
          </cell>
          <cell r="L2477">
            <v>0</v>
          </cell>
          <cell r="M2477" t="str">
            <v>Ets Boubacar TANDIA</v>
          </cell>
          <cell r="N2477" t="str">
            <v>Ets Boubacar TANDIAScratch 2 000</v>
          </cell>
          <cell r="O2477" t="str">
            <v>Ets Boubacar TANDIA</v>
          </cell>
          <cell r="P2477" t="str">
            <v>Scratch 2 000</v>
          </cell>
          <cell r="Q2477" t="str">
            <v>82007</v>
          </cell>
          <cell r="R2477" t="str">
            <v>82007Scratch 2 000</v>
          </cell>
          <cell r="S2477" t="str">
            <v>2007Scratch 2 000</v>
          </cell>
          <cell r="T2477" t="str">
            <v>82007Ets Boubacar TANDIA</v>
          </cell>
          <cell r="U2477" t="str">
            <v>82007Ets Boubacar TANDIAScratch 2 000</v>
          </cell>
          <cell r="V2477" t="str">
            <v>39318Scratch 2 000</v>
          </cell>
          <cell r="W2477" t="str">
            <v>2007Ets Boubacar TANDIA</v>
          </cell>
          <cell r="X2477" t="str">
            <v>2007Ets Boubacar TANDIAScratch 2 000</v>
          </cell>
        </row>
        <row r="2478">
          <cell r="I2478">
            <v>2007</v>
          </cell>
          <cell r="J2478" t="str">
            <v>Ets Boubacar TANDIAScratch 1 000</v>
          </cell>
          <cell r="L2478">
            <v>0</v>
          </cell>
          <cell r="M2478" t="str">
            <v>Ets Boubacar TANDIA</v>
          </cell>
          <cell r="N2478" t="str">
            <v>Ets Boubacar TANDIAScratch 1 000</v>
          </cell>
          <cell r="O2478" t="str">
            <v>Ets Boubacar TANDIA</v>
          </cell>
          <cell r="P2478" t="str">
            <v>Scratch 1 000</v>
          </cell>
          <cell r="Q2478" t="str">
            <v>82007</v>
          </cell>
          <cell r="R2478" t="str">
            <v>82007Scratch 1 000</v>
          </cell>
          <cell r="S2478" t="str">
            <v>2007Scratch 1 000</v>
          </cell>
          <cell r="T2478" t="str">
            <v>82007Ets Boubacar TANDIA</v>
          </cell>
          <cell r="U2478" t="str">
            <v>82007Ets Boubacar TANDIAScratch 1 000</v>
          </cell>
          <cell r="V2478" t="str">
            <v>39318Scratch 1 000</v>
          </cell>
          <cell r="W2478" t="str">
            <v>2007Ets Boubacar TANDIA</v>
          </cell>
          <cell r="X2478" t="str">
            <v>2007Ets Boubacar TANDIAScratch 1 000</v>
          </cell>
        </row>
        <row r="2479">
          <cell r="I2479">
            <v>2007</v>
          </cell>
          <cell r="J2479" t="str">
            <v>Soleil LevantScratch 5 000</v>
          </cell>
          <cell r="L2479">
            <v>1</v>
          </cell>
          <cell r="M2479" t="str">
            <v>1Soleil Levant</v>
          </cell>
          <cell r="N2479" t="str">
            <v>Soleil LevantScratch 5 000</v>
          </cell>
          <cell r="O2479" t="str">
            <v>Soleil Levant</v>
          </cell>
          <cell r="P2479" t="str">
            <v>Scratch 5 000</v>
          </cell>
          <cell r="Q2479" t="str">
            <v>82007</v>
          </cell>
          <cell r="R2479" t="str">
            <v>82007Scratch 5 000</v>
          </cell>
          <cell r="S2479" t="str">
            <v>2007Scratch 5 000</v>
          </cell>
          <cell r="T2479" t="str">
            <v>82007Soleil Levant</v>
          </cell>
          <cell r="U2479" t="str">
            <v>82007Soleil LevantScratch 5 000</v>
          </cell>
          <cell r="V2479" t="str">
            <v>39318Scratch 5 000</v>
          </cell>
          <cell r="W2479" t="str">
            <v>2007Soleil Levant</v>
          </cell>
          <cell r="X2479" t="str">
            <v>2007Soleil LevantScratch 5 000</v>
          </cell>
        </row>
        <row r="2480">
          <cell r="I2480">
            <v>2007</v>
          </cell>
          <cell r="J2480" t="str">
            <v>Soleil LevantScratch 2 000</v>
          </cell>
          <cell r="L2480">
            <v>0</v>
          </cell>
          <cell r="M2480" t="str">
            <v>Soleil Levant</v>
          </cell>
          <cell r="N2480" t="str">
            <v>Soleil LevantScratch 2 000</v>
          </cell>
          <cell r="O2480" t="str">
            <v>Soleil Levant</v>
          </cell>
          <cell r="P2480" t="str">
            <v>Scratch 2 000</v>
          </cell>
          <cell r="Q2480" t="str">
            <v>82007</v>
          </cell>
          <cell r="R2480" t="str">
            <v>82007Scratch 2 000</v>
          </cell>
          <cell r="S2480" t="str">
            <v>2007Scratch 2 000</v>
          </cell>
          <cell r="T2480" t="str">
            <v>82007Soleil Levant</v>
          </cell>
          <cell r="U2480" t="str">
            <v>82007Soleil LevantScratch 2 000</v>
          </cell>
          <cell r="V2480" t="str">
            <v>39318Scratch 2 000</v>
          </cell>
          <cell r="W2480" t="str">
            <v>2007Soleil Levant</v>
          </cell>
          <cell r="X2480" t="str">
            <v>2007Soleil LevantScratch 2 000</v>
          </cell>
        </row>
        <row r="2481">
          <cell r="I2481">
            <v>2007</v>
          </cell>
          <cell r="J2481" t="str">
            <v>Soleil LevantScratch 1 000</v>
          </cell>
          <cell r="L2481">
            <v>0</v>
          </cell>
          <cell r="M2481" t="str">
            <v>Soleil Levant</v>
          </cell>
          <cell r="N2481" t="str">
            <v>Soleil LevantScratch 1 000</v>
          </cell>
          <cell r="O2481" t="str">
            <v>Soleil Levant</v>
          </cell>
          <cell r="P2481" t="str">
            <v>Scratch 1 000</v>
          </cell>
          <cell r="Q2481" t="str">
            <v>82007</v>
          </cell>
          <cell r="R2481" t="str">
            <v>82007Scratch 1 000</v>
          </cell>
          <cell r="S2481" t="str">
            <v>2007Scratch 1 000</v>
          </cell>
          <cell r="T2481" t="str">
            <v>82007Soleil Levant</v>
          </cell>
          <cell r="U2481" t="str">
            <v>82007Soleil LevantScratch 1 000</v>
          </cell>
          <cell r="V2481" t="str">
            <v>39318Scratch 1 000</v>
          </cell>
          <cell r="W2481" t="str">
            <v>2007Soleil Levant</v>
          </cell>
          <cell r="X2481" t="str">
            <v>2007Soleil LevantScratch 1 000</v>
          </cell>
        </row>
        <row r="2482">
          <cell r="I2482">
            <v>2007</v>
          </cell>
          <cell r="J2482" t="str">
            <v>Ets Mamadou GAMBYScratch 5 000</v>
          </cell>
          <cell r="L2482">
            <v>1</v>
          </cell>
          <cell r="M2482" t="str">
            <v>1Ets Mamadou GAMBY</v>
          </cell>
          <cell r="N2482" t="str">
            <v>Ets Mamadou GAMBYScratch 5 000</v>
          </cell>
          <cell r="O2482" t="str">
            <v>Ets Mamadou GAMBY</v>
          </cell>
          <cell r="P2482" t="str">
            <v>Scratch 5 000</v>
          </cell>
          <cell r="Q2482" t="str">
            <v>82007</v>
          </cell>
          <cell r="R2482" t="str">
            <v>82007Scratch 5 000</v>
          </cell>
          <cell r="S2482" t="str">
            <v>2007Scratch 5 000</v>
          </cell>
          <cell r="T2482" t="str">
            <v>82007Ets Mamadou GAMBY</v>
          </cell>
          <cell r="U2482" t="str">
            <v>82007Ets Mamadou GAMBYScratch 5 000</v>
          </cell>
          <cell r="V2482" t="str">
            <v>39318Scratch 5 000</v>
          </cell>
          <cell r="W2482" t="str">
            <v>2007Ets Mamadou GAMBY</v>
          </cell>
          <cell r="X2482" t="str">
            <v>2007Ets Mamadou GAMBYScratch 5 000</v>
          </cell>
        </row>
        <row r="2483">
          <cell r="I2483">
            <v>2007</v>
          </cell>
          <cell r="J2483" t="str">
            <v>Ets Mamadou GAMBYScratch 2 000</v>
          </cell>
          <cell r="L2483">
            <v>0</v>
          </cell>
          <cell r="M2483" t="str">
            <v>Ets Mamadou GAMBY</v>
          </cell>
          <cell r="N2483" t="str">
            <v>Ets Mamadou GAMBYScratch 2 000</v>
          </cell>
          <cell r="O2483" t="str">
            <v>Ets Mamadou GAMBY</v>
          </cell>
          <cell r="P2483" t="str">
            <v>Scratch 2 000</v>
          </cell>
          <cell r="Q2483" t="str">
            <v>82007</v>
          </cell>
          <cell r="R2483" t="str">
            <v>82007Scratch 2 000</v>
          </cell>
          <cell r="S2483" t="str">
            <v>2007Scratch 2 000</v>
          </cell>
          <cell r="T2483" t="str">
            <v>82007Ets Mamadou GAMBY</v>
          </cell>
          <cell r="U2483" t="str">
            <v>82007Ets Mamadou GAMBYScratch 2 000</v>
          </cell>
          <cell r="V2483" t="str">
            <v>39318Scratch 2 000</v>
          </cell>
          <cell r="W2483" t="str">
            <v>2007Ets Mamadou GAMBY</v>
          </cell>
          <cell r="X2483" t="str">
            <v>2007Ets Mamadou GAMBYScratch 2 000</v>
          </cell>
        </row>
        <row r="2484">
          <cell r="I2484">
            <v>2007</v>
          </cell>
          <cell r="J2484" t="str">
            <v>Ets Mamadou GAMBYScratch 1 000</v>
          </cell>
          <cell r="L2484">
            <v>0</v>
          </cell>
          <cell r="M2484" t="str">
            <v>Ets Mamadou GAMBY</v>
          </cell>
          <cell r="N2484" t="str">
            <v>Ets Mamadou GAMBYScratch 1 000</v>
          </cell>
          <cell r="O2484" t="str">
            <v>Ets Mamadou GAMBY</v>
          </cell>
          <cell r="P2484" t="str">
            <v>Scratch 1 000</v>
          </cell>
          <cell r="Q2484" t="str">
            <v>82007</v>
          </cell>
          <cell r="R2484" t="str">
            <v>82007Scratch 1 000</v>
          </cell>
          <cell r="S2484" t="str">
            <v>2007Scratch 1 000</v>
          </cell>
          <cell r="T2484" t="str">
            <v>82007Ets Mamadou GAMBY</v>
          </cell>
          <cell r="U2484" t="str">
            <v>82007Ets Mamadou GAMBYScratch 1 000</v>
          </cell>
          <cell r="V2484" t="str">
            <v>39318Scratch 1 000</v>
          </cell>
          <cell r="W2484" t="str">
            <v>2007Ets Mamadou GAMBY</v>
          </cell>
          <cell r="X2484" t="str">
            <v>2007Ets Mamadou GAMBYScratch 1 000</v>
          </cell>
        </row>
        <row r="2485">
          <cell r="I2485">
            <v>2007</v>
          </cell>
          <cell r="J2485" t="str">
            <v>Burtel MacsymScratch 20 000</v>
          </cell>
          <cell r="L2485">
            <v>1</v>
          </cell>
          <cell r="M2485" t="str">
            <v>1Burtel Macsym</v>
          </cell>
          <cell r="N2485" t="str">
            <v>Burtel MacsymScratch 20 000</v>
          </cell>
          <cell r="O2485" t="str">
            <v>Burtel Macsym</v>
          </cell>
          <cell r="P2485" t="str">
            <v>Scratch 20 000</v>
          </cell>
          <cell r="Q2485" t="str">
            <v>82007</v>
          </cell>
          <cell r="R2485" t="str">
            <v>82007Scratch 20 000</v>
          </cell>
          <cell r="S2485" t="str">
            <v>2007Scratch 20 000</v>
          </cell>
          <cell r="T2485" t="str">
            <v>82007Burtel Macsym</v>
          </cell>
          <cell r="U2485" t="str">
            <v>82007Burtel MacsymScratch 20 000</v>
          </cell>
          <cell r="V2485" t="str">
            <v>39318Scratch 20 000</v>
          </cell>
          <cell r="W2485" t="str">
            <v>2007Burtel Macsym</v>
          </cell>
          <cell r="X2485" t="str">
            <v>2007Burtel MacsymScratch 20 000</v>
          </cell>
        </row>
        <row r="2486">
          <cell r="I2486">
            <v>2007</v>
          </cell>
          <cell r="J2486" t="str">
            <v>Burtel MacsymScratch 5 000</v>
          </cell>
          <cell r="L2486">
            <v>0</v>
          </cell>
          <cell r="M2486" t="str">
            <v>Burtel Macsym</v>
          </cell>
          <cell r="N2486" t="str">
            <v>Burtel MacsymScratch 5 000</v>
          </cell>
          <cell r="O2486" t="str">
            <v>Burtel Macsym</v>
          </cell>
          <cell r="P2486" t="str">
            <v>Scratch 5 000</v>
          </cell>
          <cell r="Q2486" t="str">
            <v>82007</v>
          </cell>
          <cell r="R2486" t="str">
            <v>82007Scratch 5 000</v>
          </cell>
          <cell r="S2486" t="str">
            <v>2007Scratch 5 000</v>
          </cell>
          <cell r="T2486" t="str">
            <v>82007Burtel Macsym</v>
          </cell>
          <cell r="U2486" t="str">
            <v>82007Burtel MacsymScratch 5 000</v>
          </cell>
          <cell r="V2486" t="str">
            <v>39318Scratch 5 000</v>
          </cell>
          <cell r="W2486" t="str">
            <v>2007Burtel Macsym</v>
          </cell>
          <cell r="X2486" t="str">
            <v>2007Burtel MacsymScratch 5 000</v>
          </cell>
        </row>
        <row r="2487">
          <cell r="I2487">
            <v>2007</v>
          </cell>
          <cell r="J2487" t="str">
            <v>Burtel MacsymScratch 2 000</v>
          </cell>
          <cell r="L2487">
            <v>0</v>
          </cell>
          <cell r="M2487" t="str">
            <v>Burtel Macsym</v>
          </cell>
          <cell r="N2487" t="str">
            <v>Burtel MacsymScratch 2 000</v>
          </cell>
          <cell r="O2487" t="str">
            <v>Burtel Macsym</v>
          </cell>
          <cell r="P2487" t="str">
            <v>Scratch 2 000</v>
          </cell>
          <cell r="Q2487" t="str">
            <v>82007</v>
          </cell>
          <cell r="R2487" t="str">
            <v>82007Scratch 2 000</v>
          </cell>
          <cell r="S2487" t="str">
            <v>2007Scratch 2 000</v>
          </cell>
          <cell r="T2487" t="str">
            <v>82007Burtel Macsym</v>
          </cell>
          <cell r="U2487" t="str">
            <v>82007Burtel MacsymScratch 2 000</v>
          </cell>
          <cell r="V2487" t="str">
            <v>39318Scratch 2 000</v>
          </cell>
          <cell r="W2487" t="str">
            <v>2007Burtel Macsym</v>
          </cell>
          <cell r="X2487" t="str">
            <v>2007Burtel MacsymScratch 2 000</v>
          </cell>
        </row>
        <row r="2488">
          <cell r="I2488">
            <v>2007</v>
          </cell>
          <cell r="J2488" t="str">
            <v>Burtel MacsymScratch 1 000</v>
          </cell>
          <cell r="L2488">
            <v>0</v>
          </cell>
          <cell r="M2488" t="str">
            <v>Burtel Macsym</v>
          </cell>
          <cell r="N2488" t="str">
            <v>Burtel MacsymScratch 1 000</v>
          </cell>
          <cell r="O2488" t="str">
            <v>Burtel Macsym</v>
          </cell>
          <cell r="P2488" t="str">
            <v>Scratch 1 000</v>
          </cell>
          <cell r="Q2488" t="str">
            <v>82007</v>
          </cell>
          <cell r="R2488" t="str">
            <v>82007Scratch 1 000</v>
          </cell>
          <cell r="S2488" t="str">
            <v>2007Scratch 1 000</v>
          </cell>
          <cell r="T2488" t="str">
            <v>82007Burtel Macsym</v>
          </cell>
          <cell r="U2488" t="str">
            <v>82007Burtel MacsymScratch 1 000</v>
          </cell>
          <cell r="V2488" t="str">
            <v>39318Scratch 1 000</v>
          </cell>
          <cell r="W2488" t="str">
            <v>2007Burtel Macsym</v>
          </cell>
          <cell r="X2488" t="str">
            <v>2007Burtel MacsymScratch 1 000</v>
          </cell>
        </row>
        <row r="2489">
          <cell r="I2489">
            <v>2007</v>
          </cell>
          <cell r="J2489" t="str">
            <v>Burtel MacsymScratch 5 000</v>
          </cell>
          <cell r="L2489">
            <v>1</v>
          </cell>
          <cell r="M2489" t="str">
            <v>1Burtel Macsym</v>
          </cell>
          <cell r="N2489" t="str">
            <v>Burtel MacsymScratch 5 000</v>
          </cell>
          <cell r="O2489" t="str">
            <v>Burtel Macsym</v>
          </cell>
          <cell r="P2489" t="str">
            <v>Scratch 5 000</v>
          </cell>
          <cell r="Q2489" t="str">
            <v>82007</v>
          </cell>
          <cell r="R2489" t="str">
            <v>82007Scratch 5 000</v>
          </cell>
          <cell r="S2489" t="str">
            <v>2007Scratch 5 000</v>
          </cell>
          <cell r="T2489" t="str">
            <v>82007Burtel Macsym</v>
          </cell>
          <cell r="U2489" t="str">
            <v>82007Burtel MacsymScratch 5 000</v>
          </cell>
          <cell r="V2489" t="str">
            <v>39318Scratch 5 000</v>
          </cell>
          <cell r="W2489" t="str">
            <v>2007Burtel Macsym</v>
          </cell>
          <cell r="X2489" t="str">
            <v>2007Burtel MacsymScratch 5 000</v>
          </cell>
        </row>
        <row r="2490">
          <cell r="I2490">
            <v>2007</v>
          </cell>
          <cell r="J2490" t="str">
            <v>Burtel MacsymScratch 2 000</v>
          </cell>
          <cell r="L2490">
            <v>0</v>
          </cell>
          <cell r="M2490" t="str">
            <v>Burtel Macsym</v>
          </cell>
          <cell r="N2490" t="str">
            <v>Burtel MacsymScratch 2 000</v>
          </cell>
          <cell r="O2490" t="str">
            <v>Burtel Macsym</v>
          </cell>
          <cell r="P2490" t="str">
            <v>Scratch 2 000</v>
          </cell>
          <cell r="Q2490" t="str">
            <v>82007</v>
          </cell>
          <cell r="R2490" t="str">
            <v>82007Scratch 2 000</v>
          </cell>
          <cell r="S2490" t="str">
            <v>2007Scratch 2 000</v>
          </cell>
          <cell r="T2490" t="str">
            <v>82007Burtel Macsym</v>
          </cell>
          <cell r="U2490" t="str">
            <v>82007Burtel MacsymScratch 2 000</v>
          </cell>
          <cell r="V2490" t="str">
            <v>39318Scratch 2 000</v>
          </cell>
          <cell r="W2490" t="str">
            <v>2007Burtel Macsym</v>
          </cell>
          <cell r="X2490" t="str">
            <v>2007Burtel MacsymScratch 2 000</v>
          </cell>
        </row>
        <row r="2491">
          <cell r="I2491">
            <v>2007</v>
          </cell>
          <cell r="J2491" t="str">
            <v>Burtel MacsymScratch 1 000</v>
          </cell>
          <cell r="L2491">
            <v>0</v>
          </cell>
          <cell r="M2491" t="str">
            <v>Burtel Macsym</v>
          </cell>
          <cell r="N2491" t="str">
            <v>Burtel MacsymScratch 1 000</v>
          </cell>
          <cell r="O2491" t="str">
            <v>Burtel Macsym</v>
          </cell>
          <cell r="P2491" t="str">
            <v>Scratch 1 000</v>
          </cell>
          <cell r="Q2491" t="str">
            <v>82007</v>
          </cell>
          <cell r="R2491" t="str">
            <v>82007Scratch 1 000</v>
          </cell>
          <cell r="S2491" t="str">
            <v>2007Scratch 1 000</v>
          </cell>
          <cell r="T2491" t="str">
            <v>82007Burtel Macsym</v>
          </cell>
          <cell r="U2491" t="str">
            <v>82007Burtel MacsymScratch 1 000</v>
          </cell>
          <cell r="V2491" t="str">
            <v>39318Scratch 1 000</v>
          </cell>
          <cell r="W2491" t="str">
            <v>2007Burtel Macsym</v>
          </cell>
          <cell r="X2491" t="str">
            <v>2007Burtel MacsymScratch 1 000</v>
          </cell>
        </row>
        <row r="2492">
          <cell r="I2492">
            <v>2007</v>
          </cell>
          <cell r="J2492" t="str">
            <v>Soleil LevantScratch 5 000</v>
          </cell>
          <cell r="L2492">
            <v>1</v>
          </cell>
          <cell r="M2492" t="str">
            <v>1Soleil Levant</v>
          </cell>
          <cell r="N2492" t="str">
            <v>Soleil LevantScratch 5 000</v>
          </cell>
          <cell r="O2492" t="str">
            <v>Soleil Levant</v>
          </cell>
          <cell r="P2492" t="str">
            <v>Scratch 5 000</v>
          </cell>
          <cell r="Q2492" t="str">
            <v>82007</v>
          </cell>
          <cell r="R2492" t="str">
            <v>82007Scratch 5 000</v>
          </cell>
          <cell r="S2492" t="str">
            <v>2007Scratch 5 000</v>
          </cell>
          <cell r="T2492" t="str">
            <v>82007Soleil Levant</v>
          </cell>
          <cell r="U2492" t="str">
            <v>82007Soleil LevantScratch 5 000</v>
          </cell>
          <cell r="V2492" t="str">
            <v>39321Scratch 5 000</v>
          </cell>
          <cell r="W2492" t="str">
            <v>2007Soleil Levant</v>
          </cell>
          <cell r="X2492" t="str">
            <v>2007Soleil LevantScratch 5 000</v>
          </cell>
        </row>
        <row r="2493">
          <cell r="I2493">
            <v>2007</v>
          </cell>
          <cell r="J2493" t="str">
            <v>Soleil LevantScratch 2 000</v>
          </cell>
          <cell r="L2493">
            <v>0</v>
          </cell>
          <cell r="M2493" t="str">
            <v>Soleil Levant</v>
          </cell>
          <cell r="N2493" t="str">
            <v>Soleil LevantScratch 2 000</v>
          </cell>
          <cell r="O2493" t="str">
            <v>Soleil Levant</v>
          </cell>
          <cell r="P2493" t="str">
            <v>Scratch 2 000</v>
          </cell>
          <cell r="Q2493" t="str">
            <v>82007</v>
          </cell>
          <cell r="R2493" t="str">
            <v>82007Scratch 2 000</v>
          </cell>
          <cell r="S2493" t="str">
            <v>2007Scratch 2 000</v>
          </cell>
          <cell r="T2493" t="str">
            <v>82007Soleil Levant</v>
          </cell>
          <cell r="U2493" t="str">
            <v>82007Soleil LevantScratch 2 000</v>
          </cell>
          <cell r="V2493" t="str">
            <v>39321Scratch 2 000</v>
          </cell>
          <cell r="W2493" t="str">
            <v>2007Soleil Levant</v>
          </cell>
          <cell r="X2493" t="str">
            <v>2007Soleil LevantScratch 2 000</v>
          </cell>
        </row>
        <row r="2494">
          <cell r="I2494">
            <v>2007</v>
          </cell>
          <cell r="J2494" t="str">
            <v>Soleil LevantScratch 1 000</v>
          </cell>
          <cell r="L2494">
            <v>0</v>
          </cell>
          <cell r="M2494" t="str">
            <v>Soleil Levant</v>
          </cell>
          <cell r="N2494" t="str">
            <v>Soleil LevantScratch 1 000</v>
          </cell>
          <cell r="O2494" t="str">
            <v>Soleil Levant</v>
          </cell>
          <cell r="P2494" t="str">
            <v>Scratch 1 000</v>
          </cell>
          <cell r="Q2494" t="str">
            <v>82007</v>
          </cell>
          <cell r="R2494" t="str">
            <v>82007Scratch 1 000</v>
          </cell>
          <cell r="S2494" t="str">
            <v>2007Scratch 1 000</v>
          </cell>
          <cell r="T2494" t="str">
            <v>82007Soleil Levant</v>
          </cell>
          <cell r="U2494" t="str">
            <v>82007Soleil LevantScratch 1 000</v>
          </cell>
          <cell r="V2494" t="str">
            <v>39321Scratch 1 000</v>
          </cell>
          <cell r="W2494" t="str">
            <v>2007Soleil Levant</v>
          </cell>
          <cell r="X2494" t="str">
            <v>2007Soleil LevantScratch 1 000</v>
          </cell>
        </row>
        <row r="2495">
          <cell r="I2495">
            <v>2007</v>
          </cell>
          <cell r="J2495" t="str">
            <v>Compagnie Internationale de NegoceScratch 20 000</v>
          </cell>
          <cell r="L2495">
            <v>1</v>
          </cell>
          <cell r="M2495" t="str">
            <v>1Compagnie Internationale de Negoce</v>
          </cell>
          <cell r="N2495" t="str">
            <v>Compagnie Internationale de NegoceScratch 20 000</v>
          </cell>
          <cell r="O2495" t="str">
            <v>Compagnie Internationale de Negoce</v>
          </cell>
          <cell r="P2495" t="str">
            <v>Scratch 20 000</v>
          </cell>
          <cell r="Q2495" t="str">
            <v>82007</v>
          </cell>
          <cell r="R2495" t="str">
            <v>82007Scratch 20 000</v>
          </cell>
          <cell r="S2495" t="str">
            <v>2007Scratch 20 000</v>
          </cell>
          <cell r="T2495" t="str">
            <v>82007Compagnie Internationale de Negoce</v>
          </cell>
          <cell r="U2495" t="str">
            <v>82007Compagnie Internationale de NegoceScratch 20 000</v>
          </cell>
          <cell r="V2495" t="str">
            <v>39321Scratch 20 000</v>
          </cell>
          <cell r="W2495" t="str">
            <v>2007Compagnie Internationale de Negoce</v>
          </cell>
          <cell r="X2495" t="str">
            <v>2007Compagnie Internationale de NegoceScratch 20 000</v>
          </cell>
        </row>
        <row r="2496">
          <cell r="I2496">
            <v>2007</v>
          </cell>
          <cell r="J2496" t="str">
            <v>Compagnie Internationale de NegoceScratch 10 000</v>
          </cell>
          <cell r="L2496">
            <v>0</v>
          </cell>
          <cell r="M2496" t="str">
            <v>Compagnie Internationale de Negoce</v>
          </cell>
          <cell r="N2496" t="str">
            <v>Compagnie Internationale de NegoceScratch 10 000</v>
          </cell>
          <cell r="O2496" t="str">
            <v>Compagnie Internationale de Negoce</v>
          </cell>
          <cell r="P2496" t="str">
            <v>Scratch 10 000</v>
          </cell>
          <cell r="Q2496" t="str">
            <v>82007</v>
          </cell>
          <cell r="R2496" t="str">
            <v>82007Scratch 10 000</v>
          </cell>
          <cell r="S2496" t="str">
            <v>2007Scratch 10 000</v>
          </cell>
          <cell r="T2496" t="str">
            <v>82007Compagnie Internationale de Negoce</v>
          </cell>
          <cell r="U2496" t="str">
            <v>82007Compagnie Internationale de NegoceScratch 10 000</v>
          </cell>
          <cell r="V2496" t="str">
            <v>39321Scratch 10 000</v>
          </cell>
          <cell r="W2496" t="str">
            <v>2007Compagnie Internationale de Negoce</v>
          </cell>
          <cell r="X2496" t="str">
            <v>2007Compagnie Internationale de NegoceScratch 10 000</v>
          </cell>
        </row>
        <row r="2497">
          <cell r="I2497">
            <v>2007</v>
          </cell>
          <cell r="J2497" t="str">
            <v>Compagnie Internationale de NegoceScratch 5 000</v>
          </cell>
          <cell r="L2497">
            <v>0</v>
          </cell>
          <cell r="M2497" t="str">
            <v>Compagnie Internationale de Negoce</v>
          </cell>
          <cell r="N2497" t="str">
            <v>Compagnie Internationale de NegoceScratch 5 000</v>
          </cell>
          <cell r="O2497" t="str">
            <v>Compagnie Internationale de Negoce</v>
          </cell>
          <cell r="P2497" t="str">
            <v>Scratch 5 000</v>
          </cell>
          <cell r="Q2497" t="str">
            <v>82007</v>
          </cell>
          <cell r="R2497" t="str">
            <v>82007Scratch 5 000</v>
          </cell>
          <cell r="S2497" t="str">
            <v>2007Scratch 5 000</v>
          </cell>
          <cell r="T2497" t="str">
            <v>82007Compagnie Internationale de Negoce</v>
          </cell>
          <cell r="U2497" t="str">
            <v>82007Compagnie Internationale de NegoceScratch 5 000</v>
          </cell>
          <cell r="V2497" t="str">
            <v>39321Scratch 5 000</v>
          </cell>
          <cell r="W2497" t="str">
            <v>2007Compagnie Internationale de Negoce</v>
          </cell>
          <cell r="X2497" t="str">
            <v>2007Compagnie Internationale de NegoceScratch 5 000</v>
          </cell>
        </row>
        <row r="2498">
          <cell r="I2498">
            <v>2007</v>
          </cell>
          <cell r="J2498" t="str">
            <v>Compagnie Internationale de NegoceScratch 2 000</v>
          </cell>
          <cell r="L2498">
            <v>0</v>
          </cell>
          <cell r="M2498" t="str">
            <v>Compagnie Internationale de Negoce</v>
          </cell>
          <cell r="N2498" t="str">
            <v>Compagnie Internationale de NegoceScratch 2 000</v>
          </cell>
          <cell r="O2498" t="str">
            <v>Compagnie Internationale de Negoce</v>
          </cell>
          <cell r="P2498" t="str">
            <v>Scratch 2 000</v>
          </cell>
          <cell r="Q2498" t="str">
            <v>82007</v>
          </cell>
          <cell r="R2498" t="str">
            <v>82007Scratch 2 000</v>
          </cell>
          <cell r="S2498" t="str">
            <v>2007Scratch 2 000</v>
          </cell>
          <cell r="T2498" t="str">
            <v>82007Compagnie Internationale de Negoce</v>
          </cell>
          <cell r="U2498" t="str">
            <v>82007Compagnie Internationale de NegoceScratch 2 000</v>
          </cell>
          <cell r="V2498" t="str">
            <v>39321Scratch 2 000</v>
          </cell>
          <cell r="W2498" t="str">
            <v>2007Compagnie Internationale de Negoce</v>
          </cell>
          <cell r="X2498" t="str">
            <v>2007Compagnie Internationale de NegoceScratch 2 000</v>
          </cell>
        </row>
        <row r="2499">
          <cell r="I2499">
            <v>2007</v>
          </cell>
          <cell r="J2499" t="str">
            <v>Compagnie Internationale de NegoceScratch 1 000</v>
          </cell>
          <cell r="L2499">
            <v>0</v>
          </cell>
          <cell r="M2499" t="str">
            <v>Compagnie Internationale de Negoce</v>
          </cell>
          <cell r="N2499" t="str">
            <v>Compagnie Internationale de NegoceScratch 1 000</v>
          </cell>
          <cell r="O2499" t="str">
            <v>Compagnie Internationale de Negoce</v>
          </cell>
          <cell r="P2499" t="str">
            <v>Scratch 1 000</v>
          </cell>
          <cell r="Q2499" t="str">
            <v>82007</v>
          </cell>
          <cell r="R2499" t="str">
            <v>82007Scratch 1 000</v>
          </cell>
          <cell r="S2499" t="str">
            <v>2007Scratch 1 000</v>
          </cell>
          <cell r="T2499" t="str">
            <v>82007Compagnie Internationale de Negoce</v>
          </cell>
          <cell r="U2499" t="str">
            <v>82007Compagnie Internationale de NegoceScratch 1 000</v>
          </cell>
          <cell r="V2499" t="str">
            <v>39321Scratch 1 000</v>
          </cell>
          <cell r="W2499" t="str">
            <v>2007Compagnie Internationale de Negoce</v>
          </cell>
          <cell r="X2499" t="str">
            <v>2007Compagnie Internationale de NegoceScratch 1 000</v>
          </cell>
        </row>
        <row r="2500">
          <cell r="I2500">
            <v>2007</v>
          </cell>
          <cell r="J2500" t="str">
            <v>Ets Mamadou GAMBYScratch 10 000</v>
          </cell>
          <cell r="L2500">
            <v>1</v>
          </cell>
          <cell r="M2500" t="str">
            <v>1Ets Mamadou GAMBY</v>
          </cell>
          <cell r="N2500" t="str">
            <v>Ets Mamadou GAMBYScratch 10 000</v>
          </cell>
          <cell r="O2500" t="str">
            <v>Ets Mamadou GAMBY</v>
          </cell>
          <cell r="P2500" t="str">
            <v>Scratch 10 000</v>
          </cell>
          <cell r="Q2500" t="str">
            <v>82007</v>
          </cell>
          <cell r="R2500" t="str">
            <v>82007Scratch 10 000</v>
          </cell>
          <cell r="S2500" t="str">
            <v>2007Scratch 10 000</v>
          </cell>
          <cell r="T2500" t="str">
            <v>82007Ets Mamadou GAMBY</v>
          </cell>
          <cell r="U2500" t="str">
            <v>82007Ets Mamadou GAMBYScratch 10 000</v>
          </cell>
          <cell r="V2500" t="str">
            <v>39321Scratch 10 000</v>
          </cell>
          <cell r="W2500" t="str">
            <v>2007Ets Mamadou GAMBY</v>
          </cell>
          <cell r="X2500" t="str">
            <v>2007Ets Mamadou GAMBYScratch 10 000</v>
          </cell>
        </row>
        <row r="2501">
          <cell r="I2501">
            <v>2007</v>
          </cell>
          <cell r="J2501" t="str">
            <v>Ets Mamadou GAMBYScratch 5 000</v>
          </cell>
          <cell r="L2501">
            <v>0</v>
          </cell>
          <cell r="M2501" t="str">
            <v>Ets Mamadou GAMBY</v>
          </cell>
          <cell r="N2501" t="str">
            <v>Ets Mamadou GAMBYScratch 5 000</v>
          </cell>
          <cell r="O2501" t="str">
            <v>Ets Mamadou GAMBY</v>
          </cell>
          <cell r="P2501" t="str">
            <v>Scratch 5 000</v>
          </cell>
          <cell r="Q2501" t="str">
            <v>82007</v>
          </cell>
          <cell r="R2501" t="str">
            <v>82007Scratch 5 000</v>
          </cell>
          <cell r="S2501" t="str">
            <v>2007Scratch 5 000</v>
          </cell>
          <cell r="T2501" t="str">
            <v>82007Ets Mamadou GAMBY</v>
          </cell>
          <cell r="U2501" t="str">
            <v>82007Ets Mamadou GAMBYScratch 5 000</v>
          </cell>
          <cell r="V2501" t="str">
            <v>39321Scratch 5 000</v>
          </cell>
          <cell r="W2501" t="str">
            <v>2007Ets Mamadou GAMBY</v>
          </cell>
          <cell r="X2501" t="str">
            <v>2007Ets Mamadou GAMBYScratch 5 000</v>
          </cell>
        </row>
        <row r="2502">
          <cell r="I2502">
            <v>2007</v>
          </cell>
          <cell r="J2502" t="str">
            <v>Ets Mamadou GAMBYScratch 2 000</v>
          </cell>
          <cell r="L2502">
            <v>0</v>
          </cell>
          <cell r="M2502" t="str">
            <v>Ets Mamadou GAMBY</v>
          </cell>
          <cell r="N2502" t="str">
            <v>Ets Mamadou GAMBYScratch 2 000</v>
          </cell>
          <cell r="O2502" t="str">
            <v>Ets Mamadou GAMBY</v>
          </cell>
          <cell r="P2502" t="str">
            <v>Scratch 2 000</v>
          </cell>
          <cell r="Q2502" t="str">
            <v>82007</v>
          </cell>
          <cell r="R2502" t="str">
            <v>82007Scratch 2 000</v>
          </cell>
          <cell r="S2502" t="str">
            <v>2007Scratch 2 000</v>
          </cell>
          <cell r="T2502" t="str">
            <v>82007Ets Mamadou GAMBY</v>
          </cell>
          <cell r="U2502" t="str">
            <v>82007Ets Mamadou GAMBYScratch 2 000</v>
          </cell>
          <cell r="V2502" t="str">
            <v>39321Scratch 2 000</v>
          </cell>
          <cell r="W2502" t="str">
            <v>2007Ets Mamadou GAMBY</v>
          </cell>
          <cell r="X2502" t="str">
            <v>2007Ets Mamadou GAMBYScratch 2 000</v>
          </cell>
        </row>
        <row r="2503">
          <cell r="I2503">
            <v>2007</v>
          </cell>
          <cell r="J2503" t="str">
            <v>Ets Mamadou GAMBYScratch 1 000</v>
          </cell>
          <cell r="L2503">
            <v>0</v>
          </cell>
          <cell r="M2503" t="str">
            <v>Ets Mamadou GAMBY</v>
          </cell>
          <cell r="N2503" t="str">
            <v>Ets Mamadou GAMBYScratch 1 000</v>
          </cell>
          <cell r="O2503" t="str">
            <v>Ets Mamadou GAMBY</v>
          </cell>
          <cell r="P2503" t="str">
            <v>Scratch 1 000</v>
          </cell>
          <cell r="Q2503" t="str">
            <v>82007</v>
          </cell>
          <cell r="R2503" t="str">
            <v>82007Scratch 1 000</v>
          </cell>
          <cell r="S2503" t="str">
            <v>2007Scratch 1 000</v>
          </cell>
          <cell r="T2503" t="str">
            <v>82007Ets Mamadou GAMBY</v>
          </cell>
          <cell r="U2503" t="str">
            <v>82007Ets Mamadou GAMBYScratch 1 000</v>
          </cell>
          <cell r="V2503" t="str">
            <v>39321Scratch 1 000</v>
          </cell>
          <cell r="W2503" t="str">
            <v>2007Ets Mamadou GAMBY</v>
          </cell>
          <cell r="X2503" t="str">
            <v>2007Ets Mamadou GAMBYScratch 1 000</v>
          </cell>
        </row>
        <row r="2504">
          <cell r="I2504">
            <v>2007</v>
          </cell>
          <cell r="J2504" t="str">
            <v>SOMAKOFFScratch 20 000</v>
          </cell>
          <cell r="L2504">
            <v>1</v>
          </cell>
          <cell r="M2504" t="str">
            <v>1SOMAKOFF</v>
          </cell>
          <cell r="N2504" t="str">
            <v>SOMAKOFFScratch 20 000</v>
          </cell>
          <cell r="O2504" t="str">
            <v>SOMAKOFF</v>
          </cell>
          <cell r="P2504" t="str">
            <v>Scratch 20 000</v>
          </cell>
          <cell r="Q2504" t="str">
            <v>82007</v>
          </cell>
          <cell r="R2504" t="str">
            <v>82007Scratch 20 000</v>
          </cell>
          <cell r="S2504" t="str">
            <v>2007Scratch 20 000</v>
          </cell>
          <cell r="T2504" t="str">
            <v>82007SOMAKOFF</v>
          </cell>
          <cell r="U2504" t="str">
            <v>82007SOMAKOFFScratch 20 000</v>
          </cell>
          <cell r="V2504" t="str">
            <v>39321Scratch 20 000</v>
          </cell>
          <cell r="W2504" t="str">
            <v>2007SOMAKOFF</v>
          </cell>
          <cell r="X2504" t="str">
            <v>2007SOMAKOFFScratch 20 000</v>
          </cell>
        </row>
        <row r="2505">
          <cell r="I2505">
            <v>2007</v>
          </cell>
          <cell r="J2505" t="str">
            <v>SOMAKOFFScratch 10 000</v>
          </cell>
          <cell r="L2505">
            <v>0</v>
          </cell>
          <cell r="M2505" t="str">
            <v>SOMAKOFF</v>
          </cell>
          <cell r="N2505" t="str">
            <v>SOMAKOFFScratch 10 000</v>
          </cell>
          <cell r="O2505" t="str">
            <v>SOMAKOFF</v>
          </cell>
          <cell r="P2505" t="str">
            <v>Scratch 10 000</v>
          </cell>
          <cell r="Q2505" t="str">
            <v>82007</v>
          </cell>
          <cell r="R2505" t="str">
            <v>82007Scratch 10 000</v>
          </cell>
          <cell r="S2505" t="str">
            <v>2007Scratch 10 000</v>
          </cell>
          <cell r="T2505" t="str">
            <v>82007SOMAKOFF</v>
          </cell>
          <cell r="U2505" t="str">
            <v>82007SOMAKOFFScratch 10 000</v>
          </cell>
          <cell r="V2505" t="str">
            <v>39321Scratch 10 000</v>
          </cell>
          <cell r="W2505" t="str">
            <v>2007SOMAKOFF</v>
          </cell>
          <cell r="X2505" t="str">
            <v>2007SOMAKOFFScratch 10 000</v>
          </cell>
        </row>
        <row r="2506">
          <cell r="I2506">
            <v>2007</v>
          </cell>
          <cell r="J2506" t="str">
            <v>SOMAKOFFScratch 2 000</v>
          </cell>
          <cell r="L2506">
            <v>0</v>
          </cell>
          <cell r="M2506" t="str">
            <v>SOMAKOFF</v>
          </cell>
          <cell r="N2506" t="str">
            <v>SOMAKOFFScratch 2 000</v>
          </cell>
          <cell r="O2506" t="str">
            <v>SOMAKOFF</v>
          </cell>
          <cell r="P2506" t="str">
            <v>Scratch 2 000</v>
          </cell>
          <cell r="Q2506" t="str">
            <v>82007</v>
          </cell>
          <cell r="R2506" t="str">
            <v>82007Scratch 2 000</v>
          </cell>
          <cell r="S2506" t="str">
            <v>2007Scratch 2 000</v>
          </cell>
          <cell r="T2506" t="str">
            <v>82007SOMAKOFF</v>
          </cell>
          <cell r="U2506" t="str">
            <v>82007SOMAKOFFScratch 2 000</v>
          </cell>
          <cell r="V2506" t="str">
            <v>39321Scratch 2 000</v>
          </cell>
          <cell r="W2506" t="str">
            <v>2007SOMAKOFF</v>
          </cell>
          <cell r="X2506" t="str">
            <v>2007SOMAKOFFScratch 2 000</v>
          </cell>
        </row>
        <row r="2507">
          <cell r="I2507">
            <v>2007</v>
          </cell>
          <cell r="J2507" t="str">
            <v>SOMAKOFFScratch 1 000</v>
          </cell>
          <cell r="L2507">
            <v>0</v>
          </cell>
          <cell r="M2507" t="str">
            <v>SOMAKOFF</v>
          </cell>
          <cell r="N2507" t="str">
            <v>SOMAKOFFScratch 1 000</v>
          </cell>
          <cell r="O2507" t="str">
            <v>SOMAKOFF</v>
          </cell>
          <cell r="P2507" t="str">
            <v>Scratch 1 000</v>
          </cell>
          <cell r="Q2507" t="str">
            <v>82007</v>
          </cell>
          <cell r="R2507" t="str">
            <v>82007Scratch 1 000</v>
          </cell>
          <cell r="S2507" t="str">
            <v>2007Scratch 1 000</v>
          </cell>
          <cell r="T2507" t="str">
            <v>82007SOMAKOFF</v>
          </cell>
          <cell r="U2507" t="str">
            <v>82007SOMAKOFFScratch 1 000</v>
          </cell>
          <cell r="V2507" t="str">
            <v>39321Scratch 1 000</v>
          </cell>
          <cell r="W2507" t="str">
            <v>2007SOMAKOFF</v>
          </cell>
          <cell r="X2507" t="str">
            <v>2007SOMAKOFFScratch 1 000</v>
          </cell>
        </row>
        <row r="2508">
          <cell r="I2508">
            <v>2007</v>
          </cell>
          <cell r="J2508" t="str">
            <v>Burtel MacsymScratch 20 000</v>
          </cell>
          <cell r="L2508">
            <v>1</v>
          </cell>
          <cell r="M2508" t="str">
            <v>1Burtel Macsym</v>
          </cell>
          <cell r="N2508" t="str">
            <v>Burtel MacsymScratch 20 000</v>
          </cell>
          <cell r="O2508" t="str">
            <v>Burtel Macsym</v>
          </cell>
          <cell r="P2508" t="str">
            <v>Scratch 20 000</v>
          </cell>
          <cell r="Q2508" t="str">
            <v>82007</v>
          </cell>
          <cell r="R2508" t="str">
            <v>82007Scratch 20 000</v>
          </cell>
          <cell r="S2508" t="str">
            <v>2007Scratch 20 000</v>
          </cell>
          <cell r="T2508" t="str">
            <v>82007Burtel Macsym</v>
          </cell>
          <cell r="U2508" t="str">
            <v>82007Burtel MacsymScratch 20 000</v>
          </cell>
          <cell r="V2508" t="str">
            <v>39321Scratch 20 000</v>
          </cell>
          <cell r="W2508" t="str">
            <v>2007Burtel Macsym</v>
          </cell>
          <cell r="X2508" t="str">
            <v>2007Burtel MacsymScratch 20 000</v>
          </cell>
        </row>
        <row r="2509">
          <cell r="I2509">
            <v>2007</v>
          </cell>
          <cell r="J2509" t="str">
            <v>Burtel MacsymScratch 10 000</v>
          </cell>
          <cell r="L2509">
            <v>0</v>
          </cell>
          <cell r="M2509" t="str">
            <v>Burtel Macsym</v>
          </cell>
          <cell r="N2509" t="str">
            <v>Burtel MacsymScratch 10 000</v>
          </cell>
          <cell r="O2509" t="str">
            <v>Burtel Macsym</v>
          </cell>
          <cell r="P2509" t="str">
            <v>Scratch 10 000</v>
          </cell>
          <cell r="Q2509" t="str">
            <v>82007</v>
          </cell>
          <cell r="R2509" t="str">
            <v>82007Scratch 10 000</v>
          </cell>
          <cell r="S2509" t="str">
            <v>2007Scratch 10 000</v>
          </cell>
          <cell r="T2509" t="str">
            <v>82007Burtel Macsym</v>
          </cell>
          <cell r="U2509" t="str">
            <v>82007Burtel MacsymScratch 10 000</v>
          </cell>
          <cell r="V2509" t="str">
            <v>39321Scratch 10 000</v>
          </cell>
          <cell r="W2509" t="str">
            <v>2007Burtel Macsym</v>
          </cell>
          <cell r="X2509" t="str">
            <v>2007Burtel MacsymScratch 10 000</v>
          </cell>
        </row>
        <row r="2510">
          <cell r="I2510">
            <v>2007</v>
          </cell>
          <cell r="J2510" t="str">
            <v>Burtel MacsymScratch 5 000</v>
          </cell>
          <cell r="L2510">
            <v>0</v>
          </cell>
          <cell r="M2510" t="str">
            <v>Burtel Macsym</v>
          </cell>
          <cell r="N2510" t="str">
            <v>Burtel MacsymScratch 5 000</v>
          </cell>
          <cell r="O2510" t="str">
            <v>Burtel Macsym</v>
          </cell>
          <cell r="P2510" t="str">
            <v>Scratch 5 000</v>
          </cell>
          <cell r="Q2510" t="str">
            <v>82007</v>
          </cell>
          <cell r="R2510" t="str">
            <v>82007Scratch 5 000</v>
          </cell>
          <cell r="S2510" t="str">
            <v>2007Scratch 5 000</v>
          </cell>
          <cell r="T2510" t="str">
            <v>82007Burtel Macsym</v>
          </cell>
          <cell r="U2510" t="str">
            <v>82007Burtel MacsymScratch 5 000</v>
          </cell>
          <cell r="V2510" t="str">
            <v>39321Scratch 5 000</v>
          </cell>
          <cell r="W2510" t="str">
            <v>2007Burtel Macsym</v>
          </cell>
          <cell r="X2510" t="str">
            <v>2007Burtel MacsymScratch 5 000</v>
          </cell>
        </row>
        <row r="2511">
          <cell r="I2511">
            <v>2007</v>
          </cell>
          <cell r="J2511" t="str">
            <v>Burtel MacsymScratch 2 000</v>
          </cell>
          <cell r="L2511">
            <v>0</v>
          </cell>
          <cell r="M2511" t="str">
            <v>Burtel Macsym</v>
          </cell>
          <cell r="N2511" t="str">
            <v>Burtel MacsymScratch 2 000</v>
          </cell>
          <cell r="O2511" t="str">
            <v>Burtel Macsym</v>
          </cell>
          <cell r="P2511" t="str">
            <v>Scratch 2 000</v>
          </cell>
          <cell r="Q2511" t="str">
            <v>82007</v>
          </cell>
          <cell r="R2511" t="str">
            <v>82007Scratch 2 000</v>
          </cell>
          <cell r="S2511" t="str">
            <v>2007Scratch 2 000</v>
          </cell>
          <cell r="T2511" t="str">
            <v>82007Burtel Macsym</v>
          </cell>
          <cell r="U2511" t="str">
            <v>82007Burtel MacsymScratch 2 000</v>
          </cell>
          <cell r="V2511" t="str">
            <v>39321Scratch 2 000</v>
          </cell>
          <cell r="W2511" t="str">
            <v>2007Burtel Macsym</v>
          </cell>
          <cell r="X2511" t="str">
            <v>2007Burtel MacsymScratch 2 000</v>
          </cell>
        </row>
        <row r="2512">
          <cell r="I2512">
            <v>2007</v>
          </cell>
          <cell r="J2512" t="str">
            <v>Burtel MacsymScratch 1 000</v>
          </cell>
          <cell r="L2512">
            <v>0</v>
          </cell>
          <cell r="M2512" t="str">
            <v>Burtel Macsym</v>
          </cell>
          <cell r="N2512" t="str">
            <v>Burtel MacsymScratch 1 000</v>
          </cell>
          <cell r="O2512" t="str">
            <v>Burtel Macsym</v>
          </cell>
          <cell r="P2512" t="str">
            <v>Scratch 1 000</v>
          </cell>
          <cell r="Q2512" t="str">
            <v>82007</v>
          </cell>
          <cell r="R2512" t="str">
            <v>82007Scratch 1 000</v>
          </cell>
          <cell r="S2512" t="str">
            <v>2007Scratch 1 000</v>
          </cell>
          <cell r="T2512" t="str">
            <v>82007Burtel Macsym</v>
          </cell>
          <cell r="U2512" t="str">
            <v>82007Burtel MacsymScratch 1 000</v>
          </cell>
          <cell r="V2512" t="str">
            <v>39321Scratch 1 000</v>
          </cell>
          <cell r="W2512" t="str">
            <v>2007Burtel Macsym</v>
          </cell>
          <cell r="X2512" t="str">
            <v>2007Burtel MacsymScratch 1 000</v>
          </cell>
        </row>
        <row r="2513">
          <cell r="I2513">
            <v>2007</v>
          </cell>
          <cell r="J2513" t="str">
            <v>Burtel MacsymScratch 20 000</v>
          </cell>
          <cell r="L2513">
            <v>1</v>
          </cell>
          <cell r="M2513" t="str">
            <v>1Burtel Macsym</v>
          </cell>
          <cell r="N2513" t="str">
            <v>Burtel MacsymScratch 20 000</v>
          </cell>
          <cell r="O2513" t="str">
            <v>Burtel Macsym</v>
          </cell>
          <cell r="P2513" t="str">
            <v>Scratch 20 000</v>
          </cell>
          <cell r="Q2513" t="str">
            <v>82007</v>
          </cell>
          <cell r="R2513" t="str">
            <v>82007Scratch 20 000</v>
          </cell>
          <cell r="S2513" t="str">
            <v>2007Scratch 20 000</v>
          </cell>
          <cell r="T2513" t="str">
            <v>82007Burtel Macsym</v>
          </cell>
          <cell r="U2513" t="str">
            <v>82007Burtel MacsymScratch 20 000</v>
          </cell>
          <cell r="V2513" t="str">
            <v>39322Scratch 20 000</v>
          </cell>
          <cell r="W2513" t="str">
            <v>2007Burtel Macsym</v>
          </cell>
          <cell r="X2513" t="str">
            <v>2007Burtel MacsymScratch 20 000</v>
          </cell>
        </row>
        <row r="2514">
          <cell r="I2514">
            <v>2007</v>
          </cell>
          <cell r="J2514" t="str">
            <v>Burtel MacsymScratch 5 000</v>
          </cell>
          <cell r="L2514">
            <v>0</v>
          </cell>
          <cell r="M2514" t="str">
            <v>Burtel Macsym</v>
          </cell>
          <cell r="N2514" t="str">
            <v>Burtel MacsymScratch 5 000</v>
          </cell>
          <cell r="O2514" t="str">
            <v>Burtel Macsym</v>
          </cell>
          <cell r="P2514" t="str">
            <v>Scratch 5 000</v>
          </cell>
          <cell r="Q2514" t="str">
            <v>82007</v>
          </cell>
          <cell r="R2514" t="str">
            <v>82007Scratch 5 000</v>
          </cell>
          <cell r="S2514" t="str">
            <v>2007Scratch 5 000</v>
          </cell>
          <cell r="T2514" t="str">
            <v>82007Burtel Macsym</v>
          </cell>
          <cell r="U2514" t="str">
            <v>82007Burtel MacsymScratch 5 000</v>
          </cell>
          <cell r="V2514" t="str">
            <v>39322Scratch 5 000</v>
          </cell>
          <cell r="W2514" t="str">
            <v>2007Burtel Macsym</v>
          </cell>
          <cell r="X2514" t="str">
            <v>2007Burtel MacsymScratch 5 000</v>
          </cell>
        </row>
        <row r="2515">
          <cell r="I2515">
            <v>2007</v>
          </cell>
          <cell r="J2515" t="str">
            <v>Burtel MacsymScratch 2 000</v>
          </cell>
          <cell r="L2515">
            <v>0</v>
          </cell>
          <cell r="M2515" t="str">
            <v>Burtel Macsym</v>
          </cell>
          <cell r="N2515" t="str">
            <v>Burtel MacsymScratch 2 000</v>
          </cell>
          <cell r="O2515" t="str">
            <v>Burtel Macsym</v>
          </cell>
          <cell r="P2515" t="str">
            <v>Scratch 2 000</v>
          </cell>
          <cell r="Q2515" t="str">
            <v>82007</v>
          </cell>
          <cell r="R2515" t="str">
            <v>82007Scratch 2 000</v>
          </cell>
          <cell r="S2515" t="str">
            <v>2007Scratch 2 000</v>
          </cell>
          <cell r="T2515" t="str">
            <v>82007Burtel Macsym</v>
          </cell>
          <cell r="U2515" t="str">
            <v>82007Burtel MacsymScratch 2 000</v>
          </cell>
          <cell r="V2515" t="str">
            <v>39322Scratch 2 000</v>
          </cell>
          <cell r="W2515" t="str">
            <v>2007Burtel Macsym</v>
          </cell>
          <cell r="X2515" t="str">
            <v>2007Burtel MacsymScratch 2 000</v>
          </cell>
        </row>
        <row r="2516">
          <cell r="I2516">
            <v>2007</v>
          </cell>
          <cell r="J2516" t="str">
            <v>Burtel MacsymScratch 1 000</v>
          </cell>
          <cell r="L2516">
            <v>0</v>
          </cell>
          <cell r="M2516" t="str">
            <v>Burtel Macsym</v>
          </cell>
          <cell r="N2516" t="str">
            <v>Burtel MacsymScratch 1 000</v>
          </cell>
          <cell r="O2516" t="str">
            <v>Burtel Macsym</v>
          </cell>
          <cell r="P2516" t="str">
            <v>Scratch 1 000</v>
          </cell>
          <cell r="Q2516" t="str">
            <v>82007</v>
          </cell>
          <cell r="R2516" t="str">
            <v>82007Scratch 1 000</v>
          </cell>
          <cell r="S2516" t="str">
            <v>2007Scratch 1 000</v>
          </cell>
          <cell r="T2516" t="str">
            <v>82007Burtel Macsym</v>
          </cell>
          <cell r="U2516" t="str">
            <v>82007Burtel MacsymScratch 1 000</v>
          </cell>
          <cell r="V2516" t="str">
            <v>39322Scratch 1 000</v>
          </cell>
          <cell r="W2516" t="str">
            <v>2007Burtel Macsym</v>
          </cell>
          <cell r="X2516" t="str">
            <v>2007Burtel MacsymScratch 1 000</v>
          </cell>
        </row>
        <row r="2517">
          <cell r="I2517">
            <v>2007</v>
          </cell>
          <cell r="J2517" t="str">
            <v>Compagnie Internationale de NegoceScratch 20 000</v>
          </cell>
          <cell r="L2517">
            <v>1</v>
          </cell>
          <cell r="M2517" t="str">
            <v>1Compagnie Internationale de Negoce</v>
          </cell>
          <cell r="N2517" t="str">
            <v>Compagnie Internationale de NegoceScratch 20 000</v>
          </cell>
          <cell r="O2517" t="str">
            <v>Compagnie Internationale de Negoce</v>
          </cell>
          <cell r="P2517" t="str">
            <v>Scratch 20 000</v>
          </cell>
          <cell r="Q2517" t="str">
            <v>82007</v>
          </cell>
          <cell r="R2517" t="str">
            <v>82007Scratch 20 000</v>
          </cell>
          <cell r="S2517" t="str">
            <v>2007Scratch 20 000</v>
          </cell>
          <cell r="T2517" t="str">
            <v>82007Compagnie Internationale de Negoce</v>
          </cell>
          <cell r="U2517" t="str">
            <v>82007Compagnie Internationale de NegoceScratch 20 000</v>
          </cell>
          <cell r="V2517" t="str">
            <v>39322Scratch 20 000</v>
          </cell>
          <cell r="W2517" t="str">
            <v>2007Compagnie Internationale de Negoce</v>
          </cell>
          <cell r="X2517" t="str">
            <v>2007Compagnie Internationale de NegoceScratch 20 000</v>
          </cell>
        </row>
        <row r="2518">
          <cell r="I2518">
            <v>2007</v>
          </cell>
          <cell r="J2518" t="str">
            <v>Compagnie Internationale de NegoceScratch 10 000</v>
          </cell>
          <cell r="L2518">
            <v>0</v>
          </cell>
          <cell r="M2518" t="str">
            <v>Compagnie Internationale de Negoce</v>
          </cell>
          <cell r="N2518" t="str">
            <v>Compagnie Internationale de NegoceScratch 10 000</v>
          </cell>
          <cell r="O2518" t="str">
            <v>Compagnie Internationale de Negoce</v>
          </cell>
          <cell r="P2518" t="str">
            <v>Scratch 10 000</v>
          </cell>
          <cell r="Q2518" t="str">
            <v>82007</v>
          </cell>
          <cell r="R2518" t="str">
            <v>82007Scratch 10 000</v>
          </cell>
          <cell r="S2518" t="str">
            <v>2007Scratch 10 000</v>
          </cell>
          <cell r="T2518" t="str">
            <v>82007Compagnie Internationale de Negoce</v>
          </cell>
          <cell r="U2518" t="str">
            <v>82007Compagnie Internationale de NegoceScratch 10 000</v>
          </cell>
          <cell r="V2518" t="str">
            <v>39322Scratch 10 000</v>
          </cell>
          <cell r="W2518" t="str">
            <v>2007Compagnie Internationale de Negoce</v>
          </cell>
          <cell r="X2518" t="str">
            <v>2007Compagnie Internationale de NegoceScratch 10 000</v>
          </cell>
        </row>
        <row r="2519">
          <cell r="I2519">
            <v>2007</v>
          </cell>
          <cell r="J2519" t="str">
            <v>Compagnie Internationale de NegoceScratch 5 000</v>
          </cell>
          <cell r="L2519">
            <v>0</v>
          </cell>
          <cell r="M2519" t="str">
            <v>Compagnie Internationale de Negoce</v>
          </cell>
          <cell r="N2519" t="str">
            <v>Compagnie Internationale de NegoceScratch 5 000</v>
          </cell>
          <cell r="O2519" t="str">
            <v>Compagnie Internationale de Negoce</v>
          </cell>
          <cell r="P2519" t="str">
            <v>Scratch 5 000</v>
          </cell>
          <cell r="Q2519" t="str">
            <v>82007</v>
          </cell>
          <cell r="R2519" t="str">
            <v>82007Scratch 5 000</v>
          </cell>
          <cell r="S2519" t="str">
            <v>2007Scratch 5 000</v>
          </cell>
          <cell r="T2519" t="str">
            <v>82007Compagnie Internationale de Negoce</v>
          </cell>
          <cell r="U2519" t="str">
            <v>82007Compagnie Internationale de NegoceScratch 5 000</v>
          </cell>
          <cell r="V2519" t="str">
            <v>39322Scratch 5 000</v>
          </cell>
          <cell r="W2519" t="str">
            <v>2007Compagnie Internationale de Negoce</v>
          </cell>
          <cell r="X2519" t="str">
            <v>2007Compagnie Internationale de NegoceScratch 5 000</v>
          </cell>
        </row>
        <row r="2520">
          <cell r="I2520">
            <v>2007</v>
          </cell>
          <cell r="J2520" t="str">
            <v>Compagnie Internationale de NegoceScratch 2 000</v>
          </cell>
          <cell r="L2520">
            <v>0</v>
          </cell>
          <cell r="M2520" t="str">
            <v>Compagnie Internationale de Negoce</v>
          </cell>
          <cell r="N2520" t="str">
            <v>Compagnie Internationale de NegoceScratch 2 000</v>
          </cell>
          <cell r="O2520" t="str">
            <v>Compagnie Internationale de Negoce</v>
          </cell>
          <cell r="P2520" t="str">
            <v>Scratch 2 000</v>
          </cell>
          <cell r="Q2520" t="str">
            <v>82007</v>
          </cell>
          <cell r="R2520" t="str">
            <v>82007Scratch 2 000</v>
          </cell>
          <cell r="S2520" t="str">
            <v>2007Scratch 2 000</v>
          </cell>
          <cell r="T2520" t="str">
            <v>82007Compagnie Internationale de Negoce</v>
          </cell>
          <cell r="U2520" t="str">
            <v>82007Compagnie Internationale de NegoceScratch 2 000</v>
          </cell>
          <cell r="V2520" t="str">
            <v>39322Scratch 2 000</v>
          </cell>
          <cell r="W2520" t="str">
            <v>2007Compagnie Internationale de Negoce</v>
          </cell>
          <cell r="X2520" t="str">
            <v>2007Compagnie Internationale de NegoceScratch 2 000</v>
          </cell>
        </row>
        <row r="2521">
          <cell r="I2521">
            <v>2007</v>
          </cell>
          <cell r="J2521" t="str">
            <v>Compagnie Internationale de NegoceScratch 1 000</v>
          </cell>
          <cell r="L2521">
            <v>0</v>
          </cell>
          <cell r="M2521" t="str">
            <v>Compagnie Internationale de Negoce</v>
          </cell>
          <cell r="N2521" t="str">
            <v>Compagnie Internationale de NegoceScratch 1 000</v>
          </cell>
          <cell r="O2521" t="str">
            <v>Compagnie Internationale de Negoce</v>
          </cell>
          <cell r="P2521" t="str">
            <v>Scratch 1 000</v>
          </cell>
          <cell r="Q2521" t="str">
            <v>82007</v>
          </cell>
          <cell r="R2521" t="str">
            <v>82007Scratch 1 000</v>
          </cell>
          <cell r="S2521" t="str">
            <v>2007Scratch 1 000</v>
          </cell>
          <cell r="T2521" t="str">
            <v>82007Compagnie Internationale de Negoce</v>
          </cell>
          <cell r="U2521" t="str">
            <v>82007Compagnie Internationale de NegoceScratch 1 000</v>
          </cell>
          <cell r="V2521" t="str">
            <v>39322Scratch 1 000</v>
          </cell>
          <cell r="W2521" t="str">
            <v>2007Compagnie Internationale de Negoce</v>
          </cell>
          <cell r="X2521" t="str">
            <v>2007Compagnie Internationale de NegoceScratch 1 000</v>
          </cell>
        </row>
        <row r="2522">
          <cell r="I2522">
            <v>2007</v>
          </cell>
          <cell r="J2522" t="str">
            <v>Burtel MacsymScratch 5 000</v>
          </cell>
          <cell r="L2522">
            <v>1</v>
          </cell>
          <cell r="M2522" t="str">
            <v>1Burtel Macsym</v>
          </cell>
          <cell r="N2522" t="str">
            <v>Burtel MacsymScratch 5 000</v>
          </cell>
          <cell r="O2522" t="str">
            <v>Burtel Macsym</v>
          </cell>
          <cell r="P2522" t="str">
            <v>Scratch 5 000</v>
          </cell>
          <cell r="Q2522" t="str">
            <v>82007</v>
          </cell>
          <cell r="R2522" t="str">
            <v>82007Scratch 5 000</v>
          </cell>
          <cell r="S2522" t="str">
            <v>2007Scratch 5 000</v>
          </cell>
          <cell r="T2522" t="str">
            <v>82007Burtel Macsym</v>
          </cell>
          <cell r="U2522" t="str">
            <v>82007Burtel MacsymScratch 5 000</v>
          </cell>
          <cell r="V2522" t="str">
            <v>39322Scratch 5 000</v>
          </cell>
          <cell r="W2522" t="str">
            <v>2007Burtel Macsym</v>
          </cell>
          <cell r="X2522" t="str">
            <v>2007Burtel MacsymScratch 5 000</v>
          </cell>
        </row>
        <row r="2523">
          <cell r="I2523">
            <v>2007</v>
          </cell>
          <cell r="J2523" t="str">
            <v>Burtel MacsymScratch 2 000</v>
          </cell>
          <cell r="L2523">
            <v>0</v>
          </cell>
          <cell r="M2523" t="str">
            <v>Burtel Macsym</v>
          </cell>
          <cell r="N2523" t="str">
            <v>Burtel MacsymScratch 2 000</v>
          </cell>
          <cell r="O2523" t="str">
            <v>Burtel Macsym</v>
          </cell>
          <cell r="P2523" t="str">
            <v>Scratch 2 000</v>
          </cell>
          <cell r="Q2523" t="str">
            <v>82007</v>
          </cell>
          <cell r="R2523" t="str">
            <v>82007Scratch 2 000</v>
          </cell>
          <cell r="S2523" t="str">
            <v>2007Scratch 2 000</v>
          </cell>
          <cell r="T2523" t="str">
            <v>82007Burtel Macsym</v>
          </cell>
          <cell r="U2523" t="str">
            <v>82007Burtel MacsymScratch 2 000</v>
          </cell>
          <cell r="V2523" t="str">
            <v>39322Scratch 2 000</v>
          </cell>
          <cell r="W2523" t="str">
            <v>2007Burtel Macsym</v>
          </cell>
          <cell r="X2523" t="str">
            <v>2007Burtel MacsymScratch 2 000</v>
          </cell>
        </row>
        <row r="2524">
          <cell r="I2524">
            <v>2007</v>
          </cell>
          <cell r="J2524" t="str">
            <v>Burtel MacsymScratch 1 000</v>
          </cell>
          <cell r="L2524">
            <v>0</v>
          </cell>
          <cell r="M2524" t="str">
            <v>Burtel Macsym</v>
          </cell>
          <cell r="N2524" t="str">
            <v>Burtel MacsymScratch 1 000</v>
          </cell>
          <cell r="O2524" t="str">
            <v>Burtel Macsym</v>
          </cell>
          <cell r="P2524" t="str">
            <v>Scratch 1 000</v>
          </cell>
          <cell r="Q2524" t="str">
            <v>82007</v>
          </cell>
          <cell r="R2524" t="str">
            <v>82007Scratch 1 000</v>
          </cell>
          <cell r="S2524" t="str">
            <v>2007Scratch 1 000</v>
          </cell>
          <cell r="T2524" t="str">
            <v>82007Burtel Macsym</v>
          </cell>
          <cell r="U2524" t="str">
            <v>82007Burtel MacsymScratch 1 000</v>
          </cell>
          <cell r="V2524" t="str">
            <v>39322Scratch 1 000</v>
          </cell>
          <cell r="W2524" t="str">
            <v>2007Burtel Macsym</v>
          </cell>
          <cell r="X2524" t="str">
            <v>2007Burtel MacsymScratch 1 000</v>
          </cell>
        </row>
        <row r="2525">
          <cell r="I2525">
            <v>2007</v>
          </cell>
          <cell r="J2525" t="str">
            <v>Burtel MacsymScratch 20 000</v>
          </cell>
          <cell r="L2525">
            <v>1</v>
          </cell>
          <cell r="M2525" t="str">
            <v>1Burtel Macsym</v>
          </cell>
          <cell r="N2525" t="str">
            <v>Burtel MacsymScratch 20 000</v>
          </cell>
          <cell r="O2525" t="str">
            <v>Burtel Macsym</v>
          </cell>
          <cell r="P2525" t="str">
            <v>Scratch 20 000</v>
          </cell>
          <cell r="Q2525" t="str">
            <v>82007</v>
          </cell>
          <cell r="R2525" t="str">
            <v>82007Scratch 20 000</v>
          </cell>
          <cell r="S2525" t="str">
            <v>2007Scratch 20 000</v>
          </cell>
          <cell r="T2525" t="str">
            <v>82007Burtel Macsym</v>
          </cell>
          <cell r="U2525" t="str">
            <v>82007Burtel MacsymScratch 20 000</v>
          </cell>
          <cell r="V2525" t="str">
            <v>39322Scratch 20 000</v>
          </cell>
          <cell r="W2525" t="str">
            <v>2007Burtel Macsym</v>
          </cell>
          <cell r="X2525" t="str">
            <v>2007Burtel MacsymScratch 20 000</v>
          </cell>
        </row>
        <row r="2526">
          <cell r="I2526">
            <v>2007</v>
          </cell>
          <cell r="J2526" t="str">
            <v>Burtel MacsymScratch 5 000</v>
          </cell>
          <cell r="L2526">
            <v>0</v>
          </cell>
          <cell r="M2526" t="str">
            <v>Burtel Macsym</v>
          </cell>
          <cell r="N2526" t="str">
            <v>Burtel MacsymScratch 5 000</v>
          </cell>
          <cell r="O2526" t="str">
            <v>Burtel Macsym</v>
          </cell>
          <cell r="P2526" t="str">
            <v>Scratch 5 000</v>
          </cell>
          <cell r="Q2526" t="str">
            <v>82007</v>
          </cell>
          <cell r="R2526" t="str">
            <v>82007Scratch 5 000</v>
          </cell>
          <cell r="S2526" t="str">
            <v>2007Scratch 5 000</v>
          </cell>
          <cell r="T2526" t="str">
            <v>82007Burtel Macsym</v>
          </cell>
          <cell r="U2526" t="str">
            <v>82007Burtel MacsymScratch 5 000</v>
          </cell>
          <cell r="V2526" t="str">
            <v>39322Scratch 5 000</v>
          </cell>
          <cell r="W2526" t="str">
            <v>2007Burtel Macsym</v>
          </cell>
          <cell r="X2526" t="str">
            <v>2007Burtel MacsymScratch 5 000</v>
          </cell>
        </row>
        <row r="2527">
          <cell r="I2527">
            <v>2007</v>
          </cell>
          <cell r="J2527" t="str">
            <v>Burtel MacsymScratch 2 000</v>
          </cell>
          <cell r="L2527">
            <v>0</v>
          </cell>
          <cell r="M2527" t="str">
            <v>Burtel Macsym</v>
          </cell>
          <cell r="N2527" t="str">
            <v>Burtel MacsymScratch 2 000</v>
          </cell>
          <cell r="O2527" t="str">
            <v>Burtel Macsym</v>
          </cell>
          <cell r="P2527" t="str">
            <v>Scratch 2 000</v>
          </cell>
          <cell r="Q2527" t="str">
            <v>82007</v>
          </cell>
          <cell r="R2527" t="str">
            <v>82007Scratch 2 000</v>
          </cell>
          <cell r="S2527" t="str">
            <v>2007Scratch 2 000</v>
          </cell>
          <cell r="T2527" t="str">
            <v>82007Burtel Macsym</v>
          </cell>
          <cell r="U2527" t="str">
            <v>82007Burtel MacsymScratch 2 000</v>
          </cell>
          <cell r="V2527" t="str">
            <v>39322Scratch 2 000</v>
          </cell>
          <cell r="W2527" t="str">
            <v>2007Burtel Macsym</v>
          </cell>
          <cell r="X2527" t="str">
            <v>2007Burtel MacsymScratch 2 000</v>
          </cell>
        </row>
        <row r="2528">
          <cell r="I2528">
            <v>2007</v>
          </cell>
          <cell r="J2528" t="str">
            <v>Burtel MacsymScratch 1 000</v>
          </cell>
          <cell r="L2528">
            <v>0</v>
          </cell>
          <cell r="M2528" t="str">
            <v>Burtel Macsym</v>
          </cell>
          <cell r="N2528" t="str">
            <v>Burtel MacsymScratch 1 000</v>
          </cell>
          <cell r="O2528" t="str">
            <v>Burtel Macsym</v>
          </cell>
          <cell r="P2528" t="str">
            <v>Scratch 1 000</v>
          </cell>
          <cell r="Q2528" t="str">
            <v>82007</v>
          </cell>
          <cell r="R2528" t="str">
            <v>82007Scratch 1 000</v>
          </cell>
          <cell r="S2528" t="str">
            <v>2007Scratch 1 000</v>
          </cell>
          <cell r="T2528" t="str">
            <v>82007Burtel Macsym</v>
          </cell>
          <cell r="U2528" t="str">
            <v>82007Burtel MacsymScratch 1 000</v>
          </cell>
          <cell r="V2528" t="str">
            <v>39322Scratch 1 000</v>
          </cell>
          <cell r="W2528" t="str">
            <v>2007Burtel Macsym</v>
          </cell>
          <cell r="X2528" t="str">
            <v>2007Burtel MacsymScratch 1 000</v>
          </cell>
        </row>
        <row r="2529">
          <cell r="I2529">
            <v>2007</v>
          </cell>
          <cell r="J2529" t="str">
            <v>Soleil LevantScratch 5 000</v>
          </cell>
          <cell r="L2529">
            <v>1</v>
          </cell>
          <cell r="M2529" t="str">
            <v>1Soleil Levant</v>
          </cell>
          <cell r="N2529" t="str">
            <v>Soleil LevantScratch 5 000</v>
          </cell>
          <cell r="O2529" t="str">
            <v>Soleil Levant</v>
          </cell>
          <cell r="P2529" t="str">
            <v>Scratch 5 000</v>
          </cell>
          <cell r="Q2529" t="str">
            <v>82007</v>
          </cell>
          <cell r="R2529" t="str">
            <v>82007Scratch 5 000</v>
          </cell>
          <cell r="S2529" t="str">
            <v>2007Scratch 5 000</v>
          </cell>
          <cell r="T2529" t="str">
            <v>82007Soleil Levant</v>
          </cell>
          <cell r="U2529" t="str">
            <v>82007Soleil LevantScratch 5 000</v>
          </cell>
          <cell r="V2529" t="str">
            <v>39323Scratch 5 000</v>
          </cell>
          <cell r="W2529" t="str">
            <v>2007Soleil Levant</v>
          </cell>
          <cell r="X2529" t="str">
            <v>2007Soleil LevantScratch 5 000</v>
          </cell>
        </row>
        <row r="2530">
          <cell r="I2530">
            <v>2007</v>
          </cell>
          <cell r="J2530" t="str">
            <v>Soleil LevantScratch 2 000</v>
          </cell>
          <cell r="L2530">
            <v>0</v>
          </cell>
          <cell r="M2530" t="str">
            <v>Soleil Levant</v>
          </cell>
          <cell r="N2530" t="str">
            <v>Soleil LevantScratch 2 000</v>
          </cell>
          <cell r="O2530" t="str">
            <v>Soleil Levant</v>
          </cell>
          <cell r="P2530" t="str">
            <v>Scratch 2 000</v>
          </cell>
          <cell r="Q2530" t="str">
            <v>82007</v>
          </cell>
          <cell r="R2530" t="str">
            <v>82007Scratch 2 000</v>
          </cell>
          <cell r="S2530" t="str">
            <v>2007Scratch 2 000</v>
          </cell>
          <cell r="T2530" t="str">
            <v>82007Soleil Levant</v>
          </cell>
          <cell r="U2530" t="str">
            <v>82007Soleil LevantScratch 2 000</v>
          </cell>
          <cell r="V2530" t="str">
            <v>39323Scratch 2 000</v>
          </cell>
          <cell r="W2530" t="str">
            <v>2007Soleil Levant</v>
          </cell>
          <cell r="X2530" t="str">
            <v>2007Soleil LevantScratch 2 000</v>
          </cell>
        </row>
        <row r="2531">
          <cell r="I2531">
            <v>2007</v>
          </cell>
          <cell r="J2531" t="str">
            <v>Soleil LevantScratch 1 000</v>
          </cell>
          <cell r="L2531">
            <v>0</v>
          </cell>
          <cell r="M2531" t="str">
            <v>Soleil Levant</v>
          </cell>
          <cell r="N2531" t="str">
            <v>Soleil LevantScratch 1 000</v>
          </cell>
          <cell r="O2531" t="str">
            <v>Soleil Levant</v>
          </cell>
          <cell r="P2531" t="str">
            <v>Scratch 1 000</v>
          </cell>
          <cell r="Q2531" t="str">
            <v>82007</v>
          </cell>
          <cell r="R2531" t="str">
            <v>82007Scratch 1 000</v>
          </cell>
          <cell r="S2531" t="str">
            <v>2007Scratch 1 000</v>
          </cell>
          <cell r="T2531" t="str">
            <v>82007Soleil Levant</v>
          </cell>
          <cell r="U2531" t="str">
            <v>82007Soleil LevantScratch 1 000</v>
          </cell>
          <cell r="V2531" t="str">
            <v>39323Scratch 1 000</v>
          </cell>
          <cell r="W2531" t="str">
            <v>2007Soleil Levant</v>
          </cell>
          <cell r="X2531" t="str">
            <v>2007Soleil LevantScratch 1 000</v>
          </cell>
        </row>
        <row r="2532">
          <cell r="I2532">
            <v>2007</v>
          </cell>
          <cell r="J2532" t="str">
            <v>Ets Mamadou GAMBYScratch 5 000</v>
          </cell>
          <cell r="L2532">
            <v>1</v>
          </cell>
          <cell r="M2532" t="str">
            <v>1Ets Mamadou GAMBY</v>
          </cell>
          <cell r="N2532" t="str">
            <v>Ets Mamadou GAMBYScratch 5 000</v>
          </cell>
          <cell r="O2532" t="str">
            <v>Ets Mamadou GAMBY</v>
          </cell>
          <cell r="P2532" t="str">
            <v>Scratch 5 000</v>
          </cell>
          <cell r="Q2532" t="str">
            <v>82007</v>
          </cell>
          <cell r="R2532" t="str">
            <v>82007Scratch 5 000</v>
          </cell>
          <cell r="S2532" t="str">
            <v>2007Scratch 5 000</v>
          </cell>
          <cell r="T2532" t="str">
            <v>82007Ets Mamadou GAMBY</v>
          </cell>
          <cell r="U2532" t="str">
            <v>82007Ets Mamadou GAMBYScratch 5 000</v>
          </cell>
          <cell r="V2532" t="str">
            <v>39323Scratch 5 000</v>
          </cell>
          <cell r="W2532" t="str">
            <v>2007Ets Mamadou GAMBY</v>
          </cell>
          <cell r="X2532" t="str">
            <v>2007Ets Mamadou GAMBYScratch 5 000</v>
          </cell>
        </row>
        <row r="2533">
          <cell r="I2533">
            <v>2007</v>
          </cell>
          <cell r="J2533" t="str">
            <v>Ets Mamadou GAMBYScratch 2 000</v>
          </cell>
          <cell r="L2533">
            <v>0</v>
          </cell>
          <cell r="M2533" t="str">
            <v>Ets Mamadou GAMBY</v>
          </cell>
          <cell r="N2533" t="str">
            <v>Ets Mamadou GAMBYScratch 2 000</v>
          </cell>
          <cell r="O2533" t="str">
            <v>Ets Mamadou GAMBY</v>
          </cell>
          <cell r="P2533" t="str">
            <v>Scratch 2 000</v>
          </cell>
          <cell r="Q2533" t="str">
            <v>82007</v>
          </cell>
          <cell r="R2533" t="str">
            <v>82007Scratch 2 000</v>
          </cell>
          <cell r="S2533" t="str">
            <v>2007Scratch 2 000</v>
          </cell>
          <cell r="T2533" t="str">
            <v>82007Ets Mamadou GAMBY</v>
          </cell>
          <cell r="U2533" t="str">
            <v>82007Ets Mamadou GAMBYScratch 2 000</v>
          </cell>
          <cell r="V2533" t="str">
            <v>39323Scratch 2 000</v>
          </cell>
          <cell r="W2533" t="str">
            <v>2007Ets Mamadou GAMBY</v>
          </cell>
          <cell r="X2533" t="str">
            <v>2007Ets Mamadou GAMBYScratch 2 000</v>
          </cell>
        </row>
        <row r="2534">
          <cell r="I2534">
            <v>2007</v>
          </cell>
          <cell r="J2534" t="str">
            <v>Ets Mamadou GAMBYScratch 1 000</v>
          </cell>
          <cell r="L2534">
            <v>0</v>
          </cell>
          <cell r="M2534" t="str">
            <v>Ets Mamadou GAMBY</v>
          </cell>
          <cell r="N2534" t="str">
            <v>Ets Mamadou GAMBYScratch 1 000</v>
          </cell>
          <cell r="O2534" t="str">
            <v>Ets Mamadou GAMBY</v>
          </cell>
          <cell r="P2534" t="str">
            <v>Scratch 1 000</v>
          </cell>
          <cell r="Q2534" t="str">
            <v>82007</v>
          </cell>
          <cell r="R2534" t="str">
            <v>82007Scratch 1 000</v>
          </cell>
          <cell r="S2534" t="str">
            <v>2007Scratch 1 000</v>
          </cell>
          <cell r="T2534" t="str">
            <v>82007Ets Mamadou GAMBY</v>
          </cell>
          <cell r="U2534" t="str">
            <v>82007Ets Mamadou GAMBYScratch 1 000</v>
          </cell>
          <cell r="V2534" t="str">
            <v>39323Scratch 1 000</v>
          </cell>
          <cell r="W2534" t="str">
            <v>2007Ets Mamadou GAMBY</v>
          </cell>
          <cell r="X2534" t="str">
            <v>2007Ets Mamadou GAMBYScratch 1 000</v>
          </cell>
        </row>
        <row r="2535">
          <cell r="I2535">
            <v>2007</v>
          </cell>
          <cell r="J2535" t="str">
            <v>Burtel MacsymScratch 5 000</v>
          </cell>
          <cell r="L2535">
            <v>1</v>
          </cell>
          <cell r="M2535" t="str">
            <v>1Burtel Macsym</v>
          </cell>
          <cell r="N2535" t="str">
            <v>Burtel MacsymScratch 5 000</v>
          </cell>
          <cell r="O2535" t="str">
            <v>Burtel Macsym</v>
          </cell>
          <cell r="P2535" t="str">
            <v>Scratch 5 000</v>
          </cell>
          <cell r="Q2535" t="str">
            <v>82007</v>
          </cell>
          <cell r="R2535" t="str">
            <v>82007Scratch 5 000</v>
          </cell>
          <cell r="S2535" t="str">
            <v>2007Scratch 5 000</v>
          </cell>
          <cell r="T2535" t="str">
            <v>82007Burtel Macsym</v>
          </cell>
          <cell r="U2535" t="str">
            <v>82007Burtel MacsymScratch 5 000</v>
          </cell>
          <cell r="V2535" t="str">
            <v>39323Scratch 5 000</v>
          </cell>
          <cell r="W2535" t="str">
            <v>2007Burtel Macsym</v>
          </cell>
          <cell r="X2535" t="str">
            <v>2007Burtel MacsymScratch 5 000</v>
          </cell>
        </row>
        <row r="2536">
          <cell r="I2536">
            <v>2007</v>
          </cell>
          <cell r="J2536" t="str">
            <v>Burtel MacsymScratch 2 000</v>
          </cell>
          <cell r="L2536">
            <v>0</v>
          </cell>
          <cell r="M2536" t="str">
            <v>Burtel Macsym</v>
          </cell>
          <cell r="N2536" t="str">
            <v>Burtel MacsymScratch 2 000</v>
          </cell>
          <cell r="O2536" t="str">
            <v>Burtel Macsym</v>
          </cell>
          <cell r="P2536" t="str">
            <v>Scratch 2 000</v>
          </cell>
          <cell r="Q2536" t="str">
            <v>82007</v>
          </cell>
          <cell r="R2536" t="str">
            <v>82007Scratch 2 000</v>
          </cell>
          <cell r="S2536" t="str">
            <v>2007Scratch 2 000</v>
          </cell>
          <cell r="T2536" t="str">
            <v>82007Burtel Macsym</v>
          </cell>
          <cell r="U2536" t="str">
            <v>82007Burtel MacsymScratch 2 000</v>
          </cell>
          <cell r="V2536" t="str">
            <v>39323Scratch 2 000</v>
          </cell>
          <cell r="W2536" t="str">
            <v>2007Burtel Macsym</v>
          </cell>
          <cell r="X2536" t="str">
            <v>2007Burtel MacsymScratch 2 000</v>
          </cell>
        </row>
        <row r="2537">
          <cell r="I2537">
            <v>2007</v>
          </cell>
          <cell r="J2537" t="str">
            <v>Burtel MacsymScratch 1 000</v>
          </cell>
          <cell r="L2537">
            <v>0</v>
          </cell>
          <cell r="M2537" t="str">
            <v>Burtel Macsym</v>
          </cell>
          <cell r="N2537" t="str">
            <v>Burtel MacsymScratch 1 000</v>
          </cell>
          <cell r="O2537" t="str">
            <v>Burtel Macsym</v>
          </cell>
          <cell r="P2537" t="str">
            <v>Scratch 1 000</v>
          </cell>
          <cell r="Q2537" t="str">
            <v>82007</v>
          </cell>
          <cell r="R2537" t="str">
            <v>82007Scratch 1 000</v>
          </cell>
          <cell r="S2537" t="str">
            <v>2007Scratch 1 000</v>
          </cell>
          <cell r="T2537" t="str">
            <v>82007Burtel Macsym</v>
          </cell>
          <cell r="U2537" t="str">
            <v>82007Burtel MacsymScratch 1 000</v>
          </cell>
          <cell r="V2537" t="str">
            <v>39323Scratch 1 000</v>
          </cell>
          <cell r="W2537" t="str">
            <v>2007Burtel Macsym</v>
          </cell>
          <cell r="X2537" t="str">
            <v>2007Burtel MacsymScratch 1 000</v>
          </cell>
        </row>
        <row r="2538">
          <cell r="I2538">
            <v>2007</v>
          </cell>
          <cell r="J2538" t="str">
            <v>Compagnie Internationale de NegoceScratch 20 000</v>
          </cell>
          <cell r="L2538">
            <v>1</v>
          </cell>
          <cell r="M2538" t="str">
            <v>1Compagnie Internationale de Negoce</v>
          </cell>
          <cell r="N2538" t="str">
            <v>Compagnie Internationale de NegoceScratch 20 000</v>
          </cell>
          <cell r="O2538" t="str">
            <v>Compagnie Internationale de Negoce</v>
          </cell>
          <cell r="P2538" t="str">
            <v>Scratch 20 000</v>
          </cell>
          <cell r="Q2538" t="str">
            <v>82007</v>
          </cell>
          <cell r="R2538" t="str">
            <v>82007Scratch 20 000</v>
          </cell>
          <cell r="S2538" t="str">
            <v>2007Scratch 20 000</v>
          </cell>
          <cell r="T2538" t="str">
            <v>82007Compagnie Internationale de Negoce</v>
          </cell>
          <cell r="U2538" t="str">
            <v>82007Compagnie Internationale de NegoceScratch 20 000</v>
          </cell>
          <cell r="V2538" t="str">
            <v>39324Scratch 20 000</v>
          </cell>
          <cell r="W2538" t="str">
            <v>2007Compagnie Internationale de Negoce</v>
          </cell>
          <cell r="X2538" t="str">
            <v>2007Compagnie Internationale de NegoceScratch 20 000</v>
          </cell>
        </row>
        <row r="2539">
          <cell r="I2539">
            <v>2007</v>
          </cell>
          <cell r="J2539" t="str">
            <v>Compagnie Internationale de NegoceScratch 5 000</v>
          </cell>
          <cell r="L2539">
            <v>0</v>
          </cell>
          <cell r="M2539" t="str">
            <v>Compagnie Internationale de Negoce</v>
          </cell>
          <cell r="N2539" t="str">
            <v>Compagnie Internationale de NegoceScratch 5 000</v>
          </cell>
          <cell r="O2539" t="str">
            <v>Compagnie Internationale de Negoce</v>
          </cell>
          <cell r="P2539" t="str">
            <v>Scratch 5 000</v>
          </cell>
          <cell r="Q2539" t="str">
            <v>82007</v>
          </cell>
          <cell r="R2539" t="str">
            <v>82007Scratch 5 000</v>
          </cell>
          <cell r="S2539" t="str">
            <v>2007Scratch 5 000</v>
          </cell>
          <cell r="T2539" t="str">
            <v>82007Compagnie Internationale de Negoce</v>
          </cell>
          <cell r="U2539" t="str">
            <v>82007Compagnie Internationale de NegoceScratch 5 000</v>
          </cell>
          <cell r="V2539" t="str">
            <v>39324Scratch 5 000</v>
          </cell>
          <cell r="W2539" t="str">
            <v>2007Compagnie Internationale de Negoce</v>
          </cell>
          <cell r="X2539" t="str">
            <v>2007Compagnie Internationale de NegoceScratch 5 000</v>
          </cell>
        </row>
        <row r="2540">
          <cell r="I2540">
            <v>2007</v>
          </cell>
          <cell r="J2540" t="str">
            <v>Compagnie Internationale de NegoceScratch 2 000</v>
          </cell>
          <cell r="L2540">
            <v>0</v>
          </cell>
          <cell r="M2540" t="str">
            <v>Compagnie Internationale de Negoce</v>
          </cell>
          <cell r="N2540" t="str">
            <v>Compagnie Internationale de NegoceScratch 2 000</v>
          </cell>
          <cell r="O2540" t="str">
            <v>Compagnie Internationale de Negoce</v>
          </cell>
          <cell r="P2540" t="str">
            <v>Scratch 2 000</v>
          </cell>
          <cell r="Q2540" t="str">
            <v>82007</v>
          </cell>
          <cell r="R2540" t="str">
            <v>82007Scratch 2 000</v>
          </cell>
          <cell r="S2540" t="str">
            <v>2007Scratch 2 000</v>
          </cell>
          <cell r="T2540" t="str">
            <v>82007Compagnie Internationale de Negoce</v>
          </cell>
          <cell r="U2540" t="str">
            <v>82007Compagnie Internationale de NegoceScratch 2 000</v>
          </cell>
          <cell r="V2540" t="str">
            <v>39324Scratch 2 000</v>
          </cell>
          <cell r="W2540" t="str">
            <v>2007Compagnie Internationale de Negoce</v>
          </cell>
          <cell r="X2540" t="str">
            <v>2007Compagnie Internationale de NegoceScratch 2 000</v>
          </cell>
        </row>
        <row r="2541">
          <cell r="I2541">
            <v>2007</v>
          </cell>
          <cell r="J2541" t="str">
            <v>Compagnie Internationale de NegoceScratch 1 000</v>
          </cell>
          <cell r="L2541">
            <v>0</v>
          </cell>
          <cell r="M2541" t="str">
            <v>Compagnie Internationale de Negoce</v>
          </cell>
          <cell r="N2541" t="str">
            <v>Compagnie Internationale de NegoceScratch 1 000</v>
          </cell>
          <cell r="O2541" t="str">
            <v>Compagnie Internationale de Negoce</v>
          </cell>
          <cell r="P2541" t="str">
            <v>Scratch 1 000</v>
          </cell>
          <cell r="Q2541" t="str">
            <v>82007</v>
          </cell>
          <cell r="R2541" t="str">
            <v>82007Scratch 1 000</v>
          </cell>
          <cell r="S2541" t="str">
            <v>2007Scratch 1 000</v>
          </cell>
          <cell r="T2541" t="str">
            <v>82007Compagnie Internationale de Negoce</v>
          </cell>
          <cell r="U2541" t="str">
            <v>82007Compagnie Internationale de NegoceScratch 1 000</v>
          </cell>
          <cell r="V2541" t="str">
            <v>39324Scratch 1 000</v>
          </cell>
          <cell r="W2541" t="str">
            <v>2007Compagnie Internationale de Negoce</v>
          </cell>
          <cell r="X2541" t="str">
            <v>2007Compagnie Internationale de NegoceScratch 1 000</v>
          </cell>
        </row>
        <row r="2542">
          <cell r="I2542">
            <v>2007</v>
          </cell>
          <cell r="J2542" t="str">
            <v>Burtel MacsymScratch 20 000</v>
          </cell>
          <cell r="L2542">
            <v>1</v>
          </cell>
          <cell r="M2542" t="str">
            <v>1Burtel Macsym</v>
          </cell>
          <cell r="N2542" t="str">
            <v>Burtel MacsymScratch 20 000</v>
          </cell>
          <cell r="O2542" t="str">
            <v>Burtel Macsym</v>
          </cell>
          <cell r="P2542" t="str">
            <v>Scratch 20 000</v>
          </cell>
          <cell r="Q2542" t="str">
            <v>82007</v>
          </cell>
          <cell r="R2542" t="str">
            <v>82007Scratch 20 000</v>
          </cell>
          <cell r="S2542" t="str">
            <v>2007Scratch 20 000</v>
          </cell>
          <cell r="T2542" t="str">
            <v>82007Burtel Macsym</v>
          </cell>
          <cell r="U2542" t="str">
            <v>82007Burtel MacsymScratch 20 000</v>
          </cell>
          <cell r="V2542" t="str">
            <v>39324Scratch 20 000</v>
          </cell>
          <cell r="W2542" t="str">
            <v>2007Burtel Macsym</v>
          </cell>
          <cell r="X2542" t="str">
            <v>2007Burtel MacsymScratch 20 000</v>
          </cell>
        </row>
        <row r="2543">
          <cell r="I2543">
            <v>2007</v>
          </cell>
          <cell r="J2543" t="str">
            <v>Burtel MacsymScratch 10 000</v>
          </cell>
          <cell r="L2543">
            <v>0</v>
          </cell>
          <cell r="M2543" t="str">
            <v>Burtel Macsym</v>
          </cell>
          <cell r="N2543" t="str">
            <v>Burtel MacsymScratch 10 000</v>
          </cell>
          <cell r="O2543" t="str">
            <v>Burtel Macsym</v>
          </cell>
          <cell r="P2543" t="str">
            <v>Scratch 10 000</v>
          </cell>
          <cell r="Q2543" t="str">
            <v>82007</v>
          </cell>
          <cell r="R2543" t="str">
            <v>82007Scratch 10 000</v>
          </cell>
          <cell r="S2543" t="str">
            <v>2007Scratch 10 000</v>
          </cell>
          <cell r="T2543" t="str">
            <v>82007Burtel Macsym</v>
          </cell>
          <cell r="U2543" t="str">
            <v>82007Burtel MacsymScratch 10 000</v>
          </cell>
          <cell r="V2543" t="str">
            <v>39324Scratch 10 000</v>
          </cell>
          <cell r="W2543" t="str">
            <v>2007Burtel Macsym</v>
          </cell>
          <cell r="X2543" t="str">
            <v>2007Burtel MacsymScratch 10 000</v>
          </cell>
        </row>
        <row r="2544">
          <cell r="I2544">
            <v>2007</v>
          </cell>
          <cell r="J2544" t="str">
            <v>Burtel MacsymScratch 5 000</v>
          </cell>
          <cell r="L2544">
            <v>0</v>
          </cell>
          <cell r="M2544" t="str">
            <v>Burtel Macsym</v>
          </cell>
          <cell r="N2544" t="str">
            <v>Burtel MacsymScratch 5 000</v>
          </cell>
          <cell r="O2544" t="str">
            <v>Burtel Macsym</v>
          </cell>
          <cell r="P2544" t="str">
            <v>Scratch 5 000</v>
          </cell>
          <cell r="Q2544" t="str">
            <v>82007</v>
          </cell>
          <cell r="R2544" t="str">
            <v>82007Scratch 5 000</v>
          </cell>
          <cell r="S2544" t="str">
            <v>2007Scratch 5 000</v>
          </cell>
          <cell r="T2544" t="str">
            <v>82007Burtel Macsym</v>
          </cell>
          <cell r="U2544" t="str">
            <v>82007Burtel MacsymScratch 5 000</v>
          </cell>
          <cell r="V2544" t="str">
            <v>39324Scratch 5 000</v>
          </cell>
          <cell r="W2544" t="str">
            <v>2007Burtel Macsym</v>
          </cell>
          <cell r="X2544" t="str">
            <v>2007Burtel MacsymScratch 5 000</v>
          </cell>
        </row>
        <row r="2545">
          <cell r="I2545">
            <v>2007</v>
          </cell>
          <cell r="J2545" t="str">
            <v>Burtel MacsymScratch 2 000</v>
          </cell>
          <cell r="L2545">
            <v>0</v>
          </cell>
          <cell r="M2545" t="str">
            <v>Burtel Macsym</v>
          </cell>
          <cell r="N2545" t="str">
            <v>Burtel MacsymScratch 2 000</v>
          </cell>
          <cell r="O2545" t="str">
            <v>Burtel Macsym</v>
          </cell>
          <cell r="P2545" t="str">
            <v>Scratch 2 000</v>
          </cell>
          <cell r="Q2545" t="str">
            <v>82007</v>
          </cell>
          <cell r="R2545" t="str">
            <v>82007Scratch 2 000</v>
          </cell>
          <cell r="S2545" t="str">
            <v>2007Scratch 2 000</v>
          </cell>
          <cell r="T2545" t="str">
            <v>82007Burtel Macsym</v>
          </cell>
          <cell r="U2545" t="str">
            <v>82007Burtel MacsymScratch 2 000</v>
          </cell>
          <cell r="V2545" t="str">
            <v>39324Scratch 2 000</v>
          </cell>
          <cell r="W2545" t="str">
            <v>2007Burtel Macsym</v>
          </cell>
          <cell r="X2545" t="str">
            <v>2007Burtel MacsymScratch 2 000</v>
          </cell>
        </row>
        <row r="2546">
          <cell r="I2546">
            <v>2007</v>
          </cell>
          <cell r="J2546" t="str">
            <v>Burtel MacsymScratch 1 000</v>
          </cell>
          <cell r="L2546">
            <v>0</v>
          </cell>
          <cell r="M2546" t="str">
            <v>Burtel Macsym</v>
          </cell>
          <cell r="N2546" t="str">
            <v>Burtel MacsymScratch 1 000</v>
          </cell>
          <cell r="O2546" t="str">
            <v>Burtel Macsym</v>
          </cell>
          <cell r="P2546" t="str">
            <v>Scratch 1 000</v>
          </cell>
          <cell r="Q2546" t="str">
            <v>82007</v>
          </cell>
          <cell r="R2546" t="str">
            <v>82007Scratch 1 000</v>
          </cell>
          <cell r="S2546" t="str">
            <v>2007Scratch 1 000</v>
          </cell>
          <cell r="T2546" t="str">
            <v>82007Burtel Macsym</v>
          </cell>
          <cell r="U2546" t="str">
            <v>82007Burtel MacsymScratch 1 000</v>
          </cell>
          <cell r="V2546" t="str">
            <v>39324Scratch 1 000</v>
          </cell>
          <cell r="W2546" t="str">
            <v>2007Burtel Macsym</v>
          </cell>
          <cell r="X2546" t="str">
            <v>2007Burtel MacsymScratch 1 000</v>
          </cell>
        </row>
        <row r="2547">
          <cell r="I2547">
            <v>2007</v>
          </cell>
          <cell r="J2547" t="str">
            <v>Burtel MacsymScratch 5 000</v>
          </cell>
          <cell r="L2547">
            <v>1</v>
          </cell>
          <cell r="M2547" t="str">
            <v>1Burtel Macsym</v>
          </cell>
          <cell r="N2547" t="str">
            <v>Burtel MacsymScratch 5 000</v>
          </cell>
          <cell r="O2547" t="str">
            <v>Burtel Macsym</v>
          </cell>
          <cell r="P2547" t="str">
            <v>Scratch 5 000</v>
          </cell>
          <cell r="Q2547" t="str">
            <v>82007</v>
          </cell>
          <cell r="R2547" t="str">
            <v>82007Scratch 5 000</v>
          </cell>
          <cell r="S2547" t="str">
            <v>2007Scratch 5 000</v>
          </cell>
          <cell r="T2547" t="str">
            <v>82007Burtel Macsym</v>
          </cell>
          <cell r="U2547" t="str">
            <v>82007Burtel MacsymScratch 5 000</v>
          </cell>
          <cell r="V2547" t="str">
            <v>39324Scratch 5 000</v>
          </cell>
          <cell r="W2547" t="str">
            <v>2007Burtel Macsym</v>
          </cell>
          <cell r="X2547" t="str">
            <v>2007Burtel MacsymScratch 5 000</v>
          </cell>
        </row>
        <row r="2548">
          <cell r="I2548">
            <v>2007</v>
          </cell>
          <cell r="J2548" t="str">
            <v>Burtel MacsymScratch 2 000</v>
          </cell>
          <cell r="L2548">
            <v>0</v>
          </cell>
          <cell r="M2548" t="str">
            <v>Burtel Macsym</v>
          </cell>
          <cell r="N2548" t="str">
            <v>Burtel MacsymScratch 2 000</v>
          </cell>
          <cell r="O2548" t="str">
            <v>Burtel Macsym</v>
          </cell>
          <cell r="P2548" t="str">
            <v>Scratch 2 000</v>
          </cell>
          <cell r="Q2548" t="str">
            <v>82007</v>
          </cell>
          <cell r="R2548" t="str">
            <v>82007Scratch 2 000</v>
          </cell>
          <cell r="S2548" t="str">
            <v>2007Scratch 2 000</v>
          </cell>
          <cell r="T2548" t="str">
            <v>82007Burtel Macsym</v>
          </cell>
          <cell r="U2548" t="str">
            <v>82007Burtel MacsymScratch 2 000</v>
          </cell>
          <cell r="V2548" t="str">
            <v>39324Scratch 2 000</v>
          </cell>
          <cell r="W2548" t="str">
            <v>2007Burtel Macsym</v>
          </cell>
          <cell r="X2548" t="str">
            <v>2007Burtel MacsymScratch 2 000</v>
          </cell>
        </row>
        <row r="2549">
          <cell r="I2549">
            <v>2007</v>
          </cell>
          <cell r="J2549" t="str">
            <v>Burtel MacsymScratch 1 000</v>
          </cell>
          <cell r="L2549">
            <v>0</v>
          </cell>
          <cell r="M2549" t="str">
            <v>Burtel Macsym</v>
          </cell>
          <cell r="N2549" t="str">
            <v>Burtel MacsymScratch 1 000</v>
          </cell>
          <cell r="O2549" t="str">
            <v>Burtel Macsym</v>
          </cell>
          <cell r="P2549" t="str">
            <v>Scratch 1 000</v>
          </cell>
          <cell r="Q2549" t="str">
            <v>82007</v>
          </cell>
          <cell r="R2549" t="str">
            <v>82007Scratch 1 000</v>
          </cell>
          <cell r="S2549" t="str">
            <v>2007Scratch 1 000</v>
          </cell>
          <cell r="T2549" t="str">
            <v>82007Burtel Macsym</v>
          </cell>
          <cell r="U2549" t="str">
            <v>82007Burtel MacsymScratch 1 000</v>
          </cell>
          <cell r="V2549" t="str">
            <v>39324Scratch 1 000</v>
          </cell>
          <cell r="W2549" t="str">
            <v>2007Burtel Macsym</v>
          </cell>
          <cell r="X2549" t="str">
            <v>2007Burtel MacsymScratch 1 000</v>
          </cell>
        </row>
        <row r="2550">
          <cell r="I2550">
            <v>2007</v>
          </cell>
          <cell r="J2550" t="str">
            <v>SOMAKOFFScratch 20 000</v>
          </cell>
          <cell r="L2550">
            <v>1</v>
          </cell>
          <cell r="M2550" t="str">
            <v>1SOMAKOFF</v>
          </cell>
          <cell r="N2550" t="str">
            <v>SOMAKOFFScratch 20 000</v>
          </cell>
          <cell r="O2550" t="str">
            <v>SOMAKOFF</v>
          </cell>
          <cell r="P2550" t="str">
            <v>Scratch 20 000</v>
          </cell>
          <cell r="Q2550" t="str">
            <v>82007</v>
          </cell>
          <cell r="R2550" t="str">
            <v>82007Scratch 20 000</v>
          </cell>
          <cell r="S2550" t="str">
            <v>2007Scratch 20 000</v>
          </cell>
          <cell r="T2550" t="str">
            <v>82007SOMAKOFF</v>
          </cell>
          <cell r="U2550" t="str">
            <v>82007SOMAKOFFScratch 20 000</v>
          </cell>
          <cell r="V2550" t="str">
            <v>39324Scratch 20 000</v>
          </cell>
          <cell r="W2550" t="str">
            <v>2007SOMAKOFF</v>
          </cell>
          <cell r="X2550" t="str">
            <v>2007SOMAKOFFScratch 20 000</v>
          </cell>
        </row>
        <row r="2551">
          <cell r="I2551">
            <v>2007</v>
          </cell>
          <cell r="J2551" t="str">
            <v>SOMAKOFFScratch 5 000</v>
          </cell>
          <cell r="L2551">
            <v>0</v>
          </cell>
          <cell r="M2551" t="str">
            <v>SOMAKOFF</v>
          </cell>
          <cell r="N2551" t="str">
            <v>SOMAKOFFScratch 5 000</v>
          </cell>
          <cell r="O2551" t="str">
            <v>SOMAKOFF</v>
          </cell>
          <cell r="P2551" t="str">
            <v>Scratch 5 000</v>
          </cell>
          <cell r="Q2551" t="str">
            <v>82007</v>
          </cell>
          <cell r="R2551" t="str">
            <v>82007Scratch 5 000</v>
          </cell>
          <cell r="S2551" t="str">
            <v>2007Scratch 5 000</v>
          </cell>
          <cell r="T2551" t="str">
            <v>82007SOMAKOFF</v>
          </cell>
          <cell r="U2551" t="str">
            <v>82007SOMAKOFFScratch 5 000</v>
          </cell>
          <cell r="V2551" t="str">
            <v>39324Scratch 5 000</v>
          </cell>
          <cell r="W2551" t="str">
            <v>2007SOMAKOFF</v>
          </cell>
          <cell r="X2551" t="str">
            <v>2007SOMAKOFFScratch 5 000</v>
          </cell>
        </row>
        <row r="2552">
          <cell r="I2552">
            <v>2007</v>
          </cell>
          <cell r="J2552" t="str">
            <v>SOMAKOFFScratch 2 000</v>
          </cell>
          <cell r="L2552">
            <v>0</v>
          </cell>
          <cell r="M2552" t="str">
            <v>SOMAKOFF</v>
          </cell>
          <cell r="N2552" t="str">
            <v>SOMAKOFFScratch 2 000</v>
          </cell>
          <cell r="O2552" t="str">
            <v>SOMAKOFF</v>
          </cell>
          <cell r="P2552" t="str">
            <v>Scratch 2 000</v>
          </cell>
          <cell r="Q2552" t="str">
            <v>82007</v>
          </cell>
          <cell r="R2552" t="str">
            <v>82007Scratch 2 000</v>
          </cell>
          <cell r="S2552" t="str">
            <v>2007Scratch 2 000</v>
          </cell>
          <cell r="T2552" t="str">
            <v>82007SOMAKOFF</v>
          </cell>
          <cell r="U2552" t="str">
            <v>82007SOMAKOFFScratch 2 000</v>
          </cell>
          <cell r="V2552" t="str">
            <v>39324Scratch 2 000</v>
          </cell>
          <cell r="W2552" t="str">
            <v>2007SOMAKOFF</v>
          </cell>
          <cell r="X2552" t="str">
            <v>2007SOMAKOFFScratch 2 000</v>
          </cell>
        </row>
        <row r="2553">
          <cell r="I2553">
            <v>2007</v>
          </cell>
          <cell r="J2553" t="str">
            <v>SOMAKOFFScratch 1 000</v>
          </cell>
          <cell r="L2553">
            <v>0</v>
          </cell>
          <cell r="M2553" t="str">
            <v>SOMAKOFF</v>
          </cell>
          <cell r="N2553" t="str">
            <v>SOMAKOFFScratch 1 000</v>
          </cell>
          <cell r="O2553" t="str">
            <v>SOMAKOFF</v>
          </cell>
          <cell r="P2553" t="str">
            <v>Scratch 1 000</v>
          </cell>
          <cell r="Q2553" t="str">
            <v>82007</v>
          </cell>
          <cell r="R2553" t="str">
            <v>82007Scratch 1 000</v>
          </cell>
          <cell r="S2553" t="str">
            <v>2007Scratch 1 000</v>
          </cell>
          <cell r="T2553" t="str">
            <v>82007SOMAKOFF</v>
          </cell>
          <cell r="U2553" t="str">
            <v>82007SOMAKOFFScratch 1 000</v>
          </cell>
          <cell r="V2553" t="str">
            <v>39324Scratch 1 000</v>
          </cell>
          <cell r="W2553" t="str">
            <v>2007SOMAKOFF</v>
          </cell>
          <cell r="X2553" t="str">
            <v>2007SOMAKOFFScratch 1 000</v>
          </cell>
        </row>
        <row r="2554">
          <cell r="I2554">
            <v>2007</v>
          </cell>
          <cell r="J2554" t="str">
            <v>Burtel MacsymScratch 20 000</v>
          </cell>
          <cell r="L2554">
            <v>1</v>
          </cell>
          <cell r="M2554" t="str">
            <v>1Burtel Macsym</v>
          </cell>
          <cell r="N2554" t="str">
            <v>Burtel MacsymScratch 20 000</v>
          </cell>
          <cell r="O2554" t="str">
            <v>Burtel Macsym</v>
          </cell>
          <cell r="P2554" t="str">
            <v>Scratch 20 000</v>
          </cell>
          <cell r="Q2554" t="str">
            <v>82007</v>
          </cell>
          <cell r="R2554" t="str">
            <v>82007Scratch 20 000</v>
          </cell>
          <cell r="S2554" t="str">
            <v>2007Scratch 20 000</v>
          </cell>
          <cell r="T2554" t="str">
            <v>82007Burtel Macsym</v>
          </cell>
          <cell r="U2554" t="str">
            <v>82007Burtel MacsymScratch 20 000</v>
          </cell>
          <cell r="V2554" t="str">
            <v>39324Scratch 20 000</v>
          </cell>
          <cell r="W2554" t="str">
            <v>2007Burtel Macsym</v>
          </cell>
          <cell r="X2554" t="str">
            <v>2007Burtel MacsymScratch 20 000</v>
          </cell>
        </row>
        <row r="2555">
          <cell r="I2555">
            <v>2007</v>
          </cell>
          <cell r="J2555" t="str">
            <v>Burtel MacsymScratch 5 000</v>
          </cell>
          <cell r="L2555">
            <v>0</v>
          </cell>
          <cell r="M2555" t="str">
            <v>Burtel Macsym</v>
          </cell>
          <cell r="N2555" t="str">
            <v>Burtel MacsymScratch 5 000</v>
          </cell>
          <cell r="O2555" t="str">
            <v>Burtel Macsym</v>
          </cell>
          <cell r="P2555" t="str">
            <v>Scratch 5 000</v>
          </cell>
          <cell r="Q2555" t="str">
            <v>82007</v>
          </cell>
          <cell r="R2555" t="str">
            <v>82007Scratch 5 000</v>
          </cell>
          <cell r="S2555" t="str">
            <v>2007Scratch 5 000</v>
          </cell>
          <cell r="T2555" t="str">
            <v>82007Burtel Macsym</v>
          </cell>
          <cell r="U2555" t="str">
            <v>82007Burtel MacsymScratch 5 000</v>
          </cell>
          <cell r="V2555" t="str">
            <v>39324Scratch 5 000</v>
          </cell>
          <cell r="W2555" t="str">
            <v>2007Burtel Macsym</v>
          </cell>
          <cell r="X2555" t="str">
            <v>2007Burtel MacsymScratch 5 000</v>
          </cell>
        </row>
        <row r="2556">
          <cell r="I2556">
            <v>2007</v>
          </cell>
          <cell r="J2556" t="str">
            <v>Burtel MacsymScratch 2 000</v>
          </cell>
          <cell r="L2556">
            <v>0</v>
          </cell>
          <cell r="M2556" t="str">
            <v>Burtel Macsym</v>
          </cell>
          <cell r="N2556" t="str">
            <v>Burtel MacsymScratch 2 000</v>
          </cell>
          <cell r="O2556" t="str">
            <v>Burtel Macsym</v>
          </cell>
          <cell r="P2556" t="str">
            <v>Scratch 2 000</v>
          </cell>
          <cell r="Q2556" t="str">
            <v>82007</v>
          </cell>
          <cell r="R2556" t="str">
            <v>82007Scratch 2 000</v>
          </cell>
          <cell r="S2556" t="str">
            <v>2007Scratch 2 000</v>
          </cell>
          <cell r="T2556" t="str">
            <v>82007Burtel Macsym</v>
          </cell>
          <cell r="U2556" t="str">
            <v>82007Burtel MacsymScratch 2 000</v>
          </cell>
          <cell r="V2556" t="str">
            <v>39324Scratch 2 000</v>
          </cell>
          <cell r="W2556" t="str">
            <v>2007Burtel Macsym</v>
          </cell>
          <cell r="X2556" t="str">
            <v>2007Burtel MacsymScratch 2 000</v>
          </cell>
        </row>
        <row r="2557">
          <cell r="I2557">
            <v>2007</v>
          </cell>
          <cell r="J2557" t="str">
            <v>Burtel MacsymScratch 1 000</v>
          </cell>
          <cell r="L2557">
            <v>0</v>
          </cell>
          <cell r="M2557" t="str">
            <v>Burtel Macsym</v>
          </cell>
          <cell r="N2557" t="str">
            <v>Burtel MacsymScratch 1 000</v>
          </cell>
          <cell r="O2557" t="str">
            <v>Burtel Macsym</v>
          </cell>
          <cell r="P2557" t="str">
            <v>Scratch 1 000</v>
          </cell>
          <cell r="Q2557" t="str">
            <v>82007</v>
          </cell>
          <cell r="R2557" t="str">
            <v>82007Scratch 1 000</v>
          </cell>
          <cell r="S2557" t="str">
            <v>2007Scratch 1 000</v>
          </cell>
          <cell r="T2557" t="str">
            <v>82007Burtel Macsym</v>
          </cell>
          <cell r="U2557" t="str">
            <v>82007Burtel MacsymScratch 1 000</v>
          </cell>
          <cell r="V2557" t="str">
            <v>39324Scratch 1 000</v>
          </cell>
          <cell r="W2557" t="str">
            <v>2007Burtel Macsym</v>
          </cell>
          <cell r="X2557" t="str">
            <v>2007Burtel MacsymScratch 1 000</v>
          </cell>
        </row>
        <row r="2558">
          <cell r="I2558">
            <v>2007</v>
          </cell>
          <cell r="J2558" t="str">
            <v>Burtel MacsymScratch 20 000</v>
          </cell>
          <cell r="L2558">
            <v>1</v>
          </cell>
          <cell r="M2558" t="str">
            <v>1Burtel Macsym</v>
          </cell>
          <cell r="N2558" t="str">
            <v>Burtel MacsymScratch 20 000</v>
          </cell>
          <cell r="O2558" t="str">
            <v>Burtel Macsym</v>
          </cell>
          <cell r="P2558" t="str">
            <v>Scratch 20 000</v>
          </cell>
          <cell r="Q2558" t="str">
            <v>82007</v>
          </cell>
          <cell r="R2558" t="str">
            <v>82007Scratch 20 000</v>
          </cell>
          <cell r="S2558" t="str">
            <v>2007Scratch 20 000</v>
          </cell>
          <cell r="T2558" t="str">
            <v>82007Burtel Macsym</v>
          </cell>
          <cell r="U2558" t="str">
            <v>82007Burtel MacsymScratch 20 000</v>
          </cell>
          <cell r="V2558" t="str">
            <v>39325Scratch 20 000</v>
          </cell>
          <cell r="W2558" t="str">
            <v>2007Burtel Macsym</v>
          </cell>
          <cell r="X2558" t="str">
            <v>2007Burtel MacsymScratch 20 000</v>
          </cell>
        </row>
        <row r="2559">
          <cell r="I2559">
            <v>2007</v>
          </cell>
          <cell r="J2559" t="str">
            <v>Burtel MacsymScratch 5 000</v>
          </cell>
          <cell r="L2559">
            <v>0</v>
          </cell>
          <cell r="M2559" t="str">
            <v>Burtel Macsym</v>
          </cell>
          <cell r="N2559" t="str">
            <v>Burtel MacsymScratch 5 000</v>
          </cell>
          <cell r="O2559" t="str">
            <v>Burtel Macsym</v>
          </cell>
          <cell r="P2559" t="str">
            <v>Scratch 5 000</v>
          </cell>
          <cell r="Q2559" t="str">
            <v>82007</v>
          </cell>
          <cell r="R2559" t="str">
            <v>82007Scratch 5 000</v>
          </cell>
          <cell r="S2559" t="str">
            <v>2007Scratch 5 000</v>
          </cell>
          <cell r="T2559" t="str">
            <v>82007Burtel Macsym</v>
          </cell>
          <cell r="U2559" t="str">
            <v>82007Burtel MacsymScratch 5 000</v>
          </cell>
          <cell r="V2559" t="str">
            <v>39325Scratch 5 000</v>
          </cell>
          <cell r="W2559" t="str">
            <v>2007Burtel Macsym</v>
          </cell>
          <cell r="X2559" t="str">
            <v>2007Burtel MacsymScratch 5 000</v>
          </cell>
        </row>
        <row r="2560">
          <cell r="I2560">
            <v>2007</v>
          </cell>
          <cell r="J2560" t="str">
            <v>Burtel MacsymScratch 2 000</v>
          </cell>
          <cell r="L2560">
            <v>0</v>
          </cell>
          <cell r="M2560" t="str">
            <v>Burtel Macsym</v>
          </cell>
          <cell r="N2560" t="str">
            <v>Burtel MacsymScratch 2 000</v>
          </cell>
          <cell r="O2560" t="str">
            <v>Burtel Macsym</v>
          </cell>
          <cell r="P2560" t="str">
            <v>Scratch 2 000</v>
          </cell>
          <cell r="Q2560" t="str">
            <v>82007</v>
          </cell>
          <cell r="R2560" t="str">
            <v>82007Scratch 2 000</v>
          </cell>
          <cell r="S2560" t="str">
            <v>2007Scratch 2 000</v>
          </cell>
          <cell r="T2560" t="str">
            <v>82007Burtel Macsym</v>
          </cell>
          <cell r="U2560" t="str">
            <v>82007Burtel MacsymScratch 2 000</v>
          </cell>
          <cell r="V2560" t="str">
            <v>39325Scratch 2 000</v>
          </cell>
          <cell r="W2560" t="str">
            <v>2007Burtel Macsym</v>
          </cell>
          <cell r="X2560" t="str">
            <v>2007Burtel MacsymScratch 2 000</v>
          </cell>
        </row>
        <row r="2561">
          <cell r="I2561">
            <v>2007</v>
          </cell>
          <cell r="J2561" t="str">
            <v>Burtel MacsymScratch 1 000</v>
          </cell>
          <cell r="L2561">
            <v>0</v>
          </cell>
          <cell r="M2561" t="str">
            <v>Burtel Macsym</v>
          </cell>
          <cell r="N2561" t="str">
            <v>Burtel MacsymScratch 1 000</v>
          </cell>
          <cell r="O2561" t="str">
            <v>Burtel Macsym</v>
          </cell>
          <cell r="P2561" t="str">
            <v>Scratch 1 000</v>
          </cell>
          <cell r="Q2561" t="str">
            <v>82007</v>
          </cell>
          <cell r="R2561" t="str">
            <v>82007Scratch 1 000</v>
          </cell>
          <cell r="S2561" t="str">
            <v>2007Scratch 1 000</v>
          </cell>
          <cell r="T2561" t="str">
            <v>82007Burtel Macsym</v>
          </cell>
          <cell r="U2561" t="str">
            <v>82007Burtel MacsymScratch 1 000</v>
          </cell>
          <cell r="V2561" t="str">
            <v>39325Scratch 1 000</v>
          </cell>
          <cell r="W2561" t="str">
            <v>2007Burtel Macsym</v>
          </cell>
          <cell r="X2561" t="str">
            <v>2007Burtel MacsymScratch 1 000</v>
          </cell>
        </row>
        <row r="2562">
          <cell r="I2562">
            <v>2007</v>
          </cell>
          <cell r="J2562" t="str">
            <v>Ets Mamadou GAMBYScratch 5 000</v>
          </cell>
          <cell r="L2562">
            <v>1</v>
          </cell>
          <cell r="M2562" t="str">
            <v>1Ets Mamadou GAMBY</v>
          </cell>
          <cell r="N2562" t="str">
            <v>Ets Mamadou GAMBYScratch 5 000</v>
          </cell>
          <cell r="O2562" t="str">
            <v>Ets Mamadou GAMBY</v>
          </cell>
          <cell r="P2562" t="str">
            <v>Scratch 5 000</v>
          </cell>
          <cell r="Q2562" t="str">
            <v>82007</v>
          </cell>
          <cell r="R2562" t="str">
            <v>82007Scratch 5 000</v>
          </cell>
          <cell r="S2562" t="str">
            <v>2007Scratch 5 000</v>
          </cell>
          <cell r="T2562" t="str">
            <v>82007Ets Mamadou GAMBY</v>
          </cell>
          <cell r="U2562" t="str">
            <v>82007Ets Mamadou GAMBYScratch 5 000</v>
          </cell>
          <cell r="V2562" t="str">
            <v>39325Scratch 5 000</v>
          </cell>
          <cell r="W2562" t="str">
            <v>2007Ets Mamadou GAMBY</v>
          </cell>
          <cell r="X2562" t="str">
            <v>2007Ets Mamadou GAMBYScratch 5 000</v>
          </cell>
        </row>
        <row r="2563">
          <cell r="I2563">
            <v>2007</v>
          </cell>
          <cell r="J2563" t="str">
            <v>Ets Mamadou GAMBYScratch 2 000</v>
          </cell>
          <cell r="L2563">
            <v>0</v>
          </cell>
          <cell r="M2563" t="str">
            <v>Ets Mamadou GAMBY</v>
          </cell>
          <cell r="N2563" t="str">
            <v>Ets Mamadou GAMBYScratch 2 000</v>
          </cell>
          <cell r="O2563" t="str">
            <v>Ets Mamadou GAMBY</v>
          </cell>
          <cell r="P2563" t="str">
            <v>Scratch 2 000</v>
          </cell>
          <cell r="Q2563" t="str">
            <v>82007</v>
          </cell>
          <cell r="R2563" t="str">
            <v>82007Scratch 2 000</v>
          </cell>
          <cell r="S2563" t="str">
            <v>2007Scratch 2 000</v>
          </cell>
          <cell r="T2563" t="str">
            <v>82007Ets Mamadou GAMBY</v>
          </cell>
          <cell r="U2563" t="str">
            <v>82007Ets Mamadou GAMBYScratch 2 000</v>
          </cell>
          <cell r="V2563" t="str">
            <v>39325Scratch 2 000</v>
          </cell>
          <cell r="W2563" t="str">
            <v>2007Ets Mamadou GAMBY</v>
          </cell>
          <cell r="X2563" t="str">
            <v>2007Ets Mamadou GAMBYScratch 2 000</v>
          </cell>
        </row>
        <row r="2564">
          <cell r="I2564">
            <v>2007</v>
          </cell>
          <cell r="J2564" t="str">
            <v>Ets Mamadou GAMBYScratch 1 000</v>
          </cell>
          <cell r="L2564">
            <v>0</v>
          </cell>
          <cell r="M2564" t="str">
            <v>Ets Mamadou GAMBY</v>
          </cell>
          <cell r="N2564" t="str">
            <v>Ets Mamadou GAMBYScratch 1 000</v>
          </cell>
          <cell r="O2564" t="str">
            <v>Ets Mamadou GAMBY</v>
          </cell>
          <cell r="P2564" t="str">
            <v>Scratch 1 000</v>
          </cell>
          <cell r="Q2564" t="str">
            <v>82007</v>
          </cell>
          <cell r="R2564" t="str">
            <v>82007Scratch 1 000</v>
          </cell>
          <cell r="S2564" t="str">
            <v>2007Scratch 1 000</v>
          </cell>
          <cell r="T2564" t="str">
            <v>82007Ets Mamadou GAMBY</v>
          </cell>
          <cell r="U2564" t="str">
            <v>82007Ets Mamadou GAMBYScratch 1 000</v>
          </cell>
          <cell r="V2564" t="str">
            <v>39325Scratch 1 000</v>
          </cell>
          <cell r="W2564" t="str">
            <v>2007Ets Mamadou GAMBY</v>
          </cell>
          <cell r="X2564" t="str">
            <v>2007Ets Mamadou GAMBYScratch 1 000</v>
          </cell>
        </row>
        <row r="2565">
          <cell r="I2565">
            <v>2007</v>
          </cell>
          <cell r="J2565" t="str">
            <v>Ets Boubacar TANDIAScratch 20 000</v>
          </cell>
          <cell r="L2565">
            <v>1</v>
          </cell>
          <cell r="M2565" t="str">
            <v>1Ets Boubacar TANDIA</v>
          </cell>
          <cell r="N2565" t="str">
            <v>Ets Boubacar TANDIAScratch 20 000</v>
          </cell>
          <cell r="O2565" t="str">
            <v>Ets Boubacar TANDIA</v>
          </cell>
          <cell r="P2565" t="str">
            <v>Scratch 20 000</v>
          </cell>
          <cell r="Q2565" t="str">
            <v>82007</v>
          </cell>
          <cell r="R2565" t="str">
            <v>82007Scratch 20 000</v>
          </cell>
          <cell r="S2565" t="str">
            <v>2007Scratch 20 000</v>
          </cell>
          <cell r="T2565" t="str">
            <v>82007Ets Boubacar TANDIA</v>
          </cell>
          <cell r="U2565" t="str">
            <v>82007Ets Boubacar TANDIAScratch 20 000</v>
          </cell>
          <cell r="V2565" t="str">
            <v>39325Scratch 20 000</v>
          </cell>
          <cell r="W2565" t="str">
            <v>2007Ets Boubacar TANDIA</v>
          </cell>
          <cell r="X2565" t="str">
            <v>2007Ets Boubacar TANDIAScratch 20 000</v>
          </cell>
        </row>
        <row r="2566">
          <cell r="I2566">
            <v>2007</v>
          </cell>
          <cell r="J2566" t="str">
            <v>Ets Boubacar TANDIAScratch 5 000</v>
          </cell>
          <cell r="L2566">
            <v>0</v>
          </cell>
          <cell r="M2566" t="str">
            <v>Ets Boubacar TANDIA</v>
          </cell>
          <cell r="N2566" t="str">
            <v>Ets Boubacar TANDIAScratch 5 000</v>
          </cell>
          <cell r="O2566" t="str">
            <v>Ets Boubacar TANDIA</v>
          </cell>
          <cell r="P2566" t="str">
            <v>Scratch 5 000</v>
          </cell>
          <cell r="Q2566" t="str">
            <v>82007</v>
          </cell>
          <cell r="R2566" t="str">
            <v>82007Scratch 5 000</v>
          </cell>
          <cell r="S2566" t="str">
            <v>2007Scratch 5 000</v>
          </cell>
          <cell r="T2566" t="str">
            <v>82007Ets Boubacar TANDIA</v>
          </cell>
          <cell r="U2566" t="str">
            <v>82007Ets Boubacar TANDIAScratch 5 000</v>
          </cell>
          <cell r="V2566" t="str">
            <v>39325Scratch 5 000</v>
          </cell>
          <cell r="W2566" t="str">
            <v>2007Ets Boubacar TANDIA</v>
          </cell>
          <cell r="X2566" t="str">
            <v>2007Ets Boubacar TANDIAScratch 5 000</v>
          </cell>
        </row>
        <row r="2567">
          <cell r="I2567">
            <v>2007</v>
          </cell>
          <cell r="J2567" t="str">
            <v>Ets Boubacar TANDIAScratch 2 000</v>
          </cell>
          <cell r="L2567">
            <v>0</v>
          </cell>
          <cell r="M2567" t="str">
            <v>Ets Boubacar TANDIA</v>
          </cell>
          <cell r="N2567" t="str">
            <v>Ets Boubacar TANDIAScratch 2 000</v>
          </cell>
          <cell r="O2567" t="str">
            <v>Ets Boubacar TANDIA</v>
          </cell>
          <cell r="P2567" t="str">
            <v>Scratch 2 000</v>
          </cell>
          <cell r="Q2567" t="str">
            <v>82007</v>
          </cell>
          <cell r="R2567" t="str">
            <v>82007Scratch 2 000</v>
          </cell>
          <cell r="S2567" t="str">
            <v>2007Scratch 2 000</v>
          </cell>
          <cell r="T2567" t="str">
            <v>82007Ets Boubacar TANDIA</v>
          </cell>
          <cell r="U2567" t="str">
            <v>82007Ets Boubacar TANDIAScratch 2 000</v>
          </cell>
          <cell r="V2567" t="str">
            <v>39325Scratch 2 000</v>
          </cell>
          <cell r="W2567" t="str">
            <v>2007Ets Boubacar TANDIA</v>
          </cell>
          <cell r="X2567" t="str">
            <v>2007Ets Boubacar TANDIAScratch 2 000</v>
          </cell>
        </row>
        <row r="2568">
          <cell r="I2568">
            <v>2007</v>
          </cell>
          <cell r="J2568" t="str">
            <v>Ets Boubacar TANDIAScratch 1 000</v>
          </cell>
          <cell r="L2568">
            <v>0</v>
          </cell>
          <cell r="M2568" t="str">
            <v>Ets Boubacar TANDIA</v>
          </cell>
          <cell r="N2568" t="str">
            <v>Ets Boubacar TANDIAScratch 1 000</v>
          </cell>
          <cell r="O2568" t="str">
            <v>Ets Boubacar TANDIA</v>
          </cell>
          <cell r="P2568" t="str">
            <v>Scratch 1 000</v>
          </cell>
          <cell r="Q2568" t="str">
            <v>82007</v>
          </cell>
          <cell r="R2568" t="str">
            <v>82007Scratch 1 000</v>
          </cell>
          <cell r="S2568" t="str">
            <v>2007Scratch 1 000</v>
          </cell>
          <cell r="T2568" t="str">
            <v>82007Ets Boubacar TANDIA</v>
          </cell>
          <cell r="U2568" t="str">
            <v>82007Ets Boubacar TANDIAScratch 1 000</v>
          </cell>
          <cell r="V2568" t="str">
            <v>39325Scratch 1 000</v>
          </cell>
          <cell r="W2568" t="str">
            <v>2007Ets Boubacar TANDIA</v>
          </cell>
          <cell r="X2568" t="str">
            <v>2007Ets Boubacar TANDIAScratch 1 000</v>
          </cell>
        </row>
        <row r="2569">
          <cell r="I2569">
            <v>2007</v>
          </cell>
          <cell r="J2569" t="str">
            <v>Burtel MacsymScratch 20 000</v>
          </cell>
          <cell r="L2569">
            <v>1</v>
          </cell>
          <cell r="M2569" t="str">
            <v>1Burtel Macsym</v>
          </cell>
          <cell r="N2569" t="str">
            <v>Burtel MacsymScratch 20 000</v>
          </cell>
          <cell r="O2569" t="str">
            <v>Burtel Macsym</v>
          </cell>
          <cell r="P2569" t="str">
            <v>Scratch 20 000</v>
          </cell>
          <cell r="Q2569" t="str">
            <v>82007</v>
          </cell>
          <cell r="R2569" t="str">
            <v>82007Scratch 20 000</v>
          </cell>
          <cell r="S2569" t="str">
            <v>2007Scratch 20 000</v>
          </cell>
          <cell r="T2569" t="str">
            <v>82007Burtel Macsym</v>
          </cell>
          <cell r="U2569" t="str">
            <v>82007Burtel MacsymScratch 20 000</v>
          </cell>
          <cell r="V2569" t="str">
            <v>39325Scratch 20 000</v>
          </cell>
          <cell r="W2569" t="str">
            <v>2007Burtel Macsym</v>
          </cell>
          <cell r="X2569" t="str">
            <v>2007Burtel MacsymScratch 20 000</v>
          </cell>
        </row>
        <row r="2570">
          <cell r="I2570">
            <v>2007</v>
          </cell>
          <cell r="J2570" t="str">
            <v>Burtel MacsymScratch 10 000</v>
          </cell>
          <cell r="L2570">
            <v>0</v>
          </cell>
          <cell r="M2570" t="str">
            <v>Burtel Macsym</v>
          </cell>
          <cell r="N2570" t="str">
            <v>Burtel MacsymScratch 10 000</v>
          </cell>
          <cell r="O2570" t="str">
            <v>Burtel Macsym</v>
          </cell>
          <cell r="P2570" t="str">
            <v>Scratch 10 000</v>
          </cell>
          <cell r="Q2570" t="str">
            <v>82007</v>
          </cell>
          <cell r="R2570" t="str">
            <v>82007Scratch 10 000</v>
          </cell>
          <cell r="S2570" t="str">
            <v>2007Scratch 10 000</v>
          </cell>
          <cell r="T2570" t="str">
            <v>82007Burtel Macsym</v>
          </cell>
          <cell r="U2570" t="str">
            <v>82007Burtel MacsymScratch 10 000</v>
          </cell>
          <cell r="V2570" t="str">
            <v>39325Scratch 10 000</v>
          </cell>
          <cell r="W2570" t="str">
            <v>2007Burtel Macsym</v>
          </cell>
          <cell r="X2570" t="str">
            <v>2007Burtel MacsymScratch 10 000</v>
          </cell>
        </row>
        <row r="2571">
          <cell r="I2571">
            <v>2007</v>
          </cell>
          <cell r="J2571" t="str">
            <v>Burtel MacsymScratch 5 000</v>
          </cell>
          <cell r="L2571">
            <v>0</v>
          </cell>
          <cell r="M2571" t="str">
            <v>Burtel Macsym</v>
          </cell>
          <cell r="N2571" t="str">
            <v>Burtel MacsymScratch 5 000</v>
          </cell>
          <cell r="O2571" t="str">
            <v>Burtel Macsym</v>
          </cell>
          <cell r="P2571" t="str">
            <v>Scratch 5 000</v>
          </cell>
          <cell r="Q2571" t="str">
            <v>82007</v>
          </cell>
          <cell r="R2571" t="str">
            <v>82007Scratch 5 000</v>
          </cell>
          <cell r="S2571" t="str">
            <v>2007Scratch 5 000</v>
          </cell>
          <cell r="T2571" t="str">
            <v>82007Burtel Macsym</v>
          </cell>
          <cell r="U2571" t="str">
            <v>82007Burtel MacsymScratch 5 000</v>
          </cell>
          <cell r="V2571" t="str">
            <v>39325Scratch 5 000</v>
          </cell>
          <cell r="W2571" t="str">
            <v>2007Burtel Macsym</v>
          </cell>
          <cell r="X2571" t="str">
            <v>2007Burtel MacsymScratch 5 000</v>
          </cell>
        </row>
        <row r="2572">
          <cell r="I2572">
            <v>2007</v>
          </cell>
          <cell r="J2572" t="str">
            <v>Burtel MacsymScratch 2 000</v>
          </cell>
          <cell r="L2572">
            <v>0</v>
          </cell>
          <cell r="M2572" t="str">
            <v>Burtel Macsym</v>
          </cell>
          <cell r="N2572" t="str">
            <v>Burtel MacsymScratch 2 000</v>
          </cell>
          <cell r="O2572" t="str">
            <v>Burtel Macsym</v>
          </cell>
          <cell r="P2572" t="str">
            <v>Scratch 2 000</v>
          </cell>
          <cell r="Q2572" t="str">
            <v>82007</v>
          </cell>
          <cell r="R2572" t="str">
            <v>82007Scratch 2 000</v>
          </cell>
          <cell r="S2572" t="str">
            <v>2007Scratch 2 000</v>
          </cell>
          <cell r="T2572" t="str">
            <v>82007Burtel Macsym</v>
          </cell>
          <cell r="U2572" t="str">
            <v>82007Burtel MacsymScratch 2 000</v>
          </cell>
          <cell r="V2572" t="str">
            <v>39325Scratch 2 000</v>
          </cell>
          <cell r="W2572" t="str">
            <v>2007Burtel Macsym</v>
          </cell>
          <cell r="X2572" t="str">
            <v>2007Burtel MacsymScratch 2 000</v>
          </cell>
        </row>
        <row r="2573">
          <cell r="I2573">
            <v>2007</v>
          </cell>
          <cell r="J2573" t="str">
            <v>Burtel MacsymScratch 1 000</v>
          </cell>
          <cell r="L2573">
            <v>0</v>
          </cell>
          <cell r="M2573" t="str">
            <v>Burtel Macsym</v>
          </cell>
          <cell r="N2573" t="str">
            <v>Burtel MacsymScratch 1 000</v>
          </cell>
          <cell r="O2573" t="str">
            <v>Burtel Macsym</v>
          </cell>
          <cell r="P2573" t="str">
            <v>Scratch 1 000</v>
          </cell>
          <cell r="Q2573" t="str">
            <v>82007</v>
          </cell>
          <cell r="R2573" t="str">
            <v>82007Scratch 1 000</v>
          </cell>
          <cell r="S2573" t="str">
            <v>2007Scratch 1 000</v>
          </cell>
          <cell r="T2573" t="str">
            <v>82007Burtel Macsym</v>
          </cell>
          <cell r="U2573" t="str">
            <v>82007Burtel MacsymScratch 1 000</v>
          </cell>
          <cell r="V2573" t="str">
            <v>39325Scratch 1 000</v>
          </cell>
          <cell r="W2573" t="str">
            <v>2007Burtel Macsym</v>
          </cell>
          <cell r="X2573" t="str">
            <v>2007Burtel MacsymScratch 1 000</v>
          </cell>
        </row>
        <row r="2574">
          <cell r="I2574">
            <v>2007</v>
          </cell>
          <cell r="J2574" t="str">
            <v>CellNets MaliMinutes</v>
          </cell>
          <cell r="L2574">
            <v>1</v>
          </cell>
          <cell r="M2574" t="str">
            <v>1CellNets Mali</v>
          </cell>
          <cell r="N2574" t="str">
            <v>CellNets MaliMinutes</v>
          </cell>
          <cell r="O2574" t="str">
            <v>CellNets Mali</v>
          </cell>
          <cell r="P2574" t="str">
            <v>Minutes</v>
          </cell>
          <cell r="Q2574" t="str">
            <v>82007</v>
          </cell>
          <cell r="R2574" t="str">
            <v>82007Minutes</v>
          </cell>
          <cell r="S2574" t="str">
            <v>2007Minutes</v>
          </cell>
          <cell r="T2574" t="str">
            <v>82007CellNets Mali</v>
          </cell>
          <cell r="U2574" t="str">
            <v>82007CellNets MaliMinutes</v>
          </cell>
          <cell r="V2574" t="str">
            <v>39296Minutes</v>
          </cell>
          <cell r="W2574" t="str">
            <v>2007CellNets Mali</v>
          </cell>
          <cell r="X2574" t="str">
            <v>2007CellNets MaliMinutes</v>
          </cell>
        </row>
        <row r="2575">
          <cell r="I2575">
            <v>2007</v>
          </cell>
          <cell r="J2575" t="str">
            <v>CellNets MaliMinutes</v>
          </cell>
          <cell r="L2575">
            <v>1</v>
          </cell>
          <cell r="M2575" t="str">
            <v>1CellNets Mali</v>
          </cell>
          <cell r="N2575" t="str">
            <v>CellNets MaliMinutes</v>
          </cell>
          <cell r="O2575" t="str">
            <v>CellNets Mali</v>
          </cell>
          <cell r="P2575" t="str">
            <v>Minutes</v>
          </cell>
          <cell r="Q2575" t="str">
            <v>82007</v>
          </cell>
          <cell r="R2575" t="str">
            <v>82007Minutes</v>
          </cell>
          <cell r="S2575" t="str">
            <v>2007Minutes</v>
          </cell>
          <cell r="T2575" t="str">
            <v>82007CellNets Mali</v>
          </cell>
          <cell r="U2575" t="str">
            <v>82007CellNets MaliMinutes</v>
          </cell>
          <cell r="V2575" t="str">
            <v>39303Minutes</v>
          </cell>
          <cell r="W2575" t="str">
            <v>2007CellNets Mali</v>
          </cell>
          <cell r="X2575" t="str">
            <v>2007CellNets MaliMinutes</v>
          </cell>
        </row>
        <row r="2576">
          <cell r="I2576">
            <v>2007</v>
          </cell>
          <cell r="J2576" t="str">
            <v>CellNets MaliMinutes</v>
          </cell>
          <cell r="L2576">
            <v>1</v>
          </cell>
          <cell r="M2576" t="str">
            <v>1CellNets Mali</v>
          </cell>
          <cell r="N2576" t="str">
            <v>CellNets MaliMinutes</v>
          </cell>
          <cell r="O2576" t="str">
            <v>CellNets Mali</v>
          </cell>
          <cell r="P2576" t="str">
            <v>Minutes</v>
          </cell>
          <cell r="Q2576" t="str">
            <v>82007</v>
          </cell>
          <cell r="R2576" t="str">
            <v>82007Minutes</v>
          </cell>
          <cell r="S2576" t="str">
            <v>2007Minutes</v>
          </cell>
          <cell r="T2576" t="str">
            <v>82007CellNets Mali</v>
          </cell>
          <cell r="U2576" t="str">
            <v>82007CellNets MaliMinutes</v>
          </cell>
          <cell r="V2576" t="str">
            <v>39309Minutes</v>
          </cell>
          <cell r="W2576" t="str">
            <v>2007CellNets Mali</v>
          </cell>
          <cell r="X2576" t="str">
            <v>2007CellNets MaliMinutes</v>
          </cell>
        </row>
        <row r="2577">
          <cell r="I2577">
            <v>2007</v>
          </cell>
          <cell r="J2577" t="str">
            <v>CellNets MaliMinutes</v>
          </cell>
          <cell r="L2577">
            <v>1</v>
          </cell>
          <cell r="M2577" t="str">
            <v>1CellNets Mali</v>
          </cell>
          <cell r="N2577" t="str">
            <v>CellNets MaliMinutes</v>
          </cell>
          <cell r="O2577" t="str">
            <v>CellNets Mali</v>
          </cell>
          <cell r="P2577" t="str">
            <v>Minutes</v>
          </cell>
          <cell r="Q2577" t="str">
            <v>82007</v>
          </cell>
          <cell r="R2577" t="str">
            <v>82007Minutes</v>
          </cell>
          <cell r="S2577" t="str">
            <v>2007Minutes</v>
          </cell>
          <cell r="T2577" t="str">
            <v>82007CellNets Mali</v>
          </cell>
          <cell r="U2577" t="str">
            <v>82007CellNets MaliMinutes</v>
          </cell>
          <cell r="V2577" t="str">
            <v>39315Minutes</v>
          </cell>
          <cell r="W2577" t="str">
            <v>2007CellNets Mali</v>
          </cell>
          <cell r="X2577" t="str">
            <v>2007CellNets MaliMinutes</v>
          </cell>
        </row>
        <row r="2578">
          <cell r="I2578">
            <v>2007</v>
          </cell>
          <cell r="J2578" t="str">
            <v>CellNets MaliMinutes</v>
          </cell>
          <cell r="L2578">
            <v>1</v>
          </cell>
          <cell r="M2578" t="str">
            <v>1CellNets Mali</v>
          </cell>
          <cell r="N2578" t="str">
            <v>CellNets MaliMinutes</v>
          </cell>
          <cell r="O2578" t="str">
            <v>CellNets Mali</v>
          </cell>
          <cell r="P2578" t="str">
            <v>Minutes</v>
          </cell>
          <cell r="Q2578" t="str">
            <v>82007</v>
          </cell>
          <cell r="R2578" t="str">
            <v>82007Minutes</v>
          </cell>
          <cell r="S2578" t="str">
            <v>2007Minutes</v>
          </cell>
          <cell r="T2578" t="str">
            <v>82007CellNets Mali</v>
          </cell>
          <cell r="U2578" t="str">
            <v>82007CellNets MaliMinutes</v>
          </cell>
          <cell r="V2578" t="str">
            <v>39325Minutes</v>
          </cell>
          <cell r="W2578" t="str">
            <v>2007CellNets Mali</v>
          </cell>
          <cell r="X2578" t="str">
            <v>2007CellNets MaliMinutes</v>
          </cell>
        </row>
        <row r="2579">
          <cell r="I2579">
            <v>2007</v>
          </cell>
          <cell r="J2579" t="str">
            <v>Grands ComptesVGFU (TTC)</v>
          </cell>
          <cell r="L2579">
            <v>1</v>
          </cell>
          <cell r="M2579" t="str">
            <v>1Grands Comptes</v>
          </cell>
          <cell r="N2579" t="str">
            <v>Grands ComptesVGFU (TTC)</v>
          </cell>
          <cell r="O2579" t="str">
            <v>Grands Comptes</v>
          </cell>
          <cell r="P2579" t="str">
            <v>VGFU (TTC)</v>
          </cell>
          <cell r="Q2579" t="str">
            <v>82007</v>
          </cell>
          <cell r="R2579" t="str">
            <v>82007VGFU (TTC)</v>
          </cell>
          <cell r="S2579" t="str">
            <v>2007VGFU (TTC)</v>
          </cell>
          <cell r="T2579" t="str">
            <v>82007Grands Comptes</v>
          </cell>
          <cell r="U2579" t="str">
            <v>82007Grands ComptesVGFU (TTC)</v>
          </cell>
          <cell r="V2579" t="str">
            <v>39314VGFU (TTC)</v>
          </cell>
          <cell r="W2579" t="str">
            <v>2007Grands Comptes</v>
          </cell>
          <cell r="X2579" t="str">
            <v>2007Grands ComptesVGFU (TTC)</v>
          </cell>
        </row>
        <row r="2580">
          <cell r="I2580">
            <v>2007</v>
          </cell>
          <cell r="J2580" t="str">
            <v>Grands ComptesVGFU (TTC)</v>
          </cell>
          <cell r="L2580">
            <v>1</v>
          </cell>
          <cell r="M2580" t="str">
            <v>1Grands Comptes</v>
          </cell>
          <cell r="N2580" t="str">
            <v>Grands ComptesVGFU (TTC)</v>
          </cell>
          <cell r="O2580" t="str">
            <v>Grands Comptes</v>
          </cell>
          <cell r="P2580" t="str">
            <v>VGFU (TTC)</v>
          </cell>
          <cell r="Q2580" t="str">
            <v>82007</v>
          </cell>
          <cell r="R2580" t="str">
            <v>82007VGFU (TTC)</v>
          </cell>
          <cell r="S2580" t="str">
            <v>2007VGFU (TTC)</v>
          </cell>
          <cell r="T2580" t="str">
            <v>82007Grands Comptes</v>
          </cell>
          <cell r="U2580" t="str">
            <v>82007Grands ComptesVGFU (TTC)</v>
          </cell>
          <cell r="V2580" t="str">
            <v>39314VGFU (TTC)</v>
          </cell>
          <cell r="W2580" t="str">
            <v>2007Grands Comptes</v>
          </cell>
          <cell r="X2580" t="str">
            <v>2007Grands ComptesVGFU (TTC)</v>
          </cell>
        </row>
        <row r="2581">
          <cell r="I2581">
            <v>2007</v>
          </cell>
          <cell r="J2581" t="str">
            <v>Grands ComptesVGFU (TTC)</v>
          </cell>
          <cell r="L2581">
            <v>1</v>
          </cell>
          <cell r="M2581" t="str">
            <v>1Grands Comptes</v>
          </cell>
          <cell r="N2581" t="str">
            <v>Grands ComptesVGFU (TTC)</v>
          </cell>
          <cell r="O2581" t="str">
            <v>Grands Comptes</v>
          </cell>
          <cell r="P2581" t="str">
            <v>VGFU (TTC)</v>
          </cell>
          <cell r="Q2581" t="str">
            <v>82007</v>
          </cell>
          <cell r="R2581" t="str">
            <v>82007VGFU (TTC)</v>
          </cell>
          <cell r="S2581" t="str">
            <v>2007VGFU (TTC)</v>
          </cell>
          <cell r="T2581" t="str">
            <v>82007Grands Comptes</v>
          </cell>
          <cell r="U2581" t="str">
            <v>82007Grands ComptesVGFU (TTC)</v>
          </cell>
          <cell r="V2581" t="str">
            <v>39316VGFU (TTC)</v>
          </cell>
          <cell r="W2581" t="str">
            <v>2007Grands Comptes</v>
          </cell>
          <cell r="X2581" t="str">
            <v>2007Grands ComptesVGFU (TTC)</v>
          </cell>
        </row>
        <row r="2582">
          <cell r="I2582">
            <v>2007</v>
          </cell>
          <cell r="J2582" t="str">
            <v>Grands ComptesVGFU (TTC)</v>
          </cell>
          <cell r="L2582">
            <v>1</v>
          </cell>
          <cell r="M2582" t="str">
            <v>1Grands Comptes</v>
          </cell>
          <cell r="N2582" t="str">
            <v>Grands ComptesVGFU (TTC)</v>
          </cell>
          <cell r="O2582" t="str">
            <v>Grands Comptes</v>
          </cell>
          <cell r="P2582" t="str">
            <v>VGFU (TTC)</v>
          </cell>
          <cell r="Q2582" t="str">
            <v>82007</v>
          </cell>
          <cell r="R2582" t="str">
            <v>82007VGFU (TTC)</v>
          </cell>
          <cell r="S2582" t="str">
            <v>2007VGFU (TTC)</v>
          </cell>
          <cell r="T2582" t="str">
            <v>82007Grands Comptes</v>
          </cell>
          <cell r="U2582" t="str">
            <v>82007Grands ComptesVGFU (TTC)</v>
          </cell>
          <cell r="V2582" t="str">
            <v>39316VGFU (TTC)</v>
          </cell>
          <cell r="W2582" t="str">
            <v>2007Grands Comptes</v>
          </cell>
          <cell r="X2582" t="str">
            <v>2007Grands ComptesVGFU (TTC)</v>
          </cell>
        </row>
        <row r="2583">
          <cell r="I2583">
            <v>2007</v>
          </cell>
          <cell r="J2583" t="str">
            <v>Grands ComptesVGFU (TTC)</v>
          </cell>
          <cell r="L2583">
            <v>1</v>
          </cell>
          <cell r="M2583" t="str">
            <v>1Grands Comptes</v>
          </cell>
          <cell r="N2583" t="str">
            <v>Grands ComptesVGFU (TTC)</v>
          </cell>
          <cell r="O2583" t="str">
            <v>Grands Comptes</v>
          </cell>
          <cell r="P2583" t="str">
            <v>VGFU (TTC)</v>
          </cell>
          <cell r="Q2583" t="str">
            <v>82007</v>
          </cell>
          <cell r="R2583" t="str">
            <v>82007VGFU (TTC)</v>
          </cell>
          <cell r="S2583" t="str">
            <v>2007VGFU (TTC)</v>
          </cell>
          <cell r="T2583" t="str">
            <v>82007Grands Comptes</v>
          </cell>
          <cell r="U2583" t="str">
            <v>82007Grands ComptesVGFU (TTC)</v>
          </cell>
          <cell r="V2583" t="str">
            <v>39316VGFU (TTC)</v>
          </cell>
          <cell r="W2583" t="str">
            <v>2007Grands Comptes</v>
          </cell>
          <cell r="X2583" t="str">
            <v>2007Grands ComptesVGFU (TTC)</v>
          </cell>
        </row>
        <row r="2584">
          <cell r="I2584">
            <v>2007</v>
          </cell>
          <cell r="J2584" t="str">
            <v>Grands ComptesVGFU (TTC)</v>
          </cell>
          <cell r="L2584">
            <v>1</v>
          </cell>
          <cell r="M2584" t="str">
            <v>1Grands Comptes</v>
          </cell>
          <cell r="N2584" t="str">
            <v>Grands ComptesVGFU (TTC)</v>
          </cell>
          <cell r="O2584" t="str">
            <v>Grands Comptes</v>
          </cell>
          <cell r="P2584" t="str">
            <v>VGFU (TTC)</v>
          </cell>
          <cell r="Q2584" t="str">
            <v>82007</v>
          </cell>
          <cell r="R2584" t="str">
            <v>82007VGFU (TTC)</v>
          </cell>
          <cell r="S2584" t="str">
            <v>2007VGFU (TTC)</v>
          </cell>
          <cell r="T2584" t="str">
            <v>82007Grands Comptes</v>
          </cell>
          <cell r="U2584" t="str">
            <v>82007Grands ComptesVGFU (TTC)</v>
          </cell>
          <cell r="V2584" t="str">
            <v>39316VGFU (TTC)</v>
          </cell>
          <cell r="W2584" t="str">
            <v>2007Grands Comptes</v>
          </cell>
          <cell r="X2584" t="str">
            <v>2007Grands ComptesVGFU (TTC)</v>
          </cell>
        </row>
        <row r="2585">
          <cell r="I2585">
            <v>2007</v>
          </cell>
          <cell r="J2585" t="str">
            <v>Ets Mamadou GAMBYScratch 20 000</v>
          </cell>
          <cell r="L2585">
            <v>1</v>
          </cell>
          <cell r="M2585" t="str">
            <v>1Ets Mamadou GAMBY</v>
          </cell>
          <cell r="N2585" t="str">
            <v>Ets Mamadou GAMBYScratch 20 000</v>
          </cell>
          <cell r="O2585" t="str">
            <v>Ets Mamadou GAMBY</v>
          </cell>
          <cell r="P2585" t="str">
            <v>Scratch 20 000</v>
          </cell>
          <cell r="Q2585" t="str">
            <v>92007</v>
          </cell>
          <cell r="R2585" t="str">
            <v>92007Scratch 20 000</v>
          </cell>
          <cell r="S2585" t="str">
            <v>2007Scratch 20 000</v>
          </cell>
          <cell r="T2585" t="str">
            <v>92007Ets Mamadou GAMBY</v>
          </cell>
          <cell r="U2585" t="str">
            <v>92007Ets Mamadou GAMBYScratch 20 000</v>
          </cell>
          <cell r="V2585" t="str">
            <v>39328Scratch 20 000</v>
          </cell>
          <cell r="W2585" t="str">
            <v>2007Ets Mamadou GAMBY</v>
          </cell>
          <cell r="X2585" t="str">
            <v>2007Ets Mamadou GAMBYScratch 20 000</v>
          </cell>
        </row>
        <row r="2586">
          <cell r="I2586">
            <v>2007</v>
          </cell>
          <cell r="J2586" t="str">
            <v>Ets Mamadou GAMBYScratch 2 000</v>
          </cell>
          <cell r="L2586">
            <v>0</v>
          </cell>
          <cell r="M2586" t="str">
            <v>Ets Mamadou GAMBY</v>
          </cell>
          <cell r="N2586" t="str">
            <v>Ets Mamadou GAMBYScratch 2 000</v>
          </cell>
          <cell r="O2586" t="str">
            <v>Ets Mamadou GAMBY</v>
          </cell>
          <cell r="P2586" t="str">
            <v>Scratch 2 000</v>
          </cell>
          <cell r="Q2586" t="str">
            <v>92007</v>
          </cell>
          <cell r="R2586" t="str">
            <v>92007Scratch 2 000</v>
          </cell>
          <cell r="S2586" t="str">
            <v>2007Scratch 2 000</v>
          </cell>
          <cell r="T2586" t="str">
            <v>92007Ets Mamadou GAMBY</v>
          </cell>
          <cell r="U2586" t="str">
            <v>92007Ets Mamadou GAMBYScratch 2 000</v>
          </cell>
          <cell r="V2586" t="str">
            <v>39328Scratch 2 000</v>
          </cell>
          <cell r="W2586" t="str">
            <v>2007Ets Mamadou GAMBY</v>
          </cell>
          <cell r="X2586" t="str">
            <v>2007Ets Mamadou GAMBYScratch 2 000</v>
          </cell>
        </row>
        <row r="2587">
          <cell r="I2587">
            <v>2007</v>
          </cell>
          <cell r="J2587" t="str">
            <v>Ets Mamadou GAMBYScratch 1 000</v>
          </cell>
          <cell r="L2587">
            <v>0</v>
          </cell>
          <cell r="M2587" t="str">
            <v>Ets Mamadou GAMBY</v>
          </cell>
          <cell r="N2587" t="str">
            <v>Ets Mamadou GAMBYScratch 1 000</v>
          </cell>
          <cell r="O2587" t="str">
            <v>Ets Mamadou GAMBY</v>
          </cell>
          <cell r="P2587" t="str">
            <v>Scratch 1 000</v>
          </cell>
          <cell r="Q2587" t="str">
            <v>92007</v>
          </cell>
          <cell r="R2587" t="str">
            <v>92007Scratch 1 000</v>
          </cell>
          <cell r="S2587" t="str">
            <v>2007Scratch 1 000</v>
          </cell>
          <cell r="T2587" t="str">
            <v>92007Ets Mamadou GAMBY</v>
          </cell>
          <cell r="U2587" t="str">
            <v>92007Ets Mamadou GAMBYScratch 1 000</v>
          </cell>
          <cell r="V2587" t="str">
            <v>39328Scratch 1 000</v>
          </cell>
          <cell r="W2587" t="str">
            <v>2007Ets Mamadou GAMBY</v>
          </cell>
          <cell r="X2587" t="str">
            <v>2007Ets Mamadou GAMBYScratch 1 000</v>
          </cell>
        </row>
        <row r="2588">
          <cell r="I2588">
            <v>2007</v>
          </cell>
          <cell r="J2588" t="str">
            <v>Ets Mamadou GAMBYScratch 5 000</v>
          </cell>
          <cell r="L2588">
            <v>0</v>
          </cell>
          <cell r="M2588" t="str">
            <v>Ets Mamadou GAMBY</v>
          </cell>
          <cell r="N2588" t="str">
            <v>Ets Mamadou GAMBYScratch 5 000</v>
          </cell>
          <cell r="O2588" t="str">
            <v>Ets Mamadou GAMBY</v>
          </cell>
          <cell r="P2588" t="str">
            <v>Scratch 5 000</v>
          </cell>
          <cell r="Q2588" t="str">
            <v>92007</v>
          </cell>
          <cell r="R2588" t="str">
            <v>92007Scratch 5 000</v>
          </cell>
          <cell r="S2588" t="str">
            <v>2007Scratch 5 000</v>
          </cell>
          <cell r="T2588" t="str">
            <v>92007Ets Mamadou GAMBY</v>
          </cell>
          <cell r="U2588" t="str">
            <v>92007Ets Mamadou GAMBYScratch 5 000</v>
          </cell>
          <cell r="V2588" t="str">
            <v>39328Scratch 5 000</v>
          </cell>
          <cell r="W2588" t="str">
            <v>2007Ets Mamadou GAMBY</v>
          </cell>
          <cell r="X2588" t="str">
            <v>2007Ets Mamadou GAMBYScratch 5 000</v>
          </cell>
        </row>
        <row r="2589">
          <cell r="I2589">
            <v>2007</v>
          </cell>
          <cell r="J2589" t="str">
            <v>Burtel MacsymScratch 5 000</v>
          </cell>
          <cell r="L2589">
            <v>1</v>
          </cell>
          <cell r="M2589" t="str">
            <v>1Burtel Macsym</v>
          </cell>
          <cell r="N2589" t="str">
            <v>Burtel MacsymScratch 5 000</v>
          </cell>
          <cell r="O2589" t="str">
            <v>Burtel Macsym</v>
          </cell>
          <cell r="P2589" t="str">
            <v>Scratch 5 000</v>
          </cell>
          <cell r="Q2589" t="str">
            <v>92007</v>
          </cell>
          <cell r="R2589" t="str">
            <v>92007Scratch 5 000</v>
          </cell>
          <cell r="S2589" t="str">
            <v>2007Scratch 5 000</v>
          </cell>
          <cell r="T2589" t="str">
            <v>92007Burtel Macsym</v>
          </cell>
          <cell r="U2589" t="str">
            <v>92007Burtel MacsymScratch 5 000</v>
          </cell>
          <cell r="V2589" t="str">
            <v>39328Scratch 5 000</v>
          </cell>
          <cell r="W2589" t="str">
            <v>2007Burtel Macsym</v>
          </cell>
          <cell r="X2589" t="str">
            <v>2007Burtel MacsymScratch 5 000</v>
          </cell>
        </row>
        <row r="2590">
          <cell r="I2590">
            <v>2007</v>
          </cell>
          <cell r="J2590" t="str">
            <v>Burtel MacsymScratch 2 000</v>
          </cell>
          <cell r="L2590">
            <v>0</v>
          </cell>
          <cell r="M2590" t="str">
            <v>Burtel Macsym</v>
          </cell>
          <cell r="N2590" t="str">
            <v>Burtel MacsymScratch 2 000</v>
          </cell>
          <cell r="O2590" t="str">
            <v>Burtel Macsym</v>
          </cell>
          <cell r="P2590" t="str">
            <v>Scratch 2 000</v>
          </cell>
          <cell r="Q2590" t="str">
            <v>92007</v>
          </cell>
          <cell r="R2590" t="str">
            <v>92007Scratch 2 000</v>
          </cell>
          <cell r="S2590" t="str">
            <v>2007Scratch 2 000</v>
          </cell>
          <cell r="T2590" t="str">
            <v>92007Burtel Macsym</v>
          </cell>
          <cell r="U2590" t="str">
            <v>92007Burtel MacsymScratch 2 000</v>
          </cell>
          <cell r="V2590" t="str">
            <v>39328Scratch 2 000</v>
          </cell>
          <cell r="W2590" t="str">
            <v>2007Burtel Macsym</v>
          </cell>
          <cell r="X2590" t="str">
            <v>2007Burtel MacsymScratch 2 000</v>
          </cell>
        </row>
        <row r="2591">
          <cell r="I2591">
            <v>2007</v>
          </cell>
          <cell r="J2591" t="str">
            <v>Burtel MacsymScratch 1 000</v>
          </cell>
          <cell r="L2591">
            <v>0</v>
          </cell>
          <cell r="M2591" t="str">
            <v>Burtel Macsym</v>
          </cell>
          <cell r="N2591" t="str">
            <v>Burtel MacsymScratch 1 000</v>
          </cell>
          <cell r="O2591" t="str">
            <v>Burtel Macsym</v>
          </cell>
          <cell r="P2591" t="str">
            <v>Scratch 1 000</v>
          </cell>
          <cell r="Q2591" t="str">
            <v>92007</v>
          </cell>
          <cell r="R2591" t="str">
            <v>92007Scratch 1 000</v>
          </cell>
          <cell r="S2591" t="str">
            <v>2007Scratch 1 000</v>
          </cell>
          <cell r="T2591" t="str">
            <v>92007Burtel Macsym</v>
          </cell>
          <cell r="U2591" t="str">
            <v>92007Burtel MacsymScratch 1 000</v>
          </cell>
          <cell r="V2591" t="str">
            <v>39328Scratch 1 000</v>
          </cell>
          <cell r="W2591" t="str">
            <v>2007Burtel Macsym</v>
          </cell>
          <cell r="X2591" t="str">
            <v>2007Burtel MacsymScratch 1 000</v>
          </cell>
        </row>
        <row r="2592">
          <cell r="I2592">
            <v>2007</v>
          </cell>
          <cell r="J2592" t="str">
            <v>Compagnie Internationale de NegoceScratch 10 000</v>
          </cell>
          <cell r="L2592">
            <v>1</v>
          </cell>
          <cell r="M2592" t="str">
            <v>1Compagnie Internationale de Negoce</v>
          </cell>
          <cell r="N2592" t="str">
            <v>Compagnie Internationale de NegoceScratch 10 000</v>
          </cell>
          <cell r="O2592" t="str">
            <v>Compagnie Internationale de Negoce</v>
          </cell>
          <cell r="P2592" t="str">
            <v>Scratch 10 000</v>
          </cell>
          <cell r="Q2592" t="str">
            <v>92007</v>
          </cell>
          <cell r="R2592" t="str">
            <v>92007Scratch 10 000</v>
          </cell>
          <cell r="S2592" t="str">
            <v>2007Scratch 10 000</v>
          </cell>
          <cell r="T2592" t="str">
            <v>92007Compagnie Internationale de Negoce</v>
          </cell>
          <cell r="U2592" t="str">
            <v>92007Compagnie Internationale de NegoceScratch 10 000</v>
          </cell>
          <cell r="V2592" t="str">
            <v>39328Scratch 10 000</v>
          </cell>
          <cell r="W2592" t="str">
            <v>2007Compagnie Internationale de Negoce</v>
          </cell>
          <cell r="X2592" t="str">
            <v>2007Compagnie Internationale de NegoceScratch 10 000</v>
          </cell>
        </row>
        <row r="2593">
          <cell r="I2593">
            <v>2007</v>
          </cell>
          <cell r="J2593" t="str">
            <v>Compagnie Internationale de NegoceScratch 5 000</v>
          </cell>
          <cell r="L2593">
            <v>0</v>
          </cell>
          <cell r="M2593" t="str">
            <v>Compagnie Internationale de Negoce</v>
          </cell>
          <cell r="N2593" t="str">
            <v>Compagnie Internationale de NegoceScratch 5 000</v>
          </cell>
          <cell r="O2593" t="str">
            <v>Compagnie Internationale de Negoce</v>
          </cell>
          <cell r="P2593" t="str">
            <v>Scratch 5 000</v>
          </cell>
          <cell r="Q2593" t="str">
            <v>92007</v>
          </cell>
          <cell r="R2593" t="str">
            <v>92007Scratch 5 000</v>
          </cell>
          <cell r="S2593" t="str">
            <v>2007Scratch 5 000</v>
          </cell>
          <cell r="T2593" t="str">
            <v>92007Compagnie Internationale de Negoce</v>
          </cell>
          <cell r="U2593" t="str">
            <v>92007Compagnie Internationale de NegoceScratch 5 000</v>
          </cell>
          <cell r="V2593" t="str">
            <v>39328Scratch 5 000</v>
          </cell>
          <cell r="W2593" t="str">
            <v>2007Compagnie Internationale de Negoce</v>
          </cell>
          <cell r="X2593" t="str">
            <v>2007Compagnie Internationale de NegoceScratch 5 000</v>
          </cell>
        </row>
        <row r="2594">
          <cell r="I2594">
            <v>2007</v>
          </cell>
          <cell r="J2594" t="str">
            <v>Compagnie Internationale de NegoceScratch 2 000</v>
          </cell>
          <cell r="L2594">
            <v>0</v>
          </cell>
          <cell r="M2594" t="str">
            <v>Compagnie Internationale de Negoce</v>
          </cell>
          <cell r="N2594" t="str">
            <v>Compagnie Internationale de NegoceScratch 2 000</v>
          </cell>
          <cell r="O2594" t="str">
            <v>Compagnie Internationale de Negoce</v>
          </cell>
          <cell r="P2594" t="str">
            <v>Scratch 2 000</v>
          </cell>
          <cell r="Q2594" t="str">
            <v>92007</v>
          </cell>
          <cell r="R2594" t="str">
            <v>92007Scratch 2 000</v>
          </cell>
          <cell r="S2594" t="str">
            <v>2007Scratch 2 000</v>
          </cell>
          <cell r="T2594" t="str">
            <v>92007Compagnie Internationale de Negoce</v>
          </cell>
          <cell r="U2594" t="str">
            <v>92007Compagnie Internationale de NegoceScratch 2 000</v>
          </cell>
          <cell r="V2594" t="str">
            <v>39328Scratch 2 000</v>
          </cell>
          <cell r="W2594" t="str">
            <v>2007Compagnie Internationale de Negoce</v>
          </cell>
          <cell r="X2594" t="str">
            <v>2007Compagnie Internationale de NegoceScratch 2 000</v>
          </cell>
        </row>
        <row r="2595">
          <cell r="I2595">
            <v>2007</v>
          </cell>
          <cell r="J2595" t="str">
            <v>Compagnie Internationale de NegoceScratch 1 000</v>
          </cell>
          <cell r="L2595">
            <v>0</v>
          </cell>
          <cell r="M2595" t="str">
            <v>Compagnie Internationale de Negoce</v>
          </cell>
          <cell r="N2595" t="str">
            <v>Compagnie Internationale de NegoceScratch 1 000</v>
          </cell>
          <cell r="O2595" t="str">
            <v>Compagnie Internationale de Negoce</v>
          </cell>
          <cell r="P2595" t="str">
            <v>Scratch 1 000</v>
          </cell>
          <cell r="Q2595" t="str">
            <v>92007</v>
          </cell>
          <cell r="R2595" t="str">
            <v>92007Scratch 1 000</v>
          </cell>
          <cell r="S2595" t="str">
            <v>2007Scratch 1 000</v>
          </cell>
          <cell r="T2595" t="str">
            <v>92007Compagnie Internationale de Negoce</v>
          </cell>
          <cell r="U2595" t="str">
            <v>92007Compagnie Internationale de NegoceScratch 1 000</v>
          </cell>
          <cell r="V2595" t="str">
            <v>39328Scratch 1 000</v>
          </cell>
          <cell r="W2595" t="str">
            <v>2007Compagnie Internationale de Negoce</v>
          </cell>
          <cell r="X2595" t="str">
            <v>2007Compagnie Internationale de NegoceScratch 1 000</v>
          </cell>
        </row>
        <row r="2596">
          <cell r="I2596">
            <v>2007</v>
          </cell>
          <cell r="J2596" t="str">
            <v>Burtel MacsymScratch 5 000</v>
          </cell>
          <cell r="L2596">
            <v>1</v>
          </cell>
          <cell r="M2596" t="str">
            <v>1Burtel Macsym</v>
          </cell>
          <cell r="N2596" t="str">
            <v>Burtel MacsymScratch 5 000</v>
          </cell>
          <cell r="O2596" t="str">
            <v>Burtel Macsym</v>
          </cell>
          <cell r="P2596" t="str">
            <v>Scratch 5 000</v>
          </cell>
          <cell r="Q2596" t="str">
            <v>92007</v>
          </cell>
          <cell r="R2596" t="str">
            <v>92007Scratch 5 000</v>
          </cell>
          <cell r="S2596" t="str">
            <v>2007Scratch 5 000</v>
          </cell>
          <cell r="T2596" t="str">
            <v>92007Burtel Macsym</v>
          </cell>
          <cell r="U2596" t="str">
            <v>92007Burtel MacsymScratch 5 000</v>
          </cell>
          <cell r="V2596" t="str">
            <v>39328Scratch 5 000</v>
          </cell>
          <cell r="W2596" t="str">
            <v>2007Burtel Macsym</v>
          </cell>
          <cell r="X2596" t="str">
            <v>2007Burtel MacsymScratch 5 000</v>
          </cell>
        </row>
        <row r="2597">
          <cell r="I2597">
            <v>2007</v>
          </cell>
          <cell r="J2597" t="str">
            <v>Burtel MacsymScratch 2 000</v>
          </cell>
          <cell r="L2597">
            <v>0</v>
          </cell>
          <cell r="M2597" t="str">
            <v>Burtel Macsym</v>
          </cell>
          <cell r="N2597" t="str">
            <v>Burtel MacsymScratch 2 000</v>
          </cell>
          <cell r="O2597" t="str">
            <v>Burtel Macsym</v>
          </cell>
          <cell r="P2597" t="str">
            <v>Scratch 2 000</v>
          </cell>
          <cell r="Q2597" t="str">
            <v>92007</v>
          </cell>
          <cell r="R2597" t="str">
            <v>92007Scratch 2 000</v>
          </cell>
          <cell r="S2597" t="str">
            <v>2007Scratch 2 000</v>
          </cell>
          <cell r="T2597" t="str">
            <v>92007Burtel Macsym</v>
          </cell>
          <cell r="U2597" t="str">
            <v>92007Burtel MacsymScratch 2 000</v>
          </cell>
          <cell r="V2597" t="str">
            <v>39328Scratch 2 000</v>
          </cell>
          <cell r="W2597" t="str">
            <v>2007Burtel Macsym</v>
          </cell>
          <cell r="X2597" t="str">
            <v>2007Burtel MacsymScratch 2 000</v>
          </cell>
        </row>
        <row r="2598">
          <cell r="I2598">
            <v>2007</v>
          </cell>
          <cell r="J2598" t="str">
            <v>Burtel MacsymScratch 1 000</v>
          </cell>
          <cell r="L2598">
            <v>0</v>
          </cell>
          <cell r="M2598" t="str">
            <v>Burtel Macsym</v>
          </cell>
          <cell r="N2598" t="str">
            <v>Burtel MacsymScratch 1 000</v>
          </cell>
          <cell r="O2598" t="str">
            <v>Burtel Macsym</v>
          </cell>
          <cell r="P2598" t="str">
            <v>Scratch 1 000</v>
          </cell>
          <cell r="Q2598" t="str">
            <v>92007</v>
          </cell>
          <cell r="R2598" t="str">
            <v>92007Scratch 1 000</v>
          </cell>
          <cell r="S2598" t="str">
            <v>2007Scratch 1 000</v>
          </cell>
          <cell r="T2598" t="str">
            <v>92007Burtel Macsym</v>
          </cell>
          <cell r="U2598" t="str">
            <v>92007Burtel MacsymScratch 1 000</v>
          </cell>
          <cell r="V2598" t="str">
            <v>39328Scratch 1 000</v>
          </cell>
          <cell r="W2598" t="str">
            <v>2007Burtel Macsym</v>
          </cell>
          <cell r="X2598" t="str">
            <v>2007Burtel MacsymScratch 1 000</v>
          </cell>
        </row>
        <row r="2599">
          <cell r="I2599">
            <v>2007</v>
          </cell>
          <cell r="J2599" t="str">
            <v>Burtel MacsymScratch 20 000</v>
          </cell>
          <cell r="L2599">
            <v>1</v>
          </cell>
          <cell r="M2599" t="str">
            <v>1Burtel Macsym</v>
          </cell>
          <cell r="N2599" t="str">
            <v>Burtel MacsymScratch 20 000</v>
          </cell>
          <cell r="O2599" t="str">
            <v>Burtel Macsym</v>
          </cell>
          <cell r="P2599" t="str">
            <v>Scratch 20 000</v>
          </cell>
          <cell r="Q2599" t="str">
            <v>92007</v>
          </cell>
          <cell r="R2599" t="str">
            <v>92007Scratch 20 000</v>
          </cell>
          <cell r="S2599" t="str">
            <v>2007Scratch 20 000</v>
          </cell>
          <cell r="T2599" t="str">
            <v>92007Burtel Macsym</v>
          </cell>
          <cell r="U2599" t="str">
            <v>92007Burtel MacsymScratch 20 000</v>
          </cell>
          <cell r="V2599" t="str">
            <v>39328Scratch 20 000</v>
          </cell>
          <cell r="W2599" t="str">
            <v>2007Burtel Macsym</v>
          </cell>
          <cell r="X2599" t="str">
            <v>2007Burtel MacsymScratch 20 000</v>
          </cell>
        </row>
        <row r="2600">
          <cell r="I2600">
            <v>2007</v>
          </cell>
          <cell r="J2600" t="str">
            <v>Burtel MacsymScratch 5 000</v>
          </cell>
          <cell r="L2600">
            <v>0</v>
          </cell>
          <cell r="M2600" t="str">
            <v>Burtel Macsym</v>
          </cell>
          <cell r="N2600" t="str">
            <v>Burtel MacsymScratch 5 000</v>
          </cell>
          <cell r="O2600" t="str">
            <v>Burtel Macsym</v>
          </cell>
          <cell r="P2600" t="str">
            <v>Scratch 5 000</v>
          </cell>
          <cell r="Q2600" t="str">
            <v>92007</v>
          </cell>
          <cell r="R2600" t="str">
            <v>92007Scratch 5 000</v>
          </cell>
          <cell r="S2600" t="str">
            <v>2007Scratch 5 000</v>
          </cell>
          <cell r="T2600" t="str">
            <v>92007Burtel Macsym</v>
          </cell>
          <cell r="U2600" t="str">
            <v>92007Burtel MacsymScratch 5 000</v>
          </cell>
          <cell r="V2600" t="str">
            <v>39328Scratch 5 000</v>
          </cell>
          <cell r="W2600" t="str">
            <v>2007Burtel Macsym</v>
          </cell>
          <cell r="X2600" t="str">
            <v>2007Burtel MacsymScratch 5 000</v>
          </cell>
        </row>
        <row r="2601">
          <cell r="I2601">
            <v>2007</v>
          </cell>
          <cell r="J2601" t="str">
            <v>Burtel MacsymScratch 2 000</v>
          </cell>
          <cell r="L2601">
            <v>0</v>
          </cell>
          <cell r="M2601" t="str">
            <v>Burtel Macsym</v>
          </cell>
          <cell r="N2601" t="str">
            <v>Burtel MacsymScratch 2 000</v>
          </cell>
          <cell r="O2601" t="str">
            <v>Burtel Macsym</v>
          </cell>
          <cell r="P2601" t="str">
            <v>Scratch 2 000</v>
          </cell>
          <cell r="Q2601" t="str">
            <v>92007</v>
          </cell>
          <cell r="R2601" t="str">
            <v>92007Scratch 2 000</v>
          </cell>
          <cell r="S2601" t="str">
            <v>2007Scratch 2 000</v>
          </cell>
          <cell r="T2601" t="str">
            <v>92007Burtel Macsym</v>
          </cell>
          <cell r="U2601" t="str">
            <v>92007Burtel MacsymScratch 2 000</v>
          </cell>
          <cell r="V2601" t="str">
            <v>39328Scratch 2 000</v>
          </cell>
          <cell r="W2601" t="str">
            <v>2007Burtel Macsym</v>
          </cell>
          <cell r="X2601" t="str">
            <v>2007Burtel MacsymScratch 2 000</v>
          </cell>
        </row>
        <row r="2602">
          <cell r="I2602">
            <v>2007</v>
          </cell>
          <cell r="J2602" t="str">
            <v>Burtel MacsymScratch 1 000</v>
          </cell>
          <cell r="L2602">
            <v>0</v>
          </cell>
          <cell r="M2602" t="str">
            <v>Burtel Macsym</v>
          </cell>
          <cell r="N2602" t="str">
            <v>Burtel MacsymScratch 1 000</v>
          </cell>
          <cell r="O2602" t="str">
            <v>Burtel Macsym</v>
          </cell>
          <cell r="P2602" t="str">
            <v>Scratch 1 000</v>
          </cell>
          <cell r="Q2602" t="str">
            <v>92007</v>
          </cell>
          <cell r="R2602" t="str">
            <v>92007Scratch 1 000</v>
          </cell>
          <cell r="S2602" t="str">
            <v>2007Scratch 1 000</v>
          </cell>
          <cell r="T2602" t="str">
            <v>92007Burtel Macsym</v>
          </cell>
          <cell r="U2602" t="str">
            <v>92007Burtel MacsymScratch 1 000</v>
          </cell>
          <cell r="V2602" t="str">
            <v>39328Scratch 1 000</v>
          </cell>
          <cell r="W2602" t="str">
            <v>2007Burtel Macsym</v>
          </cell>
          <cell r="X2602" t="str">
            <v>2007Burtel MacsymScratch 1 000</v>
          </cell>
        </row>
        <row r="2603">
          <cell r="I2603">
            <v>2007</v>
          </cell>
          <cell r="J2603" t="str">
            <v>MALI COM SarlScratch 20 000</v>
          </cell>
          <cell r="L2603">
            <v>1</v>
          </cell>
          <cell r="M2603" t="str">
            <v>1MALI COM Sarl</v>
          </cell>
          <cell r="N2603" t="str">
            <v>MALI COM SarlScratch 20 000</v>
          </cell>
          <cell r="O2603" t="str">
            <v>MALI COM Sarl</v>
          </cell>
          <cell r="P2603" t="str">
            <v>Scratch 20 000</v>
          </cell>
          <cell r="Q2603" t="str">
            <v>92007</v>
          </cell>
          <cell r="R2603" t="str">
            <v>92007Scratch 20 000</v>
          </cell>
          <cell r="S2603" t="str">
            <v>2007Scratch 20 000</v>
          </cell>
          <cell r="T2603" t="str">
            <v>92007MALI COM Sarl</v>
          </cell>
          <cell r="U2603" t="str">
            <v>92007MALI COM SarlScratch 20 000</v>
          </cell>
          <cell r="V2603" t="str">
            <v>39329Scratch 20 000</v>
          </cell>
          <cell r="W2603" t="str">
            <v>2007MALI COM Sarl</v>
          </cell>
          <cell r="X2603" t="str">
            <v>2007MALI COM SarlScratch 20 000</v>
          </cell>
        </row>
        <row r="2604">
          <cell r="I2604">
            <v>2007</v>
          </cell>
          <cell r="J2604" t="str">
            <v>MALI COM SarlScratch 5 000</v>
          </cell>
          <cell r="L2604">
            <v>0</v>
          </cell>
          <cell r="M2604" t="str">
            <v>MALI COM Sarl</v>
          </cell>
          <cell r="N2604" t="str">
            <v>MALI COM SarlScratch 5 000</v>
          </cell>
          <cell r="O2604" t="str">
            <v>MALI COM Sarl</v>
          </cell>
          <cell r="P2604" t="str">
            <v>Scratch 5 000</v>
          </cell>
          <cell r="Q2604" t="str">
            <v>92007</v>
          </cell>
          <cell r="R2604" t="str">
            <v>92007Scratch 5 000</v>
          </cell>
          <cell r="S2604" t="str">
            <v>2007Scratch 5 000</v>
          </cell>
          <cell r="T2604" t="str">
            <v>92007MALI COM Sarl</v>
          </cell>
          <cell r="U2604" t="str">
            <v>92007MALI COM SarlScratch 5 000</v>
          </cell>
          <cell r="V2604" t="str">
            <v>39329Scratch 5 000</v>
          </cell>
          <cell r="W2604" t="str">
            <v>2007MALI COM Sarl</v>
          </cell>
          <cell r="X2604" t="str">
            <v>2007MALI COM SarlScratch 5 000</v>
          </cell>
        </row>
        <row r="2605">
          <cell r="I2605">
            <v>2007</v>
          </cell>
          <cell r="J2605" t="str">
            <v>MALI COM SarlScratch 2 000</v>
          </cell>
          <cell r="L2605">
            <v>0</v>
          </cell>
          <cell r="M2605" t="str">
            <v>MALI COM Sarl</v>
          </cell>
          <cell r="N2605" t="str">
            <v>MALI COM SarlScratch 2 000</v>
          </cell>
          <cell r="O2605" t="str">
            <v>MALI COM Sarl</v>
          </cell>
          <cell r="P2605" t="str">
            <v>Scratch 2 000</v>
          </cell>
          <cell r="Q2605" t="str">
            <v>92007</v>
          </cell>
          <cell r="R2605" t="str">
            <v>92007Scratch 2 000</v>
          </cell>
          <cell r="S2605" t="str">
            <v>2007Scratch 2 000</v>
          </cell>
          <cell r="T2605" t="str">
            <v>92007MALI COM Sarl</v>
          </cell>
          <cell r="U2605" t="str">
            <v>92007MALI COM SarlScratch 2 000</v>
          </cell>
          <cell r="V2605" t="str">
            <v>39329Scratch 2 000</v>
          </cell>
          <cell r="W2605" t="str">
            <v>2007MALI COM Sarl</v>
          </cell>
          <cell r="X2605" t="str">
            <v>2007MALI COM SarlScratch 2 000</v>
          </cell>
        </row>
        <row r="2606">
          <cell r="I2606">
            <v>2007</v>
          </cell>
          <cell r="J2606" t="str">
            <v>MALI COM SarlScratch 1 000</v>
          </cell>
          <cell r="L2606">
            <v>0</v>
          </cell>
          <cell r="M2606" t="str">
            <v>MALI COM Sarl</v>
          </cell>
          <cell r="N2606" t="str">
            <v>MALI COM SarlScratch 1 000</v>
          </cell>
          <cell r="O2606" t="str">
            <v>MALI COM Sarl</v>
          </cell>
          <cell r="P2606" t="str">
            <v>Scratch 1 000</v>
          </cell>
          <cell r="Q2606" t="str">
            <v>92007</v>
          </cell>
          <cell r="R2606" t="str">
            <v>92007Scratch 1 000</v>
          </cell>
          <cell r="S2606" t="str">
            <v>2007Scratch 1 000</v>
          </cell>
          <cell r="T2606" t="str">
            <v>92007MALI COM Sarl</v>
          </cell>
          <cell r="U2606" t="str">
            <v>92007MALI COM SarlScratch 1 000</v>
          </cell>
          <cell r="V2606" t="str">
            <v>39329Scratch 1 000</v>
          </cell>
          <cell r="W2606" t="str">
            <v>2007MALI COM Sarl</v>
          </cell>
          <cell r="X2606" t="str">
            <v>2007MALI COM SarlScratch 1 000</v>
          </cell>
        </row>
        <row r="2607">
          <cell r="I2607">
            <v>2007</v>
          </cell>
          <cell r="J2607" t="str">
            <v>Soleil LevantScratch 20 000</v>
          </cell>
          <cell r="L2607">
            <v>1</v>
          </cell>
          <cell r="M2607" t="str">
            <v>1Soleil Levant</v>
          </cell>
          <cell r="N2607" t="str">
            <v>Soleil LevantScratch 20 000</v>
          </cell>
          <cell r="O2607" t="str">
            <v>Soleil Levant</v>
          </cell>
          <cell r="P2607" t="str">
            <v>Scratch 20 000</v>
          </cell>
          <cell r="Q2607" t="str">
            <v>92007</v>
          </cell>
          <cell r="R2607" t="str">
            <v>92007Scratch 20 000</v>
          </cell>
          <cell r="S2607" t="str">
            <v>2007Scratch 20 000</v>
          </cell>
          <cell r="T2607" t="str">
            <v>92007Soleil Levant</v>
          </cell>
          <cell r="U2607" t="str">
            <v>92007Soleil LevantScratch 20 000</v>
          </cell>
          <cell r="V2607" t="str">
            <v>39329Scratch 20 000</v>
          </cell>
          <cell r="W2607" t="str">
            <v>2007Soleil Levant</v>
          </cell>
          <cell r="X2607" t="str">
            <v>2007Soleil LevantScratch 20 000</v>
          </cell>
        </row>
        <row r="2608">
          <cell r="I2608">
            <v>2007</v>
          </cell>
          <cell r="J2608" t="str">
            <v>Soleil LevantScratch 10 000</v>
          </cell>
          <cell r="L2608">
            <v>0</v>
          </cell>
          <cell r="M2608" t="str">
            <v>Soleil Levant</v>
          </cell>
          <cell r="N2608" t="str">
            <v>Soleil LevantScratch 10 000</v>
          </cell>
          <cell r="O2608" t="str">
            <v>Soleil Levant</v>
          </cell>
          <cell r="P2608" t="str">
            <v>Scratch 10 000</v>
          </cell>
          <cell r="Q2608" t="str">
            <v>92007</v>
          </cell>
          <cell r="R2608" t="str">
            <v>92007Scratch 10 000</v>
          </cell>
          <cell r="S2608" t="str">
            <v>2007Scratch 10 000</v>
          </cell>
          <cell r="T2608" t="str">
            <v>92007Soleil Levant</v>
          </cell>
          <cell r="U2608" t="str">
            <v>92007Soleil LevantScratch 10 000</v>
          </cell>
          <cell r="V2608" t="str">
            <v>39329Scratch 10 000</v>
          </cell>
          <cell r="W2608" t="str">
            <v>2007Soleil Levant</v>
          </cell>
          <cell r="X2608" t="str">
            <v>2007Soleil LevantScratch 10 000</v>
          </cell>
        </row>
        <row r="2609">
          <cell r="I2609">
            <v>2007</v>
          </cell>
          <cell r="J2609" t="str">
            <v>Soleil LevantScratch 5 000</v>
          </cell>
          <cell r="L2609">
            <v>0</v>
          </cell>
          <cell r="M2609" t="str">
            <v>Soleil Levant</v>
          </cell>
          <cell r="N2609" t="str">
            <v>Soleil LevantScratch 5 000</v>
          </cell>
          <cell r="O2609" t="str">
            <v>Soleil Levant</v>
          </cell>
          <cell r="P2609" t="str">
            <v>Scratch 5 000</v>
          </cell>
          <cell r="Q2609" t="str">
            <v>92007</v>
          </cell>
          <cell r="R2609" t="str">
            <v>92007Scratch 5 000</v>
          </cell>
          <cell r="S2609" t="str">
            <v>2007Scratch 5 000</v>
          </cell>
          <cell r="T2609" t="str">
            <v>92007Soleil Levant</v>
          </cell>
          <cell r="U2609" t="str">
            <v>92007Soleil LevantScratch 5 000</v>
          </cell>
          <cell r="V2609" t="str">
            <v>39329Scratch 5 000</v>
          </cell>
          <cell r="W2609" t="str">
            <v>2007Soleil Levant</v>
          </cell>
          <cell r="X2609" t="str">
            <v>2007Soleil LevantScratch 5 000</v>
          </cell>
        </row>
        <row r="2610">
          <cell r="I2610">
            <v>2007</v>
          </cell>
          <cell r="J2610" t="str">
            <v>Soleil LevantScratch 2 000</v>
          </cell>
          <cell r="L2610">
            <v>0</v>
          </cell>
          <cell r="M2610" t="str">
            <v>Soleil Levant</v>
          </cell>
          <cell r="N2610" t="str">
            <v>Soleil LevantScratch 2 000</v>
          </cell>
          <cell r="O2610" t="str">
            <v>Soleil Levant</v>
          </cell>
          <cell r="P2610" t="str">
            <v>Scratch 2 000</v>
          </cell>
          <cell r="Q2610" t="str">
            <v>92007</v>
          </cell>
          <cell r="R2610" t="str">
            <v>92007Scratch 2 000</v>
          </cell>
          <cell r="S2610" t="str">
            <v>2007Scratch 2 000</v>
          </cell>
          <cell r="T2610" t="str">
            <v>92007Soleil Levant</v>
          </cell>
          <cell r="U2610" t="str">
            <v>92007Soleil LevantScratch 2 000</v>
          </cell>
          <cell r="V2610" t="str">
            <v>39329Scratch 2 000</v>
          </cell>
          <cell r="W2610" t="str">
            <v>2007Soleil Levant</v>
          </cell>
          <cell r="X2610" t="str">
            <v>2007Soleil LevantScratch 2 000</v>
          </cell>
        </row>
        <row r="2611">
          <cell r="I2611">
            <v>2007</v>
          </cell>
          <cell r="J2611" t="str">
            <v>Soleil LevantScratch 1 000</v>
          </cell>
          <cell r="L2611">
            <v>0</v>
          </cell>
          <cell r="M2611" t="str">
            <v>Soleil Levant</v>
          </cell>
          <cell r="N2611" t="str">
            <v>Soleil LevantScratch 1 000</v>
          </cell>
          <cell r="O2611" t="str">
            <v>Soleil Levant</v>
          </cell>
          <cell r="P2611" t="str">
            <v>Scratch 1 000</v>
          </cell>
          <cell r="Q2611" t="str">
            <v>92007</v>
          </cell>
          <cell r="R2611" t="str">
            <v>92007Scratch 1 000</v>
          </cell>
          <cell r="S2611" t="str">
            <v>2007Scratch 1 000</v>
          </cell>
          <cell r="T2611" t="str">
            <v>92007Soleil Levant</v>
          </cell>
          <cell r="U2611" t="str">
            <v>92007Soleil LevantScratch 1 000</v>
          </cell>
          <cell r="V2611" t="str">
            <v>39329Scratch 1 000</v>
          </cell>
          <cell r="W2611" t="str">
            <v>2007Soleil Levant</v>
          </cell>
          <cell r="X2611" t="str">
            <v>2007Soleil LevantScratch 1 000</v>
          </cell>
        </row>
        <row r="2612">
          <cell r="I2612">
            <v>2007</v>
          </cell>
          <cell r="J2612" t="str">
            <v>Burtel MacsymScratch 20 000</v>
          </cell>
          <cell r="L2612">
            <v>1</v>
          </cell>
          <cell r="M2612" t="str">
            <v>1Burtel Macsym</v>
          </cell>
          <cell r="N2612" t="str">
            <v>Burtel MacsymScratch 20 000</v>
          </cell>
          <cell r="O2612" t="str">
            <v>Burtel Macsym</v>
          </cell>
          <cell r="P2612" t="str">
            <v>Scratch 20 000</v>
          </cell>
          <cell r="Q2612" t="str">
            <v>92007</v>
          </cell>
          <cell r="R2612" t="str">
            <v>92007Scratch 20 000</v>
          </cell>
          <cell r="S2612" t="str">
            <v>2007Scratch 20 000</v>
          </cell>
          <cell r="T2612" t="str">
            <v>92007Burtel Macsym</v>
          </cell>
          <cell r="U2612" t="str">
            <v>92007Burtel MacsymScratch 20 000</v>
          </cell>
          <cell r="V2612" t="str">
            <v>39329Scratch 20 000</v>
          </cell>
          <cell r="W2612" t="str">
            <v>2007Burtel Macsym</v>
          </cell>
          <cell r="X2612" t="str">
            <v>2007Burtel MacsymScratch 20 000</v>
          </cell>
        </row>
        <row r="2613">
          <cell r="I2613">
            <v>2007</v>
          </cell>
          <cell r="J2613" t="str">
            <v>Burtel MacsymScratch 10 000</v>
          </cell>
          <cell r="L2613">
            <v>0</v>
          </cell>
          <cell r="M2613" t="str">
            <v>Burtel Macsym</v>
          </cell>
          <cell r="N2613" t="str">
            <v>Burtel MacsymScratch 10 000</v>
          </cell>
          <cell r="O2613" t="str">
            <v>Burtel Macsym</v>
          </cell>
          <cell r="P2613" t="str">
            <v>Scratch 10 000</v>
          </cell>
          <cell r="Q2613" t="str">
            <v>92007</v>
          </cell>
          <cell r="R2613" t="str">
            <v>92007Scratch 10 000</v>
          </cell>
          <cell r="S2613" t="str">
            <v>2007Scratch 10 000</v>
          </cell>
          <cell r="T2613" t="str">
            <v>92007Burtel Macsym</v>
          </cell>
          <cell r="U2613" t="str">
            <v>92007Burtel MacsymScratch 10 000</v>
          </cell>
          <cell r="V2613" t="str">
            <v>39329Scratch 10 000</v>
          </cell>
          <cell r="W2613" t="str">
            <v>2007Burtel Macsym</v>
          </cell>
          <cell r="X2613" t="str">
            <v>2007Burtel MacsymScratch 10 000</v>
          </cell>
        </row>
        <row r="2614">
          <cell r="I2614">
            <v>2007</v>
          </cell>
          <cell r="J2614" t="str">
            <v>Burtel MacsymScratch 5 000</v>
          </cell>
          <cell r="L2614">
            <v>0</v>
          </cell>
          <cell r="M2614" t="str">
            <v>Burtel Macsym</v>
          </cell>
          <cell r="N2614" t="str">
            <v>Burtel MacsymScratch 5 000</v>
          </cell>
          <cell r="O2614" t="str">
            <v>Burtel Macsym</v>
          </cell>
          <cell r="P2614" t="str">
            <v>Scratch 5 000</v>
          </cell>
          <cell r="Q2614" t="str">
            <v>92007</v>
          </cell>
          <cell r="R2614" t="str">
            <v>92007Scratch 5 000</v>
          </cell>
          <cell r="S2614" t="str">
            <v>2007Scratch 5 000</v>
          </cell>
          <cell r="T2614" t="str">
            <v>92007Burtel Macsym</v>
          </cell>
          <cell r="U2614" t="str">
            <v>92007Burtel MacsymScratch 5 000</v>
          </cell>
          <cell r="V2614" t="str">
            <v>39329Scratch 5 000</v>
          </cell>
          <cell r="W2614" t="str">
            <v>2007Burtel Macsym</v>
          </cell>
          <cell r="X2614" t="str">
            <v>2007Burtel MacsymScratch 5 000</v>
          </cell>
        </row>
        <row r="2615">
          <cell r="I2615">
            <v>2007</v>
          </cell>
          <cell r="J2615" t="str">
            <v>Burtel MacsymScratch 2 000</v>
          </cell>
          <cell r="L2615">
            <v>0</v>
          </cell>
          <cell r="M2615" t="str">
            <v>Burtel Macsym</v>
          </cell>
          <cell r="N2615" t="str">
            <v>Burtel MacsymScratch 2 000</v>
          </cell>
          <cell r="O2615" t="str">
            <v>Burtel Macsym</v>
          </cell>
          <cell r="P2615" t="str">
            <v>Scratch 2 000</v>
          </cell>
          <cell r="Q2615" t="str">
            <v>92007</v>
          </cell>
          <cell r="R2615" t="str">
            <v>92007Scratch 2 000</v>
          </cell>
          <cell r="S2615" t="str">
            <v>2007Scratch 2 000</v>
          </cell>
          <cell r="T2615" t="str">
            <v>92007Burtel Macsym</v>
          </cell>
          <cell r="U2615" t="str">
            <v>92007Burtel MacsymScratch 2 000</v>
          </cell>
          <cell r="V2615" t="str">
            <v>39329Scratch 2 000</v>
          </cell>
          <cell r="W2615" t="str">
            <v>2007Burtel Macsym</v>
          </cell>
          <cell r="X2615" t="str">
            <v>2007Burtel MacsymScratch 2 000</v>
          </cell>
        </row>
        <row r="2616">
          <cell r="I2616">
            <v>2007</v>
          </cell>
          <cell r="J2616" t="str">
            <v>Burtel MacsymScratch 1 000</v>
          </cell>
          <cell r="L2616">
            <v>0</v>
          </cell>
          <cell r="M2616" t="str">
            <v>Burtel Macsym</v>
          </cell>
          <cell r="N2616" t="str">
            <v>Burtel MacsymScratch 1 000</v>
          </cell>
          <cell r="O2616" t="str">
            <v>Burtel Macsym</v>
          </cell>
          <cell r="P2616" t="str">
            <v>Scratch 1 000</v>
          </cell>
          <cell r="Q2616" t="str">
            <v>92007</v>
          </cell>
          <cell r="R2616" t="str">
            <v>92007Scratch 1 000</v>
          </cell>
          <cell r="S2616" t="str">
            <v>2007Scratch 1 000</v>
          </cell>
          <cell r="T2616" t="str">
            <v>92007Burtel Macsym</v>
          </cell>
          <cell r="U2616" t="str">
            <v>92007Burtel MacsymScratch 1 000</v>
          </cell>
          <cell r="V2616" t="str">
            <v>39329Scratch 1 000</v>
          </cell>
          <cell r="W2616" t="str">
            <v>2007Burtel Macsym</v>
          </cell>
          <cell r="X2616" t="str">
            <v>2007Burtel MacsymScratch 1 000</v>
          </cell>
        </row>
        <row r="2617">
          <cell r="I2617">
            <v>2007</v>
          </cell>
          <cell r="J2617" t="str">
            <v>Burtel MacsymScratch 10 000</v>
          </cell>
          <cell r="L2617">
            <v>1</v>
          </cell>
          <cell r="M2617" t="str">
            <v>1Burtel Macsym</v>
          </cell>
          <cell r="N2617" t="str">
            <v>Burtel MacsymScratch 10 000</v>
          </cell>
          <cell r="O2617" t="str">
            <v>Burtel Macsym</v>
          </cell>
          <cell r="P2617" t="str">
            <v>Scratch 10 000</v>
          </cell>
          <cell r="Q2617" t="str">
            <v>92007</v>
          </cell>
          <cell r="R2617" t="str">
            <v>92007Scratch 10 000</v>
          </cell>
          <cell r="S2617" t="str">
            <v>2007Scratch 10 000</v>
          </cell>
          <cell r="T2617" t="str">
            <v>92007Burtel Macsym</v>
          </cell>
          <cell r="U2617" t="str">
            <v>92007Burtel MacsymScratch 10 000</v>
          </cell>
          <cell r="V2617" t="str">
            <v>39329Scratch 10 000</v>
          </cell>
          <cell r="W2617" t="str">
            <v>2007Burtel Macsym</v>
          </cell>
          <cell r="X2617" t="str">
            <v>2007Burtel MacsymScratch 10 000</v>
          </cell>
        </row>
        <row r="2618">
          <cell r="I2618">
            <v>2007</v>
          </cell>
          <cell r="J2618" t="str">
            <v>Burtel MacsymScratch 5 000</v>
          </cell>
          <cell r="L2618">
            <v>0</v>
          </cell>
          <cell r="M2618" t="str">
            <v>Burtel Macsym</v>
          </cell>
          <cell r="N2618" t="str">
            <v>Burtel MacsymScratch 5 000</v>
          </cell>
          <cell r="O2618" t="str">
            <v>Burtel Macsym</v>
          </cell>
          <cell r="P2618" t="str">
            <v>Scratch 5 000</v>
          </cell>
          <cell r="Q2618" t="str">
            <v>92007</v>
          </cell>
          <cell r="R2618" t="str">
            <v>92007Scratch 5 000</v>
          </cell>
          <cell r="S2618" t="str">
            <v>2007Scratch 5 000</v>
          </cell>
          <cell r="T2618" t="str">
            <v>92007Burtel Macsym</v>
          </cell>
          <cell r="U2618" t="str">
            <v>92007Burtel MacsymScratch 5 000</v>
          </cell>
          <cell r="V2618" t="str">
            <v>39329Scratch 5 000</v>
          </cell>
          <cell r="W2618" t="str">
            <v>2007Burtel Macsym</v>
          </cell>
          <cell r="X2618" t="str">
            <v>2007Burtel MacsymScratch 5 000</v>
          </cell>
        </row>
        <row r="2619">
          <cell r="I2619">
            <v>2007</v>
          </cell>
          <cell r="J2619" t="str">
            <v>Burtel MacsymScratch 2 000</v>
          </cell>
          <cell r="L2619">
            <v>0</v>
          </cell>
          <cell r="M2619" t="str">
            <v>Burtel Macsym</v>
          </cell>
          <cell r="N2619" t="str">
            <v>Burtel MacsymScratch 2 000</v>
          </cell>
          <cell r="O2619" t="str">
            <v>Burtel Macsym</v>
          </cell>
          <cell r="P2619" t="str">
            <v>Scratch 2 000</v>
          </cell>
          <cell r="Q2619" t="str">
            <v>92007</v>
          </cell>
          <cell r="R2619" t="str">
            <v>92007Scratch 2 000</v>
          </cell>
          <cell r="S2619" t="str">
            <v>2007Scratch 2 000</v>
          </cell>
          <cell r="T2619" t="str">
            <v>92007Burtel Macsym</v>
          </cell>
          <cell r="U2619" t="str">
            <v>92007Burtel MacsymScratch 2 000</v>
          </cell>
          <cell r="V2619" t="str">
            <v>39329Scratch 2 000</v>
          </cell>
          <cell r="W2619" t="str">
            <v>2007Burtel Macsym</v>
          </cell>
          <cell r="X2619" t="str">
            <v>2007Burtel MacsymScratch 2 000</v>
          </cell>
        </row>
        <row r="2620">
          <cell r="I2620">
            <v>2007</v>
          </cell>
          <cell r="J2620" t="str">
            <v>Burtel MacsymScratch 1 000</v>
          </cell>
          <cell r="L2620">
            <v>0</v>
          </cell>
          <cell r="M2620" t="str">
            <v>Burtel Macsym</v>
          </cell>
          <cell r="N2620" t="str">
            <v>Burtel MacsymScratch 1 000</v>
          </cell>
          <cell r="O2620" t="str">
            <v>Burtel Macsym</v>
          </cell>
          <cell r="P2620" t="str">
            <v>Scratch 1 000</v>
          </cell>
          <cell r="Q2620" t="str">
            <v>92007</v>
          </cell>
          <cell r="R2620" t="str">
            <v>92007Scratch 1 000</v>
          </cell>
          <cell r="S2620" t="str">
            <v>2007Scratch 1 000</v>
          </cell>
          <cell r="T2620" t="str">
            <v>92007Burtel Macsym</v>
          </cell>
          <cell r="U2620" t="str">
            <v>92007Burtel MacsymScratch 1 000</v>
          </cell>
          <cell r="V2620" t="str">
            <v>39329Scratch 1 000</v>
          </cell>
          <cell r="W2620" t="str">
            <v>2007Burtel Macsym</v>
          </cell>
          <cell r="X2620" t="str">
            <v>2007Burtel MacsymScratch 1 000</v>
          </cell>
        </row>
        <row r="2621">
          <cell r="I2621">
            <v>2007</v>
          </cell>
          <cell r="J2621" t="str">
            <v>Compagnie Internationale de NegoceScratch 20 000</v>
          </cell>
          <cell r="L2621">
            <v>1</v>
          </cell>
          <cell r="M2621" t="str">
            <v>1Compagnie Internationale de Negoce</v>
          </cell>
          <cell r="N2621" t="str">
            <v>Compagnie Internationale de NegoceScratch 20 000</v>
          </cell>
          <cell r="O2621" t="str">
            <v>Compagnie Internationale de Negoce</v>
          </cell>
          <cell r="P2621" t="str">
            <v>Scratch 20 000</v>
          </cell>
          <cell r="Q2621" t="str">
            <v>92007</v>
          </cell>
          <cell r="R2621" t="str">
            <v>92007Scratch 20 000</v>
          </cell>
          <cell r="S2621" t="str">
            <v>2007Scratch 20 000</v>
          </cell>
          <cell r="T2621" t="str">
            <v>92007Compagnie Internationale de Negoce</v>
          </cell>
          <cell r="U2621" t="str">
            <v>92007Compagnie Internationale de NegoceScratch 20 000</v>
          </cell>
          <cell r="V2621" t="str">
            <v>39329Scratch 20 000</v>
          </cell>
          <cell r="W2621" t="str">
            <v>2007Compagnie Internationale de Negoce</v>
          </cell>
          <cell r="X2621" t="str">
            <v>2007Compagnie Internationale de NegoceScratch 20 000</v>
          </cell>
        </row>
        <row r="2622">
          <cell r="I2622">
            <v>2007</v>
          </cell>
          <cell r="J2622" t="str">
            <v>Compagnie Internationale de NegoceScratch 5 000</v>
          </cell>
          <cell r="L2622">
            <v>0</v>
          </cell>
          <cell r="M2622" t="str">
            <v>Compagnie Internationale de Negoce</v>
          </cell>
          <cell r="N2622" t="str">
            <v>Compagnie Internationale de NegoceScratch 5 000</v>
          </cell>
          <cell r="O2622" t="str">
            <v>Compagnie Internationale de Negoce</v>
          </cell>
          <cell r="P2622" t="str">
            <v>Scratch 5 000</v>
          </cell>
          <cell r="Q2622" t="str">
            <v>92007</v>
          </cell>
          <cell r="R2622" t="str">
            <v>92007Scratch 5 000</v>
          </cell>
          <cell r="S2622" t="str">
            <v>2007Scratch 5 000</v>
          </cell>
          <cell r="T2622" t="str">
            <v>92007Compagnie Internationale de Negoce</v>
          </cell>
          <cell r="U2622" t="str">
            <v>92007Compagnie Internationale de NegoceScratch 5 000</v>
          </cell>
          <cell r="V2622" t="str">
            <v>39329Scratch 5 000</v>
          </cell>
          <cell r="W2622" t="str">
            <v>2007Compagnie Internationale de Negoce</v>
          </cell>
          <cell r="X2622" t="str">
            <v>2007Compagnie Internationale de NegoceScratch 5 000</v>
          </cell>
        </row>
        <row r="2623">
          <cell r="I2623">
            <v>2007</v>
          </cell>
          <cell r="J2623" t="str">
            <v>Compagnie Internationale de NegoceScratch 2 000</v>
          </cell>
          <cell r="L2623">
            <v>0</v>
          </cell>
          <cell r="M2623" t="str">
            <v>Compagnie Internationale de Negoce</v>
          </cell>
          <cell r="N2623" t="str">
            <v>Compagnie Internationale de NegoceScratch 2 000</v>
          </cell>
          <cell r="O2623" t="str">
            <v>Compagnie Internationale de Negoce</v>
          </cell>
          <cell r="P2623" t="str">
            <v>Scratch 2 000</v>
          </cell>
          <cell r="Q2623" t="str">
            <v>92007</v>
          </cell>
          <cell r="R2623" t="str">
            <v>92007Scratch 2 000</v>
          </cell>
          <cell r="S2623" t="str">
            <v>2007Scratch 2 000</v>
          </cell>
          <cell r="T2623" t="str">
            <v>92007Compagnie Internationale de Negoce</v>
          </cell>
          <cell r="U2623" t="str">
            <v>92007Compagnie Internationale de NegoceScratch 2 000</v>
          </cell>
          <cell r="V2623" t="str">
            <v>39329Scratch 2 000</v>
          </cell>
          <cell r="W2623" t="str">
            <v>2007Compagnie Internationale de Negoce</v>
          </cell>
          <cell r="X2623" t="str">
            <v>2007Compagnie Internationale de NegoceScratch 2 000</v>
          </cell>
        </row>
        <row r="2624">
          <cell r="I2624">
            <v>2007</v>
          </cell>
          <cell r="J2624" t="str">
            <v>Compagnie Internationale de NegoceScratch 1 000</v>
          </cell>
          <cell r="L2624">
            <v>0</v>
          </cell>
          <cell r="M2624" t="str">
            <v>Compagnie Internationale de Negoce</v>
          </cell>
          <cell r="N2624" t="str">
            <v>Compagnie Internationale de NegoceScratch 1 000</v>
          </cell>
          <cell r="O2624" t="str">
            <v>Compagnie Internationale de Negoce</v>
          </cell>
          <cell r="P2624" t="str">
            <v>Scratch 1 000</v>
          </cell>
          <cell r="Q2624" t="str">
            <v>92007</v>
          </cell>
          <cell r="R2624" t="str">
            <v>92007Scratch 1 000</v>
          </cell>
          <cell r="S2624" t="str">
            <v>2007Scratch 1 000</v>
          </cell>
          <cell r="T2624" t="str">
            <v>92007Compagnie Internationale de Negoce</v>
          </cell>
          <cell r="U2624" t="str">
            <v>92007Compagnie Internationale de NegoceScratch 1 000</v>
          </cell>
          <cell r="V2624" t="str">
            <v>39329Scratch 1 000</v>
          </cell>
          <cell r="W2624" t="str">
            <v>2007Compagnie Internationale de Negoce</v>
          </cell>
          <cell r="X2624" t="str">
            <v>2007Compagnie Internationale de NegoceScratch 1 000</v>
          </cell>
        </row>
        <row r="2625">
          <cell r="I2625">
            <v>2007</v>
          </cell>
          <cell r="J2625" t="str">
            <v>STS GAMBY &amp; FRERES (SOGAF) SarlScratch 5 000</v>
          </cell>
          <cell r="L2625">
            <v>1</v>
          </cell>
          <cell r="M2625" t="str">
            <v>1STS GAMBY &amp; FRERES (SOGAF) Sarl</v>
          </cell>
          <cell r="N2625" t="str">
            <v>STS GAMBY &amp; FRERES (SOGAF) SarlScratch 5 000</v>
          </cell>
          <cell r="O2625" t="str">
            <v>STS GAMBY &amp; FRERES (SOGAF) Sarl</v>
          </cell>
          <cell r="P2625" t="str">
            <v>Scratch 5 000</v>
          </cell>
          <cell r="Q2625" t="str">
            <v>92007</v>
          </cell>
          <cell r="R2625" t="str">
            <v>92007Scratch 5 000</v>
          </cell>
          <cell r="S2625" t="str">
            <v>2007Scratch 5 000</v>
          </cell>
          <cell r="T2625" t="str">
            <v>92007STS GAMBY &amp; FRERES (SOGAF) Sarl</v>
          </cell>
          <cell r="U2625" t="str">
            <v>92007STS GAMBY &amp; FRERES (SOGAF) SarlScratch 5 000</v>
          </cell>
          <cell r="V2625" t="str">
            <v>39329Scratch 5 000</v>
          </cell>
          <cell r="W2625" t="str">
            <v>2007STS GAMBY &amp; FRERES (SOGAF) Sarl</v>
          </cell>
          <cell r="X2625" t="str">
            <v>2007STS GAMBY &amp; FRERES (SOGAF) SarlScratch 5 000</v>
          </cell>
        </row>
        <row r="2626">
          <cell r="I2626">
            <v>2007</v>
          </cell>
          <cell r="J2626" t="str">
            <v>STS GAMBY &amp; FRERES (SOGAF) SarlScratch 2 000</v>
          </cell>
          <cell r="L2626">
            <v>0</v>
          </cell>
          <cell r="M2626" t="str">
            <v>STS GAMBY &amp; FRERES (SOGAF) Sarl</v>
          </cell>
          <cell r="N2626" t="str">
            <v>STS GAMBY &amp; FRERES (SOGAF) SarlScratch 2 000</v>
          </cell>
          <cell r="O2626" t="str">
            <v>STS GAMBY &amp; FRERES (SOGAF) Sarl</v>
          </cell>
          <cell r="P2626" t="str">
            <v>Scratch 2 000</v>
          </cell>
          <cell r="Q2626" t="str">
            <v>92007</v>
          </cell>
          <cell r="R2626" t="str">
            <v>92007Scratch 2 000</v>
          </cell>
          <cell r="S2626" t="str">
            <v>2007Scratch 2 000</v>
          </cell>
          <cell r="T2626" t="str">
            <v>92007STS GAMBY &amp; FRERES (SOGAF) Sarl</v>
          </cell>
          <cell r="U2626" t="str">
            <v>92007STS GAMBY &amp; FRERES (SOGAF) SarlScratch 2 000</v>
          </cell>
          <cell r="V2626" t="str">
            <v>39329Scratch 2 000</v>
          </cell>
          <cell r="W2626" t="str">
            <v>2007STS GAMBY &amp; FRERES (SOGAF) Sarl</v>
          </cell>
          <cell r="X2626" t="str">
            <v>2007STS GAMBY &amp; FRERES (SOGAF) SarlScratch 2 000</v>
          </cell>
        </row>
        <row r="2627">
          <cell r="I2627">
            <v>2007</v>
          </cell>
          <cell r="J2627" t="str">
            <v>STS GAMBY &amp; FRERES (SOGAF) SarlScratch 1 000</v>
          </cell>
          <cell r="L2627">
            <v>0</v>
          </cell>
          <cell r="M2627" t="str">
            <v>STS GAMBY &amp; FRERES (SOGAF) Sarl</v>
          </cell>
          <cell r="N2627" t="str">
            <v>STS GAMBY &amp; FRERES (SOGAF) SarlScratch 1 000</v>
          </cell>
          <cell r="O2627" t="str">
            <v>STS GAMBY &amp; FRERES (SOGAF) Sarl</v>
          </cell>
          <cell r="P2627" t="str">
            <v>Scratch 1 000</v>
          </cell>
          <cell r="Q2627" t="str">
            <v>92007</v>
          </cell>
          <cell r="R2627" t="str">
            <v>92007Scratch 1 000</v>
          </cell>
          <cell r="S2627" t="str">
            <v>2007Scratch 1 000</v>
          </cell>
          <cell r="T2627" t="str">
            <v>92007STS GAMBY &amp; FRERES (SOGAF) Sarl</v>
          </cell>
          <cell r="U2627" t="str">
            <v>92007STS GAMBY &amp; FRERES (SOGAF) SarlScratch 1 000</v>
          </cell>
          <cell r="V2627" t="str">
            <v>39329Scratch 1 000</v>
          </cell>
          <cell r="W2627" t="str">
            <v>2007STS GAMBY &amp; FRERES (SOGAF) Sarl</v>
          </cell>
          <cell r="X2627" t="str">
            <v>2007STS GAMBY &amp; FRERES (SOGAF) SarlScratch 1 000</v>
          </cell>
        </row>
        <row r="2628">
          <cell r="I2628">
            <v>2007</v>
          </cell>
          <cell r="J2628" t="str">
            <v>Bonneterie Nouvelle TelecomScratch 20 000</v>
          </cell>
          <cell r="L2628">
            <v>1</v>
          </cell>
          <cell r="M2628" t="str">
            <v>1Bonneterie Nouvelle Telecom</v>
          </cell>
          <cell r="N2628" t="str">
            <v>Bonneterie Nouvelle TelecomScratch 20 000</v>
          </cell>
          <cell r="O2628" t="str">
            <v>Bonneterie Nouvelle Telecom</v>
          </cell>
          <cell r="P2628" t="str">
            <v>Scratch 20 000</v>
          </cell>
          <cell r="Q2628" t="str">
            <v>92007</v>
          </cell>
          <cell r="R2628" t="str">
            <v>92007Scratch 20 000</v>
          </cell>
          <cell r="S2628" t="str">
            <v>2007Scratch 20 000</v>
          </cell>
          <cell r="T2628" t="str">
            <v>92007Bonneterie Nouvelle Telecom</v>
          </cell>
          <cell r="U2628" t="str">
            <v>92007Bonneterie Nouvelle TelecomScratch 20 000</v>
          </cell>
          <cell r="V2628" t="str">
            <v>39329Scratch 20 000</v>
          </cell>
          <cell r="W2628" t="str">
            <v>2007Bonneterie Nouvelle Telecom</v>
          </cell>
          <cell r="X2628" t="str">
            <v>2007Bonneterie Nouvelle TelecomScratch 20 000</v>
          </cell>
        </row>
        <row r="2629">
          <cell r="I2629">
            <v>2007</v>
          </cell>
          <cell r="J2629" t="str">
            <v>Bonneterie Nouvelle TelecomScratch 10 000</v>
          </cell>
          <cell r="L2629">
            <v>0</v>
          </cell>
          <cell r="M2629" t="str">
            <v>Bonneterie Nouvelle Telecom</v>
          </cell>
          <cell r="N2629" t="str">
            <v>Bonneterie Nouvelle TelecomScratch 10 000</v>
          </cell>
          <cell r="O2629" t="str">
            <v>Bonneterie Nouvelle Telecom</v>
          </cell>
          <cell r="P2629" t="str">
            <v>Scratch 10 000</v>
          </cell>
          <cell r="Q2629" t="str">
            <v>92007</v>
          </cell>
          <cell r="R2629" t="str">
            <v>92007Scratch 10 000</v>
          </cell>
          <cell r="S2629" t="str">
            <v>2007Scratch 10 000</v>
          </cell>
          <cell r="T2629" t="str">
            <v>92007Bonneterie Nouvelle Telecom</v>
          </cell>
          <cell r="U2629" t="str">
            <v>92007Bonneterie Nouvelle TelecomScratch 10 000</v>
          </cell>
          <cell r="V2629" t="str">
            <v>39329Scratch 10 000</v>
          </cell>
          <cell r="W2629" t="str">
            <v>2007Bonneterie Nouvelle Telecom</v>
          </cell>
          <cell r="X2629" t="str">
            <v>2007Bonneterie Nouvelle TelecomScratch 10 000</v>
          </cell>
        </row>
        <row r="2630">
          <cell r="I2630">
            <v>2007</v>
          </cell>
          <cell r="J2630" t="str">
            <v>Bonneterie Nouvelle TelecomScratch 5 000</v>
          </cell>
          <cell r="L2630">
            <v>0</v>
          </cell>
          <cell r="M2630" t="str">
            <v>Bonneterie Nouvelle Telecom</v>
          </cell>
          <cell r="N2630" t="str">
            <v>Bonneterie Nouvelle TelecomScratch 5 000</v>
          </cell>
          <cell r="O2630" t="str">
            <v>Bonneterie Nouvelle Telecom</v>
          </cell>
          <cell r="P2630" t="str">
            <v>Scratch 5 000</v>
          </cell>
          <cell r="Q2630" t="str">
            <v>92007</v>
          </cell>
          <cell r="R2630" t="str">
            <v>92007Scratch 5 000</v>
          </cell>
          <cell r="S2630" t="str">
            <v>2007Scratch 5 000</v>
          </cell>
          <cell r="T2630" t="str">
            <v>92007Bonneterie Nouvelle Telecom</v>
          </cell>
          <cell r="U2630" t="str">
            <v>92007Bonneterie Nouvelle TelecomScratch 5 000</v>
          </cell>
          <cell r="V2630" t="str">
            <v>39329Scratch 5 000</v>
          </cell>
          <cell r="W2630" t="str">
            <v>2007Bonneterie Nouvelle Telecom</v>
          </cell>
          <cell r="X2630" t="str">
            <v>2007Bonneterie Nouvelle TelecomScratch 5 000</v>
          </cell>
        </row>
        <row r="2631">
          <cell r="I2631">
            <v>2007</v>
          </cell>
          <cell r="J2631" t="str">
            <v>Bonneterie Nouvelle TelecomScratch 2 000</v>
          </cell>
          <cell r="L2631">
            <v>0</v>
          </cell>
          <cell r="M2631" t="str">
            <v>Bonneterie Nouvelle Telecom</v>
          </cell>
          <cell r="N2631" t="str">
            <v>Bonneterie Nouvelle TelecomScratch 2 000</v>
          </cell>
          <cell r="O2631" t="str">
            <v>Bonneterie Nouvelle Telecom</v>
          </cell>
          <cell r="P2631" t="str">
            <v>Scratch 2 000</v>
          </cell>
          <cell r="Q2631" t="str">
            <v>92007</v>
          </cell>
          <cell r="R2631" t="str">
            <v>92007Scratch 2 000</v>
          </cell>
          <cell r="S2631" t="str">
            <v>2007Scratch 2 000</v>
          </cell>
          <cell r="T2631" t="str">
            <v>92007Bonneterie Nouvelle Telecom</v>
          </cell>
          <cell r="U2631" t="str">
            <v>92007Bonneterie Nouvelle TelecomScratch 2 000</v>
          </cell>
          <cell r="V2631" t="str">
            <v>39329Scratch 2 000</v>
          </cell>
          <cell r="W2631" t="str">
            <v>2007Bonneterie Nouvelle Telecom</v>
          </cell>
          <cell r="X2631" t="str">
            <v>2007Bonneterie Nouvelle TelecomScratch 2 000</v>
          </cell>
        </row>
        <row r="2632">
          <cell r="I2632">
            <v>2007</v>
          </cell>
          <cell r="J2632" t="str">
            <v>Bonneterie Nouvelle TelecomScratch 1 000</v>
          </cell>
          <cell r="L2632">
            <v>0</v>
          </cell>
          <cell r="M2632" t="str">
            <v>Bonneterie Nouvelle Telecom</v>
          </cell>
          <cell r="N2632" t="str">
            <v>Bonneterie Nouvelle TelecomScratch 1 000</v>
          </cell>
          <cell r="O2632" t="str">
            <v>Bonneterie Nouvelle Telecom</v>
          </cell>
          <cell r="P2632" t="str">
            <v>Scratch 1 000</v>
          </cell>
          <cell r="Q2632" t="str">
            <v>92007</v>
          </cell>
          <cell r="R2632" t="str">
            <v>92007Scratch 1 000</v>
          </cell>
          <cell r="S2632" t="str">
            <v>2007Scratch 1 000</v>
          </cell>
          <cell r="T2632" t="str">
            <v>92007Bonneterie Nouvelle Telecom</v>
          </cell>
          <cell r="U2632" t="str">
            <v>92007Bonneterie Nouvelle TelecomScratch 1 000</v>
          </cell>
          <cell r="V2632" t="str">
            <v>39329Scratch 1 000</v>
          </cell>
          <cell r="W2632" t="str">
            <v>2007Bonneterie Nouvelle Telecom</v>
          </cell>
          <cell r="X2632" t="str">
            <v>2007Bonneterie Nouvelle TelecomScratch 1 000</v>
          </cell>
        </row>
        <row r="2633">
          <cell r="I2633">
            <v>2007</v>
          </cell>
          <cell r="J2633" t="str">
            <v>ANKA SERVICESScratch 20 000</v>
          </cell>
          <cell r="L2633">
            <v>1</v>
          </cell>
          <cell r="M2633" t="str">
            <v>1ANKA SERVICES</v>
          </cell>
          <cell r="N2633" t="str">
            <v>ANKA SERVICESScratch 20 000</v>
          </cell>
          <cell r="O2633" t="str">
            <v>ANKA SERVICES</v>
          </cell>
          <cell r="P2633" t="str">
            <v>Scratch 20 000</v>
          </cell>
          <cell r="Q2633" t="str">
            <v>92007</v>
          </cell>
          <cell r="R2633" t="str">
            <v>92007Scratch 20 000</v>
          </cell>
          <cell r="S2633" t="str">
            <v>2007Scratch 20 000</v>
          </cell>
          <cell r="T2633" t="str">
            <v>92007ANKA SERVICES</v>
          </cell>
          <cell r="U2633" t="str">
            <v>92007ANKA SERVICESScratch 20 000</v>
          </cell>
          <cell r="V2633" t="str">
            <v>39329Scratch 20 000</v>
          </cell>
          <cell r="W2633" t="str">
            <v>2007ANKA SERVICES</v>
          </cell>
          <cell r="X2633" t="str">
            <v>2007ANKA SERVICESScratch 20 000</v>
          </cell>
        </row>
        <row r="2634">
          <cell r="I2634">
            <v>2007</v>
          </cell>
          <cell r="J2634" t="str">
            <v>ANKA SERVICESScratch 10 000</v>
          </cell>
          <cell r="L2634">
            <v>0</v>
          </cell>
          <cell r="M2634" t="str">
            <v>ANKA SERVICES</v>
          </cell>
          <cell r="N2634" t="str">
            <v>ANKA SERVICESScratch 10 000</v>
          </cell>
          <cell r="O2634" t="str">
            <v>ANKA SERVICES</v>
          </cell>
          <cell r="P2634" t="str">
            <v>Scratch 10 000</v>
          </cell>
          <cell r="Q2634" t="str">
            <v>92007</v>
          </cell>
          <cell r="R2634" t="str">
            <v>92007Scratch 10 000</v>
          </cell>
          <cell r="S2634" t="str">
            <v>2007Scratch 10 000</v>
          </cell>
          <cell r="T2634" t="str">
            <v>92007ANKA SERVICES</v>
          </cell>
          <cell r="U2634" t="str">
            <v>92007ANKA SERVICESScratch 10 000</v>
          </cell>
          <cell r="V2634" t="str">
            <v>39329Scratch 10 000</v>
          </cell>
          <cell r="W2634" t="str">
            <v>2007ANKA SERVICES</v>
          </cell>
          <cell r="X2634" t="str">
            <v>2007ANKA SERVICESScratch 10 000</v>
          </cell>
        </row>
        <row r="2635">
          <cell r="I2635">
            <v>2007</v>
          </cell>
          <cell r="J2635" t="str">
            <v>ANKA SERVICESScratch 5 000</v>
          </cell>
          <cell r="L2635">
            <v>0</v>
          </cell>
          <cell r="M2635" t="str">
            <v>ANKA SERVICES</v>
          </cell>
          <cell r="N2635" t="str">
            <v>ANKA SERVICESScratch 5 000</v>
          </cell>
          <cell r="O2635" t="str">
            <v>ANKA SERVICES</v>
          </cell>
          <cell r="P2635" t="str">
            <v>Scratch 5 000</v>
          </cell>
          <cell r="Q2635" t="str">
            <v>92007</v>
          </cell>
          <cell r="R2635" t="str">
            <v>92007Scratch 5 000</v>
          </cell>
          <cell r="S2635" t="str">
            <v>2007Scratch 5 000</v>
          </cell>
          <cell r="T2635" t="str">
            <v>92007ANKA SERVICES</v>
          </cell>
          <cell r="U2635" t="str">
            <v>92007ANKA SERVICESScratch 5 000</v>
          </cell>
          <cell r="V2635" t="str">
            <v>39329Scratch 5 000</v>
          </cell>
          <cell r="W2635" t="str">
            <v>2007ANKA SERVICES</v>
          </cell>
          <cell r="X2635" t="str">
            <v>2007ANKA SERVICESScratch 5 000</v>
          </cell>
        </row>
        <row r="2636">
          <cell r="I2636">
            <v>2007</v>
          </cell>
          <cell r="J2636" t="str">
            <v>ANKA SERVICESScratch 2 000</v>
          </cell>
          <cell r="L2636">
            <v>0</v>
          </cell>
          <cell r="M2636" t="str">
            <v>ANKA SERVICES</v>
          </cell>
          <cell r="N2636" t="str">
            <v>ANKA SERVICESScratch 2 000</v>
          </cell>
          <cell r="O2636" t="str">
            <v>ANKA SERVICES</v>
          </cell>
          <cell r="P2636" t="str">
            <v>Scratch 2 000</v>
          </cell>
          <cell r="Q2636" t="str">
            <v>92007</v>
          </cell>
          <cell r="R2636" t="str">
            <v>92007Scratch 2 000</v>
          </cell>
          <cell r="S2636" t="str">
            <v>2007Scratch 2 000</v>
          </cell>
          <cell r="T2636" t="str">
            <v>92007ANKA SERVICES</v>
          </cell>
          <cell r="U2636" t="str">
            <v>92007ANKA SERVICESScratch 2 000</v>
          </cell>
          <cell r="V2636" t="str">
            <v>39329Scratch 2 000</v>
          </cell>
          <cell r="W2636" t="str">
            <v>2007ANKA SERVICES</v>
          </cell>
          <cell r="X2636" t="str">
            <v>2007ANKA SERVICESScratch 2 000</v>
          </cell>
        </row>
        <row r="2637">
          <cell r="I2637">
            <v>2007</v>
          </cell>
          <cell r="J2637" t="str">
            <v>ANKA SERVICESScratch 1 000</v>
          </cell>
          <cell r="L2637">
            <v>0</v>
          </cell>
          <cell r="M2637" t="str">
            <v>ANKA SERVICES</v>
          </cell>
          <cell r="N2637" t="str">
            <v>ANKA SERVICESScratch 1 000</v>
          </cell>
          <cell r="O2637" t="str">
            <v>ANKA SERVICES</v>
          </cell>
          <cell r="P2637" t="str">
            <v>Scratch 1 000</v>
          </cell>
          <cell r="Q2637" t="str">
            <v>92007</v>
          </cell>
          <cell r="R2637" t="str">
            <v>92007Scratch 1 000</v>
          </cell>
          <cell r="S2637" t="str">
            <v>2007Scratch 1 000</v>
          </cell>
          <cell r="T2637" t="str">
            <v>92007ANKA SERVICES</v>
          </cell>
          <cell r="U2637" t="str">
            <v>92007ANKA SERVICESScratch 1 000</v>
          </cell>
          <cell r="V2637" t="str">
            <v>39329Scratch 1 000</v>
          </cell>
          <cell r="W2637" t="str">
            <v>2007ANKA SERVICES</v>
          </cell>
          <cell r="X2637" t="str">
            <v>2007ANKA SERVICESScratch 1 000</v>
          </cell>
        </row>
        <row r="2638">
          <cell r="I2638">
            <v>2007</v>
          </cell>
          <cell r="J2638" t="str">
            <v>MALI COM SarlScratch 20 000</v>
          </cell>
          <cell r="L2638">
            <v>1</v>
          </cell>
          <cell r="M2638" t="str">
            <v>1MALI COM Sarl</v>
          </cell>
          <cell r="N2638" t="str">
            <v>MALI COM SarlScratch 20 000</v>
          </cell>
          <cell r="O2638" t="str">
            <v>MALI COM Sarl</v>
          </cell>
          <cell r="P2638" t="str">
            <v>Scratch 20 000</v>
          </cell>
          <cell r="Q2638" t="str">
            <v>92007</v>
          </cell>
          <cell r="R2638" t="str">
            <v>92007Scratch 20 000</v>
          </cell>
          <cell r="S2638" t="str">
            <v>2007Scratch 20 000</v>
          </cell>
          <cell r="T2638" t="str">
            <v>92007MALI COM Sarl</v>
          </cell>
          <cell r="U2638" t="str">
            <v>92007MALI COM SarlScratch 20 000</v>
          </cell>
          <cell r="V2638" t="str">
            <v>39329Scratch 20 000</v>
          </cell>
          <cell r="W2638" t="str">
            <v>2007MALI COM Sarl</v>
          </cell>
          <cell r="X2638" t="str">
            <v>2007MALI COM SarlScratch 20 000</v>
          </cell>
        </row>
        <row r="2639">
          <cell r="I2639">
            <v>2007</v>
          </cell>
          <cell r="J2639" t="str">
            <v>MALI COM SarlScratch 5 000</v>
          </cell>
          <cell r="L2639">
            <v>0</v>
          </cell>
          <cell r="M2639" t="str">
            <v>MALI COM Sarl</v>
          </cell>
          <cell r="N2639" t="str">
            <v>MALI COM SarlScratch 5 000</v>
          </cell>
          <cell r="O2639" t="str">
            <v>MALI COM Sarl</v>
          </cell>
          <cell r="P2639" t="str">
            <v>Scratch 5 000</v>
          </cell>
          <cell r="Q2639" t="str">
            <v>92007</v>
          </cell>
          <cell r="R2639" t="str">
            <v>92007Scratch 5 000</v>
          </cell>
          <cell r="S2639" t="str">
            <v>2007Scratch 5 000</v>
          </cell>
          <cell r="T2639" t="str">
            <v>92007MALI COM Sarl</v>
          </cell>
          <cell r="U2639" t="str">
            <v>92007MALI COM SarlScratch 5 000</v>
          </cell>
          <cell r="V2639" t="str">
            <v>39329Scratch 5 000</v>
          </cell>
          <cell r="W2639" t="str">
            <v>2007MALI COM Sarl</v>
          </cell>
          <cell r="X2639" t="str">
            <v>2007MALI COM SarlScratch 5 000</v>
          </cell>
        </row>
        <row r="2640">
          <cell r="I2640">
            <v>2007</v>
          </cell>
          <cell r="J2640" t="str">
            <v>MALI COM SarlScratch 2 000</v>
          </cell>
          <cell r="L2640">
            <v>0</v>
          </cell>
          <cell r="M2640" t="str">
            <v>MALI COM Sarl</v>
          </cell>
          <cell r="N2640" t="str">
            <v>MALI COM SarlScratch 2 000</v>
          </cell>
          <cell r="O2640" t="str">
            <v>MALI COM Sarl</v>
          </cell>
          <cell r="P2640" t="str">
            <v>Scratch 2 000</v>
          </cell>
          <cell r="Q2640" t="str">
            <v>92007</v>
          </cell>
          <cell r="R2640" t="str">
            <v>92007Scratch 2 000</v>
          </cell>
          <cell r="S2640" t="str">
            <v>2007Scratch 2 000</v>
          </cell>
          <cell r="T2640" t="str">
            <v>92007MALI COM Sarl</v>
          </cell>
          <cell r="U2640" t="str">
            <v>92007MALI COM SarlScratch 2 000</v>
          </cell>
          <cell r="V2640" t="str">
            <v>39329Scratch 2 000</v>
          </cell>
          <cell r="W2640" t="str">
            <v>2007MALI COM Sarl</v>
          </cell>
          <cell r="X2640" t="str">
            <v>2007MALI COM SarlScratch 2 000</v>
          </cell>
        </row>
        <row r="2641">
          <cell r="I2641">
            <v>2007</v>
          </cell>
          <cell r="J2641" t="str">
            <v>MALI COM SarlScratch 1 000</v>
          </cell>
          <cell r="L2641">
            <v>0</v>
          </cell>
          <cell r="M2641" t="str">
            <v>MALI COM Sarl</v>
          </cell>
          <cell r="N2641" t="str">
            <v>MALI COM SarlScratch 1 000</v>
          </cell>
          <cell r="O2641" t="str">
            <v>MALI COM Sarl</v>
          </cell>
          <cell r="P2641" t="str">
            <v>Scratch 1 000</v>
          </cell>
          <cell r="Q2641" t="str">
            <v>92007</v>
          </cell>
          <cell r="R2641" t="str">
            <v>92007Scratch 1 000</v>
          </cell>
          <cell r="S2641" t="str">
            <v>2007Scratch 1 000</v>
          </cell>
          <cell r="T2641" t="str">
            <v>92007MALI COM Sarl</v>
          </cell>
          <cell r="U2641" t="str">
            <v>92007MALI COM SarlScratch 1 000</v>
          </cell>
          <cell r="V2641" t="str">
            <v>39329Scratch 1 000</v>
          </cell>
          <cell r="W2641" t="str">
            <v>2007MALI COM Sarl</v>
          </cell>
          <cell r="X2641" t="str">
            <v>2007MALI COM SarlScratch 1 000</v>
          </cell>
        </row>
        <row r="2642">
          <cell r="I2642">
            <v>2007</v>
          </cell>
          <cell r="J2642" t="str">
            <v>Burtel MacsymScratch 20 000</v>
          </cell>
          <cell r="L2642">
            <v>1</v>
          </cell>
          <cell r="M2642" t="str">
            <v>1Burtel Macsym</v>
          </cell>
          <cell r="N2642" t="str">
            <v>Burtel MacsymScratch 20 000</v>
          </cell>
          <cell r="O2642" t="str">
            <v>Burtel Macsym</v>
          </cell>
          <cell r="P2642" t="str">
            <v>Scratch 20 000</v>
          </cell>
          <cell r="Q2642" t="str">
            <v>92007</v>
          </cell>
          <cell r="R2642" t="str">
            <v>92007Scratch 20 000</v>
          </cell>
          <cell r="S2642" t="str">
            <v>2007Scratch 20 000</v>
          </cell>
          <cell r="T2642" t="str">
            <v>92007Burtel Macsym</v>
          </cell>
          <cell r="U2642" t="str">
            <v>92007Burtel MacsymScratch 20 000</v>
          </cell>
          <cell r="V2642" t="str">
            <v>39329Scratch 20 000</v>
          </cell>
          <cell r="W2642" t="str">
            <v>2007Burtel Macsym</v>
          </cell>
          <cell r="X2642" t="str">
            <v>2007Burtel MacsymScratch 20 000</v>
          </cell>
        </row>
        <row r="2643">
          <cell r="I2643">
            <v>2007</v>
          </cell>
          <cell r="J2643" t="str">
            <v>Burtel MacsymScratch 5 000</v>
          </cell>
          <cell r="L2643">
            <v>0</v>
          </cell>
          <cell r="M2643" t="str">
            <v>Burtel Macsym</v>
          </cell>
          <cell r="N2643" t="str">
            <v>Burtel MacsymScratch 5 000</v>
          </cell>
          <cell r="O2643" t="str">
            <v>Burtel Macsym</v>
          </cell>
          <cell r="P2643" t="str">
            <v>Scratch 5 000</v>
          </cell>
          <cell r="Q2643" t="str">
            <v>92007</v>
          </cell>
          <cell r="R2643" t="str">
            <v>92007Scratch 5 000</v>
          </cell>
          <cell r="S2643" t="str">
            <v>2007Scratch 5 000</v>
          </cell>
          <cell r="T2643" t="str">
            <v>92007Burtel Macsym</v>
          </cell>
          <cell r="U2643" t="str">
            <v>92007Burtel MacsymScratch 5 000</v>
          </cell>
          <cell r="V2643" t="str">
            <v>39329Scratch 5 000</v>
          </cell>
          <cell r="W2643" t="str">
            <v>2007Burtel Macsym</v>
          </cell>
          <cell r="X2643" t="str">
            <v>2007Burtel MacsymScratch 5 000</v>
          </cell>
        </row>
        <row r="2644">
          <cell r="I2644">
            <v>2007</v>
          </cell>
          <cell r="J2644" t="str">
            <v>Burtel MacsymScratch 2 000</v>
          </cell>
          <cell r="L2644">
            <v>0</v>
          </cell>
          <cell r="M2644" t="str">
            <v>Burtel Macsym</v>
          </cell>
          <cell r="N2644" t="str">
            <v>Burtel MacsymScratch 2 000</v>
          </cell>
          <cell r="O2644" t="str">
            <v>Burtel Macsym</v>
          </cell>
          <cell r="P2644" t="str">
            <v>Scratch 2 000</v>
          </cell>
          <cell r="Q2644" t="str">
            <v>92007</v>
          </cell>
          <cell r="R2644" t="str">
            <v>92007Scratch 2 000</v>
          </cell>
          <cell r="S2644" t="str">
            <v>2007Scratch 2 000</v>
          </cell>
          <cell r="T2644" t="str">
            <v>92007Burtel Macsym</v>
          </cell>
          <cell r="U2644" t="str">
            <v>92007Burtel MacsymScratch 2 000</v>
          </cell>
          <cell r="V2644" t="str">
            <v>39329Scratch 2 000</v>
          </cell>
          <cell r="W2644" t="str">
            <v>2007Burtel Macsym</v>
          </cell>
          <cell r="X2644" t="str">
            <v>2007Burtel MacsymScratch 2 000</v>
          </cell>
        </row>
        <row r="2645">
          <cell r="I2645">
            <v>2007</v>
          </cell>
          <cell r="J2645" t="str">
            <v>Burtel MacsymScratch 1 000</v>
          </cell>
          <cell r="L2645">
            <v>0</v>
          </cell>
          <cell r="M2645" t="str">
            <v>Burtel Macsym</v>
          </cell>
          <cell r="N2645" t="str">
            <v>Burtel MacsymScratch 1 000</v>
          </cell>
          <cell r="O2645" t="str">
            <v>Burtel Macsym</v>
          </cell>
          <cell r="P2645" t="str">
            <v>Scratch 1 000</v>
          </cell>
          <cell r="Q2645" t="str">
            <v>92007</v>
          </cell>
          <cell r="R2645" t="str">
            <v>92007Scratch 1 000</v>
          </cell>
          <cell r="S2645" t="str">
            <v>2007Scratch 1 000</v>
          </cell>
          <cell r="T2645" t="str">
            <v>92007Burtel Macsym</v>
          </cell>
          <cell r="U2645" t="str">
            <v>92007Burtel MacsymScratch 1 000</v>
          </cell>
          <cell r="V2645" t="str">
            <v>39329Scratch 1 000</v>
          </cell>
          <cell r="W2645" t="str">
            <v>2007Burtel Macsym</v>
          </cell>
          <cell r="X2645" t="str">
            <v>2007Burtel MacsymScratch 1 000</v>
          </cell>
        </row>
        <row r="2646">
          <cell r="I2646">
            <v>2007</v>
          </cell>
          <cell r="J2646" t="str">
            <v>SOMAKOFFScratch 20 000</v>
          </cell>
          <cell r="L2646">
            <v>1</v>
          </cell>
          <cell r="M2646" t="str">
            <v>1SOMAKOFF</v>
          </cell>
          <cell r="N2646" t="str">
            <v>SOMAKOFFScratch 20 000</v>
          </cell>
          <cell r="O2646" t="str">
            <v>SOMAKOFF</v>
          </cell>
          <cell r="P2646" t="str">
            <v>Scratch 20 000</v>
          </cell>
          <cell r="Q2646" t="str">
            <v>92007</v>
          </cell>
          <cell r="R2646" t="str">
            <v>92007Scratch 20 000</v>
          </cell>
          <cell r="S2646" t="str">
            <v>2007Scratch 20 000</v>
          </cell>
          <cell r="T2646" t="str">
            <v>92007SOMAKOFF</v>
          </cell>
          <cell r="U2646" t="str">
            <v>92007SOMAKOFFScratch 20 000</v>
          </cell>
          <cell r="V2646" t="str">
            <v>39329Scratch 20 000</v>
          </cell>
          <cell r="W2646" t="str">
            <v>2007SOMAKOFF</v>
          </cell>
          <cell r="X2646" t="str">
            <v>2007SOMAKOFFScratch 20 000</v>
          </cell>
        </row>
        <row r="2647">
          <cell r="I2647">
            <v>2007</v>
          </cell>
          <cell r="J2647" t="str">
            <v>SOMAKOFFScratch 10 000</v>
          </cell>
          <cell r="L2647">
            <v>0</v>
          </cell>
          <cell r="M2647" t="str">
            <v>SOMAKOFF</v>
          </cell>
          <cell r="N2647" t="str">
            <v>SOMAKOFFScratch 10 000</v>
          </cell>
          <cell r="O2647" t="str">
            <v>SOMAKOFF</v>
          </cell>
          <cell r="P2647" t="str">
            <v>Scratch 10 000</v>
          </cell>
          <cell r="Q2647" t="str">
            <v>92007</v>
          </cell>
          <cell r="R2647" t="str">
            <v>92007Scratch 10 000</v>
          </cell>
          <cell r="S2647" t="str">
            <v>2007Scratch 10 000</v>
          </cell>
          <cell r="T2647" t="str">
            <v>92007SOMAKOFF</v>
          </cell>
          <cell r="U2647" t="str">
            <v>92007SOMAKOFFScratch 10 000</v>
          </cell>
          <cell r="V2647" t="str">
            <v>39329Scratch 10 000</v>
          </cell>
          <cell r="W2647" t="str">
            <v>2007SOMAKOFF</v>
          </cell>
          <cell r="X2647" t="str">
            <v>2007SOMAKOFFScratch 10 000</v>
          </cell>
        </row>
        <row r="2648">
          <cell r="I2648">
            <v>2007</v>
          </cell>
          <cell r="J2648" t="str">
            <v>SOMAKOFFScratch 5 000</v>
          </cell>
          <cell r="L2648">
            <v>0</v>
          </cell>
          <cell r="M2648" t="str">
            <v>SOMAKOFF</v>
          </cell>
          <cell r="N2648" t="str">
            <v>SOMAKOFFScratch 5 000</v>
          </cell>
          <cell r="O2648" t="str">
            <v>SOMAKOFF</v>
          </cell>
          <cell r="P2648" t="str">
            <v>Scratch 5 000</v>
          </cell>
          <cell r="Q2648" t="str">
            <v>92007</v>
          </cell>
          <cell r="R2648" t="str">
            <v>92007Scratch 5 000</v>
          </cell>
          <cell r="S2648" t="str">
            <v>2007Scratch 5 000</v>
          </cell>
          <cell r="T2648" t="str">
            <v>92007SOMAKOFF</v>
          </cell>
          <cell r="U2648" t="str">
            <v>92007SOMAKOFFScratch 5 000</v>
          </cell>
          <cell r="V2648" t="str">
            <v>39329Scratch 5 000</v>
          </cell>
          <cell r="W2648" t="str">
            <v>2007SOMAKOFF</v>
          </cell>
          <cell r="X2648" t="str">
            <v>2007SOMAKOFFScratch 5 000</v>
          </cell>
        </row>
        <row r="2649">
          <cell r="I2649">
            <v>2007</v>
          </cell>
          <cell r="J2649" t="str">
            <v>SOMAKOFFScratch 2 000</v>
          </cell>
          <cell r="L2649">
            <v>0</v>
          </cell>
          <cell r="M2649" t="str">
            <v>SOMAKOFF</v>
          </cell>
          <cell r="N2649" t="str">
            <v>SOMAKOFFScratch 2 000</v>
          </cell>
          <cell r="O2649" t="str">
            <v>SOMAKOFF</v>
          </cell>
          <cell r="P2649" t="str">
            <v>Scratch 2 000</v>
          </cell>
          <cell r="Q2649" t="str">
            <v>92007</v>
          </cell>
          <cell r="R2649" t="str">
            <v>92007Scratch 2 000</v>
          </cell>
          <cell r="S2649" t="str">
            <v>2007Scratch 2 000</v>
          </cell>
          <cell r="T2649" t="str">
            <v>92007SOMAKOFF</v>
          </cell>
          <cell r="U2649" t="str">
            <v>92007SOMAKOFFScratch 2 000</v>
          </cell>
          <cell r="V2649" t="str">
            <v>39329Scratch 2 000</v>
          </cell>
          <cell r="W2649" t="str">
            <v>2007SOMAKOFF</v>
          </cell>
          <cell r="X2649" t="str">
            <v>2007SOMAKOFFScratch 2 000</v>
          </cell>
        </row>
        <row r="2650">
          <cell r="I2650">
            <v>2007</v>
          </cell>
          <cell r="J2650" t="str">
            <v>SOMAKOFFScratch 1 000</v>
          </cell>
          <cell r="L2650">
            <v>0</v>
          </cell>
          <cell r="M2650" t="str">
            <v>SOMAKOFF</v>
          </cell>
          <cell r="N2650" t="str">
            <v>SOMAKOFFScratch 1 000</v>
          </cell>
          <cell r="O2650" t="str">
            <v>SOMAKOFF</v>
          </cell>
          <cell r="P2650" t="str">
            <v>Scratch 1 000</v>
          </cell>
          <cell r="Q2650" t="str">
            <v>92007</v>
          </cell>
          <cell r="R2650" t="str">
            <v>92007Scratch 1 000</v>
          </cell>
          <cell r="S2650" t="str">
            <v>2007Scratch 1 000</v>
          </cell>
          <cell r="T2650" t="str">
            <v>92007SOMAKOFF</v>
          </cell>
          <cell r="U2650" t="str">
            <v>92007SOMAKOFFScratch 1 000</v>
          </cell>
          <cell r="V2650" t="str">
            <v>39329Scratch 1 000</v>
          </cell>
          <cell r="W2650" t="str">
            <v>2007SOMAKOFF</v>
          </cell>
          <cell r="X2650" t="str">
            <v>2007SOMAKOFFScratch 1 000</v>
          </cell>
        </row>
        <row r="2651">
          <cell r="I2651">
            <v>2007</v>
          </cell>
          <cell r="J2651" t="str">
            <v>Burtel MacsymScratch 5 000</v>
          </cell>
          <cell r="L2651">
            <v>1</v>
          </cell>
          <cell r="M2651" t="str">
            <v>1Burtel Macsym</v>
          </cell>
          <cell r="N2651" t="str">
            <v>Burtel MacsymScratch 5 000</v>
          </cell>
          <cell r="O2651" t="str">
            <v>Burtel Macsym</v>
          </cell>
          <cell r="P2651" t="str">
            <v>Scratch 5 000</v>
          </cell>
          <cell r="Q2651" t="str">
            <v>92007</v>
          </cell>
          <cell r="R2651" t="str">
            <v>92007Scratch 5 000</v>
          </cell>
          <cell r="S2651" t="str">
            <v>2007Scratch 5 000</v>
          </cell>
          <cell r="T2651" t="str">
            <v>92007Burtel Macsym</v>
          </cell>
          <cell r="U2651" t="str">
            <v>92007Burtel MacsymScratch 5 000</v>
          </cell>
          <cell r="V2651" t="str">
            <v>39330Scratch 5 000</v>
          </cell>
          <cell r="W2651" t="str">
            <v>2007Burtel Macsym</v>
          </cell>
          <cell r="X2651" t="str">
            <v>2007Burtel MacsymScratch 5 000</v>
          </cell>
        </row>
        <row r="2652">
          <cell r="I2652">
            <v>2007</v>
          </cell>
          <cell r="J2652" t="str">
            <v>Burtel MacsymScratch 2 000</v>
          </cell>
          <cell r="L2652">
            <v>0</v>
          </cell>
          <cell r="M2652" t="str">
            <v>Burtel Macsym</v>
          </cell>
          <cell r="N2652" t="str">
            <v>Burtel MacsymScratch 2 000</v>
          </cell>
          <cell r="O2652" t="str">
            <v>Burtel Macsym</v>
          </cell>
          <cell r="P2652" t="str">
            <v>Scratch 2 000</v>
          </cell>
          <cell r="Q2652" t="str">
            <v>92007</v>
          </cell>
          <cell r="R2652" t="str">
            <v>92007Scratch 2 000</v>
          </cell>
          <cell r="S2652" t="str">
            <v>2007Scratch 2 000</v>
          </cell>
          <cell r="T2652" t="str">
            <v>92007Burtel Macsym</v>
          </cell>
          <cell r="U2652" t="str">
            <v>92007Burtel MacsymScratch 2 000</v>
          </cell>
          <cell r="V2652" t="str">
            <v>39330Scratch 2 000</v>
          </cell>
          <cell r="W2652" t="str">
            <v>2007Burtel Macsym</v>
          </cell>
          <cell r="X2652" t="str">
            <v>2007Burtel MacsymScratch 2 000</v>
          </cell>
        </row>
        <row r="2653">
          <cell r="I2653">
            <v>2007</v>
          </cell>
          <cell r="J2653" t="str">
            <v>Burtel MacsymScratch 1 000</v>
          </cell>
          <cell r="L2653">
            <v>0</v>
          </cell>
          <cell r="M2653" t="str">
            <v>Burtel Macsym</v>
          </cell>
          <cell r="N2653" t="str">
            <v>Burtel MacsymScratch 1 000</v>
          </cell>
          <cell r="O2653" t="str">
            <v>Burtel Macsym</v>
          </cell>
          <cell r="P2653" t="str">
            <v>Scratch 1 000</v>
          </cell>
          <cell r="Q2653" t="str">
            <v>92007</v>
          </cell>
          <cell r="R2653" t="str">
            <v>92007Scratch 1 000</v>
          </cell>
          <cell r="S2653" t="str">
            <v>2007Scratch 1 000</v>
          </cell>
          <cell r="T2653" t="str">
            <v>92007Burtel Macsym</v>
          </cell>
          <cell r="U2653" t="str">
            <v>92007Burtel MacsymScratch 1 000</v>
          </cell>
          <cell r="V2653" t="str">
            <v>39330Scratch 1 000</v>
          </cell>
          <cell r="W2653" t="str">
            <v>2007Burtel Macsym</v>
          </cell>
          <cell r="X2653" t="str">
            <v>2007Burtel MacsymScratch 1 000</v>
          </cell>
        </row>
        <row r="2654">
          <cell r="I2654">
            <v>2007</v>
          </cell>
          <cell r="J2654" t="str">
            <v>GEMATELScratch 5 000</v>
          </cell>
          <cell r="L2654">
            <v>1</v>
          </cell>
          <cell r="M2654" t="str">
            <v>1GEMATEL</v>
          </cell>
          <cell r="N2654" t="str">
            <v>GEMATELScratch 5 000</v>
          </cell>
          <cell r="O2654" t="str">
            <v>GEMATEL</v>
          </cell>
          <cell r="P2654" t="str">
            <v>Scratch 5 000</v>
          </cell>
          <cell r="Q2654" t="str">
            <v>92007</v>
          </cell>
          <cell r="R2654" t="str">
            <v>92007Scratch 5 000</v>
          </cell>
          <cell r="S2654" t="str">
            <v>2007Scratch 5 000</v>
          </cell>
          <cell r="T2654" t="str">
            <v>92007GEMATEL</v>
          </cell>
          <cell r="U2654" t="str">
            <v>92007GEMATELScratch 5 000</v>
          </cell>
          <cell r="V2654" t="str">
            <v>39330Scratch 5 000</v>
          </cell>
          <cell r="W2654" t="str">
            <v>2007GEMATEL</v>
          </cell>
          <cell r="X2654" t="str">
            <v>2007GEMATELScratch 5 000</v>
          </cell>
        </row>
        <row r="2655">
          <cell r="I2655">
            <v>2007</v>
          </cell>
          <cell r="J2655" t="str">
            <v>GEMATELScratch 2 000</v>
          </cell>
          <cell r="L2655">
            <v>0</v>
          </cell>
          <cell r="M2655" t="str">
            <v>GEMATEL</v>
          </cell>
          <cell r="N2655" t="str">
            <v>GEMATELScratch 2 000</v>
          </cell>
          <cell r="O2655" t="str">
            <v>GEMATEL</v>
          </cell>
          <cell r="P2655" t="str">
            <v>Scratch 2 000</v>
          </cell>
          <cell r="Q2655" t="str">
            <v>92007</v>
          </cell>
          <cell r="R2655" t="str">
            <v>92007Scratch 2 000</v>
          </cell>
          <cell r="S2655" t="str">
            <v>2007Scratch 2 000</v>
          </cell>
          <cell r="T2655" t="str">
            <v>92007GEMATEL</v>
          </cell>
          <cell r="U2655" t="str">
            <v>92007GEMATELScratch 2 000</v>
          </cell>
          <cell r="V2655" t="str">
            <v>39330Scratch 2 000</v>
          </cell>
          <cell r="W2655" t="str">
            <v>2007GEMATEL</v>
          </cell>
          <cell r="X2655" t="str">
            <v>2007GEMATELScratch 2 000</v>
          </cell>
        </row>
        <row r="2656">
          <cell r="I2656">
            <v>2007</v>
          </cell>
          <cell r="J2656" t="str">
            <v>GEMATELScratch 1 000</v>
          </cell>
          <cell r="L2656">
            <v>0</v>
          </cell>
          <cell r="M2656" t="str">
            <v>GEMATEL</v>
          </cell>
          <cell r="N2656" t="str">
            <v>GEMATELScratch 1 000</v>
          </cell>
          <cell r="O2656" t="str">
            <v>GEMATEL</v>
          </cell>
          <cell r="P2656" t="str">
            <v>Scratch 1 000</v>
          </cell>
          <cell r="Q2656" t="str">
            <v>92007</v>
          </cell>
          <cell r="R2656" t="str">
            <v>92007Scratch 1 000</v>
          </cell>
          <cell r="S2656" t="str">
            <v>2007Scratch 1 000</v>
          </cell>
          <cell r="T2656" t="str">
            <v>92007GEMATEL</v>
          </cell>
          <cell r="U2656" t="str">
            <v>92007GEMATELScratch 1 000</v>
          </cell>
          <cell r="V2656" t="str">
            <v>39330Scratch 1 000</v>
          </cell>
          <cell r="W2656" t="str">
            <v>2007GEMATEL</v>
          </cell>
          <cell r="X2656" t="str">
            <v>2007GEMATELScratch 1 000</v>
          </cell>
        </row>
        <row r="2657">
          <cell r="I2657">
            <v>2007</v>
          </cell>
          <cell r="J2657" t="str">
            <v>STS GAMBY &amp; FRERES (SOGAF) SarlScratch 5 000</v>
          </cell>
          <cell r="L2657">
            <v>1</v>
          </cell>
          <cell r="M2657" t="str">
            <v>1STS GAMBY &amp; FRERES (SOGAF) Sarl</v>
          </cell>
          <cell r="N2657" t="str">
            <v>STS GAMBY &amp; FRERES (SOGAF) SarlScratch 5 000</v>
          </cell>
          <cell r="O2657" t="str">
            <v>STS GAMBY &amp; FRERES (SOGAF) Sarl</v>
          </cell>
          <cell r="P2657" t="str">
            <v>Scratch 5 000</v>
          </cell>
          <cell r="Q2657" t="str">
            <v>92007</v>
          </cell>
          <cell r="R2657" t="str">
            <v>92007Scratch 5 000</v>
          </cell>
          <cell r="S2657" t="str">
            <v>2007Scratch 5 000</v>
          </cell>
          <cell r="T2657" t="str">
            <v>92007STS GAMBY &amp; FRERES (SOGAF) Sarl</v>
          </cell>
          <cell r="U2657" t="str">
            <v>92007STS GAMBY &amp; FRERES (SOGAF) SarlScratch 5 000</v>
          </cell>
          <cell r="V2657" t="str">
            <v>39330Scratch 5 000</v>
          </cell>
          <cell r="W2657" t="str">
            <v>2007STS GAMBY &amp; FRERES (SOGAF) Sarl</v>
          </cell>
          <cell r="X2657" t="str">
            <v>2007STS GAMBY &amp; FRERES (SOGAF) SarlScratch 5 000</v>
          </cell>
        </row>
        <row r="2658">
          <cell r="I2658">
            <v>2007</v>
          </cell>
          <cell r="J2658" t="str">
            <v>STS GAMBY &amp; FRERES (SOGAF) SarlScratch 2 000</v>
          </cell>
          <cell r="L2658">
            <v>0</v>
          </cell>
          <cell r="M2658" t="str">
            <v>STS GAMBY &amp; FRERES (SOGAF) Sarl</v>
          </cell>
          <cell r="N2658" t="str">
            <v>STS GAMBY &amp; FRERES (SOGAF) SarlScratch 2 000</v>
          </cell>
          <cell r="O2658" t="str">
            <v>STS GAMBY &amp; FRERES (SOGAF) Sarl</v>
          </cell>
          <cell r="P2658" t="str">
            <v>Scratch 2 000</v>
          </cell>
          <cell r="Q2658" t="str">
            <v>92007</v>
          </cell>
          <cell r="R2658" t="str">
            <v>92007Scratch 2 000</v>
          </cell>
          <cell r="S2658" t="str">
            <v>2007Scratch 2 000</v>
          </cell>
          <cell r="T2658" t="str">
            <v>92007STS GAMBY &amp; FRERES (SOGAF) Sarl</v>
          </cell>
          <cell r="U2658" t="str">
            <v>92007STS GAMBY &amp; FRERES (SOGAF) SarlScratch 2 000</v>
          </cell>
          <cell r="V2658" t="str">
            <v>39330Scratch 2 000</v>
          </cell>
          <cell r="W2658" t="str">
            <v>2007STS GAMBY &amp; FRERES (SOGAF) Sarl</v>
          </cell>
          <cell r="X2658" t="str">
            <v>2007STS GAMBY &amp; FRERES (SOGAF) SarlScratch 2 000</v>
          </cell>
        </row>
        <row r="2659">
          <cell r="I2659">
            <v>2007</v>
          </cell>
          <cell r="J2659" t="str">
            <v>STS GAMBY &amp; FRERES (SOGAF) SarlScratch 1 000</v>
          </cell>
          <cell r="L2659">
            <v>0</v>
          </cell>
          <cell r="M2659" t="str">
            <v>STS GAMBY &amp; FRERES (SOGAF) Sarl</v>
          </cell>
          <cell r="N2659" t="str">
            <v>STS GAMBY &amp; FRERES (SOGAF) SarlScratch 1 000</v>
          </cell>
          <cell r="O2659" t="str">
            <v>STS GAMBY &amp; FRERES (SOGAF) Sarl</v>
          </cell>
          <cell r="P2659" t="str">
            <v>Scratch 1 000</v>
          </cell>
          <cell r="Q2659" t="str">
            <v>92007</v>
          </cell>
          <cell r="R2659" t="str">
            <v>92007Scratch 1 000</v>
          </cell>
          <cell r="S2659" t="str">
            <v>2007Scratch 1 000</v>
          </cell>
          <cell r="T2659" t="str">
            <v>92007STS GAMBY &amp; FRERES (SOGAF) Sarl</v>
          </cell>
          <cell r="U2659" t="str">
            <v>92007STS GAMBY &amp; FRERES (SOGAF) SarlScratch 1 000</v>
          </cell>
          <cell r="V2659" t="str">
            <v>39330Scratch 1 000</v>
          </cell>
          <cell r="W2659" t="str">
            <v>2007STS GAMBY &amp; FRERES (SOGAF) Sarl</v>
          </cell>
          <cell r="X2659" t="str">
            <v>2007STS GAMBY &amp; FRERES (SOGAF) SarlScratch 1 000</v>
          </cell>
        </row>
        <row r="2660">
          <cell r="I2660">
            <v>2007</v>
          </cell>
          <cell r="J2660" t="str">
            <v>Burtel MacsymScratch 20 000</v>
          </cell>
          <cell r="L2660">
            <v>1</v>
          </cell>
          <cell r="M2660" t="str">
            <v>1Burtel Macsym</v>
          </cell>
          <cell r="N2660" t="str">
            <v>Burtel MacsymScratch 20 000</v>
          </cell>
          <cell r="O2660" t="str">
            <v>Burtel Macsym</v>
          </cell>
          <cell r="P2660" t="str">
            <v>Scratch 20 000</v>
          </cell>
          <cell r="Q2660" t="str">
            <v>92007</v>
          </cell>
          <cell r="R2660" t="str">
            <v>92007Scratch 20 000</v>
          </cell>
          <cell r="S2660" t="str">
            <v>2007Scratch 20 000</v>
          </cell>
          <cell r="T2660" t="str">
            <v>92007Burtel Macsym</v>
          </cell>
          <cell r="U2660" t="str">
            <v>92007Burtel MacsymScratch 20 000</v>
          </cell>
          <cell r="V2660" t="str">
            <v>39330Scratch 20 000</v>
          </cell>
          <cell r="W2660" t="str">
            <v>2007Burtel Macsym</v>
          </cell>
          <cell r="X2660" t="str">
            <v>2007Burtel MacsymScratch 20 000</v>
          </cell>
        </row>
        <row r="2661">
          <cell r="I2661">
            <v>2007</v>
          </cell>
          <cell r="J2661" t="str">
            <v>Burtel MacsymScratch 5 000</v>
          </cell>
          <cell r="L2661">
            <v>0</v>
          </cell>
          <cell r="M2661" t="str">
            <v>Burtel Macsym</v>
          </cell>
          <cell r="N2661" t="str">
            <v>Burtel MacsymScratch 5 000</v>
          </cell>
          <cell r="O2661" t="str">
            <v>Burtel Macsym</v>
          </cell>
          <cell r="P2661" t="str">
            <v>Scratch 5 000</v>
          </cell>
          <cell r="Q2661" t="str">
            <v>92007</v>
          </cell>
          <cell r="R2661" t="str">
            <v>92007Scratch 5 000</v>
          </cell>
          <cell r="S2661" t="str">
            <v>2007Scratch 5 000</v>
          </cell>
          <cell r="T2661" t="str">
            <v>92007Burtel Macsym</v>
          </cell>
          <cell r="U2661" t="str">
            <v>92007Burtel MacsymScratch 5 000</v>
          </cell>
          <cell r="V2661" t="str">
            <v>39330Scratch 5 000</v>
          </cell>
          <cell r="W2661" t="str">
            <v>2007Burtel Macsym</v>
          </cell>
          <cell r="X2661" t="str">
            <v>2007Burtel MacsymScratch 5 000</v>
          </cell>
        </row>
        <row r="2662">
          <cell r="I2662">
            <v>2007</v>
          </cell>
          <cell r="J2662" t="str">
            <v>Burtel MacsymScratch 2 000</v>
          </cell>
          <cell r="L2662">
            <v>0</v>
          </cell>
          <cell r="M2662" t="str">
            <v>Burtel Macsym</v>
          </cell>
          <cell r="N2662" t="str">
            <v>Burtel MacsymScratch 2 000</v>
          </cell>
          <cell r="O2662" t="str">
            <v>Burtel Macsym</v>
          </cell>
          <cell r="P2662" t="str">
            <v>Scratch 2 000</v>
          </cell>
          <cell r="Q2662" t="str">
            <v>92007</v>
          </cell>
          <cell r="R2662" t="str">
            <v>92007Scratch 2 000</v>
          </cell>
          <cell r="S2662" t="str">
            <v>2007Scratch 2 000</v>
          </cell>
          <cell r="T2662" t="str">
            <v>92007Burtel Macsym</v>
          </cell>
          <cell r="U2662" t="str">
            <v>92007Burtel MacsymScratch 2 000</v>
          </cell>
          <cell r="V2662" t="str">
            <v>39330Scratch 2 000</v>
          </cell>
          <cell r="W2662" t="str">
            <v>2007Burtel Macsym</v>
          </cell>
          <cell r="X2662" t="str">
            <v>2007Burtel MacsymScratch 2 000</v>
          </cell>
        </row>
        <row r="2663">
          <cell r="I2663">
            <v>2007</v>
          </cell>
          <cell r="J2663" t="str">
            <v>Burtel MacsymScratch 1 000</v>
          </cell>
          <cell r="L2663">
            <v>0</v>
          </cell>
          <cell r="M2663" t="str">
            <v>Burtel Macsym</v>
          </cell>
          <cell r="N2663" t="str">
            <v>Burtel MacsymScratch 1 000</v>
          </cell>
          <cell r="O2663" t="str">
            <v>Burtel Macsym</v>
          </cell>
          <cell r="P2663" t="str">
            <v>Scratch 1 000</v>
          </cell>
          <cell r="Q2663" t="str">
            <v>92007</v>
          </cell>
          <cell r="R2663" t="str">
            <v>92007Scratch 1 000</v>
          </cell>
          <cell r="S2663" t="str">
            <v>2007Scratch 1 000</v>
          </cell>
          <cell r="T2663" t="str">
            <v>92007Burtel Macsym</v>
          </cell>
          <cell r="U2663" t="str">
            <v>92007Burtel MacsymScratch 1 000</v>
          </cell>
          <cell r="V2663" t="str">
            <v>39330Scratch 1 000</v>
          </cell>
          <cell r="W2663" t="str">
            <v>2007Burtel Macsym</v>
          </cell>
          <cell r="X2663" t="str">
            <v>2007Burtel MacsymScratch 1 000</v>
          </cell>
        </row>
        <row r="2664">
          <cell r="I2664">
            <v>2007</v>
          </cell>
          <cell r="J2664" t="str">
            <v>ANKA SERVICESScratch 5 000</v>
          </cell>
          <cell r="L2664">
            <v>1</v>
          </cell>
          <cell r="M2664" t="str">
            <v>1ANKA SERVICES</v>
          </cell>
          <cell r="N2664" t="str">
            <v>ANKA SERVICESScratch 5 000</v>
          </cell>
          <cell r="O2664" t="str">
            <v>ANKA SERVICES</v>
          </cell>
          <cell r="P2664" t="str">
            <v>Scratch 5 000</v>
          </cell>
          <cell r="Q2664" t="str">
            <v>92007</v>
          </cell>
          <cell r="R2664" t="str">
            <v>92007Scratch 5 000</v>
          </cell>
          <cell r="S2664" t="str">
            <v>2007Scratch 5 000</v>
          </cell>
          <cell r="T2664" t="str">
            <v>92007ANKA SERVICES</v>
          </cell>
          <cell r="U2664" t="str">
            <v>92007ANKA SERVICESScratch 5 000</v>
          </cell>
          <cell r="V2664" t="str">
            <v>39330Scratch 5 000</v>
          </cell>
          <cell r="W2664" t="str">
            <v>2007ANKA SERVICES</v>
          </cell>
          <cell r="X2664" t="str">
            <v>2007ANKA SERVICESScratch 5 000</v>
          </cell>
        </row>
        <row r="2665">
          <cell r="I2665">
            <v>2007</v>
          </cell>
          <cell r="J2665" t="str">
            <v>ANKA SERVICESScratch 2 000</v>
          </cell>
          <cell r="L2665">
            <v>0</v>
          </cell>
          <cell r="M2665" t="str">
            <v>ANKA SERVICES</v>
          </cell>
          <cell r="N2665" t="str">
            <v>ANKA SERVICESScratch 2 000</v>
          </cell>
          <cell r="O2665" t="str">
            <v>ANKA SERVICES</v>
          </cell>
          <cell r="P2665" t="str">
            <v>Scratch 2 000</v>
          </cell>
          <cell r="Q2665" t="str">
            <v>92007</v>
          </cell>
          <cell r="R2665" t="str">
            <v>92007Scratch 2 000</v>
          </cell>
          <cell r="S2665" t="str">
            <v>2007Scratch 2 000</v>
          </cell>
          <cell r="T2665" t="str">
            <v>92007ANKA SERVICES</v>
          </cell>
          <cell r="U2665" t="str">
            <v>92007ANKA SERVICESScratch 2 000</v>
          </cell>
          <cell r="V2665" t="str">
            <v>39330Scratch 2 000</v>
          </cell>
          <cell r="W2665" t="str">
            <v>2007ANKA SERVICES</v>
          </cell>
          <cell r="X2665" t="str">
            <v>2007ANKA SERVICESScratch 2 000</v>
          </cell>
        </row>
        <row r="2666">
          <cell r="I2666">
            <v>2007</v>
          </cell>
          <cell r="J2666" t="str">
            <v>ANKA SERVICESScratch 1 000</v>
          </cell>
          <cell r="L2666">
            <v>0</v>
          </cell>
          <cell r="M2666" t="str">
            <v>ANKA SERVICES</v>
          </cell>
          <cell r="N2666" t="str">
            <v>ANKA SERVICESScratch 1 000</v>
          </cell>
          <cell r="O2666" t="str">
            <v>ANKA SERVICES</v>
          </cell>
          <cell r="P2666" t="str">
            <v>Scratch 1 000</v>
          </cell>
          <cell r="Q2666" t="str">
            <v>92007</v>
          </cell>
          <cell r="R2666" t="str">
            <v>92007Scratch 1 000</v>
          </cell>
          <cell r="S2666" t="str">
            <v>2007Scratch 1 000</v>
          </cell>
          <cell r="T2666" t="str">
            <v>92007ANKA SERVICES</v>
          </cell>
          <cell r="U2666" t="str">
            <v>92007ANKA SERVICESScratch 1 000</v>
          </cell>
          <cell r="V2666" t="str">
            <v>39330Scratch 1 000</v>
          </cell>
          <cell r="W2666" t="str">
            <v>2007ANKA SERVICES</v>
          </cell>
          <cell r="X2666" t="str">
            <v>2007ANKA SERVICESScratch 1 000</v>
          </cell>
        </row>
        <row r="2667">
          <cell r="I2667">
            <v>2007</v>
          </cell>
          <cell r="J2667" t="str">
            <v>GEMATELScratch 20 000</v>
          </cell>
          <cell r="L2667">
            <v>1</v>
          </cell>
          <cell r="M2667" t="str">
            <v>1GEMATEL</v>
          </cell>
          <cell r="N2667" t="str">
            <v>GEMATELScratch 20 000</v>
          </cell>
          <cell r="O2667" t="str">
            <v>GEMATEL</v>
          </cell>
          <cell r="P2667" t="str">
            <v>Scratch 20 000</v>
          </cell>
          <cell r="Q2667" t="str">
            <v>92007</v>
          </cell>
          <cell r="R2667" t="str">
            <v>92007Scratch 20 000</v>
          </cell>
          <cell r="S2667" t="str">
            <v>2007Scratch 20 000</v>
          </cell>
          <cell r="T2667" t="str">
            <v>92007GEMATEL</v>
          </cell>
          <cell r="U2667" t="str">
            <v>92007GEMATELScratch 20 000</v>
          </cell>
          <cell r="V2667" t="str">
            <v>39330Scratch 20 000</v>
          </cell>
          <cell r="W2667" t="str">
            <v>2007GEMATEL</v>
          </cell>
          <cell r="X2667" t="str">
            <v>2007GEMATELScratch 20 000</v>
          </cell>
        </row>
        <row r="2668">
          <cell r="I2668">
            <v>2007</v>
          </cell>
          <cell r="J2668" t="str">
            <v>GEMATELScratch 10 000</v>
          </cell>
          <cell r="L2668">
            <v>0</v>
          </cell>
          <cell r="M2668" t="str">
            <v>GEMATEL</v>
          </cell>
          <cell r="N2668" t="str">
            <v>GEMATELScratch 10 000</v>
          </cell>
          <cell r="O2668" t="str">
            <v>GEMATEL</v>
          </cell>
          <cell r="P2668" t="str">
            <v>Scratch 10 000</v>
          </cell>
          <cell r="Q2668" t="str">
            <v>92007</v>
          </cell>
          <cell r="R2668" t="str">
            <v>92007Scratch 10 000</v>
          </cell>
          <cell r="S2668" t="str">
            <v>2007Scratch 10 000</v>
          </cell>
          <cell r="T2668" t="str">
            <v>92007GEMATEL</v>
          </cell>
          <cell r="U2668" t="str">
            <v>92007GEMATELScratch 10 000</v>
          </cell>
          <cell r="V2668" t="str">
            <v>39330Scratch 10 000</v>
          </cell>
          <cell r="W2668" t="str">
            <v>2007GEMATEL</v>
          </cell>
          <cell r="X2668" t="str">
            <v>2007GEMATELScratch 10 000</v>
          </cell>
        </row>
        <row r="2669">
          <cell r="I2669">
            <v>2007</v>
          </cell>
          <cell r="J2669" t="str">
            <v>GEMATELScratch 5 000</v>
          </cell>
          <cell r="L2669">
            <v>0</v>
          </cell>
          <cell r="M2669" t="str">
            <v>GEMATEL</v>
          </cell>
          <cell r="N2669" t="str">
            <v>GEMATELScratch 5 000</v>
          </cell>
          <cell r="O2669" t="str">
            <v>GEMATEL</v>
          </cell>
          <cell r="P2669" t="str">
            <v>Scratch 5 000</v>
          </cell>
          <cell r="Q2669" t="str">
            <v>92007</v>
          </cell>
          <cell r="R2669" t="str">
            <v>92007Scratch 5 000</v>
          </cell>
          <cell r="S2669" t="str">
            <v>2007Scratch 5 000</v>
          </cell>
          <cell r="T2669" t="str">
            <v>92007GEMATEL</v>
          </cell>
          <cell r="U2669" t="str">
            <v>92007GEMATELScratch 5 000</v>
          </cell>
          <cell r="V2669" t="str">
            <v>39330Scratch 5 000</v>
          </cell>
          <cell r="W2669" t="str">
            <v>2007GEMATEL</v>
          </cell>
          <cell r="X2669" t="str">
            <v>2007GEMATELScratch 5 000</v>
          </cell>
        </row>
        <row r="2670">
          <cell r="I2670">
            <v>2007</v>
          </cell>
          <cell r="J2670" t="str">
            <v>GEMATELScratch 2 000</v>
          </cell>
          <cell r="L2670">
            <v>0</v>
          </cell>
          <cell r="M2670" t="str">
            <v>GEMATEL</v>
          </cell>
          <cell r="N2670" t="str">
            <v>GEMATELScratch 2 000</v>
          </cell>
          <cell r="O2670" t="str">
            <v>GEMATEL</v>
          </cell>
          <cell r="P2670" t="str">
            <v>Scratch 2 000</v>
          </cell>
          <cell r="Q2670" t="str">
            <v>92007</v>
          </cell>
          <cell r="R2670" t="str">
            <v>92007Scratch 2 000</v>
          </cell>
          <cell r="S2670" t="str">
            <v>2007Scratch 2 000</v>
          </cell>
          <cell r="T2670" t="str">
            <v>92007GEMATEL</v>
          </cell>
          <cell r="U2670" t="str">
            <v>92007GEMATELScratch 2 000</v>
          </cell>
          <cell r="V2670" t="str">
            <v>39330Scratch 2 000</v>
          </cell>
          <cell r="W2670" t="str">
            <v>2007GEMATEL</v>
          </cell>
          <cell r="X2670" t="str">
            <v>2007GEMATELScratch 2 000</v>
          </cell>
        </row>
        <row r="2671">
          <cell r="I2671">
            <v>2007</v>
          </cell>
          <cell r="J2671" t="str">
            <v>GEMATELScratch 1 000</v>
          </cell>
          <cell r="L2671">
            <v>0</v>
          </cell>
          <cell r="M2671" t="str">
            <v>GEMATEL</v>
          </cell>
          <cell r="N2671" t="str">
            <v>GEMATELScratch 1 000</v>
          </cell>
          <cell r="O2671" t="str">
            <v>GEMATEL</v>
          </cell>
          <cell r="P2671" t="str">
            <v>Scratch 1 000</v>
          </cell>
          <cell r="Q2671" t="str">
            <v>92007</v>
          </cell>
          <cell r="R2671" t="str">
            <v>92007Scratch 1 000</v>
          </cell>
          <cell r="S2671" t="str">
            <v>2007Scratch 1 000</v>
          </cell>
          <cell r="T2671" t="str">
            <v>92007GEMATEL</v>
          </cell>
          <cell r="U2671" t="str">
            <v>92007GEMATELScratch 1 000</v>
          </cell>
          <cell r="V2671" t="str">
            <v>39330Scratch 1 000</v>
          </cell>
          <cell r="W2671" t="str">
            <v>2007GEMATEL</v>
          </cell>
          <cell r="X2671" t="str">
            <v>2007GEMATELScratch 1 000</v>
          </cell>
        </row>
        <row r="2672">
          <cell r="I2672">
            <v>2007</v>
          </cell>
          <cell r="J2672" t="str">
            <v>Soleil LevantScratch 5 000</v>
          </cell>
          <cell r="L2672">
            <v>1</v>
          </cell>
          <cell r="M2672" t="str">
            <v>1Soleil Levant</v>
          </cell>
          <cell r="N2672" t="str">
            <v>Soleil LevantScratch 5 000</v>
          </cell>
          <cell r="O2672" t="str">
            <v>Soleil Levant</v>
          </cell>
          <cell r="P2672" t="str">
            <v>Scratch 5 000</v>
          </cell>
          <cell r="Q2672" t="str">
            <v>92007</v>
          </cell>
          <cell r="R2672" t="str">
            <v>92007Scratch 5 000</v>
          </cell>
          <cell r="S2672" t="str">
            <v>2007Scratch 5 000</v>
          </cell>
          <cell r="T2672" t="str">
            <v>92007Soleil Levant</v>
          </cell>
          <cell r="U2672" t="str">
            <v>92007Soleil LevantScratch 5 000</v>
          </cell>
          <cell r="V2672" t="str">
            <v>39331Scratch 5 000</v>
          </cell>
          <cell r="W2672" t="str">
            <v>2007Soleil Levant</v>
          </cell>
          <cell r="X2672" t="str">
            <v>2007Soleil LevantScratch 5 000</v>
          </cell>
        </row>
        <row r="2673">
          <cell r="I2673">
            <v>2007</v>
          </cell>
          <cell r="J2673" t="str">
            <v>Soleil LevantScratch 2 000</v>
          </cell>
          <cell r="L2673">
            <v>0</v>
          </cell>
          <cell r="M2673" t="str">
            <v>Soleil Levant</v>
          </cell>
          <cell r="N2673" t="str">
            <v>Soleil LevantScratch 2 000</v>
          </cell>
          <cell r="O2673" t="str">
            <v>Soleil Levant</v>
          </cell>
          <cell r="P2673" t="str">
            <v>Scratch 2 000</v>
          </cell>
          <cell r="Q2673" t="str">
            <v>92007</v>
          </cell>
          <cell r="R2673" t="str">
            <v>92007Scratch 2 000</v>
          </cell>
          <cell r="S2673" t="str">
            <v>2007Scratch 2 000</v>
          </cell>
          <cell r="T2673" t="str">
            <v>92007Soleil Levant</v>
          </cell>
          <cell r="U2673" t="str">
            <v>92007Soleil LevantScratch 2 000</v>
          </cell>
          <cell r="V2673" t="str">
            <v>39331Scratch 2 000</v>
          </cell>
          <cell r="W2673" t="str">
            <v>2007Soleil Levant</v>
          </cell>
          <cell r="X2673" t="str">
            <v>2007Soleil LevantScratch 2 000</v>
          </cell>
        </row>
        <row r="2674">
          <cell r="I2674">
            <v>2007</v>
          </cell>
          <cell r="J2674" t="str">
            <v>Soleil LevantScratch 1 000</v>
          </cell>
          <cell r="L2674">
            <v>0</v>
          </cell>
          <cell r="M2674" t="str">
            <v>Soleil Levant</v>
          </cell>
          <cell r="N2674" t="str">
            <v>Soleil LevantScratch 1 000</v>
          </cell>
          <cell r="O2674" t="str">
            <v>Soleil Levant</v>
          </cell>
          <cell r="P2674" t="str">
            <v>Scratch 1 000</v>
          </cell>
          <cell r="Q2674" t="str">
            <v>92007</v>
          </cell>
          <cell r="R2674" t="str">
            <v>92007Scratch 1 000</v>
          </cell>
          <cell r="S2674" t="str">
            <v>2007Scratch 1 000</v>
          </cell>
          <cell r="T2674" t="str">
            <v>92007Soleil Levant</v>
          </cell>
          <cell r="U2674" t="str">
            <v>92007Soleil LevantScratch 1 000</v>
          </cell>
          <cell r="V2674" t="str">
            <v>39331Scratch 1 000</v>
          </cell>
          <cell r="W2674" t="str">
            <v>2007Soleil Levant</v>
          </cell>
          <cell r="X2674" t="str">
            <v>2007Soleil LevantScratch 1 000</v>
          </cell>
        </row>
        <row r="2675">
          <cell r="I2675">
            <v>2007</v>
          </cell>
          <cell r="J2675" t="str">
            <v>GEMATELScratch 5 000</v>
          </cell>
          <cell r="L2675">
            <v>1</v>
          </cell>
          <cell r="M2675" t="str">
            <v>1GEMATEL</v>
          </cell>
          <cell r="N2675" t="str">
            <v>GEMATELScratch 5 000</v>
          </cell>
          <cell r="O2675" t="str">
            <v>GEMATEL</v>
          </cell>
          <cell r="P2675" t="str">
            <v>Scratch 5 000</v>
          </cell>
          <cell r="Q2675" t="str">
            <v>92007</v>
          </cell>
          <cell r="R2675" t="str">
            <v>92007Scratch 5 000</v>
          </cell>
          <cell r="S2675" t="str">
            <v>2007Scratch 5 000</v>
          </cell>
          <cell r="T2675" t="str">
            <v>92007GEMATEL</v>
          </cell>
          <cell r="U2675" t="str">
            <v>92007GEMATELScratch 5 000</v>
          </cell>
          <cell r="V2675" t="str">
            <v>39331Scratch 5 000</v>
          </cell>
          <cell r="W2675" t="str">
            <v>2007GEMATEL</v>
          </cell>
          <cell r="X2675" t="str">
            <v>2007GEMATELScratch 5 000</v>
          </cell>
        </row>
        <row r="2676">
          <cell r="I2676">
            <v>2007</v>
          </cell>
          <cell r="J2676" t="str">
            <v>GEMATELScratch 2 000</v>
          </cell>
          <cell r="L2676">
            <v>0</v>
          </cell>
          <cell r="M2676" t="str">
            <v>GEMATEL</v>
          </cell>
          <cell r="N2676" t="str">
            <v>GEMATELScratch 2 000</v>
          </cell>
          <cell r="O2676" t="str">
            <v>GEMATEL</v>
          </cell>
          <cell r="P2676" t="str">
            <v>Scratch 2 000</v>
          </cell>
          <cell r="Q2676" t="str">
            <v>92007</v>
          </cell>
          <cell r="R2676" t="str">
            <v>92007Scratch 2 000</v>
          </cell>
          <cell r="S2676" t="str">
            <v>2007Scratch 2 000</v>
          </cell>
          <cell r="T2676" t="str">
            <v>92007GEMATEL</v>
          </cell>
          <cell r="U2676" t="str">
            <v>92007GEMATELScratch 2 000</v>
          </cell>
          <cell r="V2676" t="str">
            <v>39331Scratch 2 000</v>
          </cell>
          <cell r="W2676" t="str">
            <v>2007GEMATEL</v>
          </cell>
          <cell r="X2676" t="str">
            <v>2007GEMATELScratch 2 000</v>
          </cell>
        </row>
        <row r="2677">
          <cell r="I2677">
            <v>2007</v>
          </cell>
          <cell r="J2677" t="str">
            <v>GEMATELScratch 1 000</v>
          </cell>
          <cell r="L2677">
            <v>0</v>
          </cell>
          <cell r="M2677" t="str">
            <v>GEMATEL</v>
          </cell>
          <cell r="N2677" t="str">
            <v>GEMATELScratch 1 000</v>
          </cell>
          <cell r="O2677" t="str">
            <v>GEMATEL</v>
          </cell>
          <cell r="P2677" t="str">
            <v>Scratch 1 000</v>
          </cell>
          <cell r="Q2677" t="str">
            <v>92007</v>
          </cell>
          <cell r="R2677" t="str">
            <v>92007Scratch 1 000</v>
          </cell>
          <cell r="S2677" t="str">
            <v>2007Scratch 1 000</v>
          </cell>
          <cell r="T2677" t="str">
            <v>92007GEMATEL</v>
          </cell>
          <cell r="U2677" t="str">
            <v>92007GEMATELScratch 1 000</v>
          </cell>
          <cell r="V2677" t="str">
            <v>39331Scratch 1 000</v>
          </cell>
          <cell r="W2677" t="str">
            <v>2007GEMATEL</v>
          </cell>
          <cell r="X2677" t="str">
            <v>2007GEMATELScratch 1 000</v>
          </cell>
        </row>
        <row r="2678">
          <cell r="I2678">
            <v>2007</v>
          </cell>
          <cell r="J2678" t="str">
            <v>Burtel MacsymScratch 5 000</v>
          </cell>
          <cell r="L2678">
            <v>1</v>
          </cell>
          <cell r="M2678" t="str">
            <v>1Burtel Macsym</v>
          </cell>
          <cell r="N2678" t="str">
            <v>Burtel MacsymScratch 5 000</v>
          </cell>
          <cell r="O2678" t="str">
            <v>Burtel Macsym</v>
          </cell>
          <cell r="P2678" t="str">
            <v>Scratch 5 000</v>
          </cell>
          <cell r="Q2678" t="str">
            <v>92007</v>
          </cell>
          <cell r="R2678" t="str">
            <v>92007Scratch 5 000</v>
          </cell>
          <cell r="S2678" t="str">
            <v>2007Scratch 5 000</v>
          </cell>
          <cell r="T2678" t="str">
            <v>92007Burtel Macsym</v>
          </cell>
          <cell r="U2678" t="str">
            <v>92007Burtel MacsymScratch 5 000</v>
          </cell>
          <cell r="V2678" t="str">
            <v>39331Scratch 5 000</v>
          </cell>
          <cell r="W2678" t="str">
            <v>2007Burtel Macsym</v>
          </cell>
          <cell r="X2678" t="str">
            <v>2007Burtel MacsymScratch 5 000</v>
          </cell>
        </row>
        <row r="2679">
          <cell r="I2679">
            <v>2007</v>
          </cell>
          <cell r="J2679" t="str">
            <v>Burtel MacsymScratch 2 000</v>
          </cell>
          <cell r="L2679">
            <v>0</v>
          </cell>
          <cell r="M2679" t="str">
            <v>Burtel Macsym</v>
          </cell>
          <cell r="N2679" t="str">
            <v>Burtel MacsymScratch 2 000</v>
          </cell>
          <cell r="O2679" t="str">
            <v>Burtel Macsym</v>
          </cell>
          <cell r="P2679" t="str">
            <v>Scratch 2 000</v>
          </cell>
          <cell r="Q2679" t="str">
            <v>92007</v>
          </cell>
          <cell r="R2679" t="str">
            <v>92007Scratch 2 000</v>
          </cell>
          <cell r="S2679" t="str">
            <v>2007Scratch 2 000</v>
          </cell>
          <cell r="T2679" t="str">
            <v>92007Burtel Macsym</v>
          </cell>
          <cell r="U2679" t="str">
            <v>92007Burtel MacsymScratch 2 000</v>
          </cell>
          <cell r="V2679" t="str">
            <v>39331Scratch 2 000</v>
          </cell>
          <cell r="W2679" t="str">
            <v>2007Burtel Macsym</v>
          </cell>
          <cell r="X2679" t="str">
            <v>2007Burtel MacsymScratch 2 000</v>
          </cell>
        </row>
        <row r="2680">
          <cell r="I2680">
            <v>2007</v>
          </cell>
          <cell r="J2680" t="str">
            <v>Burtel MacsymScratch 1 000</v>
          </cell>
          <cell r="L2680">
            <v>0</v>
          </cell>
          <cell r="M2680" t="str">
            <v>Burtel Macsym</v>
          </cell>
          <cell r="N2680" t="str">
            <v>Burtel MacsymScratch 1 000</v>
          </cell>
          <cell r="O2680" t="str">
            <v>Burtel Macsym</v>
          </cell>
          <cell r="P2680" t="str">
            <v>Scratch 1 000</v>
          </cell>
          <cell r="Q2680" t="str">
            <v>92007</v>
          </cell>
          <cell r="R2680" t="str">
            <v>92007Scratch 1 000</v>
          </cell>
          <cell r="S2680" t="str">
            <v>2007Scratch 1 000</v>
          </cell>
          <cell r="T2680" t="str">
            <v>92007Burtel Macsym</v>
          </cell>
          <cell r="U2680" t="str">
            <v>92007Burtel MacsymScratch 1 000</v>
          </cell>
          <cell r="V2680" t="str">
            <v>39331Scratch 1 000</v>
          </cell>
          <cell r="W2680" t="str">
            <v>2007Burtel Macsym</v>
          </cell>
          <cell r="X2680" t="str">
            <v>2007Burtel MacsymScratch 1 000</v>
          </cell>
        </row>
        <row r="2681">
          <cell r="I2681">
            <v>2007</v>
          </cell>
          <cell r="J2681" t="str">
            <v>STS GAMBY &amp; FRERES (SOGAF) SarlScratch 5 000</v>
          </cell>
          <cell r="L2681">
            <v>1</v>
          </cell>
          <cell r="M2681" t="str">
            <v>1STS GAMBY &amp; FRERES (SOGAF) Sarl</v>
          </cell>
          <cell r="N2681" t="str">
            <v>STS GAMBY &amp; FRERES (SOGAF) SarlScratch 5 000</v>
          </cell>
          <cell r="O2681" t="str">
            <v>STS GAMBY &amp; FRERES (SOGAF) Sarl</v>
          </cell>
          <cell r="P2681" t="str">
            <v>Scratch 5 000</v>
          </cell>
          <cell r="Q2681" t="str">
            <v>92007</v>
          </cell>
          <cell r="R2681" t="str">
            <v>92007Scratch 5 000</v>
          </cell>
          <cell r="S2681" t="str">
            <v>2007Scratch 5 000</v>
          </cell>
          <cell r="T2681" t="str">
            <v>92007STS GAMBY &amp; FRERES (SOGAF) Sarl</v>
          </cell>
          <cell r="U2681" t="str">
            <v>92007STS GAMBY &amp; FRERES (SOGAF) SarlScratch 5 000</v>
          </cell>
          <cell r="V2681" t="str">
            <v>39331Scratch 5 000</v>
          </cell>
          <cell r="W2681" t="str">
            <v>2007STS GAMBY &amp; FRERES (SOGAF) Sarl</v>
          </cell>
          <cell r="X2681" t="str">
            <v>2007STS GAMBY &amp; FRERES (SOGAF) SarlScratch 5 000</v>
          </cell>
        </row>
        <row r="2682">
          <cell r="I2682">
            <v>2007</v>
          </cell>
          <cell r="J2682" t="str">
            <v>STS GAMBY &amp; FRERES (SOGAF) SarlScratch 2 000</v>
          </cell>
          <cell r="L2682">
            <v>0</v>
          </cell>
          <cell r="M2682" t="str">
            <v>STS GAMBY &amp; FRERES (SOGAF) Sarl</v>
          </cell>
          <cell r="N2682" t="str">
            <v>STS GAMBY &amp; FRERES (SOGAF) SarlScratch 2 000</v>
          </cell>
          <cell r="O2682" t="str">
            <v>STS GAMBY &amp; FRERES (SOGAF) Sarl</v>
          </cell>
          <cell r="P2682" t="str">
            <v>Scratch 2 000</v>
          </cell>
          <cell r="Q2682" t="str">
            <v>92007</v>
          </cell>
          <cell r="R2682" t="str">
            <v>92007Scratch 2 000</v>
          </cell>
          <cell r="S2682" t="str">
            <v>2007Scratch 2 000</v>
          </cell>
          <cell r="T2682" t="str">
            <v>92007STS GAMBY &amp; FRERES (SOGAF) Sarl</v>
          </cell>
          <cell r="U2682" t="str">
            <v>92007STS GAMBY &amp; FRERES (SOGAF) SarlScratch 2 000</v>
          </cell>
          <cell r="V2682" t="str">
            <v>39331Scratch 2 000</v>
          </cell>
          <cell r="W2682" t="str">
            <v>2007STS GAMBY &amp; FRERES (SOGAF) Sarl</v>
          </cell>
          <cell r="X2682" t="str">
            <v>2007STS GAMBY &amp; FRERES (SOGAF) SarlScratch 2 000</v>
          </cell>
        </row>
        <row r="2683">
          <cell r="I2683">
            <v>2007</v>
          </cell>
          <cell r="J2683" t="str">
            <v>STS GAMBY &amp; FRERES (SOGAF) SarlScratch 1 000</v>
          </cell>
          <cell r="L2683">
            <v>0</v>
          </cell>
          <cell r="M2683" t="str">
            <v>STS GAMBY &amp; FRERES (SOGAF) Sarl</v>
          </cell>
          <cell r="N2683" t="str">
            <v>STS GAMBY &amp; FRERES (SOGAF) SarlScratch 1 000</v>
          </cell>
          <cell r="O2683" t="str">
            <v>STS GAMBY &amp; FRERES (SOGAF) Sarl</v>
          </cell>
          <cell r="P2683" t="str">
            <v>Scratch 1 000</v>
          </cell>
          <cell r="Q2683" t="str">
            <v>92007</v>
          </cell>
          <cell r="R2683" t="str">
            <v>92007Scratch 1 000</v>
          </cell>
          <cell r="S2683" t="str">
            <v>2007Scratch 1 000</v>
          </cell>
          <cell r="T2683" t="str">
            <v>92007STS GAMBY &amp; FRERES (SOGAF) Sarl</v>
          </cell>
          <cell r="U2683" t="str">
            <v>92007STS GAMBY &amp; FRERES (SOGAF) SarlScratch 1 000</v>
          </cell>
          <cell r="V2683" t="str">
            <v>39331Scratch 1 000</v>
          </cell>
          <cell r="W2683" t="str">
            <v>2007STS GAMBY &amp; FRERES (SOGAF) Sarl</v>
          </cell>
          <cell r="X2683" t="str">
            <v>2007STS GAMBY &amp; FRERES (SOGAF) SarlScratch 1 000</v>
          </cell>
        </row>
        <row r="2684">
          <cell r="I2684">
            <v>2007</v>
          </cell>
          <cell r="J2684" t="str">
            <v>ANKA SERVICESScratch 5 000</v>
          </cell>
          <cell r="L2684">
            <v>1</v>
          </cell>
          <cell r="M2684" t="str">
            <v>1ANKA SERVICES</v>
          </cell>
          <cell r="N2684" t="str">
            <v>ANKA SERVICESScratch 5 000</v>
          </cell>
          <cell r="O2684" t="str">
            <v>ANKA SERVICES</v>
          </cell>
          <cell r="P2684" t="str">
            <v>Scratch 5 000</v>
          </cell>
          <cell r="Q2684" t="str">
            <v>92007</v>
          </cell>
          <cell r="R2684" t="str">
            <v>92007Scratch 5 000</v>
          </cell>
          <cell r="S2684" t="str">
            <v>2007Scratch 5 000</v>
          </cell>
          <cell r="T2684" t="str">
            <v>92007ANKA SERVICES</v>
          </cell>
          <cell r="U2684" t="str">
            <v>92007ANKA SERVICESScratch 5 000</v>
          </cell>
          <cell r="V2684" t="str">
            <v>39331Scratch 5 000</v>
          </cell>
          <cell r="W2684" t="str">
            <v>2007ANKA SERVICES</v>
          </cell>
          <cell r="X2684" t="str">
            <v>2007ANKA SERVICESScratch 5 000</v>
          </cell>
        </row>
        <row r="2685">
          <cell r="I2685">
            <v>2007</v>
          </cell>
          <cell r="J2685" t="str">
            <v>ANKA SERVICESScratch 2 000</v>
          </cell>
          <cell r="L2685">
            <v>0</v>
          </cell>
          <cell r="M2685" t="str">
            <v>ANKA SERVICES</v>
          </cell>
          <cell r="N2685" t="str">
            <v>ANKA SERVICESScratch 2 000</v>
          </cell>
          <cell r="O2685" t="str">
            <v>ANKA SERVICES</v>
          </cell>
          <cell r="P2685" t="str">
            <v>Scratch 2 000</v>
          </cell>
          <cell r="Q2685" t="str">
            <v>92007</v>
          </cell>
          <cell r="R2685" t="str">
            <v>92007Scratch 2 000</v>
          </cell>
          <cell r="S2685" t="str">
            <v>2007Scratch 2 000</v>
          </cell>
          <cell r="T2685" t="str">
            <v>92007ANKA SERVICES</v>
          </cell>
          <cell r="U2685" t="str">
            <v>92007ANKA SERVICESScratch 2 000</v>
          </cell>
          <cell r="V2685" t="str">
            <v>39331Scratch 2 000</v>
          </cell>
          <cell r="W2685" t="str">
            <v>2007ANKA SERVICES</v>
          </cell>
          <cell r="X2685" t="str">
            <v>2007ANKA SERVICESScratch 2 000</v>
          </cell>
        </row>
        <row r="2686">
          <cell r="I2686">
            <v>2007</v>
          </cell>
          <cell r="J2686" t="str">
            <v>ANKA SERVICESScratch 1 000</v>
          </cell>
          <cell r="L2686">
            <v>0</v>
          </cell>
          <cell r="M2686" t="str">
            <v>ANKA SERVICES</v>
          </cell>
          <cell r="N2686" t="str">
            <v>ANKA SERVICESScratch 1 000</v>
          </cell>
          <cell r="O2686" t="str">
            <v>ANKA SERVICES</v>
          </cell>
          <cell r="P2686" t="str">
            <v>Scratch 1 000</v>
          </cell>
          <cell r="Q2686" t="str">
            <v>92007</v>
          </cell>
          <cell r="R2686" t="str">
            <v>92007Scratch 1 000</v>
          </cell>
          <cell r="S2686" t="str">
            <v>2007Scratch 1 000</v>
          </cell>
          <cell r="T2686" t="str">
            <v>92007ANKA SERVICES</v>
          </cell>
          <cell r="U2686" t="str">
            <v>92007ANKA SERVICESScratch 1 000</v>
          </cell>
          <cell r="V2686" t="str">
            <v>39331Scratch 1 000</v>
          </cell>
          <cell r="W2686" t="str">
            <v>2007ANKA SERVICES</v>
          </cell>
          <cell r="X2686" t="str">
            <v>2007ANKA SERVICESScratch 1 000</v>
          </cell>
        </row>
        <row r="2687">
          <cell r="I2687">
            <v>2007</v>
          </cell>
          <cell r="J2687" t="str">
            <v>MALI COM SarlScratch 5 000</v>
          </cell>
          <cell r="L2687">
            <v>1</v>
          </cell>
          <cell r="M2687" t="str">
            <v>1MALI COM Sarl</v>
          </cell>
          <cell r="N2687" t="str">
            <v>MALI COM SarlScratch 5 000</v>
          </cell>
          <cell r="O2687" t="str">
            <v>MALI COM Sarl</v>
          </cell>
          <cell r="P2687" t="str">
            <v>Scratch 5 000</v>
          </cell>
          <cell r="Q2687" t="str">
            <v>92007</v>
          </cell>
          <cell r="R2687" t="str">
            <v>92007Scratch 5 000</v>
          </cell>
          <cell r="S2687" t="str">
            <v>2007Scratch 5 000</v>
          </cell>
          <cell r="T2687" t="str">
            <v>92007MALI COM Sarl</v>
          </cell>
          <cell r="U2687" t="str">
            <v>92007MALI COM SarlScratch 5 000</v>
          </cell>
          <cell r="V2687" t="str">
            <v>39332Scratch 5 000</v>
          </cell>
          <cell r="W2687" t="str">
            <v>2007MALI COM Sarl</v>
          </cell>
          <cell r="X2687" t="str">
            <v>2007MALI COM SarlScratch 5 000</v>
          </cell>
        </row>
        <row r="2688">
          <cell r="I2688">
            <v>2007</v>
          </cell>
          <cell r="J2688" t="str">
            <v>MALI COM SarlScratch 2 000</v>
          </cell>
          <cell r="L2688">
            <v>0</v>
          </cell>
          <cell r="M2688" t="str">
            <v>MALI COM Sarl</v>
          </cell>
          <cell r="N2688" t="str">
            <v>MALI COM SarlScratch 2 000</v>
          </cell>
          <cell r="O2688" t="str">
            <v>MALI COM Sarl</v>
          </cell>
          <cell r="P2688" t="str">
            <v>Scratch 2 000</v>
          </cell>
          <cell r="Q2688" t="str">
            <v>92007</v>
          </cell>
          <cell r="R2688" t="str">
            <v>92007Scratch 2 000</v>
          </cell>
          <cell r="S2688" t="str">
            <v>2007Scratch 2 000</v>
          </cell>
          <cell r="T2688" t="str">
            <v>92007MALI COM Sarl</v>
          </cell>
          <cell r="U2688" t="str">
            <v>92007MALI COM SarlScratch 2 000</v>
          </cell>
          <cell r="V2688" t="str">
            <v>39332Scratch 2 000</v>
          </cell>
          <cell r="W2688" t="str">
            <v>2007MALI COM Sarl</v>
          </cell>
          <cell r="X2688" t="str">
            <v>2007MALI COM SarlScratch 2 000</v>
          </cell>
        </row>
        <row r="2689">
          <cell r="I2689">
            <v>2007</v>
          </cell>
          <cell r="J2689" t="str">
            <v>MALI COM SarlScratch 1 000</v>
          </cell>
          <cell r="L2689">
            <v>0</v>
          </cell>
          <cell r="M2689" t="str">
            <v>MALI COM Sarl</v>
          </cell>
          <cell r="N2689" t="str">
            <v>MALI COM SarlScratch 1 000</v>
          </cell>
          <cell r="O2689" t="str">
            <v>MALI COM Sarl</v>
          </cell>
          <cell r="P2689" t="str">
            <v>Scratch 1 000</v>
          </cell>
          <cell r="Q2689" t="str">
            <v>92007</v>
          </cell>
          <cell r="R2689" t="str">
            <v>92007Scratch 1 000</v>
          </cell>
          <cell r="S2689" t="str">
            <v>2007Scratch 1 000</v>
          </cell>
          <cell r="T2689" t="str">
            <v>92007MALI COM Sarl</v>
          </cell>
          <cell r="U2689" t="str">
            <v>92007MALI COM SarlScratch 1 000</v>
          </cell>
          <cell r="V2689" t="str">
            <v>39332Scratch 1 000</v>
          </cell>
          <cell r="W2689" t="str">
            <v>2007MALI COM Sarl</v>
          </cell>
          <cell r="X2689" t="str">
            <v>2007MALI COM SarlScratch 1 000</v>
          </cell>
        </row>
        <row r="2690">
          <cell r="I2690">
            <v>2007</v>
          </cell>
          <cell r="J2690" t="str">
            <v>STS GAMBY &amp; FRERES (SOGAF) SarlScratch 20 000</v>
          </cell>
          <cell r="L2690">
            <v>1</v>
          </cell>
          <cell r="M2690" t="str">
            <v>1STS GAMBY &amp; FRERES (SOGAF) Sarl</v>
          </cell>
          <cell r="N2690" t="str">
            <v>STS GAMBY &amp; FRERES (SOGAF) SarlScratch 20 000</v>
          </cell>
          <cell r="O2690" t="str">
            <v>STS GAMBY &amp; FRERES (SOGAF) Sarl</v>
          </cell>
          <cell r="P2690" t="str">
            <v>Scratch 20 000</v>
          </cell>
          <cell r="Q2690" t="str">
            <v>92007</v>
          </cell>
          <cell r="R2690" t="str">
            <v>92007Scratch 20 000</v>
          </cell>
          <cell r="S2690" t="str">
            <v>2007Scratch 20 000</v>
          </cell>
          <cell r="T2690" t="str">
            <v>92007STS GAMBY &amp; FRERES (SOGAF) Sarl</v>
          </cell>
          <cell r="U2690" t="str">
            <v>92007STS GAMBY &amp; FRERES (SOGAF) SarlScratch 20 000</v>
          </cell>
          <cell r="V2690" t="str">
            <v>39332Scratch 20 000</v>
          </cell>
          <cell r="W2690" t="str">
            <v>2007STS GAMBY &amp; FRERES (SOGAF) Sarl</v>
          </cell>
          <cell r="X2690" t="str">
            <v>2007STS GAMBY &amp; FRERES (SOGAF) SarlScratch 20 000</v>
          </cell>
        </row>
        <row r="2691">
          <cell r="I2691">
            <v>2007</v>
          </cell>
          <cell r="J2691" t="str">
            <v>STS GAMBY &amp; FRERES (SOGAF) SarlScratch 5 000</v>
          </cell>
          <cell r="L2691">
            <v>0</v>
          </cell>
          <cell r="M2691" t="str">
            <v>STS GAMBY &amp; FRERES (SOGAF) Sarl</v>
          </cell>
          <cell r="N2691" t="str">
            <v>STS GAMBY &amp; FRERES (SOGAF) SarlScratch 5 000</v>
          </cell>
          <cell r="O2691" t="str">
            <v>STS GAMBY &amp; FRERES (SOGAF) Sarl</v>
          </cell>
          <cell r="P2691" t="str">
            <v>Scratch 5 000</v>
          </cell>
          <cell r="Q2691" t="str">
            <v>92007</v>
          </cell>
          <cell r="R2691" t="str">
            <v>92007Scratch 5 000</v>
          </cell>
          <cell r="S2691" t="str">
            <v>2007Scratch 5 000</v>
          </cell>
          <cell r="T2691" t="str">
            <v>92007STS GAMBY &amp; FRERES (SOGAF) Sarl</v>
          </cell>
          <cell r="U2691" t="str">
            <v>92007STS GAMBY &amp; FRERES (SOGAF) SarlScratch 5 000</v>
          </cell>
          <cell r="V2691" t="str">
            <v>39332Scratch 5 000</v>
          </cell>
          <cell r="W2691" t="str">
            <v>2007STS GAMBY &amp; FRERES (SOGAF) Sarl</v>
          </cell>
          <cell r="X2691" t="str">
            <v>2007STS GAMBY &amp; FRERES (SOGAF) SarlScratch 5 000</v>
          </cell>
        </row>
        <row r="2692">
          <cell r="I2692">
            <v>2007</v>
          </cell>
          <cell r="J2692" t="str">
            <v>STS GAMBY &amp; FRERES (SOGAF) SarlScratch 2 000</v>
          </cell>
          <cell r="L2692">
            <v>0</v>
          </cell>
          <cell r="M2692" t="str">
            <v>STS GAMBY &amp; FRERES (SOGAF) Sarl</v>
          </cell>
          <cell r="N2692" t="str">
            <v>STS GAMBY &amp; FRERES (SOGAF) SarlScratch 2 000</v>
          </cell>
          <cell r="O2692" t="str">
            <v>STS GAMBY &amp; FRERES (SOGAF) Sarl</v>
          </cell>
          <cell r="P2692" t="str">
            <v>Scratch 2 000</v>
          </cell>
          <cell r="Q2692" t="str">
            <v>92007</v>
          </cell>
          <cell r="R2692" t="str">
            <v>92007Scratch 2 000</v>
          </cell>
          <cell r="S2692" t="str">
            <v>2007Scratch 2 000</v>
          </cell>
          <cell r="T2692" t="str">
            <v>92007STS GAMBY &amp; FRERES (SOGAF) Sarl</v>
          </cell>
          <cell r="U2692" t="str">
            <v>92007STS GAMBY &amp; FRERES (SOGAF) SarlScratch 2 000</v>
          </cell>
          <cell r="V2692" t="str">
            <v>39332Scratch 2 000</v>
          </cell>
          <cell r="W2692" t="str">
            <v>2007STS GAMBY &amp; FRERES (SOGAF) Sarl</v>
          </cell>
          <cell r="X2692" t="str">
            <v>2007STS GAMBY &amp; FRERES (SOGAF) SarlScratch 2 000</v>
          </cell>
        </row>
        <row r="2693">
          <cell r="I2693">
            <v>2007</v>
          </cell>
          <cell r="J2693" t="str">
            <v>STS GAMBY &amp; FRERES (SOGAF) SarlScratch 1 000</v>
          </cell>
          <cell r="L2693">
            <v>0</v>
          </cell>
          <cell r="M2693" t="str">
            <v>STS GAMBY &amp; FRERES (SOGAF) Sarl</v>
          </cell>
          <cell r="N2693" t="str">
            <v>STS GAMBY &amp; FRERES (SOGAF) SarlScratch 1 000</v>
          </cell>
          <cell r="O2693" t="str">
            <v>STS GAMBY &amp; FRERES (SOGAF) Sarl</v>
          </cell>
          <cell r="P2693" t="str">
            <v>Scratch 1 000</v>
          </cell>
          <cell r="Q2693" t="str">
            <v>92007</v>
          </cell>
          <cell r="R2693" t="str">
            <v>92007Scratch 1 000</v>
          </cell>
          <cell r="S2693" t="str">
            <v>2007Scratch 1 000</v>
          </cell>
          <cell r="T2693" t="str">
            <v>92007STS GAMBY &amp; FRERES (SOGAF) Sarl</v>
          </cell>
          <cell r="U2693" t="str">
            <v>92007STS GAMBY &amp; FRERES (SOGAF) SarlScratch 1 000</v>
          </cell>
          <cell r="V2693" t="str">
            <v>39332Scratch 1 000</v>
          </cell>
          <cell r="W2693" t="str">
            <v>2007STS GAMBY &amp; FRERES (SOGAF) Sarl</v>
          </cell>
          <cell r="X2693" t="str">
            <v>2007STS GAMBY &amp; FRERES (SOGAF) SarlScratch 1 000</v>
          </cell>
        </row>
        <row r="2694">
          <cell r="I2694">
            <v>2007</v>
          </cell>
          <cell r="J2694" t="str">
            <v>Burtel MacsymScratch 20 000</v>
          </cell>
          <cell r="L2694">
            <v>1</v>
          </cell>
          <cell r="M2694" t="str">
            <v>1Burtel Macsym</v>
          </cell>
          <cell r="N2694" t="str">
            <v>Burtel MacsymScratch 20 000</v>
          </cell>
          <cell r="O2694" t="str">
            <v>Burtel Macsym</v>
          </cell>
          <cell r="P2694" t="str">
            <v>Scratch 20 000</v>
          </cell>
          <cell r="Q2694" t="str">
            <v>92007</v>
          </cell>
          <cell r="R2694" t="str">
            <v>92007Scratch 20 000</v>
          </cell>
          <cell r="S2694" t="str">
            <v>2007Scratch 20 000</v>
          </cell>
          <cell r="T2694" t="str">
            <v>92007Burtel Macsym</v>
          </cell>
          <cell r="U2694" t="str">
            <v>92007Burtel MacsymScratch 20 000</v>
          </cell>
          <cell r="V2694" t="str">
            <v>39332Scratch 20 000</v>
          </cell>
          <cell r="W2694" t="str">
            <v>2007Burtel Macsym</v>
          </cell>
          <cell r="X2694" t="str">
            <v>2007Burtel MacsymScratch 20 000</v>
          </cell>
        </row>
        <row r="2695">
          <cell r="I2695">
            <v>2007</v>
          </cell>
          <cell r="J2695" t="str">
            <v>Burtel MacsymScratch 10 000</v>
          </cell>
          <cell r="L2695">
            <v>0</v>
          </cell>
          <cell r="M2695" t="str">
            <v>Burtel Macsym</v>
          </cell>
          <cell r="N2695" t="str">
            <v>Burtel MacsymScratch 10 000</v>
          </cell>
          <cell r="O2695" t="str">
            <v>Burtel Macsym</v>
          </cell>
          <cell r="P2695" t="str">
            <v>Scratch 10 000</v>
          </cell>
          <cell r="Q2695" t="str">
            <v>92007</v>
          </cell>
          <cell r="R2695" t="str">
            <v>92007Scratch 10 000</v>
          </cell>
          <cell r="S2695" t="str">
            <v>2007Scratch 10 000</v>
          </cell>
          <cell r="T2695" t="str">
            <v>92007Burtel Macsym</v>
          </cell>
          <cell r="U2695" t="str">
            <v>92007Burtel MacsymScratch 10 000</v>
          </cell>
          <cell r="V2695" t="str">
            <v>39332Scratch 10 000</v>
          </cell>
          <cell r="W2695" t="str">
            <v>2007Burtel Macsym</v>
          </cell>
          <cell r="X2695" t="str">
            <v>2007Burtel MacsymScratch 10 000</v>
          </cell>
        </row>
        <row r="2696">
          <cell r="I2696">
            <v>2007</v>
          </cell>
          <cell r="J2696" t="str">
            <v>Burtel MacsymScratch 5 000</v>
          </cell>
          <cell r="L2696">
            <v>0</v>
          </cell>
          <cell r="M2696" t="str">
            <v>Burtel Macsym</v>
          </cell>
          <cell r="N2696" t="str">
            <v>Burtel MacsymScratch 5 000</v>
          </cell>
          <cell r="O2696" t="str">
            <v>Burtel Macsym</v>
          </cell>
          <cell r="P2696" t="str">
            <v>Scratch 5 000</v>
          </cell>
          <cell r="Q2696" t="str">
            <v>92007</v>
          </cell>
          <cell r="R2696" t="str">
            <v>92007Scratch 5 000</v>
          </cell>
          <cell r="S2696" t="str">
            <v>2007Scratch 5 000</v>
          </cell>
          <cell r="T2696" t="str">
            <v>92007Burtel Macsym</v>
          </cell>
          <cell r="U2696" t="str">
            <v>92007Burtel MacsymScratch 5 000</v>
          </cell>
          <cell r="V2696" t="str">
            <v>39332Scratch 5 000</v>
          </cell>
          <cell r="W2696" t="str">
            <v>2007Burtel Macsym</v>
          </cell>
          <cell r="X2696" t="str">
            <v>2007Burtel MacsymScratch 5 000</v>
          </cell>
        </row>
        <row r="2697">
          <cell r="I2697">
            <v>2007</v>
          </cell>
          <cell r="J2697" t="str">
            <v>Burtel MacsymScratch 2 000</v>
          </cell>
          <cell r="L2697">
            <v>0</v>
          </cell>
          <cell r="M2697" t="str">
            <v>Burtel Macsym</v>
          </cell>
          <cell r="N2697" t="str">
            <v>Burtel MacsymScratch 2 000</v>
          </cell>
          <cell r="O2697" t="str">
            <v>Burtel Macsym</v>
          </cell>
          <cell r="P2697" t="str">
            <v>Scratch 2 000</v>
          </cell>
          <cell r="Q2697" t="str">
            <v>92007</v>
          </cell>
          <cell r="R2697" t="str">
            <v>92007Scratch 2 000</v>
          </cell>
          <cell r="S2697" t="str">
            <v>2007Scratch 2 000</v>
          </cell>
          <cell r="T2697" t="str">
            <v>92007Burtel Macsym</v>
          </cell>
          <cell r="U2697" t="str">
            <v>92007Burtel MacsymScratch 2 000</v>
          </cell>
          <cell r="V2697" t="str">
            <v>39332Scratch 2 000</v>
          </cell>
          <cell r="W2697" t="str">
            <v>2007Burtel Macsym</v>
          </cell>
          <cell r="X2697" t="str">
            <v>2007Burtel MacsymScratch 2 000</v>
          </cell>
        </row>
        <row r="2698">
          <cell r="I2698">
            <v>2007</v>
          </cell>
          <cell r="J2698" t="str">
            <v>Burtel MacsymScratch 1 000</v>
          </cell>
          <cell r="L2698">
            <v>0</v>
          </cell>
          <cell r="M2698" t="str">
            <v>Burtel Macsym</v>
          </cell>
          <cell r="N2698" t="str">
            <v>Burtel MacsymScratch 1 000</v>
          </cell>
          <cell r="O2698" t="str">
            <v>Burtel Macsym</v>
          </cell>
          <cell r="P2698" t="str">
            <v>Scratch 1 000</v>
          </cell>
          <cell r="Q2698" t="str">
            <v>92007</v>
          </cell>
          <cell r="R2698" t="str">
            <v>92007Scratch 1 000</v>
          </cell>
          <cell r="S2698" t="str">
            <v>2007Scratch 1 000</v>
          </cell>
          <cell r="T2698" t="str">
            <v>92007Burtel Macsym</v>
          </cell>
          <cell r="U2698" t="str">
            <v>92007Burtel MacsymScratch 1 000</v>
          </cell>
          <cell r="V2698" t="str">
            <v>39332Scratch 1 000</v>
          </cell>
          <cell r="W2698" t="str">
            <v>2007Burtel Macsym</v>
          </cell>
          <cell r="X2698" t="str">
            <v>2007Burtel MacsymScratch 1 000</v>
          </cell>
        </row>
        <row r="2699">
          <cell r="I2699">
            <v>2007</v>
          </cell>
          <cell r="J2699" t="str">
            <v>Compagnie Internationale de NegoceScratch 10 000</v>
          </cell>
          <cell r="L2699">
            <v>1</v>
          </cell>
          <cell r="M2699" t="str">
            <v>1Compagnie Internationale de Negoce</v>
          </cell>
          <cell r="N2699" t="str">
            <v>Compagnie Internationale de NegoceScratch 10 000</v>
          </cell>
          <cell r="O2699" t="str">
            <v>Compagnie Internationale de Negoce</v>
          </cell>
          <cell r="P2699" t="str">
            <v>Scratch 10 000</v>
          </cell>
          <cell r="Q2699" t="str">
            <v>92007</v>
          </cell>
          <cell r="R2699" t="str">
            <v>92007Scratch 10 000</v>
          </cell>
          <cell r="S2699" t="str">
            <v>2007Scratch 10 000</v>
          </cell>
          <cell r="T2699" t="str">
            <v>92007Compagnie Internationale de Negoce</v>
          </cell>
          <cell r="U2699" t="str">
            <v>92007Compagnie Internationale de NegoceScratch 10 000</v>
          </cell>
          <cell r="V2699" t="str">
            <v>39332Scratch 10 000</v>
          </cell>
          <cell r="W2699" t="str">
            <v>2007Compagnie Internationale de Negoce</v>
          </cell>
          <cell r="X2699" t="str">
            <v>2007Compagnie Internationale de NegoceScratch 10 000</v>
          </cell>
        </row>
        <row r="2700">
          <cell r="I2700">
            <v>2007</v>
          </cell>
          <cell r="J2700" t="str">
            <v>Compagnie Internationale de NegoceScratch 5 000</v>
          </cell>
          <cell r="L2700">
            <v>0</v>
          </cell>
          <cell r="M2700" t="str">
            <v>Compagnie Internationale de Negoce</v>
          </cell>
          <cell r="N2700" t="str">
            <v>Compagnie Internationale de NegoceScratch 5 000</v>
          </cell>
          <cell r="O2700" t="str">
            <v>Compagnie Internationale de Negoce</v>
          </cell>
          <cell r="P2700" t="str">
            <v>Scratch 5 000</v>
          </cell>
          <cell r="Q2700" t="str">
            <v>92007</v>
          </cell>
          <cell r="R2700" t="str">
            <v>92007Scratch 5 000</v>
          </cell>
          <cell r="S2700" t="str">
            <v>2007Scratch 5 000</v>
          </cell>
          <cell r="T2700" t="str">
            <v>92007Compagnie Internationale de Negoce</v>
          </cell>
          <cell r="U2700" t="str">
            <v>92007Compagnie Internationale de NegoceScratch 5 000</v>
          </cell>
          <cell r="V2700" t="str">
            <v>39332Scratch 5 000</v>
          </cell>
          <cell r="W2700" t="str">
            <v>2007Compagnie Internationale de Negoce</v>
          </cell>
          <cell r="X2700" t="str">
            <v>2007Compagnie Internationale de NegoceScratch 5 000</v>
          </cell>
        </row>
        <row r="2701">
          <cell r="I2701">
            <v>2007</v>
          </cell>
          <cell r="J2701" t="str">
            <v>Compagnie Internationale de NegoceScratch 2 000</v>
          </cell>
          <cell r="L2701">
            <v>0</v>
          </cell>
          <cell r="M2701" t="str">
            <v>Compagnie Internationale de Negoce</v>
          </cell>
          <cell r="N2701" t="str">
            <v>Compagnie Internationale de NegoceScratch 2 000</v>
          </cell>
          <cell r="O2701" t="str">
            <v>Compagnie Internationale de Negoce</v>
          </cell>
          <cell r="P2701" t="str">
            <v>Scratch 2 000</v>
          </cell>
          <cell r="Q2701" t="str">
            <v>92007</v>
          </cell>
          <cell r="R2701" t="str">
            <v>92007Scratch 2 000</v>
          </cell>
          <cell r="S2701" t="str">
            <v>2007Scratch 2 000</v>
          </cell>
          <cell r="T2701" t="str">
            <v>92007Compagnie Internationale de Negoce</v>
          </cell>
          <cell r="U2701" t="str">
            <v>92007Compagnie Internationale de NegoceScratch 2 000</v>
          </cell>
          <cell r="V2701" t="str">
            <v>39332Scratch 2 000</v>
          </cell>
          <cell r="W2701" t="str">
            <v>2007Compagnie Internationale de Negoce</v>
          </cell>
          <cell r="X2701" t="str">
            <v>2007Compagnie Internationale de NegoceScratch 2 000</v>
          </cell>
        </row>
        <row r="2702">
          <cell r="I2702">
            <v>2007</v>
          </cell>
          <cell r="J2702" t="str">
            <v>Compagnie Internationale de NegoceScratch 1 000</v>
          </cell>
          <cell r="L2702">
            <v>0</v>
          </cell>
          <cell r="M2702" t="str">
            <v>Compagnie Internationale de Negoce</v>
          </cell>
          <cell r="N2702" t="str">
            <v>Compagnie Internationale de NegoceScratch 1 000</v>
          </cell>
          <cell r="O2702" t="str">
            <v>Compagnie Internationale de Negoce</v>
          </cell>
          <cell r="P2702" t="str">
            <v>Scratch 1 000</v>
          </cell>
          <cell r="Q2702" t="str">
            <v>92007</v>
          </cell>
          <cell r="R2702" t="str">
            <v>92007Scratch 1 000</v>
          </cell>
          <cell r="S2702" t="str">
            <v>2007Scratch 1 000</v>
          </cell>
          <cell r="T2702" t="str">
            <v>92007Compagnie Internationale de Negoce</v>
          </cell>
          <cell r="U2702" t="str">
            <v>92007Compagnie Internationale de NegoceScratch 1 000</v>
          </cell>
          <cell r="V2702" t="str">
            <v>39332Scratch 1 000</v>
          </cell>
          <cell r="W2702" t="str">
            <v>2007Compagnie Internationale de Negoce</v>
          </cell>
          <cell r="X2702" t="str">
            <v>2007Compagnie Internationale de NegoceScratch 1 000</v>
          </cell>
        </row>
        <row r="2703">
          <cell r="I2703">
            <v>2007</v>
          </cell>
          <cell r="J2703" t="str">
            <v>Ets Boubacar TANDIAScratch 20 000</v>
          </cell>
          <cell r="L2703">
            <v>1</v>
          </cell>
          <cell r="M2703" t="str">
            <v>1Ets Boubacar TANDIA</v>
          </cell>
          <cell r="N2703" t="str">
            <v>Ets Boubacar TANDIAScratch 20 000</v>
          </cell>
          <cell r="O2703" t="str">
            <v>Ets Boubacar TANDIA</v>
          </cell>
          <cell r="P2703" t="str">
            <v>Scratch 20 000</v>
          </cell>
          <cell r="Q2703" t="str">
            <v>92007</v>
          </cell>
          <cell r="R2703" t="str">
            <v>92007Scratch 20 000</v>
          </cell>
          <cell r="S2703" t="str">
            <v>2007Scratch 20 000</v>
          </cell>
          <cell r="T2703" t="str">
            <v>92007Ets Boubacar TANDIA</v>
          </cell>
          <cell r="U2703" t="str">
            <v>92007Ets Boubacar TANDIAScratch 20 000</v>
          </cell>
          <cell r="V2703" t="str">
            <v>39332Scratch 20 000</v>
          </cell>
          <cell r="W2703" t="str">
            <v>2007Ets Boubacar TANDIA</v>
          </cell>
          <cell r="X2703" t="str">
            <v>2007Ets Boubacar TANDIAScratch 20 000</v>
          </cell>
        </row>
        <row r="2704">
          <cell r="I2704">
            <v>2007</v>
          </cell>
          <cell r="J2704" t="str">
            <v>Ets Boubacar TANDIAScratch 5 000</v>
          </cell>
          <cell r="L2704">
            <v>0</v>
          </cell>
          <cell r="M2704" t="str">
            <v>Ets Boubacar TANDIA</v>
          </cell>
          <cell r="N2704" t="str">
            <v>Ets Boubacar TANDIAScratch 5 000</v>
          </cell>
          <cell r="O2704" t="str">
            <v>Ets Boubacar TANDIA</v>
          </cell>
          <cell r="P2704" t="str">
            <v>Scratch 5 000</v>
          </cell>
          <cell r="Q2704" t="str">
            <v>92007</v>
          </cell>
          <cell r="R2704" t="str">
            <v>92007Scratch 5 000</v>
          </cell>
          <cell r="S2704" t="str">
            <v>2007Scratch 5 000</v>
          </cell>
          <cell r="T2704" t="str">
            <v>92007Ets Boubacar TANDIA</v>
          </cell>
          <cell r="U2704" t="str">
            <v>92007Ets Boubacar TANDIAScratch 5 000</v>
          </cell>
          <cell r="V2704" t="str">
            <v>39332Scratch 5 000</v>
          </cell>
          <cell r="W2704" t="str">
            <v>2007Ets Boubacar TANDIA</v>
          </cell>
          <cell r="X2704" t="str">
            <v>2007Ets Boubacar TANDIAScratch 5 000</v>
          </cell>
        </row>
        <row r="2705">
          <cell r="I2705">
            <v>2007</v>
          </cell>
          <cell r="J2705" t="str">
            <v>Ets Boubacar TANDIAScratch 2 000</v>
          </cell>
          <cell r="L2705">
            <v>0</v>
          </cell>
          <cell r="M2705" t="str">
            <v>Ets Boubacar TANDIA</v>
          </cell>
          <cell r="N2705" t="str">
            <v>Ets Boubacar TANDIAScratch 2 000</v>
          </cell>
          <cell r="O2705" t="str">
            <v>Ets Boubacar TANDIA</v>
          </cell>
          <cell r="P2705" t="str">
            <v>Scratch 2 000</v>
          </cell>
          <cell r="Q2705" t="str">
            <v>92007</v>
          </cell>
          <cell r="R2705" t="str">
            <v>92007Scratch 2 000</v>
          </cell>
          <cell r="S2705" t="str">
            <v>2007Scratch 2 000</v>
          </cell>
          <cell r="T2705" t="str">
            <v>92007Ets Boubacar TANDIA</v>
          </cell>
          <cell r="U2705" t="str">
            <v>92007Ets Boubacar TANDIAScratch 2 000</v>
          </cell>
          <cell r="V2705" t="str">
            <v>39332Scratch 2 000</v>
          </cell>
          <cell r="W2705" t="str">
            <v>2007Ets Boubacar TANDIA</v>
          </cell>
          <cell r="X2705" t="str">
            <v>2007Ets Boubacar TANDIAScratch 2 000</v>
          </cell>
        </row>
        <row r="2706">
          <cell r="I2706">
            <v>2007</v>
          </cell>
          <cell r="J2706" t="str">
            <v>Ets Boubacar TANDIAScratch 1 000</v>
          </cell>
          <cell r="L2706">
            <v>0</v>
          </cell>
          <cell r="M2706" t="str">
            <v>Ets Boubacar TANDIA</v>
          </cell>
          <cell r="N2706" t="str">
            <v>Ets Boubacar TANDIAScratch 1 000</v>
          </cell>
          <cell r="O2706" t="str">
            <v>Ets Boubacar TANDIA</v>
          </cell>
          <cell r="P2706" t="str">
            <v>Scratch 1 000</v>
          </cell>
          <cell r="Q2706" t="str">
            <v>92007</v>
          </cell>
          <cell r="R2706" t="str">
            <v>92007Scratch 1 000</v>
          </cell>
          <cell r="S2706" t="str">
            <v>2007Scratch 1 000</v>
          </cell>
          <cell r="T2706" t="str">
            <v>92007Ets Boubacar TANDIA</v>
          </cell>
          <cell r="U2706" t="str">
            <v>92007Ets Boubacar TANDIAScratch 1 000</v>
          </cell>
          <cell r="V2706" t="str">
            <v>39332Scratch 1 000</v>
          </cell>
          <cell r="W2706" t="str">
            <v>2007Ets Boubacar TANDIA</v>
          </cell>
          <cell r="X2706" t="str">
            <v>2007Ets Boubacar TANDIAScratch 1 000</v>
          </cell>
        </row>
        <row r="2707">
          <cell r="I2707">
            <v>2007</v>
          </cell>
          <cell r="J2707" t="str">
            <v>GEMATELScratch 10 000</v>
          </cell>
          <cell r="L2707">
            <v>1</v>
          </cell>
          <cell r="M2707" t="str">
            <v>1GEMATEL</v>
          </cell>
          <cell r="N2707" t="str">
            <v>GEMATELScratch 10 000</v>
          </cell>
          <cell r="O2707" t="str">
            <v>GEMATEL</v>
          </cell>
          <cell r="P2707" t="str">
            <v>Scratch 10 000</v>
          </cell>
          <cell r="Q2707" t="str">
            <v>92007</v>
          </cell>
          <cell r="R2707" t="str">
            <v>92007Scratch 10 000</v>
          </cell>
          <cell r="S2707" t="str">
            <v>2007Scratch 10 000</v>
          </cell>
          <cell r="T2707" t="str">
            <v>92007GEMATEL</v>
          </cell>
          <cell r="U2707" t="str">
            <v>92007GEMATELScratch 10 000</v>
          </cell>
          <cell r="V2707" t="str">
            <v>39332Scratch 10 000</v>
          </cell>
          <cell r="W2707" t="str">
            <v>2007GEMATEL</v>
          </cell>
          <cell r="X2707" t="str">
            <v>2007GEMATELScratch 10 000</v>
          </cell>
        </row>
        <row r="2708">
          <cell r="I2708">
            <v>2007</v>
          </cell>
          <cell r="J2708" t="str">
            <v>GEMATELScratch 5 000</v>
          </cell>
          <cell r="L2708">
            <v>0</v>
          </cell>
          <cell r="M2708" t="str">
            <v>GEMATEL</v>
          </cell>
          <cell r="N2708" t="str">
            <v>GEMATELScratch 5 000</v>
          </cell>
          <cell r="O2708" t="str">
            <v>GEMATEL</v>
          </cell>
          <cell r="P2708" t="str">
            <v>Scratch 5 000</v>
          </cell>
          <cell r="Q2708" t="str">
            <v>92007</v>
          </cell>
          <cell r="R2708" t="str">
            <v>92007Scratch 5 000</v>
          </cell>
          <cell r="S2708" t="str">
            <v>2007Scratch 5 000</v>
          </cell>
          <cell r="T2708" t="str">
            <v>92007GEMATEL</v>
          </cell>
          <cell r="U2708" t="str">
            <v>92007GEMATELScratch 5 000</v>
          </cell>
          <cell r="V2708" t="str">
            <v>39332Scratch 5 000</v>
          </cell>
          <cell r="W2708" t="str">
            <v>2007GEMATEL</v>
          </cell>
          <cell r="X2708" t="str">
            <v>2007GEMATELScratch 5 000</v>
          </cell>
        </row>
        <row r="2709">
          <cell r="I2709">
            <v>2007</v>
          </cell>
          <cell r="J2709" t="str">
            <v>GEMATELScratch 2 000</v>
          </cell>
          <cell r="L2709">
            <v>0</v>
          </cell>
          <cell r="M2709" t="str">
            <v>GEMATEL</v>
          </cell>
          <cell r="N2709" t="str">
            <v>GEMATELScratch 2 000</v>
          </cell>
          <cell r="O2709" t="str">
            <v>GEMATEL</v>
          </cell>
          <cell r="P2709" t="str">
            <v>Scratch 2 000</v>
          </cell>
          <cell r="Q2709" t="str">
            <v>92007</v>
          </cell>
          <cell r="R2709" t="str">
            <v>92007Scratch 2 000</v>
          </cell>
          <cell r="S2709" t="str">
            <v>2007Scratch 2 000</v>
          </cell>
          <cell r="T2709" t="str">
            <v>92007GEMATEL</v>
          </cell>
          <cell r="U2709" t="str">
            <v>92007GEMATELScratch 2 000</v>
          </cell>
          <cell r="V2709" t="str">
            <v>39332Scratch 2 000</v>
          </cell>
          <cell r="W2709" t="str">
            <v>2007GEMATEL</v>
          </cell>
          <cell r="X2709" t="str">
            <v>2007GEMATELScratch 2 000</v>
          </cell>
        </row>
        <row r="2710">
          <cell r="I2710">
            <v>2007</v>
          </cell>
          <cell r="J2710" t="str">
            <v>GEMATELScratch 1 000</v>
          </cell>
          <cell r="L2710">
            <v>0</v>
          </cell>
          <cell r="M2710" t="str">
            <v>GEMATEL</v>
          </cell>
          <cell r="N2710" t="str">
            <v>GEMATELScratch 1 000</v>
          </cell>
          <cell r="O2710" t="str">
            <v>GEMATEL</v>
          </cell>
          <cell r="P2710" t="str">
            <v>Scratch 1 000</v>
          </cell>
          <cell r="Q2710" t="str">
            <v>92007</v>
          </cell>
          <cell r="R2710" t="str">
            <v>92007Scratch 1 000</v>
          </cell>
          <cell r="S2710" t="str">
            <v>2007Scratch 1 000</v>
          </cell>
          <cell r="T2710" t="str">
            <v>92007GEMATEL</v>
          </cell>
          <cell r="U2710" t="str">
            <v>92007GEMATELScratch 1 000</v>
          </cell>
          <cell r="V2710" t="str">
            <v>39332Scratch 1 000</v>
          </cell>
          <cell r="W2710" t="str">
            <v>2007GEMATEL</v>
          </cell>
          <cell r="X2710" t="str">
            <v>2007GEMATELScratch 1 000</v>
          </cell>
        </row>
        <row r="2711">
          <cell r="I2711">
            <v>2007</v>
          </cell>
          <cell r="J2711" t="str">
            <v>ANKA SERVICESScratch 5 000</v>
          </cell>
          <cell r="L2711">
            <v>1</v>
          </cell>
          <cell r="M2711" t="str">
            <v>1ANKA SERVICES</v>
          </cell>
          <cell r="N2711" t="str">
            <v>ANKA SERVICESScratch 5 000</v>
          </cell>
          <cell r="O2711" t="str">
            <v>ANKA SERVICES</v>
          </cell>
          <cell r="P2711" t="str">
            <v>Scratch 5 000</v>
          </cell>
          <cell r="Q2711" t="str">
            <v>92007</v>
          </cell>
          <cell r="R2711" t="str">
            <v>92007Scratch 5 000</v>
          </cell>
          <cell r="S2711" t="str">
            <v>2007Scratch 5 000</v>
          </cell>
          <cell r="T2711" t="str">
            <v>92007ANKA SERVICES</v>
          </cell>
          <cell r="U2711" t="str">
            <v>92007ANKA SERVICESScratch 5 000</v>
          </cell>
          <cell r="V2711" t="str">
            <v>39332Scratch 5 000</v>
          </cell>
          <cell r="W2711" t="str">
            <v>2007ANKA SERVICES</v>
          </cell>
          <cell r="X2711" t="str">
            <v>2007ANKA SERVICESScratch 5 000</v>
          </cell>
        </row>
        <row r="2712">
          <cell r="I2712">
            <v>2007</v>
          </cell>
          <cell r="J2712" t="str">
            <v>ANKA SERVICESScratch 2 000</v>
          </cell>
          <cell r="L2712">
            <v>0</v>
          </cell>
          <cell r="M2712" t="str">
            <v>ANKA SERVICES</v>
          </cell>
          <cell r="N2712" t="str">
            <v>ANKA SERVICESScratch 2 000</v>
          </cell>
          <cell r="O2712" t="str">
            <v>ANKA SERVICES</v>
          </cell>
          <cell r="P2712" t="str">
            <v>Scratch 2 000</v>
          </cell>
          <cell r="Q2712" t="str">
            <v>92007</v>
          </cell>
          <cell r="R2712" t="str">
            <v>92007Scratch 2 000</v>
          </cell>
          <cell r="S2712" t="str">
            <v>2007Scratch 2 000</v>
          </cell>
          <cell r="T2712" t="str">
            <v>92007ANKA SERVICES</v>
          </cell>
          <cell r="U2712" t="str">
            <v>92007ANKA SERVICESScratch 2 000</v>
          </cell>
          <cell r="V2712" t="str">
            <v>39332Scratch 2 000</v>
          </cell>
          <cell r="W2712" t="str">
            <v>2007ANKA SERVICES</v>
          </cell>
          <cell r="X2712" t="str">
            <v>2007ANKA SERVICESScratch 2 000</v>
          </cell>
        </row>
        <row r="2713">
          <cell r="I2713">
            <v>2007</v>
          </cell>
          <cell r="J2713" t="str">
            <v>ANKA SERVICESScratch 1 000</v>
          </cell>
          <cell r="L2713">
            <v>0</v>
          </cell>
          <cell r="M2713" t="str">
            <v>ANKA SERVICES</v>
          </cell>
          <cell r="N2713" t="str">
            <v>ANKA SERVICESScratch 1 000</v>
          </cell>
          <cell r="O2713" t="str">
            <v>ANKA SERVICES</v>
          </cell>
          <cell r="P2713" t="str">
            <v>Scratch 1 000</v>
          </cell>
          <cell r="Q2713" t="str">
            <v>92007</v>
          </cell>
          <cell r="R2713" t="str">
            <v>92007Scratch 1 000</v>
          </cell>
          <cell r="S2713" t="str">
            <v>2007Scratch 1 000</v>
          </cell>
          <cell r="T2713" t="str">
            <v>92007ANKA SERVICES</v>
          </cell>
          <cell r="U2713" t="str">
            <v>92007ANKA SERVICESScratch 1 000</v>
          </cell>
          <cell r="V2713" t="str">
            <v>39332Scratch 1 000</v>
          </cell>
          <cell r="W2713" t="str">
            <v>2007ANKA SERVICES</v>
          </cell>
          <cell r="X2713" t="str">
            <v>2007ANKA SERVICESScratch 1 000</v>
          </cell>
        </row>
        <row r="2714">
          <cell r="I2714">
            <v>2007</v>
          </cell>
          <cell r="J2714" t="str">
            <v>SOMAKOFFScratch 5 000</v>
          </cell>
          <cell r="L2714">
            <v>1</v>
          </cell>
          <cell r="M2714" t="str">
            <v>1SOMAKOFF</v>
          </cell>
          <cell r="N2714" t="str">
            <v>SOMAKOFFScratch 5 000</v>
          </cell>
          <cell r="O2714" t="str">
            <v>SOMAKOFF</v>
          </cell>
          <cell r="P2714" t="str">
            <v>Scratch 5 000</v>
          </cell>
          <cell r="Q2714" t="str">
            <v>92007</v>
          </cell>
          <cell r="R2714" t="str">
            <v>92007Scratch 5 000</v>
          </cell>
          <cell r="S2714" t="str">
            <v>2007Scratch 5 000</v>
          </cell>
          <cell r="T2714" t="str">
            <v>92007SOMAKOFF</v>
          </cell>
          <cell r="U2714" t="str">
            <v>92007SOMAKOFFScratch 5 000</v>
          </cell>
          <cell r="V2714" t="str">
            <v>39332Scratch 5 000</v>
          </cell>
          <cell r="W2714" t="str">
            <v>2007SOMAKOFF</v>
          </cell>
          <cell r="X2714" t="str">
            <v>2007SOMAKOFFScratch 5 000</v>
          </cell>
        </row>
        <row r="2715">
          <cell r="I2715">
            <v>2007</v>
          </cell>
          <cell r="J2715" t="str">
            <v>SOMAKOFFScratch 2 000</v>
          </cell>
          <cell r="L2715">
            <v>0</v>
          </cell>
          <cell r="M2715" t="str">
            <v>SOMAKOFF</v>
          </cell>
          <cell r="N2715" t="str">
            <v>SOMAKOFFScratch 2 000</v>
          </cell>
          <cell r="O2715" t="str">
            <v>SOMAKOFF</v>
          </cell>
          <cell r="P2715" t="str">
            <v>Scratch 2 000</v>
          </cell>
          <cell r="Q2715" t="str">
            <v>92007</v>
          </cell>
          <cell r="R2715" t="str">
            <v>92007Scratch 2 000</v>
          </cell>
          <cell r="S2715" t="str">
            <v>2007Scratch 2 000</v>
          </cell>
          <cell r="T2715" t="str">
            <v>92007SOMAKOFF</v>
          </cell>
          <cell r="U2715" t="str">
            <v>92007SOMAKOFFScratch 2 000</v>
          </cell>
          <cell r="V2715" t="str">
            <v>39332Scratch 2 000</v>
          </cell>
          <cell r="W2715" t="str">
            <v>2007SOMAKOFF</v>
          </cell>
          <cell r="X2715" t="str">
            <v>2007SOMAKOFFScratch 2 000</v>
          </cell>
        </row>
        <row r="2716">
          <cell r="I2716">
            <v>2007</v>
          </cell>
          <cell r="J2716" t="str">
            <v>SOMAKOFFScratch 1 000</v>
          </cell>
          <cell r="L2716">
            <v>0</v>
          </cell>
          <cell r="M2716" t="str">
            <v>SOMAKOFF</v>
          </cell>
          <cell r="N2716" t="str">
            <v>SOMAKOFFScratch 1 000</v>
          </cell>
          <cell r="O2716" t="str">
            <v>SOMAKOFF</v>
          </cell>
          <cell r="P2716" t="str">
            <v>Scratch 1 000</v>
          </cell>
          <cell r="Q2716" t="str">
            <v>92007</v>
          </cell>
          <cell r="R2716" t="str">
            <v>92007Scratch 1 000</v>
          </cell>
          <cell r="S2716" t="str">
            <v>2007Scratch 1 000</v>
          </cell>
          <cell r="T2716" t="str">
            <v>92007SOMAKOFF</v>
          </cell>
          <cell r="U2716" t="str">
            <v>92007SOMAKOFFScratch 1 000</v>
          </cell>
          <cell r="V2716" t="str">
            <v>39332Scratch 1 000</v>
          </cell>
          <cell r="W2716" t="str">
            <v>2007SOMAKOFF</v>
          </cell>
          <cell r="X2716" t="str">
            <v>2007SOMAKOFFScratch 1 000</v>
          </cell>
        </row>
        <row r="2717">
          <cell r="I2717">
            <v>2007</v>
          </cell>
          <cell r="J2717" t="str">
            <v>GEMATELScratch 20 000</v>
          </cell>
          <cell r="L2717">
            <v>1</v>
          </cell>
          <cell r="M2717" t="str">
            <v>1GEMATEL</v>
          </cell>
          <cell r="N2717" t="str">
            <v>GEMATELScratch 20 000</v>
          </cell>
          <cell r="O2717" t="str">
            <v>GEMATEL</v>
          </cell>
          <cell r="P2717" t="str">
            <v>Scratch 20 000</v>
          </cell>
          <cell r="Q2717" t="str">
            <v>92007</v>
          </cell>
          <cell r="R2717" t="str">
            <v>92007Scratch 20 000</v>
          </cell>
          <cell r="S2717" t="str">
            <v>2007Scratch 20 000</v>
          </cell>
          <cell r="T2717" t="str">
            <v>92007GEMATEL</v>
          </cell>
          <cell r="U2717" t="str">
            <v>92007GEMATELScratch 20 000</v>
          </cell>
          <cell r="V2717" t="str">
            <v>39335Scratch 20 000</v>
          </cell>
          <cell r="W2717" t="str">
            <v>2007GEMATEL</v>
          </cell>
          <cell r="X2717" t="str">
            <v>2007GEMATELScratch 20 000</v>
          </cell>
        </row>
        <row r="2718">
          <cell r="I2718">
            <v>2007</v>
          </cell>
          <cell r="J2718" t="str">
            <v>GEMATELScratch 5 000</v>
          </cell>
          <cell r="L2718">
            <v>0</v>
          </cell>
          <cell r="M2718" t="str">
            <v>GEMATEL</v>
          </cell>
          <cell r="N2718" t="str">
            <v>GEMATELScratch 5 000</v>
          </cell>
          <cell r="O2718" t="str">
            <v>GEMATEL</v>
          </cell>
          <cell r="P2718" t="str">
            <v>Scratch 5 000</v>
          </cell>
          <cell r="Q2718" t="str">
            <v>92007</v>
          </cell>
          <cell r="R2718" t="str">
            <v>92007Scratch 5 000</v>
          </cell>
          <cell r="S2718" t="str">
            <v>2007Scratch 5 000</v>
          </cell>
          <cell r="T2718" t="str">
            <v>92007GEMATEL</v>
          </cell>
          <cell r="U2718" t="str">
            <v>92007GEMATELScratch 5 000</v>
          </cell>
          <cell r="V2718" t="str">
            <v>39335Scratch 5 000</v>
          </cell>
          <cell r="W2718" t="str">
            <v>2007GEMATEL</v>
          </cell>
          <cell r="X2718" t="str">
            <v>2007GEMATELScratch 5 000</v>
          </cell>
        </row>
        <row r="2719">
          <cell r="I2719">
            <v>2007</v>
          </cell>
          <cell r="J2719" t="str">
            <v>GEMATELScratch 2 000</v>
          </cell>
          <cell r="L2719">
            <v>0</v>
          </cell>
          <cell r="M2719" t="str">
            <v>GEMATEL</v>
          </cell>
          <cell r="N2719" t="str">
            <v>GEMATELScratch 2 000</v>
          </cell>
          <cell r="O2719" t="str">
            <v>GEMATEL</v>
          </cell>
          <cell r="P2719" t="str">
            <v>Scratch 2 000</v>
          </cell>
          <cell r="Q2719" t="str">
            <v>92007</v>
          </cell>
          <cell r="R2719" t="str">
            <v>92007Scratch 2 000</v>
          </cell>
          <cell r="S2719" t="str">
            <v>2007Scratch 2 000</v>
          </cell>
          <cell r="T2719" t="str">
            <v>92007GEMATEL</v>
          </cell>
          <cell r="U2719" t="str">
            <v>92007GEMATELScratch 2 000</v>
          </cell>
          <cell r="V2719" t="str">
            <v>39335Scratch 2 000</v>
          </cell>
          <cell r="W2719" t="str">
            <v>2007GEMATEL</v>
          </cell>
          <cell r="X2719" t="str">
            <v>2007GEMATELScratch 2 000</v>
          </cell>
        </row>
        <row r="2720">
          <cell r="I2720">
            <v>2007</v>
          </cell>
          <cell r="J2720" t="str">
            <v>GEMATELScratch 1 000</v>
          </cell>
          <cell r="L2720">
            <v>0</v>
          </cell>
          <cell r="M2720" t="str">
            <v>GEMATEL</v>
          </cell>
          <cell r="N2720" t="str">
            <v>GEMATELScratch 1 000</v>
          </cell>
          <cell r="O2720" t="str">
            <v>GEMATEL</v>
          </cell>
          <cell r="P2720" t="str">
            <v>Scratch 1 000</v>
          </cell>
          <cell r="Q2720" t="str">
            <v>92007</v>
          </cell>
          <cell r="R2720" t="str">
            <v>92007Scratch 1 000</v>
          </cell>
          <cell r="S2720" t="str">
            <v>2007Scratch 1 000</v>
          </cell>
          <cell r="T2720" t="str">
            <v>92007GEMATEL</v>
          </cell>
          <cell r="U2720" t="str">
            <v>92007GEMATELScratch 1 000</v>
          </cell>
          <cell r="V2720" t="str">
            <v>39335Scratch 1 000</v>
          </cell>
          <cell r="W2720" t="str">
            <v>2007GEMATEL</v>
          </cell>
          <cell r="X2720" t="str">
            <v>2007GEMATELScratch 1 000</v>
          </cell>
        </row>
        <row r="2721">
          <cell r="I2721">
            <v>2007</v>
          </cell>
          <cell r="J2721" t="str">
            <v>STS GAMBY &amp; FRERES (SOGAF) SarlScratch 5 000</v>
          </cell>
          <cell r="L2721">
            <v>1</v>
          </cell>
          <cell r="M2721" t="str">
            <v>1STS GAMBY &amp; FRERES (SOGAF) Sarl</v>
          </cell>
          <cell r="N2721" t="str">
            <v>STS GAMBY &amp; FRERES (SOGAF) SarlScratch 5 000</v>
          </cell>
          <cell r="O2721" t="str">
            <v>STS GAMBY &amp; FRERES (SOGAF) Sarl</v>
          </cell>
          <cell r="P2721" t="str">
            <v>Scratch 5 000</v>
          </cell>
          <cell r="Q2721" t="str">
            <v>92007</v>
          </cell>
          <cell r="R2721" t="str">
            <v>92007Scratch 5 000</v>
          </cell>
          <cell r="S2721" t="str">
            <v>2007Scratch 5 000</v>
          </cell>
          <cell r="T2721" t="str">
            <v>92007STS GAMBY &amp; FRERES (SOGAF) Sarl</v>
          </cell>
          <cell r="U2721" t="str">
            <v>92007STS GAMBY &amp; FRERES (SOGAF) SarlScratch 5 000</v>
          </cell>
          <cell r="V2721" t="str">
            <v>39335Scratch 5 000</v>
          </cell>
          <cell r="W2721" t="str">
            <v>2007STS GAMBY &amp; FRERES (SOGAF) Sarl</v>
          </cell>
          <cell r="X2721" t="str">
            <v>2007STS GAMBY &amp; FRERES (SOGAF) SarlScratch 5 000</v>
          </cell>
        </row>
        <row r="2722">
          <cell r="I2722">
            <v>2007</v>
          </cell>
          <cell r="J2722" t="str">
            <v>STS GAMBY &amp; FRERES (SOGAF) SarlScratch 2 000</v>
          </cell>
          <cell r="L2722">
            <v>0</v>
          </cell>
          <cell r="M2722" t="str">
            <v>STS GAMBY &amp; FRERES (SOGAF) Sarl</v>
          </cell>
          <cell r="N2722" t="str">
            <v>STS GAMBY &amp; FRERES (SOGAF) SarlScratch 2 000</v>
          </cell>
          <cell r="O2722" t="str">
            <v>STS GAMBY &amp; FRERES (SOGAF) Sarl</v>
          </cell>
          <cell r="P2722" t="str">
            <v>Scratch 2 000</v>
          </cell>
          <cell r="Q2722" t="str">
            <v>92007</v>
          </cell>
          <cell r="R2722" t="str">
            <v>92007Scratch 2 000</v>
          </cell>
          <cell r="S2722" t="str">
            <v>2007Scratch 2 000</v>
          </cell>
          <cell r="T2722" t="str">
            <v>92007STS GAMBY &amp; FRERES (SOGAF) Sarl</v>
          </cell>
          <cell r="U2722" t="str">
            <v>92007STS GAMBY &amp; FRERES (SOGAF) SarlScratch 2 000</v>
          </cell>
          <cell r="V2722" t="str">
            <v>39335Scratch 2 000</v>
          </cell>
          <cell r="W2722" t="str">
            <v>2007STS GAMBY &amp; FRERES (SOGAF) Sarl</v>
          </cell>
          <cell r="X2722" t="str">
            <v>2007STS GAMBY &amp; FRERES (SOGAF) SarlScratch 2 000</v>
          </cell>
        </row>
        <row r="2723">
          <cell r="I2723">
            <v>2007</v>
          </cell>
          <cell r="J2723" t="str">
            <v>STS GAMBY &amp; FRERES (SOGAF) SarlScratch 1 000</v>
          </cell>
          <cell r="L2723">
            <v>0</v>
          </cell>
          <cell r="M2723" t="str">
            <v>STS GAMBY &amp; FRERES (SOGAF) Sarl</v>
          </cell>
          <cell r="N2723" t="str">
            <v>STS GAMBY &amp; FRERES (SOGAF) SarlScratch 1 000</v>
          </cell>
          <cell r="O2723" t="str">
            <v>STS GAMBY &amp; FRERES (SOGAF) Sarl</v>
          </cell>
          <cell r="P2723" t="str">
            <v>Scratch 1 000</v>
          </cell>
          <cell r="Q2723" t="str">
            <v>92007</v>
          </cell>
          <cell r="R2723" t="str">
            <v>92007Scratch 1 000</v>
          </cell>
          <cell r="S2723" t="str">
            <v>2007Scratch 1 000</v>
          </cell>
          <cell r="T2723" t="str">
            <v>92007STS GAMBY &amp; FRERES (SOGAF) Sarl</v>
          </cell>
          <cell r="U2723" t="str">
            <v>92007STS GAMBY &amp; FRERES (SOGAF) SarlScratch 1 000</v>
          </cell>
          <cell r="V2723" t="str">
            <v>39335Scratch 1 000</v>
          </cell>
          <cell r="W2723" t="str">
            <v>2007STS GAMBY &amp; FRERES (SOGAF) Sarl</v>
          </cell>
          <cell r="X2723" t="str">
            <v>2007STS GAMBY &amp; FRERES (SOGAF) SarlScratch 1 000</v>
          </cell>
        </row>
        <row r="2724">
          <cell r="I2724">
            <v>2007</v>
          </cell>
          <cell r="J2724" t="str">
            <v>ANKA SERVICESScratch 20 000</v>
          </cell>
          <cell r="L2724">
            <v>1</v>
          </cell>
          <cell r="M2724" t="str">
            <v>1ANKA SERVICES</v>
          </cell>
          <cell r="N2724" t="str">
            <v>ANKA SERVICESScratch 20 000</v>
          </cell>
          <cell r="O2724" t="str">
            <v>ANKA SERVICES</v>
          </cell>
          <cell r="P2724" t="str">
            <v>Scratch 20 000</v>
          </cell>
          <cell r="Q2724" t="str">
            <v>92007</v>
          </cell>
          <cell r="R2724" t="str">
            <v>92007Scratch 20 000</v>
          </cell>
          <cell r="S2724" t="str">
            <v>2007Scratch 20 000</v>
          </cell>
          <cell r="T2724" t="str">
            <v>92007ANKA SERVICES</v>
          </cell>
          <cell r="U2724" t="str">
            <v>92007ANKA SERVICESScratch 20 000</v>
          </cell>
          <cell r="V2724" t="str">
            <v>39335Scratch 20 000</v>
          </cell>
          <cell r="W2724" t="str">
            <v>2007ANKA SERVICES</v>
          </cell>
          <cell r="X2724" t="str">
            <v>2007ANKA SERVICESScratch 20 000</v>
          </cell>
        </row>
        <row r="2725">
          <cell r="I2725">
            <v>2007</v>
          </cell>
          <cell r="J2725" t="str">
            <v>ANKA SERVICESScratch 5 000</v>
          </cell>
          <cell r="L2725">
            <v>0</v>
          </cell>
          <cell r="M2725" t="str">
            <v>ANKA SERVICES</v>
          </cell>
          <cell r="N2725" t="str">
            <v>ANKA SERVICESScratch 5 000</v>
          </cell>
          <cell r="O2725" t="str">
            <v>ANKA SERVICES</v>
          </cell>
          <cell r="P2725" t="str">
            <v>Scratch 5 000</v>
          </cell>
          <cell r="Q2725" t="str">
            <v>92007</v>
          </cell>
          <cell r="R2725" t="str">
            <v>92007Scratch 5 000</v>
          </cell>
          <cell r="S2725" t="str">
            <v>2007Scratch 5 000</v>
          </cell>
          <cell r="T2725" t="str">
            <v>92007ANKA SERVICES</v>
          </cell>
          <cell r="U2725" t="str">
            <v>92007ANKA SERVICESScratch 5 000</v>
          </cell>
          <cell r="V2725" t="str">
            <v>39335Scratch 5 000</v>
          </cell>
          <cell r="W2725" t="str">
            <v>2007ANKA SERVICES</v>
          </cell>
          <cell r="X2725" t="str">
            <v>2007ANKA SERVICESScratch 5 000</v>
          </cell>
        </row>
        <row r="2726">
          <cell r="I2726">
            <v>2007</v>
          </cell>
          <cell r="J2726" t="str">
            <v>ANKA SERVICESScratch 2 000</v>
          </cell>
          <cell r="L2726">
            <v>0</v>
          </cell>
          <cell r="M2726" t="str">
            <v>ANKA SERVICES</v>
          </cell>
          <cell r="N2726" t="str">
            <v>ANKA SERVICESScratch 2 000</v>
          </cell>
          <cell r="O2726" t="str">
            <v>ANKA SERVICES</v>
          </cell>
          <cell r="P2726" t="str">
            <v>Scratch 2 000</v>
          </cell>
          <cell r="Q2726" t="str">
            <v>92007</v>
          </cell>
          <cell r="R2726" t="str">
            <v>92007Scratch 2 000</v>
          </cell>
          <cell r="S2726" t="str">
            <v>2007Scratch 2 000</v>
          </cell>
          <cell r="T2726" t="str">
            <v>92007ANKA SERVICES</v>
          </cell>
          <cell r="U2726" t="str">
            <v>92007ANKA SERVICESScratch 2 000</v>
          </cell>
          <cell r="V2726" t="str">
            <v>39335Scratch 2 000</v>
          </cell>
          <cell r="W2726" t="str">
            <v>2007ANKA SERVICES</v>
          </cell>
          <cell r="X2726" t="str">
            <v>2007ANKA SERVICESScratch 2 000</v>
          </cell>
        </row>
        <row r="2727">
          <cell r="I2727">
            <v>2007</v>
          </cell>
          <cell r="J2727" t="str">
            <v>ANKA SERVICESScratch 1 000</v>
          </cell>
          <cell r="L2727">
            <v>0</v>
          </cell>
          <cell r="M2727" t="str">
            <v>ANKA SERVICES</v>
          </cell>
          <cell r="N2727" t="str">
            <v>ANKA SERVICESScratch 1 000</v>
          </cell>
          <cell r="O2727" t="str">
            <v>ANKA SERVICES</v>
          </cell>
          <cell r="P2727" t="str">
            <v>Scratch 1 000</v>
          </cell>
          <cell r="Q2727" t="str">
            <v>92007</v>
          </cell>
          <cell r="R2727" t="str">
            <v>92007Scratch 1 000</v>
          </cell>
          <cell r="S2727" t="str">
            <v>2007Scratch 1 000</v>
          </cell>
          <cell r="T2727" t="str">
            <v>92007ANKA SERVICES</v>
          </cell>
          <cell r="U2727" t="str">
            <v>92007ANKA SERVICESScratch 1 000</v>
          </cell>
          <cell r="V2727" t="str">
            <v>39335Scratch 1 000</v>
          </cell>
          <cell r="W2727" t="str">
            <v>2007ANKA SERVICES</v>
          </cell>
          <cell r="X2727" t="str">
            <v>2007ANKA SERVICESScratch 1 000</v>
          </cell>
        </row>
        <row r="2728">
          <cell r="I2728">
            <v>2007</v>
          </cell>
          <cell r="J2728" t="str">
            <v>MALI COM SarlScratch 5 000</v>
          </cell>
          <cell r="L2728">
            <v>1</v>
          </cell>
          <cell r="M2728" t="str">
            <v>1MALI COM Sarl</v>
          </cell>
          <cell r="N2728" t="str">
            <v>MALI COM SarlScratch 5 000</v>
          </cell>
          <cell r="O2728" t="str">
            <v>MALI COM Sarl</v>
          </cell>
          <cell r="P2728" t="str">
            <v>Scratch 5 000</v>
          </cell>
          <cell r="Q2728" t="str">
            <v>92007</v>
          </cell>
          <cell r="R2728" t="str">
            <v>92007Scratch 5 000</v>
          </cell>
          <cell r="S2728" t="str">
            <v>2007Scratch 5 000</v>
          </cell>
          <cell r="T2728" t="str">
            <v>92007MALI COM Sarl</v>
          </cell>
          <cell r="U2728" t="str">
            <v>92007MALI COM SarlScratch 5 000</v>
          </cell>
          <cell r="V2728" t="str">
            <v>39335Scratch 5 000</v>
          </cell>
          <cell r="W2728" t="str">
            <v>2007MALI COM Sarl</v>
          </cell>
          <cell r="X2728" t="str">
            <v>2007MALI COM SarlScratch 5 000</v>
          </cell>
        </row>
        <row r="2729">
          <cell r="I2729">
            <v>2007</v>
          </cell>
          <cell r="J2729" t="str">
            <v>MALI COM SarlScratch 2 000</v>
          </cell>
          <cell r="L2729">
            <v>0</v>
          </cell>
          <cell r="M2729" t="str">
            <v>MALI COM Sarl</v>
          </cell>
          <cell r="N2729" t="str">
            <v>MALI COM SarlScratch 2 000</v>
          </cell>
          <cell r="O2729" t="str">
            <v>MALI COM Sarl</v>
          </cell>
          <cell r="P2729" t="str">
            <v>Scratch 2 000</v>
          </cell>
          <cell r="Q2729" t="str">
            <v>92007</v>
          </cell>
          <cell r="R2729" t="str">
            <v>92007Scratch 2 000</v>
          </cell>
          <cell r="S2729" t="str">
            <v>2007Scratch 2 000</v>
          </cell>
          <cell r="T2729" t="str">
            <v>92007MALI COM Sarl</v>
          </cell>
          <cell r="U2729" t="str">
            <v>92007MALI COM SarlScratch 2 000</v>
          </cell>
          <cell r="V2729" t="str">
            <v>39335Scratch 2 000</v>
          </cell>
          <cell r="W2729" t="str">
            <v>2007MALI COM Sarl</v>
          </cell>
          <cell r="X2729" t="str">
            <v>2007MALI COM SarlScratch 2 000</v>
          </cell>
        </row>
        <row r="2730">
          <cell r="I2730">
            <v>2007</v>
          </cell>
          <cell r="J2730" t="str">
            <v>MALI COM SarlScratch 1 000</v>
          </cell>
          <cell r="L2730">
            <v>0</v>
          </cell>
          <cell r="M2730" t="str">
            <v>MALI COM Sarl</v>
          </cell>
          <cell r="N2730" t="str">
            <v>MALI COM SarlScratch 1 000</v>
          </cell>
          <cell r="O2730" t="str">
            <v>MALI COM Sarl</v>
          </cell>
          <cell r="P2730" t="str">
            <v>Scratch 1 000</v>
          </cell>
          <cell r="Q2730" t="str">
            <v>92007</v>
          </cell>
          <cell r="R2730" t="str">
            <v>92007Scratch 1 000</v>
          </cell>
          <cell r="S2730" t="str">
            <v>2007Scratch 1 000</v>
          </cell>
          <cell r="T2730" t="str">
            <v>92007MALI COM Sarl</v>
          </cell>
          <cell r="U2730" t="str">
            <v>92007MALI COM SarlScratch 1 000</v>
          </cell>
          <cell r="V2730" t="str">
            <v>39335Scratch 1 000</v>
          </cell>
          <cell r="W2730" t="str">
            <v>2007MALI COM Sarl</v>
          </cell>
          <cell r="X2730" t="str">
            <v>2007MALI COM SarlScratch 1 000</v>
          </cell>
        </row>
        <row r="2731">
          <cell r="I2731">
            <v>2007</v>
          </cell>
          <cell r="J2731" t="str">
            <v>SOMAKOFFScratch 20 000</v>
          </cell>
          <cell r="L2731">
            <v>1</v>
          </cell>
          <cell r="M2731" t="str">
            <v>1SOMAKOFF</v>
          </cell>
          <cell r="N2731" t="str">
            <v>SOMAKOFFScratch 20 000</v>
          </cell>
          <cell r="O2731" t="str">
            <v>SOMAKOFF</v>
          </cell>
          <cell r="P2731" t="str">
            <v>Scratch 20 000</v>
          </cell>
          <cell r="Q2731" t="str">
            <v>92007</v>
          </cell>
          <cell r="R2731" t="str">
            <v>92007Scratch 20 000</v>
          </cell>
          <cell r="S2731" t="str">
            <v>2007Scratch 20 000</v>
          </cell>
          <cell r="T2731" t="str">
            <v>92007SOMAKOFF</v>
          </cell>
          <cell r="U2731" t="str">
            <v>92007SOMAKOFFScratch 20 000</v>
          </cell>
          <cell r="V2731" t="str">
            <v>39335Scratch 20 000</v>
          </cell>
          <cell r="W2731" t="str">
            <v>2007SOMAKOFF</v>
          </cell>
          <cell r="X2731" t="str">
            <v>2007SOMAKOFFScratch 20 000</v>
          </cell>
        </row>
        <row r="2732">
          <cell r="I2732">
            <v>2007</v>
          </cell>
          <cell r="J2732" t="str">
            <v>SOMAKOFFScratch 10 000</v>
          </cell>
          <cell r="L2732">
            <v>0</v>
          </cell>
          <cell r="M2732" t="str">
            <v>SOMAKOFF</v>
          </cell>
          <cell r="N2732" t="str">
            <v>SOMAKOFFScratch 10 000</v>
          </cell>
          <cell r="O2732" t="str">
            <v>SOMAKOFF</v>
          </cell>
          <cell r="P2732" t="str">
            <v>Scratch 10 000</v>
          </cell>
          <cell r="Q2732" t="str">
            <v>92007</v>
          </cell>
          <cell r="R2732" t="str">
            <v>92007Scratch 10 000</v>
          </cell>
          <cell r="S2732" t="str">
            <v>2007Scratch 10 000</v>
          </cell>
          <cell r="T2732" t="str">
            <v>92007SOMAKOFF</v>
          </cell>
          <cell r="U2732" t="str">
            <v>92007SOMAKOFFScratch 10 000</v>
          </cell>
          <cell r="V2732" t="str">
            <v>39335Scratch 10 000</v>
          </cell>
          <cell r="W2732" t="str">
            <v>2007SOMAKOFF</v>
          </cell>
          <cell r="X2732" t="str">
            <v>2007SOMAKOFFScratch 10 000</v>
          </cell>
        </row>
        <row r="2733">
          <cell r="I2733">
            <v>2007</v>
          </cell>
          <cell r="J2733" t="str">
            <v>SOMAKOFFScratch 2 000</v>
          </cell>
          <cell r="L2733">
            <v>0</v>
          </cell>
          <cell r="M2733" t="str">
            <v>SOMAKOFF</v>
          </cell>
          <cell r="N2733" t="str">
            <v>SOMAKOFFScratch 2 000</v>
          </cell>
          <cell r="O2733" t="str">
            <v>SOMAKOFF</v>
          </cell>
          <cell r="P2733" t="str">
            <v>Scratch 2 000</v>
          </cell>
          <cell r="Q2733" t="str">
            <v>92007</v>
          </cell>
          <cell r="R2733" t="str">
            <v>92007Scratch 2 000</v>
          </cell>
          <cell r="S2733" t="str">
            <v>2007Scratch 2 000</v>
          </cell>
          <cell r="T2733" t="str">
            <v>92007SOMAKOFF</v>
          </cell>
          <cell r="U2733" t="str">
            <v>92007SOMAKOFFScratch 2 000</v>
          </cell>
          <cell r="V2733" t="str">
            <v>39335Scratch 2 000</v>
          </cell>
          <cell r="W2733" t="str">
            <v>2007SOMAKOFF</v>
          </cell>
          <cell r="X2733" t="str">
            <v>2007SOMAKOFFScratch 2 000</v>
          </cell>
        </row>
        <row r="2734">
          <cell r="I2734">
            <v>2007</v>
          </cell>
          <cell r="J2734" t="str">
            <v>SOMAKOFFScratch 1 000</v>
          </cell>
          <cell r="L2734">
            <v>0</v>
          </cell>
          <cell r="M2734" t="str">
            <v>SOMAKOFF</v>
          </cell>
          <cell r="N2734" t="str">
            <v>SOMAKOFFScratch 1 000</v>
          </cell>
          <cell r="O2734" t="str">
            <v>SOMAKOFF</v>
          </cell>
          <cell r="P2734" t="str">
            <v>Scratch 1 000</v>
          </cell>
          <cell r="Q2734" t="str">
            <v>92007</v>
          </cell>
          <cell r="R2734" t="str">
            <v>92007Scratch 1 000</v>
          </cell>
          <cell r="S2734" t="str">
            <v>2007Scratch 1 000</v>
          </cell>
          <cell r="T2734" t="str">
            <v>92007SOMAKOFF</v>
          </cell>
          <cell r="U2734" t="str">
            <v>92007SOMAKOFFScratch 1 000</v>
          </cell>
          <cell r="V2734" t="str">
            <v>39335Scratch 1 000</v>
          </cell>
          <cell r="W2734" t="str">
            <v>2007SOMAKOFF</v>
          </cell>
          <cell r="X2734" t="str">
            <v>2007SOMAKOFFScratch 1 000</v>
          </cell>
        </row>
        <row r="2735">
          <cell r="I2735">
            <v>2007</v>
          </cell>
          <cell r="J2735" t="str">
            <v>GEMATELScratch 20 000</v>
          </cell>
          <cell r="L2735">
            <v>1</v>
          </cell>
          <cell r="M2735" t="str">
            <v>1GEMATEL</v>
          </cell>
          <cell r="N2735" t="str">
            <v>GEMATELScratch 20 000</v>
          </cell>
          <cell r="O2735" t="str">
            <v>GEMATEL</v>
          </cell>
          <cell r="P2735" t="str">
            <v>Scratch 20 000</v>
          </cell>
          <cell r="Q2735" t="str">
            <v>92007</v>
          </cell>
          <cell r="R2735" t="str">
            <v>92007Scratch 20 000</v>
          </cell>
          <cell r="S2735" t="str">
            <v>2007Scratch 20 000</v>
          </cell>
          <cell r="T2735" t="str">
            <v>92007GEMATEL</v>
          </cell>
          <cell r="U2735" t="str">
            <v>92007GEMATELScratch 20 000</v>
          </cell>
          <cell r="V2735" t="str">
            <v>39336Scratch 20 000</v>
          </cell>
          <cell r="W2735" t="str">
            <v>2007GEMATEL</v>
          </cell>
          <cell r="X2735" t="str">
            <v>2007GEMATELScratch 20 000</v>
          </cell>
        </row>
        <row r="2736">
          <cell r="I2736">
            <v>2007</v>
          </cell>
          <cell r="J2736" t="str">
            <v>GEMATELScratch 10 000</v>
          </cell>
          <cell r="L2736">
            <v>0</v>
          </cell>
          <cell r="M2736" t="str">
            <v>GEMATEL</v>
          </cell>
          <cell r="N2736" t="str">
            <v>GEMATELScratch 10 000</v>
          </cell>
          <cell r="O2736" t="str">
            <v>GEMATEL</v>
          </cell>
          <cell r="P2736" t="str">
            <v>Scratch 10 000</v>
          </cell>
          <cell r="Q2736" t="str">
            <v>92007</v>
          </cell>
          <cell r="R2736" t="str">
            <v>92007Scratch 10 000</v>
          </cell>
          <cell r="S2736" t="str">
            <v>2007Scratch 10 000</v>
          </cell>
          <cell r="T2736" t="str">
            <v>92007GEMATEL</v>
          </cell>
          <cell r="U2736" t="str">
            <v>92007GEMATELScratch 10 000</v>
          </cell>
          <cell r="V2736" t="str">
            <v>39336Scratch 10 000</v>
          </cell>
          <cell r="W2736" t="str">
            <v>2007GEMATEL</v>
          </cell>
          <cell r="X2736" t="str">
            <v>2007GEMATELScratch 10 000</v>
          </cell>
        </row>
        <row r="2737">
          <cell r="I2737">
            <v>2007</v>
          </cell>
          <cell r="J2737" t="str">
            <v>GEMATELScratch 5 000</v>
          </cell>
          <cell r="L2737">
            <v>0</v>
          </cell>
          <cell r="M2737" t="str">
            <v>GEMATEL</v>
          </cell>
          <cell r="N2737" t="str">
            <v>GEMATELScratch 5 000</v>
          </cell>
          <cell r="O2737" t="str">
            <v>GEMATEL</v>
          </cell>
          <cell r="P2737" t="str">
            <v>Scratch 5 000</v>
          </cell>
          <cell r="Q2737" t="str">
            <v>92007</v>
          </cell>
          <cell r="R2737" t="str">
            <v>92007Scratch 5 000</v>
          </cell>
          <cell r="S2737" t="str">
            <v>2007Scratch 5 000</v>
          </cell>
          <cell r="T2737" t="str">
            <v>92007GEMATEL</v>
          </cell>
          <cell r="U2737" t="str">
            <v>92007GEMATELScratch 5 000</v>
          </cell>
          <cell r="V2737" t="str">
            <v>39336Scratch 5 000</v>
          </cell>
          <cell r="W2737" t="str">
            <v>2007GEMATEL</v>
          </cell>
          <cell r="X2737" t="str">
            <v>2007GEMATELScratch 5 000</v>
          </cell>
        </row>
        <row r="2738">
          <cell r="I2738">
            <v>2007</v>
          </cell>
          <cell r="J2738" t="str">
            <v>GEMATELScratch 2 000</v>
          </cell>
          <cell r="L2738">
            <v>0</v>
          </cell>
          <cell r="M2738" t="str">
            <v>GEMATEL</v>
          </cell>
          <cell r="N2738" t="str">
            <v>GEMATELScratch 2 000</v>
          </cell>
          <cell r="O2738" t="str">
            <v>GEMATEL</v>
          </cell>
          <cell r="P2738" t="str">
            <v>Scratch 2 000</v>
          </cell>
          <cell r="Q2738" t="str">
            <v>92007</v>
          </cell>
          <cell r="R2738" t="str">
            <v>92007Scratch 2 000</v>
          </cell>
          <cell r="S2738" t="str">
            <v>2007Scratch 2 000</v>
          </cell>
          <cell r="T2738" t="str">
            <v>92007GEMATEL</v>
          </cell>
          <cell r="U2738" t="str">
            <v>92007GEMATELScratch 2 000</v>
          </cell>
          <cell r="V2738" t="str">
            <v>39336Scratch 2 000</v>
          </cell>
          <cell r="W2738" t="str">
            <v>2007GEMATEL</v>
          </cell>
          <cell r="X2738" t="str">
            <v>2007GEMATELScratch 2 000</v>
          </cell>
        </row>
        <row r="2739">
          <cell r="I2739">
            <v>2007</v>
          </cell>
          <cell r="J2739" t="str">
            <v>GEMATELScratch 1 000</v>
          </cell>
          <cell r="L2739">
            <v>0</v>
          </cell>
          <cell r="M2739" t="str">
            <v>GEMATEL</v>
          </cell>
          <cell r="N2739" t="str">
            <v>GEMATELScratch 1 000</v>
          </cell>
          <cell r="O2739" t="str">
            <v>GEMATEL</v>
          </cell>
          <cell r="P2739" t="str">
            <v>Scratch 1 000</v>
          </cell>
          <cell r="Q2739" t="str">
            <v>92007</v>
          </cell>
          <cell r="R2739" t="str">
            <v>92007Scratch 1 000</v>
          </cell>
          <cell r="S2739" t="str">
            <v>2007Scratch 1 000</v>
          </cell>
          <cell r="T2739" t="str">
            <v>92007GEMATEL</v>
          </cell>
          <cell r="U2739" t="str">
            <v>92007GEMATELScratch 1 000</v>
          </cell>
          <cell r="V2739" t="str">
            <v>39336Scratch 1 000</v>
          </cell>
          <cell r="W2739" t="str">
            <v>2007GEMATEL</v>
          </cell>
          <cell r="X2739" t="str">
            <v>2007GEMATELScratch 1 000</v>
          </cell>
        </row>
        <row r="2740">
          <cell r="I2740">
            <v>2007</v>
          </cell>
          <cell r="J2740" t="str">
            <v>Soleil LevantScratch 5 000</v>
          </cell>
          <cell r="L2740">
            <v>1</v>
          </cell>
          <cell r="M2740" t="str">
            <v>1Soleil Levant</v>
          </cell>
          <cell r="N2740" t="str">
            <v>Soleil LevantScratch 5 000</v>
          </cell>
          <cell r="O2740" t="str">
            <v>Soleil Levant</v>
          </cell>
          <cell r="P2740" t="str">
            <v>Scratch 5 000</v>
          </cell>
          <cell r="Q2740" t="str">
            <v>92007</v>
          </cell>
          <cell r="R2740" t="str">
            <v>92007Scratch 5 000</v>
          </cell>
          <cell r="S2740" t="str">
            <v>2007Scratch 5 000</v>
          </cell>
          <cell r="T2740" t="str">
            <v>92007Soleil Levant</v>
          </cell>
          <cell r="U2740" t="str">
            <v>92007Soleil LevantScratch 5 000</v>
          </cell>
          <cell r="V2740" t="str">
            <v>39336Scratch 5 000</v>
          </cell>
          <cell r="W2740" t="str">
            <v>2007Soleil Levant</v>
          </cell>
          <cell r="X2740" t="str">
            <v>2007Soleil LevantScratch 5 000</v>
          </cell>
        </row>
        <row r="2741">
          <cell r="I2741">
            <v>2007</v>
          </cell>
          <cell r="J2741" t="str">
            <v>Soleil LevantScratch 2 000</v>
          </cell>
          <cell r="L2741">
            <v>0</v>
          </cell>
          <cell r="M2741" t="str">
            <v>Soleil Levant</v>
          </cell>
          <cell r="N2741" t="str">
            <v>Soleil LevantScratch 2 000</v>
          </cell>
          <cell r="O2741" t="str">
            <v>Soleil Levant</v>
          </cell>
          <cell r="P2741" t="str">
            <v>Scratch 2 000</v>
          </cell>
          <cell r="Q2741" t="str">
            <v>92007</v>
          </cell>
          <cell r="R2741" t="str">
            <v>92007Scratch 2 000</v>
          </cell>
          <cell r="S2741" t="str">
            <v>2007Scratch 2 000</v>
          </cell>
          <cell r="T2741" t="str">
            <v>92007Soleil Levant</v>
          </cell>
          <cell r="U2741" t="str">
            <v>92007Soleil LevantScratch 2 000</v>
          </cell>
          <cell r="V2741" t="str">
            <v>39336Scratch 2 000</v>
          </cell>
          <cell r="W2741" t="str">
            <v>2007Soleil Levant</v>
          </cell>
          <cell r="X2741" t="str">
            <v>2007Soleil LevantScratch 2 000</v>
          </cell>
        </row>
        <row r="2742">
          <cell r="I2742">
            <v>2007</v>
          </cell>
          <cell r="J2742" t="str">
            <v>Soleil LevantScratch 1 000</v>
          </cell>
          <cell r="L2742">
            <v>0</v>
          </cell>
          <cell r="M2742" t="str">
            <v>Soleil Levant</v>
          </cell>
          <cell r="N2742" t="str">
            <v>Soleil LevantScratch 1 000</v>
          </cell>
          <cell r="O2742" t="str">
            <v>Soleil Levant</v>
          </cell>
          <cell r="P2742" t="str">
            <v>Scratch 1 000</v>
          </cell>
          <cell r="Q2742" t="str">
            <v>92007</v>
          </cell>
          <cell r="R2742" t="str">
            <v>92007Scratch 1 000</v>
          </cell>
          <cell r="S2742" t="str">
            <v>2007Scratch 1 000</v>
          </cell>
          <cell r="T2742" t="str">
            <v>92007Soleil Levant</v>
          </cell>
          <cell r="U2742" t="str">
            <v>92007Soleil LevantScratch 1 000</v>
          </cell>
          <cell r="V2742" t="str">
            <v>39336Scratch 1 000</v>
          </cell>
          <cell r="W2742" t="str">
            <v>2007Soleil Levant</v>
          </cell>
          <cell r="X2742" t="str">
            <v>2007Soleil LevantScratch 1 000</v>
          </cell>
        </row>
        <row r="2743">
          <cell r="I2743">
            <v>2007</v>
          </cell>
          <cell r="J2743" t="str">
            <v>Burtel MacsymScratch 20 000</v>
          </cell>
          <cell r="L2743">
            <v>1</v>
          </cell>
          <cell r="M2743" t="str">
            <v>1Burtel Macsym</v>
          </cell>
          <cell r="N2743" t="str">
            <v>Burtel MacsymScratch 20 000</v>
          </cell>
          <cell r="O2743" t="str">
            <v>Burtel Macsym</v>
          </cell>
          <cell r="P2743" t="str">
            <v>Scratch 20 000</v>
          </cell>
          <cell r="Q2743" t="str">
            <v>92007</v>
          </cell>
          <cell r="R2743" t="str">
            <v>92007Scratch 20 000</v>
          </cell>
          <cell r="S2743" t="str">
            <v>2007Scratch 20 000</v>
          </cell>
          <cell r="T2743" t="str">
            <v>92007Burtel Macsym</v>
          </cell>
          <cell r="U2743" t="str">
            <v>92007Burtel MacsymScratch 20 000</v>
          </cell>
          <cell r="V2743" t="str">
            <v>39336Scratch 20 000</v>
          </cell>
          <cell r="W2743" t="str">
            <v>2007Burtel Macsym</v>
          </cell>
          <cell r="X2743" t="str">
            <v>2007Burtel MacsymScratch 20 000</v>
          </cell>
        </row>
        <row r="2744">
          <cell r="I2744">
            <v>2007</v>
          </cell>
          <cell r="J2744" t="str">
            <v>Burtel MacsymScratch 10 000</v>
          </cell>
          <cell r="L2744">
            <v>0</v>
          </cell>
          <cell r="M2744" t="str">
            <v>Burtel Macsym</v>
          </cell>
          <cell r="N2744" t="str">
            <v>Burtel MacsymScratch 10 000</v>
          </cell>
          <cell r="O2744" t="str">
            <v>Burtel Macsym</v>
          </cell>
          <cell r="P2744" t="str">
            <v>Scratch 10 000</v>
          </cell>
          <cell r="Q2744" t="str">
            <v>92007</v>
          </cell>
          <cell r="R2744" t="str">
            <v>92007Scratch 10 000</v>
          </cell>
          <cell r="S2744" t="str">
            <v>2007Scratch 10 000</v>
          </cell>
          <cell r="T2744" t="str">
            <v>92007Burtel Macsym</v>
          </cell>
          <cell r="U2744" t="str">
            <v>92007Burtel MacsymScratch 10 000</v>
          </cell>
          <cell r="V2744" t="str">
            <v>39336Scratch 10 000</v>
          </cell>
          <cell r="W2744" t="str">
            <v>2007Burtel Macsym</v>
          </cell>
          <cell r="X2744" t="str">
            <v>2007Burtel MacsymScratch 10 000</v>
          </cell>
        </row>
        <row r="2745">
          <cell r="I2745">
            <v>2007</v>
          </cell>
          <cell r="J2745" t="str">
            <v>Burtel MacsymScratch 5 000</v>
          </cell>
          <cell r="L2745">
            <v>0</v>
          </cell>
          <cell r="M2745" t="str">
            <v>Burtel Macsym</v>
          </cell>
          <cell r="N2745" t="str">
            <v>Burtel MacsymScratch 5 000</v>
          </cell>
          <cell r="O2745" t="str">
            <v>Burtel Macsym</v>
          </cell>
          <cell r="P2745" t="str">
            <v>Scratch 5 000</v>
          </cell>
          <cell r="Q2745" t="str">
            <v>92007</v>
          </cell>
          <cell r="R2745" t="str">
            <v>92007Scratch 5 000</v>
          </cell>
          <cell r="S2745" t="str">
            <v>2007Scratch 5 000</v>
          </cell>
          <cell r="T2745" t="str">
            <v>92007Burtel Macsym</v>
          </cell>
          <cell r="U2745" t="str">
            <v>92007Burtel MacsymScratch 5 000</v>
          </cell>
          <cell r="V2745" t="str">
            <v>39336Scratch 5 000</v>
          </cell>
          <cell r="W2745" t="str">
            <v>2007Burtel Macsym</v>
          </cell>
          <cell r="X2745" t="str">
            <v>2007Burtel MacsymScratch 5 000</v>
          </cell>
        </row>
        <row r="2746">
          <cell r="I2746">
            <v>2007</v>
          </cell>
          <cell r="J2746" t="str">
            <v>Burtel MacsymScratch 2 000</v>
          </cell>
          <cell r="L2746">
            <v>0</v>
          </cell>
          <cell r="M2746" t="str">
            <v>Burtel Macsym</v>
          </cell>
          <cell r="N2746" t="str">
            <v>Burtel MacsymScratch 2 000</v>
          </cell>
          <cell r="O2746" t="str">
            <v>Burtel Macsym</v>
          </cell>
          <cell r="P2746" t="str">
            <v>Scratch 2 000</v>
          </cell>
          <cell r="Q2746" t="str">
            <v>92007</v>
          </cell>
          <cell r="R2746" t="str">
            <v>92007Scratch 2 000</v>
          </cell>
          <cell r="S2746" t="str">
            <v>2007Scratch 2 000</v>
          </cell>
          <cell r="T2746" t="str">
            <v>92007Burtel Macsym</v>
          </cell>
          <cell r="U2746" t="str">
            <v>92007Burtel MacsymScratch 2 000</v>
          </cell>
          <cell r="V2746" t="str">
            <v>39336Scratch 2 000</v>
          </cell>
          <cell r="W2746" t="str">
            <v>2007Burtel Macsym</v>
          </cell>
          <cell r="X2746" t="str">
            <v>2007Burtel MacsymScratch 2 000</v>
          </cell>
        </row>
        <row r="2747">
          <cell r="I2747">
            <v>2007</v>
          </cell>
          <cell r="J2747" t="str">
            <v>Burtel MacsymScratch 1 000</v>
          </cell>
          <cell r="L2747">
            <v>0</v>
          </cell>
          <cell r="M2747" t="str">
            <v>Burtel Macsym</v>
          </cell>
          <cell r="N2747" t="str">
            <v>Burtel MacsymScratch 1 000</v>
          </cell>
          <cell r="O2747" t="str">
            <v>Burtel Macsym</v>
          </cell>
          <cell r="P2747" t="str">
            <v>Scratch 1 000</v>
          </cell>
          <cell r="Q2747" t="str">
            <v>92007</v>
          </cell>
          <cell r="R2747" t="str">
            <v>92007Scratch 1 000</v>
          </cell>
          <cell r="S2747" t="str">
            <v>2007Scratch 1 000</v>
          </cell>
          <cell r="T2747" t="str">
            <v>92007Burtel Macsym</v>
          </cell>
          <cell r="U2747" t="str">
            <v>92007Burtel MacsymScratch 1 000</v>
          </cell>
          <cell r="V2747" t="str">
            <v>39336Scratch 1 000</v>
          </cell>
          <cell r="W2747" t="str">
            <v>2007Burtel Macsym</v>
          </cell>
          <cell r="X2747" t="str">
            <v>2007Burtel MacsymScratch 1 000</v>
          </cell>
        </row>
        <row r="2748">
          <cell r="I2748">
            <v>2007</v>
          </cell>
          <cell r="J2748" t="str">
            <v>Compagnie Internationale de NegoceScratch 20 000</v>
          </cell>
          <cell r="L2748">
            <v>1</v>
          </cell>
          <cell r="M2748" t="str">
            <v>1Compagnie Internationale de Negoce</v>
          </cell>
          <cell r="N2748" t="str">
            <v>Compagnie Internationale de NegoceScratch 20 000</v>
          </cell>
          <cell r="O2748" t="str">
            <v>Compagnie Internationale de Negoce</v>
          </cell>
          <cell r="P2748" t="str">
            <v>Scratch 20 000</v>
          </cell>
          <cell r="Q2748" t="str">
            <v>92007</v>
          </cell>
          <cell r="R2748" t="str">
            <v>92007Scratch 20 000</v>
          </cell>
          <cell r="S2748" t="str">
            <v>2007Scratch 20 000</v>
          </cell>
          <cell r="T2748" t="str">
            <v>92007Compagnie Internationale de Negoce</v>
          </cell>
          <cell r="U2748" t="str">
            <v>92007Compagnie Internationale de NegoceScratch 20 000</v>
          </cell>
          <cell r="V2748" t="str">
            <v>39336Scratch 20 000</v>
          </cell>
          <cell r="W2748" t="str">
            <v>2007Compagnie Internationale de Negoce</v>
          </cell>
          <cell r="X2748" t="str">
            <v>2007Compagnie Internationale de NegoceScratch 20 000</v>
          </cell>
        </row>
        <row r="2749">
          <cell r="I2749">
            <v>2007</v>
          </cell>
          <cell r="J2749" t="str">
            <v>Compagnie Internationale de NegoceScratch 5 000</v>
          </cell>
          <cell r="L2749">
            <v>0</v>
          </cell>
          <cell r="M2749" t="str">
            <v>Compagnie Internationale de Negoce</v>
          </cell>
          <cell r="N2749" t="str">
            <v>Compagnie Internationale de NegoceScratch 5 000</v>
          </cell>
          <cell r="O2749" t="str">
            <v>Compagnie Internationale de Negoce</v>
          </cell>
          <cell r="P2749" t="str">
            <v>Scratch 5 000</v>
          </cell>
          <cell r="Q2749" t="str">
            <v>92007</v>
          </cell>
          <cell r="R2749" t="str">
            <v>92007Scratch 5 000</v>
          </cell>
          <cell r="S2749" t="str">
            <v>2007Scratch 5 000</v>
          </cell>
          <cell r="T2749" t="str">
            <v>92007Compagnie Internationale de Negoce</v>
          </cell>
          <cell r="U2749" t="str">
            <v>92007Compagnie Internationale de NegoceScratch 5 000</v>
          </cell>
          <cell r="V2749" t="str">
            <v>39336Scratch 5 000</v>
          </cell>
          <cell r="W2749" t="str">
            <v>2007Compagnie Internationale de Negoce</v>
          </cell>
          <cell r="X2749" t="str">
            <v>2007Compagnie Internationale de NegoceScratch 5 000</v>
          </cell>
        </row>
        <row r="2750">
          <cell r="I2750">
            <v>2007</v>
          </cell>
          <cell r="J2750" t="str">
            <v>Compagnie Internationale de NegoceScratch 2 000</v>
          </cell>
          <cell r="L2750">
            <v>0</v>
          </cell>
          <cell r="M2750" t="str">
            <v>Compagnie Internationale de Negoce</v>
          </cell>
          <cell r="N2750" t="str">
            <v>Compagnie Internationale de NegoceScratch 2 000</v>
          </cell>
          <cell r="O2750" t="str">
            <v>Compagnie Internationale de Negoce</v>
          </cell>
          <cell r="P2750" t="str">
            <v>Scratch 2 000</v>
          </cell>
          <cell r="Q2750" t="str">
            <v>92007</v>
          </cell>
          <cell r="R2750" t="str">
            <v>92007Scratch 2 000</v>
          </cell>
          <cell r="S2750" t="str">
            <v>2007Scratch 2 000</v>
          </cell>
          <cell r="T2750" t="str">
            <v>92007Compagnie Internationale de Negoce</v>
          </cell>
          <cell r="U2750" t="str">
            <v>92007Compagnie Internationale de NegoceScratch 2 000</v>
          </cell>
          <cell r="V2750" t="str">
            <v>39336Scratch 2 000</v>
          </cell>
          <cell r="W2750" t="str">
            <v>2007Compagnie Internationale de Negoce</v>
          </cell>
          <cell r="X2750" t="str">
            <v>2007Compagnie Internationale de NegoceScratch 2 000</v>
          </cell>
        </row>
        <row r="2751">
          <cell r="I2751">
            <v>2007</v>
          </cell>
          <cell r="J2751" t="str">
            <v>Compagnie Internationale de NegoceScratch 1 000</v>
          </cell>
          <cell r="L2751">
            <v>0</v>
          </cell>
          <cell r="M2751" t="str">
            <v>Compagnie Internationale de Negoce</v>
          </cell>
          <cell r="N2751" t="str">
            <v>Compagnie Internationale de NegoceScratch 1 000</v>
          </cell>
          <cell r="O2751" t="str">
            <v>Compagnie Internationale de Negoce</v>
          </cell>
          <cell r="P2751" t="str">
            <v>Scratch 1 000</v>
          </cell>
          <cell r="Q2751" t="str">
            <v>92007</v>
          </cell>
          <cell r="R2751" t="str">
            <v>92007Scratch 1 000</v>
          </cell>
          <cell r="S2751" t="str">
            <v>2007Scratch 1 000</v>
          </cell>
          <cell r="T2751" t="str">
            <v>92007Compagnie Internationale de Negoce</v>
          </cell>
          <cell r="U2751" t="str">
            <v>92007Compagnie Internationale de NegoceScratch 1 000</v>
          </cell>
          <cell r="V2751" t="str">
            <v>39336Scratch 1 000</v>
          </cell>
          <cell r="W2751" t="str">
            <v>2007Compagnie Internationale de Negoce</v>
          </cell>
          <cell r="X2751" t="str">
            <v>2007Compagnie Internationale de NegoceScratch 1 000</v>
          </cell>
        </row>
        <row r="2752">
          <cell r="I2752">
            <v>2007</v>
          </cell>
          <cell r="J2752" t="str">
            <v>Burtel MacsymScratch 20 000</v>
          </cell>
          <cell r="L2752">
            <v>1</v>
          </cell>
          <cell r="M2752" t="str">
            <v>1Burtel Macsym</v>
          </cell>
          <cell r="N2752" t="str">
            <v>Burtel MacsymScratch 20 000</v>
          </cell>
          <cell r="O2752" t="str">
            <v>Burtel Macsym</v>
          </cell>
          <cell r="P2752" t="str">
            <v>Scratch 20 000</v>
          </cell>
          <cell r="Q2752" t="str">
            <v>92007</v>
          </cell>
          <cell r="R2752" t="str">
            <v>92007Scratch 20 000</v>
          </cell>
          <cell r="S2752" t="str">
            <v>2007Scratch 20 000</v>
          </cell>
          <cell r="T2752" t="str">
            <v>92007Burtel Macsym</v>
          </cell>
          <cell r="U2752" t="str">
            <v>92007Burtel MacsymScratch 20 000</v>
          </cell>
          <cell r="V2752" t="str">
            <v>39336Scratch 20 000</v>
          </cell>
          <cell r="W2752" t="str">
            <v>2007Burtel Macsym</v>
          </cell>
          <cell r="X2752" t="str">
            <v>2007Burtel MacsymScratch 20 000</v>
          </cell>
        </row>
        <row r="2753">
          <cell r="I2753">
            <v>2007</v>
          </cell>
          <cell r="J2753" t="str">
            <v>Burtel MacsymScratch 5 000</v>
          </cell>
          <cell r="L2753">
            <v>0</v>
          </cell>
          <cell r="M2753" t="str">
            <v>Burtel Macsym</v>
          </cell>
          <cell r="N2753" t="str">
            <v>Burtel MacsymScratch 5 000</v>
          </cell>
          <cell r="O2753" t="str">
            <v>Burtel Macsym</v>
          </cell>
          <cell r="P2753" t="str">
            <v>Scratch 5 000</v>
          </cell>
          <cell r="Q2753" t="str">
            <v>92007</v>
          </cell>
          <cell r="R2753" t="str">
            <v>92007Scratch 5 000</v>
          </cell>
          <cell r="S2753" t="str">
            <v>2007Scratch 5 000</v>
          </cell>
          <cell r="T2753" t="str">
            <v>92007Burtel Macsym</v>
          </cell>
          <cell r="U2753" t="str">
            <v>92007Burtel MacsymScratch 5 000</v>
          </cell>
          <cell r="V2753" t="str">
            <v>39336Scratch 5 000</v>
          </cell>
          <cell r="W2753" t="str">
            <v>2007Burtel Macsym</v>
          </cell>
          <cell r="X2753" t="str">
            <v>2007Burtel MacsymScratch 5 000</v>
          </cell>
        </row>
        <row r="2754">
          <cell r="I2754">
            <v>2007</v>
          </cell>
          <cell r="J2754" t="str">
            <v>Burtel MacsymScratch 2 000</v>
          </cell>
          <cell r="L2754">
            <v>0</v>
          </cell>
          <cell r="M2754" t="str">
            <v>Burtel Macsym</v>
          </cell>
          <cell r="N2754" t="str">
            <v>Burtel MacsymScratch 2 000</v>
          </cell>
          <cell r="O2754" t="str">
            <v>Burtel Macsym</v>
          </cell>
          <cell r="P2754" t="str">
            <v>Scratch 2 000</v>
          </cell>
          <cell r="Q2754" t="str">
            <v>92007</v>
          </cell>
          <cell r="R2754" t="str">
            <v>92007Scratch 2 000</v>
          </cell>
          <cell r="S2754" t="str">
            <v>2007Scratch 2 000</v>
          </cell>
          <cell r="T2754" t="str">
            <v>92007Burtel Macsym</v>
          </cell>
          <cell r="U2754" t="str">
            <v>92007Burtel MacsymScratch 2 000</v>
          </cell>
          <cell r="V2754" t="str">
            <v>39336Scratch 2 000</v>
          </cell>
          <cell r="W2754" t="str">
            <v>2007Burtel Macsym</v>
          </cell>
          <cell r="X2754" t="str">
            <v>2007Burtel MacsymScratch 2 000</v>
          </cell>
        </row>
        <row r="2755">
          <cell r="I2755">
            <v>2007</v>
          </cell>
          <cell r="J2755" t="str">
            <v>Burtel MacsymScratch 1 000</v>
          </cell>
          <cell r="L2755">
            <v>0</v>
          </cell>
          <cell r="M2755" t="str">
            <v>Burtel Macsym</v>
          </cell>
          <cell r="N2755" t="str">
            <v>Burtel MacsymScratch 1 000</v>
          </cell>
          <cell r="O2755" t="str">
            <v>Burtel Macsym</v>
          </cell>
          <cell r="P2755" t="str">
            <v>Scratch 1 000</v>
          </cell>
          <cell r="Q2755" t="str">
            <v>92007</v>
          </cell>
          <cell r="R2755" t="str">
            <v>92007Scratch 1 000</v>
          </cell>
          <cell r="S2755" t="str">
            <v>2007Scratch 1 000</v>
          </cell>
          <cell r="T2755" t="str">
            <v>92007Burtel Macsym</v>
          </cell>
          <cell r="U2755" t="str">
            <v>92007Burtel MacsymScratch 1 000</v>
          </cell>
          <cell r="V2755" t="str">
            <v>39336Scratch 1 000</v>
          </cell>
          <cell r="W2755" t="str">
            <v>2007Burtel Macsym</v>
          </cell>
          <cell r="X2755" t="str">
            <v>2007Burtel MacsymScratch 1 000</v>
          </cell>
        </row>
        <row r="2756">
          <cell r="I2756">
            <v>2007</v>
          </cell>
          <cell r="J2756" t="str">
            <v>ANKA SERVICESScratch 5 000</v>
          </cell>
          <cell r="L2756">
            <v>1</v>
          </cell>
          <cell r="M2756" t="str">
            <v>1ANKA SERVICES</v>
          </cell>
          <cell r="N2756" t="str">
            <v>ANKA SERVICESScratch 5 000</v>
          </cell>
          <cell r="O2756" t="str">
            <v>ANKA SERVICES</v>
          </cell>
          <cell r="P2756" t="str">
            <v>Scratch 5 000</v>
          </cell>
          <cell r="Q2756" t="str">
            <v>92007</v>
          </cell>
          <cell r="R2756" t="str">
            <v>92007Scratch 5 000</v>
          </cell>
          <cell r="S2756" t="str">
            <v>2007Scratch 5 000</v>
          </cell>
          <cell r="T2756" t="str">
            <v>92007ANKA SERVICES</v>
          </cell>
          <cell r="U2756" t="str">
            <v>92007ANKA SERVICESScratch 5 000</v>
          </cell>
          <cell r="V2756" t="str">
            <v>39336Scratch 5 000</v>
          </cell>
          <cell r="W2756" t="str">
            <v>2007ANKA SERVICES</v>
          </cell>
          <cell r="X2756" t="str">
            <v>2007ANKA SERVICESScratch 5 000</v>
          </cell>
        </row>
        <row r="2757">
          <cell r="I2757">
            <v>2007</v>
          </cell>
          <cell r="J2757" t="str">
            <v>ANKA SERVICESScratch 2 000</v>
          </cell>
          <cell r="L2757">
            <v>0</v>
          </cell>
          <cell r="M2757" t="str">
            <v>ANKA SERVICES</v>
          </cell>
          <cell r="N2757" t="str">
            <v>ANKA SERVICESScratch 2 000</v>
          </cell>
          <cell r="O2757" t="str">
            <v>ANKA SERVICES</v>
          </cell>
          <cell r="P2757" t="str">
            <v>Scratch 2 000</v>
          </cell>
          <cell r="Q2757" t="str">
            <v>92007</v>
          </cell>
          <cell r="R2757" t="str">
            <v>92007Scratch 2 000</v>
          </cell>
          <cell r="S2757" t="str">
            <v>2007Scratch 2 000</v>
          </cell>
          <cell r="T2757" t="str">
            <v>92007ANKA SERVICES</v>
          </cell>
          <cell r="U2757" t="str">
            <v>92007ANKA SERVICESScratch 2 000</v>
          </cell>
          <cell r="V2757" t="str">
            <v>39336Scratch 2 000</v>
          </cell>
          <cell r="W2757" t="str">
            <v>2007ANKA SERVICES</v>
          </cell>
          <cell r="X2757" t="str">
            <v>2007ANKA SERVICESScratch 2 000</v>
          </cell>
        </row>
        <row r="2758">
          <cell r="I2758">
            <v>2007</v>
          </cell>
          <cell r="J2758" t="str">
            <v>ANKA SERVICESScratch 1 000</v>
          </cell>
          <cell r="L2758">
            <v>0</v>
          </cell>
          <cell r="M2758" t="str">
            <v>ANKA SERVICES</v>
          </cell>
          <cell r="N2758" t="str">
            <v>ANKA SERVICESScratch 1 000</v>
          </cell>
          <cell r="O2758" t="str">
            <v>ANKA SERVICES</v>
          </cell>
          <cell r="P2758" t="str">
            <v>Scratch 1 000</v>
          </cell>
          <cell r="Q2758" t="str">
            <v>92007</v>
          </cell>
          <cell r="R2758" t="str">
            <v>92007Scratch 1 000</v>
          </cell>
          <cell r="S2758" t="str">
            <v>2007Scratch 1 000</v>
          </cell>
          <cell r="T2758" t="str">
            <v>92007ANKA SERVICES</v>
          </cell>
          <cell r="U2758" t="str">
            <v>92007ANKA SERVICESScratch 1 000</v>
          </cell>
          <cell r="V2758" t="str">
            <v>39336Scratch 1 000</v>
          </cell>
          <cell r="W2758" t="str">
            <v>2007ANKA SERVICES</v>
          </cell>
          <cell r="X2758" t="str">
            <v>2007ANKA SERVICESScratch 1 000</v>
          </cell>
        </row>
        <row r="2759">
          <cell r="I2759">
            <v>2007</v>
          </cell>
          <cell r="J2759" t="str">
            <v>Bonneterie Nouvelle TelecomScratch 5 000</v>
          </cell>
          <cell r="L2759">
            <v>1</v>
          </cell>
          <cell r="M2759" t="str">
            <v>1Bonneterie Nouvelle Telecom</v>
          </cell>
          <cell r="N2759" t="str">
            <v>Bonneterie Nouvelle TelecomScratch 5 000</v>
          </cell>
          <cell r="O2759" t="str">
            <v>Bonneterie Nouvelle Telecom</v>
          </cell>
          <cell r="P2759" t="str">
            <v>Scratch 5 000</v>
          </cell>
          <cell r="Q2759" t="str">
            <v>92007</v>
          </cell>
          <cell r="R2759" t="str">
            <v>92007Scratch 5 000</v>
          </cell>
          <cell r="S2759" t="str">
            <v>2007Scratch 5 000</v>
          </cell>
          <cell r="T2759" t="str">
            <v>92007Bonneterie Nouvelle Telecom</v>
          </cell>
          <cell r="U2759" t="str">
            <v>92007Bonneterie Nouvelle TelecomScratch 5 000</v>
          </cell>
          <cell r="V2759" t="str">
            <v>39336Scratch 5 000</v>
          </cell>
          <cell r="W2759" t="str">
            <v>2007Bonneterie Nouvelle Telecom</v>
          </cell>
          <cell r="X2759" t="str">
            <v>2007Bonneterie Nouvelle TelecomScratch 5 000</v>
          </cell>
        </row>
        <row r="2760">
          <cell r="I2760">
            <v>2007</v>
          </cell>
          <cell r="J2760" t="str">
            <v>Bonneterie Nouvelle TelecomScratch 2 000</v>
          </cell>
          <cell r="L2760">
            <v>0</v>
          </cell>
          <cell r="M2760" t="str">
            <v>Bonneterie Nouvelle Telecom</v>
          </cell>
          <cell r="N2760" t="str">
            <v>Bonneterie Nouvelle TelecomScratch 2 000</v>
          </cell>
          <cell r="O2760" t="str">
            <v>Bonneterie Nouvelle Telecom</v>
          </cell>
          <cell r="P2760" t="str">
            <v>Scratch 2 000</v>
          </cell>
          <cell r="Q2760" t="str">
            <v>92007</v>
          </cell>
          <cell r="R2760" t="str">
            <v>92007Scratch 2 000</v>
          </cell>
          <cell r="S2760" t="str">
            <v>2007Scratch 2 000</v>
          </cell>
          <cell r="T2760" t="str">
            <v>92007Bonneterie Nouvelle Telecom</v>
          </cell>
          <cell r="U2760" t="str">
            <v>92007Bonneterie Nouvelle TelecomScratch 2 000</v>
          </cell>
          <cell r="V2760" t="str">
            <v>39336Scratch 2 000</v>
          </cell>
          <cell r="W2760" t="str">
            <v>2007Bonneterie Nouvelle Telecom</v>
          </cell>
          <cell r="X2760" t="str">
            <v>2007Bonneterie Nouvelle TelecomScratch 2 000</v>
          </cell>
        </row>
        <row r="2761">
          <cell r="I2761">
            <v>2007</v>
          </cell>
          <cell r="J2761" t="str">
            <v>Bonneterie Nouvelle TelecomScratch 1 000</v>
          </cell>
          <cell r="L2761">
            <v>0</v>
          </cell>
          <cell r="M2761" t="str">
            <v>Bonneterie Nouvelle Telecom</v>
          </cell>
          <cell r="N2761" t="str">
            <v>Bonneterie Nouvelle TelecomScratch 1 000</v>
          </cell>
          <cell r="O2761" t="str">
            <v>Bonneterie Nouvelle Telecom</v>
          </cell>
          <cell r="P2761" t="str">
            <v>Scratch 1 000</v>
          </cell>
          <cell r="Q2761" t="str">
            <v>92007</v>
          </cell>
          <cell r="R2761" t="str">
            <v>92007Scratch 1 000</v>
          </cell>
          <cell r="S2761" t="str">
            <v>2007Scratch 1 000</v>
          </cell>
          <cell r="T2761" t="str">
            <v>92007Bonneterie Nouvelle Telecom</v>
          </cell>
          <cell r="U2761" t="str">
            <v>92007Bonneterie Nouvelle TelecomScratch 1 000</v>
          </cell>
          <cell r="V2761" t="str">
            <v>39336Scratch 1 000</v>
          </cell>
          <cell r="W2761" t="str">
            <v>2007Bonneterie Nouvelle Telecom</v>
          </cell>
          <cell r="X2761" t="str">
            <v>2007Bonneterie Nouvelle TelecomScratch 1 000</v>
          </cell>
        </row>
        <row r="2762">
          <cell r="I2762">
            <v>2007</v>
          </cell>
          <cell r="J2762" t="str">
            <v>STS GAMBY &amp; FRERES (SOGAF) SarlScratch 5 000</v>
          </cell>
          <cell r="L2762">
            <v>1</v>
          </cell>
          <cell r="M2762" t="str">
            <v>1STS GAMBY &amp; FRERES (SOGAF) Sarl</v>
          </cell>
          <cell r="N2762" t="str">
            <v>STS GAMBY &amp; FRERES (SOGAF) SarlScratch 5 000</v>
          </cell>
          <cell r="O2762" t="str">
            <v>STS GAMBY &amp; FRERES (SOGAF) Sarl</v>
          </cell>
          <cell r="P2762" t="str">
            <v>Scratch 5 000</v>
          </cell>
          <cell r="Q2762" t="str">
            <v>92007</v>
          </cell>
          <cell r="R2762" t="str">
            <v>92007Scratch 5 000</v>
          </cell>
          <cell r="S2762" t="str">
            <v>2007Scratch 5 000</v>
          </cell>
          <cell r="T2762" t="str">
            <v>92007STS GAMBY &amp; FRERES (SOGAF) Sarl</v>
          </cell>
          <cell r="U2762" t="str">
            <v>92007STS GAMBY &amp; FRERES (SOGAF) SarlScratch 5 000</v>
          </cell>
          <cell r="V2762" t="str">
            <v>39337Scratch 5 000</v>
          </cell>
          <cell r="W2762" t="str">
            <v>2007STS GAMBY &amp; FRERES (SOGAF) Sarl</v>
          </cell>
          <cell r="X2762" t="str">
            <v>2007STS GAMBY &amp; FRERES (SOGAF) SarlScratch 5 000</v>
          </cell>
        </row>
        <row r="2763">
          <cell r="I2763">
            <v>2007</v>
          </cell>
          <cell r="J2763" t="str">
            <v>STS GAMBY &amp; FRERES (SOGAF) SarlScratch 2 000</v>
          </cell>
          <cell r="L2763">
            <v>0</v>
          </cell>
          <cell r="M2763" t="str">
            <v>STS GAMBY &amp; FRERES (SOGAF) Sarl</v>
          </cell>
          <cell r="N2763" t="str">
            <v>STS GAMBY &amp; FRERES (SOGAF) SarlScratch 2 000</v>
          </cell>
          <cell r="O2763" t="str">
            <v>STS GAMBY &amp; FRERES (SOGAF) Sarl</v>
          </cell>
          <cell r="P2763" t="str">
            <v>Scratch 2 000</v>
          </cell>
          <cell r="Q2763" t="str">
            <v>92007</v>
          </cell>
          <cell r="R2763" t="str">
            <v>92007Scratch 2 000</v>
          </cell>
          <cell r="S2763" t="str">
            <v>2007Scratch 2 000</v>
          </cell>
          <cell r="T2763" t="str">
            <v>92007STS GAMBY &amp; FRERES (SOGAF) Sarl</v>
          </cell>
          <cell r="U2763" t="str">
            <v>92007STS GAMBY &amp; FRERES (SOGAF) SarlScratch 2 000</v>
          </cell>
          <cell r="V2763" t="str">
            <v>39337Scratch 2 000</v>
          </cell>
          <cell r="W2763" t="str">
            <v>2007STS GAMBY &amp; FRERES (SOGAF) Sarl</v>
          </cell>
          <cell r="X2763" t="str">
            <v>2007STS GAMBY &amp; FRERES (SOGAF) SarlScratch 2 000</v>
          </cell>
        </row>
        <row r="2764">
          <cell r="I2764">
            <v>2007</v>
          </cell>
          <cell r="J2764" t="str">
            <v>STS GAMBY &amp; FRERES (SOGAF) SarlScratch 1 000</v>
          </cell>
          <cell r="L2764">
            <v>0</v>
          </cell>
          <cell r="M2764" t="str">
            <v>STS GAMBY &amp; FRERES (SOGAF) Sarl</v>
          </cell>
          <cell r="N2764" t="str">
            <v>STS GAMBY &amp; FRERES (SOGAF) SarlScratch 1 000</v>
          </cell>
          <cell r="O2764" t="str">
            <v>STS GAMBY &amp; FRERES (SOGAF) Sarl</v>
          </cell>
          <cell r="P2764" t="str">
            <v>Scratch 1 000</v>
          </cell>
          <cell r="Q2764" t="str">
            <v>92007</v>
          </cell>
          <cell r="R2764" t="str">
            <v>92007Scratch 1 000</v>
          </cell>
          <cell r="S2764" t="str">
            <v>2007Scratch 1 000</v>
          </cell>
          <cell r="T2764" t="str">
            <v>92007STS GAMBY &amp; FRERES (SOGAF) Sarl</v>
          </cell>
          <cell r="U2764" t="str">
            <v>92007STS GAMBY &amp; FRERES (SOGAF) SarlScratch 1 000</v>
          </cell>
          <cell r="V2764" t="str">
            <v>39337Scratch 1 000</v>
          </cell>
          <cell r="W2764" t="str">
            <v>2007STS GAMBY &amp; FRERES (SOGAF) Sarl</v>
          </cell>
          <cell r="X2764" t="str">
            <v>2007STS GAMBY &amp; FRERES (SOGAF) SarlScratch 1 000</v>
          </cell>
        </row>
        <row r="2765">
          <cell r="I2765">
            <v>2007</v>
          </cell>
          <cell r="J2765" t="str">
            <v>Compagnie Internationale de NegoceScratch 5 000</v>
          </cell>
          <cell r="L2765">
            <v>1</v>
          </cell>
          <cell r="M2765" t="str">
            <v>1Compagnie Internationale de Negoce</v>
          </cell>
          <cell r="N2765" t="str">
            <v>Compagnie Internationale de NegoceScratch 5 000</v>
          </cell>
          <cell r="O2765" t="str">
            <v>Compagnie Internationale de Negoce</v>
          </cell>
          <cell r="P2765" t="str">
            <v>Scratch 5 000</v>
          </cell>
          <cell r="Q2765" t="str">
            <v>92007</v>
          </cell>
          <cell r="R2765" t="str">
            <v>92007Scratch 5 000</v>
          </cell>
          <cell r="S2765" t="str">
            <v>2007Scratch 5 000</v>
          </cell>
          <cell r="T2765" t="str">
            <v>92007Compagnie Internationale de Negoce</v>
          </cell>
          <cell r="U2765" t="str">
            <v>92007Compagnie Internationale de NegoceScratch 5 000</v>
          </cell>
          <cell r="V2765" t="str">
            <v>39337Scratch 5 000</v>
          </cell>
          <cell r="W2765" t="str">
            <v>2007Compagnie Internationale de Negoce</v>
          </cell>
          <cell r="X2765" t="str">
            <v>2007Compagnie Internationale de NegoceScratch 5 000</v>
          </cell>
        </row>
        <row r="2766">
          <cell r="I2766">
            <v>2007</v>
          </cell>
          <cell r="J2766" t="str">
            <v>Compagnie Internationale de NegoceScratch 2 000</v>
          </cell>
          <cell r="L2766">
            <v>0</v>
          </cell>
          <cell r="M2766" t="str">
            <v>Compagnie Internationale de Negoce</v>
          </cell>
          <cell r="N2766" t="str">
            <v>Compagnie Internationale de NegoceScratch 2 000</v>
          </cell>
          <cell r="O2766" t="str">
            <v>Compagnie Internationale de Negoce</v>
          </cell>
          <cell r="P2766" t="str">
            <v>Scratch 2 000</v>
          </cell>
          <cell r="Q2766" t="str">
            <v>92007</v>
          </cell>
          <cell r="R2766" t="str">
            <v>92007Scratch 2 000</v>
          </cell>
          <cell r="S2766" t="str">
            <v>2007Scratch 2 000</v>
          </cell>
          <cell r="T2766" t="str">
            <v>92007Compagnie Internationale de Negoce</v>
          </cell>
          <cell r="U2766" t="str">
            <v>92007Compagnie Internationale de NegoceScratch 2 000</v>
          </cell>
          <cell r="V2766" t="str">
            <v>39337Scratch 2 000</v>
          </cell>
          <cell r="W2766" t="str">
            <v>2007Compagnie Internationale de Negoce</v>
          </cell>
          <cell r="X2766" t="str">
            <v>2007Compagnie Internationale de NegoceScratch 2 000</v>
          </cell>
        </row>
        <row r="2767">
          <cell r="I2767">
            <v>2007</v>
          </cell>
          <cell r="J2767" t="str">
            <v>Compagnie Internationale de NegoceScratch 1 000</v>
          </cell>
          <cell r="L2767">
            <v>0</v>
          </cell>
          <cell r="M2767" t="str">
            <v>Compagnie Internationale de Negoce</v>
          </cell>
          <cell r="N2767" t="str">
            <v>Compagnie Internationale de NegoceScratch 1 000</v>
          </cell>
          <cell r="O2767" t="str">
            <v>Compagnie Internationale de Negoce</v>
          </cell>
          <cell r="P2767" t="str">
            <v>Scratch 1 000</v>
          </cell>
          <cell r="Q2767" t="str">
            <v>92007</v>
          </cell>
          <cell r="R2767" t="str">
            <v>92007Scratch 1 000</v>
          </cell>
          <cell r="S2767" t="str">
            <v>2007Scratch 1 000</v>
          </cell>
          <cell r="T2767" t="str">
            <v>92007Compagnie Internationale de Negoce</v>
          </cell>
          <cell r="U2767" t="str">
            <v>92007Compagnie Internationale de NegoceScratch 1 000</v>
          </cell>
          <cell r="V2767" t="str">
            <v>39337Scratch 1 000</v>
          </cell>
          <cell r="W2767" t="str">
            <v>2007Compagnie Internationale de Negoce</v>
          </cell>
          <cell r="X2767" t="str">
            <v>2007Compagnie Internationale de NegoceScratch 1 000</v>
          </cell>
        </row>
        <row r="2768">
          <cell r="I2768">
            <v>2007</v>
          </cell>
          <cell r="J2768" t="str">
            <v>ANKA SERVICESScratch 20 000</v>
          </cell>
          <cell r="L2768">
            <v>1</v>
          </cell>
          <cell r="M2768" t="str">
            <v>1ANKA SERVICES</v>
          </cell>
          <cell r="N2768" t="str">
            <v>ANKA SERVICESScratch 20 000</v>
          </cell>
          <cell r="O2768" t="str">
            <v>ANKA SERVICES</v>
          </cell>
          <cell r="P2768" t="str">
            <v>Scratch 20 000</v>
          </cell>
          <cell r="Q2768" t="str">
            <v>92007</v>
          </cell>
          <cell r="R2768" t="str">
            <v>92007Scratch 20 000</v>
          </cell>
          <cell r="S2768" t="str">
            <v>2007Scratch 20 000</v>
          </cell>
          <cell r="T2768" t="str">
            <v>92007ANKA SERVICES</v>
          </cell>
          <cell r="U2768" t="str">
            <v>92007ANKA SERVICESScratch 20 000</v>
          </cell>
          <cell r="V2768" t="str">
            <v>39337Scratch 20 000</v>
          </cell>
          <cell r="W2768" t="str">
            <v>2007ANKA SERVICES</v>
          </cell>
          <cell r="X2768" t="str">
            <v>2007ANKA SERVICESScratch 20 000</v>
          </cell>
        </row>
        <row r="2769">
          <cell r="I2769">
            <v>2007</v>
          </cell>
          <cell r="J2769" t="str">
            <v>ANKA SERVICESScratch 10 000</v>
          </cell>
          <cell r="L2769">
            <v>0</v>
          </cell>
          <cell r="M2769" t="str">
            <v>ANKA SERVICES</v>
          </cell>
          <cell r="N2769" t="str">
            <v>ANKA SERVICESScratch 10 000</v>
          </cell>
          <cell r="O2769" t="str">
            <v>ANKA SERVICES</v>
          </cell>
          <cell r="P2769" t="str">
            <v>Scratch 10 000</v>
          </cell>
          <cell r="Q2769" t="str">
            <v>92007</v>
          </cell>
          <cell r="R2769" t="str">
            <v>92007Scratch 10 000</v>
          </cell>
          <cell r="S2769" t="str">
            <v>2007Scratch 10 000</v>
          </cell>
          <cell r="T2769" t="str">
            <v>92007ANKA SERVICES</v>
          </cell>
          <cell r="U2769" t="str">
            <v>92007ANKA SERVICESScratch 10 000</v>
          </cell>
          <cell r="V2769" t="str">
            <v>39337Scratch 10 000</v>
          </cell>
          <cell r="W2769" t="str">
            <v>2007ANKA SERVICES</v>
          </cell>
          <cell r="X2769" t="str">
            <v>2007ANKA SERVICESScratch 10 000</v>
          </cell>
        </row>
        <row r="2770">
          <cell r="I2770">
            <v>2007</v>
          </cell>
          <cell r="J2770" t="str">
            <v>ANKA SERVICESScratch 5 000</v>
          </cell>
          <cell r="L2770">
            <v>0</v>
          </cell>
          <cell r="M2770" t="str">
            <v>ANKA SERVICES</v>
          </cell>
          <cell r="N2770" t="str">
            <v>ANKA SERVICESScratch 5 000</v>
          </cell>
          <cell r="O2770" t="str">
            <v>ANKA SERVICES</v>
          </cell>
          <cell r="P2770" t="str">
            <v>Scratch 5 000</v>
          </cell>
          <cell r="Q2770" t="str">
            <v>92007</v>
          </cell>
          <cell r="R2770" t="str">
            <v>92007Scratch 5 000</v>
          </cell>
          <cell r="S2770" t="str">
            <v>2007Scratch 5 000</v>
          </cell>
          <cell r="T2770" t="str">
            <v>92007ANKA SERVICES</v>
          </cell>
          <cell r="U2770" t="str">
            <v>92007ANKA SERVICESScratch 5 000</v>
          </cell>
          <cell r="V2770" t="str">
            <v>39337Scratch 5 000</v>
          </cell>
          <cell r="W2770" t="str">
            <v>2007ANKA SERVICES</v>
          </cell>
          <cell r="X2770" t="str">
            <v>2007ANKA SERVICESScratch 5 000</v>
          </cell>
        </row>
        <row r="2771">
          <cell r="I2771">
            <v>2007</v>
          </cell>
          <cell r="J2771" t="str">
            <v>ANKA SERVICESScratch 2 000</v>
          </cell>
          <cell r="L2771">
            <v>0</v>
          </cell>
          <cell r="M2771" t="str">
            <v>ANKA SERVICES</v>
          </cell>
          <cell r="N2771" t="str">
            <v>ANKA SERVICESScratch 2 000</v>
          </cell>
          <cell r="O2771" t="str">
            <v>ANKA SERVICES</v>
          </cell>
          <cell r="P2771" t="str">
            <v>Scratch 2 000</v>
          </cell>
          <cell r="Q2771" t="str">
            <v>92007</v>
          </cell>
          <cell r="R2771" t="str">
            <v>92007Scratch 2 000</v>
          </cell>
          <cell r="S2771" t="str">
            <v>2007Scratch 2 000</v>
          </cell>
          <cell r="T2771" t="str">
            <v>92007ANKA SERVICES</v>
          </cell>
          <cell r="U2771" t="str">
            <v>92007ANKA SERVICESScratch 2 000</v>
          </cell>
          <cell r="V2771" t="str">
            <v>39337Scratch 2 000</v>
          </cell>
          <cell r="W2771" t="str">
            <v>2007ANKA SERVICES</v>
          </cell>
          <cell r="X2771" t="str">
            <v>2007ANKA SERVICESScratch 2 000</v>
          </cell>
        </row>
        <row r="2772">
          <cell r="I2772">
            <v>2007</v>
          </cell>
          <cell r="J2772" t="str">
            <v>ANKA SERVICESScratch 1 000</v>
          </cell>
          <cell r="L2772">
            <v>0</v>
          </cell>
          <cell r="M2772" t="str">
            <v>ANKA SERVICES</v>
          </cell>
          <cell r="N2772" t="str">
            <v>ANKA SERVICESScratch 1 000</v>
          </cell>
          <cell r="O2772" t="str">
            <v>ANKA SERVICES</v>
          </cell>
          <cell r="P2772" t="str">
            <v>Scratch 1 000</v>
          </cell>
          <cell r="Q2772" t="str">
            <v>92007</v>
          </cell>
          <cell r="R2772" t="str">
            <v>92007Scratch 1 000</v>
          </cell>
          <cell r="S2772" t="str">
            <v>2007Scratch 1 000</v>
          </cell>
          <cell r="T2772" t="str">
            <v>92007ANKA SERVICES</v>
          </cell>
          <cell r="U2772" t="str">
            <v>92007ANKA SERVICESScratch 1 000</v>
          </cell>
          <cell r="V2772" t="str">
            <v>39337Scratch 1 000</v>
          </cell>
          <cell r="W2772" t="str">
            <v>2007ANKA SERVICES</v>
          </cell>
          <cell r="X2772" t="str">
            <v>2007ANKA SERVICESScratch 1 000</v>
          </cell>
        </row>
        <row r="2773">
          <cell r="I2773">
            <v>2007</v>
          </cell>
          <cell r="J2773" t="str">
            <v>Ets Mamadou GAMBYScratch 5 000</v>
          </cell>
          <cell r="L2773">
            <v>1</v>
          </cell>
          <cell r="M2773" t="str">
            <v>1Ets Mamadou GAMBY</v>
          </cell>
          <cell r="N2773" t="str">
            <v>Ets Mamadou GAMBYScratch 5 000</v>
          </cell>
          <cell r="O2773" t="str">
            <v>Ets Mamadou GAMBY</v>
          </cell>
          <cell r="P2773" t="str">
            <v>Scratch 5 000</v>
          </cell>
          <cell r="Q2773" t="str">
            <v>92007</v>
          </cell>
          <cell r="R2773" t="str">
            <v>92007Scratch 5 000</v>
          </cell>
          <cell r="S2773" t="str">
            <v>2007Scratch 5 000</v>
          </cell>
          <cell r="T2773" t="str">
            <v>92007Ets Mamadou GAMBY</v>
          </cell>
          <cell r="U2773" t="str">
            <v>92007Ets Mamadou GAMBYScratch 5 000</v>
          </cell>
          <cell r="V2773" t="str">
            <v>39337Scratch 5 000</v>
          </cell>
          <cell r="W2773" t="str">
            <v>2007Ets Mamadou GAMBY</v>
          </cell>
          <cell r="X2773" t="str">
            <v>2007Ets Mamadou GAMBYScratch 5 000</v>
          </cell>
        </row>
        <row r="2774">
          <cell r="I2774">
            <v>2007</v>
          </cell>
          <cell r="J2774" t="str">
            <v>Ets Mamadou GAMBYScratch 2 000</v>
          </cell>
          <cell r="L2774">
            <v>0</v>
          </cell>
          <cell r="M2774" t="str">
            <v>Ets Mamadou GAMBY</v>
          </cell>
          <cell r="N2774" t="str">
            <v>Ets Mamadou GAMBYScratch 2 000</v>
          </cell>
          <cell r="O2774" t="str">
            <v>Ets Mamadou GAMBY</v>
          </cell>
          <cell r="P2774" t="str">
            <v>Scratch 2 000</v>
          </cell>
          <cell r="Q2774" t="str">
            <v>92007</v>
          </cell>
          <cell r="R2774" t="str">
            <v>92007Scratch 2 000</v>
          </cell>
          <cell r="S2774" t="str">
            <v>2007Scratch 2 000</v>
          </cell>
          <cell r="T2774" t="str">
            <v>92007Ets Mamadou GAMBY</v>
          </cell>
          <cell r="U2774" t="str">
            <v>92007Ets Mamadou GAMBYScratch 2 000</v>
          </cell>
          <cell r="V2774" t="str">
            <v>39337Scratch 2 000</v>
          </cell>
          <cell r="W2774" t="str">
            <v>2007Ets Mamadou GAMBY</v>
          </cell>
          <cell r="X2774" t="str">
            <v>2007Ets Mamadou GAMBYScratch 2 000</v>
          </cell>
        </row>
        <row r="2775">
          <cell r="I2775">
            <v>2007</v>
          </cell>
          <cell r="J2775" t="str">
            <v>Ets Mamadou GAMBYScratch 1 000</v>
          </cell>
          <cell r="L2775">
            <v>0</v>
          </cell>
          <cell r="M2775" t="str">
            <v>Ets Mamadou GAMBY</v>
          </cell>
          <cell r="N2775" t="str">
            <v>Ets Mamadou GAMBYScratch 1 000</v>
          </cell>
          <cell r="O2775" t="str">
            <v>Ets Mamadou GAMBY</v>
          </cell>
          <cell r="P2775" t="str">
            <v>Scratch 1 000</v>
          </cell>
          <cell r="Q2775" t="str">
            <v>92007</v>
          </cell>
          <cell r="R2775" t="str">
            <v>92007Scratch 1 000</v>
          </cell>
          <cell r="S2775" t="str">
            <v>2007Scratch 1 000</v>
          </cell>
          <cell r="T2775" t="str">
            <v>92007Ets Mamadou GAMBY</v>
          </cell>
          <cell r="U2775" t="str">
            <v>92007Ets Mamadou GAMBYScratch 1 000</v>
          </cell>
          <cell r="V2775" t="str">
            <v>39337Scratch 1 000</v>
          </cell>
          <cell r="W2775" t="str">
            <v>2007Ets Mamadou GAMBY</v>
          </cell>
          <cell r="X2775" t="str">
            <v>2007Ets Mamadou GAMBYScratch 1 000</v>
          </cell>
        </row>
        <row r="2776">
          <cell r="I2776">
            <v>2007</v>
          </cell>
          <cell r="J2776" t="str">
            <v>GEMATELScratch 20 000</v>
          </cell>
          <cell r="L2776">
            <v>1</v>
          </cell>
          <cell r="M2776" t="str">
            <v>1GEMATEL</v>
          </cell>
          <cell r="N2776" t="str">
            <v>GEMATELScratch 20 000</v>
          </cell>
          <cell r="O2776" t="str">
            <v>GEMATEL</v>
          </cell>
          <cell r="P2776" t="str">
            <v>Scratch 20 000</v>
          </cell>
          <cell r="Q2776" t="str">
            <v>92007</v>
          </cell>
          <cell r="R2776" t="str">
            <v>92007Scratch 20 000</v>
          </cell>
          <cell r="S2776" t="str">
            <v>2007Scratch 20 000</v>
          </cell>
          <cell r="T2776" t="str">
            <v>92007GEMATEL</v>
          </cell>
          <cell r="U2776" t="str">
            <v>92007GEMATELScratch 20 000</v>
          </cell>
          <cell r="V2776" t="str">
            <v>39338Scratch 20 000</v>
          </cell>
          <cell r="W2776" t="str">
            <v>2007GEMATEL</v>
          </cell>
          <cell r="X2776" t="str">
            <v>2007GEMATELScratch 20 000</v>
          </cell>
        </row>
        <row r="2777">
          <cell r="I2777">
            <v>2007</v>
          </cell>
          <cell r="J2777" t="str">
            <v>GEMATELScratch 5 000</v>
          </cell>
          <cell r="L2777">
            <v>0</v>
          </cell>
          <cell r="M2777" t="str">
            <v>GEMATEL</v>
          </cell>
          <cell r="N2777" t="str">
            <v>GEMATELScratch 5 000</v>
          </cell>
          <cell r="O2777" t="str">
            <v>GEMATEL</v>
          </cell>
          <cell r="P2777" t="str">
            <v>Scratch 5 000</v>
          </cell>
          <cell r="Q2777" t="str">
            <v>92007</v>
          </cell>
          <cell r="R2777" t="str">
            <v>92007Scratch 5 000</v>
          </cell>
          <cell r="S2777" t="str">
            <v>2007Scratch 5 000</v>
          </cell>
          <cell r="T2777" t="str">
            <v>92007GEMATEL</v>
          </cell>
          <cell r="U2777" t="str">
            <v>92007GEMATELScratch 5 000</v>
          </cell>
          <cell r="V2777" t="str">
            <v>39338Scratch 5 000</v>
          </cell>
          <cell r="W2777" t="str">
            <v>2007GEMATEL</v>
          </cell>
          <cell r="X2777" t="str">
            <v>2007GEMATELScratch 5 000</v>
          </cell>
        </row>
        <row r="2778">
          <cell r="I2778">
            <v>2007</v>
          </cell>
          <cell r="J2778" t="str">
            <v>GEMATELScratch 2 000</v>
          </cell>
          <cell r="L2778">
            <v>0</v>
          </cell>
          <cell r="M2778" t="str">
            <v>GEMATEL</v>
          </cell>
          <cell r="N2778" t="str">
            <v>GEMATELScratch 2 000</v>
          </cell>
          <cell r="O2778" t="str">
            <v>GEMATEL</v>
          </cell>
          <cell r="P2778" t="str">
            <v>Scratch 2 000</v>
          </cell>
          <cell r="Q2778" t="str">
            <v>92007</v>
          </cell>
          <cell r="R2778" t="str">
            <v>92007Scratch 2 000</v>
          </cell>
          <cell r="S2778" t="str">
            <v>2007Scratch 2 000</v>
          </cell>
          <cell r="T2778" t="str">
            <v>92007GEMATEL</v>
          </cell>
          <cell r="U2778" t="str">
            <v>92007GEMATELScratch 2 000</v>
          </cell>
          <cell r="V2778" t="str">
            <v>39338Scratch 2 000</v>
          </cell>
          <cell r="W2778" t="str">
            <v>2007GEMATEL</v>
          </cell>
          <cell r="X2778" t="str">
            <v>2007GEMATELScratch 2 000</v>
          </cell>
        </row>
        <row r="2779">
          <cell r="I2779">
            <v>2007</v>
          </cell>
          <cell r="J2779" t="str">
            <v>GEMATELScratch 1 000</v>
          </cell>
          <cell r="L2779">
            <v>0</v>
          </cell>
          <cell r="M2779" t="str">
            <v>GEMATEL</v>
          </cell>
          <cell r="N2779" t="str">
            <v>GEMATELScratch 1 000</v>
          </cell>
          <cell r="O2779" t="str">
            <v>GEMATEL</v>
          </cell>
          <cell r="P2779" t="str">
            <v>Scratch 1 000</v>
          </cell>
          <cell r="Q2779" t="str">
            <v>92007</v>
          </cell>
          <cell r="R2779" t="str">
            <v>92007Scratch 1 000</v>
          </cell>
          <cell r="S2779" t="str">
            <v>2007Scratch 1 000</v>
          </cell>
          <cell r="T2779" t="str">
            <v>92007GEMATEL</v>
          </cell>
          <cell r="U2779" t="str">
            <v>92007GEMATELScratch 1 000</v>
          </cell>
          <cell r="V2779" t="str">
            <v>39338Scratch 1 000</v>
          </cell>
          <cell r="W2779" t="str">
            <v>2007GEMATEL</v>
          </cell>
          <cell r="X2779" t="str">
            <v>2007GEMATELScratch 1 000</v>
          </cell>
        </row>
        <row r="2780">
          <cell r="I2780">
            <v>2007</v>
          </cell>
          <cell r="J2780" t="str">
            <v>Soleil LevantScratch 10 000</v>
          </cell>
          <cell r="L2780">
            <v>1</v>
          </cell>
          <cell r="M2780" t="str">
            <v>1Soleil Levant</v>
          </cell>
          <cell r="N2780" t="str">
            <v>Soleil LevantScratch 10 000</v>
          </cell>
          <cell r="O2780" t="str">
            <v>Soleil Levant</v>
          </cell>
          <cell r="P2780" t="str">
            <v>Scratch 10 000</v>
          </cell>
          <cell r="Q2780" t="str">
            <v>92007</v>
          </cell>
          <cell r="R2780" t="str">
            <v>92007Scratch 10 000</v>
          </cell>
          <cell r="S2780" t="str">
            <v>2007Scratch 10 000</v>
          </cell>
          <cell r="T2780" t="str">
            <v>92007Soleil Levant</v>
          </cell>
          <cell r="U2780" t="str">
            <v>92007Soleil LevantScratch 10 000</v>
          </cell>
          <cell r="V2780" t="str">
            <v>39338Scratch 10 000</v>
          </cell>
          <cell r="W2780" t="str">
            <v>2007Soleil Levant</v>
          </cell>
          <cell r="X2780" t="str">
            <v>2007Soleil LevantScratch 10 000</v>
          </cell>
        </row>
        <row r="2781">
          <cell r="I2781">
            <v>2007</v>
          </cell>
          <cell r="J2781" t="str">
            <v>Soleil LevantScratch 5 000</v>
          </cell>
          <cell r="L2781">
            <v>0</v>
          </cell>
          <cell r="M2781" t="str">
            <v>Soleil Levant</v>
          </cell>
          <cell r="N2781" t="str">
            <v>Soleil LevantScratch 5 000</v>
          </cell>
          <cell r="O2781" t="str">
            <v>Soleil Levant</v>
          </cell>
          <cell r="P2781" t="str">
            <v>Scratch 5 000</v>
          </cell>
          <cell r="Q2781" t="str">
            <v>92007</v>
          </cell>
          <cell r="R2781" t="str">
            <v>92007Scratch 5 000</v>
          </cell>
          <cell r="S2781" t="str">
            <v>2007Scratch 5 000</v>
          </cell>
          <cell r="T2781" t="str">
            <v>92007Soleil Levant</v>
          </cell>
          <cell r="U2781" t="str">
            <v>92007Soleil LevantScratch 5 000</v>
          </cell>
          <cell r="V2781" t="str">
            <v>39338Scratch 5 000</v>
          </cell>
          <cell r="W2781" t="str">
            <v>2007Soleil Levant</v>
          </cell>
          <cell r="X2781" t="str">
            <v>2007Soleil LevantScratch 5 000</v>
          </cell>
        </row>
        <row r="2782">
          <cell r="I2782">
            <v>2007</v>
          </cell>
          <cell r="J2782" t="str">
            <v>Soleil LevantScratch 2 000</v>
          </cell>
          <cell r="L2782">
            <v>0</v>
          </cell>
          <cell r="M2782" t="str">
            <v>Soleil Levant</v>
          </cell>
          <cell r="N2782" t="str">
            <v>Soleil LevantScratch 2 000</v>
          </cell>
          <cell r="O2782" t="str">
            <v>Soleil Levant</v>
          </cell>
          <cell r="P2782" t="str">
            <v>Scratch 2 000</v>
          </cell>
          <cell r="Q2782" t="str">
            <v>92007</v>
          </cell>
          <cell r="R2782" t="str">
            <v>92007Scratch 2 000</v>
          </cell>
          <cell r="S2782" t="str">
            <v>2007Scratch 2 000</v>
          </cell>
          <cell r="T2782" t="str">
            <v>92007Soleil Levant</v>
          </cell>
          <cell r="U2782" t="str">
            <v>92007Soleil LevantScratch 2 000</v>
          </cell>
          <cell r="V2782" t="str">
            <v>39338Scratch 2 000</v>
          </cell>
          <cell r="W2782" t="str">
            <v>2007Soleil Levant</v>
          </cell>
          <cell r="X2782" t="str">
            <v>2007Soleil LevantScratch 2 000</v>
          </cell>
        </row>
        <row r="2783">
          <cell r="I2783">
            <v>2007</v>
          </cell>
          <cell r="J2783" t="str">
            <v>Soleil LevantScratch 1 000</v>
          </cell>
          <cell r="L2783">
            <v>0</v>
          </cell>
          <cell r="M2783" t="str">
            <v>Soleil Levant</v>
          </cell>
          <cell r="N2783" t="str">
            <v>Soleil LevantScratch 1 000</v>
          </cell>
          <cell r="O2783" t="str">
            <v>Soleil Levant</v>
          </cell>
          <cell r="P2783" t="str">
            <v>Scratch 1 000</v>
          </cell>
          <cell r="Q2783" t="str">
            <v>92007</v>
          </cell>
          <cell r="R2783" t="str">
            <v>92007Scratch 1 000</v>
          </cell>
          <cell r="S2783" t="str">
            <v>2007Scratch 1 000</v>
          </cell>
          <cell r="T2783" t="str">
            <v>92007Soleil Levant</v>
          </cell>
          <cell r="U2783" t="str">
            <v>92007Soleil LevantScratch 1 000</v>
          </cell>
          <cell r="V2783" t="str">
            <v>39338Scratch 1 000</v>
          </cell>
          <cell r="W2783" t="str">
            <v>2007Soleil Levant</v>
          </cell>
          <cell r="X2783" t="str">
            <v>2007Soleil LevantScratch 1 000</v>
          </cell>
        </row>
        <row r="2784">
          <cell r="I2784">
            <v>2007</v>
          </cell>
          <cell r="J2784" t="str">
            <v>STS GAMBY &amp; FRERES (SOGAF) SarlScratch 5 000</v>
          </cell>
          <cell r="L2784">
            <v>1</v>
          </cell>
          <cell r="M2784" t="str">
            <v>1STS GAMBY &amp; FRERES (SOGAF) Sarl</v>
          </cell>
          <cell r="N2784" t="str">
            <v>STS GAMBY &amp; FRERES (SOGAF) SarlScratch 5 000</v>
          </cell>
          <cell r="O2784" t="str">
            <v>STS GAMBY &amp; FRERES (SOGAF) Sarl</v>
          </cell>
          <cell r="P2784" t="str">
            <v>Scratch 5 000</v>
          </cell>
          <cell r="Q2784" t="str">
            <v>92007</v>
          </cell>
          <cell r="R2784" t="str">
            <v>92007Scratch 5 000</v>
          </cell>
          <cell r="S2784" t="str">
            <v>2007Scratch 5 000</v>
          </cell>
          <cell r="T2784" t="str">
            <v>92007STS GAMBY &amp; FRERES (SOGAF) Sarl</v>
          </cell>
          <cell r="U2784" t="str">
            <v>92007STS GAMBY &amp; FRERES (SOGAF) SarlScratch 5 000</v>
          </cell>
          <cell r="V2784" t="str">
            <v>39338Scratch 5 000</v>
          </cell>
          <cell r="W2784" t="str">
            <v>2007STS GAMBY &amp; FRERES (SOGAF) Sarl</v>
          </cell>
          <cell r="X2784" t="str">
            <v>2007STS GAMBY &amp; FRERES (SOGAF) SarlScratch 5 000</v>
          </cell>
        </row>
        <row r="2785">
          <cell r="I2785">
            <v>2007</v>
          </cell>
          <cell r="J2785" t="str">
            <v>STS GAMBY &amp; FRERES (SOGAF) SarlScratch 2 000</v>
          </cell>
          <cell r="L2785">
            <v>0</v>
          </cell>
          <cell r="M2785" t="str">
            <v>STS GAMBY &amp; FRERES (SOGAF) Sarl</v>
          </cell>
          <cell r="N2785" t="str">
            <v>STS GAMBY &amp; FRERES (SOGAF) SarlScratch 2 000</v>
          </cell>
          <cell r="O2785" t="str">
            <v>STS GAMBY &amp; FRERES (SOGAF) Sarl</v>
          </cell>
          <cell r="P2785" t="str">
            <v>Scratch 2 000</v>
          </cell>
          <cell r="Q2785" t="str">
            <v>92007</v>
          </cell>
          <cell r="R2785" t="str">
            <v>92007Scratch 2 000</v>
          </cell>
          <cell r="S2785" t="str">
            <v>2007Scratch 2 000</v>
          </cell>
          <cell r="T2785" t="str">
            <v>92007STS GAMBY &amp; FRERES (SOGAF) Sarl</v>
          </cell>
          <cell r="U2785" t="str">
            <v>92007STS GAMBY &amp; FRERES (SOGAF) SarlScratch 2 000</v>
          </cell>
          <cell r="V2785" t="str">
            <v>39338Scratch 2 000</v>
          </cell>
          <cell r="W2785" t="str">
            <v>2007STS GAMBY &amp; FRERES (SOGAF) Sarl</v>
          </cell>
          <cell r="X2785" t="str">
            <v>2007STS GAMBY &amp; FRERES (SOGAF) SarlScratch 2 000</v>
          </cell>
        </row>
        <row r="2786">
          <cell r="I2786">
            <v>2007</v>
          </cell>
          <cell r="J2786" t="str">
            <v>STS GAMBY &amp; FRERES (SOGAF) SarlScratch 1 000</v>
          </cell>
          <cell r="L2786">
            <v>0</v>
          </cell>
          <cell r="M2786" t="str">
            <v>STS GAMBY &amp; FRERES (SOGAF) Sarl</v>
          </cell>
          <cell r="N2786" t="str">
            <v>STS GAMBY &amp; FRERES (SOGAF) SarlScratch 1 000</v>
          </cell>
          <cell r="O2786" t="str">
            <v>STS GAMBY &amp; FRERES (SOGAF) Sarl</v>
          </cell>
          <cell r="P2786" t="str">
            <v>Scratch 1 000</v>
          </cell>
          <cell r="Q2786" t="str">
            <v>92007</v>
          </cell>
          <cell r="R2786" t="str">
            <v>92007Scratch 1 000</v>
          </cell>
          <cell r="S2786" t="str">
            <v>2007Scratch 1 000</v>
          </cell>
          <cell r="T2786" t="str">
            <v>92007STS GAMBY &amp; FRERES (SOGAF) Sarl</v>
          </cell>
          <cell r="U2786" t="str">
            <v>92007STS GAMBY &amp; FRERES (SOGAF) SarlScratch 1 000</v>
          </cell>
          <cell r="V2786" t="str">
            <v>39338Scratch 1 000</v>
          </cell>
          <cell r="W2786" t="str">
            <v>2007STS GAMBY &amp; FRERES (SOGAF) Sarl</v>
          </cell>
          <cell r="X2786" t="str">
            <v>2007STS GAMBY &amp; FRERES (SOGAF) SarlScratch 1 000</v>
          </cell>
        </row>
        <row r="2787">
          <cell r="I2787">
            <v>2007</v>
          </cell>
          <cell r="J2787" t="str">
            <v>ANKA SERVICESScratch 5 000</v>
          </cell>
          <cell r="L2787">
            <v>1</v>
          </cell>
          <cell r="M2787" t="str">
            <v>1ANKA SERVICES</v>
          </cell>
          <cell r="N2787" t="str">
            <v>ANKA SERVICESScratch 5 000</v>
          </cell>
          <cell r="O2787" t="str">
            <v>ANKA SERVICES</v>
          </cell>
          <cell r="P2787" t="str">
            <v>Scratch 5 000</v>
          </cell>
          <cell r="Q2787" t="str">
            <v>92007</v>
          </cell>
          <cell r="R2787" t="str">
            <v>92007Scratch 5 000</v>
          </cell>
          <cell r="S2787" t="str">
            <v>2007Scratch 5 000</v>
          </cell>
          <cell r="T2787" t="str">
            <v>92007ANKA SERVICES</v>
          </cell>
          <cell r="U2787" t="str">
            <v>92007ANKA SERVICESScratch 5 000</v>
          </cell>
          <cell r="V2787" t="str">
            <v>39338Scratch 5 000</v>
          </cell>
          <cell r="W2787" t="str">
            <v>2007ANKA SERVICES</v>
          </cell>
          <cell r="X2787" t="str">
            <v>2007ANKA SERVICESScratch 5 000</v>
          </cell>
        </row>
        <row r="2788">
          <cell r="I2788">
            <v>2007</v>
          </cell>
          <cell r="J2788" t="str">
            <v>ANKA SERVICESScratch 2 000</v>
          </cell>
          <cell r="L2788">
            <v>0</v>
          </cell>
          <cell r="M2788" t="str">
            <v>ANKA SERVICES</v>
          </cell>
          <cell r="N2788" t="str">
            <v>ANKA SERVICESScratch 2 000</v>
          </cell>
          <cell r="O2788" t="str">
            <v>ANKA SERVICES</v>
          </cell>
          <cell r="P2788" t="str">
            <v>Scratch 2 000</v>
          </cell>
          <cell r="Q2788" t="str">
            <v>92007</v>
          </cell>
          <cell r="R2788" t="str">
            <v>92007Scratch 2 000</v>
          </cell>
          <cell r="S2788" t="str">
            <v>2007Scratch 2 000</v>
          </cell>
          <cell r="T2788" t="str">
            <v>92007ANKA SERVICES</v>
          </cell>
          <cell r="U2788" t="str">
            <v>92007ANKA SERVICESScratch 2 000</v>
          </cell>
          <cell r="V2788" t="str">
            <v>39338Scratch 2 000</v>
          </cell>
          <cell r="W2788" t="str">
            <v>2007ANKA SERVICES</v>
          </cell>
          <cell r="X2788" t="str">
            <v>2007ANKA SERVICESScratch 2 000</v>
          </cell>
        </row>
        <row r="2789">
          <cell r="I2789">
            <v>2007</v>
          </cell>
          <cell r="J2789" t="str">
            <v>ANKA SERVICESScratch 1 000</v>
          </cell>
          <cell r="L2789">
            <v>0</v>
          </cell>
          <cell r="M2789" t="str">
            <v>ANKA SERVICES</v>
          </cell>
          <cell r="N2789" t="str">
            <v>ANKA SERVICESScratch 1 000</v>
          </cell>
          <cell r="O2789" t="str">
            <v>ANKA SERVICES</v>
          </cell>
          <cell r="P2789" t="str">
            <v>Scratch 1 000</v>
          </cell>
          <cell r="Q2789" t="str">
            <v>92007</v>
          </cell>
          <cell r="R2789" t="str">
            <v>92007Scratch 1 000</v>
          </cell>
          <cell r="S2789" t="str">
            <v>2007Scratch 1 000</v>
          </cell>
          <cell r="T2789" t="str">
            <v>92007ANKA SERVICES</v>
          </cell>
          <cell r="U2789" t="str">
            <v>92007ANKA SERVICESScratch 1 000</v>
          </cell>
          <cell r="V2789" t="str">
            <v>39338Scratch 1 000</v>
          </cell>
          <cell r="W2789" t="str">
            <v>2007ANKA SERVICES</v>
          </cell>
          <cell r="X2789" t="str">
            <v>2007ANKA SERVICESScratch 1 000</v>
          </cell>
        </row>
        <row r="2790">
          <cell r="I2790">
            <v>2007</v>
          </cell>
          <cell r="J2790" t="str">
            <v>MALI COM SarlScratch 20 000</v>
          </cell>
          <cell r="L2790">
            <v>1</v>
          </cell>
          <cell r="M2790" t="str">
            <v>1MALI COM Sarl</v>
          </cell>
          <cell r="N2790" t="str">
            <v>MALI COM SarlScratch 20 000</v>
          </cell>
          <cell r="O2790" t="str">
            <v>MALI COM Sarl</v>
          </cell>
          <cell r="P2790" t="str">
            <v>Scratch 20 000</v>
          </cell>
          <cell r="Q2790" t="str">
            <v>92007</v>
          </cell>
          <cell r="R2790" t="str">
            <v>92007Scratch 20 000</v>
          </cell>
          <cell r="S2790" t="str">
            <v>2007Scratch 20 000</v>
          </cell>
          <cell r="T2790" t="str">
            <v>92007MALI COM Sarl</v>
          </cell>
          <cell r="U2790" t="str">
            <v>92007MALI COM SarlScratch 20 000</v>
          </cell>
          <cell r="V2790" t="str">
            <v>39338Scratch 20 000</v>
          </cell>
          <cell r="W2790" t="str">
            <v>2007MALI COM Sarl</v>
          </cell>
          <cell r="X2790" t="str">
            <v>2007MALI COM SarlScratch 20 000</v>
          </cell>
        </row>
        <row r="2791">
          <cell r="I2791">
            <v>2007</v>
          </cell>
          <cell r="J2791" t="str">
            <v>MALI COM SarlScratch 5 000</v>
          </cell>
          <cell r="L2791">
            <v>0</v>
          </cell>
          <cell r="M2791" t="str">
            <v>MALI COM Sarl</v>
          </cell>
          <cell r="N2791" t="str">
            <v>MALI COM SarlScratch 5 000</v>
          </cell>
          <cell r="O2791" t="str">
            <v>MALI COM Sarl</v>
          </cell>
          <cell r="P2791" t="str">
            <v>Scratch 5 000</v>
          </cell>
          <cell r="Q2791" t="str">
            <v>92007</v>
          </cell>
          <cell r="R2791" t="str">
            <v>92007Scratch 5 000</v>
          </cell>
          <cell r="S2791" t="str">
            <v>2007Scratch 5 000</v>
          </cell>
          <cell r="T2791" t="str">
            <v>92007MALI COM Sarl</v>
          </cell>
          <cell r="U2791" t="str">
            <v>92007MALI COM SarlScratch 5 000</v>
          </cell>
          <cell r="V2791" t="str">
            <v>39338Scratch 5 000</v>
          </cell>
          <cell r="W2791" t="str">
            <v>2007MALI COM Sarl</v>
          </cell>
          <cell r="X2791" t="str">
            <v>2007MALI COM SarlScratch 5 000</v>
          </cell>
        </row>
        <row r="2792">
          <cell r="I2792">
            <v>2007</v>
          </cell>
          <cell r="J2792" t="str">
            <v>MALI COM SarlScratch 2 000</v>
          </cell>
          <cell r="L2792">
            <v>0</v>
          </cell>
          <cell r="M2792" t="str">
            <v>MALI COM Sarl</v>
          </cell>
          <cell r="N2792" t="str">
            <v>MALI COM SarlScratch 2 000</v>
          </cell>
          <cell r="O2792" t="str">
            <v>MALI COM Sarl</v>
          </cell>
          <cell r="P2792" t="str">
            <v>Scratch 2 000</v>
          </cell>
          <cell r="Q2792" t="str">
            <v>92007</v>
          </cell>
          <cell r="R2792" t="str">
            <v>92007Scratch 2 000</v>
          </cell>
          <cell r="S2792" t="str">
            <v>2007Scratch 2 000</v>
          </cell>
          <cell r="T2792" t="str">
            <v>92007MALI COM Sarl</v>
          </cell>
          <cell r="U2792" t="str">
            <v>92007MALI COM SarlScratch 2 000</v>
          </cell>
          <cell r="V2792" t="str">
            <v>39338Scratch 2 000</v>
          </cell>
          <cell r="W2792" t="str">
            <v>2007MALI COM Sarl</v>
          </cell>
          <cell r="X2792" t="str">
            <v>2007MALI COM SarlScratch 2 000</v>
          </cell>
        </row>
        <row r="2793">
          <cell r="I2793">
            <v>2007</v>
          </cell>
          <cell r="J2793" t="str">
            <v>MALI COM SarlScratch 1 000</v>
          </cell>
          <cell r="L2793">
            <v>0</v>
          </cell>
          <cell r="M2793" t="str">
            <v>MALI COM Sarl</v>
          </cell>
          <cell r="N2793" t="str">
            <v>MALI COM SarlScratch 1 000</v>
          </cell>
          <cell r="O2793" t="str">
            <v>MALI COM Sarl</v>
          </cell>
          <cell r="P2793" t="str">
            <v>Scratch 1 000</v>
          </cell>
          <cell r="Q2793" t="str">
            <v>92007</v>
          </cell>
          <cell r="R2793" t="str">
            <v>92007Scratch 1 000</v>
          </cell>
          <cell r="S2793" t="str">
            <v>2007Scratch 1 000</v>
          </cell>
          <cell r="T2793" t="str">
            <v>92007MALI COM Sarl</v>
          </cell>
          <cell r="U2793" t="str">
            <v>92007MALI COM SarlScratch 1 000</v>
          </cell>
          <cell r="V2793" t="str">
            <v>39338Scratch 1 000</v>
          </cell>
          <cell r="W2793" t="str">
            <v>2007MALI COM Sarl</v>
          </cell>
          <cell r="X2793" t="str">
            <v>2007MALI COM SarlScratch 1 000</v>
          </cell>
        </row>
        <row r="2794">
          <cell r="I2794">
            <v>2007</v>
          </cell>
          <cell r="J2794" t="str">
            <v>GEMATELScratch 20 000</v>
          </cell>
          <cell r="L2794">
            <v>1</v>
          </cell>
          <cell r="M2794" t="str">
            <v>1GEMATEL</v>
          </cell>
          <cell r="N2794" t="str">
            <v>GEMATELScratch 20 000</v>
          </cell>
          <cell r="O2794" t="str">
            <v>GEMATEL</v>
          </cell>
          <cell r="P2794" t="str">
            <v>Scratch 20 000</v>
          </cell>
          <cell r="Q2794" t="str">
            <v>92007</v>
          </cell>
          <cell r="R2794" t="str">
            <v>92007Scratch 20 000</v>
          </cell>
          <cell r="S2794" t="str">
            <v>2007Scratch 20 000</v>
          </cell>
          <cell r="T2794" t="str">
            <v>92007GEMATEL</v>
          </cell>
          <cell r="U2794" t="str">
            <v>92007GEMATELScratch 20 000</v>
          </cell>
          <cell r="V2794" t="str">
            <v>39338Scratch 20 000</v>
          </cell>
          <cell r="W2794" t="str">
            <v>2007GEMATEL</v>
          </cell>
          <cell r="X2794" t="str">
            <v>2007GEMATELScratch 20 000</v>
          </cell>
        </row>
        <row r="2795">
          <cell r="I2795">
            <v>2007</v>
          </cell>
          <cell r="J2795" t="str">
            <v>GEMATELScratch 5 000</v>
          </cell>
          <cell r="L2795">
            <v>0</v>
          </cell>
          <cell r="M2795" t="str">
            <v>GEMATEL</v>
          </cell>
          <cell r="N2795" t="str">
            <v>GEMATELScratch 5 000</v>
          </cell>
          <cell r="O2795" t="str">
            <v>GEMATEL</v>
          </cell>
          <cell r="P2795" t="str">
            <v>Scratch 5 000</v>
          </cell>
          <cell r="Q2795" t="str">
            <v>92007</v>
          </cell>
          <cell r="R2795" t="str">
            <v>92007Scratch 5 000</v>
          </cell>
          <cell r="S2795" t="str">
            <v>2007Scratch 5 000</v>
          </cell>
          <cell r="T2795" t="str">
            <v>92007GEMATEL</v>
          </cell>
          <cell r="U2795" t="str">
            <v>92007GEMATELScratch 5 000</v>
          </cell>
          <cell r="V2795" t="str">
            <v>39338Scratch 5 000</v>
          </cell>
          <cell r="W2795" t="str">
            <v>2007GEMATEL</v>
          </cell>
          <cell r="X2795" t="str">
            <v>2007GEMATELScratch 5 000</v>
          </cell>
        </row>
        <row r="2796">
          <cell r="I2796">
            <v>2007</v>
          </cell>
          <cell r="J2796" t="str">
            <v>GEMATELScratch 2 000</v>
          </cell>
          <cell r="L2796">
            <v>0</v>
          </cell>
          <cell r="M2796" t="str">
            <v>GEMATEL</v>
          </cell>
          <cell r="N2796" t="str">
            <v>GEMATELScratch 2 000</v>
          </cell>
          <cell r="O2796" t="str">
            <v>GEMATEL</v>
          </cell>
          <cell r="P2796" t="str">
            <v>Scratch 2 000</v>
          </cell>
          <cell r="Q2796" t="str">
            <v>92007</v>
          </cell>
          <cell r="R2796" t="str">
            <v>92007Scratch 2 000</v>
          </cell>
          <cell r="S2796" t="str">
            <v>2007Scratch 2 000</v>
          </cell>
          <cell r="T2796" t="str">
            <v>92007GEMATEL</v>
          </cell>
          <cell r="U2796" t="str">
            <v>92007GEMATELScratch 2 000</v>
          </cell>
          <cell r="V2796" t="str">
            <v>39338Scratch 2 000</v>
          </cell>
          <cell r="W2796" t="str">
            <v>2007GEMATEL</v>
          </cell>
          <cell r="X2796" t="str">
            <v>2007GEMATELScratch 2 000</v>
          </cell>
        </row>
        <row r="2797">
          <cell r="I2797">
            <v>2007</v>
          </cell>
          <cell r="J2797" t="str">
            <v>GEMATELScratch 1 000</v>
          </cell>
          <cell r="L2797">
            <v>0</v>
          </cell>
          <cell r="M2797" t="str">
            <v>GEMATEL</v>
          </cell>
          <cell r="N2797" t="str">
            <v>GEMATELScratch 1 000</v>
          </cell>
          <cell r="O2797" t="str">
            <v>GEMATEL</v>
          </cell>
          <cell r="P2797" t="str">
            <v>Scratch 1 000</v>
          </cell>
          <cell r="Q2797" t="str">
            <v>92007</v>
          </cell>
          <cell r="R2797" t="str">
            <v>92007Scratch 1 000</v>
          </cell>
          <cell r="S2797" t="str">
            <v>2007Scratch 1 000</v>
          </cell>
          <cell r="T2797" t="str">
            <v>92007GEMATEL</v>
          </cell>
          <cell r="U2797" t="str">
            <v>92007GEMATELScratch 1 000</v>
          </cell>
          <cell r="V2797" t="str">
            <v>39338Scratch 1 000</v>
          </cell>
          <cell r="W2797" t="str">
            <v>2007GEMATEL</v>
          </cell>
          <cell r="X2797" t="str">
            <v>2007GEMATELScratch 1 000</v>
          </cell>
        </row>
        <row r="2798">
          <cell r="I2798">
            <v>2007</v>
          </cell>
          <cell r="J2798" t="str">
            <v>Burtel MacsymScratch 20 000</v>
          </cell>
          <cell r="L2798">
            <v>1</v>
          </cell>
          <cell r="M2798" t="str">
            <v>1Burtel Macsym</v>
          </cell>
          <cell r="N2798" t="str">
            <v>Burtel MacsymScratch 20 000</v>
          </cell>
          <cell r="O2798" t="str">
            <v>Burtel Macsym</v>
          </cell>
          <cell r="P2798" t="str">
            <v>Scratch 20 000</v>
          </cell>
          <cell r="Q2798" t="str">
            <v>92007</v>
          </cell>
          <cell r="R2798" t="str">
            <v>92007Scratch 20 000</v>
          </cell>
          <cell r="S2798" t="str">
            <v>2007Scratch 20 000</v>
          </cell>
          <cell r="T2798" t="str">
            <v>92007Burtel Macsym</v>
          </cell>
          <cell r="U2798" t="str">
            <v>92007Burtel MacsymScratch 20 000</v>
          </cell>
          <cell r="V2798" t="str">
            <v>39339Scratch 20 000</v>
          </cell>
          <cell r="W2798" t="str">
            <v>2007Burtel Macsym</v>
          </cell>
          <cell r="X2798" t="str">
            <v>2007Burtel MacsymScratch 20 000</v>
          </cell>
        </row>
        <row r="2799">
          <cell r="I2799">
            <v>2007</v>
          </cell>
          <cell r="J2799" t="str">
            <v>Burtel MacsymScratch 5 000</v>
          </cell>
          <cell r="L2799">
            <v>0</v>
          </cell>
          <cell r="M2799" t="str">
            <v>Burtel Macsym</v>
          </cell>
          <cell r="N2799" t="str">
            <v>Burtel MacsymScratch 5 000</v>
          </cell>
          <cell r="O2799" t="str">
            <v>Burtel Macsym</v>
          </cell>
          <cell r="P2799" t="str">
            <v>Scratch 5 000</v>
          </cell>
          <cell r="Q2799" t="str">
            <v>92007</v>
          </cell>
          <cell r="R2799" t="str">
            <v>92007Scratch 5 000</v>
          </cell>
          <cell r="S2799" t="str">
            <v>2007Scratch 5 000</v>
          </cell>
          <cell r="T2799" t="str">
            <v>92007Burtel Macsym</v>
          </cell>
          <cell r="U2799" t="str">
            <v>92007Burtel MacsymScratch 5 000</v>
          </cell>
          <cell r="V2799" t="str">
            <v>39339Scratch 5 000</v>
          </cell>
          <cell r="W2799" t="str">
            <v>2007Burtel Macsym</v>
          </cell>
          <cell r="X2799" t="str">
            <v>2007Burtel MacsymScratch 5 000</v>
          </cell>
        </row>
        <row r="2800">
          <cell r="I2800">
            <v>2007</v>
          </cell>
          <cell r="J2800" t="str">
            <v>Burtel MacsymScratch 2 000</v>
          </cell>
          <cell r="L2800">
            <v>0</v>
          </cell>
          <cell r="M2800" t="str">
            <v>Burtel Macsym</v>
          </cell>
          <cell r="N2800" t="str">
            <v>Burtel MacsymScratch 2 000</v>
          </cell>
          <cell r="O2800" t="str">
            <v>Burtel Macsym</v>
          </cell>
          <cell r="P2800" t="str">
            <v>Scratch 2 000</v>
          </cell>
          <cell r="Q2800" t="str">
            <v>92007</v>
          </cell>
          <cell r="R2800" t="str">
            <v>92007Scratch 2 000</v>
          </cell>
          <cell r="S2800" t="str">
            <v>2007Scratch 2 000</v>
          </cell>
          <cell r="T2800" t="str">
            <v>92007Burtel Macsym</v>
          </cell>
          <cell r="U2800" t="str">
            <v>92007Burtel MacsymScratch 2 000</v>
          </cell>
          <cell r="V2800" t="str">
            <v>39339Scratch 2 000</v>
          </cell>
          <cell r="W2800" t="str">
            <v>2007Burtel Macsym</v>
          </cell>
          <cell r="X2800" t="str">
            <v>2007Burtel MacsymScratch 2 000</v>
          </cell>
        </row>
        <row r="2801">
          <cell r="I2801">
            <v>2007</v>
          </cell>
          <cell r="J2801" t="str">
            <v>Burtel MacsymScratch 1 000</v>
          </cell>
          <cell r="L2801">
            <v>0</v>
          </cell>
          <cell r="M2801" t="str">
            <v>Burtel Macsym</v>
          </cell>
          <cell r="N2801" t="str">
            <v>Burtel MacsymScratch 1 000</v>
          </cell>
          <cell r="O2801" t="str">
            <v>Burtel Macsym</v>
          </cell>
          <cell r="P2801" t="str">
            <v>Scratch 1 000</v>
          </cell>
          <cell r="Q2801" t="str">
            <v>92007</v>
          </cell>
          <cell r="R2801" t="str">
            <v>92007Scratch 1 000</v>
          </cell>
          <cell r="S2801" t="str">
            <v>2007Scratch 1 000</v>
          </cell>
          <cell r="T2801" t="str">
            <v>92007Burtel Macsym</v>
          </cell>
          <cell r="U2801" t="str">
            <v>92007Burtel MacsymScratch 1 000</v>
          </cell>
          <cell r="V2801" t="str">
            <v>39339Scratch 1 000</v>
          </cell>
          <cell r="W2801" t="str">
            <v>2007Burtel Macsym</v>
          </cell>
          <cell r="X2801" t="str">
            <v>2007Burtel MacsymScratch 1 000</v>
          </cell>
        </row>
        <row r="2802">
          <cell r="I2802">
            <v>2007</v>
          </cell>
          <cell r="J2802" t="str">
            <v>Ets Boubacar TANDIAScratch 20 000</v>
          </cell>
          <cell r="L2802">
            <v>1</v>
          </cell>
          <cell r="M2802" t="str">
            <v>1Ets Boubacar TANDIA</v>
          </cell>
          <cell r="N2802" t="str">
            <v>Ets Boubacar TANDIAScratch 20 000</v>
          </cell>
          <cell r="O2802" t="str">
            <v>Ets Boubacar TANDIA</v>
          </cell>
          <cell r="P2802" t="str">
            <v>Scratch 20 000</v>
          </cell>
          <cell r="Q2802" t="str">
            <v>92007</v>
          </cell>
          <cell r="R2802" t="str">
            <v>92007Scratch 20 000</v>
          </cell>
          <cell r="S2802" t="str">
            <v>2007Scratch 20 000</v>
          </cell>
          <cell r="T2802" t="str">
            <v>92007Ets Boubacar TANDIA</v>
          </cell>
          <cell r="U2802" t="str">
            <v>92007Ets Boubacar TANDIAScratch 20 000</v>
          </cell>
          <cell r="V2802" t="str">
            <v>39339Scratch 20 000</v>
          </cell>
          <cell r="W2802" t="str">
            <v>2007Ets Boubacar TANDIA</v>
          </cell>
          <cell r="X2802" t="str">
            <v>2007Ets Boubacar TANDIAScratch 20 000</v>
          </cell>
        </row>
        <row r="2803">
          <cell r="I2803">
            <v>2007</v>
          </cell>
          <cell r="J2803" t="str">
            <v>Ets Boubacar TANDIAScratch 10 000</v>
          </cell>
          <cell r="L2803">
            <v>0</v>
          </cell>
          <cell r="M2803" t="str">
            <v>Ets Boubacar TANDIA</v>
          </cell>
          <cell r="N2803" t="str">
            <v>Ets Boubacar TANDIAScratch 10 000</v>
          </cell>
          <cell r="O2803" t="str">
            <v>Ets Boubacar TANDIA</v>
          </cell>
          <cell r="P2803" t="str">
            <v>Scratch 10 000</v>
          </cell>
          <cell r="Q2803" t="str">
            <v>92007</v>
          </cell>
          <cell r="R2803" t="str">
            <v>92007Scratch 10 000</v>
          </cell>
          <cell r="S2803" t="str">
            <v>2007Scratch 10 000</v>
          </cell>
          <cell r="T2803" t="str">
            <v>92007Ets Boubacar TANDIA</v>
          </cell>
          <cell r="U2803" t="str">
            <v>92007Ets Boubacar TANDIAScratch 10 000</v>
          </cell>
          <cell r="V2803" t="str">
            <v>39339Scratch 10 000</v>
          </cell>
          <cell r="W2803" t="str">
            <v>2007Ets Boubacar TANDIA</v>
          </cell>
          <cell r="X2803" t="str">
            <v>2007Ets Boubacar TANDIAScratch 10 000</v>
          </cell>
        </row>
        <row r="2804">
          <cell r="I2804">
            <v>2007</v>
          </cell>
          <cell r="J2804" t="str">
            <v>Ets Boubacar TANDIAScratch 5 000</v>
          </cell>
          <cell r="L2804">
            <v>0</v>
          </cell>
          <cell r="M2804" t="str">
            <v>Ets Boubacar TANDIA</v>
          </cell>
          <cell r="N2804" t="str">
            <v>Ets Boubacar TANDIAScratch 5 000</v>
          </cell>
          <cell r="O2804" t="str">
            <v>Ets Boubacar TANDIA</v>
          </cell>
          <cell r="P2804" t="str">
            <v>Scratch 5 000</v>
          </cell>
          <cell r="Q2804" t="str">
            <v>92007</v>
          </cell>
          <cell r="R2804" t="str">
            <v>92007Scratch 5 000</v>
          </cell>
          <cell r="S2804" t="str">
            <v>2007Scratch 5 000</v>
          </cell>
          <cell r="T2804" t="str">
            <v>92007Ets Boubacar TANDIA</v>
          </cell>
          <cell r="U2804" t="str">
            <v>92007Ets Boubacar TANDIAScratch 5 000</v>
          </cell>
          <cell r="V2804" t="str">
            <v>39339Scratch 5 000</v>
          </cell>
          <cell r="W2804" t="str">
            <v>2007Ets Boubacar TANDIA</v>
          </cell>
          <cell r="X2804" t="str">
            <v>2007Ets Boubacar TANDIAScratch 5 000</v>
          </cell>
        </row>
        <row r="2805">
          <cell r="I2805">
            <v>2007</v>
          </cell>
          <cell r="J2805" t="str">
            <v>Ets Boubacar TANDIAScratch 2 000</v>
          </cell>
          <cell r="L2805">
            <v>0</v>
          </cell>
          <cell r="M2805" t="str">
            <v>Ets Boubacar TANDIA</v>
          </cell>
          <cell r="N2805" t="str">
            <v>Ets Boubacar TANDIAScratch 2 000</v>
          </cell>
          <cell r="O2805" t="str">
            <v>Ets Boubacar TANDIA</v>
          </cell>
          <cell r="P2805" t="str">
            <v>Scratch 2 000</v>
          </cell>
          <cell r="Q2805" t="str">
            <v>92007</v>
          </cell>
          <cell r="R2805" t="str">
            <v>92007Scratch 2 000</v>
          </cell>
          <cell r="S2805" t="str">
            <v>2007Scratch 2 000</v>
          </cell>
          <cell r="T2805" t="str">
            <v>92007Ets Boubacar TANDIA</v>
          </cell>
          <cell r="U2805" t="str">
            <v>92007Ets Boubacar TANDIAScratch 2 000</v>
          </cell>
          <cell r="V2805" t="str">
            <v>39339Scratch 2 000</v>
          </cell>
          <cell r="W2805" t="str">
            <v>2007Ets Boubacar TANDIA</v>
          </cell>
          <cell r="X2805" t="str">
            <v>2007Ets Boubacar TANDIAScratch 2 000</v>
          </cell>
        </row>
        <row r="2806">
          <cell r="I2806">
            <v>2007</v>
          </cell>
          <cell r="J2806" t="str">
            <v>Ets Boubacar TANDIAScratch 1 000</v>
          </cell>
          <cell r="L2806">
            <v>0</v>
          </cell>
          <cell r="M2806" t="str">
            <v>Ets Boubacar TANDIA</v>
          </cell>
          <cell r="N2806" t="str">
            <v>Ets Boubacar TANDIAScratch 1 000</v>
          </cell>
          <cell r="O2806" t="str">
            <v>Ets Boubacar TANDIA</v>
          </cell>
          <cell r="P2806" t="str">
            <v>Scratch 1 000</v>
          </cell>
          <cell r="Q2806" t="str">
            <v>92007</v>
          </cell>
          <cell r="R2806" t="str">
            <v>92007Scratch 1 000</v>
          </cell>
          <cell r="S2806" t="str">
            <v>2007Scratch 1 000</v>
          </cell>
          <cell r="T2806" t="str">
            <v>92007Ets Boubacar TANDIA</v>
          </cell>
          <cell r="U2806" t="str">
            <v>92007Ets Boubacar TANDIAScratch 1 000</v>
          </cell>
          <cell r="V2806" t="str">
            <v>39339Scratch 1 000</v>
          </cell>
          <cell r="W2806" t="str">
            <v>2007Ets Boubacar TANDIA</v>
          </cell>
          <cell r="X2806" t="str">
            <v>2007Ets Boubacar TANDIAScratch 1 000</v>
          </cell>
        </row>
        <row r="2807">
          <cell r="I2807">
            <v>2007</v>
          </cell>
          <cell r="J2807" t="str">
            <v>ANKA SERVICESScratch 5 000</v>
          </cell>
          <cell r="L2807">
            <v>1</v>
          </cell>
          <cell r="M2807" t="str">
            <v>1ANKA SERVICES</v>
          </cell>
          <cell r="N2807" t="str">
            <v>ANKA SERVICESScratch 5 000</v>
          </cell>
          <cell r="O2807" t="str">
            <v>ANKA SERVICES</v>
          </cell>
          <cell r="P2807" t="str">
            <v>Scratch 5 000</v>
          </cell>
          <cell r="Q2807" t="str">
            <v>92007</v>
          </cell>
          <cell r="R2807" t="str">
            <v>92007Scratch 5 000</v>
          </cell>
          <cell r="S2807" t="str">
            <v>2007Scratch 5 000</v>
          </cell>
          <cell r="T2807" t="str">
            <v>92007ANKA SERVICES</v>
          </cell>
          <cell r="U2807" t="str">
            <v>92007ANKA SERVICESScratch 5 000</v>
          </cell>
          <cell r="V2807" t="str">
            <v>39339Scratch 5 000</v>
          </cell>
          <cell r="W2807" t="str">
            <v>2007ANKA SERVICES</v>
          </cell>
          <cell r="X2807" t="str">
            <v>2007ANKA SERVICESScratch 5 000</v>
          </cell>
        </row>
        <row r="2808">
          <cell r="I2808">
            <v>2007</v>
          </cell>
          <cell r="J2808" t="str">
            <v>ANKA SERVICESScratch 2 000</v>
          </cell>
          <cell r="L2808">
            <v>0</v>
          </cell>
          <cell r="M2808" t="str">
            <v>ANKA SERVICES</v>
          </cell>
          <cell r="N2808" t="str">
            <v>ANKA SERVICESScratch 2 000</v>
          </cell>
          <cell r="O2808" t="str">
            <v>ANKA SERVICES</v>
          </cell>
          <cell r="P2808" t="str">
            <v>Scratch 2 000</v>
          </cell>
          <cell r="Q2808" t="str">
            <v>92007</v>
          </cell>
          <cell r="R2808" t="str">
            <v>92007Scratch 2 000</v>
          </cell>
          <cell r="S2808" t="str">
            <v>2007Scratch 2 000</v>
          </cell>
          <cell r="T2808" t="str">
            <v>92007ANKA SERVICES</v>
          </cell>
          <cell r="U2808" t="str">
            <v>92007ANKA SERVICESScratch 2 000</v>
          </cell>
          <cell r="V2808" t="str">
            <v>39339Scratch 2 000</v>
          </cell>
          <cell r="W2808" t="str">
            <v>2007ANKA SERVICES</v>
          </cell>
          <cell r="X2808" t="str">
            <v>2007ANKA SERVICESScratch 2 000</v>
          </cell>
        </row>
        <row r="2809">
          <cell r="I2809">
            <v>2007</v>
          </cell>
          <cell r="J2809" t="str">
            <v>ANKA SERVICESScratch 1 000</v>
          </cell>
          <cell r="L2809">
            <v>0</v>
          </cell>
          <cell r="M2809" t="str">
            <v>ANKA SERVICES</v>
          </cell>
          <cell r="N2809" t="str">
            <v>ANKA SERVICESScratch 1 000</v>
          </cell>
          <cell r="O2809" t="str">
            <v>ANKA SERVICES</v>
          </cell>
          <cell r="P2809" t="str">
            <v>Scratch 1 000</v>
          </cell>
          <cell r="Q2809" t="str">
            <v>92007</v>
          </cell>
          <cell r="R2809" t="str">
            <v>92007Scratch 1 000</v>
          </cell>
          <cell r="S2809" t="str">
            <v>2007Scratch 1 000</v>
          </cell>
          <cell r="T2809" t="str">
            <v>92007ANKA SERVICES</v>
          </cell>
          <cell r="U2809" t="str">
            <v>92007ANKA SERVICESScratch 1 000</v>
          </cell>
          <cell r="V2809" t="str">
            <v>39339Scratch 1 000</v>
          </cell>
          <cell r="W2809" t="str">
            <v>2007ANKA SERVICES</v>
          </cell>
          <cell r="X2809" t="str">
            <v>2007ANKA SERVICESScratch 1 000</v>
          </cell>
        </row>
        <row r="2810">
          <cell r="I2810">
            <v>2007</v>
          </cell>
          <cell r="J2810" t="str">
            <v>GEMATELScratch 20 000</v>
          </cell>
          <cell r="L2810">
            <v>1</v>
          </cell>
          <cell r="M2810" t="str">
            <v>1GEMATEL</v>
          </cell>
          <cell r="N2810" t="str">
            <v>GEMATELScratch 20 000</v>
          </cell>
          <cell r="O2810" t="str">
            <v>GEMATEL</v>
          </cell>
          <cell r="P2810" t="str">
            <v>Scratch 20 000</v>
          </cell>
          <cell r="Q2810" t="str">
            <v>92007</v>
          </cell>
          <cell r="R2810" t="str">
            <v>92007Scratch 20 000</v>
          </cell>
          <cell r="S2810" t="str">
            <v>2007Scratch 20 000</v>
          </cell>
          <cell r="T2810" t="str">
            <v>92007GEMATEL</v>
          </cell>
          <cell r="U2810" t="str">
            <v>92007GEMATELScratch 20 000</v>
          </cell>
          <cell r="V2810" t="str">
            <v>39342Scratch 20 000</v>
          </cell>
          <cell r="W2810" t="str">
            <v>2007GEMATEL</v>
          </cell>
          <cell r="X2810" t="str">
            <v>2007GEMATELScratch 20 000</v>
          </cell>
        </row>
        <row r="2811">
          <cell r="I2811">
            <v>2007</v>
          </cell>
          <cell r="J2811" t="str">
            <v>GEMATELScratch 10 000</v>
          </cell>
          <cell r="L2811">
            <v>0</v>
          </cell>
          <cell r="M2811" t="str">
            <v>GEMATEL</v>
          </cell>
          <cell r="N2811" t="str">
            <v>GEMATELScratch 10 000</v>
          </cell>
          <cell r="O2811" t="str">
            <v>GEMATEL</v>
          </cell>
          <cell r="P2811" t="str">
            <v>Scratch 10 000</v>
          </cell>
          <cell r="Q2811" t="str">
            <v>92007</v>
          </cell>
          <cell r="R2811" t="str">
            <v>92007Scratch 10 000</v>
          </cell>
          <cell r="S2811" t="str">
            <v>2007Scratch 10 000</v>
          </cell>
          <cell r="T2811" t="str">
            <v>92007GEMATEL</v>
          </cell>
          <cell r="U2811" t="str">
            <v>92007GEMATELScratch 10 000</v>
          </cell>
          <cell r="V2811" t="str">
            <v>39342Scratch 10 000</v>
          </cell>
          <cell r="W2811" t="str">
            <v>2007GEMATEL</v>
          </cell>
          <cell r="X2811" t="str">
            <v>2007GEMATELScratch 10 000</v>
          </cell>
        </row>
        <row r="2812">
          <cell r="I2812">
            <v>2007</v>
          </cell>
          <cell r="J2812" t="str">
            <v>GEMATELScratch 5 000</v>
          </cell>
          <cell r="L2812">
            <v>0</v>
          </cell>
          <cell r="M2812" t="str">
            <v>GEMATEL</v>
          </cell>
          <cell r="N2812" t="str">
            <v>GEMATELScratch 5 000</v>
          </cell>
          <cell r="O2812" t="str">
            <v>GEMATEL</v>
          </cell>
          <cell r="P2812" t="str">
            <v>Scratch 5 000</v>
          </cell>
          <cell r="Q2812" t="str">
            <v>92007</v>
          </cell>
          <cell r="R2812" t="str">
            <v>92007Scratch 5 000</v>
          </cell>
          <cell r="S2812" t="str">
            <v>2007Scratch 5 000</v>
          </cell>
          <cell r="T2812" t="str">
            <v>92007GEMATEL</v>
          </cell>
          <cell r="U2812" t="str">
            <v>92007GEMATELScratch 5 000</v>
          </cell>
          <cell r="V2812" t="str">
            <v>39342Scratch 5 000</v>
          </cell>
          <cell r="W2812" t="str">
            <v>2007GEMATEL</v>
          </cell>
          <cell r="X2812" t="str">
            <v>2007GEMATELScratch 5 000</v>
          </cell>
        </row>
        <row r="2813">
          <cell r="I2813">
            <v>2007</v>
          </cell>
          <cell r="J2813" t="str">
            <v>GEMATELScratch 2 000</v>
          </cell>
          <cell r="L2813">
            <v>0</v>
          </cell>
          <cell r="M2813" t="str">
            <v>GEMATEL</v>
          </cell>
          <cell r="N2813" t="str">
            <v>GEMATELScratch 2 000</v>
          </cell>
          <cell r="O2813" t="str">
            <v>GEMATEL</v>
          </cell>
          <cell r="P2813" t="str">
            <v>Scratch 2 000</v>
          </cell>
          <cell r="Q2813" t="str">
            <v>92007</v>
          </cell>
          <cell r="R2813" t="str">
            <v>92007Scratch 2 000</v>
          </cell>
          <cell r="S2813" t="str">
            <v>2007Scratch 2 000</v>
          </cell>
          <cell r="T2813" t="str">
            <v>92007GEMATEL</v>
          </cell>
          <cell r="U2813" t="str">
            <v>92007GEMATELScratch 2 000</v>
          </cell>
          <cell r="V2813" t="str">
            <v>39342Scratch 2 000</v>
          </cell>
          <cell r="W2813" t="str">
            <v>2007GEMATEL</v>
          </cell>
          <cell r="X2813" t="str">
            <v>2007GEMATELScratch 2 000</v>
          </cell>
        </row>
        <row r="2814">
          <cell r="I2814">
            <v>2007</v>
          </cell>
          <cell r="J2814" t="str">
            <v>GEMATELScratch 1 000</v>
          </cell>
          <cell r="L2814">
            <v>0</v>
          </cell>
          <cell r="M2814" t="str">
            <v>GEMATEL</v>
          </cell>
          <cell r="N2814" t="str">
            <v>GEMATELScratch 1 000</v>
          </cell>
          <cell r="O2814" t="str">
            <v>GEMATEL</v>
          </cell>
          <cell r="P2814" t="str">
            <v>Scratch 1 000</v>
          </cell>
          <cell r="Q2814" t="str">
            <v>92007</v>
          </cell>
          <cell r="R2814" t="str">
            <v>92007Scratch 1 000</v>
          </cell>
          <cell r="S2814" t="str">
            <v>2007Scratch 1 000</v>
          </cell>
          <cell r="T2814" t="str">
            <v>92007GEMATEL</v>
          </cell>
          <cell r="U2814" t="str">
            <v>92007GEMATELScratch 1 000</v>
          </cell>
          <cell r="V2814" t="str">
            <v>39342Scratch 1 000</v>
          </cell>
          <cell r="W2814" t="str">
            <v>2007GEMATEL</v>
          </cell>
          <cell r="X2814" t="str">
            <v>2007GEMATELScratch 1 000</v>
          </cell>
        </row>
        <row r="2815">
          <cell r="I2815">
            <v>2007</v>
          </cell>
          <cell r="J2815" t="str">
            <v>STS GAMBY &amp; FRERES (SOGAF) SarlScratch 5 000</v>
          </cell>
          <cell r="L2815">
            <v>1</v>
          </cell>
          <cell r="M2815" t="str">
            <v>1STS GAMBY &amp; FRERES (SOGAF) Sarl</v>
          </cell>
          <cell r="N2815" t="str">
            <v>STS GAMBY &amp; FRERES (SOGAF) SarlScratch 5 000</v>
          </cell>
          <cell r="O2815" t="str">
            <v>STS GAMBY &amp; FRERES (SOGAF) Sarl</v>
          </cell>
          <cell r="P2815" t="str">
            <v>Scratch 5 000</v>
          </cell>
          <cell r="Q2815" t="str">
            <v>92007</v>
          </cell>
          <cell r="R2815" t="str">
            <v>92007Scratch 5 000</v>
          </cell>
          <cell r="S2815" t="str">
            <v>2007Scratch 5 000</v>
          </cell>
          <cell r="T2815" t="str">
            <v>92007STS GAMBY &amp; FRERES (SOGAF) Sarl</v>
          </cell>
          <cell r="U2815" t="str">
            <v>92007STS GAMBY &amp; FRERES (SOGAF) SarlScratch 5 000</v>
          </cell>
          <cell r="V2815" t="str">
            <v>39342Scratch 5 000</v>
          </cell>
          <cell r="W2815" t="str">
            <v>2007STS GAMBY &amp; FRERES (SOGAF) Sarl</v>
          </cell>
          <cell r="X2815" t="str">
            <v>2007STS GAMBY &amp; FRERES (SOGAF) SarlScratch 5 000</v>
          </cell>
        </row>
        <row r="2816">
          <cell r="I2816">
            <v>2007</v>
          </cell>
          <cell r="J2816" t="str">
            <v>STS GAMBY &amp; FRERES (SOGAF) SarlScratch 2 000</v>
          </cell>
          <cell r="L2816">
            <v>0</v>
          </cell>
          <cell r="M2816" t="str">
            <v>STS GAMBY &amp; FRERES (SOGAF) Sarl</v>
          </cell>
          <cell r="N2816" t="str">
            <v>STS GAMBY &amp; FRERES (SOGAF) SarlScratch 2 000</v>
          </cell>
          <cell r="O2816" t="str">
            <v>STS GAMBY &amp; FRERES (SOGAF) Sarl</v>
          </cell>
          <cell r="P2816" t="str">
            <v>Scratch 2 000</v>
          </cell>
          <cell r="Q2816" t="str">
            <v>92007</v>
          </cell>
          <cell r="R2816" t="str">
            <v>92007Scratch 2 000</v>
          </cell>
          <cell r="S2816" t="str">
            <v>2007Scratch 2 000</v>
          </cell>
          <cell r="T2816" t="str">
            <v>92007STS GAMBY &amp; FRERES (SOGAF) Sarl</v>
          </cell>
          <cell r="U2816" t="str">
            <v>92007STS GAMBY &amp; FRERES (SOGAF) SarlScratch 2 000</v>
          </cell>
          <cell r="V2816" t="str">
            <v>39342Scratch 2 000</v>
          </cell>
          <cell r="W2816" t="str">
            <v>2007STS GAMBY &amp; FRERES (SOGAF) Sarl</v>
          </cell>
          <cell r="X2816" t="str">
            <v>2007STS GAMBY &amp; FRERES (SOGAF) SarlScratch 2 000</v>
          </cell>
        </row>
        <row r="2817">
          <cell r="I2817">
            <v>2007</v>
          </cell>
          <cell r="J2817" t="str">
            <v>STS GAMBY &amp; FRERES (SOGAF) SarlScratch 1 000</v>
          </cell>
          <cell r="L2817">
            <v>0</v>
          </cell>
          <cell r="M2817" t="str">
            <v>STS GAMBY &amp; FRERES (SOGAF) Sarl</v>
          </cell>
          <cell r="N2817" t="str">
            <v>STS GAMBY &amp; FRERES (SOGAF) SarlScratch 1 000</v>
          </cell>
          <cell r="O2817" t="str">
            <v>STS GAMBY &amp; FRERES (SOGAF) Sarl</v>
          </cell>
          <cell r="P2817" t="str">
            <v>Scratch 1 000</v>
          </cell>
          <cell r="Q2817" t="str">
            <v>92007</v>
          </cell>
          <cell r="R2817" t="str">
            <v>92007Scratch 1 000</v>
          </cell>
          <cell r="S2817" t="str">
            <v>2007Scratch 1 000</v>
          </cell>
          <cell r="T2817" t="str">
            <v>92007STS GAMBY &amp; FRERES (SOGAF) Sarl</v>
          </cell>
          <cell r="U2817" t="str">
            <v>92007STS GAMBY &amp; FRERES (SOGAF) SarlScratch 1 000</v>
          </cell>
          <cell r="V2817" t="str">
            <v>39342Scratch 1 000</v>
          </cell>
          <cell r="W2817" t="str">
            <v>2007STS GAMBY &amp; FRERES (SOGAF) Sarl</v>
          </cell>
          <cell r="X2817" t="str">
            <v>2007STS GAMBY &amp; FRERES (SOGAF) SarlScratch 1 000</v>
          </cell>
        </row>
        <row r="2818">
          <cell r="I2818">
            <v>2007</v>
          </cell>
          <cell r="J2818" t="str">
            <v>ANKA SERVICESScratch 20 000</v>
          </cell>
          <cell r="L2818">
            <v>1</v>
          </cell>
          <cell r="M2818" t="str">
            <v>1ANKA SERVICES</v>
          </cell>
          <cell r="N2818" t="str">
            <v>ANKA SERVICESScratch 20 000</v>
          </cell>
          <cell r="O2818" t="str">
            <v>ANKA SERVICES</v>
          </cell>
          <cell r="P2818" t="str">
            <v>Scratch 20 000</v>
          </cell>
          <cell r="Q2818" t="str">
            <v>92007</v>
          </cell>
          <cell r="R2818" t="str">
            <v>92007Scratch 20 000</v>
          </cell>
          <cell r="S2818" t="str">
            <v>2007Scratch 20 000</v>
          </cell>
          <cell r="T2818" t="str">
            <v>92007ANKA SERVICES</v>
          </cell>
          <cell r="U2818" t="str">
            <v>92007ANKA SERVICESScratch 20 000</v>
          </cell>
          <cell r="V2818" t="str">
            <v>39342Scratch 20 000</v>
          </cell>
          <cell r="W2818" t="str">
            <v>2007ANKA SERVICES</v>
          </cell>
          <cell r="X2818" t="str">
            <v>2007ANKA SERVICESScratch 20 000</v>
          </cell>
        </row>
        <row r="2819">
          <cell r="I2819">
            <v>2007</v>
          </cell>
          <cell r="J2819" t="str">
            <v>ANKA SERVICESScratch 5 000</v>
          </cell>
          <cell r="L2819">
            <v>0</v>
          </cell>
          <cell r="M2819" t="str">
            <v>ANKA SERVICES</v>
          </cell>
          <cell r="N2819" t="str">
            <v>ANKA SERVICESScratch 5 000</v>
          </cell>
          <cell r="O2819" t="str">
            <v>ANKA SERVICES</v>
          </cell>
          <cell r="P2819" t="str">
            <v>Scratch 5 000</v>
          </cell>
          <cell r="Q2819" t="str">
            <v>92007</v>
          </cell>
          <cell r="R2819" t="str">
            <v>92007Scratch 5 000</v>
          </cell>
          <cell r="S2819" t="str">
            <v>2007Scratch 5 000</v>
          </cell>
          <cell r="T2819" t="str">
            <v>92007ANKA SERVICES</v>
          </cell>
          <cell r="U2819" t="str">
            <v>92007ANKA SERVICESScratch 5 000</v>
          </cell>
          <cell r="V2819" t="str">
            <v>39342Scratch 5 000</v>
          </cell>
          <cell r="W2819" t="str">
            <v>2007ANKA SERVICES</v>
          </cell>
          <cell r="X2819" t="str">
            <v>2007ANKA SERVICESScratch 5 000</v>
          </cell>
        </row>
        <row r="2820">
          <cell r="I2820">
            <v>2007</v>
          </cell>
          <cell r="J2820" t="str">
            <v>ANKA SERVICESScratch 2 000</v>
          </cell>
          <cell r="L2820">
            <v>0</v>
          </cell>
          <cell r="M2820" t="str">
            <v>ANKA SERVICES</v>
          </cell>
          <cell r="N2820" t="str">
            <v>ANKA SERVICESScratch 2 000</v>
          </cell>
          <cell r="O2820" t="str">
            <v>ANKA SERVICES</v>
          </cell>
          <cell r="P2820" t="str">
            <v>Scratch 2 000</v>
          </cell>
          <cell r="Q2820" t="str">
            <v>92007</v>
          </cell>
          <cell r="R2820" t="str">
            <v>92007Scratch 2 000</v>
          </cell>
          <cell r="S2820" t="str">
            <v>2007Scratch 2 000</v>
          </cell>
          <cell r="T2820" t="str">
            <v>92007ANKA SERVICES</v>
          </cell>
          <cell r="U2820" t="str">
            <v>92007ANKA SERVICESScratch 2 000</v>
          </cell>
          <cell r="V2820" t="str">
            <v>39342Scratch 2 000</v>
          </cell>
          <cell r="W2820" t="str">
            <v>2007ANKA SERVICES</v>
          </cell>
          <cell r="X2820" t="str">
            <v>2007ANKA SERVICESScratch 2 000</v>
          </cell>
        </row>
        <row r="2821">
          <cell r="I2821">
            <v>2007</v>
          </cell>
          <cell r="J2821" t="str">
            <v>ANKA SERVICESScratch 1 000</v>
          </cell>
          <cell r="L2821">
            <v>0</v>
          </cell>
          <cell r="M2821" t="str">
            <v>ANKA SERVICES</v>
          </cell>
          <cell r="N2821" t="str">
            <v>ANKA SERVICESScratch 1 000</v>
          </cell>
          <cell r="O2821" t="str">
            <v>ANKA SERVICES</v>
          </cell>
          <cell r="P2821" t="str">
            <v>Scratch 1 000</v>
          </cell>
          <cell r="Q2821" t="str">
            <v>92007</v>
          </cell>
          <cell r="R2821" t="str">
            <v>92007Scratch 1 000</v>
          </cell>
          <cell r="S2821" t="str">
            <v>2007Scratch 1 000</v>
          </cell>
          <cell r="T2821" t="str">
            <v>92007ANKA SERVICES</v>
          </cell>
          <cell r="U2821" t="str">
            <v>92007ANKA SERVICESScratch 1 000</v>
          </cell>
          <cell r="V2821" t="str">
            <v>39342Scratch 1 000</v>
          </cell>
          <cell r="W2821" t="str">
            <v>2007ANKA SERVICES</v>
          </cell>
          <cell r="X2821" t="str">
            <v>2007ANKA SERVICESScratch 1 000</v>
          </cell>
        </row>
        <row r="2822">
          <cell r="I2822">
            <v>2007</v>
          </cell>
          <cell r="J2822" t="str">
            <v>GEMATELScratch 5 000</v>
          </cell>
          <cell r="L2822">
            <v>1</v>
          </cell>
          <cell r="M2822" t="str">
            <v>1GEMATEL</v>
          </cell>
          <cell r="N2822" t="str">
            <v>GEMATELScratch 5 000</v>
          </cell>
          <cell r="O2822" t="str">
            <v>GEMATEL</v>
          </cell>
          <cell r="P2822" t="str">
            <v>Scratch 5 000</v>
          </cell>
          <cell r="Q2822" t="str">
            <v>92007</v>
          </cell>
          <cell r="R2822" t="str">
            <v>92007Scratch 5 000</v>
          </cell>
          <cell r="S2822" t="str">
            <v>2007Scratch 5 000</v>
          </cell>
          <cell r="T2822" t="str">
            <v>92007GEMATEL</v>
          </cell>
          <cell r="U2822" t="str">
            <v>92007GEMATELScratch 5 000</v>
          </cell>
          <cell r="V2822" t="str">
            <v>39342Scratch 5 000</v>
          </cell>
          <cell r="W2822" t="str">
            <v>2007GEMATEL</v>
          </cell>
          <cell r="X2822" t="str">
            <v>2007GEMATELScratch 5 000</v>
          </cell>
        </row>
        <row r="2823">
          <cell r="I2823">
            <v>2007</v>
          </cell>
          <cell r="J2823" t="str">
            <v>GEMATELScratch 2 000</v>
          </cell>
          <cell r="L2823">
            <v>0</v>
          </cell>
          <cell r="M2823" t="str">
            <v>GEMATEL</v>
          </cell>
          <cell r="N2823" t="str">
            <v>GEMATELScratch 2 000</v>
          </cell>
          <cell r="O2823" t="str">
            <v>GEMATEL</v>
          </cell>
          <cell r="P2823" t="str">
            <v>Scratch 2 000</v>
          </cell>
          <cell r="Q2823" t="str">
            <v>92007</v>
          </cell>
          <cell r="R2823" t="str">
            <v>92007Scratch 2 000</v>
          </cell>
          <cell r="S2823" t="str">
            <v>2007Scratch 2 000</v>
          </cell>
          <cell r="T2823" t="str">
            <v>92007GEMATEL</v>
          </cell>
          <cell r="U2823" t="str">
            <v>92007GEMATELScratch 2 000</v>
          </cell>
          <cell r="V2823" t="str">
            <v>39342Scratch 2 000</v>
          </cell>
          <cell r="W2823" t="str">
            <v>2007GEMATEL</v>
          </cell>
          <cell r="X2823" t="str">
            <v>2007GEMATELScratch 2 000</v>
          </cell>
        </row>
        <row r="2824">
          <cell r="I2824">
            <v>2007</v>
          </cell>
          <cell r="J2824" t="str">
            <v>GEMATELScratch 1 000</v>
          </cell>
          <cell r="L2824">
            <v>0</v>
          </cell>
          <cell r="M2824" t="str">
            <v>GEMATEL</v>
          </cell>
          <cell r="N2824" t="str">
            <v>GEMATELScratch 1 000</v>
          </cell>
          <cell r="O2824" t="str">
            <v>GEMATEL</v>
          </cell>
          <cell r="P2824" t="str">
            <v>Scratch 1 000</v>
          </cell>
          <cell r="Q2824" t="str">
            <v>92007</v>
          </cell>
          <cell r="R2824" t="str">
            <v>92007Scratch 1 000</v>
          </cell>
          <cell r="S2824" t="str">
            <v>2007Scratch 1 000</v>
          </cell>
          <cell r="T2824" t="str">
            <v>92007GEMATEL</v>
          </cell>
          <cell r="U2824" t="str">
            <v>92007GEMATELScratch 1 000</v>
          </cell>
          <cell r="V2824" t="str">
            <v>39342Scratch 1 000</v>
          </cell>
          <cell r="W2824" t="str">
            <v>2007GEMATEL</v>
          </cell>
          <cell r="X2824" t="str">
            <v>2007GEMATELScratch 1 000</v>
          </cell>
        </row>
        <row r="2825">
          <cell r="I2825">
            <v>2007</v>
          </cell>
          <cell r="J2825" t="str">
            <v>Compagnie Internationale de NegoceScratch 20 000</v>
          </cell>
          <cell r="L2825">
            <v>1</v>
          </cell>
          <cell r="M2825" t="str">
            <v>1Compagnie Internationale de Negoce</v>
          </cell>
          <cell r="N2825" t="str">
            <v>Compagnie Internationale de NegoceScratch 20 000</v>
          </cell>
          <cell r="O2825" t="str">
            <v>Compagnie Internationale de Negoce</v>
          </cell>
          <cell r="P2825" t="str">
            <v>Scratch 20 000</v>
          </cell>
          <cell r="Q2825" t="str">
            <v>92007</v>
          </cell>
          <cell r="R2825" t="str">
            <v>92007Scratch 20 000</v>
          </cell>
          <cell r="S2825" t="str">
            <v>2007Scratch 20 000</v>
          </cell>
          <cell r="T2825" t="str">
            <v>92007Compagnie Internationale de Negoce</v>
          </cell>
          <cell r="U2825" t="str">
            <v>92007Compagnie Internationale de NegoceScratch 20 000</v>
          </cell>
          <cell r="V2825" t="str">
            <v>39342Scratch 20 000</v>
          </cell>
          <cell r="W2825" t="str">
            <v>2007Compagnie Internationale de Negoce</v>
          </cell>
          <cell r="X2825" t="str">
            <v>2007Compagnie Internationale de NegoceScratch 20 000</v>
          </cell>
        </row>
        <row r="2826">
          <cell r="I2826">
            <v>2007</v>
          </cell>
          <cell r="J2826" t="str">
            <v>Compagnie Internationale de NegoceScratch 10 000</v>
          </cell>
          <cell r="L2826">
            <v>0</v>
          </cell>
          <cell r="M2826" t="str">
            <v>Compagnie Internationale de Negoce</v>
          </cell>
          <cell r="N2826" t="str">
            <v>Compagnie Internationale de NegoceScratch 10 000</v>
          </cell>
          <cell r="O2826" t="str">
            <v>Compagnie Internationale de Negoce</v>
          </cell>
          <cell r="P2826" t="str">
            <v>Scratch 10 000</v>
          </cell>
          <cell r="Q2826" t="str">
            <v>92007</v>
          </cell>
          <cell r="R2826" t="str">
            <v>92007Scratch 10 000</v>
          </cell>
          <cell r="S2826" t="str">
            <v>2007Scratch 10 000</v>
          </cell>
          <cell r="T2826" t="str">
            <v>92007Compagnie Internationale de Negoce</v>
          </cell>
          <cell r="U2826" t="str">
            <v>92007Compagnie Internationale de NegoceScratch 10 000</v>
          </cell>
          <cell r="V2826" t="str">
            <v>39342Scratch 10 000</v>
          </cell>
          <cell r="W2826" t="str">
            <v>2007Compagnie Internationale de Negoce</v>
          </cell>
          <cell r="X2826" t="str">
            <v>2007Compagnie Internationale de NegoceScratch 10 000</v>
          </cell>
        </row>
        <row r="2827">
          <cell r="I2827">
            <v>2007</v>
          </cell>
          <cell r="J2827" t="str">
            <v>Compagnie Internationale de NegoceScratch 5 000</v>
          </cell>
          <cell r="L2827">
            <v>0</v>
          </cell>
          <cell r="M2827" t="str">
            <v>Compagnie Internationale de Negoce</v>
          </cell>
          <cell r="N2827" t="str">
            <v>Compagnie Internationale de NegoceScratch 5 000</v>
          </cell>
          <cell r="O2827" t="str">
            <v>Compagnie Internationale de Negoce</v>
          </cell>
          <cell r="P2827" t="str">
            <v>Scratch 5 000</v>
          </cell>
          <cell r="Q2827" t="str">
            <v>92007</v>
          </cell>
          <cell r="R2827" t="str">
            <v>92007Scratch 5 000</v>
          </cell>
          <cell r="S2827" t="str">
            <v>2007Scratch 5 000</v>
          </cell>
          <cell r="T2827" t="str">
            <v>92007Compagnie Internationale de Negoce</v>
          </cell>
          <cell r="U2827" t="str">
            <v>92007Compagnie Internationale de NegoceScratch 5 000</v>
          </cell>
          <cell r="V2827" t="str">
            <v>39342Scratch 5 000</v>
          </cell>
          <cell r="W2827" t="str">
            <v>2007Compagnie Internationale de Negoce</v>
          </cell>
          <cell r="X2827" t="str">
            <v>2007Compagnie Internationale de NegoceScratch 5 000</v>
          </cell>
        </row>
        <row r="2828">
          <cell r="I2828">
            <v>2007</v>
          </cell>
          <cell r="J2828" t="str">
            <v>Compagnie Internationale de NegoceScratch 2 000</v>
          </cell>
          <cell r="L2828">
            <v>0</v>
          </cell>
          <cell r="M2828" t="str">
            <v>Compagnie Internationale de Negoce</v>
          </cell>
          <cell r="N2828" t="str">
            <v>Compagnie Internationale de NegoceScratch 2 000</v>
          </cell>
          <cell r="O2828" t="str">
            <v>Compagnie Internationale de Negoce</v>
          </cell>
          <cell r="P2828" t="str">
            <v>Scratch 2 000</v>
          </cell>
          <cell r="Q2828" t="str">
            <v>92007</v>
          </cell>
          <cell r="R2828" t="str">
            <v>92007Scratch 2 000</v>
          </cell>
          <cell r="S2828" t="str">
            <v>2007Scratch 2 000</v>
          </cell>
          <cell r="T2828" t="str">
            <v>92007Compagnie Internationale de Negoce</v>
          </cell>
          <cell r="U2828" t="str">
            <v>92007Compagnie Internationale de NegoceScratch 2 000</v>
          </cell>
          <cell r="V2828" t="str">
            <v>39342Scratch 2 000</v>
          </cell>
          <cell r="W2828" t="str">
            <v>2007Compagnie Internationale de Negoce</v>
          </cell>
          <cell r="X2828" t="str">
            <v>2007Compagnie Internationale de NegoceScratch 2 000</v>
          </cell>
        </row>
        <row r="2829">
          <cell r="I2829">
            <v>2007</v>
          </cell>
          <cell r="J2829" t="str">
            <v>Compagnie Internationale de NegoceScratch 1 000</v>
          </cell>
          <cell r="L2829">
            <v>0</v>
          </cell>
          <cell r="M2829" t="str">
            <v>Compagnie Internationale de Negoce</v>
          </cell>
          <cell r="N2829" t="str">
            <v>Compagnie Internationale de NegoceScratch 1 000</v>
          </cell>
          <cell r="O2829" t="str">
            <v>Compagnie Internationale de Negoce</v>
          </cell>
          <cell r="P2829" t="str">
            <v>Scratch 1 000</v>
          </cell>
          <cell r="Q2829" t="str">
            <v>92007</v>
          </cell>
          <cell r="R2829" t="str">
            <v>92007Scratch 1 000</v>
          </cell>
          <cell r="S2829" t="str">
            <v>2007Scratch 1 000</v>
          </cell>
          <cell r="T2829" t="str">
            <v>92007Compagnie Internationale de Negoce</v>
          </cell>
          <cell r="U2829" t="str">
            <v>92007Compagnie Internationale de NegoceScratch 1 000</v>
          </cell>
          <cell r="V2829" t="str">
            <v>39342Scratch 1 000</v>
          </cell>
          <cell r="W2829" t="str">
            <v>2007Compagnie Internationale de Negoce</v>
          </cell>
          <cell r="X2829" t="str">
            <v>2007Compagnie Internationale de NegoceScratch 1 000</v>
          </cell>
        </row>
        <row r="2830">
          <cell r="I2830">
            <v>2007</v>
          </cell>
          <cell r="J2830" t="str">
            <v>MALI COM SarlScratch 5 000</v>
          </cell>
          <cell r="L2830">
            <v>1</v>
          </cell>
          <cell r="M2830" t="str">
            <v>1MALI COM Sarl</v>
          </cell>
          <cell r="N2830" t="str">
            <v>MALI COM SarlScratch 5 000</v>
          </cell>
          <cell r="O2830" t="str">
            <v>MALI COM Sarl</v>
          </cell>
          <cell r="P2830" t="str">
            <v>Scratch 5 000</v>
          </cell>
          <cell r="Q2830" t="str">
            <v>92007</v>
          </cell>
          <cell r="R2830" t="str">
            <v>92007Scratch 5 000</v>
          </cell>
          <cell r="S2830" t="str">
            <v>2007Scratch 5 000</v>
          </cell>
          <cell r="T2830" t="str">
            <v>92007MALI COM Sarl</v>
          </cell>
          <cell r="U2830" t="str">
            <v>92007MALI COM SarlScratch 5 000</v>
          </cell>
          <cell r="V2830" t="str">
            <v>39342Scratch 5 000</v>
          </cell>
          <cell r="W2830" t="str">
            <v>2007MALI COM Sarl</v>
          </cell>
          <cell r="X2830" t="str">
            <v>2007MALI COM SarlScratch 5 000</v>
          </cell>
        </row>
        <row r="2831">
          <cell r="I2831">
            <v>2007</v>
          </cell>
          <cell r="J2831" t="str">
            <v>MALI COM SarlScratch 2 000</v>
          </cell>
          <cell r="L2831">
            <v>0</v>
          </cell>
          <cell r="M2831" t="str">
            <v>MALI COM Sarl</v>
          </cell>
          <cell r="N2831" t="str">
            <v>MALI COM SarlScratch 2 000</v>
          </cell>
          <cell r="O2831" t="str">
            <v>MALI COM Sarl</v>
          </cell>
          <cell r="P2831" t="str">
            <v>Scratch 2 000</v>
          </cell>
          <cell r="Q2831" t="str">
            <v>92007</v>
          </cell>
          <cell r="R2831" t="str">
            <v>92007Scratch 2 000</v>
          </cell>
          <cell r="S2831" t="str">
            <v>2007Scratch 2 000</v>
          </cell>
          <cell r="T2831" t="str">
            <v>92007MALI COM Sarl</v>
          </cell>
          <cell r="U2831" t="str">
            <v>92007MALI COM SarlScratch 2 000</v>
          </cell>
          <cell r="V2831" t="str">
            <v>39342Scratch 2 000</v>
          </cell>
          <cell r="W2831" t="str">
            <v>2007MALI COM Sarl</v>
          </cell>
          <cell r="X2831" t="str">
            <v>2007MALI COM SarlScratch 2 000</v>
          </cell>
        </row>
        <row r="2832">
          <cell r="I2832">
            <v>2007</v>
          </cell>
          <cell r="J2832" t="str">
            <v>MALI COM SarlScratch 1 000</v>
          </cell>
          <cell r="L2832">
            <v>0</v>
          </cell>
          <cell r="M2832" t="str">
            <v>MALI COM Sarl</v>
          </cell>
          <cell r="N2832" t="str">
            <v>MALI COM SarlScratch 1 000</v>
          </cell>
          <cell r="O2832" t="str">
            <v>MALI COM Sarl</v>
          </cell>
          <cell r="P2832" t="str">
            <v>Scratch 1 000</v>
          </cell>
          <cell r="Q2832" t="str">
            <v>92007</v>
          </cell>
          <cell r="R2832" t="str">
            <v>92007Scratch 1 000</v>
          </cell>
          <cell r="S2832" t="str">
            <v>2007Scratch 1 000</v>
          </cell>
          <cell r="T2832" t="str">
            <v>92007MALI COM Sarl</v>
          </cell>
          <cell r="U2832" t="str">
            <v>92007MALI COM SarlScratch 1 000</v>
          </cell>
          <cell r="V2832" t="str">
            <v>39342Scratch 1 000</v>
          </cell>
          <cell r="W2832" t="str">
            <v>2007MALI COM Sarl</v>
          </cell>
          <cell r="X2832" t="str">
            <v>2007MALI COM SarlScratch 1 000</v>
          </cell>
        </row>
        <row r="2833">
          <cell r="I2833">
            <v>2007</v>
          </cell>
          <cell r="J2833" t="str">
            <v>Burtel MacsymScratch 20 000</v>
          </cell>
          <cell r="L2833">
            <v>1</v>
          </cell>
          <cell r="M2833" t="str">
            <v>1Burtel Macsym</v>
          </cell>
          <cell r="N2833" t="str">
            <v>Burtel MacsymScratch 20 000</v>
          </cell>
          <cell r="O2833" t="str">
            <v>Burtel Macsym</v>
          </cell>
          <cell r="P2833" t="str">
            <v>Scratch 20 000</v>
          </cell>
          <cell r="Q2833" t="str">
            <v>92007</v>
          </cell>
          <cell r="R2833" t="str">
            <v>92007Scratch 20 000</v>
          </cell>
          <cell r="S2833" t="str">
            <v>2007Scratch 20 000</v>
          </cell>
          <cell r="T2833" t="str">
            <v>92007Burtel Macsym</v>
          </cell>
          <cell r="U2833" t="str">
            <v>92007Burtel MacsymScratch 20 000</v>
          </cell>
          <cell r="V2833" t="str">
            <v>39342Scratch 20 000</v>
          </cell>
          <cell r="W2833" t="str">
            <v>2007Burtel Macsym</v>
          </cell>
          <cell r="X2833" t="str">
            <v>2007Burtel MacsymScratch 20 000</v>
          </cell>
        </row>
        <row r="2834">
          <cell r="I2834">
            <v>2007</v>
          </cell>
          <cell r="J2834" t="str">
            <v>Burtel MacsymScratch 5 000</v>
          </cell>
          <cell r="L2834">
            <v>0</v>
          </cell>
          <cell r="M2834" t="str">
            <v>Burtel Macsym</v>
          </cell>
          <cell r="N2834" t="str">
            <v>Burtel MacsymScratch 5 000</v>
          </cell>
          <cell r="O2834" t="str">
            <v>Burtel Macsym</v>
          </cell>
          <cell r="P2834" t="str">
            <v>Scratch 5 000</v>
          </cell>
          <cell r="Q2834" t="str">
            <v>92007</v>
          </cell>
          <cell r="R2834" t="str">
            <v>92007Scratch 5 000</v>
          </cell>
          <cell r="S2834" t="str">
            <v>2007Scratch 5 000</v>
          </cell>
          <cell r="T2834" t="str">
            <v>92007Burtel Macsym</v>
          </cell>
          <cell r="U2834" t="str">
            <v>92007Burtel MacsymScratch 5 000</v>
          </cell>
          <cell r="V2834" t="str">
            <v>39342Scratch 5 000</v>
          </cell>
          <cell r="W2834" t="str">
            <v>2007Burtel Macsym</v>
          </cell>
          <cell r="X2834" t="str">
            <v>2007Burtel MacsymScratch 5 000</v>
          </cell>
        </row>
        <row r="2835">
          <cell r="I2835">
            <v>2007</v>
          </cell>
          <cell r="J2835" t="str">
            <v>Burtel MacsymScratch 2 000</v>
          </cell>
          <cell r="L2835">
            <v>0</v>
          </cell>
          <cell r="M2835" t="str">
            <v>Burtel Macsym</v>
          </cell>
          <cell r="N2835" t="str">
            <v>Burtel MacsymScratch 2 000</v>
          </cell>
          <cell r="O2835" t="str">
            <v>Burtel Macsym</v>
          </cell>
          <cell r="P2835" t="str">
            <v>Scratch 2 000</v>
          </cell>
          <cell r="Q2835" t="str">
            <v>92007</v>
          </cell>
          <cell r="R2835" t="str">
            <v>92007Scratch 2 000</v>
          </cell>
          <cell r="S2835" t="str">
            <v>2007Scratch 2 000</v>
          </cell>
          <cell r="T2835" t="str">
            <v>92007Burtel Macsym</v>
          </cell>
          <cell r="U2835" t="str">
            <v>92007Burtel MacsymScratch 2 000</v>
          </cell>
          <cell r="V2835" t="str">
            <v>39342Scratch 2 000</v>
          </cell>
          <cell r="W2835" t="str">
            <v>2007Burtel Macsym</v>
          </cell>
          <cell r="X2835" t="str">
            <v>2007Burtel MacsymScratch 2 000</v>
          </cell>
        </row>
        <row r="2836">
          <cell r="I2836">
            <v>2007</v>
          </cell>
          <cell r="J2836" t="str">
            <v>Burtel MacsymScratch 1 000</v>
          </cell>
          <cell r="L2836">
            <v>0</v>
          </cell>
          <cell r="M2836" t="str">
            <v>Burtel Macsym</v>
          </cell>
          <cell r="N2836" t="str">
            <v>Burtel MacsymScratch 1 000</v>
          </cell>
          <cell r="O2836" t="str">
            <v>Burtel Macsym</v>
          </cell>
          <cell r="P2836" t="str">
            <v>Scratch 1 000</v>
          </cell>
          <cell r="Q2836" t="str">
            <v>92007</v>
          </cell>
          <cell r="R2836" t="str">
            <v>92007Scratch 1 000</v>
          </cell>
          <cell r="S2836" t="str">
            <v>2007Scratch 1 000</v>
          </cell>
          <cell r="T2836" t="str">
            <v>92007Burtel Macsym</v>
          </cell>
          <cell r="U2836" t="str">
            <v>92007Burtel MacsymScratch 1 000</v>
          </cell>
          <cell r="V2836" t="str">
            <v>39342Scratch 1 000</v>
          </cell>
          <cell r="W2836" t="str">
            <v>2007Burtel Macsym</v>
          </cell>
          <cell r="X2836" t="str">
            <v>2007Burtel MacsymScratch 1 000</v>
          </cell>
        </row>
        <row r="2837">
          <cell r="I2837">
            <v>2007</v>
          </cell>
          <cell r="J2837" t="str">
            <v>Bonneterie Nouvelle TelecomScratch 20 000</v>
          </cell>
          <cell r="L2837">
            <v>1</v>
          </cell>
          <cell r="M2837" t="str">
            <v>1Bonneterie Nouvelle Telecom</v>
          </cell>
          <cell r="N2837" t="str">
            <v>Bonneterie Nouvelle TelecomScratch 20 000</v>
          </cell>
          <cell r="O2837" t="str">
            <v>Bonneterie Nouvelle Telecom</v>
          </cell>
          <cell r="P2837" t="str">
            <v>Scratch 20 000</v>
          </cell>
          <cell r="Q2837" t="str">
            <v>92007</v>
          </cell>
          <cell r="R2837" t="str">
            <v>92007Scratch 20 000</v>
          </cell>
          <cell r="S2837" t="str">
            <v>2007Scratch 20 000</v>
          </cell>
          <cell r="T2837" t="str">
            <v>92007Bonneterie Nouvelle Telecom</v>
          </cell>
          <cell r="U2837" t="str">
            <v>92007Bonneterie Nouvelle TelecomScratch 20 000</v>
          </cell>
          <cell r="V2837" t="str">
            <v>39342Scratch 20 000</v>
          </cell>
          <cell r="W2837" t="str">
            <v>2007Bonneterie Nouvelle Telecom</v>
          </cell>
          <cell r="X2837" t="str">
            <v>2007Bonneterie Nouvelle TelecomScratch 20 000</v>
          </cell>
        </row>
        <row r="2838">
          <cell r="I2838">
            <v>2007</v>
          </cell>
          <cell r="J2838" t="str">
            <v>Bonneterie Nouvelle TelecomScratch 5 000</v>
          </cell>
          <cell r="L2838">
            <v>0</v>
          </cell>
          <cell r="M2838" t="str">
            <v>Bonneterie Nouvelle Telecom</v>
          </cell>
          <cell r="N2838" t="str">
            <v>Bonneterie Nouvelle TelecomScratch 5 000</v>
          </cell>
          <cell r="O2838" t="str">
            <v>Bonneterie Nouvelle Telecom</v>
          </cell>
          <cell r="P2838" t="str">
            <v>Scratch 5 000</v>
          </cell>
          <cell r="Q2838" t="str">
            <v>92007</v>
          </cell>
          <cell r="R2838" t="str">
            <v>92007Scratch 5 000</v>
          </cell>
          <cell r="S2838" t="str">
            <v>2007Scratch 5 000</v>
          </cell>
          <cell r="T2838" t="str">
            <v>92007Bonneterie Nouvelle Telecom</v>
          </cell>
          <cell r="U2838" t="str">
            <v>92007Bonneterie Nouvelle TelecomScratch 5 000</v>
          </cell>
          <cell r="V2838" t="str">
            <v>39342Scratch 5 000</v>
          </cell>
          <cell r="W2838" t="str">
            <v>2007Bonneterie Nouvelle Telecom</v>
          </cell>
          <cell r="X2838" t="str">
            <v>2007Bonneterie Nouvelle TelecomScratch 5 000</v>
          </cell>
        </row>
        <row r="2839">
          <cell r="I2839">
            <v>2007</v>
          </cell>
          <cell r="J2839" t="str">
            <v>Bonneterie Nouvelle TelecomScratch 2 000</v>
          </cell>
          <cell r="L2839">
            <v>0</v>
          </cell>
          <cell r="M2839" t="str">
            <v>Bonneterie Nouvelle Telecom</v>
          </cell>
          <cell r="N2839" t="str">
            <v>Bonneterie Nouvelle TelecomScratch 2 000</v>
          </cell>
          <cell r="O2839" t="str">
            <v>Bonneterie Nouvelle Telecom</v>
          </cell>
          <cell r="P2839" t="str">
            <v>Scratch 2 000</v>
          </cell>
          <cell r="Q2839" t="str">
            <v>92007</v>
          </cell>
          <cell r="R2839" t="str">
            <v>92007Scratch 2 000</v>
          </cell>
          <cell r="S2839" t="str">
            <v>2007Scratch 2 000</v>
          </cell>
          <cell r="T2839" t="str">
            <v>92007Bonneterie Nouvelle Telecom</v>
          </cell>
          <cell r="U2839" t="str">
            <v>92007Bonneterie Nouvelle TelecomScratch 2 000</v>
          </cell>
          <cell r="V2839" t="str">
            <v>39342Scratch 2 000</v>
          </cell>
          <cell r="W2839" t="str">
            <v>2007Bonneterie Nouvelle Telecom</v>
          </cell>
          <cell r="X2839" t="str">
            <v>2007Bonneterie Nouvelle TelecomScratch 2 000</v>
          </cell>
        </row>
        <row r="2840">
          <cell r="I2840">
            <v>2007</v>
          </cell>
          <cell r="J2840" t="str">
            <v>Bonneterie Nouvelle TelecomScratch 1 000</v>
          </cell>
          <cell r="L2840">
            <v>0</v>
          </cell>
          <cell r="M2840" t="str">
            <v>Bonneterie Nouvelle Telecom</v>
          </cell>
          <cell r="N2840" t="str">
            <v>Bonneterie Nouvelle TelecomScratch 1 000</v>
          </cell>
          <cell r="O2840" t="str">
            <v>Bonneterie Nouvelle Telecom</v>
          </cell>
          <cell r="P2840" t="str">
            <v>Scratch 1 000</v>
          </cell>
          <cell r="Q2840" t="str">
            <v>92007</v>
          </cell>
          <cell r="R2840" t="str">
            <v>92007Scratch 1 000</v>
          </cell>
          <cell r="S2840" t="str">
            <v>2007Scratch 1 000</v>
          </cell>
          <cell r="T2840" t="str">
            <v>92007Bonneterie Nouvelle Telecom</v>
          </cell>
          <cell r="U2840" t="str">
            <v>92007Bonneterie Nouvelle TelecomScratch 1 000</v>
          </cell>
          <cell r="V2840" t="str">
            <v>39342Scratch 1 000</v>
          </cell>
          <cell r="W2840" t="str">
            <v>2007Bonneterie Nouvelle Telecom</v>
          </cell>
          <cell r="X2840" t="str">
            <v>2007Bonneterie Nouvelle TelecomScratch 1 000</v>
          </cell>
        </row>
        <row r="2841">
          <cell r="I2841">
            <v>2007</v>
          </cell>
          <cell r="J2841" t="str">
            <v>MALI COM SarlScratch 10 000</v>
          </cell>
          <cell r="L2841">
            <v>1</v>
          </cell>
          <cell r="M2841" t="str">
            <v>1MALI COM Sarl</v>
          </cell>
          <cell r="N2841" t="str">
            <v>MALI COM SarlScratch 10 000</v>
          </cell>
          <cell r="O2841" t="str">
            <v>MALI COM Sarl</v>
          </cell>
          <cell r="P2841" t="str">
            <v>Scratch 10 000</v>
          </cell>
          <cell r="Q2841" t="str">
            <v>92007</v>
          </cell>
          <cell r="R2841" t="str">
            <v>92007Scratch 10 000</v>
          </cell>
          <cell r="S2841" t="str">
            <v>2007Scratch 10 000</v>
          </cell>
          <cell r="T2841" t="str">
            <v>92007MALI COM Sarl</v>
          </cell>
          <cell r="U2841" t="str">
            <v>92007MALI COM SarlScratch 10 000</v>
          </cell>
          <cell r="V2841" t="str">
            <v>39343Scratch 10 000</v>
          </cell>
          <cell r="W2841" t="str">
            <v>2007MALI COM Sarl</v>
          </cell>
          <cell r="X2841" t="str">
            <v>2007MALI COM SarlScratch 10 000</v>
          </cell>
        </row>
        <row r="2842">
          <cell r="I2842">
            <v>2007</v>
          </cell>
          <cell r="J2842" t="str">
            <v>MALI COM SarlScratch 5 000</v>
          </cell>
          <cell r="L2842">
            <v>0</v>
          </cell>
          <cell r="M2842" t="str">
            <v>MALI COM Sarl</v>
          </cell>
          <cell r="N2842" t="str">
            <v>MALI COM SarlScratch 5 000</v>
          </cell>
          <cell r="O2842" t="str">
            <v>MALI COM Sarl</v>
          </cell>
          <cell r="P2842" t="str">
            <v>Scratch 5 000</v>
          </cell>
          <cell r="Q2842" t="str">
            <v>92007</v>
          </cell>
          <cell r="R2842" t="str">
            <v>92007Scratch 5 000</v>
          </cell>
          <cell r="S2842" t="str">
            <v>2007Scratch 5 000</v>
          </cell>
          <cell r="T2842" t="str">
            <v>92007MALI COM Sarl</v>
          </cell>
          <cell r="U2842" t="str">
            <v>92007MALI COM SarlScratch 5 000</v>
          </cell>
          <cell r="V2842" t="str">
            <v>39343Scratch 5 000</v>
          </cell>
          <cell r="W2842" t="str">
            <v>2007MALI COM Sarl</v>
          </cell>
          <cell r="X2842" t="str">
            <v>2007MALI COM SarlScratch 5 000</v>
          </cell>
        </row>
        <row r="2843">
          <cell r="I2843">
            <v>2007</v>
          </cell>
          <cell r="J2843" t="str">
            <v>MALI COM SarlScratch 2 000</v>
          </cell>
          <cell r="L2843">
            <v>0</v>
          </cell>
          <cell r="M2843" t="str">
            <v>MALI COM Sarl</v>
          </cell>
          <cell r="N2843" t="str">
            <v>MALI COM SarlScratch 2 000</v>
          </cell>
          <cell r="O2843" t="str">
            <v>MALI COM Sarl</v>
          </cell>
          <cell r="P2843" t="str">
            <v>Scratch 2 000</v>
          </cell>
          <cell r="Q2843" t="str">
            <v>92007</v>
          </cell>
          <cell r="R2843" t="str">
            <v>92007Scratch 2 000</v>
          </cell>
          <cell r="S2843" t="str">
            <v>2007Scratch 2 000</v>
          </cell>
          <cell r="T2843" t="str">
            <v>92007MALI COM Sarl</v>
          </cell>
          <cell r="U2843" t="str">
            <v>92007MALI COM SarlScratch 2 000</v>
          </cell>
          <cell r="V2843" t="str">
            <v>39343Scratch 2 000</v>
          </cell>
          <cell r="W2843" t="str">
            <v>2007MALI COM Sarl</v>
          </cell>
          <cell r="X2843" t="str">
            <v>2007MALI COM SarlScratch 2 000</v>
          </cell>
        </row>
        <row r="2844">
          <cell r="I2844">
            <v>2007</v>
          </cell>
          <cell r="J2844" t="str">
            <v>MALI COM SarlScratch 1 000</v>
          </cell>
          <cell r="L2844">
            <v>0</v>
          </cell>
          <cell r="M2844" t="str">
            <v>MALI COM Sarl</v>
          </cell>
          <cell r="N2844" t="str">
            <v>MALI COM SarlScratch 1 000</v>
          </cell>
          <cell r="O2844" t="str">
            <v>MALI COM Sarl</v>
          </cell>
          <cell r="P2844" t="str">
            <v>Scratch 1 000</v>
          </cell>
          <cell r="Q2844" t="str">
            <v>92007</v>
          </cell>
          <cell r="R2844" t="str">
            <v>92007Scratch 1 000</v>
          </cell>
          <cell r="S2844" t="str">
            <v>2007Scratch 1 000</v>
          </cell>
          <cell r="T2844" t="str">
            <v>92007MALI COM Sarl</v>
          </cell>
          <cell r="U2844" t="str">
            <v>92007MALI COM SarlScratch 1 000</v>
          </cell>
          <cell r="V2844" t="str">
            <v>39343Scratch 1 000</v>
          </cell>
          <cell r="W2844" t="str">
            <v>2007MALI COM Sarl</v>
          </cell>
          <cell r="X2844" t="str">
            <v>2007MALI COM SarlScratch 1 000</v>
          </cell>
        </row>
        <row r="2845">
          <cell r="I2845">
            <v>2007</v>
          </cell>
          <cell r="J2845" t="str">
            <v>STS GAMBY &amp; FRERES (SOGAF) SarlScratch 5 000</v>
          </cell>
          <cell r="L2845">
            <v>1</v>
          </cell>
          <cell r="M2845" t="str">
            <v>1STS GAMBY &amp; FRERES (SOGAF) Sarl</v>
          </cell>
          <cell r="N2845" t="str">
            <v>STS GAMBY &amp; FRERES (SOGAF) SarlScratch 5 000</v>
          </cell>
          <cell r="O2845" t="str">
            <v>STS GAMBY &amp; FRERES (SOGAF) Sarl</v>
          </cell>
          <cell r="P2845" t="str">
            <v>Scratch 5 000</v>
          </cell>
          <cell r="Q2845" t="str">
            <v>92007</v>
          </cell>
          <cell r="R2845" t="str">
            <v>92007Scratch 5 000</v>
          </cell>
          <cell r="S2845" t="str">
            <v>2007Scratch 5 000</v>
          </cell>
          <cell r="T2845" t="str">
            <v>92007STS GAMBY &amp; FRERES (SOGAF) Sarl</v>
          </cell>
          <cell r="U2845" t="str">
            <v>92007STS GAMBY &amp; FRERES (SOGAF) SarlScratch 5 000</v>
          </cell>
          <cell r="V2845" t="str">
            <v>39343Scratch 5 000</v>
          </cell>
          <cell r="W2845" t="str">
            <v>2007STS GAMBY &amp; FRERES (SOGAF) Sarl</v>
          </cell>
          <cell r="X2845" t="str">
            <v>2007STS GAMBY &amp; FRERES (SOGAF) SarlScratch 5 000</v>
          </cell>
        </row>
        <row r="2846">
          <cell r="I2846">
            <v>2007</v>
          </cell>
          <cell r="J2846" t="str">
            <v>STS GAMBY &amp; FRERES (SOGAF) SarlScratch 2 000</v>
          </cell>
          <cell r="L2846">
            <v>0</v>
          </cell>
          <cell r="M2846" t="str">
            <v>STS GAMBY &amp; FRERES (SOGAF) Sarl</v>
          </cell>
          <cell r="N2846" t="str">
            <v>STS GAMBY &amp; FRERES (SOGAF) SarlScratch 2 000</v>
          </cell>
          <cell r="O2846" t="str">
            <v>STS GAMBY &amp; FRERES (SOGAF) Sarl</v>
          </cell>
          <cell r="P2846" t="str">
            <v>Scratch 2 000</v>
          </cell>
          <cell r="Q2846" t="str">
            <v>92007</v>
          </cell>
          <cell r="R2846" t="str">
            <v>92007Scratch 2 000</v>
          </cell>
          <cell r="S2846" t="str">
            <v>2007Scratch 2 000</v>
          </cell>
          <cell r="T2846" t="str">
            <v>92007STS GAMBY &amp; FRERES (SOGAF) Sarl</v>
          </cell>
          <cell r="U2846" t="str">
            <v>92007STS GAMBY &amp; FRERES (SOGAF) SarlScratch 2 000</v>
          </cell>
          <cell r="V2846" t="str">
            <v>39343Scratch 2 000</v>
          </cell>
          <cell r="W2846" t="str">
            <v>2007STS GAMBY &amp; FRERES (SOGAF) Sarl</v>
          </cell>
          <cell r="X2846" t="str">
            <v>2007STS GAMBY &amp; FRERES (SOGAF) SarlScratch 2 000</v>
          </cell>
        </row>
        <row r="2847">
          <cell r="I2847">
            <v>2007</v>
          </cell>
          <cell r="J2847" t="str">
            <v>STS GAMBY &amp; FRERES (SOGAF) SarlScratch 1 000</v>
          </cell>
          <cell r="L2847">
            <v>0</v>
          </cell>
          <cell r="M2847" t="str">
            <v>STS GAMBY &amp; FRERES (SOGAF) Sarl</v>
          </cell>
          <cell r="N2847" t="str">
            <v>STS GAMBY &amp; FRERES (SOGAF) SarlScratch 1 000</v>
          </cell>
          <cell r="O2847" t="str">
            <v>STS GAMBY &amp; FRERES (SOGAF) Sarl</v>
          </cell>
          <cell r="P2847" t="str">
            <v>Scratch 1 000</v>
          </cell>
          <cell r="Q2847" t="str">
            <v>92007</v>
          </cell>
          <cell r="R2847" t="str">
            <v>92007Scratch 1 000</v>
          </cell>
          <cell r="S2847" t="str">
            <v>2007Scratch 1 000</v>
          </cell>
          <cell r="T2847" t="str">
            <v>92007STS GAMBY &amp; FRERES (SOGAF) Sarl</v>
          </cell>
          <cell r="U2847" t="str">
            <v>92007STS GAMBY &amp; FRERES (SOGAF) SarlScratch 1 000</v>
          </cell>
          <cell r="V2847" t="str">
            <v>39343Scratch 1 000</v>
          </cell>
          <cell r="W2847" t="str">
            <v>2007STS GAMBY &amp; FRERES (SOGAF) Sarl</v>
          </cell>
          <cell r="X2847" t="str">
            <v>2007STS GAMBY &amp; FRERES (SOGAF) SarlScratch 1 000</v>
          </cell>
        </row>
        <row r="2848">
          <cell r="I2848">
            <v>2007</v>
          </cell>
          <cell r="J2848" t="str">
            <v>ANKA SERVICESScratch 5 000</v>
          </cell>
          <cell r="L2848">
            <v>1</v>
          </cell>
          <cell r="M2848" t="str">
            <v>1ANKA SERVICES</v>
          </cell>
          <cell r="N2848" t="str">
            <v>ANKA SERVICESScratch 5 000</v>
          </cell>
          <cell r="O2848" t="str">
            <v>ANKA SERVICES</v>
          </cell>
          <cell r="P2848" t="str">
            <v>Scratch 5 000</v>
          </cell>
          <cell r="Q2848" t="str">
            <v>92007</v>
          </cell>
          <cell r="R2848" t="str">
            <v>92007Scratch 5 000</v>
          </cell>
          <cell r="S2848" t="str">
            <v>2007Scratch 5 000</v>
          </cell>
          <cell r="T2848" t="str">
            <v>92007ANKA SERVICES</v>
          </cell>
          <cell r="U2848" t="str">
            <v>92007ANKA SERVICESScratch 5 000</v>
          </cell>
          <cell r="V2848" t="str">
            <v>39343Scratch 5 000</v>
          </cell>
          <cell r="W2848" t="str">
            <v>2007ANKA SERVICES</v>
          </cell>
          <cell r="X2848" t="str">
            <v>2007ANKA SERVICESScratch 5 000</v>
          </cell>
        </row>
        <row r="2849">
          <cell r="I2849">
            <v>2007</v>
          </cell>
          <cell r="J2849" t="str">
            <v>ANKA SERVICESScratch 2 000</v>
          </cell>
          <cell r="L2849">
            <v>0</v>
          </cell>
          <cell r="M2849" t="str">
            <v>ANKA SERVICES</v>
          </cell>
          <cell r="N2849" t="str">
            <v>ANKA SERVICESScratch 2 000</v>
          </cell>
          <cell r="O2849" t="str">
            <v>ANKA SERVICES</v>
          </cell>
          <cell r="P2849" t="str">
            <v>Scratch 2 000</v>
          </cell>
          <cell r="Q2849" t="str">
            <v>92007</v>
          </cell>
          <cell r="R2849" t="str">
            <v>92007Scratch 2 000</v>
          </cell>
          <cell r="S2849" t="str">
            <v>2007Scratch 2 000</v>
          </cell>
          <cell r="T2849" t="str">
            <v>92007ANKA SERVICES</v>
          </cell>
          <cell r="U2849" t="str">
            <v>92007ANKA SERVICESScratch 2 000</v>
          </cell>
          <cell r="V2849" t="str">
            <v>39343Scratch 2 000</v>
          </cell>
          <cell r="W2849" t="str">
            <v>2007ANKA SERVICES</v>
          </cell>
          <cell r="X2849" t="str">
            <v>2007ANKA SERVICESScratch 2 000</v>
          </cell>
        </row>
        <row r="2850">
          <cell r="I2850">
            <v>2007</v>
          </cell>
          <cell r="J2850" t="str">
            <v>ANKA SERVICESScratch 1 000</v>
          </cell>
          <cell r="L2850">
            <v>0</v>
          </cell>
          <cell r="M2850" t="str">
            <v>ANKA SERVICES</v>
          </cell>
          <cell r="N2850" t="str">
            <v>ANKA SERVICESScratch 1 000</v>
          </cell>
          <cell r="O2850" t="str">
            <v>ANKA SERVICES</v>
          </cell>
          <cell r="P2850" t="str">
            <v>Scratch 1 000</v>
          </cell>
          <cell r="Q2850" t="str">
            <v>92007</v>
          </cell>
          <cell r="R2850" t="str">
            <v>92007Scratch 1 000</v>
          </cell>
          <cell r="S2850" t="str">
            <v>2007Scratch 1 000</v>
          </cell>
          <cell r="T2850" t="str">
            <v>92007ANKA SERVICES</v>
          </cell>
          <cell r="U2850" t="str">
            <v>92007ANKA SERVICESScratch 1 000</v>
          </cell>
          <cell r="V2850" t="str">
            <v>39343Scratch 1 000</v>
          </cell>
          <cell r="W2850" t="str">
            <v>2007ANKA SERVICES</v>
          </cell>
          <cell r="X2850" t="str">
            <v>2007ANKA SERVICESScratch 1 000</v>
          </cell>
        </row>
        <row r="2851">
          <cell r="I2851">
            <v>2007</v>
          </cell>
          <cell r="J2851" t="str">
            <v>SOMAKOFFScratch 5 000</v>
          </cell>
          <cell r="L2851">
            <v>1</v>
          </cell>
          <cell r="M2851" t="str">
            <v>1SOMAKOFF</v>
          </cell>
          <cell r="N2851" t="str">
            <v>SOMAKOFFScratch 5 000</v>
          </cell>
          <cell r="O2851" t="str">
            <v>SOMAKOFF</v>
          </cell>
          <cell r="P2851" t="str">
            <v>Scratch 5 000</v>
          </cell>
          <cell r="Q2851" t="str">
            <v>92007</v>
          </cell>
          <cell r="R2851" t="str">
            <v>92007Scratch 5 000</v>
          </cell>
          <cell r="S2851" t="str">
            <v>2007Scratch 5 000</v>
          </cell>
          <cell r="T2851" t="str">
            <v>92007SOMAKOFF</v>
          </cell>
          <cell r="U2851" t="str">
            <v>92007SOMAKOFFScratch 5 000</v>
          </cell>
          <cell r="V2851" t="str">
            <v>39343Scratch 5 000</v>
          </cell>
          <cell r="W2851" t="str">
            <v>2007SOMAKOFF</v>
          </cell>
          <cell r="X2851" t="str">
            <v>2007SOMAKOFFScratch 5 000</v>
          </cell>
        </row>
        <row r="2852">
          <cell r="I2852">
            <v>2007</v>
          </cell>
          <cell r="J2852" t="str">
            <v>SOMAKOFFScratch 2 000</v>
          </cell>
          <cell r="L2852">
            <v>0</v>
          </cell>
          <cell r="M2852" t="str">
            <v>SOMAKOFF</v>
          </cell>
          <cell r="N2852" t="str">
            <v>SOMAKOFFScratch 2 000</v>
          </cell>
          <cell r="O2852" t="str">
            <v>SOMAKOFF</v>
          </cell>
          <cell r="P2852" t="str">
            <v>Scratch 2 000</v>
          </cell>
          <cell r="Q2852" t="str">
            <v>92007</v>
          </cell>
          <cell r="R2852" t="str">
            <v>92007Scratch 2 000</v>
          </cell>
          <cell r="S2852" t="str">
            <v>2007Scratch 2 000</v>
          </cell>
          <cell r="T2852" t="str">
            <v>92007SOMAKOFF</v>
          </cell>
          <cell r="U2852" t="str">
            <v>92007SOMAKOFFScratch 2 000</v>
          </cell>
          <cell r="V2852" t="str">
            <v>39343Scratch 2 000</v>
          </cell>
          <cell r="W2852" t="str">
            <v>2007SOMAKOFF</v>
          </cell>
          <cell r="X2852" t="str">
            <v>2007SOMAKOFFScratch 2 000</v>
          </cell>
        </row>
        <row r="2853">
          <cell r="I2853">
            <v>2007</v>
          </cell>
          <cell r="J2853" t="str">
            <v>SOMAKOFFScratch 1 000</v>
          </cell>
          <cell r="L2853">
            <v>0</v>
          </cell>
          <cell r="M2853" t="str">
            <v>SOMAKOFF</v>
          </cell>
          <cell r="N2853" t="str">
            <v>SOMAKOFFScratch 1 000</v>
          </cell>
          <cell r="O2853" t="str">
            <v>SOMAKOFF</v>
          </cell>
          <cell r="P2853" t="str">
            <v>Scratch 1 000</v>
          </cell>
          <cell r="Q2853" t="str">
            <v>92007</v>
          </cell>
          <cell r="R2853" t="str">
            <v>92007Scratch 1 000</v>
          </cell>
          <cell r="S2853" t="str">
            <v>2007Scratch 1 000</v>
          </cell>
          <cell r="T2853" t="str">
            <v>92007SOMAKOFF</v>
          </cell>
          <cell r="U2853" t="str">
            <v>92007SOMAKOFFScratch 1 000</v>
          </cell>
          <cell r="V2853" t="str">
            <v>39343Scratch 1 000</v>
          </cell>
          <cell r="W2853" t="str">
            <v>2007SOMAKOFF</v>
          </cell>
          <cell r="X2853" t="str">
            <v>2007SOMAKOFFScratch 1 000</v>
          </cell>
        </row>
        <row r="2854">
          <cell r="I2854">
            <v>2007</v>
          </cell>
          <cell r="J2854" t="str">
            <v>GEMATELScratch 20 000</v>
          </cell>
          <cell r="L2854">
            <v>1</v>
          </cell>
          <cell r="M2854" t="str">
            <v>1GEMATEL</v>
          </cell>
          <cell r="N2854" t="str">
            <v>GEMATELScratch 20 000</v>
          </cell>
          <cell r="O2854" t="str">
            <v>GEMATEL</v>
          </cell>
          <cell r="P2854" t="str">
            <v>Scratch 20 000</v>
          </cell>
          <cell r="Q2854" t="str">
            <v>92007</v>
          </cell>
          <cell r="R2854" t="str">
            <v>92007Scratch 20 000</v>
          </cell>
          <cell r="S2854" t="str">
            <v>2007Scratch 20 000</v>
          </cell>
          <cell r="T2854" t="str">
            <v>92007GEMATEL</v>
          </cell>
          <cell r="U2854" t="str">
            <v>92007GEMATELScratch 20 000</v>
          </cell>
          <cell r="V2854" t="str">
            <v>39344Scratch 20 000</v>
          </cell>
          <cell r="W2854" t="str">
            <v>2007GEMATEL</v>
          </cell>
          <cell r="X2854" t="str">
            <v>2007GEMATELScratch 20 000</v>
          </cell>
        </row>
        <row r="2855">
          <cell r="I2855">
            <v>2007</v>
          </cell>
          <cell r="J2855" t="str">
            <v>GEMATELScratch 5 000</v>
          </cell>
          <cell r="L2855">
            <v>0</v>
          </cell>
          <cell r="M2855" t="str">
            <v>GEMATEL</v>
          </cell>
          <cell r="N2855" t="str">
            <v>GEMATELScratch 5 000</v>
          </cell>
          <cell r="O2855" t="str">
            <v>GEMATEL</v>
          </cell>
          <cell r="P2855" t="str">
            <v>Scratch 5 000</v>
          </cell>
          <cell r="Q2855" t="str">
            <v>92007</v>
          </cell>
          <cell r="R2855" t="str">
            <v>92007Scratch 5 000</v>
          </cell>
          <cell r="S2855" t="str">
            <v>2007Scratch 5 000</v>
          </cell>
          <cell r="T2855" t="str">
            <v>92007GEMATEL</v>
          </cell>
          <cell r="U2855" t="str">
            <v>92007GEMATELScratch 5 000</v>
          </cell>
          <cell r="V2855" t="str">
            <v>39344Scratch 5 000</v>
          </cell>
          <cell r="W2855" t="str">
            <v>2007GEMATEL</v>
          </cell>
          <cell r="X2855" t="str">
            <v>2007GEMATELScratch 5 000</v>
          </cell>
        </row>
        <row r="2856">
          <cell r="I2856">
            <v>2007</v>
          </cell>
          <cell r="J2856" t="str">
            <v>GEMATELScratch 2 000</v>
          </cell>
          <cell r="L2856">
            <v>0</v>
          </cell>
          <cell r="M2856" t="str">
            <v>GEMATEL</v>
          </cell>
          <cell r="N2856" t="str">
            <v>GEMATELScratch 2 000</v>
          </cell>
          <cell r="O2856" t="str">
            <v>GEMATEL</v>
          </cell>
          <cell r="P2856" t="str">
            <v>Scratch 2 000</v>
          </cell>
          <cell r="Q2856" t="str">
            <v>92007</v>
          </cell>
          <cell r="R2856" t="str">
            <v>92007Scratch 2 000</v>
          </cell>
          <cell r="S2856" t="str">
            <v>2007Scratch 2 000</v>
          </cell>
          <cell r="T2856" t="str">
            <v>92007GEMATEL</v>
          </cell>
          <cell r="U2856" t="str">
            <v>92007GEMATELScratch 2 000</v>
          </cell>
          <cell r="V2856" t="str">
            <v>39344Scratch 2 000</v>
          </cell>
          <cell r="W2856" t="str">
            <v>2007GEMATEL</v>
          </cell>
          <cell r="X2856" t="str">
            <v>2007GEMATELScratch 2 000</v>
          </cell>
        </row>
        <row r="2857">
          <cell r="I2857">
            <v>2007</v>
          </cell>
          <cell r="J2857" t="str">
            <v>GEMATELScratch 1 000</v>
          </cell>
          <cell r="L2857">
            <v>0</v>
          </cell>
          <cell r="M2857" t="str">
            <v>GEMATEL</v>
          </cell>
          <cell r="N2857" t="str">
            <v>GEMATELScratch 1 000</v>
          </cell>
          <cell r="O2857" t="str">
            <v>GEMATEL</v>
          </cell>
          <cell r="P2857" t="str">
            <v>Scratch 1 000</v>
          </cell>
          <cell r="Q2857" t="str">
            <v>92007</v>
          </cell>
          <cell r="R2857" t="str">
            <v>92007Scratch 1 000</v>
          </cell>
          <cell r="S2857" t="str">
            <v>2007Scratch 1 000</v>
          </cell>
          <cell r="T2857" t="str">
            <v>92007GEMATEL</v>
          </cell>
          <cell r="U2857" t="str">
            <v>92007GEMATELScratch 1 000</v>
          </cell>
          <cell r="V2857" t="str">
            <v>39344Scratch 1 000</v>
          </cell>
          <cell r="W2857" t="str">
            <v>2007GEMATEL</v>
          </cell>
          <cell r="X2857" t="str">
            <v>2007GEMATELScratch 1 000</v>
          </cell>
        </row>
        <row r="2858">
          <cell r="I2858">
            <v>2007</v>
          </cell>
          <cell r="J2858" t="str">
            <v>STS GAMBY &amp; FRERES (SOGAF) SarlScratch 5 000</v>
          </cell>
          <cell r="L2858">
            <v>1</v>
          </cell>
          <cell r="M2858" t="str">
            <v>1STS GAMBY &amp; FRERES (SOGAF) Sarl</v>
          </cell>
          <cell r="N2858" t="str">
            <v>STS GAMBY &amp; FRERES (SOGAF) SarlScratch 5 000</v>
          </cell>
          <cell r="O2858" t="str">
            <v>STS GAMBY &amp; FRERES (SOGAF) Sarl</v>
          </cell>
          <cell r="P2858" t="str">
            <v>Scratch 5 000</v>
          </cell>
          <cell r="Q2858" t="str">
            <v>92007</v>
          </cell>
          <cell r="R2858" t="str">
            <v>92007Scratch 5 000</v>
          </cell>
          <cell r="S2858" t="str">
            <v>2007Scratch 5 000</v>
          </cell>
          <cell r="T2858" t="str">
            <v>92007STS GAMBY &amp; FRERES (SOGAF) Sarl</v>
          </cell>
          <cell r="U2858" t="str">
            <v>92007STS GAMBY &amp; FRERES (SOGAF) SarlScratch 5 000</v>
          </cell>
          <cell r="V2858" t="str">
            <v>39344Scratch 5 000</v>
          </cell>
          <cell r="W2858" t="str">
            <v>2007STS GAMBY &amp; FRERES (SOGAF) Sarl</v>
          </cell>
          <cell r="X2858" t="str">
            <v>2007STS GAMBY &amp; FRERES (SOGAF) SarlScratch 5 000</v>
          </cell>
        </row>
        <row r="2859">
          <cell r="I2859">
            <v>2007</v>
          </cell>
          <cell r="J2859" t="str">
            <v>STS GAMBY &amp; FRERES (SOGAF) SarlScratch 2 000</v>
          </cell>
          <cell r="L2859">
            <v>0</v>
          </cell>
          <cell r="M2859" t="str">
            <v>STS GAMBY &amp; FRERES (SOGAF) Sarl</v>
          </cell>
          <cell r="N2859" t="str">
            <v>STS GAMBY &amp; FRERES (SOGAF) SarlScratch 2 000</v>
          </cell>
          <cell r="O2859" t="str">
            <v>STS GAMBY &amp; FRERES (SOGAF) Sarl</v>
          </cell>
          <cell r="P2859" t="str">
            <v>Scratch 2 000</v>
          </cell>
          <cell r="Q2859" t="str">
            <v>92007</v>
          </cell>
          <cell r="R2859" t="str">
            <v>92007Scratch 2 000</v>
          </cell>
          <cell r="S2859" t="str">
            <v>2007Scratch 2 000</v>
          </cell>
          <cell r="T2859" t="str">
            <v>92007STS GAMBY &amp; FRERES (SOGAF) Sarl</v>
          </cell>
          <cell r="U2859" t="str">
            <v>92007STS GAMBY &amp; FRERES (SOGAF) SarlScratch 2 000</v>
          </cell>
          <cell r="V2859" t="str">
            <v>39344Scratch 2 000</v>
          </cell>
          <cell r="W2859" t="str">
            <v>2007STS GAMBY &amp; FRERES (SOGAF) Sarl</v>
          </cell>
          <cell r="X2859" t="str">
            <v>2007STS GAMBY &amp; FRERES (SOGAF) SarlScratch 2 000</v>
          </cell>
        </row>
        <row r="2860">
          <cell r="I2860">
            <v>2007</v>
          </cell>
          <cell r="J2860" t="str">
            <v>STS GAMBY &amp; FRERES (SOGAF) SarlScratch 1 000</v>
          </cell>
          <cell r="L2860">
            <v>0</v>
          </cell>
          <cell r="M2860" t="str">
            <v>STS GAMBY &amp; FRERES (SOGAF) Sarl</v>
          </cell>
          <cell r="N2860" t="str">
            <v>STS GAMBY &amp; FRERES (SOGAF) SarlScratch 1 000</v>
          </cell>
          <cell r="O2860" t="str">
            <v>STS GAMBY &amp; FRERES (SOGAF) Sarl</v>
          </cell>
          <cell r="P2860" t="str">
            <v>Scratch 1 000</v>
          </cell>
          <cell r="Q2860" t="str">
            <v>92007</v>
          </cell>
          <cell r="R2860" t="str">
            <v>92007Scratch 1 000</v>
          </cell>
          <cell r="S2860" t="str">
            <v>2007Scratch 1 000</v>
          </cell>
          <cell r="T2860" t="str">
            <v>92007STS GAMBY &amp; FRERES (SOGAF) Sarl</v>
          </cell>
          <cell r="U2860" t="str">
            <v>92007STS GAMBY &amp; FRERES (SOGAF) SarlScratch 1 000</v>
          </cell>
          <cell r="V2860" t="str">
            <v>39344Scratch 1 000</v>
          </cell>
          <cell r="W2860" t="str">
            <v>2007STS GAMBY &amp; FRERES (SOGAF) Sarl</v>
          </cell>
          <cell r="X2860" t="str">
            <v>2007STS GAMBY &amp; FRERES (SOGAF) SarlScratch 1 000</v>
          </cell>
        </row>
        <row r="2861">
          <cell r="I2861">
            <v>2007</v>
          </cell>
          <cell r="J2861" t="str">
            <v>Soleil LevantScratch 5 000</v>
          </cell>
          <cell r="L2861">
            <v>1</v>
          </cell>
          <cell r="M2861" t="str">
            <v>1Soleil Levant</v>
          </cell>
          <cell r="N2861" t="str">
            <v>Soleil LevantScratch 5 000</v>
          </cell>
          <cell r="O2861" t="str">
            <v>Soleil Levant</v>
          </cell>
          <cell r="P2861" t="str">
            <v>Scratch 5 000</v>
          </cell>
          <cell r="Q2861" t="str">
            <v>92007</v>
          </cell>
          <cell r="R2861" t="str">
            <v>92007Scratch 5 000</v>
          </cell>
          <cell r="S2861" t="str">
            <v>2007Scratch 5 000</v>
          </cell>
          <cell r="T2861" t="str">
            <v>92007Soleil Levant</v>
          </cell>
          <cell r="U2861" t="str">
            <v>92007Soleil LevantScratch 5 000</v>
          </cell>
          <cell r="V2861" t="str">
            <v>39344Scratch 5 000</v>
          </cell>
          <cell r="W2861" t="str">
            <v>2007Soleil Levant</v>
          </cell>
          <cell r="X2861" t="str">
            <v>2007Soleil LevantScratch 5 000</v>
          </cell>
        </row>
        <row r="2862">
          <cell r="I2862">
            <v>2007</v>
          </cell>
          <cell r="J2862" t="str">
            <v>Soleil LevantScratch 2 000</v>
          </cell>
          <cell r="L2862">
            <v>0</v>
          </cell>
          <cell r="M2862" t="str">
            <v>Soleil Levant</v>
          </cell>
          <cell r="N2862" t="str">
            <v>Soleil LevantScratch 2 000</v>
          </cell>
          <cell r="O2862" t="str">
            <v>Soleil Levant</v>
          </cell>
          <cell r="P2862" t="str">
            <v>Scratch 2 000</v>
          </cell>
          <cell r="Q2862" t="str">
            <v>92007</v>
          </cell>
          <cell r="R2862" t="str">
            <v>92007Scratch 2 000</v>
          </cell>
          <cell r="S2862" t="str">
            <v>2007Scratch 2 000</v>
          </cell>
          <cell r="T2862" t="str">
            <v>92007Soleil Levant</v>
          </cell>
          <cell r="U2862" t="str">
            <v>92007Soleil LevantScratch 2 000</v>
          </cell>
          <cell r="V2862" t="str">
            <v>39344Scratch 2 000</v>
          </cell>
          <cell r="W2862" t="str">
            <v>2007Soleil Levant</v>
          </cell>
          <cell r="X2862" t="str">
            <v>2007Soleil LevantScratch 2 000</v>
          </cell>
        </row>
        <row r="2863">
          <cell r="I2863">
            <v>2007</v>
          </cell>
          <cell r="J2863" t="str">
            <v>Soleil LevantScratch 1 000</v>
          </cell>
          <cell r="L2863">
            <v>0</v>
          </cell>
          <cell r="M2863" t="str">
            <v>Soleil Levant</v>
          </cell>
          <cell r="N2863" t="str">
            <v>Soleil LevantScratch 1 000</v>
          </cell>
          <cell r="O2863" t="str">
            <v>Soleil Levant</v>
          </cell>
          <cell r="P2863" t="str">
            <v>Scratch 1 000</v>
          </cell>
          <cell r="Q2863" t="str">
            <v>92007</v>
          </cell>
          <cell r="R2863" t="str">
            <v>92007Scratch 1 000</v>
          </cell>
          <cell r="S2863" t="str">
            <v>2007Scratch 1 000</v>
          </cell>
          <cell r="T2863" t="str">
            <v>92007Soleil Levant</v>
          </cell>
          <cell r="U2863" t="str">
            <v>92007Soleil LevantScratch 1 000</v>
          </cell>
          <cell r="V2863" t="str">
            <v>39344Scratch 1 000</v>
          </cell>
          <cell r="W2863" t="str">
            <v>2007Soleil Levant</v>
          </cell>
          <cell r="X2863" t="str">
            <v>2007Soleil LevantScratch 1 000</v>
          </cell>
        </row>
        <row r="2864">
          <cell r="I2864">
            <v>2007</v>
          </cell>
          <cell r="J2864" t="str">
            <v>Compagnie Internationale de NegoceScratch 5 000</v>
          </cell>
          <cell r="L2864">
            <v>1</v>
          </cell>
          <cell r="M2864" t="str">
            <v>1Compagnie Internationale de Negoce</v>
          </cell>
          <cell r="N2864" t="str">
            <v>Compagnie Internationale de NegoceScratch 5 000</v>
          </cell>
          <cell r="O2864" t="str">
            <v>Compagnie Internationale de Negoce</v>
          </cell>
          <cell r="P2864" t="str">
            <v>Scratch 5 000</v>
          </cell>
          <cell r="Q2864" t="str">
            <v>92007</v>
          </cell>
          <cell r="R2864" t="str">
            <v>92007Scratch 5 000</v>
          </cell>
          <cell r="S2864" t="str">
            <v>2007Scratch 5 000</v>
          </cell>
          <cell r="T2864" t="str">
            <v>92007Compagnie Internationale de Negoce</v>
          </cell>
          <cell r="U2864" t="str">
            <v>92007Compagnie Internationale de NegoceScratch 5 000</v>
          </cell>
          <cell r="V2864" t="str">
            <v>39344Scratch 5 000</v>
          </cell>
          <cell r="W2864" t="str">
            <v>2007Compagnie Internationale de Negoce</v>
          </cell>
          <cell r="X2864" t="str">
            <v>2007Compagnie Internationale de NegoceScratch 5 000</v>
          </cell>
        </row>
        <row r="2865">
          <cell r="I2865">
            <v>2007</v>
          </cell>
          <cell r="J2865" t="str">
            <v>Compagnie Internationale de NegoceScratch 2 000</v>
          </cell>
          <cell r="L2865">
            <v>0</v>
          </cell>
          <cell r="M2865" t="str">
            <v>Compagnie Internationale de Negoce</v>
          </cell>
          <cell r="N2865" t="str">
            <v>Compagnie Internationale de NegoceScratch 2 000</v>
          </cell>
          <cell r="O2865" t="str">
            <v>Compagnie Internationale de Negoce</v>
          </cell>
          <cell r="P2865" t="str">
            <v>Scratch 2 000</v>
          </cell>
          <cell r="Q2865" t="str">
            <v>92007</v>
          </cell>
          <cell r="R2865" t="str">
            <v>92007Scratch 2 000</v>
          </cell>
          <cell r="S2865" t="str">
            <v>2007Scratch 2 000</v>
          </cell>
          <cell r="T2865" t="str">
            <v>92007Compagnie Internationale de Negoce</v>
          </cell>
          <cell r="U2865" t="str">
            <v>92007Compagnie Internationale de NegoceScratch 2 000</v>
          </cell>
          <cell r="V2865" t="str">
            <v>39344Scratch 2 000</v>
          </cell>
          <cell r="W2865" t="str">
            <v>2007Compagnie Internationale de Negoce</v>
          </cell>
          <cell r="X2865" t="str">
            <v>2007Compagnie Internationale de NegoceScratch 2 000</v>
          </cell>
        </row>
        <row r="2866">
          <cell r="I2866">
            <v>2007</v>
          </cell>
          <cell r="J2866" t="str">
            <v>Compagnie Internationale de NegoceScratch 1 000</v>
          </cell>
          <cell r="L2866">
            <v>0</v>
          </cell>
          <cell r="M2866" t="str">
            <v>Compagnie Internationale de Negoce</v>
          </cell>
          <cell r="N2866" t="str">
            <v>Compagnie Internationale de NegoceScratch 1 000</v>
          </cell>
          <cell r="O2866" t="str">
            <v>Compagnie Internationale de Negoce</v>
          </cell>
          <cell r="P2866" t="str">
            <v>Scratch 1 000</v>
          </cell>
          <cell r="Q2866" t="str">
            <v>92007</v>
          </cell>
          <cell r="R2866" t="str">
            <v>92007Scratch 1 000</v>
          </cell>
          <cell r="S2866" t="str">
            <v>2007Scratch 1 000</v>
          </cell>
          <cell r="T2866" t="str">
            <v>92007Compagnie Internationale de Negoce</v>
          </cell>
          <cell r="U2866" t="str">
            <v>92007Compagnie Internationale de NegoceScratch 1 000</v>
          </cell>
          <cell r="V2866" t="str">
            <v>39344Scratch 1 000</v>
          </cell>
          <cell r="W2866" t="str">
            <v>2007Compagnie Internationale de Negoce</v>
          </cell>
          <cell r="X2866" t="str">
            <v>2007Compagnie Internationale de NegoceScratch 1 000</v>
          </cell>
        </row>
        <row r="2867">
          <cell r="I2867">
            <v>2007</v>
          </cell>
          <cell r="J2867" t="str">
            <v>GEMATELScratch 5 000</v>
          </cell>
          <cell r="L2867">
            <v>1</v>
          </cell>
          <cell r="M2867" t="str">
            <v>1GEMATEL</v>
          </cell>
          <cell r="N2867" t="str">
            <v>GEMATELScratch 5 000</v>
          </cell>
          <cell r="O2867" t="str">
            <v>GEMATEL</v>
          </cell>
          <cell r="P2867" t="str">
            <v>Scratch 5 000</v>
          </cell>
          <cell r="Q2867" t="str">
            <v>92007</v>
          </cell>
          <cell r="R2867" t="str">
            <v>92007Scratch 5 000</v>
          </cell>
          <cell r="S2867" t="str">
            <v>2007Scratch 5 000</v>
          </cell>
          <cell r="T2867" t="str">
            <v>92007GEMATEL</v>
          </cell>
          <cell r="U2867" t="str">
            <v>92007GEMATELScratch 5 000</v>
          </cell>
          <cell r="V2867" t="str">
            <v>39344Scratch 5 000</v>
          </cell>
          <cell r="W2867" t="str">
            <v>2007GEMATEL</v>
          </cell>
          <cell r="X2867" t="str">
            <v>2007GEMATELScratch 5 000</v>
          </cell>
        </row>
        <row r="2868">
          <cell r="I2868">
            <v>2007</v>
          </cell>
          <cell r="J2868" t="str">
            <v>GEMATELScratch 2 000</v>
          </cell>
          <cell r="L2868">
            <v>0</v>
          </cell>
          <cell r="M2868" t="str">
            <v>GEMATEL</v>
          </cell>
          <cell r="N2868" t="str">
            <v>GEMATELScratch 2 000</v>
          </cell>
          <cell r="O2868" t="str">
            <v>GEMATEL</v>
          </cell>
          <cell r="P2868" t="str">
            <v>Scratch 2 000</v>
          </cell>
          <cell r="Q2868" t="str">
            <v>92007</v>
          </cell>
          <cell r="R2868" t="str">
            <v>92007Scratch 2 000</v>
          </cell>
          <cell r="S2868" t="str">
            <v>2007Scratch 2 000</v>
          </cell>
          <cell r="T2868" t="str">
            <v>92007GEMATEL</v>
          </cell>
          <cell r="U2868" t="str">
            <v>92007GEMATELScratch 2 000</v>
          </cell>
          <cell r="V2868" t="str">
            <v>39344Scratch 2 000</v>
          </cell>
          <cell r="W2868" t="str">
            <v>2007GEMATEL</v>
          </cell>
          <cell r="X2868" t="str">
            <v>2007GEMATELScratch 2 000</v>
          </cell>
        </row>
        <row r="2869">
          <cell r="I2869">
            <v>2007</v>
          </cell>
          <cell r="J2869" t="str">
            <v>GEMATELScratch 1 000</v>
          </cell>
          <cell r="L2869">
            <v>0</v>
          </cell>
          <cell r="M2869" t="str">
            <v>GEMATEL</v>
          </cell>
          <cell r="N2869" t="str">
            <v>GEMATELScratch 1 000</v>
          </cell>
          <cell r="O2869" t="str">
            <v>GEMATEL</v>
          </cell>
          <cell r="P2869" t="str">
            <v>Scratch 1 000</v>
          </cell>
          <cell r="Q2869" t="str">
            <v>92007</v>
          </cell>
          <cell r="R2869" t="str">
            <v>92007Scratch 1 000</v>
          </cell>
          <cell r="S2869" t="str">
            <v>2007Scratch 1 000</v>
          </cell>
          <cell r="T2869" t="str">
            <v>92007GEMATEL</v>
          </cell>
          <cell r="U2869" t="str">
            <v>92007GEMATELScratch 1 000</v>
          </cell>
          <cell r="V2869" t="str">
            <v>39344Scratch 1 000</v>
          </cell>
          <cell r="W2869" t="str">
            <v>2007GEMATEL</v>
          </cell>
          <cell r="X2869" t="str">
            <v>2007GEMATELScratch 1 000</v>
          </cell>
        </row>
        <row r="2870">
          <cell r="I2870">
            <v>2007</v>
          </cell>
          <cell r="J2870" t="str">
            <v>GEMATELScratch 20 000</v>
          </cell>
          <cell r="L2870">
            <v>1</v>
          </cell>
          <cell r="M2870" t="str">
            <v>1GEMATEL</v>
          </cell>
          <cell r="N2870" t="str">
            <v>GEMATELScratch 20 000</v>
          </cell>
          <cell r="O2870" t="str">
            <v>GEMATEL</v>
          </cell>
          <cell r="P2870" t="str">
            <v>Scratch 20 000</v>
          </cell>
          <cell r="Q2870" t="str">
            <v>92007</v>
          </cell>
          <cell r="R2870" t="str">
            <v>92007Scratch 20 000</v>
          </cell>
          <cell r="S2870" t="str">
            <v>2007Scratch 20 000</v>
          </cell>
          <cell r="T2870" t="str">
            <v>92007GEMATEL</v>
          </cell>
          <cell r="U2870" t="str">
            <v>92007GEMATELScratch 20 000</v>
          </cell>
          <cell r="V2870" t="str">
            <v>39345Scratch 20 000</v>
          </cell>
          <cell r="W2870" t="str">
            <v>2007GEMATEL</v>
          </cell>
          <cell r="X2870" t="str">
            <v>2007GEMATELScratch 20 000</v>
          </cell>
        </row>
        <row r="2871">
          <cell r="I2871">
            <v>2007</v>
          </cell>
          <cell r="J2871" t="str">
            <v>GEMATELScratch 10 000</v>
          </cell>
          <cell r="L2871">
            <v>0</v>
          </cell>
          <cell r="M2871" t="str">
            <v>GEMATEL</v>
          </cell>
          <cell r="N2871" t="str">
            <v>GEMATELScratch 10 000</v>
          </cell>
          <cell r="O2871" t="str">
            <v>GEMATEL</v>
          </cell>
          <cell r="P2871" t="str">
            <v>Scratch 10 000</v>
          </cell>
          <cell r="Q2871" t="str">
            <v>92007</v>
          </cell>
          <cell r="R2871" t="str">
            <v>92007Scratch 10 000</v>
          </cell>
          <cell r="S2871" t="str">
            <v>2007Scratch 10 000</v>
          </cell>
          <cell r="T2871" t="str">
            <v>92007GEMATEL</v>
          </cell>
          <cell r="U2871" t="str">
            <v>92007GEMATELScratch 10 000</v>
          </cell>
          <cell r="V2871" t="str">
            <v>39345Scratch 10 000</v>
          </cell>
          <cell r="W2871" t="str">
            <v>2007GEMATEL</v>
          </cell>
          <cell r="X2871" t="str">
            <v>2007GEMATELScratch 10 000</v>
          </cell>
        </row>
        <row r="2872">
          <cell r="I2872">
            <v>2007</v>
          </cell>
          <cell r="J2872" t="str">
            <v>GEMATELScratch 5 000</v>
          </cell>
          <cell r="L2872">
            <v>0</v>
          </cell>
          <cell r="M2872" t="str">
            <v>GEMATEL</v>
          </cell>
          <cell r="N2872" t="str">
            <v>GEMATELScratch 5 000</v>
          </cell>
          <cell r="O2872" t="str">
            <v>GEMATEL</v>
          </cell>
          <cell r="P2872" t="str">
            <v>Scratch 5 000</v>
          </cell>
          <cell r="Q2872" t="str">
            <v>92007</v>
          </cell>
          <cell r="R2872" t="str">
            <v>92007Scratch 5 000</v>
          </cell>
          <cell r="S2872" t="str">
            <v>2007Scratch 5 000</v>
          </cell>
          <cell r="T2872" t="str">
            <v>92007GEMATEL</v>
          </cell>
          <cell r="U2872" t="str">
            <v>92007GEMATELScratch 5 000</v>
          </cell>
          <cell r="V2872" t="str">
            <v>39345Scratch 5 000</v>
          </cell>
          <cell r="W2872" t="str">
            <v>2007GEMATEL</v>
          </cell>
          <cell r="X2872" t="str">
            <v>2007GEMATELScratch 5 000</v>
          </cell>
        </row>
        <row r="2873">
          <cell r="I2873">
            <v>2007</v>
          </cell>
          <cell r="J2873" t="str">
            <v>GEMATELScratch 2 000</v>
          </cell>
          <cell r="L2873">
            <v>0</v>
          </cell>
          <cell r="M2873" t="str">
            <v>GEMATEL</v>
          </cell>
          <cell r="N2873" t="str">
            <v>GEMATELScratch 2 000</v>
          </cell>
          <cell r="O2873" t="str">
            <v>GEMATEL</v>
          </cell>
          <cell r="P2873" t="str">
            <v>Scratch 2 000</v>
          </cell>
          <cell r="Q2873" t="str">
            <v>92007</v>
          </cell>
          <cell r="R2873" t="str">
            <v>92007Scratch 2 000</v>
          </cell>
          <cell r="S2873" t="str">
            <v>2007Scratch 2 000</v>
          </cell>
          <cell r="T2873" t="str">
            <v>92007GEMATEL</v>
          </cell>
          <cell r="U2873" t="str">
            <v>92007GEMATELScratch 2 000</v>
          </cell>
          <cell r="V2873" t="str">
            <v>39345Scratch 2 000</v>
          </cell>
          <cell r="W2873" t="str">
            <v>2007GEMATEL</v>
          </cell>
          <cell r="X2873" t="str">
            <v>2007GEMATELScratch 2 000</v>
          </cell>
        </row>
        <row r="2874">
          <cell r="I2874">
            <v>2007</v>
          </cell>
          <cell r="J2874" t="str">
            <v>GEMATELScratch 1 000</v>
          </cell>
          <cell r="L2874">
            <v>0</v>
          </cell>
          <cell r="M2874" t="str">
            <v>GEMATEL</v>
          </cell>
          <cell r="N2874" t="str">
            <v>GEMATELScratch 1 000</v>
          </cell>
          <cell r="O2874" t="str">
            <v>GEMATEL</v>
          </cell>
          <cell r="P2874" t="str">
            <v>Scratch 1 000</v>
          </cell>
          <cell r="Q2874" t="str">
            <v>92007</v>
          </cell>
          <cell r="R2874" t="str">
            <v>92007Scratch 1 000</v>
          </cell>
          <cell r="S2874" t="str">
            <v>2007Scratch 1 000</v>
          </cell>
          <cell r="T2874" t="str">
            <v>92007GEMATEL</v>
          </cell>
          <cell r="U2874" t="str">
            <v>92007GEMATELScratch 1 000</v>
          </cell>
          <cell r="V2874" t="str">
            <v>39345Scratch 1 000</v>
          </cell>
          <cell r="W2874" t="str">
            <v>2007GEMATEL</v>
          </cell>
          <cell r="X2874" t="str">
            <v>2007GEMATELScratch 1 000</v>
          </cell>
        </row>
        <row r="2875">
          <cell r="I2875">
            <v>2007</v>
          </cell>
          <cell r="J2875" t="str">
            <v>Ets Mamadou GAMBYScratch 20 000</v>
          </cell>
          <cell r="L2875">
            <v>1</v>
          </cell>
          <cell r="M2875" t="str">
            <v>1Ets Mamadou GAMBY</v>
          </cell>
          <cell r="N2875" t="str">
            <v>Ets Mamadou GAMBYScratch 20 000</v>
          </cell>
          <cell r="O2875" t="str">
            <v>Ets Mamadou GAMBY</v>
          </cell>
          <cell r="P2875" t="str">
            <v>Scratch 20 000</v>
          </cell>
          <cell r="Q2875" t="str">
            <v>92007</v>
          </cell>
          <cell r="R2875" t="str">
            <v>92007Scratch 20 000</v>
          </cell>
          <cell r="S2875" t="str">
            <v>2007Scratch 20 000</v>
          </cell>
          <cell r="T2875" t="str">
            <v>92007Ets Mamadou GAMBY</v>
          </cell>
          <cell r="U2875" t="str">
            <v>92007Ets Mamadou GAMBYScratch 20 000</v>
          </cell>
          <cell r="V2875" t="str">
            <v>39345Scratch 20 000</v>
          </cell>
          <cell r="W2875" t="str">
            <v>2007Ets Mamadou GAMBY</v>
          </cell>
          <cell r="X2875" t="str">
            <v>2007Ets Mamadou GAMBYScratch 20 000</v>
          </cell>
        </row>
        <row r="2876">
          <cell r="I2876">
            <v>2007</v>
          </cell>
          <cell r="J2876" t="str">
            <v>Ets Mamadou GAMBYScratch 5 000</v>
          </cell>
          <cell r="L2876">
            <v>0</v>
          </cell>
          <cell r="M2876" t="str">
            <v>Ets Mamadou GAMBY</v>
          </cell>
          <cell r="N2876" t="str">
            <v>Ets Mamadou GAMBYScratch 5 000</v>
          </cell>
          <cell r="O2876" t="str">
            <v>Ets Mamadou GAMBY</v>
          </cell>
          <cell r="P2876" t="str">
            <v>Scratch 5 000</v>
          </cell>
          <cell r="Q2876" t="str">
            <v>92007</v>
          </cell>
          <cell r="R2876" t="str">
            <v>92007Scratch 5 000</v>
          </cell>
          <cell r="S2876" t="str">
            <v>2007Scratch 5 000</v>
          </cell>
          <cell r="T2876" t="str">
            <v>92007Ets Mamadou GAMBY</v>
          </cell>
          <cell r="U2876" t="str">
            <v>92007Ets Mamadou GAMBYScratch 5 000</v>
          </cell>
          <cell r="V2876" t="str">
            <v>39345Scratch 5 000</v>
          </cell>
          <cell r="W2876" t="str">
            <v>2007Ets Mamadou GAMBY</v>
          </cell>
          <cell r="X2876" t="str">
            <v>2007Ets Mamadou GAMBYScratch 5 000</v>
          </cell>
        </row>
        <row r="2877">
          <cell r="I2877">
            <v>2007</v>
          </cell>
          <cell r="J2877" t="str">
            <v>Ets Mamadou GAMBYScratch 2 000</v>
          </cell>
          <cell r="L2877">
            <v>0</v>
          </cell>
          <cell r="M2877" t="str">
            <v>Ets Mamadou GAMBY</v>
          </cell>
          <cell r="N2877" t="str">
            <v>Ets Mamadou GAMBYScratch 2 000</v>
          </cell>
          <cell r="O2877" t="str">
            <v>Ets Mamadou GAMBY</v>
          </cell>
          <cell r="P2877" t="str">
            <v>Scratch 2 000</v>
          </cell>
          <cell r="Q2877" t="str">
            <v>92007</v>
          </cell>
          <cell r="R2877" t="str">
            <v>92007Scratch 2 000</v>
          </cell>
          <cell r="S2877" t="str">
            <v>2007Scratch 2 000</v>
          </cell>
          <cell r="T2877" t="str">
            <v>92007Ets Mamadou GAMBY</v>
          </cell>
          <cell r="U2877" t="str">
            <v>92007Ets Mamadou GAMBYScratch 2 000</v>
          </cell>
          <cell r="V2877" t="str">
            <v>39345Scratch 2 000</v>
          </cell>
          <cell r="W2877" t="str">
            <v>2007Ets Mamadou GAMBY</v>
          </cell>
          <cell r="X2877" t="str">
            <v>2007Ets Mamadou GAMBYScratch 2 000</v>
          </cell>
        </row>
        <row r="2878">
          <cell r="I2878">
            <v>2007</v>
          </cell>
          <cell r="J2878" t="str">
            <v>Ets Mamadou GAMBYScratch 1 000</v>
          </cell>
          <cell r="L2878">
            <v>0</v>
          </cell>
          <cell r="M2878" t="str">
            <v>Ets Mamadou GAMBY</v>
          </cell>
          <cell r="N2878" t="str">
            <v>Ets Mamadou GAMBYScratch 1 000</v>
          </cell>
          <cell r="O2878" t="str">
            <v>Ets Mamadou GAMBY</v>
          </cell>
          <cell r="P2878" t="str">
            <v>Scratch 1 000</v>
          </cell>
          <cell r="Q2878" t="str">
            <v>92007</v>
          </cell>
          <cell r="R2878" t="str">
            <v>92007Scratch 1 000</v>
          </cell>
          <cell r="S2878" t="str">
            <v>2007Scratch 1 000</v>
          </cell>
          <cell r="T2878" t="str">
            <v>92007Ets Mamadou GAMBY</v>
          </cell>
          <cell r="U2878" t="str">
            <v>92007Ets Mamadou GAMBYScratch 1 000</v>
          </cell>
          <cell r="V2878" t="str">
            <v>39345Scratch 1 000</v>
          </cell>
          <cell r="W2878" t="str">
            <v>2007Ets Mamadou GAMBY</v>
          </cell>
          <cell r="X2878" t="str">
            <v>2007Ets Mamadou GAMBYScratch 1 000</v>
          </cell>
        </row>
        <row r="2879">
          <cell r="I2879">
            <v>2007</v>
          </cell>
          <cell r="J2879" t="str">
            <v>Burtel MacsymScratch 5 000</v>
          </cell>
          <cell r="L2879">
            <v>1</v>
          </cell>
          <cell r="M2879" t="str">
            <v>1Burtel Macsym</v>
          </cell>
          <cell r="N2879" t="str">
            <v>Burtel MacsymScratch 5 000</v>
          </cell>
          <cell r="O2879" t="str">
            <v>Burtel Macsym</v>
          </cell>
          <cell r="P2879" t="str">
            <v>Scratch 5 000</v>
          </cell>
          <cell r="Q2879" t="str">
            <v>92007</v>
          </cell>
          <cell r="R2879" t="str">
            <v>92007Scratch 5 000</v>
          </cell>
          <cell r="S2879" t="str">
            <v>2007Scratch 5 000</v>
          </cell>
          <cell r="T2879" t="str">
            <v>92007Burtel Macsym</v>
          </cell>
          <cell r="U2879" t="str">
            <v>92007Burtel MacsymScratch 5 000</v>
          </cell>
          <cell r="V2879" t="str">
            <v>39345Scratch 5 000</v>
          </cell>
          <cell r="W2879" t="str">
            <v>2007Burtel Macsym</v>
          </cell>
          <cell r="X2879" t="str">
            <v>2007Burtel MacsymScratch 5 000</v>
          </cell>
        </row>
        <row r="2880">
          <cell r="I2880">
            <v>2007</v>
          </cell>
          <cell r="J2880" t="str">
            <v>Burtel MacsymScratch 2 000</v>
          </cell>
          <cell r="L2880">
            <v>0</v>
          </cell>
          <cell r="M2880" t="str">
            <v>Burtel Macsym</v>
          </cell>
          <cell r="N2880" t="str">
            <v>Burtel MacsymScratch 2 000</v>
          </cell>
          <cell r="O2880" t="str">
            <v>Burtel Macsym</v>
          </cell>
          <cell r="P2880" t="str">
            <v>Scratch 2 000</v>
          </cell>
          <cell r="Q2880" t="str">
            <v>92007</v>
          </cell>
          <cell r="R2880" t="str">
            <v>92007Scratch 2 000</v>
          </cell>
          <cell r="S2880" t="str">
            <v>2007Scratch 2 000</v>
          </cell>
          <cell r="T2880" t="str">
            <v>92007Burtel Macsym</v>
          </cell>
          <cell r="U2880" t="str">
            <v>92007Burtel MacsymScratch 2 000</v>
          </cell>
          <cell r="V2880" t="str">
            <v>39345Scratch 2 000</v>
          </cell>
          <cell r="W2880" t="str">
            <v>2007Burtel Macsym</v>
          </cell>
          <cell r="X2880" t="str">
            <v>2007Burtel MacsymScratch 2 000</v>
          </cell>
        </row>
        <row r="2881">
          <cell r="I2881">
            <v>2007</v>
          </cell>
          <cell r="J2881" t="str">
            <v>Burtel MacsymScratch 1 000</v>
          </cell>
          <cell r="L2881">
            <v>0</v>
          </cell>
          <cell r="M2881" t="str">
            <v>Burtel Macsym</v>
          </cell>
          <cell r="N2881" t="str">
            <v>Burtel MacsymScratch 1 000</v>
          </cell>
          <cell r="O2881" t="str">
            <v>Burtel Macsym</v>
          </cell>
          <cell r="P2881" t="str">
            <v>Scratch 1 000</v>
          </cell>
          <cell r="Q2881" t="str">
            <v>92007</v>
          </cell>
          <cell r="R2881" t="str">
            <v>92007Scratch 1 000</v>
          </cell>
          <cell r="S2881" t="str">
            <v>2007Scratch 1 000</v>
          </cell>
          <cell r="T2881" t="str">
            <v>92007Burtel Macsym</v>
          </cell>
          <cell r="U2881" t="str">
            <v>92007Burtel MacsymScratch 1 000</v>
          </cell>
          <cell r="V2881" t="str">
            <v>39345Scratch 1 000</v>
          </cell>
          <cell r="W2881" t="str">
            <v>2007Burtel Macsym</v>
          </cell>
          <cell r="X2881" t="str">
            <v>2007Burtel MacsymScratch 1 000</v>
          </cell>
        </row>
        <row r="2882">
          <cell r="I2882">
            <v>2007</v>
          </cell>
          <cell r="J2882" t="str">
            <v>ANKA SERVICESScratch 20 000</v>
          </cell>
          <cell r="L2882">
            <v>1</v>
          </cell>
          <cell r="M2882" t="str">
            <v>1ANKA SERVICES</v>
          </cell>
          <cell r="N2882" t="str">
            <v>ANKA SERVICESScratch 20 000</v>
          </cell>
          <cell r="O2882" t="str">
            <v>ANKA SERVICES</v>
          </cell>
          <cell r="P2882" t="str">
            <v>Scratch 20 000</v>
          </cell>
          <cell r="Q2882" t="str">
            <v>92007</v>
          </cell>
          <cell r="R2882" t="str">
            <v>92007Scratch 20 000</v>
          </cell>
          <cell r="S2882" t="str">
            <v>2007Scratch 20 000</v>
          </cell>
          <cell r="T2882" t="str">
            <v>92007ANKA SERVICES</v>
          </cell>
          <cell r="U2882" t="str">
            <v>92007ANKA SERVICESScratch 20 000</v>
          </cell>
          <cell r="V2882" t="str">
            <v>39345Scratch 20 000</v>
          </cell>
          <cell r="W2882" t="str">
            <v>2007ANKA SERVICES</v>
          </cell>
          <cell r="X2882" t="str">
            <v>2007ANKA SERVICESScratch 20 000</v>
          </cell>
        </row>
        <row r="2883">
          <cell r="I2883">
            <v>2007</v>
          </cell>
          <cell r="J2883" t="str">
            <v>ANKA SERVICESScratch 10 000</v>
          </cell>
          <cell r="L2883">
            <v>0</v>
          </cell>
          <cell r="M2883" t="str">
            <v>ANKA SERVICES</v>
          </cell>
          <cell r="N2883" t="str">
            <v>ANKA SERVICESScratch 10 000</v>
          </cell>
          <cell r="O2883" t="str">
            <v>ANKA SERVICES</v>
          </cell>
          <cell r="P2883" t="str">
            <v>Scratch 10 000</v>
          </cell>
          <cell r="Q2883" t="str">
            <v>92007</v>
          </cell>
          <cell r="R2883" t="str">
            <v>92007Scratch 10 000</v>
          </cell>
          <cell r="S2883" t="str">
            <v>2007Scratch 10 000</v>
          </cell>
          <cell r="T2883" t="str">
            <v>92007ANKA SERVICES</v>
          </cell>
          <cell r="U2883" t="str">
            <v>92007ANKA SERVICESScratch 10 000</v>
          </cell>
          <cell r="V2883" t="str">
            <v>39345Scratch 10 000</v>
          </cell>
          <cell r="W2883" t="str">
            <v>2007ANKA SERVICES</v>
          </cell>
          <cell r="X2883" t="str">
            <v>2007ANKA SERVICESScratch 10 000</v>
          </cell>
        </row>
        <row r="2884">
          <cell r="I2884">
            <v>2007</v>
          </cell>
          <cell r="J2884" t="str">
            <v>ANKA SERVICESScratch 5 000</v>
          </cell>
          <cell r="L2884">
            <v>0</v>
          </cell>
          <cell r="M2884" t="str">
            <v>ANKA SERVICES</v>
          </cell>
          <cell r="N2884" t="str">
            <v>ANKA SERVICESScratch 5 000</v>
          </cell>
          <cell r="O2884" t="str">
            <v>ANKA SERVICES</v>
          </cell>
          <cell r="P2884" t="str">
            <v>Scratch 5 000</v>
          </cell>
          <cell r="Q2884" t="str">
            <v>92007</v>
          </cell>
          <cell r="R2884" t="str">
            <v>92007Scratch 5 000</v>
          </cell>
          <cell r="S2884" t="str">
            <v>2007Scratch 5 000</v>
          </cell>
          <cell r="T2884" t="str">
            <v>92007ANKA SERVICES</v>
          </cell>
          <cell r="U2884" t="str">
            <v>92007ANKA SERVICESScratch 5 000</v>
          </cell>
          <cell r="V2884" t="str">
            <v>39345Scratch 5 000</v>
          </cell>
          <cell r="W2884" t="str">
            <v>2007ANKA SERVICES</v>
          </cell>
          <cell r="X2884" t="str">
            <v>2007ANKA SERVICESScratch 5 000</v>
          </cell>
        </row>
        <row r="2885">
          <cell r="I2885">
            <v>2007</v>
          </cell>
          <cell r="J2885" t="str">
            <v>ANKA SERVICESScratch 2 000</v>
          </cell>
          <cell r="L2885">
            <v>0</v>
          </cell>
          <cell r="M2885" t="str">
            <v>ANKA SERVICES</v>
          </cell>
          <cell r="N2885" t="str">
            <v>ANKA SERVICESScratch 2 000</v>
          </cell>
          <cell r="O2885" t="str">
            <v>ANKA SERVICES</v>
          </cell>
          <cell r="P2885" t="str">
            <v>Scratch 2 000</v>
          </cell>
          <cell r="Q2885" t="str">
            <v>92007</v>
          </cell>
          <cell r="R2885" t="str">
            <v>92007Scratch 2 000</v>
          </cell>
          <cell r="S2885" t="str">
            <v>2007Scratch 2 000</v>
          </cell>
          <cell r="T2885" t="str">
            <v>92007ANKA SERVICES</v>
          </cell>
          <cell r="U2885" t="str">
            <v>92007ANKA SERVICESScratch 2 000</v>
          </cell>
          <cell r="V2885" t="str">
            <v>39345Scratch 2 000</v>
          </cell>
          <cell r="W2885" t="str">
            <v>2007ANKA SERVICES</v>
          </cell>
          <cell r="X2885" t="str">
            <v>2007ANKA SERVICESScratch 2 000</v>
          </cell>
        </row>
        <row r="2886">
          <cell r="I2886">
            <v>2007</v>
          </cell>
          <cell r="J2886" t="str">
            <v>ANKA SERVICESScratch 1 000</v>
          </cell>
          <cell r="L2886">
            <v>0</v>
          </cell>
          <cell r="M2886" t="str">
            <v>ANKA SERVICES</v>
          </cell>
          <cell r="N2886" t="str">
            <v>ANKA SERVICESScratch 1 000</v>
          </cell>
          <cell r="O2886" t="str">
            <v>ANKA SERVICES</v>
          </cell>
          <cell r="P2886" t="str">
            <v>Scratch 1 000</v>
          </cell>
          <cell r="Q2886" t="str">
            <v>92007</v>
          </cell>
          <cell r="R2886" t="str">
            <v>92007Scratch 1 000</v>
          </cell>
          <cell r="S2886" t="str">
            <v>2007Scratch 1 000</v>
          </cell>
          <cell r="T2886" t="str">
            <v>92007ANKA SERVICES</v>
          </cell>
          <cell r="U2886" t="str">
            <v>92007ANKA SERVICESScratch 1 000</v>
          </cell>
          <cell r="V2886" t="str">
            <v>39345Scratch 1 000</v>
          </cell>
          <cell r="W2886" t="str">
            <v>2007ANKA SERVICES</v>
          </cell>
          <cell r="X2886" t="str">
            <v>2007ANKA SERVICESScratch 1 000</v>
          </cell>
        </row>
        <row r="2887">
          <cell r="I2887">
            <v>2007</v>
          </cell>
          <cell r="J2887" t="str">
            <v>Bonneterie Nouvelle TelecomScratch 10 000</v>
          </cell>
          <cell r="L2887">
            <v>1</v>
          </cell>
          <cell r="M2887" t="str">
            <v>1Bonneterie Nouvelle Telecom</v>
          </cell>
          <cell r="N2887" t="str">
            <v>Bonneterie Nouvelle TelecomScratch 10 000</v>
          </cell>
          <cell r="O2887" t="str">
            <v>Bonneterie Nouvelle Telecom</v>
          </cell>
          <cell r="P2887" t="str">
            <v>Scratch 10 000</v>
          </cell>
          <cell r="Q2887" t="str">
            <v>92007</v>
          </cell>
          <cell r="R2887" t="str">
            <v>92007Scratch 10 000</v>
          </cell>
          <cell r="S2887" t="str">
            <v>2007Scratch 10 000</v>
          </cell>
          <cell r="T2887" t="str">
            <v>92007Bonneterie Nouvelle Telecom</v>
          </cell>
          <cell r="U2887" t="str">
            <v>92007Bonneterie Nouvelle TelecomScratch 10 000</v>
          </cell>
          <cell r="V2887" t="str">
            <v>39346Scratch 10 000</v>
          </cell>
          <cell r="W2887" t="str">
            <v>2007Bonneterie Nouvelle Telecom</v>
          </cell>
          <cell r="X2887" t="str">
            <v>2007Bonneterie Nouvelle TelecomScratch 10 000</v>
          </cell>
        </row>
        <row r="2888">
          <cell r="I2888">
            <v>2007</v>
          </cell>
          <cell r="J2888" t="str">
            <v>Bonneterie Nouvelle TelecomScratch 5 000</v>
          </cell>
          <cell r="L2888">
            <v>0</v>
          </cell>
          <cell r="M2888" t="str">
            <v>Bonneterie Nouvelle Telecom</v>
          </cell>
          <cell r="N2888" t="str">
            <v>Bonneterie Nouvelle TelecomScratch 5 000</v>
          </cell>
          <cell r="O2888" t="str">
            <v>Bonneterie Nouvelle Telecom</v>
          </cell>
          <cell r="P2888" t="str">
            <v>Scratch 5 000</v>
          </cell>
          <cell r="Q2888" t="str">
            <v>92007</v>
          </cell>
          <cell r="R2888" t="str">
            <v>92007Scratch 5 000</v>
          </cell>
          <cell r="S2888" t="str">
            <v>2007Scratch 5 000</v>
          </cell>
          <cell r="T2888" t="str">
            <v>92007Bonneterie Nouvelle Telecom</v>
          </cell>
          <cell r="U2888" t="str">
            <v>92007Bonneterie Nouvelle TelecomScratch 5 000</v>
          </cell>
          <cell r="V2888" t="str">
            <v>39346Scratch 5 000</v>
          </cell>
          <cell r="W2888" t="str">
            <v>2007Bonneterie Nouvelle Telecom</v>
          </cell>
          <cell r="X2888" t="str">
            <v>2007Bonneterie Nouvelle TelecomScratch 5 000</v>
          </cell>
        </row>
        <row r="2889">
          <cell r="I2889">
            <v>2007</v>
          </cell>
          <cell r="J2889" t="str">
            <v>Bonneterie Nouvelle TelecomScratch 2 000</v>
          </cell>
          <cell r="L2889">
            <v>0</v>
          </cell>
          <cell r="M2889" t="str">
            <v>Bonneterie Nouvelle Telecom</v>
          </cell>
          <cell r="N2889" t="str">
            <v>Bonneterie Nouvelle TelecomScratch 2 000</v>
          </cell>
          <cell r="O2889" t="str">
            <v>Bonneterie Nouvelle Telecom</v>
          </cell>
          <cell r="P2889" t="str">
            <v>Scratch 2 000</v>
          </cell>
          <cell r="Q2889" t="str">
            <v>92007</v>
          </cell>
          <cell r="R2889" t="str">
            <v>92007Scratch 2 000</v>
          </cell>
          <cell r="S2889" t="str">
            <v>2007Scratch 2 000</v>
          </cell>
          <cell r="T2889" t="str">
            <v>92007Bonneterie Nouvelle Telecom</v>
          </cell>
          <cell r="U2889" t="str">
            <v>92007Bonneterie Nouvelle TelecomScratch 2 000</v>
          </cell>
          <cell r="V2889" t="str">
            <v>39346Scratch 2 000</v>
          </cell>
          <cell r="W2889" t="str">
            <v>2007Bonneterie Nouvelle Telecom</v>
          </cell>
          <cell r="X2889" t="str">
            <v>2007Bonneterie Nouvelle TelecomScratch 2 000</v>
          </cell>
        </row>
        <row r="2890">
          <cell r="I2890">
            <v>2007</v>
          </cell>
          <cell r="J2890" t="str">
            <v>Bonneterie Nouvelle TelecomScratch 1 000</v>
          </cell>
          <cell r="L2890">
            <v>0</v>
          </cell>
          <cell r="M2890" t="str">
            <v>Bonneterie Nouvelle Telecom</v>
          </cell>
          <cell r="N2890" t="str">
            <v>Bonneterie Nouvelle TelecomScratch 1 000</v>
          </cell>
          <cell r="O2890" t="str">
            <v>Bonneterie Nouvelle Telecom</v>
          </cell>
          <cell r="P2890" t="str">
            <v>Scratch 1 000</v>
          </cell>
          <cell r="Q2890" t="str">
            <v>92007</v>
          </cell>
          <cell r="R2890" t="str">
            <v>92007Scratch 1 000</v>
          </cell>
          <cell r="S2890" t="str">
            <v>2007Scratch 1 000</v>
          </cell>
          <cell r="T2890" t="str">
            <v>92007Bonneterie Nouvelle Telecom</v>
          </cell>
          <cell r="U2890" t="str">
            <v>92007Bonneterie Nouvelle TelecomScratch 1 000</v>
          </cell>
          <cell r="V2890" t="str">
            <v>39346Scratch 1 000</v>
          </cell>
          <cell r="W2890" t="str">
            <v>2007Bonneterie Nouvelle Telecom</v>
          </cell>
          <cell r="X2890" t="str">
            <v>2007Bonneterie Nouvelle TelecomScratch 1 000</v>
          </cell>
        </row>
        <row r="2891">
          <cell r="I2891">
            <v>2007</v>
          </cell>
          <cell r="J2891" t="str">
            <v>Ets Boubacar TANDIAScratch 20 000</v>
          </cell>
          <cell r="L2891">
            <v>1</v>
          </cell>
          <cell r="M2891" t="str">
            <v>1Ets Boubacar TANDIA</v>
          </cell>
          <cell r="N2891" t="str">
            <v>Ets Boubacar TANDIAScratch 20 000</v>
          </cell>
          <cell r="O2891" t="str">
            <v>Ets Boubacar TANDIA</v>
          </cell>
          <cell r="P2891" t="str">
            <v>Scratch 20 000</v>
          </cell>
          <cell r="Q2891" t="str">
            <v>92007</v>
          </cell>
          <cell r="R2891" t="str">
            <v>92007Scratch 20 000</v>
          </cell>
          <cell r="S2891" t="str">
            <v>2007Scratch 20 000</v>
          </cell>
          <cell r="T2891" t="str">
            <v>92007Ets Boubacar TANDIA</v>
          </cell>
          <cell r="U2891" t="str">
            <v>92007Ets Boubacar TANDIAScratch 20 000</v>
          </cell>
          <cell r="V2891" t="str">
            <v>39346Scratch 20 000</v>
          </cell>
          <cell r="W2891" t="str">
            <v>2007Ets Boubacar TANDIA</v>
          </cell>
          <cell r="X2891" t="str">
            <v>2007Ets Boubacar TANDIAScratch 20 000</v>
          </cell>
        </row>
        <row r="2892">
          <cell r="I2892">
            <v>2007</v>
          </cell>
          <cell r="J2892" t="str">
            <v>Ets Boubacar TANDIAScratch 5 000</v>
          </cell>
          <cell r="L2892">
            <v>0</v>
          </cell>
          <cell r="M2892" t="str">
            <v>Ets Boubacar TANDIA</v>
          </cell>
          <cell r="N2892" t="str">
            <v>Ets Boubacar TANDIAScratch 5 000</v>
          </cell>
          <cell r="O2892" t="str">
            <v>Ets Boubacar TANDIA</v>
          </cell>
          <cell r="P2892" t="str">
            <v>Scratch 5 000</v>
          </cell>
          <cell r="Q2892" t="str">
            <v>92007</v>
          </cell>
          <cell r="R2892" t="str">
            <v>92007Scratch 5 000</v>
          </cell>
          <cell r="S2892" t="str">
            <v>2007Scratch 5 000</v>
          </cell>
          <cell r="T2892" t="str">
            <v>92007Ets Boubacar TANDIA</v>
          </cell>
          <cell r="U2892" t="str">
            <v>92007Ets Boubacar TANDIAScratch 5 000</v>
          </cell>
          <cell r="V2892" t="str">
            <v>39346Scratch 5 000</v>
          </cell>
          <cell r="W2892" t="str">
            <v>2007Ets Boubacar TANDIA</v>
          </cell>
          <cell r="X2892" t="str">
            <v>2007Ets Boubacar TANDIAScratch 5 000</v>
          </cell>
        </row>
        <row r="2893">
          <cell r="I2893">
            <v>2007</v>
          </cell>
          <cell r="J2893" t="str">
            <v>Ets Boubacar TANDIAScratch 2 000</v>
          </cell>
          <cell r="L2893">
            <v>0</v>
          </cell>
          <cell r="M2893" t="str">
            <v>Ets Boubacar TANDIA</v>
          </cell>
          <cell r="N2893" t="str">
            <v>Ets Boubacar TANDIAScratch 2 000</v>
          </cell>
          <cell r="O2893" t="str">
            <v>Ets Boubacar TANDIA</v>
          </cell>
          <cell r="P2893" t="str">
            <v>Scratch 2 000</v>
          </cell>
          <cell r="Q2893" t="str">
            <v>92007</v>
          </cell>
          <cell r="R2893" t="str">
            <v>92007Scratch 2 000</v>
          </cell>
          <cell r="S2893" t="str">
            <v>2007Scratch 2 000</v>
          </cell>
          <cell r="T2893" t="str">
            <v>92007Ets Boubacar TANDIA</v>
          </cell>
          <cell r="U2893" t="str">
            <v>92007Ets Boubacar TANDIAScratch 2 000</v>
          </cell>
          <cell r="V2893" t="str">
            <v>39346Scratch 2 000</v>
          </cell>
          <cell r="W2893" t="str">
            <v>2007Ets Boubacar TANDIA</v>
          </cell>
          <cell r="X2893" t="str">
            <v>2007Ets Boubacar TANDIAScratch 2 000</v>
          </cell>
        </row>
        <row r="2894">
          <cell r="I2894">
            <v>2007</v>
          </cell>
          <cell r="J2894" t="str">
            <v>Ets Boubacar TANDIAScratch 1 000</v>
          </cell>
          <cell r="L2894">
            <v>0</v>
          </cell>
          <cell r="M2894" t="str">
            <v>Ets Boubacar TANDIA</v>
          </cell>
          <cell r="N2894" t="str">
            <v>Ets Boubacar TANDIAScratch 1 000</v>
          </cell>
          <cell r="O2894" t="str">
            <v>Ets Boubacar TANDIA</v>
          </cell>
          <cell r="P2894" t="str">
            <v>Scratch 1 000</v>
          </cell>
          <cell r="Q2894" t="str">
            <v>92007</v>
          </cell>
          <cell r="R2894" t="str">
            <v>92007Scratch 1 000</v>
          </cell>
          <cell r="S2894" t="str">
            <v>2007Scratch 1 000</v>
          </cell>
          <cell r="T2894" t="str">
            <v>92007Ets Boubacar TANDIA</v>
          </cell>
          <cell r="U2894" t="str">
            <v>92007Ets Boubacar TANDIAScratch 1 000</v>
          </cell>
          <cell r="V2894" t="str">
            <v>39346Scratch 1 000</v>
          </cell>
          <cell r="W2894" t="str">
            <v>2007Ets Boubacar TANDIA</v>
          </cell>
          <cell r="X2894" t="str">
            <v>2007Ets Boubacar TANDIAScratch 1 000</v>
          </cell>
        </row>
        <row r="2895">
          <cell r="I2895">
            <v>2007</v>
          </cell>
          <cell r="J2895" t="str">
            <v>Soleil LevantScratch 5 000</v>
          </cell>
          <cell r="L2895">
            <v>1</v>
          </cell>
          <cell r="M2895" t="str">
            <v>1Soleil Levant</v>
          </cell>
          <cell r="N2895" t="str">
            <v>Soleil LevantScratch 5 000</v>
          </cell>
          <cell r="O2895" t="str">
            <v>Soleil Levant</v>
          </cell>
          <cell r="P2895" t="str">
            <v>Scratch 5 000</v>
          </cell>
          <cell r="Q2895" t="str">
            <v>92007</v>
          </cell>
          <cell r="R2895" t="str">
            <v>92007Scratch 5 000</v>
          </cell>
          <cell r="S2895" t="str">
            <v>2007Scratch 5 000</v>
          </cell>
          <cell r="T2895" t="str">
            <v>92007Soleil Levant</v>
          </cell>
          <cell r="U2895" t="str">
            <v>92007Soleil LevantScratch 5 000</v>
          </cell>
          <cell r="V2895" t="str">
            <v>39346Scratch 5 000</v>
          </cell>
          <cell r="W2895" t="str">
            <v>2007Soleil Levant</v>
          </cell>
          <cell r="X2895" t="str">
            <v>2007Soleil LevantScratch 5 000</v>
          </cell>
        </row>
        <row r="2896">
          <cell r="I2896">
            <v>2007</v>
          </cell>
          <cell r="J2896" t="str">
            <v>Soleil LevantScratch 2 000</v>
          </cell>
          <cell r="L2896">
            <v>0</v>
          </cell>
          <cell r="M2896" t="str">
            <v>Soleil Levant</v>
          </cell>
          <cell r="N2896" t="str">
            <v>Soleil LevantScratch 2 000</v>
          </cell>
          <cell r="O2896" t="str">
            <v>Soleil Levant</v>
          </cell>
          <cell r="P2896" t="str">
            <v>Scratch 2 000</v>
          </cell>
          <cell r="Q2896" t="str">
            <v>92007</v>
          </cell>
          <cell r="R2896" t="str">
            <v>92007Scratch 2 000</v>
          </cell>
          <cell r="S2896" t="str">
            <v>2007Scratch 2 000</v>
          </cell>
          <cell r="T2896" t="str">
            <v>92007Soleil Levant</v>
          </cell>
          <cell r="U2896" t="str">
            <v>92007Soleil LevantScratch 2 000</v>
          </cell>
          <cell r="V2896" t="str">
            <v>39346Scratch 2 000</v>
          </cell>
          <cell r="W2896" t="str">
            <v>2007Soleil Levant</v>
          </cell>
          <cell r="X2896" t="str">
            <v>2007Soleil LevantScratch 2 000</v>
          </cell>
        </row>
        <row r="2897">
          <cell r="I2897">
            <v>2007</v>
          </cell>
          <cell r="J2897" t="str">
            <v>Soleil LevantScratch 1 000</v>
          </cell>
          <cell r="L2897">
            <v>0</v>
          </cell>
          <cell r="M2897" t="str">
            <v>Soleil Levant</v>
          </cell>
          <cell r="N2897" t="str">
            <v>Soleil LevantScratch 1 000</v>
          </cell>
          <cell r="O2897" t="str">
            <v>Soleil Levant</v>
          </cell>
          <cell r="P2897" t="str">
            <v>Scratch 1 000</v>
          </cell>
          <cell r="Q2897" t="str">
            <v>92007</v>
          </cell>
          <cell r="R2897" t="str">
            <v>92007Scratch 1 000</v>
          </cell>
          <cell r="S2897" t="str">
            <v>2007Scratch 1 000</v>
          </cell>
          <cell r="T2897" t="str">
            <v>92007Soleil Levant</v>
          </cell>
          <cell r="U2897" t="str">
            <v>92007Soleil LevantScratch 1 000</v>
          </cell>
          <cell r="V2897" t="str">
            <v>39346Scratch 1 000</v>
          </cell>
          <cell r="W2897" t="str">
            <v>2007Soleil Levant</v>
          </cell>
          <cell r="X2897" t="str">
            <v>2007Soleil LevantScratch 1 000</v>
          </cell>
        </row>
        <row r="2898">
          <cell r="I2898">
            <v>2007</v>
          </cell>
          <cell r="J2898" t="str">
            <v>ANKA SERVICESScratch 20 000</v>
          </cell>
          <cell r="L2898">
            <v>1</v>
          </cell>
          <cell r="M2898" t="str">
            <v>1ANKA SERVICES</v>
          </cell>
          <cell r="N2898" t="str">
            <v>ANKA SERVICESScratch 20 000</v>
          </cell>
          <cell r="O2898" t="str">
            <v>ANKA SERVICES</v>
          </cell>
          <cell r="P2898" t="str">
            <v>Scratch 20 000</v>
          </cell>
          <cell r="Q2898" t="str">
            <v>92007</v>
          </cell>
          <cell r="R2898" t="str">
            <v>92007Scratch 20 000</v>
          </cell>
          <cell r="S2898" t="str">
            <v>2007Scratch 20 000</v>
          </cell>
          <cell r="T2898" t="str">
            <v>92007ANKA SERVICES</v>
          </cell>
          <cell r="U2898" t="str">
            <v>92007ANKA SERVICESScratch 20 000</v>
          </cell>
          <cell r="V2898" t="str">
            <v>39346Scratch 20 000</v>
          </cell>
          <cell r="W2898" t="str">
            <v>2007ANKA SERVICES</v>
          </cell>
          <cell r="X2898" t="str">
            <v>2007ANKA SERVICESScratch 20 000</v>
          </cell>
        </row>
        <row r="2899">
          <cell r="I2899">
            <v>2007</v>
          </cell>
          <cell r="J2899" t="str">
            <v>ANKA SERVICESScratch 5 000</v>
          </cell>
          <cell r="L2899">
            <v>0</v>
          </cell>
          <cell r="M2899" t="str">
            <v>ANKA SERVICES</v>
          </cell>
          <cell r="N2899" t="str">
            <v>ANKA SERVICESScratch 5 000</v>
          </cell>
          <cell r="O2899" t="str">
            <v>ANKA SERVICES</v>
          </cell>
          <cell r="P2899" t="str">
            <v>Scratch 5 000</v>
          </cell>
          <cell r="Q2899" t="str">
            <v>92007</v>
          </cell>
          <cell r="R2899" t="str">
            <v>92007Scratch 5 000</v>
          </cell>
          <cell r="S2899" t="str">
            <v>2007Scratch 5 000</v>
          </cell>
          <cell r="T2899" t="str">
            <v>92007ANKA SERVICES</v>
          </cell>
          <cell r="U2899" t="str">
            <v>92007ANKA SERVICESScratch 5 000</v>
          </cell>
          <cell r="V2899" t="str">
            <v>39346Scratch 5 000</v>
          </cell>
          <cell r="W2899" t="str">
            <v>2007ANKA SERVICES</v>
          </cell>
          <cell r="X2899" t="str">
            <v>2007ANKA SERVICESScratch 5 000</v>
          </cell>
        </row>
        <row r="2900">
          <cell r="I2900">
            <v>2007</v>
          </cell>
          <cell r="J2900" t="str">
            <v>ANKA SERVICESScratch 2 000</v>
          </cell>
          <cell r="L2900">
            <v>0</v>
          </cell>
          <cell r="M2900" t="str">
            <v>ANKA SERVICES</v>
          </cell>
          <cell r="N2900" t="str">
            <v>ANKA SERVICESScratch 2 000</v>
          </cell>
          <cell r="O2900" t="str">
            <v>ANKA SERVICES</v>
          </cell>
          <cell r="P2900" t="str">
            <v>Scratch 2 000</v>
          </cell>
          <cell r="Q2900" t="str">
            <v>92007</v>
          </cell>
          <cell r="R2900" t="str">
            <v>92007Scratch 2 000</v>
          </cell>
          <cell r="S2900" t="str">
            <v>2007Scratch 2 000</v>
          </cell>
          <cell r="T2900" t="str">
            <v>92007ANKA SERVICES</v>
          </cell>
          <cell r="U2900" t="str">
            <v>92007ANKA SERVICESScratch 2 000</v>
          </cell>
          <cell r="V2900" t="str">
            <v>39346Scratch 2 000</v>
          </cell>
          <cell r="W2900" t="str">
            <v>2007ANKA SERVICES</v>
          </cell>
          <cell r="X2900" t="str">
            <v>2007ANKA SERVICESScratch 2 000</v>
          </cell>
        </row>
        <row r="2901">
          <cell r="I2901">
            <v>2007</v>
          </cell>
          <cell r="J2901" t="str">
            <v>ANKA SERVICESScratch 1 000</v>
          </cell>
          <cell r="L2901">
            <v>0</v>
          </cell>
          <cell r="M2901" t="str">
            <v>ANKA SERVICES</v>
          </cell>
          <cell r="N2901" t="str">
            <v>ANKA SERVICESScratch 1 000</v>
          </cell>
          <cell r="O2901" t="str">
            <v>ANKA SERVICES</v>
          </cell>
          <cell r="P2901" t="str">
            <v>Scratch 1 000</v>
          </cell>
          <cell r="Q2901" t="str">
            <v>92007</v>
          </cell>
          <cell r="R2901" t="str">
            <v>92007Scratch 1 000</v>
          </cell>
          <cell r="S2901" t="str">
            <v>2007Scratch 1 000</v>
          </cell>
          <cell r="T2901" t="str">
            <v>92007ANKA SERVICES</v>
          </cell>
          <cell r="U2901" t="str">
            <v>92007ANKA SERVICESScratch 1 000</v>
          </cell>
          <cell r="V2901" t="str">
            <v>39346Scratch 1 000</v>
          </cell>
          <cell r="W2901" t="str">
            <v>2007ANKA SERVICES</v>
          </cell>
          <cell r="X2901" t="str">
            <v>2007ANKA SERVICESScratch 1 000</v>
          </cell>
        </row>
        <row r="2902">
          <cell r="I2902">
            <v>2007</v>
          </cell>
          <cell r="J2902" t="str">
            <v>GEMATELScratch 5 000</v>
          </cell>
          <cell r="L2902">
            <v>1</v>
          </cell>
          <cell r="M2902" t="str">
            <v>1GEMATEL</v>
          </cell>
          <cell r="N2902" t="str">
            <v>GEMATELScratch 5 000</v>
          </cell>
          <cell r="O2902" t="str">
            <v>GEMATEL</v>
          </cell>
          <cell r="P2902" t="str">
            <v>Scratch 5 000</v>
          </cell>
          <cell r="Q2902" t="str">
            <v>92007</v>
          </cell>
          <cell r="R2902" t="str">
            <v>92007Scratch 5 000</v>
          </cell>
          <cell r="S2902" t="str">
            <v>2007Scratch 5 000</v>
          </cell>
          <cell r="T2902" t="str">
            <v>92007GEMATEL</v>
          </cell>
          <cell r="U2902" t="str">
            <v>92007GEMATELScratch 5 000</v>
          </cell>
          <cell r="V2902" t="str">
            <v>39346Scratch 5 000</v>
          </cell>
          <cell r="W2902" t="str">
            <v>2007GEMATEL</v>
          </cell>
          <cell r="X2902" t="str">
            <v>2007GEMATELScratch 5 000</v>
          </cell>
        </row>
        <row r="2903">
          <cell r="I2903">
            <v>2007</v>
          </cell>
          <cell r="J2903" t="str">
            <v>GEMATELScratch 2 000</v>
          </cell>
          <cell r="L2903">
            <v>0</v>
          </cell>
          <cell r="M2903" t="str">
            <v>GEMATEL</v>
          </cell>
          <cell r="N2903" t="str">
            <v>GEMATELScratch 2 000</v>
          </cell>
          <cell r="O2903" t="str">
            <v>GEMATEL</v>
          </cell>
          <cell r="P2903" t="str">
            <v>Scratch 2 000</v>
          </cell>
          <cell r="Q2903" t="str">
            <v>92007</v>
          </cell>
          <cell r="R2903" t="str">
            <v>92007Scratch 2 000</v>
          </cell>
          <cell r="S2903" t="str">
            <v>2007Scratch 2 000</v>
          </cell>
          <cell r="T2903" t="str">
            <v>92007GEMATEL</v>
          </cell>
          <cell r="U2903" t="str">
            <v>92007GEMATELScratch 2 000</v>
          </cell>
          <cell r="V2903" t="str">
            <v>39346Scratch 2 000</v>
          </cell>
          <cell r="W2903" t="str">
            <v>2007GEMATEL</v>
          </cell>
          <cell r="X2903" t="str">
            <v>2007GEMATELScratch 2 000</v>
          </cell>
        </row>
        <row r="2904">
          <cell r="I2904">
            <v>2007</v>
          </cell>
          <cell r="J2904" t="str">
            <v>GEMATELScratch 1 000</v>
          </cell>
          <cell r="L2904">
            <v>0</v>
          </cell>
          <cell r="M2904" t="str">
            <v>GEMATEL</v>
          </cell>
          <cell r="N2904" t="str">
            <v>GEMATELScratch 1 000</v>
          </cell>
          <cell r="O2904" t="str">
            <v>GEMATEL</v>
          </cell>
          <cell r="P2904" t="str">
            <v>Scratch 1 000</v>
          </cell>
          <cell r="Q2904" t="str">
            <v>92007</v>
          </cell>
          <cell r="R2904" t="str">
            <v>92007Scratch 1 000</v>
          </cell>
          <cell r="S2904" t="str">
            <v>2007Scratch 1 000</v>
          </cell>
          <cell r="T2904" t="str">
            <v>92007GEMATEL</v>
          </cell>
          <cell r="U2904" t="str">
            <v>92007GEMATELScratch 1 000</v>
          </cell>
          <cell r="V2904" t="str">
            <v>39346Scratch 1 000</v>
          </cell>
          <cell r="W2904" t="str">
            <v>2007GEMATEL</v>
          </cell>
          <cell r="X2904" t="str">
            <v>2007GEMATELScratch 1 000</v>
          </cell>
        </row>
        <row r="2905">
          <cell r="I2905">
            <v>2007</v>
          </cell>
          <cell r="J2905" t="str">
            <v>MALI COM SarlScratch 20 000</v>
          </cell>
          <cell r="L2905">
            <v>1</v>
          </cell>
          <cell r="M2905" t="str">
            <v>1MALI COM Sarl</v>
          </cell>
          <cell r="N2905" t="str">
            <v>MALI COM SarlScratch 20 000</v>
          </cell>
          <cell r="O2905" t="str">
            <v>MALI COM Sarl</v>
          </cell>
          <cell r="P2905" t="str">
            <v>Scratch 20 000</v>
          </cell>
          <cell r="Q2905" t="str">
            <v>92007</v>
          </cell>
          <cell r="R2905" t="str">
            <v>92007Scratch 20 000</v>
          </cell>
          <cell r="S2905" t="str">
            <v>2007Scratch 20 000</v>
          </cell>
          <cell r="T2905" t="str">
            <v>92007MALI COM Sarl</v>
          </cell>
          <cell r="U2905" t="str">
            <v>92007MALI COM SarlScratch 20 000</v>
          </cell>
          <cell r="V2905" t="str">
            <v>39346Scratch 20 000</v>
          </cell>
          <cell r="W2905" t="str">
            <v>2007MALI COM Sarl</v>
          </cell>
          <cell r="X2905" t="str">
            <v>2007MALI COM SarlScratch 20 000</v>
          </cell>
        </row>
        <row r="2906">
          <cell r="I2906">
            <v>2007</v>
          </cell>
          <cell r="J2906" t="str">
            <v>MALI COM SarlScratch 5 000</v>
          </cell>
          <cell r="L2906">
            <v>0</v>
          </cell>
          <cell r="M2906" t="str">
            <v>MALI COM Sarl</v>
          </cell>
          <cell r="N2906" t="str">
            <v>MALI COM SarlScratch 5 000</v>
          </cell>
          <cell r="O2906" t="str">
            <v>MALI COM Sarl</v>
          </cell>
          <cell r="P2906" t="str">
            <v>Scratch 5 000</v>
          </cell>
          <cell r="Q2906" t="str">
            <v>92007</v>
          </cell>
          <cell r="R2906" t="str">
            <v>92007Scratch 5 000</v>
          </cell>
          <cell r="S2906" t="str">
            <v>2007Scratch 5 000</v>
          </cell>
          <cell r="T2906" t="str">
            <v>92007MALI COM Sarl</v>
          </cell>
          <cell r="U2906" t="str">
            <v>92007MALI COM SarlScratch 5 000</v>
          </cell>
          <cell r="V2906" t="str">
            <v>39346Scratch 5 000</v>
          </cell>
          <cell r="W2906" t="str">
            <v>2007MALI COM Sarl</v>
          </cell>
          <cell r="X2906" t="str">
            <v>2007MALI COM SarlScratch 5 000</v>
          </cell>
        </row>
        <row r="2907">
          <cell r="I2907">
            <v>2007</v>
          </cell>
          <cell r="J2907" t="str">
            <v>MALI COM SarlScratch 2 000</v>
          </cell>
          <cell r="L2907">
            <v>0</v>
          </cell>
          <cell r="M2907" t="str">
            <v>MALI COM Sarl</v>
          </cell>
          <cell r="N2907" t="str">
            <v>MALI COM SarlScratch 2 000</v>
          </cell>
          <cell r="O2907" t="str">
            <v>MALI COM Sarl</v>
          </cell>
          <cell r="P2907" t="str">
            <v>Scratch 2 000</v>
          </cell>
          <cell r="Q2907" t="str">
            <v>92007</v>
          </cell>
          <cell r="R2907" t="str">
            <v>92007Scratch 2 000</v>
          </cell>
          <cell r="S2907" t="str">
            <v>2007Scratch 2 000</v>
          </cell>
          <cell r="T2907" t="str">
            <v>92007MALI COM Sarl</v>
          </cell>
          <cell r="U2907" t="str">
            <v>92007MALI COM SarlScratch 2 000</v>
          </cell>
          <cell r="V2907" t="str">
            <v>39346Scratch 2 000</v>
          </cell>
          <cell r="W2907" t="str">
            <v>2007MALI COM Sarl</v>
          </cell>
          <cell r="X2907" t="str">
            <v>2007MALI COM SarlScratch 2 000</v>
          </cell>
        </row>
        <row r="2908">
          <cell r="I2908">
            <v>2007</v>
          </cell>
          <cell r="J2908" t="str">
            <v>MALI COM SarlScratch 1 000</v>
          </cell>
          <cell r="L2908">
            <v>0</v>
          </cell>
          <cell r="M2908" t="str">
            <v>MALI COM Sarl</v>
          </cell>
          <cell r="N2908" t="str">
            <v>MALI COM SarlScratch 1 000</v>
          </cell>
          <cell r="O2908" t="str">
            <v>MALI COM Sarl</v>
          </cell>
          <cell r="P2908" t="str">
            <v>Scratch 1 000</v>
          </cell>
          <cell r="Q2908" t="str">
            <v>92007</v>
          </cell>
          <cell r="R2908" t="str">
            <v>92007Scratch 1 000</v>
          </cell>
          <cell r="S2908" t="str">
            <v>2007Scratch 1 000</v>
          </cell>
          <cell r="T2908" t="str">
            <v>92007MALI COM Sarl</v>
          </cell>
          <cell r="U2908" t="str">
            <v>92007MALI COM SarlScratch 1 000</v>
          </cell>
          <cell r="V2908" t="str">
            <v>39346Scratch 1 000</v>
          </cell>
          <cell r="W2908" t="str">
            <v>2007MALI COM Sarl</v>
          </cell>
          <cell r="X2908" t="str">
            <v>2007MALI COM SarlScratch 1 000</v>
          </cell>
        </row>
        <row r="2909">
          <cell r="I2909">
            <v>2007</v>
          </cell>
          <cell r="J2909" t="str">
            <v>STS GAMBY &amp; FRERES (SOGAF) SarlScratch 5 000</v>
          </cell>
          <cell r="L2909">
            <v>1</v>
          </cell>
          <cell r="M2909" t="str">
            <v>1STS GAMBY &amp; FRERES (SOGAF) Sarl</v>
          </cell>
          <cell r="N2909" t="str">
            <v>STS GAMBY &amp; FRERES (SOGAF) SarlScratch 5 000</v>
          </cell>
          <cell r="O2909" t="str">
            <v>STS GAMBY &amp; FRERES (SOGAF) Sarl</v>
          </cell>
          <cell r="P2909" t="str">
            <v>Scratch 5 000</v>
          </cell>
          <cell r="Q2909" t="str">
            <v>92007</v>
          </cell>
          <cell r="R2909" t="str">
            <v>92007Scratch 5 000</v>
          </cell>
          <cell r="S2909" t="str">
            <v>2007Scratch 5 000</v>
          </cell>
          <cell r="T2909" t="str">
            <v>92007STS GAMBY &amp; FRERES (SOGAF) Sarl</v>
          </cell>
          <cell r="U2909" t="str">
            <v>92007STS GAMBY &amp; FRERES (SOGAF) SarlScratch 5 000</v>
          </cell>
          <cell r="V2909" t="str">
            <v>39349Scratch 5 000</v>
          </cell>
          <cell r="W2909" t="str">
            <v>2007STS GAMBY &amp; FRERES (SOGAF) Sarl</v>
          </cell>
          <cell r="X2909" t="str">
            <v>2007STS GAMBY &amp; FRERES (SOGAF) SarlScratch 5 000</v>
          </cell>
        </row>
        <row r="2910">
          <cell r="I2910">
            <v>2007</v>
          </cell>
          <cell r="J2910" t="str">
            <v>STS GAMBY &amp; FRERES (SOGAF) SarlScratch 2 000</v>
          </cell>
          <cell r="L2910">
            <v>0</v>
          </cell>
          <cell r="M2910" t="str">
            <v>STS GAMBY &amp; FRERES (SOGAF) Sarl</v>
          </cell>
          <cell r="N2910" t="str">
            <v>STS GAMBY &amp; FRERES (SOGAF) SarlScratch 2 000</v>
          </cell>
          <cell r="O2910" t="str">
            <v>STS GAMBY &amp; FRERES (SOGAF) Sarl</v>
          </cell>
          <cell r="P2910" t="str">
            <v>Scratch 2 000</v>
          </cell>
          <cell r="Q2910" t="str">
            <v>92007</v>
          </cell>
          <cell r="R2910" t="str">
            <v>92007Scratch 2 000</v>
          </cell>
          <cell r="S2910" t="str">
            <v>2007Scratch 2 000</v>
          </cell>
          <cell r="T2910" t="str">
            <v>92007STS GAMBY &amp; FRERES (SOGAF) Sarl</v>
          </cell>
          <cell r="U2910" t="str">
            <v>92007STS GAMBY &amp; FRERES (SOGAF) SarlScratch 2 000</v>
          </cell>
          <cell r="V2910" t="str">
            <v>39349Scratch 2 000</v>
          </cell>
          <cell r="W2910" t="str">
            <v>2007STS GAMBY &amp; FRERES (SOGAF) Sarl</v>
          </cell>
          <cell r="X2910" t="str">
            <v>2007STS GAMBY &amp; FRERES (SOGAF) SarlScratch 2 000</v>
          </cell>
        </row>
        <row r="2911">
          <cell r="I2911">
            <v>2007</v>
          </cell>
          <cell r="J2911" t="str">
            <v>STS GAMBY &amp; FRERES (SOGAF) SarlScratch 1 000</v>
          </cell>
          <cell r="L2911">
            <v>0</v>
          </cell>
          <cell r="M2911" t="str">
            <v>STS GAMBY &amp; FRERES (SOGAF) Sarl</v>
          </cell>
          <cell r="N2911" t="str">
            <v>STS GAMBY &amp; FRERES (SOGAF) SarlScratch 1 000</v>
          </cell>
          <cell r="O2911" t="str">
            <v>STS GAMBY &amp; FRERES (SOGAF) Sarl</v>
          </cell>
          <cell r="P2911" t="str">
            <v>Scratch 1 000</v>
          </cell>
          <cell r="Q2911" t="str">
            <v>92007</v>
          </cell>
          <cell r="R2911" t="str">
            <v>92007Scratch 1 000</v>
          </cell>
          <cell r="S2911" t="str">
            <v>2007Scratch 1 000</v>
          </cell>
          <cell r="T2911" t="str">
            <v>92007STS GAMBY &amp; FRERES (SOGAF) Sarl</v>
          </cell>
          <cell r="U2911" t="str">
            <v>92007STS GAMBY &amp; FRERES (SOGAF) SarlScratch 1 000</v>
          </cell>
          <cell r="V2911" t="str">
            <v>39349Scratch 1 000</v>
          </cell>
          <cell r="W2911" t="str">
            <v>2007STS GAMBY &amp; FRERES (SOGAF) Sarl</v>
          </cell>
          <cell r="X2911" t="str">
            <v>2007STS GAMBY &amp; FRERES (SOGAF) SarlScratch 1 000</v>
          </cell>
        </row>
        <row r="2912">
          <cell r="I2912">
            <v>2007</v>
          </cell>
          <cell r="J2912" t="str">
            <v>Compagnie Internationale de NegoceScratch 20 000</v>
          </cell>
          <cell r="L2912">
            <v>1</v>
          </cell>
          <cell r="M2912" t="str">
            <v>1Compagnie Internationale de Negoce</v>
          </cell>
          <cell r="N2912" t="str">
            <v>Compagnie Internationale de NegoceScratch 20 000</v>
          </cell>
          <cell r="O2912" t="str">
            <v>Compagnie Internationale de Negoce</v>
          </cell>
          <cell r="P2912" t="str">
            <v>Scratch 20 000</v>
          </cell>
          <cell r="Q2912" t="str">
            <v>92007</v>
          </cell>
          <cell r="R2912" t="str">
            <v>92007Scratch 20 000</v>
          </cell>
          <cell r="S2912" t="str">
            <v>2007Scratch 20 000</v>
          </cell>
          <cell r="T2912" t="str">
            <v>92007Compagnie Internationale de Negoce</v>
          </cell>
          <cell r="U2912" t="str">
            <v>92007Compagnie Internationale de NegoceScratch 20 000</v>
          </cell>
          <cell r="V2912" t="str">
            <v>39349Scratch 20 000</v>
          </cell>
          <cell r="W2912" t="str">
            <v>2007Compagnie Internationale de Negoce</v>
          </cell>
          <cell r="X2912" t="str">
            <v>2007Compagnie Internationale de NegoceScratch 20 000</v>
          </cell>
        </row>
        <row r="2913">
          <cell r="I2913">
            <v>2007</v>
          </cell>
          <cell r="J2913" t="str">
            <v>Compagnie Internationale de NegoceScratch 10 000</v>
          </cell>
          <cell r="L2913">
            <v>0</v>
          </cell>
          <cell r="M2913" t="str">
            <v>Compagnie Internationale de Negoce</v>
          </cell>
          <cell r="N2913" t="str">
            <v>Compagnie Internationale de NegoceScratch 10 000</v>
          </cell>
          <cell r="O2913" t="str">
            <v>Compagnie Internationale de Negoce</v>
          </cell>
          <cell r="P2913" t="str">
            <v>Scratch 10 000</v>
          </cell>
          <cell r="Q2913" t="str">
            <v>92007</v>
          </cell>
          <cell r="R2913" t="str">
            <v>92007Scratch 10 000</v>
          </cell>
          <cell r="S2913" t="str">
            <v>2007Scratch 10 000</v>
          </cell>
          <cell r="T2913" t="str">
            <v>92007Compagnie Internationale de Negoce</v>
          </cell>
          <cell r="U2913" t="str">
            <v>92007Compagnie Internationale de NegoceScratch 10 000</v>
          </cell>
          <cell r="V2913" t="str">
            <v>39349Scratch 10 000</v>
          </cell>
          <cell r="W2913" t="str">
            <v>2007Compagnie Internationale de Negoce</v>
          </cell>
          <cell r="X2913" t="str">
            <v>2007Compagnie Internationale de NegoceScratch 10 000</v>
          </cell>
        </row>
        <row r="2914">
          <cell r="I2914">
            <v>2007</v>
          </cell>
          <cell r="J2914" t="str">
            <v>Compagnie Internationale de NegoceScratch 5 000</v>
          </cell>
          <cell r="L2914">
            <v>0</v>
          </cell>
          <cell r="M2914" t="str">
            <v>Compagnie Internationale de Negoce</v>
          </cell>
          <cell r="N2914" t="str">
            <v>Compagnie Internationale de NegoceScratch 5 000</v>
          </cell>
          <cell r="O2914" t="str">
            <v>Compagnie Internationale de Negoce</v>
          </cell>
          <cell r="P2914" t="str">
            <v>Scratch 5 000</v>
          </cell>
          <cell r="Q2914" t="str">
            <v>92007</v>
          </cell>
          <cell r="R2914" t="str">
            <v>92007Scratch 5 000</v>
          </cell>
          <cell r="S2914" t="str">
            <v>2007Scratch 5 000</v>
          </cell>
          <cell r="T2914" t="str">
            <v>92007Compagnie Internationale de Negoce</v>
          </cell>
          <cell r="U2914" t="str">
            <v>92007Compagnie Internationale de NegoceScratch 5 000</v>
          </cell>
          <cell r="V2914" t="str">
            <v>39349Scratch 5 000</v>
          </cell>
          <cell r="W2914" t="str">
            <v>2007Compagnie Internationale de Negoce</v>
          </cell>
          <cell r="X2914" t="str">
            <v>2007Compagnie Internationale de NegoceScratch 5 000</v>
          </cell>
        </row>
        <row r="2915">
          <cell r="I2915">
            <v>2007</v>
          </cell>
          <cell r="J2915" t="str">
            <v>Compagnie Internationale de NegoceScratch 2 000</v>
          </cell>
          <cell r="L2915">
            <v>0</v>
          </cell>
          <cell r="M2915" t="str">
            <v>Compagnie Internationale de Negoce</v>
          </cell>
          <cell r="N2915" t="str">
            <v>Compagnie Internationale de NegoceScratch 2 000</v>
          </cell>
          <cell r="O2915" t="str">
            <v>Compagnie Internationale de Negoce</v>
          </cell>
          <cell r="P2915" t="str">
            <v>Scratch 2 000</v>
          </cell>
          <cell r="Q2915" t="str">
            <v>92007</v>
          </cell>
          <cell r="R2915" t="str">
            <v>92007Scratch 2 000</v>
          </cell>
          <cell r="S2915" t="str">
            <v>2007Scratch 2 000</v>
          </cell>
          <cell r="T2915" t="str">
            <v>92007Compagnie Internationale de Negoce</v>
          </cell>
          <cell r="U2915" t="str">
            <v>92007Compagnie Internationale de NegoceScratch 2 000</v>
          </cell>
          <cell r="V2915" t="str">
            <v>39349Scratch 2 000</v>
          </cell>
          <cell r="W2915" t="str">
            <v>2007Compagnie Internationale de Negoce</v>
          </cell>
          <cell r="X2915" t="str">
            <v>2007Compagnie Internationale de NegoceScratch 2 000</v>
          </cell>
        </row>
        <row r="2916">
          <cell r="I2916">
            <v>2007</v>
          </cell>
          <cell r="J2916" t="str">
            <v>Compagnie Internationale de NegoceScratch 1 000</v>
          </cell>
          <cell r="L2916">
            <v>0</v>
          </cell>
          <cell r="M2916" t="str">
            <v>Compagnie Internationale de Negoce</v>
          </cell>
          <cell r="N2916" t="str">
            <v>Compagnie Internationale de NegoceScratch 1 000</v>
          </cell>
          <cell r="O2916" t="str">
            <v>Compagnie Internationale de Negoce</v>
          </cell>
          <cell r="P2916" t="str">
            <v>Scratch 1 000</v>
          </cell>
          <cell r="Q2916" t="str">
            <v>92007</v>
          </cell>
          <cell r="R2916" t="str">
            <v>92007Scratch 1 000</v>
          </cell>
          <cell r="S2916" t="str">
            <v>2007Scratch 1 000</v>
          </cell>
          <cell r="T2916" t="str">
            <v>92007Compagnie Internationale de Negoce</v>
          </cell>
          <cell r="U2916" t="str">
            <v>92007Compagnie Internationale de NegoceScratch 1 000</v>
          </cell>
          <cell r="V2916" t="str">
            <v>39349Scratch 1 000</v>
          </cell>
          <cell r="W2916" t="str">
            <v>2007Compagnie Internationale de Negoce</v>
          </cell>
          <cell r="X2916" t="str">
            <v>2007Compagnie Internationale de NegoceScratch 1 000</v>
          </cell>
        </row>
        <row r="2917">
          <cell r="I2917">
            <v>2007</v>
          </cell>
          <cell r="J2917" t="str">
            <v>GEMATELScratch 20 000</v>
          </cell>
          <cell r="L2917">
            <v>1</v>
          </cell>
          <cell r="M2917" t="str">
            <v>1GEMATEL</v>
          </cell>
          <cell r="N2917" t="str">
            <v>GEMATELScratch 20 000</v>
          </cell>
          <cell r="O2917" t="str">
            <v>GEMATEL</v>
          </cell>
          <cell r="P2917" t="str">
            <v>Scratch 20 000</v>
          </cell>
          <cell r="Q2917" t="str">
            <v>92007</v>
          </cell>
          <cell r="R2917" t="str">
            <v>92007Scratch 20 000</v>
          </cell>
          <cell r="S2917" t="str">
            <v>2007Scratch 20 000</v>
          </cell>
          <cell r="T2917" t="str">
            <v>92007GEMATEL</v>
          </cell>
          <cell r="U2917" t="str">
            <v>92007GEMATELScratch 20 000</v>
          </cell>
          <cell r="V2917" t="str">
            <v>39349Scratch 20 000</v>
          </cell>
          <cell r="W2917" t="str">
            <v>2007GEMATEL</v>
          </cell>
          <cell r="X2917" t="str">
            <v>2007GEMATELScratch 20 000</v>
          </cell>
        </row>
        <row r="2918">
          <cell r="I2918">
            <v>2007</v>
          </cell>
          <cell r="J2918" t="str">
            <v>GEMATELScratch 10 000</v>
          </cell>
          <cell r="L2918">
            <v>0</v>
          </cell>
          <cell r="M2918" t="str">
            <v>GEMATEL</v>
          </cell>
          <cell r="N2918" t="str">
            <v>GEMATELScratch 10 000</v>
          </cell>
          <cell r="O2918" t="str">
            <v>GEMATEL</v>
          </cell>
          <cell r="P2918" t="str">
            <v>Scratch 10 000</v>
          </cell>
          <cell r="Q2918" t="str">
            <v>92007</v>
          </cell>
          <cell r="R2918" t="str">
            <v>92007Scratch 10 000</v>
          </cell>
          <cell r="S2918" t="str">
            <v>2007Scratch 10 000</v>
          </cell>
          <cell r="T2918" t="str">
            <v>92007GEMATEL</v>
          </cell>
          <cell r="U2918" t="str">
            <v>92007GEMATELScratch 10 000</v>
          </cell>
          <cell r="V2918" t="str">
            <v>39349Scratch 10 000</v>
          </cell>
          <cell r="W2918" t="str">
            <v>2007GEMATEL</v>
          </cell>
          <cell r="X2918" t="str">
            <v>2007GEMATELScratch 10 000</v>
          </cell>
        </row>
        <row r="2919">
          <cell r="I2919">
            <v>2007</v>
          </cell>
          <cell r="J2919" t="str">
            <v>GEMATELScratch 5 000</v>
          </cell>
          <cell r="L2919">
            <v>0</v>
          </cell>
          <cell r="M2919" t="str">
            <v>GEMATEL</v>
          </cell>
          <cell r="N2919" t="str">
            <v>GEMATELScratch 5 000</v>
          </cell>
          <cell r="O2919" t="str">
            <v>GEMATEL</v>
          </cell>
          <cell r="P2919" t="str">
            <v>Scratch 5 000</v>
          </cell>
          <cell r="Q2919" t="str">
            <v>92007</v>
          </cell>
          <cell r="R2919" t="str">
            <v>92007Scratch 5 000</v>
          </cell>
          <cell r="S2919" t="str">
            <v>2007Scratch 5 000</v>
          </cell>
          <cell r="T2919" t="str">
            <v>92007GEMATEL</v>
          </cell>
          <cell r="U2919" t="str">
            <v>92007GEMATELScratch 5 000</v>
          </cell>
          <cell r="V2919" t="str">
            <v>39349Scratch 5 000</v>
          </cell>
          <cell r="W2919" t="str">
            <v>2007GEMATEL</v>
          </cell>
          <cell r="X2919" t="str">
            <v>2007GEMATELScratch 5 000</v>
          </cell>
        </row>
        <row r="2920">
          <cell r="I2920">
            <v>2007</v>
          </cell>
          <cell r="J2920" t="str">
            <v>GEMATELScratch 2 000</v>
          </cell>
          <cell r="L2920">
            <v>0</v>
          </cell>
          <cell r="M2920" t="str">
            <v>GEMATEL</v>
          </cell>
          <cell r="N2920" t="str">
            <v>GEMATELScratch 2 000</v>
          </cell>
          <cell r="O2920" t="str">
            <v>GEMATEL</v>
          </cell>
          <cell r="P2920" t="str">
            <v>Scratch 2 000</v>
          </cell>
          <cell r="Q2920" t="str">
            <v>92007</v>
          </cell>
          <cell r="R2920" t="str">
            <v>92007Scratch 2 000</v>
          </cell>
          <cell r="S2920" t="str">
            <v>2007Scratch 2 000</v>
          </cell>
          <cell r="T2920" t="str">
            <v>92007GEMATEL</v>
          </cell>
          <cell r="U2920" t="str">
            <v>92007GEMATELScratch 2 000</v>
          </cell>
          <cell r="V2920" t="str">
            <v>39349Scratch 2 000</v>
          </cell>
          <cell r="W2920" t="str">
            <v>2007GEMATEL</v>
          </cell>
          <cell r="X2920" t="str">
            <v>2007GEMATELScratch 2 000</v>
          </cell>
        </row>
        <row r="2921">
          <cell r="I2921">
            <v>2007</v>
          </cell>
          <cell r="J2921" t="str">
            <v>GEMATELScratch 1 000</v>
          </cell>
          <cell r="L2921">
            <v>0</v>
          </cell>
          <cell r="M2921" t="str">
            <v>GEMATEL</v>
          </cell>
          <cell r="N2921" t="str">
            <v>GEMATELScratch 1 000</v>
          </cell>
          <cell r="O2921" t="str">
            <v>GEMATEL</v>
          </cell>
          <cell r="P2921" t="str">
            <v>Scratch 1 000</v>
          </cell>
          <cell r="Q2921" t="str">
            <v>92007</v>
          </cell>
          <cell r="R2921" t="str">
            <v>92007Scratch 1 000</v>
          </cell>
          <cell r="S2921" t="str">
            <v>2007Scratch 1 000</v>
          </cell>
          <cell r="T2921" t="str">
            <v>92007GEMATEL</v>
          </cell>
          <cell r="U2921" t="str">
            <v>92007GEMATELScratch 1 000</v>
          </cell>
          <cell r="V2921" t="str">
            <v>39349Scratch 1 000</v>
          </cell>
          <cell r="W2921" t="str">
            <v>2007GEMATEL</v>
          </cell>
          <cell r="X2921" t="str">
            <v>2007GEMATELScratch 1 000</v>
          </cell>
        </row>
        <row r="2922">
          <cell r="I2922">
            <v>2007</v>
          </cell>
          <cell r="J2922" t="str">
            <v>ANKA SERVICESScratch 20 000</v>
          </cell>
          <cell r="L2922">
            <v>1</v>
          </cell>
          <cell r="M2922" t="str">
            <v>1ANKA SERVICES</v>
          </cell>
          <cell r="N2922" t="str">
            <v>ANKA SERVICESScratch 20 000</v>
          </cell>
          <cell r="O2922" t="str">
            <v>ANKA SERVICES</v>
          </cell>
          <cell r="P2922" t="str">
            <v>Scratch 20 000</v>
          </cell>
          <cell r="Q2922" t="str">
            <v>92007</v>
          </cell>
          <cell r="R2922" t="str">
            <v>92007Scratch 20 000</v>
          </cell>
          <cell r="S2922" t="str">
            <v>2007Scratch 20 000</v>
          </cell>
          <cell r="T2922" t="str">
            <v>92007ANKA SERVICES</v>
          </cell>
          <cell r="U2922" t="str">
            <v>92007ANKA SERVICESScratch 20 000</v>
          </cell>
          <cell r="V2922" t="str">
            <v>39349Scratch 20 000</v>
          </cell>
          <cell r="W2922" t="str">
            <v>2007ANKA SERVICES</v>
          </cell>
          <cell r="X2922" t="str">
            <v>2007ANKA SERVICESScratch 20 000</v>
          </cell>
        </row>
        <row r="2923">
          <cell r="I2923">
            <v>2007</v>
          </cell>
          <cell r="J2923" t="str">
            <v>ANKA SERVICESScratch 5 000</v>
          </cell>
          <cell r="L2923">
            <v>0</v>
          </cell>
          <cell r="M2923" t="str">
            <v>ANKA SERVICES</v>
          </cell>
          <cell r="N2923" t="str">
            <v>ANKA SERVICESScratch 5 000</v>
          </cell>
          <cell r="O2923" t="str">
            <v>ANKA SERVICES</v>
          </cell>
          <cell r="P2923" t="str">
            <v>Scratch 5 000</v>
          </cell>
          <cell r="Q2923" t="str">
            <v>92007</v>
          </cell>
          <cell r="R2923" t="str">
            <v>92007Scratch 5 000</v>
          </cell>
          <cell r="S2923" t="str">
            <v>2007Scratch 5 000</v>
          </cell>
          <cell r="T2923" t="str">
            <v>92007ANKA SERVICES</v>
          </cell>
          <cell r="U2923" t="str">
            <v>92007ANKA SERVICESScratch 5 000</v>
          </cell>
          <cell r="V2923" t="str">
            <v>39349Scratch 5 000</v>
          </cell>
          <cell r="W2923" t="str">
            <v>2007ANKA SERVICES</v>
          </cell>
          <cell r="X2923" t="str">
            <v>2007ANKA SERVICESScratch 5 000</v>
          </cell>
        </row>
        <row r="2924">
          <cell r="I2924">
            <v>2007</v>
          </cell>
          <cell r="J2924" t="str">
            <v>ANKA SERVICESScratch 2 000</v>
          </cell>
          <cell r="L2924">
            <v>0</v>
          </cell>
          <cell r="M2924" t="str">
            <v>ANKA SERVICES</v>
          </cell>
          <cell r="N2924" t="str">
            <v>ANKA SERVICESScratch 2 000</v>
          </cell>
          <cell r="O2924" t="str">
            <v>ANKA SERVICES</v>
          </cell>
          <cell r="P2924" t="str">
            <v>Scratch 2 000</v>
          </cell>
          <cell r="Q2924" t="str">
            <v>92007</v>
          </cell>
          <cell r="R2924" t="str">
            <v>92007Scratch 2 000</v>
          </cell>
          <cell r="S2924" t="str">
            <v>2007Scratch 2 000</v>
          </cell>
          <cell r="T2924" t="str">
            <v>92007ANKA SERVICES</v>
          </cell>
          <cell r="U2924" t="str">
            <v>92007ANKA SERVICESScratch 2 000</v>
          </cell>
          <cell r="V2924" t="str">
            <v>39349Scratch 2 000</v>
          </cell>
          <cell r="W2924" t="str">
            <v>2007ANKA SERVICES</v>
          </cell>
          <cell r="X2924" t="str">
            <v>2007ANKA SERVICESScratch 2 000</v>
          </cell>
        </row>
        <row r="2925">
          <cell r="I2925">
            <v>2007</v>
          </cell>
          <cell r="J2925" t="str">
            <v>ANKA SERVICESScratch 1 000</v>
          </cell>
          <cell r="L2925">
            <v>0</v>
          </cell>
          <cell r="M2925" t="str">
            <v>ANKA SERVICES</v>
          </cell>
          <cell r="N2925" t="str">
            <v>ANKA SERVICESScratch 1 000</v>
          </cell>
          <cell r="O2925" t="str">
            <v>ANKA SERVICES</v>
          </cell>
          <cell r="P2925" t="str">
            <v>Scratch 1 000</v>
          </cell>
          <cell r="Q2925" t="str">
            <v>92007</v>
          </cell>
          <cell r="R2925" t="str">
            <v>92007Scratch 1 000</v>
          </cell>
          <cell r="S2925" t="str">
            <v>2007Scratch 1 000</v>
          </cell>
          <cell r="T2925" t="str">
            <v>92007ANKA SERVICES</v>
          </cell>
          <cell r="U2925" t="str">
            <v>92007ANKA SERVICESScratch 1 000</v>
          </cell>
          <cell r="V2925" t="str">
            <v>39349Scratch 1 000</v>
          </cell>
          <cell r="W2925" t="str">
            <v>2007ANKA SERVICES</v>
          </cell>
          <cell r="X2925" t="str">
            <v>2007ANKA SERVICESScratch 1 000</v>
          </cell>
        </row>
        <row r="2926">
          <cell r="I2926">
            <v>2007</v>
          </cell>
          <cell r="J2926" t="str">
            <v>Burtel MacsymScratch 20 000</v>
          </cell>
          <cell r="L2926">
            <v>1</v>
          </cell>
          <cell r="M2926" t="str">
            <v>1Burtel Macsym</v>
          </cell>
          <cell r="N2926" t="str">
            <v>Burtel MacsymScratch 20 000</v>
          </cell>
          <cell r="O2926" t="str">
            <v>Burtel Macsym</v>
          </cell>
          <cell r="P2926" t="str">
            <v>Scratch 20 000</v>
          </cell>
          <cell r="Q2926" t="str">
            <v>92007</v>
          </cell>
          <cell r="R2926" t="str">
            <v>92007Scratch 20 000</v>
          </cell>
          <cell r="S2926" t="str">
            <v>2007Scratch 20 000</v>
          </cell>
          <cell r="T2926" t="str">
            <v>92007Burtel Macsym</v>
          </cell>
          <cell r="U2926" t="str">
            <v>92007Burtel MacsymScratch 20 000</v>
          </cell>
          <cell r="V2926" t="str">
            <v>39349Scratch 20 000</v>
          </cell>
          <cell r="W2926" t="str">
            <v>2007Burtel Macsym</v>
          </cell>
          <cell r="X2926" t="str">
            <v>2007Burtel MacsymScratch 20 000</v>
          </cell>
        </row>
        <row r="2927">
          <cell r="I2927">
            <v>2007</v>
          </cell>
          <cell r="J2927" t="str">
            <v>Burtel MacsymScratch 5 000</v>
          </cell>
          <cell r="L2927">
            <v>0</v>
          </cell>
          <cell r="M2927" t="str">
            <v>Burtel Macsym</v>
          </cell>
          <cell r="N2927" t="str">
            <v>Burtel MacsymScratch 5 000</v>
          </cell>
          <cell r="O2927" t="str">
            <v>Burtel Macsym</v>
          </cell>
          <cell r="P2927" t="str">
            <v>Scratch 5 000</v>
          </cell>
          <cell r="Q2927" t="str">
            <v>92007</v>
          </cell>
          <cell r="R2927" t="str">
            <v>92007Scratch 5 000</v>
          </cell>
          <cell r="S2927" t="str">
            <v>2007Scratch 5 000</v>
          </cell>
          <cell r="T2927" t="str">
            <v>92007Burtel Macsym</v>
          </cell>
          <cell r="U2927" t="str">
            <v>92007Burtel MacsymScratch 5 000</v>
          </cell>
          <cell r="V2927" t="str">
            <v>39349Scratch 5 000</v>
          </cell>
          <cell r="W2927" t="str">
            <v>2007Burtel Macsym</v>
          </cell>
          <cell r="X2927" t="str">
            <v>2007Burtel MacsymScratch 5 000</v>
          </cell>
        </row>
        <row r="2928">
          <cell r="I2928">
            <v>2007</v>
          </cell>
          <cell r="J2928" t="str">
            <v>Burtel MacsymScratch 2 000</v>
          </cell>
          <cell r="L2928">
            <v>0</v>
          </cell>
          <cell r="M2928" t="str">
            <v>Burtel Macsym</v>
          </cell>
          <cell r="N2928" t="str">
            <v>Burtel MacsymScratch 2 000</v>
          </cell>
          <cell r="O2928" t="str">
            <v>Burtel Macsym</v>
          </cell>
          <cell r="P2928" t="str">
            <v>Scratch 2 000</v>
          </cell>
          <cell r="Q2928" t="str">
            <v>92007</v>
          </cell>
          <cell r="R2928" t="str">
            <v>92007Scratch 2 000</v>
          </cell>
          <cell r="S2928" t="str">
            <v>2007Scratch 2 000</v>
          </cell>
          <cell r="T2928" t="str">
            <v>92007Burtel Macsym</v>
          </cell>
          <cell r="U2928" t="str">
            <v>92007Burtel MacsymScratch 2 000</v>
          </cell>
          <cell r="V2928" t="str">
            <v>39349Scratch 2 000</v>
          </cell>
          <cell r="W2928" t="str">
            <v>2007Burtel Macsym</v>
          </cell>
          <cell r="X2928" t="str">
            <v>2007Burtel MacsymScratch 2 000</v>
          </cell>
        </row>
        <row r="2929">
          <cell r="I2929">
            <v>2007</v>
          </cell>
          <cell r="J2929" t="str">
            <v>Burtel MacsymScratch 1 000</v>
          </cell>
          <cell r="L2929">
            <v>0</v>
          </cell>
          <cell r="M2929" t="str">
            <v>Burtel Macsym</v>
          </cell>
          <cell r="N2929" t="str">
            <v>Burtel MacsymScratch 1 000</v>
          </cell>
          <cell r="O2929" t="str">
            <v>Burtel Macsym</v>
          </cell>
          <cell r="P2929" t="str">
            <v>Scratch 1 000</v>
          </cell>
          <cell r="Q2929" t="str">
            <v>92007</v>
          </cell>
          <cell r="R2929" t="str">
            <v>92007Scratch 1 000</v>
          </cell>
          <cell r="S2929" t="str">
            <v>2007Scratch 1 000</v>
          </cell>
          <cell r="T2929" t="str">
            <v>92007Burtel Macsym</v>
          </cell>
          <cell r="U2929" t="str">
            <v>92007Burtel MacsymScratch 1 000</v>
          </cell>
          <cell r="V2929" t="str">
            <v>39349Scratch 1 000</v>
          </cell>
          <cell r="W2929" t="str">
            <v>2007Burtel Macsym</v>
          </cell>
          <cell r="X2929" t="str">
            <v>2007Burtel MacsymScratch 1 000</v>
          </cell>
        </row>
        <row r="2930">
          <cell r="I2930">
            <v>2007</v>
          </cell>
          <cell r="J2930" t="str">
            <v>STS GAMBY &amp; FRERES (SOGAF) SarlScratch 20 000</v>
          </cell>
          <cell r="L2930">
            <v>1</v>
          </cell>
          <cell r="M2930" t="str">
            <v>1STS GAMBY &amp; FRERES (SOGAF) Sarl</v>
          </cell>
          <cell r="N2930" t="str">
            <v>STS GAMBY &amp; FRERES (SOGAF) SarlScratch 20 000</v>
          </cell>
          <cell r="O2930" t="str">
            <v>STS GAMBY &amp; FRERES (SOGAF) Sarl</v>
          </cell>
          <cell r="P2930" t="str">
            <v>Scratch 20 000</v>
          </cell>
          <cell r="Q2930" t="str">
            <v>92007</v>
          </cell>
          <cell r="R2930" t="str">
            <v>92007Scratch 20 000</v>
          </cell>
          <cell r="S2930" t="str">
            <v>2007Scratch 20 000</v>
          </cell>
          <cell r="T2930" t="str">
            <v>92007STS GAMBY &amp; FRERES (SOGAF) Sarl</v>
          </cell>
          <cell r="U2930" t="str">
            <v>92007STS GAMBY &amp; FRERES (SOGAF) SarlScratch 20 000</v>
          </cell>
          <cell r="V2930" t="str">
            <v>39350Scratch 20 000</v>
          </cell>
          <cell r="W2930" t="str">
            <v>2007STS GAMBY &amp; FRERES (SOGAF) Sarl</v>
          </cell>
          <cell r="X2930" t="str">
            <v>2007STS GAMBY &amp; FRERES (SOGAF) SarlScratch 20 000</v>
          </cell>
        </row>
        <row r="2931">
          <cell r="I2931">
            <v>2007</v>
          </cell>
          <cell r="J2931" t="str">
            <v>STS GAMBY &amp; FRERES (SOGAF) SarlScratch 5 000</v>
          </cell>
          <cell r="L2931">
            <v>0</v>
          </cell>
          <cell r="M2931" t="str">
            <v>STS GAMBY &amp; FRERES (SOGAF) Sarl</v>
          </cell>
          <cell r="N2931" t="str">
            <v>STS GAMBY &amp; FRERES (SOGAF) SarlScratch 5 000</v>
          </cell>
          <cell r="O2931" t="str">
            <v>STS GAMBY &amp; FRERES (SOGAF) Sarl</v>
          </cell>
          <cell r="P2931" t="str">
            <v>Scratch 5 000</v>
          </cell>
          <cell r="Q2931" t="str">
            <v>92007</v>
          </cell>
          <cell r="R2931" t="str">
            <v>92007Scratch 5 000</v>
          </cell>
          <cell r="S2931" t="str">
            <v>2007Scratch 5 000</v>
          </cell>
          <cell r="T2931" t="str">
            <v>92007STS GAMBY &amp; FRERES (SOGAF) Sarl</v>
          </cell>
          <cell r="U2931" t="str">
            <v>92007STS GAMBY &amp; FRERES (SOGAF) SarlScratch 5 000</v>
          </cell>
          <cell r="V2931" t="str">
            <v>39350Scratch 5 000</v>
          </cell>
          <cell r="W2931" t="str">
            <v>2007STS GAMBY &amp; FRERES (SOGAF) Sarl</v>
          </cell>
          <cell r="X2931" t="str">
            <v>2007STS GAMBY &amp; FRERES (SOGAF) SarlScratch 5 000</v>
          </cell>
        </row>
        <row r="2932">
          <cell r="I2932">
            <v>2007</v>
          </cell>
          <cell r="J2932" t="str">
            <v>STS GAMBY &amp; FRERES (SOGAF) SarlScratch 2 000</v>
          </cell>
          <cell r="L2932">
            <v>0</v>
          </cell>
          <cell r="M2932" t="str">
            <v>STS GAMBY &amp; FRERES (SOGAF) Sarl</v>
          </cell>
          <cell r="N2932" t="str">
            <v>STS GAMBY &amp; FRERES (SOGAF) SarlScratch 2 000</v>
          </cell>
          <cell r="O2932" t="str">
            <v>STS GAMBY &amp; FRERES (SOGAF) Sarl</v>
          </cell>
          <cell r="P2932" t="str">
            <v>Scratch 2 000</v>
          </cell>
          <cell r="Q2932" t="str">
            <v>92007</v>
          </cell>
          <cell r="R2932" t="str">
            <v>92007Scratch 2 000</v>
          </cell>
          <cell r="S2932" t="str">
            <v>2007Scratch 2 000</v>
          </cell>
          <cell r="T2932" t="str">
            <v>92007STS GAMBY &amp; FRERES (SOGAF) Sarl</v>
          </cell>
          <cell r="U2932" t="str">
            <v>92007STS GAMBY &amp; FRERES (SOGAF) SarlScratch 2 000</v>
          </cell>
          <cell r="V2932" t="str">
            <v>39350Scratch 2 000</v>
          </cell>
          <cell r="W2932" t="str">
            <v>2007STS GAMBY &amp; FRERES (SOGAF) Sarl</v>
          </cell>
          <cell r="X2932" t="str">
            <v>2007STS GAMBY &amp; FRERES (SOGAF) SarlScratch 2 000</v>
          </cell>
        </row>
        <row r="2933">
          <cell r="I2933">
            <v>2007</v>
          </cell>
          <cell r="J2933" t="str">
            <v>STS GAMBY &amp; FRERES (SOGAF) SarlScratch 1 000</v>
          </cell>
          <cell r="L2933">
            <v>0</v>
          </cell>
          <cell r="M2933" t="str">
            <v>STS GAMBY &amp; FRERES (SOGAF) Sarl</v>
          </cell>
          <cell r="N2933" t="str">
            <v>STS GAMBY &amp; FRERES (SOGAF) SarlScratch 1 000</v>
          </cell>
          <cell r="O2933" t="str">
            <v>STS GAMBY &amp; FRERES (SOGAF) Sarl</v>
          </cell>
          <cell r="P2933" t="str">
            <v>Scratch 1 000</v>
          </cell>
          <cell r="Q2933" t="str">
            <v>92007</v>
          </cell>
          <cell r="R2933" t="str">
            <v>92007Scratch 1 000</v>
          </cell>
          <cell r="S2933" t="str">
            <v>2007Scratch 1 000</v>
          </cell>
          <cell r="T2933" t="str">
            <v>92007STS GAMBY &amp; FRERES (SOGAF) Sarl</v>
          </cell>
          <cell r="U2933" t="str">
            <v>92007STS GAMBY &amp; FRERES (SOGAF) SarlScratch 1 000</v>
          </cell>
          <cell r="V2933" t="str">
            <v>39350Scratch 1 000</v>
          </cell>
          <cell r="W2933" t="str">
            <v>2007STS GAMBY &amp; FRERES (SOGAF) Sarl</v>
          </cell>
          <cell r="X2933" t="str">
            <v>2007STS GAMBY &amp; FRERES (SOGAF) SarlScratch 1 000</v>
          </cell>
        </row>
        <row r="2934">
          <cell r="I2934">
            <v>2007</v>
          </cell>
          <cell r="J2934" t="str">
            <v>GEMATELScratch 5 000</v>
          </cell>
          <cell r="L2934">
            <v>1</v>
          </cell>
          <cell r="M2934" t="str">
            <v>1GEMATEL</v>
          </cell>
          <cell r="N2934" t="str">
            <v>GEMATELScratch 5 000</v>
          </cell>
          <cell r="O2934" t="str">
            <v>GEMATEL</v>
          </cell>
          <cell r="P2934" t="str">
            <v>Scratch 5 000</v>
          </cell>
          <cell r="Q2934" t="str">
            <v>92007</v>
          </cell>
          <cell r="R2934" t="str">
            <v>92007Scratch 5 000</v>
          </cell>
          <cell r="S2934" t="str">
            <v>2007Scratch 5 000</v>
          </cell>
          <cell r="T2934" t="str">
            <v>92007GEMATEL</v>
          </cell>
          <cell r="U2934" t="str">
            <v>92007GEMATELScratch 5 000</v>
          </cell>
          <cell r="V2934" t="str">
            <v>39350Scratch 5 000</v>
          </cell>
          <cell r="W2934" t="str">
            <v>2007GEMATEL</v>
          </cell>
          <cell r="X2934" t="str">
            <v>2007GEMATELScratch 5 000</v>
          </cell>
        </row>
        <row r="2935">
          <cell r="I2935">
            <v>2007</v>
          </cell>
          <cell r="J2935" t="str">
            <v>GEMATELScratch 2 000</v>
          </cell>
          <cell r="L2935">
            <v>0</v>
          </cell>
          <cell r="M2935" t="str">
            <v>GEMATEL</v>
          </cell>
          <cell r="N2935" t="str">
            <v>GEMATELScratch 2 000</v>
          </cell>
          <cell r="O2935" t="str">
            <v>GEMATEL</v>
          </cell>
          <cell r="P2935" t="str">
            <v>Scratch 2 000</v>
          </cell>
          <cell r="Q2935" t="str">
            <v>92007</v>
          </cell>
          <cell r="R2935" t="str">
            <v>92007Scratch 2 000</v>
          </cell>
          <cell r="S2935" t="str">
            <v>2007Scratch 2 000</v>
          </cell>
          <cell r="T2935" t="str">
            <v>92007GEMATEL</v>
          </cell>
          <cell r="U2935" t="str">
            <v>92007GEMATELScratch 2 000</v>
          </cell>
          <cell r="V2935" t="str">
            <v>39350Scratch 2 000</v>
          </cell>
          <cell r="W2935" t="str">
            <v>2007GEMATEL</v>
          </cell>
          <cell r="X2935" t="str">
            <v>2007GEMATELScratch 2 000</v>
          </cell>
        </row>
        <row r="2936">
          <cell r="I2936">
            <v>2007</v>
          </cell>
          <cell r="J2936" t="str">
            <v>GEMATELScratch 1 000</v>
          </cell>
          <cell r="L2936">
            <v>0</v>
          </cell>
          <cell r="M2936" t="str">
            <v>GEMATEL</v>
          </cell>
          <cell r="N2936" t="str">
            <v>GEMATELScratch 1 000</v>
          </cell>
          <cell r="O2936" t="str">
            <v>GEMATEL</v>
          </cell>
          <cell r="P2936" t="str">
            <v>Scratch 1 000</v>
          </cell>
          <cell r="Q2936" t="str">
            <v>92007</v>
          </cell>
          <cell r="R2936" t="str">
            <v>92007Scratch 1 000</v>
          </cell>
          <cell r="S2936" t="str">
            <v>2007Scratch 1 000</v>
          </cell>
          <cell r="T2936" t="str">
            <v>92007GEMATEL</v>
          </cell>
          <cell r="U2936" t="str">
            <v>92007GEMATELScratch 1 000</v>
          </cell>
          <cell r="V2936" t="str">
            <v>39350Scratch 1 000</v>
          </cell>
          <cell r="W2936" t="str">
            <v>2007GEMATEL</v>
          </cell>
          <cell r="X2936" t="str">
            <v>2007GEMATELScratch 1 000</v>
          </cell>
        </row>
        <row r="2937">
          <cell r="I2937">
            <v>2007</v>
          </cell>
          <cell r="J2937" t="str">
            <v>Bonneterie Nouvelle TelecomScratch 20 000</v>
          </cell>
          <cell r="L2937">
            <v>1</v>
          </cell>
          <cell r="M2937" t="str">
            <v>1Bonneterie Nouvelle Telecom</v>
          </cell>
          <cell r="N2937" t="str">
            <v>Bonneterie Nouvelle TelecomScratch 20 000</v>
          </cell>
          <cell r="O2937" t="str">
            <v>Bonneterie Nouvelle Telecom</v>
          </cell>
          <cell r="P2937" t="str">
            <v>Scratch 20 000</v>
          </cell>
          <cell r="Q2937" t="str">
            <v>92007</v>
          </cell>
          <cell r="R2937" t="str">
            <v>92007Scratch 20 000</v>
          </cell>
          <cell r="S2937" t="str">
            <v>2007Scratch 20 000</v>
          </cell>
          <cell r="T2937" t="str">
            <v>92007Bonneterie Nouvelle Telecom</v>
          </cell>
          <cell r="U2937" t="str">
            <v>92007Bonneterie Nouvelle TelecomScratch 20 000</v>
          </cell>
          <cell r="V2937" t="str">
            <v>39350Scratch 20 000</v>
          </cell>
          <cell r="W2937" t="str">
            <v>2007Bonneterie Nouvelle Telecom</v>
          </cell>
          <cell r="X2937" t="str">
            <v>2007Bonneterie Nouvelle TelecomScratch 20 000</v>
          </cell>
        </row>
        <row r="2938">
          <cell r="I2938">
            <v>2007</v>
          </cell>
          <cell r="J2938" t="str">
            <v>Bonneterie Nouvelle TelecomScratch 5 000</v>
          </cell>
          <cell r="L2938">
            <v>0</v>
          </cell>
          <cell r="M2938" t="str">
            <v>Bonneterie Nouvelle Telecom</v>
          </cell>
          <cell r="N2938" t="str">
            <v>Bonneterie Nouvelle TelecomScratch 5 000</v>
          </cell>
          <cell r="O2938" t="str">
            <v>Bonneterie Nouvelle Telecom</v>
          </cell>
          <cell r="P2938" t="str">
            <v>Scratch 5 000</v>
          </cell>
          <cell r="Q2938" t="str">
            <v>92007</v>
          </cell>
          <cell r="R2938" t="str">
            <v>92007Scratch 5 000</v>
          </cell>
          <cell r="S2938" t="str">
            <v>2007Scratch 5 000</v>
          </cell>
          <cell r="T2938" t="str">
            <v>92007Bonneterie Nouvelle Telecom</v>
          </cell>
          <cell r="U2938" t="str">
            <v>92007Bonneterie Nouvelle TelecomScratch 5 000</v>
          </cell>
          <cell r="V2938" t="str">
            <v>39350Scratch 5 000</v>
          </cell>
          <cell r="W2938" t="str">
            <v>2007Bonneterie Nouvelle Telecom</v>
          </cell>
          <cell r="X2938" t="str">
            <v>2007Bonneterie Nouvelle TelecomScratch 5 000</v>
          </cell>
        </row>
        <row r="2939">
          <cell r="I2939">
            <v>2007</v>
          </cell>
          <cell r="J2939" t="str">
            <v>Bonneterie Nouvelle TelecomScratch 2 000</v>
          </cell>
          <cell r="L2939">
            <v>0</v>
          </cell>
          <cell r="M2939" t="str">
            <v>Bonneterie Nouvelle Telecom</v>
          </cell>
          <cell r="N2939" t="str">
            <v>Bonneterie Nouvelle TelecomScratch 2 000</v>
          </cell>
          <cell r="O2939" t="str">
            <v>Bonneterie Nouvelle Telecom</v>
          </cell>
          <cell r="P2939" t="str">
            <v>Scratch 2 000</v>
          </cell>
          <cell r="Q2939" t="str">
            <v>92007</v>
          </cell>
          <cell r="R2939" t="str">
            <v>92007Scratch 2 000</v>
          </cell>
          <cell r="S2939" t="str">
            <v>2007Scratch 2 000</v>
          </cell>
          <cell r="T2939" t="str">
            <v>92007Bonneterie Nouvelle Telecom</v>
          </cell>
          <cell r="U2939" t="str">
            <v>92007Bonneterie Nouvelle TelecomScratch 2 000</v>
          </cell>
          <cell r="V2939" t="str">
            <v>39350Scratch 2 000</v>
          </cell>
          <cell r="W2939" t="str">
            <v>2007Bonneterie Nouvelle Telecom</v>
          </cell>
          <cell r="X2939" t="str">
            <v>2007Bonneterie Nouvelle TelecomScratch 2 000</v>
          </cell>
        </row>
        <row r="2940">
          <cell r="I2940">
            <v>2007</v>
          </cell>
          <cell r="J2940" t="str">
            <v>Bonneterie Nouvelle TelecomScratch 1 000</v>
          </cell>
          <cell r="L2940">
            <v>0</v>
          </cell>
          <cell r="M2940" t="str">
            <v>Bonneterie Nouvelle Telecom</v>
          </cell>
          <cell r="N2940" t="str">
            <v>Bonneterie Nouvelle TelecomScratch 1 000</v>
          </cell>
          <cell r="O2940" t="str">
            <v>Bonneterie Nouvelle Telecom</v>
          </cell>
          <cell r="P2940" t="str">
            <v>Scratch 1 000</v>
          </cell>
          <cell r="Q2940" t="str">
            <v>92007</v>
          </cell>
          <cell r="R2940" t="str">
            <v>92007Scratch 1 000</v>
          </cell>
          <cell r="S2940" t="str">
            <v>2007Scratch 1 000</v>
          </cell>
          <cell r="T2940" t="str">
            <v>92007Bonneterie Nouvelle Telecom</v>
          </cell>
          <cell r="U2940" t="str">
            <v>92007Bonneterie Nouvelle TelecomScratch 1 000</v>
          </cell>
          <cell r="V2940" t="str">
            <v>39350Scratch 1 000</v>
          </cell>
          <cell r="W2940" t="str">
            <v>2007Bonneterie Nouvelle Telecom</v>
          </cell>
          <cell r="X2940" t="str">
            <v>2007Bonneterie Nouvelle TelecomScratch 1 000</v>
          </cell>
        </row>
        <row r="2941">
          <cell r="I2941">
            <v>2007</v>
          </cell>
          <cell r="J2941" t="str">
            <v>MALI COM SarlScratch 5 000</v>
          </cell>
          <cell r="L2941">
            <v>1</v>
          </cell>
          <cell r="M2941" t="str">
            <v>1MALI COM Sarl</v>
          </cell>
          <cell r="N2941" t="str">
            <v>MALI COM SarlScratch 5 000</v>
          </cell>
          <cell r="O2941" t="str">
            <v>MALI COM Sarl</v>
          </cell>
          <cell r="P2941" t="str">
            <v>Scratch 5 000</v>
          </cell>
          <cell r="Q2941" t="str">
            <v>92007</v>
          </cell>
          <cell r="R2941" t="str">
            <v>92007Scratch 5 000</v>
          </cell>
          <cell r="S2941" t="str">
            <v>2007Scratch 5 000</v>
          </cell>
          <cell r="T2941" t="str">
            <v>92007MALI COM Sarl</v>
          </cell>
          <cell r="U2941" t="str">
            <v>92007MALI COM SarlScratch 5 000</v>
          </cell>
          <cell r="V2941" t="str">
            <v>39350Scratch 5 000</v>
          </cell>
          <cell r="W2941" t="str">
            <v>2007MALI COM Sarl</v>
          </cell>
          <cell r="X2941" t="str">
            <v>2007MALI COM SarlScratch 5 000</v>
          </cell>
        </row>
        <row r="2942">
          <cell r="I2942">
            <v>2007</v>
          </cell>
          <cell r="J2942" t="str">
            <v>MALI COM SarlScratch 2 000</v>
          </cell>
          <cell r="L2942">
            <v>0</v>
          </cell>
          <cell r="M2942" t="str">
            <v>MALI COM Sarl</v>
          </cell>
          <cell r="N2942" t="str">
            <v>MALI COM SarlScratch 2 000</v>
          </cell>
          <cell r="O2942" t="str">
            <v>MALI COM Sarl</v>
          </cell>
          <cell r="P2942" t="str">
            <v>Scratch 2 000</v>
          </cell>
          <cell r="Q2942" t="str">
            <v>92007</v>
          </cell>
          <cell r="R2942" t="str">
            <v>92007Scratch 2 000</v>
          </cell>
          <cell r="S2942" t="str">
            <v>2007Scratch 2 000</v>
          </cell>
          <cell r="T2942" t="str">
            <v>92007MALI COM Sarl</v>
          </cell>
          <cell r="U2942" t="str">
            <v>92007MALI COM SarlScratch 2 000</v>
          </cell>
          <cell r="V2942" t="str">
            <v>39350Scratch 2 000</v>
          </cell>
          <cell r="W2942" t="str">
            <v>2007MALI COM Sarl</v>
          </cell>
          <cell r="X2942" t="str">
            <v>2007MALI COM SarlScratch 2 000</v>
          </cell>
        </row>
        <row r="2943">
          <cell r="I2943">
            <v>2007</v>
          </cell>
          <cell r="J2943" t="str">
            <v>MALI COM SarlScratch 1 000</v>
          </cell>
          <cell r="L2943">
            <v>0</v>
          </cell>
          <cell r="M2943" t="str">
            <v>MALI COM Sarl</v>
          </cell>
          <cell r="N2943" t="str">
            <v>MALI COM SarlScratch 1 000</v>
          </cell>
          <cell r="O2943" t="str">
            <v>MALI COM Sarl</v>
          </cell>
          <cell r="P2943" t="str">
            <v>Scratch 1 000</v>
          </cell>
          <cell r="Q2943" t="str">
            <v>92007</v>
          </cell>
          <cell r="R2943" t="str">
            <v>92007Scratch 1 000</v>
          </cell>
          <cell r="S2943" t="str">
            <v>2007Scratch 1 000</v>
          </cell>
          <cell r="T2943" t="str">
            <v>92007MALI COM Sarl</v>
          </cell>
          <cell r="U2943" t="str">
            <v>92007MALI COM SarlScratch 1 000</v>
          </cell>
          <cell r="V2943" t="str">
            <v>39350Scratch 1 000</v>
          </cell>
          <cell r="W2943" t="str">
            <v>2007MALI COM Sarl</v>
          </cell>
          <cell r="X2943" t="str">
            <v>2007MALI COM SarlScratch 1 000</v>
          </cell>
        </row>
        <row r="2944">
          <cell r="I2944">
            <v>2007</v>
          </cell>
          <cell r="J2944" t="str">
            <v>Burtel MacsymScratch 20 000</v>
          </cell>
          <cell r="L2944">
            <v>1</v>
          </cell>
          <cell r="M2944" t="str">
            <v>1Burtel Macsym</v>
          </cell>
          <cell r="N2944" t="str">
            <v>Burtel MacsymScratch 20 000</v>
          </cell>
          <cell r="O2944" t="str">
            <v>Burtel Macsym</v>
          </cell>
          <cell r="P2944" t="str">
            <v>Scratch 20 000</v>
          </cell>
          <cell r="Q2944" t="str">
            <v>92007</v>
          </cell>
          <cell r="R2944" t="str">
            <v>92007Scratch 20 000</v>
          </cell>
          <cell r="S2944" t="str">
            <v>2007Scratch 20 000</v>
          </cell>
          <cell r="T2944" t="str">
            <v>92007Burtel Macsym</v>
          </cell>
          <cell r="U2944" t="str">
            <v>92007Burtel MacsymScratch 20 000</v>
          </cell>
          <cell r="V2944" t="str">
            <v>39350Scratch 20 000</v>
          </cell>
          <cell r="W2944" t="str">
            <v>2007Burtel Macsym</v>
          </cell>
          <cell r="X2944" t="str">
            <v>2007Burtel MacsymScratch 20 000</v>
          </cell>
        </row>
        <row r="2945">
          <cell r="I2945">
            <v>2007</v>
          </cell>
          <cell r="J2945" t="str">
            <v>Burtel MacsymScratch 5 000</v>
          </cell>
          <cell r="L2945">
            <v>0</v>
          </cell>
          <cell r="M2945" t="str">
            <v>Burtel Macsym</v>
          </cell>
          <cell r="N2945" t="str">
            <v>Burtel MacsymScratch 5 000</v>
          </cell>
          <cell r="O2945" t="str">
            <v>Burtel Macsym</v>
          </cell>
          <cell r="P2945" t="str">
            <v>Scratch 5 000</v>
          </cell>
          <cell r="Q2945" t="str">
            <v>92007</v>
          </cell>
          <cell r="R2945" t="str">
            <v>92007Scratch 5 000</v>
          </cell>
          <cell r="S2945" t="str">
            <v>2007Scratch 5 000</v>
          </cell>
          <cell r="T2945" t="str">
            <v>92007Burtel Macsym</v>
          </cell>
          <cell r="U2945" t="str">
            <v>92007Burtel MacsymScratch 5 000</v>
          </cell>
          <cell r="V2945" t="str">
            <v>39350Scratch 5 000</v>
          </cell>
          <cell r="W2945" t="str">
            <v>2007Burtel Macsym</v>
          </cell>
          <cell r="X2945" t="str">
            <v>2007Burtel MacsymScratch 5 000</v>
          </cell>
        </row>
        <row r="2946">
          <cell r="I2946">
            <v>2007</v>
          </cell>
          <cell r="J2946" t="str">
            <v>Burtel MacsymScratch 2 000</v>
          </cell>
          <cell r="L2946">
            <v>0</v>
          </cell>
          <cell r="M2946" t="str">
            <v>Burtel Macsym</v>
          </cell>
          <cell r="N2946" t="str">
            <v>Burtel MacsymScratch 2 000</v>
          </cell>
          <cell r="O2946" t="str">
            <v>Burtel Macsym</v>
          </cell>
          <cell r="P2946" t="str">
            <v>Scratch 2 000</v>
          </cell>
          <cell r="Q2946" t="str">
            <v>92007</v>
          </cell>
          <cell r="R2946" t="str">
            <v>92007Scratch 2 000</v>
          </cell>
          <cell r="S2946" t="str">
            <v>2007Scratch 2 000</v>
          </cell>
          <cell r="T2946" t="str">
            <v>92007Burtel Macsym</v>
          </cell>
          <cell r="U2946" t="str">
            <v>92007Burtel MacsymScratch 2 000</v>
          </cell>
          <cell r="V2946" t="str">
            <v>39350Scratch 2 000</v>
          </cell>
          <cell r="W2946" t="str">
            <v>2007Burtel Macsym</v>
          </cell>
          <cell r="X2946" t="str">
            <v>2007Burtel MacsymScratch 2 000</v>
          </cell>
        </row>
        <row r="2947">
          <cell r="I2947">
            <v>2007</v>
          </cell>
          <cell r="J2947" t="str">
            <v>Burtel MacsymScratch 1 000</v>
          </cell>
          <cell r="L2947">
            <v>0</v>
          </cell>
          <cell r="M2947" t="str">
            <v>Burtel Macsym</v>
          </cell>
          <cell r="N2947" t="str">
            <v>Burtel MacsymScratch 1 000</v>
          </cell>
          <cell r="O2947" t="str">
            <v>Burtel Macsym</v>
          </cell>
          <cell r="P2947" t="str">
            <v>Scratch 1 000</v>
          </cell>
          <cell r="Q2947" t="str">
            <v>92007</v>
          </cell>
          <cell r="R2947" t="str">
            <v>92007Scratch 1 000</v>
          </cell>
          <cell r="S2947" t="str">
            <v>2007Scratch 1 000</v>
          </cell>
          <cell r="T2947" t="str">
            <v>92007Burtel Macsym</v>
          </cell>
          <cell r="U2947" t="str">
            <v>92007Burtel MacsymScratch 1 000</v>
          </cell>
          <cell r="V2947" t="str">
            <v>39350Scratch 1 000</v>
          </cell>
          <cell r="W2947" t="str">
            <v>2007Burtel Macsym</v>
          </cell>
          <cell r="X2947" t="str">
            <v>2007Burtel MacsymScratch 1 000</v>
          </cell>
        </row>
        <row r="2948">
          <cell r="I2948">
            <v>2007</v>
          </cell>
          <cell r="J2948" t="str">
            <v>GEMATELScratch 20 000</v>
          </cell>
          <cell r="L2948">
            <v>1</v>
          </cell>
          <cell r="M2948" t="str">
            <v>1GEMATEL</v>
          </cell>
          <cell r="N2948" t="str">
            <v>GEMATELScratch 20 000</v>
          </cell>
          <cell r="O2948" t="str">
            <v>GEMATEL</v>
          </cell>
          <cell r="P2948" t="str">
            <v>Scratch 20 000</v>
          </cell>
          <cell r="Q2948" t="str">
            <v>92007</v>
          </cell>
          <cell r="R2948" t="str">
            <v>92007Scratch 20 000</v>
          </cell>
          <cell r="S2948" t="str">
            <v>2007Scratch 20 000</v>
          </cell>
          <cell r="T2948" t="str">
            <v>92007GEMATEL</v>
          </cell>
          <cell r="U2948" t="str">
            <v>92007GEMATELScratch 20 000</v>
          </cell>
          <cell r="V2948" t="str">
            <v>39350Scratch 20 000</v>
          </cell>
          <cell r="W2948" t="str">
            <v>2007GEMATEL</v>
          </cell>
          <cell r="X2948" t="str">
            <v>2007GEMATELScratch 20 000</v>
          </cell>
        </row>
        <row r="2949">
          <cell r="I2949">
            <v>2007</v>
          </cell>
          <cell r="J2949" t="str">
            <v>GEMATELScratch 5 000</v>
          </cell>
          <cell r="L2949">
            <v>0</v>
          </cell>
          <cell r="M2949" t="str">
            <v>GEMATEL</v>
          </cell>
          <cell r="N2949" t="str">
            <v>GEMATELScratch 5 000</v>
          </cell>
          <cell r="O2949" t="str">
            <v>GEMATEL</v>
          </cell>
          <cell r="P2949" t="str">
            <v>Scratch 5 000</v>
          </cell>
          <cell r="Q2949" t="str">
            <v>92007</v>
          </cell>
          <cell r="R2949" t="str">
            <v>92007Scratch 5 000</v>
          </cell>
          <cell r="S2949" t="str">
            <v>2007Scratch 5 000</v>
          </cell>
          <cell r="T2949" t="str">
            <v>92007GEMATEL</v>
          </cell>
          <cell r="U2949" t="str">
            <v>92007GEMATELScratch 5 000</v>
          </cell>
          <cell r="V2949" t="str">
            <v>39350Scratch 5 000</v>
          </cell>
          <cell r="W2949" t="str">
            <v>2007GEMATEL</v>
          </cell>
          <cell r="X2949" t="str">
            <v>2007GEMATELScratch 5 000</v>
          </cell>
        </row>
        <row r="2950">
          <cell r="I2950">
            <v>2007</v>
          </cell>
          <cell r="J2950" t="str">
            <v>GEMATELScratch 2 000</v>
          </cell>
          <cell r="L2950">
            <v>0</v>
          </cell>
          <cell r="M2950" t="str">
            <v>GEMATEL</v>
          </cell>
          <cell r="N2950" t="str">
            <v>GEMATELScratch 2 000</v>
          </cell>
          <cell r="O2950" t="str">
            <v>GEMATEL</v>
          </cell>
          <cell r="P2950" t="str">
            <v>Scratch 2 000</v>
          </cell>
          <cell r="Q2950" t="str">
            <v>92007</v>
          </cell>
          <cell r="R2950" t="str">
            <v>92007Scratch 2 000</v>
          </cell>
          <cell r="S2950" t="str">
            <v>2007Scratch 2 000</v>
          </cell>
          <cell r="T2950" t="str">
            <v>92007GEMATEL</v>
          </cell>
          <cell r="U2950" t="str">
            <v>92007GEMATELScratch 2 000</v>
          </cell>
          <cell r="V2950" t="str">
            <v>39350Scratch 2 000</v>
          </cell>
          <cell r="W2950" t="str">
            <v>2007GEMATEL</v>
          </cell>
          <cell r="X2950" t="str">
            <v>2007GEMATELScratch 2 000</v>
          </cell>
        </row>
        <row r="2951">
          <cell r="I2951">
            <v>2007</v>
          </cell>
          <cell r="J2951" t="str">
            <v>GEMATELScratch 1 000</v>
          </cell>
          <cell r="L2951">
            <v>0</v>
          </cell>
          <cell r="M2951" t="str">
            <v>GEMATEL</v>
          </cell>
          <cell r="N2951" t="str">
            <v>GEMATELScratch 1 000</v>
          </cell>
          <cell r="O2951" t="str">
            <v>GEMATEL</v>
          </cell>
          <cell r="P2951" t="str">
            <v>Scratch 1 000</v>
          </cell>
          <cell r="Q2951" t="str">
            <v>92007</v>
          </cell>
          <cell r="R2951" t="str">
            <v>92007Scratch 1 000</v>
          </cell>
          <cell r="S2951" t="str">
            <v>2007Scratch 1 000</v>
          </cell>
          <cell r="T2951" t="str">
            <v>92007GEMATEL</v>
          </cell>
          <cell r="U2951" t="str">
            <v>92007GEMATELScratch 1 000</v>
          </cell>
          <cell r="V2951" t="str">
            <v>39350Scratch 1 000</v>
          </cell>
          <cell r="W2951" t="str">
            <v>2007GEMATEL</v>
          </cell>
          <cell r="X2951" t="str">
            <v>2007GEMATELScratch 1 000</v>
          </cell>
        </row>
        <row r="2952">
          <cell r="I2952">
            <v>2007</v>
          </cell>
          <cell r="J2952" t="str">
            <v>SOMAKOFFScratch 10 000</v>
          </cell>
          <cell r="L2952">
            <v>1</v>
          </cell>
          <cell r="M2952" t="str">
            <v>1SOMAKOFF</v>
          </cell>
          <cell r="N2952" t="str">
            <v>SOMAKOFFScratch 10 000</v>
          </cell>
          <cell r="O2952" t="str">
            <v>SOMAKOFF</v>
          </cell>
          <cell r="P2952" t="str">
            <v>Scratch 10 000</v>
          </cell>
          <cell r="Q2952" t="str">
            <v>92007</v>
          </cell>
          <cell r="R2952" t="str">
            <v>92007Scratch 10 000</v>
          </cell>
          <cell r="S2952" t="str">
            <v>2007Scratch 10 000</v>
          </cell>
          <cell r="T2952" t="str">
            <v>92007SOMAKOFF</v>
          </cell>
          <cell r="U2952" t="str">
            <v>92007SOMAKOFFScratch 10 000</v>
          </cell>
          <cell r="V2952" t="str">
            <v>39351Scratch 10 000</v>
          </cell>
          <cell r="W2952" t="str">
            <v>2007SOMAKOFF</v>
          </cell>
          <cell r="X2952" t="str">
            <v>2007SOMAKOFFScratch 10 000</v>
          </cell>
        </row>
        <row r="2953">
          <cell r="I2953">
            <v>2007</v>
          </cell>
          <cell r="J2953" t="str">
            <v>SOMAKOFFScratch 5 000</v>
          </cell>
          <cell r="L2953">
            <v>0</v>
          </cell>
          <cell r="M2953" t="str">
            <v>SOMAKOFF</v>
          </cell>
          <cell r="N2953" t="str">
            <v>SOMAKOFFScratch 5 000</v>
          </cell>
          <cell r="O2953" t="str">
            <v>SOMAKOFF</v>
          </cell>
          <cell r="P2953" t="str">
            <v>Scratch 5 000</v>
          </cell>
          <cell r="Q2953" t="str">
            <v>92007</v>
          </cell>
          <cell r="R2953" t="str">
            <v>92007Scratch 5 000</v>
          </cell>
          <cell r="S2953" t="str">
            <v>2007Scratch 5 000</v>
          </cell>
          <cell r="T2953" t="str">
            <v>92007SOMAKOFF</v>
          </cell>
          <cell r="U2953" t="str">
            <v>92007SOMAKOFFScratch 5 000</v>
          </cell>
          <cell r="V2953" t="str">
            <v>39351Scratch 5 000</v>
          </cell>
          <cell r="W2953" t="str">
            <v>2007SOMAKOFF</v>
          </cell>
          <cell r="X2953" t="str">
            <v>2007SOMAKOFFScratch 5 000</v>
          </cell>
        </row>
        <row r="2954">
          <cell r="I2954">
            <v>2007</v>
          </cell>
          <cell r="J2954" t="str">
            <v>SOMAKOFFScratch 1 000</v>
          </cell>
          <cell r="L2954">
            <v>0</v>
          </cell>
          <cell r="M2954" t="str">
            <v>SOMAKOFF</v>
          </cell>
          <cell r="N2954" t="str">
            <v>SOMAKOFFScratch 1 000</v>
          </cell>
          <cell r="O2954" t="str">
            <v>SOMAKOFF</v>
          </cell>
          <cell r="P2954" t="str">
            <v>Scratch 1 000</v>
          </cell>
          <cell r="Q2954" t="str">
            <v>92007</v>
          </cell>
          <cell r="R2954" t="str">
            <v>92007Scratch 1 000</v>
          </cell>
          <cell r="S2954" t="str">
            <v>2007Scratch 1 000</v>
          </cell>
          <cell r="T2954" t="str">
            <v>92007SOMAKOFF</v>
          </cell>
          <cell r="U2954" t="str">
            <v>92007SOMAKOFFScratch 1 000</v>
          </cell>
          <cell r="V2954" t="str">
            <v>39351Scratch 1 000</v>
          </cell>
          <cell r="W2954" t="str">
            <v>2007SOMAKOFF</v>
          </cell>
          <cell r="X2954" t="str">
            <v>2007SOMAKOFFScratch 1 000</v>
          </cell>
        </row>
        <row r="2955">
          <cell r="I2955">
            <v>2007</v>
          </cell>
          <cell r="J2955" t="str">
            <v>Soleil LevantScratch 20 000</v>
          </cell>
          <cell r="L2955">
            <v>1</v>
          </cell>
          <cell r="M2955" t="str">
            <v>1Soleil Levant</v>
          </cell>
          <cell r="N2955" t="str">
            <v>Soleil LevantScratch 20 000</v>
          </cell>
          <cell r="O2955" t="str">
            <v>Soleil Levant</v>
          </cell>
          <cell r="P2955" t="str">
            <v>Scratch 20 000</v>
          </cell>
          <cell r="Q2955" t="str">
            <v>92007</v>
          </cell>
          <cell r="R2955" t="str">
            <v>92007Scratch 20 000</v>
          </cell>
          <cell r="S2955" t="str">
            <v>2007Scratch 20 000</v>
          </cell>
          <cell r="T2955" t="str">
            <v>92007Soleil Levant</v>
          </cell>
          <cell r="U2955" t="str">
            <v>92007Soleil LevantScratch 20 000</v>
          </cell>
          <cell r="V2955" t="str">
            <v>39351Scratch 20 000</v>
          </cell>
          <cell r="W2955" t="str">
            <v>2007Soleil Levant</v>
          </cell>
          <cell r="X2955" t="str">
            <v>2007Soleil LevantScratch 20 000</v>
          </cell>
        </row>
        <row r="2956">
          <cell r="I2956">
            <v>2007</v>
          </cell>
          <cell r="J2956" t="str">
            <v>Soleil LevantScratch 5 000</v>
          </cell>
          <cell r="L2956">
            <v>0</v>
          </cell>
          <cell r="M2956" t="str">
            <v>Soleil Levant</v>
          </cell>
          <cell r="N2956" t="str">
            <v>Soleil LevantScratch 5 000</v>
          </cell>
          <cell r="O2956" t="str">
            <v>Soleil Levant</v>
          </cell>
          <cell r="P2956" t="str">
            <v>Scratch 5 000</v>
          </cell>
          <cell r="Q2956" t="str">
            <v>92007</v>
          </cell>
          <cell r="R2956" t="str">
            <v>92007Scratch 5 000</v>
          </cell>
          <cell r="S2956" t="str">
            <v>2007Scratch 5 000</v>
          </cell>
          <cell r="T2956" t="str">
            <v>92007Soleil Levant</v>
          </cell>
          <cell r="U2956" t="str">
            <v>92007Soleil LevantScratch 5 000</v>
          </cell>
          <cell r="V2956" t="str">
            <v>39351Scratch 5 000</v>
          </cell>
          <cell r="W2956" t="str">
            <v>2007Soleil Levant</v>
          </cell>
          <cell r="X2956" t="str">
            <v>2007Soleil LevantScratch 5 000</v>
          </cell>
        </row>
        <row r="2957">
          <cell r="I2957">
            <v>2007</v>
          </cell>
          <cell r="J2957" t="str">
            <v>Soleil LevantScratch 2 000</v>
          </cell>
          <cell r="L2957">
            <v>0</v>
          </cell>
          <cell r="M2957" t="str">
            <v>Soleil Levant</v>
          </cell>
          <cell r="N2957" t="str">
            <v>Soleil LevantScratch 2 000</v>
          </cell>
          <cell r="O2957" t="str">
            <v>Soleil Levant</v>
          </cell>
          <cell r="P2957" t="str">
            <v>Scratch 2 000</v>
          </cell>
          <cell r="Q2957" t="str">
            <v>92007</v>
          </cell>
          <cell r="R2957" t="str">
            <v>92007Scratch 2 000</v>
          </cell>
          <cell r="S2957" t="str">
            <v>2007Scratch 2 000</v>
          </cell>
          <cell r="T2957" t="str">
            <v>92007Soleil Levant</v>
          </cell>
          <cell r="U2957" t="str">
            <v>92007Soleil LevantScratch 2 000</v>
          </cell>
          <cell r="V2957" t="str">
            <v>39351Scratch 2 000</v>
          </cell>
          <cell r="W2957" t="str">
            <v>2007Soleil Levant</v>
          </cell>
          <cell r="X2957" t="str">
            <v>2007Soleil LevantScratch 2 000</v>
          </cell>
        </row>
        <row r="2958">
          <cell r="I2958">
            <v>2007</v>
          </cell>
          <cell r="J2958" t="str">
            <v>Soleil LevantScratch 1 000</v>
          </cell>
          <cell r="L2958">
            <v>0</v>
          </cell>
          <cell r="M2958" t="str">
            <v>Soleil Levant</v>
          </cell>
          <cell r="N2958" t="str">
            <v>Soleil LevantScratch 1 000</v>
          </cell>
          <cell r="O2958" t="str">
            <v>Soleil Levant</v>
          </cell>
          <cell r="P2958" t="str">
            <v>Scratch 1 000</v>
          </cell>
          <cell r="Q2958" t="str">
            <v>92007</v>
          </cell>
          <cell r="R2958" t="str">
            <v>92007Scratch 1 000</v>
          </cell>
          <cell r="S2958" t="str">
            <v>2007Scratch 1 000</v>
          </cell>
          <cell r="T2958" t="str">
            <v>92007Soleil Levant</v>
          </cell>
          <cell r="U2958" t="str">
            <v>92007Soleil LevantScratch 1 000</v>
          </cell>
          <cell r="V2958" t="str">
            <v>39351Scratch 1 000</v>
          </cell>
          <cell r="W2958" t="str">
            <v>2007Soleil Levant</v>
          </cell>
          <cell r="X2958" t="str">
            <v>2007Soleil LevantScratch 1 000</v>
          </cell>
        </row>
        <row r="2959">
          <cell r="I2959">
            <v>2007</v>
          </cell>
          <cell r="J2959" t="str">
            <v>STS GAMBY &amp; FRERES (SOGAF) SarlScratch 5 000</v>
          </cell>
          <cell r="L2959">
            <v>1</v>
          </cell>
          <cell r="M2959" t="str">
            <v>1STS GAMBY &amp; FRERES (SOGAF) Sarl</v>
          </cell>
          <cell r="N2959" t="str">
            <v>STS GAMBY &amp; FRERES (SOGAF) SarlScratch 5 000</v>
          </cell>
          <cell r="O2959" t="str">
            <v>STS GAMBY &amp; FRERES (SOGAF) Sarl</v>
          </cell>
          <cell r="P2959" t="str">
            <v>Scratch 5 000</v>
          </cell>
          <cell r="Q2959" t="str">
            <v>92007</v>
          </cell>
          <cell r="R2959" t="str">
            <v>92007Scratch 5 000</v>
          </cell>
          <cell r="S2959" t="str">
            <v>2007Scratch 5 000</v>
          </cell>
          <cell r="T2959" t="str">
            <v>92007STS GAMBY &amp; FRERES (SOGAF) Sarl</v>
          </cell>
          <cell r="U2959" t="str">
            <v>92007STS GAMBY &amp; FRERES (SOGAF) SarlScratch 5 000</v>
          </cell>
          <cell r="V2959" t="str">
            <v>39351Scratch 5 000</v>
          </cell>
          <cell r="W2959" t="str">
            <v>2007STS GAMBY &amp; FRERES (SOGAF) Sarl</v>
          </cell>
          <cell r="X2959" t="str">
            <v>2007STS GAMBY &amp; FRERES (SOGAF) SarlScratch 5 000</v>
          </cell>
        </row>
        <row r="2960">
          <cell r="I2960">
            <v>2007</v>
          </cell>
          <cell r="J2960" t="str">
            <v>STS GAMBY &amp; FRERES (SOGAF) SarlScratch 2 000</v>
          </cell>
          <cell r="L2960">
            <v>0</v>
          </cell>
          <cell r="M2960" t="str">
            <v>STS GAMBY &amp; FRERES (SOGAF) Sarl</v>
          </cell>
          <cell r="N2960" t="str">
            <v>STS GAMBY &amp; FRERES (SOGAF) SarlScratch 2 000</v>
          </cell>
          <cell r="O2960" t="str">
            <v>STS GAMBY &amp; FRERES (SOGAF) Sarl</v>
          </cell>
          <cell r="P2960" t="str">
            <v>Scratch 2 000</v>
          </cell>
          <cell r="Q2960" t="str">
            <v>92007</v>
          </cell>
          <cell r="R2960" t="str">
            <v>92007Scratch 2 000</v>
          </cell>
          <cell r="S2960" t="str">
            <v>2007Scratch 2 000</v>
          </cell>
          <cell r="T2960" t="str">
            <v>92007STS GAMBY &amp; FRERES (SOGAF) Sarl</v>
          </cell>
          <cell r="U2960" t="str">
            <v>92007STS GAMBY &amp; FRERES (SOGAF) SarlScratch 2 000</v>
          </cell>
          <cell r="V2960" t="str">
            <v>39351Scratch 2 000</v>
          </cell>
          <cell r="W2960" t="str">
            <v>2007STS GAMBY &amp; FRERES (SOGAF) Sarl</v>
          </cell>
          <cell r="X2960" t="str">
            <v>2007STS GAMBY &amp; FRERES (SOGAF) SarlScratch 2 000</v>
          </cell>
        </row>
        <row r="2961">
          <cell r="I2961">
            <v>2007</v>
          </cell>
          <cell r="J2961" t="str">
            <v>STS GAMBY &amp; FRERES (SOGAF) SarlScratch 1 000</v>
          </cell>
          <cell r="L2961">
            <v>0</v>
          </cell>
          <cell r="M2961" t="str">
            <v>STS GAMBY &amp; FRERES (SOGAF) Sarl</v>
          </cell>
          <cell r="N2961" t="str">
            <v>STS GAMBY &amp; FRERES (SOGAF) SarlScratch 1 000</v>
          </cell>
          <cell r="O2961" t="str">
            <v>STS GAMBY &amp; FRERES (SOGAF) Sarl</v>
          </cell>
          <cell r="P2961" t="str">
            <v>Scratch 1 000</v>
          </cell>
          <cell r="Q2961" t="str">
            <v>92007</v>
          </cell>
          <cell r="R2961" t="str">
            <v>92007Scratch 1 000</v>
          </cell>
          <cell r="S2961" t="str">
            <v>2007Scratch 1 000</v>
          </cell>
          <cell r="T2961" t="str">
            <v>92007STS GAMBY &amp; FRERES (SOGAF) Sarl</v>
          </cell>
          <cell r="U2961" t="str">
            <v>92007STS GAMBY &amp; FRERES (SOGAF) SarlScratch 1 000</v>
          </cell>
          <cell r="V2961" t="str">
            <v>39351Scratch 1 000</v>
          </cell>
          <cell r="W2961" t="str">
            <v>2007STS GAMBY &amp; FRERES (SOGAF) Sarl</v>
          </cell>
          <cell r="X2961" t="str">
            <v>2007STS GAMBY &amp; FRERES (SOGAF) SarlScratch 1 000</v>
          </cell>
        </row>
        <row r="2962">
          <cell r="I2962">
            <v>2007</v>
          </cell>
          <cell r="J2962" t="str">
            <v>SOMAKOFFScratch 2 000</v>
          </cell>
          <cell r="L2962">
            <v>1</v>
          </cell>
          <cell r="M2962" t="str">
            <v>1SOMAKOFF</v>
          </cell>
          <cell r="N2962" t="str">
            <v>SOMAKOFFScratch 2 000</v>
          </cell>
          <cell r="O2962" t="str">
            <v>SOMAKOFF</v>
          </cell>
          <cell r="P2962" t="str">
            <v>Scratch 2 000</v>
          </cell>
          <cell r="Q2962" t="str">
            <v>92007</v>
          </cell>
          <cell r="R2962" t="str">
            <v>92007Scratch 2 000</v>
          </cell>
          <cell r="S2962" t="str">
            <v>2007Scratch 2 000</v>
          </cell>
          <cell r="T2962" t="str">
            <v>92007SOMAKOFF</v>
          </cell>
          <cell r="U2962" t="str">
            <v>92007SOMAKOFFScratch 2 000</v>
          </cell>
          <cell r="V2962" t="str">
            <v>39351Scratch 2 000</v>
          </cell>
          <cell r="W2962" t="str">
            <v>2007SOMAKOFF</v>
          </cell>
          <cell r="X2962" t="str">
            <v>2007SOMAKOFFScratch 2 000</v>
          </cell>
        </row>
        <row r="2963">
          <cell r="I2963">
            <v>2007</v>
          </cell>
          <cell r="J2963" t="str">
            <v>Compagnie Internationale de NegoceScratch 20 000</v>
          </cell>
          <cell r="L2963">
            <v>1</v>
          </cell>
          <cell r="M2963" t="str">
            <v>1Compagnie Internationale de Negoce</v>
          </cell>
          <cell r="N2963" t="str">
            <v>Compagnie Internationale de NegoceScratch 20 000</v>
          </cell>
          <cell r="O2963" t="str">
            <v>Compagnie Internationale de Negoce</v>
          </cell>
          <cell r="P2963" t="str">
            <v>Scratch 20 000</v>
          </cell>
          <cell r="Q2963" t="str">
            <v>92007</v>
          </cell>
          <cell r="R2963" t="str">
            <v>92007Scratch 20 000</v>
          </cell>
          <cell r="S2963" t="str">
            <v>2007Scratch 20 000</v>
          </cell>
          <cell r="T2963" t="str">
            <v>92007Compagnie Internationale de Negoce</v>
          </cell>
          <cell r="U2963" t="str">
            <v>92007Compagnie Internationale de NegoceScratch 20 000</v>
          </cell>
          <cell r="V2963" t="str">
            <v>39351Scratch 20 000</v>
          </cell>
          <cell r="W2963" t="str">
            <v>2007Compagnie Internationale de Negoce</v>
          </cell>
          <cell r="X2963" t="str">
            <v>2007Compagnie Internationale de NegoceScratch 20 000</v>
          </cell>
        </row>
        <row r="2964">
          <cell r="I2964">
            <v>2007</v>
          </cell>
          <cell r="J2964" t="str">
            <v>Compagnie Internationale de NegoceScratch 5 000</v>
          </cell>
          <cell r="L2964">
            <v>0</v>
          </cell>
          <cell r="M2964" t="str">
            <v>Compagnie Internationale de Negoce</v>
          </cell>
          <cell r="N2964" t="str">
            <v>Compagnie Internationale de NegoceScratch 5 000</v>
          </cell>
          <cell r="O2964" t="str">
            <v>Compagnie Internationale de Negoce</v>
          </cell>
          <cell r="P2964" t="str">
            <v>Scratch 5 000</v>
          </cell>
          <cell r="Q2964" t="str">
            <v>92007</v>
          </cell>
          <cell r="R2964" t="str">
            <v>92007Scratch 5 000</v>
          </cell>
          <cell r="S2964" t="str">
            <v>2007Scratch 5 000</v>
          </cell>
          <cell r="T2964" t="str">
            <v>92007Compagnie Internationale de Negoce</v>
          </cell>
          <cell r="U2964" t="str">
            <v>92007Compagnie Internationale de NegoceScratch 5 000</v>
          </cell>
          <cell r="V2964" t="str">
            <v>39351Scratch 5 000</v>
          </cell>
          <cell r="W2964" t="str">
            <v>2007Compagnie Internationale de Negoce</v>
          </cell>
          <cell r="X2964" t="str">
            <v>2007Compagnie Internationale de NegoceScratch 5 000</v>
          </cell>
        </row>
        <row r="2965">
          <cell r="I2965">
            <v>2007</v>
          </cell>
          <cell r="J2965" t="str">
            <v>Compagnie Internationale de NegoceScratch 2 000</v>
          </cell>
          <cell r="L2965">
            <v>0</v>
          </cell>
          <cell r="M2965" t="str">
            <v>Compagnie Internationale de Negoce</v>
          </cell>
          <cell r="N2965" t="str">
            <v>Compagnie Internationale de NegoceScratch 2 000</v>
          </cell>
          <cell r="O2965" t="str">
            <v>Compagnie Internationale de Negoce</v>
          </cell>
          <cell r="P2965" t="str">
            <v>Scratch 2 000</v>
          </cell>
          <cell r="Q2965" t="str">
            <v>92007</v>
          </cell>
          <cell r="R2965" t="str">
            <v>92007Scratch 2 000</v>
          </cell>
          <cell r="S2965" t="str">
            <v>2007Scratch 2 000</v>
          </cell>
          <cell r="T2965" t="str">
            <v>92007Compagnie Internationale de Negoce</v>
          </cell>
          <cell r="U2965" t="str">
            <v>92007Compagnie Internationale de NegoceScratch 2 000</v>
          </cell>
          <cell r="V2965" t="str">
            <v>39351Scratch 2 000</v>
          </cell>
          <cell r="W2965" t="str">
            <v>2007Compagnie Internationale de Negoce</v>
          </cell>
          <cell r="X2965" t="str">
            <v>2007Compagnie Internationale de NegoceScratch 2 000</v>
          </cell>
        </row>
        <row r="2966">
          <cell r="I2966">
            <v>2007</v>
          </cell>
          <cell r="J2966" t="str">
            <v>Compagnie Internationale de NegoceScratch 1 000</v>
          </cell>
          <cell r="L2966">
            <v>0</v>
          </cell>
          <cell r="M2966" t="str">
            <v>Compagnie Internationale de Negoce</v>
          </cell>
          <cell r="N2966" t="str">
            <v>Compagnie Internationale de NegoceScratch 1 000</v>
          </cell>
          <cell r="O2966" t="str">
            <v>Compagnie Internationale de Negoce</v>
          </cell>
          <cell r="P2966" t="str">
            <v>Scratch 1 000</v>
          </cell>
          <cell r="Q2966" t="str">
            <v>92007</v>
          </cell>
          <cell r="R2966" t="str">
            <v>92007Scratch 1 000</v>
          </cell>
          <cell r="S2966" t="str">
            <v>2007Scratch 1 000</v>
          </cell>
          <cell r="T2966" t="str">
            <v>92007Compagnie Internationale de Negoce</v>
          </cell>
          <cell r="U2966" t="str">
            <v>92007Compagnie Internationale de NegoceScratch 1 000</v>
          </cell>
          <cell r="V2966" t="str">
            <v>39351Scratch 1 000</v>
          </cell>
          <cell r="W2966" t="str">
            <v>2007Compagnie Internationale de Negoce</v>
          </cell>
          <cell r="X2966" t="str">
            <v>2007Compagnie Internationale de NegoceScratch 1 000</v>
          </cell>
        </row>
        <row r="2967">
          <cell r="I2967">
            <v>2007</v>
          </cell>
          <cell r="J2967" t="str">
            <v>ANKA SERVICESScratch 5 000</v>
          </cell>
          <cell r="L2967">
            <v>1</v>
          </cell>
          <cell r="M2967" t="str">
            <v>1ANKA SERVICES</v>
          </cell>
          <cell r="N2967" t="str">
            <v>ANKA SERVICESScratch 5 000</v>
          </cell>
          <cell r="O2967" t="str">
            <v>ANKA SERVICES</v>
          </cell>
          <cell r="P2967" t="str">
            <v>Scratch 5 000</v>
          </cell>
          <cell r="Q2967" t="str">
            <v>92007</v>
          </cell>
          <cell r="R2967" t="str">
            <v>92007Scratch 5 000</v>
          </cell>
          <cell r="S2967" t="str">
            <v>2007Scratch 5 000</v>
          </cell>
          <cell r="T2967" t="str">
            <v>92007ANKA SERVICES</v>
          </cell>
          <cell r="U2967" t="str">
            <v>92007ANKA SERVICESScratch 5 000</v>
          </cell>
          <cell r="V2967" t="str">
            <v>39351Scratch 5 000</v>
          </cell>
          <cell r="W2967" t="str">
            <v>2007ANKA SERVICES</v>
          </cell>
          <cell r="X2967" t="str">
            <v>2007ANKA SERVICESScratch 5 000</v>
          </cell>
        </row>
        <row r="2968">
          <cell r="I2968">
            <v>2007</v>
          </cell>
          <cell r="J2968" t="str">
            <v>ANKA SERVICESScratch 2 000</v>
          </cell>
          <cell r="L2968">
            <v>0</v>
          </cell>
          <cell r="M2968" t="str">
            <v>ANKA SERVICES</v>
          </cell>
          <cell r="N2968" t="str">
            <v>ANKA SERVICESScratch 2 000</v>
          </cell>
          <cell r="O2968" t="str">
            <v>ANKA SERVICES</v>
          </cell>
          <cell r="P2968" t="str">
            <v>Scratch 2 000</v>
          </cell>
          <cell r="Q2968" t="str">
            <v>92007</v>
          </cell>
          <cell r="R2968" t="str">
            <v>92007Scratch 2 000</v>
          </cell>
          <cell r="S2968" t="str">
            <v>2007Scratch 2 000</v>
          </cell>
          <cell r="T2968" t="str">
            <v>92007ANKA SERVICES</v>
          </cell>
          <cell r="U2968" t="str">
            <v>92007ANKA SERVICESScratch 2 000</v>
          </cell>
          <cell r="V2968" t="str">
            <v>39351Scratch 2 000</v>
          </cell>
          <cell r="W2968" t="str">
            <v>2007ANKA SERVICES</v>
          </cell>
          <cell r="X2968" t="str">
            <v>2007ANKA SERVICESScratch 2 000</v>
          </cell>
        </row>
        <row r="2969">
          <cell r="I2969">
            <v>2007</v>
          </cell>
          <cell r="J2969" t="str">
            <v>ANKA SERVICESScratch 1 000</v>
          </cell>
          <cell r="L2969">
            <v>0</v>
          </cell>
          <cell r="M2969" t="str">
            <v>ANKA SERVICES</v>
          </cell>
          <cell r="N2969" t="str">
            <v>ANKA SERVICESScratch 1 000</v>
          </cell>
          <cell r="O2969" t="str">
            <v>ANKA SERVICES</v>
          </cell>
          <cell r="P2969" t="str">
            <v>Scratch 1 000</v>
          </cell>
          <cell r="Q2969" t="str">
            <v>92007</v>
          </cell>
          <cell r="R2969" t="str">
            <v>92007Scratch 1 000</v>
          </cell>
          <cell r="S2969" t="str">
            <v>2007Scratch 1 000</v>
          </cell>
          <cell r="T2969" t="str">
            <v>92007ANKA SERVICES</v>
          </cell>
          <cell r="U2969" t="str">
            <v>92007ANKA SERVICESScratch 1 000</v>
          </cell>
          <cell r="V2969" t="str">
            <v>39351Scratch 1 000</v>
          </cell>
          <cell r="W2969" t="str">
            <v>2007ANKA SERVICES</v>
          </cell>
          <cell r="X2969" t="str">
            <v>2007ANKA SERVICESScratch 1 000</v>
          </cell>
        </row>
        <row r="2970">
          <cell r="I2970">
            <v>2007</v>
          </cell>
          <cell r="J2970" t="str">
            <v>GEMATELScratch 20 000</v>
          </cell>
          <cell r="L2970">
            <v>1</v>
          </cell>
          <cell r="M2970" t="str">
            <v>1GEMATEL</v>
          </cell>
          <cell r="N2970" t="str">
            <v>GEMATELScratch 20 000</v>
          </cell>
          <cell r="O2970" t="str">
            <v>GEMATEL</v>
          </cell>
          <cell r="P2970" t="str">
            <v>Scratch 20 000</v>
          </cell>
          <cell r="Q2970" t="str">
            <v>92007</v>
          </cell>
          <cell r="R2970" t="str">
            <v>92007Scratch 20 000</v>
          </cell>
          <cell r="S2970" t="str">
            <v>2007Scratch 20 000</v>
          </cell>
          <cell r="T2970" t="str">
            <v>92007GEMATEL</v>
          </cell>
          <cell r="U2970" t="str">
            <v>92007GEMATELScratch 20 000</v>
          </cell>
          <cell r="V2970" t="str">
            <v>39351Scratch 20 000</v>
          </cell>
          <cell r="W2970" t="str">
            <v>2007GEMATEL</v>
          </cell>
          <cell r="X2970" t="str">
            <v>2007GEMATELScratch 20 000</v>
          </cell>
        </row>
        <row r="2971">
          <cell r="I2971">
            <v>2007</v>
          </cell>
          <cell r="J2971" t="str">
            <v>GEMATELScratch 10 000</v>
          </cell>
          <cell r="L2971">
            <v>0</v>
          </cell>
          <cell r="M2971" t="str">
            <v>GEMATEL</v>
          </cell>
          <cell r="N2971" t="str">
            <v>GEMATELScratch 10 000</v>
          </cell>
          <cell r="O2971" t="str">
            <v>GEMATEL</v>
          </cell>
          <cell r="P2971" t="str">
            <v>Scratch 10 000</v>
          </cell>
          <cell r="Q2971" t="str">
            <v>92007</v>
          </cell>
          <cell r="R2971" t="str">
            <v>92007Scratch 10 000</v>
          </cell>
          <cell r="S2971" t="str">
            <v>2007Scratch 10 000</v>
          </cell>
          <cell r="T2971" t="str">
            <v>92007GEMATEL</v>
          </cell>
          <cell r="U2971" t="str">
            <v>92007GEMATELScratch 10 000</v>
          </cell>
          <cell r="V2971" t="str">
            <v>39351Scratch 10 000</v>
          </cell>
          <cell r="W2971" t="str">
            <v>2007GEMATEL</v>
          </cell>
          <cell r="X2971" t="str">
            <v>2007GEMATELScratch 10 000</v>
          </cell>
        </row>
        <row r="2972">
          <cell r="I2972">
            <v>2007</v>
          </cell>
          <cell r="J2972" t="str">
            <v>GEMATELScratch 5 000</v>
          </cell>
          <cell r="L2972">
            <v>0</v>
          </cell>
          <cell r="M2972" t="str">
            <v>GEMATEL</v>
          </cell>
          <cell r="N2972" t="str">
            <v>GEMATELScratch 5 000</v>
          </cell>
          <cell r="O2972" t="str">
            <v>GEMATEL</v>
          </cell>
          <cell r="P2972" t="str">
            <v>Scratch 5 000</v>
          </cell>
          <cell r="Q2972" t="str">
            <v>92007</v>
          </cell>
          <cell r="R2972" t="str">
            <v>92007Scratch 5 000</v>
          </cell>
          <cell r="S2972" t="str">
            <v>2007Scratch 5 000</v>
          </cell>
          <cell r="T2972" t="str">
            <v>92007GEMATEL</v>
          </cell>
          <cell r="U2972" t="str">
            <v>92007GEMATELScratch 5 000</v>
          </cell>
          <cell r="V2972" t="str">
            <v>39351Scratch 5 000</v>
          </cell>
          <cell r="W2972" t="str">
            <v>2007GEMATEL</v>
          </cell>
          <cell r="X2972" t="str">
            <v>2007GEMATELScratch 5 000</v>
          </cell>
        </row>
        <row r="2973">
          <cell r="I2973">
            <v>2007</v>
          </cell>
          <cell r="J2973" t="str">
            <v>GEMATELScratch 2 000</v>
          </cell>
          <cell r="L2973">
            <v>0</v>
          </cell>
          <cell r="M2973" t="str">
            <v>GEMATEL</v>
          </cell>
          <cell r="N2973" t="str">
            <v>GEMATELScratch 2 000</v>
          </cell>
          <cell r="O2973" t="str">
            <v>GEMATEL</v>
          </cell>
          <cell r="P2973" t="str">
            <v>Scratch 2 000</v>
          </cell>
          <cell r="Q2973" t="str">
            <v>92007</v>
          </cell>
          <cell r="R2973" t="str">
            <v>92007Scratch 2 000</v>
          </cell>
          <cell r="S2973" t="str">
            <v>2007Scratch 2 000</v>
          </cell>
          <cell r="T2973" t="str">
            <v>92007GEMATEL</v>
          </cell>
          <cell r="U2973" t="str">
            <v>92007GEMATELScratch 2 000</v>
          </cell>
          <cell r="V2973" t="str">
            <v>39351Scratch 2 000</v>
          </cell>
          <cell r="W2973" t="str">
            <v>2007GEMATEL</v>
          </cell>
          <cell r="X2973" t="str">
            <v>2007GEMATELScratch 2 000</v>
          </cell>
        </row>
        <row r="2974">
          <cell r="I2974">
            <v>2007</v>
          </cell>
          <cell r="J2974" t="str">
            <v>GEMATELScratch 1 000</v>
          </cell>
          <cell r="L2974">
            <v>0</v>
          </cell>
          <cell r="M2974" t="str">
            <v>GEMATEL</v>
          </cell>
          <cell r="N2974" t="str">
            <v>GEMATELScratch 1 000</v>
          </cell>
          <cell r="O2974" t="str">
            <v>GEMATEL</v>
          </cell>
          <cell r="P2974" t="str">
            <v>Scratch 1 000</v>
          </cell>
          <cell r="Q2974" t="str">
            <v>92007</v>
          </cell>
          <cell r="R2974" t="str">
            <v>92007Scratch 1 000</v>
          </cell>
          <cell r="S2974" t="str">
            <v>2007Scratch 1 000</v>
          </cell>
          <cell r="T2974" t="str">
            <v>92007GEMATEL</v>
          </cell>
          <cell r="U2974" t="str">
            <v>92007GEMATELScratch 1 000</v>
          </cell>
          <cell r="V2974" t="str">
            <v>39351Scratch 1 000</v>
          </cell>
          <cell r="W2974" t="str">
            <v>2007GEMATEL</v>
          </cell>
          <cell r="X2974" t="str">
            <v>2007GEMATELScratch 1 000</v>
          </cell>
        </row>
        <row r="2975">
          <cell r="I2975">
            <v>2007</v>
          </cell>
          <cell r="J2975" t="str">
            <v>Burtel MacsymScratch 5 000</v>
          </cell>
          <cell r="L2975">
            <v>1</v>
          </cell>
          <cell r="M2975" t="str">
            <v>1Burtel Macsym</v>
          </cell>
          <cell r="N2975" t="str">
            <v>Burtel MacsymScratch 5 000</v>
          </cell>
          <cell r="O2975" t="str">
            <v>Burtel Macsym</v>
          </cell>
          <cell r="P2975" t="str">
            <v>Scratch 5 000</v>
          </cell>
          <cell r="Q2975" t="str">
            <v>92007</v>
          </cell>
          <cell r="R2975" t="str">
            <v>92007Scratch 5 000</v>
          </cell>
          <cell r="S2975" t="str">
            <v>2007Scratch 5 000</v>
          </cell>
          <cell r="T2975" t="str">
            <v>92007Burtel Macsym</v>
          </cell>
          <cell r="U2975" t="str">
            <v>92007Burtel MacsymScratch 5 000</v>
          </cell>
          <cell r="V2975" t="str">
            <v>39352Scratch 5 000</v>
          </cell>
          <cell r="W2975" t="str">
            <v>2007Burtel Macsym</v>
          </cell>
          <cell r="X2975" t="str">
            <v>2007Burtel MacsymScratch 5 000</v>
          </cell>
        </row>
        <row r="2976">
          <cell r="I2976">
            <v>2007</v>
          </cell>
          <cell r="J2976" t="str">
            <v>Burtel MacsymScratch 2 000</v>
          </cell>
          <cell r="L2976">
            <v>0</v>
          </cell>
          <cell r="M2976" t="str">
            <v>Burtel Macsym</v>
          </cell>
          <cell r="N2976" t="str">
            <v>Burtel MacsymScratch 2 000</v>
          </cell>
          <cell r="O2976" t="str">
            <v>Burtel Macsym</v>
          </cell>
          <cell r="P2976" t="str">
            <v>Scratch 2 000</v>
          </cell>
          <cell r="Q2976" t="str">
            <v>92007</v>
          </cell>
          <cell r="R2976" t="str">
            <v>92007Scratch 2 000</v>
          </cell>
          <cell r="S2976" t="str">
            <v>2007Scratch 2 000</v>
          </cell>
          <cell r="T2976" t="str">
            <v>92007Burtel Macsym</v>
          </cell>
          <cell r="U2976" t="str">
            <v>92007Burtel MacsymScratch 2 000</v>
          </cell>
          <cell r="V2976" t="str">
            <v>39352Scratch 2 000</v>
          </cell>
          <cell r="W2976" t="str">
            <v>2007Burtel Macsym</v>
          </cell>
          <cell r="X2976" t="str">
            <v>2007Burtel MacsymScratch 2 000</v>
          </cell>
        </row>
        <row r="2977">
          <cell r="I2977">
            <v>2007</v>
          </cell>
          <cell r="J2977" t="str">
            <v>Burtel MacsymScratch 1 000</v>
          </cell>
          <cell r="L2977">
            <v>0</v>
          </cell>
          <cell r="M2977" t="str">
            <v>Burtel Macsym</v>
          </cell>
          <cell r="N2977" t="str">
            <v>Burtel MacsymScratch 1 000</v>
          </cell>
          <cell r="O2977" t="str">
            <v>Burtel Macsym</v>
          </cell>
          <cell r="P2977" t="str">
            <v>Scratch 1 000</v>
          </cell>
          <cell r="Q2977" t="str">
            <v>92007</v>
          </cell>
          <cell r="R2977" t="str">
            <v>92007Scratch 1 000</v>
          </cell>
          <cell r="S2977" t="str">
            <v>2007Scratch 1 000</v>
          </cell>
          <cell r="T2977" t="str">
            <v>92007Burtel Macsym</v>
          </cell>
          <cell r="U2977" t="str">
            <v>92007Burtel MacsymScratch 1 000</v>
          </cell>
          <cell r="V2977" t="str">
            <v>39352Scratch 1 000</v>
          </cell>
          <cell r="W2977" t="str">
            <v>2007Burtel Macsym</v>
          </cell>
          <cell r="X2977" t="str">
            <v>2007Burtel MacsymScratch 1 000</v>
          </cell>
        </row>
        <row r="2978">
          <cell r="I2978">
            <v>2007</v>
          </cell>
          <cell r="J2978" t="str">
            <v>GEMATELScratch 2 000</v>
          </cell>
          <cell r="L2978">
            <v>1</v>
          </cell>
          <cell r="M2978" t="str">
            <v>1GEMATEL</v>
          </cell>
          <cell r="N2978" t="str">
            <v>GEMATELScratch 2 000</v>
          </cell>
          <cell r="O2978" t="str">
            <v>GEMATEL</v>
          </cell>
          <cell r="P2978" t="str">
            <v>Scratch 2 000</v>
          </cell>
          <cell r="Q2978" t="str">
            <v>92007</v>
          </cell>
          <cell r="R2978" t="str">
            <v>92007Scratch 2 000</v>
          </cell>
          <cell r="S2978" t="str">
            <v>2007Scratch 2 000</v>
          </cell>
          <cell r="T2978" t="str">
            <v>92007GEMATEL</v>
          </cell>
          <cell r="U2978" t="str">
            <v>92007GEMATELScratch 2 000</v>
          </cell>
          <cell r="V2978" t="str">
            <v>39352Scratch 2 000</v>
          </cell>
          <cell r="W2978" t="str">
            <v>2007GEMATEL</v>
          </cell>
          <cell r="X2978" t="str">
            <v>2007GEMATELScratch 2 000</v>
          </cell>
        </row>
        <row r="2979">
          <cell r="I2979">
            <v>2007</v>
          </cell>
          <cell r="J2979" t="str">
            <v>GEMATELScratch 1 000</v>
          </cell>
          <cell r="L2979">
            <v>0</v>
          </cell>
          <cell r="M2979" t="str">
            <v>GEMATEL</v>
          </cell>
          <cell r="N2979" t="str">
            <v>GEMATELScratch 1 000</v>
          </cell>
          <cell r="O2979" t="str">
            <v>GEMATEL</v>
          </cell>
          <cell r="P2979" t="str">
            <v>Scratch 1 000</v>
          </cell>
          <cell r="Q2979" t="str">
            <v>92007</v>
          </cell>
          <cell r="R2979" t="str">
            <v>92007Scratch 1 000</v>
          </cell>
          <cell r="S2979" t="str">
            <v>2007Scratch 1 000</v>
          </cell>
          <cell r="T2979" t="str">
            <v>92007GEMATEL</v>
          </cell>
          <cell r="U2979" t="str">
            <v>92007GEMATELScratch 1 000</v>
          </cell>
          <cell r="V2979" t="str">
            <v>39352Scratch 1 000</v>
          </cell>
          <cell r="W2979" t="str">
            <v>2007GEMATEL</v>
          </cell>
          <cell r="X2979" t="str">
            <v>2007GEMATELScratch 1 000</v>
          </cell>
        </row>
        <row r="2980">
          <cell r="I2980">
            <v>2007</v>
          </cell>
          <cell r="J2980" t="str">
            <v>GEMATELScratch 20 000</v>
          </cell>
          <cell r="L2980">
            <v>1</v>
          </cell>
          <cell r="M2980" t="str">
            <v>1GEMATEL</v>
          </cell>
          <cell r="N2980" t="str">
            <v>GEMATELScratch 20 000</v>
          </cell>
          <cell r="O2980" t="str">
            <v>GEMATEL</v>
          </cell>
          <cell r="P2980" t="str">
            <v>Scratch 20 000</v>
          </cell>
          <cell r="Q2980" t="str">
            <v>92007</v>
          </cell>
          <cell r="R2980" t="str">
            <v>92007Scratch 20 000</v>
          </cell>
          <cell r="S2980" t="str">
            <v>2007Scratch 20 000</v>
          </cell>
          <cell r="T2980" t="str">
            <v>92007GEMATEL</v>
          </cell>
          <cell r="U2980" t="str">
            <v>92007GEMATELScratch 20 000</v>
          </cell>
          <cell r="V2980" t="str">
            <v>39353Scratch 20 000</v>
          </cell>
          <cell r="W2980" t="str">
            <v>2007GEMATEL</v>
          </cell>
          <cell r="X2980" t="str">
            <v>2007GEMATELScratch 20 000</v>
          </cell>
        </row>
        <row r="2981">
          <cell r="I2981">
            <v>2007</v>
          </cell>
          <cell r="J2981" t="str">
            <v>GEMATELScratch 5 000</v>
          </cell>
          <cell r="L2981">
            <v>0</v>
          </cell>
          <cell r="M2981" t="str">
            <v>GEMATEL</v>
          </cell>
          <cell r="N2981" t="str">
            <v>GEMATELScratch 5 000</v>
          </cell>
          <cell r="O2981" t="str">
            <v>GEMATEL</v>
          </cell>
          <cell r="P2981" t="str">
            <v>Scratch 5 000</v>
          </cell>
          <cell r="Q2981" t="str">
            <v>92007</v>
          </cell>
          <cell r="R2981" t="str">
            <v>92007Scratch 5 000</v>
          </cell>
          <cell r="S2981" t="str">
            <v>2007Scratch 5 000</v>
          </cell>
          <cell r="T2981" t="str">
            <v>92007GEMATEL</v>
          </cell>
          <cell r="U2981" t="str">
            <v>92007GEMATELScratch 5 000</v>
          </cell>
          <cell r="V2981" t="str">
            <v>39353Scratch 5 000</v>
          </cell>
          <cell r="W2981" t="str">
            <v>2007GEMATEL</v>
          </cell>
          <cell r="X2981" t="str">
            <v>2007GEMATELScratch 5 000</v>
          </cell>
        </row>
        <row r="2982">
          <cell r="I2982">
            <v>2007</v>
          </cell>
          <cell r="J2982" t="str">
            <v>GEMATELScratch 2 000</v>
          </cell>
          <cell r="L2982">
            <v>0</v>
          </cell>
          <cell r="M2982" t="str">
            <v>GEMATEL</v>
          </cell>
          <cell r="N2982" t="str">
            <v>GEMATELScratch 2 000</v>
          </cell>
          <cell r="O2982" t="str">
            <v>GEMATEL</v>
          </cell>
          <cell r="P2982" t="str">
            <v>Scratch 2 000</v>
          </cell>
          <cell r="Q2982" t="str">
            <v>92007</v>
          </cell>
          <cell r="R2982" t="str">
            <v>92007Scratch 2 000</v>
          </cell>
          <cell r="S2982" t="str">
            <v>2007Scratch 2 000</v>
          </cell>
          <cell r="T2982" t="str">
            <v>92007GEMATEL</v>
          </cell>
          <cell r="U2982" t="str">
            <v>92007GEMATELScratch 2 000</v>
          </cell>
          <cell r="V2982" t="str">
            <v>39353Scratch 2 000</v>
          </cell>
          <cell r="W2982" t="str">
            <v>2007GEMATEL</v>
          </cell>
          <cell r="X2982" t="str">
            <v>2007GEMATELScratch 2 000</v>
          </cell>
        </row>
        <row r="2983">
          <cell r="I2983">
            <v>2007</v>
          </cell>
          <cell r="J2983" t="str">
            <v>GEMATELScratch 1 000</v>
          </cell>
          <cell r="L2983">
            <v>0</v>
          </cell>
          <cell r="M2983" t="str">
            <v>GEMATEL</v>
          </cell>
          <cell r="N2983" t="str">
            <v>GEMATELScratch 1 000</v>
          </cell>
          <cell r="O2983" t="str">
            <v>GEMATEL</v>
          </cell>
          <cell r="P2983" t="str">
            <v>Scratch 1 000</v>
          </cell>
          <cell r="Q2983" t="str">
            <v>92007</v>
          </cell>
          <cell r="R2983" t="str">
            <v>92007Scratch 1 000</v>
          </cell>
          <cell r="S2983" t="str">
            <v>2007Scratch 1 000</v>
          </cell>
          <cell r="T2983" t="str">
            <v>92007GEMATEL</v>
          </cell>
          <cell r="U2983" t="str">
            <v>92007GEMATELScratch 1 000</v>
          </cell>
          <cell r="V2983" t="str">
            <v>39353Scratch 1 000</v>
          </cell>
          <cell r="W2983" t="str">
            <v>2007GEMATEL</v>
          </cell>
          <cell r="X2983" t="str">
            <v>2007GEMATELScratch 1 000</v>
          </cell>
        </row>
        <row r="2984">
          <cell r="I2984">
            <v>2007</v>
          </cell>
          <cell r="J2984" t="str">
            <v>STS GAMBY &amp; FRERES (SOGAF) SarlScratch 10 000</v>
          </cell>
          <cell r="L2984">
            <v>1</v>
          </cell>
          <cell r="M2984" t="str">
            <v>1STS GAMBY &amp; FRERES (SOGAF) Sarl</v>
          </cell>
          <cell r="N2984" t="str">
            <v>STS GAMBY &amp; FRERES (SOGAF) SarlScratch 10 000</v>
          </cell>
          <cell r="O2984" t="str">
            <v>STS GAMBY &amp; FRERES (SOGAF) Sarl</v>
          </cell>
          <cell r="P2984" t="str">
            <v>Scratch 10 000</v>
          </cell>
          <cell r="Q2984" t="str">
            <v>92007</v>
          </cell>
          <cell r="R2984" t="str">
            <v>92007Scratch 10 000</v>
          </cell>
          <cell r="S2984" t="str">
            <v>2007Scratch 10 000</v>
          </cell>
          <cell r="T2984" t="str">
            <v>92007STS GAMBY &amp; FRERES (SOGAF) Sarl</v>
          </cell>
          <cell r="U2984" t="str">
            <v>92007STS GAMBY &amp; FRERES (SOGAF) SarlScratch 10 000</v>
          </cell>
          <cell r="V2984" t="str">
            <v>39353Scratch 10 000</v>
          </cell>
          <cell r="W2984" t="str">
            <v>2007STS GAMBY &amp; FRERES (SOGAF) Sarl</v>
          </cell>
          <cell r="X2984" t="str">
            <v>2007STS GAMBY &amp; FRERES (SOGAF) SarlScratch 10 000</v>
          </cell>
        </row>
        <row r="2985">
          <cell r="I2985">
            <v>2007</v>
          </cell>
          <cell r="J2985" t="str">
            <v>STS GAMBY &amp; FRERES (SOGAF) SarlScratch 5 000</v>
          </cell>
          <cell r="L2985">
            <v>0</v>
          </cell>
          <cell r="M2985" t="str">
            <v>STS GAMBY &amp; FRERES (SOGAF) Sarl</v>
          </cell>
          <cell r="N2985" t="str">
            <v>STS GAMBY &amp; FRERES (SOGAF) SarlScratch 5 000</v>
          </cell>
          <cell r="O2985" t="str">
            <v>STS GAMBY &amp; FRERES (SOGAF) Sarl</v>
          </cell>
          <cell r="P2985" t="str">
            <v>Scratch 5 000</v>
          </cell>
          <cell r="Q2985" t="str">
            <v>92007</v>
          </cell>
          <cell r="R2985" t="str">
            <v>92007Scratch 5 000</v>
          </cell>
          <cell r="S2985" t="str">
            <v>2007Scratch 5 000</v>
          </cell>
          <cell r="T2985" t="str">
            <v>92007STS GAMBY &amp; FRERES (SOGAF) Sarl</v>
          </cell>
          <cell r="U2985" t="str">
            <v>92007STS GAMBY &amp; FRERES (SOGAF) SarlScratch 5 000</v>
          </cell>
          <cell r="V2985" t="str">
            <v>39353Scratch 5 000</v>
          </cell>
          <cell r="W2985" t="str">
            <v>2007STS GAMBY &amp; FRERES (SOGAF) Sarl</v>
          </cell>
          <cell r="X2985" t="str">
            <v>2007STS GAMBY &amp; FRERES (SOGAF) SarlScratch 5 000</v>
          </cell>
        </row>
        <row r="2986">
          <cell r="I2986">
            <v>2007</v>
          </cell>
          <cell r="J2986" t="str">
            <v>STS GAMBY &amp; FRERES (SOGAF) SarlScratch 2 000</v>
          </cell>
          <cell r="L2986">
            <v>0</v>
          </cell>
          <cell r="M2986" t="str">
            <v>STS GAMBY &amp; FRERES (SOGAF) Sarl</v>
          </cell>
          <cell r="N2986" t="str">
            <v>STS GAMBY &amp; FRERES (SOGAF) SarlScratch 2 000</v>
          </cell>
          <cell r="O2986" t="str">
            <v>STS GAMBY &amp; FRERES (SOGAF) Sarl</v>
          </cell>
          <cell r="P2986" t="str">
            <v>Scratch 2 000</v>
          </cell>
          <cell r="Q2986" t="str">
            <v>92007</v>
          </cell>
          <cell r="R2986" t="str">
            <v>92007Scratch 2 000</v>
          </cell>
          <cell r="S2986" t="str">
            <v>2007Scratch 2 000</v>
          </cell>
          <cell r="T2986" t="str">
            <v>92007STS GAMBY &amp; FRERES (SOGAF) Sarl</v>
          </cell>
          <cell r="U2986" t="str">
            <v>92007STS GAMBY &amp; FRERES (SOGAF) SarlScratch 2 000</v>
          </cell>
          <cell r="V2986" t="str">
            <v>39353Scratch 2 000</v>
          </cell>
          <cell r="W2986" t="str">
            <v>2007STS GAMBY &amp; FRERES (SOGAF) Sarl</v>
          </cell>
          <cell r="X2986" t="str">
            <v>2007STS GAMBY &amp; FRERES (SOGAF) SarlScratch 2 000</v>
          </cell>
        </row>
        <row r="2987">
          <cell r="I2987">
            <v>2007</v>
          </cell>
          <cell r="J2987" t="str">
            <v>STS GAMBY &amp; FRERES (SOGAF) SarlScratch 1 000</v>
          </cell>
          <cell r="L2987">
            <v>0</v>
          </cell>
          <cell r="M2987" t="str">
            <v>STS GAMBY &amp; FRERES (SOGAF) Sarl</v>
          </cell>
          <cell r="N2987" t="str">
            <v>STS GAMBY &amp; FRERES (SOGAF) SarlScratch 1 000</v>
          </cell>
          <cell r="O2987" t="str">
            <v>STS GAMBY &amp; FRERES (SOGAF) Sarl</v>
          </cell>
          <cell r="P2987" t="str">
            <v>Scratch 1 000</v>
          </cell>
          <cell r="Q2987" t="str">
            <v>92007</v>
          </cell>
          <cell r="R2987" t="str">
            <v>92007Scratch 1 000</v>
          </cell>
          <cell r="S2987" t="str">
            <v>2007Scratch 1 000</v>
          </cell>
          <cell r="T2987" t="str">
            <v>92007STS GAMBY &amp; FRERES (SOGAF) Sarl</v>
          </cell>
          <cell r="U2987" t="str">
            <v>92007STS GAMBY &amp; FRERES (SOGAF) SarlScratch 1 000</v>
          </cell>
          <cell r="V2987" t="str">
            <v>39353Scratch 1 000</v>
          </cell>
          <cell r="W2987" t="str">
            <v>2007STS GAMBY &amp; FRERES (SOGAF) Sarl</v>
          </cell>
          <cell r="X2987" t="str">
            <v>2007STS GAMBY &amp; FRERES (SOGAF) SarlScratch 1 000</v>
          </cell>
        </row>
        <row r="2988">
          <cell r="I2988">
            <v>2007</v>
          </cell>
          <cell r="J2988" t="str">
            <v>MALI COM SarlScratch 20 000</v>
          </cell>
          <cell r="L2988">
            <v>1</v>
          </cell>
          <cell r="M2988" t="str">
            <v>1MALI COM Sarl</v>
          </cell>
          <cell r="N2988" t="str">
            <v>MALI COM SarlScratch 20 000</v>
          </cell>
          <cell r="O2988" t="str">
            <v>MALI COM Sarl</v>
          </cell>
          <cell r="P2988" t="str">
            <v>Scratch 20 000</v>
          </cell>
          <cell r="Q2988" t="str">
            <v>92007</v>
          </cell>
          <cell r="R2988" t="str">
            <v>92007Scratch 20 000</v>
          </cell>
          <cell r="S2988" t="str">
            <v>2007Scratch 20 000</v>
          </cell>
          <cell r="T2988" t="str">
            <v>92007MALI COM Sarl</v>
          </cell>
          <cell r="U2988" t="str">
            <v>92007MALI COM SarlScratch 20 000</v>
          </cell>
          <cell r="V2988" t="str">
            <v>39353Scratch 20 000</v>
          </cell>
          <cell r="W2988" t="str">
            <v>2007MALI COM Sarl</v>
          </cell>
          <cell r="X2988" t="str">
            <v>2007MALI COM SarlScratch 20 000</v>
          </cell>
        </row>
        <row r="2989">
          <cell r="I2989">
            <v>2007</v>
          </cell>
          <cell r="J2989" t="str">
            <v>MALI COM SarlScratch 5 000</v>
          </cell>
          <cell r="L2989">
            <v>0</v>
          </cell>
          <cell r="M2989" t="str">
            <v>MALI COM Sarl</v>
          </cell>
          <cell r="N2989" t="str">
            <v>MALI COM SarlScratch 5 000</v>
          </cell>
          <cell r="O2989" t="str">
            <v>MALI COM Sarl</v>
          </cell>
          <cell r="P2989" t="str">
            <v>Scratch 5 000</v>
          </cell>
          <cell r="Q2989" t="str">
            <v>92007</v>
          </cell>
          <cell r="R2989" t="str">
            <v>92007Scratch 5 000</v>
          </cell>
          <cell r="S2989" t="str">
            <v>2007Scratch 5 000</v>
          </cell>
          <cell r="T2989" t="str">
            <v>92007MALI COM Sarl</v>
          </cell>
          <cell r="U2989" t="str">
            <v>92007MALI COM SarlScratch 5 000</v>
          </cell>
          <cell r="V2989" t="str">
            <v>39353Scratch 5 000</v>
          </cell>
          <cell r="W2989" t="str">
            <v>2007MALI COM Sarl</v>
          </cell>
          <cell r="X2989" t="str">
            <v>2007MALI COM SarlScratch 5 000</v>
          </cell>
        </row>
        <row r="2990">
          <cell r="I2990">
            <v>2007</v>
          </cell>
          <cell r="J2990" t="str">
            <v>MALI COM SarlScratch 2 000</v>
          </cell>
          <cell r="L2990">
            <v>0</v>
          </cell>
          <cell r="M2990" t="str">
            <v>MALI COM Sarl</v>
          </cell>
          <cell r="N2990" t="str">
            <v>MALI COM SarlScratch 2 000</v>
          </cell>
          <cell r="O2990" t="str">
            <v>MALI COM Sarl</v>
          </cell>
          <cell r="P2990" t="str">
            <v>Scratch 2 000</v>
          </cell>
          <cell r="Q2990" t="str">
            <v>92007</v>
          </cell>
          <cell r="R2990" t="str">
            <v>92007Scratch 2 000</v>
          </cell>
          <cell r="S2990" t="str">
            <v>2007Scratch 2 000</v>
          </cell>
          <cell r="T2990" t="str">
            <v>92007MALI COM Sarl</v>
          </cell>
          <cell r="U2990" t="str">
            <v>92007MALI COM SarlScratch 2 000</v>
          </cell>
          <cell r="V2990" t="str">
            <v>39353Scratch 2 000</v>
          </cell>
          <cell r="W2990" t="str">
            <v>2007MALI COM Sarl</v>
          </cell>
          <cell r="X2990" t="str">
            <v>2007MALI COM SarlScratch 2 000</v>
          </cell>
        </row>
        <row r="2991">
          <cell r="I2991">
            <v>2007</v>
          </cell>
          <cell r="J2991" t="str">
            <v>MALI COM SarlScratch 1 000</v>
          </cell>
          <cell r="L2991">
            <v>0</v>
          </cell>
          <cell r="M2991" t="str">
            <v>MALI COM Sarl</v>
          </cell>
          <cell r="N2991" t="str">
            <v>MALI COM SarlScratch 1 000</v>
          </cell>
          <cell r="O2991" t="str">
            <v>MALI COM Sarl</v>
          </cell>
          <cell r="P2991" t="str">
            <v>Scratch 1 000</v>
          </cell>
          <cell r="Q2991" t="str">
            <v>92007</v>
          </cell>
          <cell r="R2991" t="str">
            <v>92007Scratch 1 000</v>
          </cell>
          <cell r="S2991" t="str">
            <v>2007Scratch 1 000</v>
          </cell>
          <cell r="T2991" t="str">
            <v>92007MALI COM Sarl</v>
          </cell>
          <cell r="U2991" t="str">
            <v>92007MALI COM SarlScratch 1 000</v>
          </cell>
          <cell r="V2991" t="str">
            <v>39353Scratch 1 000</v>
          </cell>
          <cell r="W2991" t="str">
            <v>2007MALI COM Sarl</v>
          </cell>
          <cell r="X2991" t="str">
            <v>2007MALI COM SarlScratch 1 000</v>
          </cell>
        </row>
        <row r="2992">
          <cell r="I2992">
            <v>2007</v>
          </cell>
          <cell r="J2992" t="str">
            <v>Burtel MacsymScratch 10 000</v>
          </cell>
          <cell r="L2992">
            <v>1</v>
          </cell>
          <cell r="M2992" t="str">
            <v>1Burtel Macsym</v>
          </cell>
          <cell r="N2992" t="str">
            <v>Burtel MacsymScratch 10 000</v>
          </cell>
          <cell r="O2992" t="str">
            <v>Burtel Macsym</v>
          </cell>
          <cell r="P2992" t="str">
            <v>Scratch 10 000</v>
          </cell>
          <cell r="Q2992" t="str">
            <v>92007</v>
          </cell>
          <cell r="R2992" t="str">
            <v>92007Scratch 10 000</v>
          </cell>
          <cell r="S2992" t="str">
            <v>2007Scratch 10 000</v>
          </cell>
          <cell r="T2992" t="str">
            <v>92007Burtel Macsym</v>
          </cell>
          <cell r="U2992" t="str">
            <v>92007Burtel MacsymScratch 10 000</v>
          </cell>
          <cell r="V2992" t="str">
            <v>39353Scratch 10 000</v>
          </cell>
          <cell r="W2992" t="str">
            <v>2007Burtel Macsym</v>
          </cell>
          <cell r="X2992" t="str">
            <v>2007Burtel MacsymScratch 10 000</v>
          </cell>
        </row>
        <row r="2993">
          <cell r="I2993">
            <v>2007</v>
          </cell>
          <cell r="J2993" t="str">
            <v>Burtel MacsymScratch 5 000</v>
          </cell>
          <cell r="L2993">
            <v>0</v>
          </cell>
          <cell r="M2993" t="str">
            <v>Burtel Macsym</v>
          </cell>
          <cell r="N2993" t="str">
            <v>Burtel MacsymScratch 5 000</v>
          </cell>
          <cell r="O2993" t="str">
            <v>Burtel Macsym</v>
          </cell>
          <cell r="P2993" t="str">
            <v>Scratch 5 000</v>
          </cell>
          <cell r="Q2993" t="str">
            <v>92007</v>
          </cell>
          <cell r="R2993" t="str">
            <v>92007Scratch 5 000</v>
          </cell>
          <cell r="S2993" t="str">
            <v>2007Scratch 5 000</v>
          </cell>
          <cell r="T2993" t="str">
            <v>92007Burtel Macsym</v>
          </cell>
          <cell r="U2993" t="str">
            <v>92007Burtel MacsymScratch 5 000</v>
          </cell>
          <cell r="V2993" t="str">
            <v>39353Scratch 5 000</v>
          </cell>
          <cell r="W2993" t="str">
            <v>2007Burtel Macsym</v>
          </cell>
          <cell r="X2993" t="str">
            <v>2007Burtel MacsymScratch 5 000</v>
          </cell>
        </row>
        <row r="2994">
          <cell r="I2994">
            <v>2007</v>
          </cell>
          <cell r="J2994" t="str">
            <v>Burtel MacsymScratch 2 000</v>
          </cell>
          <cell r="L2994">
            <v>0</v>
          </cell>
          <cell r="M2994" t="str">
            <v>Burtel Macsym</v>
          </cell>
          <cell r="N2994" t="str">
            <v>Burtel MacsymScratch 2 000</v>
          </cell>
          <cell r="O2994" t="str">
            <v>Burtel Macsym</v>
          </cell>
          <cell r="P2994" t="str">
            <v>Scratch 2 000</v>
          </cell>
          <cell r="Q2994" t="str">
            <v>92007</v>
          </cell>
          <cell r="R2994" t="str">
            <v>92007Scratch 2 000</v>
          </cell>
          <cell r="S2994" t="str">
            <v>2007Scratch 2 000</v>
          </cell>
          <cell r="T2994" t="str">
            <v>92007Burtel Macsym</v>
          </cell>
          <cell r="U2994" t="str">
            <v>92007Burtel MacsymScratch 2 000</v>
          </cell>
          <cell r="V2994" t="str">
            <v>39353Scratch 2 000</v>
          </cell>
          <cell r="W2994" t="str">
            <v>2007Burtel Macsym</v>
          </cell>
          <cell r="X2994" t="str">
            <v>2007Burtel MacsymScratch 2 000</v>
          </cell>
        </row>
        <row r="2995">
          <cell r="I2995">
            <v>2007</v>
          </cell>
          <cell r="J2995" t="str">
            <v>Burtel MacsymScratch 1 000</v>
          </cell>
          <cell r="L2995">
            <v>0</v>
          </cell>
          <cell r="M2995" t="str">
            <v>Burtel Macsym</v>
          </cell>
          <cell r="N2995" t="str">
            <v>Burtel MacsymScratch 1 000</v>
          </cell>
          <cell r="O2995" t="str">
            <v>Burtel Macsym</v>
          </cell>
          <cell r="P2995" t="str">
            <v>Scratch 1 000</v>
          </cell>
          <cell r="Q2995" t="str">
            <v>92007</v>
          </cell>
          <cell r="R2995" t="str">
            <v>92007Scratch 1 000</v>
          </cell>
          <cell r="S2995" t="str">
            <v>2007Scratch 1 000</v>
          </cell>
          <cell r="T2995" t="str">
            <v>92007Burtel Macsym</v>
          </cell>
          <cell r="U2995" t="str">
            <v>92007Burtel MacsymScratch 1 000</v>
          </cell>
          <cell r="V2995" t="str">
            <v>39353Scratch 1 000</v>
          </cell>
          <cell r="W2995" t="str">
            <v>2007Burtel Macsym</v>
          </cell>
          <cell r="X2995" t="str">
            <v>2007Burtel MacsymScratch 1 000</v>
          </cell>
        </row>
        <row r="2996">
          <cell r="I2996">
            <v>2007</v>
          </cell>
          <cell r="J2996" t="str">
            <v>Bonneterie Nouvelle TelecomScratch 5 000</v>
          </cell>
          <cell r="L2996">
            <v>1</v>
          </cell>
          <cell r="M2996" t="str">
            <v>1Bonneterie Nouvelle Telecom</v>
          </cell>
          <cell r="N2996" t="str">
            <v>Bonneterie Nouvelle TelecomScratch 5 000</v>
          </cell>
          <cell r="O2996" t="str">
            <v>Bonneterie Nouvelle Telecom</v>
          </cell>
          <cell r="P2996" t="str">
            <v>Scratch 5 000</v>
          </cell>
          <cell r="Q2996" t="str">
            <v>92007</v>
          </cell>
          <cell r="R2996" t="str">
            <v>92007Scratch 5 000</v>
          </cell>
          <cell r="S2996" t="str">
            <v>2007Scratch 5 000</v>
          </cell>
          <cell r="T2996" t="str">
            <v>92007Bonneterie Nouvelle Telecom</v>
          </cell>
          <cell r="U2996" t="str">
            <v>92007Bonneterie Nouvelle TelecomScratch 5 000</v>
          </cell>
          <cell r="V2996" t="str">
            <v>39353Scratch 5 000</v>
          </cell>
          <cell r="W2996" t="str">
            <v>2007Bonneterie Nouvelle Telecom</v>
          </cell>
          <cell r="X2996" t="str">
            <v>2007Bonneterie Nouvelle TelecomScratch 5 000</v>
          </cell>
        </row>
        <row r="2997">
          <cell r="I2997">
            <v>2007</v>
          </cell>
          <cell r="J2997" t="str">
            <v>Bonneterie Nouvelle TelecomScratch 2 000</v>
          </cell>
          <cell r="L2997">
            <v>0</v>
          </cell>
          <cell r="M2997" t="str">
            <v>Bonneterie Nouvelle Telecom</v>
          </cell>
          <cell r="N2997" t="str">
            <v>Bonneterie Nouvelle TelecomScratch 2 000</v>
          </cell>
          <cell r="O2997" t="str">
            <v>Bonneterie Nouvelle Telecom</v>
          </cell>
          <cell r="P2997" t="str">
            <v>Scratch 2 000</v>
          </cell>
          <cell r="Q2997" t="str">
            <v>92007</v>
          </cell>
          <cell r="R2997" t="str">
            <v>92007Scratch 2 000</v>
          </cell>
          <cell r="S2997" t="str">
            <v>2007Scratch 2 000</v>
          </cell>
          <cell r="T2997" t="str">
            <v>92007Bonneterie Nouvelle Telecom</v>
          </cell>
          <cell r="U2997" t="str">
            <v>92007Bonneterie Nouvelle TelecomScratch 2 000</v>
          </cell>
          <cell r="V2997" t="str">
            <v>39353Scratch 2 000</v>
          </cell>
          <cell r="W2997" t="str">
            <v>2007Bonneterie Nouvelle Telecom</v>
          </cell>
          <cell r="X2997" t="str">
            <v>2007Bonneterie Nouvelle TelecomScratch 2 000</v>
          </cell>
        </row>
        <row r="2998">
          <cell r="I2998">
            <v>2007</v>
          </cell>
          <cell r="J2998" t="str">
            <v>Bonneterie Nouvelle TelecomScratch 1 000</v>
          </cell>
          <cell r="L2998">
            <v>0</v>
          </cell>
          <cell r="M2998" t="str">
            <v>Bonneterie Nouvelle Telecom</v>
          </cell>
          <cell r="N2998" t="str">
            <v>Bonneterie Nouvelle TelecomScratch 1 000</v>
          </cell>
          <cell r="O2998" t="str">
            <v>Bonneterie Nouvelle Telecom</v>
          </cell>
          <cell r="P2998" t="str">
            <v>Scratch 1 000</v>
          </cell>
          <cell r="Q2998" t="str">
            <v>92007</v>
          </cell>
          <cell r="R2998" t="str">
            <v>92007Scratch 1 000</v>
          </cell>
          <cell r="S2998" t="str">
            <v>2007Scratch 1 000</v>
          </cell>
          <cell r="T2998" t="str">
            <v>92007Bonneterie Nouvelle Telecom</v>
          </cell>
          <cell r="U2998" t="str">
            <v>92007Bonneterie Nouvelle TelecomScratch 1 000</v>
          </cell>
          <cell r="V2998" t="str">
            <v>39353Scratch 1 000</v>
          </cell>
          <cell r="W2998" t="str">
            <v>2007Bonneterie Nouvelle Telecom</v>
          </cell>
          <cell r="X2998" t="str">
            <v>2007Bonneterie Nouvelle TelecomScratch 1 000</v>
          </cell>
        </row>
        <row r="2999">
          <cell r="I2999">
            <v>2007</v>
          </cell>
          <cell r="J2999" t="str">
            <v>Ets Boubacar TANDIAScratch 20 000</v>
          </cell>
          <cell r="L2999">
            <v>1</v>
          </cell>
          <cell r="M2999" t="str">
            <v>1Ets Boubacar TANDIA</v>
          </cell>
          <cell r="N2999" t="str">
            <v>Ets Boubacar TANDIAScratch 20 000</v>
          </cell>
          <cell r="O2999" t="str">
            <v>Ets Boubacar TANDIA</v>
          </cell>
          <cell r="P2999" t="str">
            <v>Scratch 20 000</v>
          </cell>
          <cell r="Q2999" t="str">
            <v>92007</v>
          </cell>
          <cell r="R2999" t="str">
            <v>92007Scratch 20 000</v>
          </cell>
          <cell r="S2999" t="str">
            <v>2007Scratch 20 000</v>
          </cell>
          <cell r="T2999" t="str">
            <v>92007Ets Boubacar TANDIA</v>
          </cell>
          <cell r="U2999" t="str">
            <v>92007Ets Boubacar TANDIAScratch 20 000</v>
          </cell>
          <cell r="V2999" t="str">
            <v>39353Scratch 20 000</v>
          </cell>
          <cell r="W2999" t="str">
            <v>2007Ets Boubacar TANDIA</v>
          </cell>
          <cell r="X2999" t="str">
            <v>2007Ets Boubacar TANDIAScratch 20 000</v>
          </cell>
        </row>
        <row r="3000">
          <cell r="I3000">
            <v>2007</v>
          </cell>
          <cell r="J3000" t="str">
            <v>Ets Boubacar TANDIAScratch 5 000</v>
          </cell>
          <cell r="L3000">
            <v>0</v>
          </cell>
          <cell r="M3000" t="str">
            <v>Ets Boubacar TANDIA</v>
          </cell>
          <cell r="N3000" t="str">
            <v>Ets Boubacar TANDIAScratch 5 000</v>
          </cell>
          <cell r="O3000" t="str">
            <v>Ets Boubacar TANDIA</v>
          </cell>
          <cell r="P3000" t="str">
            <v>Scratch 5 000</v>
          </cell>
          <cell r="Q3000" t="str">
            <v>92007</v>
          </cell>
          <cell r="R3000" t="str">
            <v>92007Scratch 5 000</v>
          </cell>
          <cell r="S3000" t="str">
            <v>2007Scratch 5 000</v>
          </cell>
          <cell r="T3000" t="str">
            <v>92007Ets Boubacar TANDIA</v>
          </cell>
          <cell r="U3000" t="str">
            <v>92007Ets Boubacar TANDIAScratch 5 000</v>
          </cell>
          <cell r="V3000" t="str">
            <v>39353Scratch 5 000</v>
          </cell>
          <cell r="W3000" t="str">
            <v>2007Ets Boubacar TANDIA</v>
          </cell>
          <cell r="X3000" t="str">
            <v>2007Ets Boubacar TANDIAScratch 5 000</v>
          </cell>
        </row>
        <row r="3001">
          <cell r="I3001">
            <v>2007</v>
          </cell>
          <cell r="J3001" t="str">
            <v>Ets Boubacar TANDIAScratch 2 000</v>
          </cell>
          <cell r="L3001">
            <v>0</v>
          </cell>
          <cell r="M3001" t="str">
            <v>Ets Boubacar TANDIA</v>
          </cell>
          <cell r="N3001" t="str">
            <v>Ets Boubacar TANDIAScratch 2 000</v>
          </cell>
          <cell r="O3001" t="str">
            <v>Ets Boubacar TANDIA</v>
          </cell>
          <cell r="P3001" t="str">
            <v>Scratch 2 000</v>
          </cell>
          <cell r="Q3001" t="str">
            <v>92007</v>
          </cell>
          <cell r="R3001" t="str">
            <v>92007Scratch 2 000</v>
          </cell>
          <cell r="S3001" t="str">
            <v>2007Scratch 2 000</v>
          </cell>
          <cell r="T3001" t="str">
            <v>92007Ets Boubacar TANDIA</v>
          </cell>
          <cell r="U3001" t="str">
            <v>92007Ets Boubacar TANDIAScratch 2 000</v>
          </cell>
          <cell r="V3001" t="str">
            <v>39353Scratch 2 000</v>
          </cell>
          <cell r="W3001" t="str">
            <v>2007Ets Boubacar TANDIA</v>
          </cell>
          <cell r="X3001" t="str">
            <v>2007Ets Boubacar TANDIAScratch 2 000</v>
          </cell>
        </row>
        <row r="3002">
          <cell r="I3002">
            <v>2007</v>
          </cell>
          <cell r="J3002" t="str">
            <v>Ets Boubacar TANDIAScratch 1 000</v>
          </cell>
          <cell r="L3002">
            <v>0</v>
          </cell>
          <cell r="M3002" t="str">
            <v>Ets Boubacar TANDIA</v>
          </cell>
          <cell r="N3002" t="str">
            <v>Ets Boubacar TANDIAScratch 1 000</v>
          </cell>
          <cell r="O3002" t="str">
            <v>Ets Boubacar TANDIA</v>
          </cell>
          <cell r="P3002" t="str">
            <v>Scratch 1 000</v>
          </cell>
          <cell r="Q3002" t="str">
            <v>92007</v>
          </cell>
          <cell r="R3002" t="str">
            <v>92007Scratch 1 000</v>
          </cell>
          <cell r="S3002" t="str">
            <v>2007Scratch 1 000</v>
          </cell>
          <cell r="T3002" t="str">
            <v>92007Ets Boubacar TANDIA</v>
          </cell>
          <cell r="U3002" t="str">
            <v>92007Ets Boubacar TANDIAScratch 1 000</v>
          </cell>
          <cell r="V3002" t="str">
            <v>39353Scratch 1 000</v>
          </cell>
          <cell r="W3002" t="str">
            <v>2007Ets Boubacar TANDIA</v>
          </cell>
          <cell r="X3002" t="str">
            <v>2007Ets Boubacar TANDIAScratch 1 000</v>
          </cell>
        </row>
        <row r="3003">
          <cell r="I3003">
            <v>2007</v>
          </cell>
          <cell r="J3003" t="str">
            <v>CellNets MaliMinutes</v>
          </cell>
          <cell r="L3003">
            <v>1</v>
          </cell>
          <cell r="M3003" t="str">
            <v>1CellNets Mali</v>
          </cell>
          <cell r="N3003" t="str">
            <v>CellNets MaliMinutes</v>
          </cell>
          <cell r="O3003" t="str">
            <v>CellNets Mali</v>
          </cell>
          <cell r="P3003" t="str">
            <v>Minutes</v>
          </cell>
          <cell r="Q3003" t="str">
            <v>92007</v>
          </cell>
          <cell r="R3003" t="str">
            <v>92007Minutes</v>
          </cell>
          <cell r="S3003" t="str">
            <v>2007Minutes</v>
          </cell>
          <cell r="T3003" t="str">
            <v>92007CellNets Mali</v>
          </cell>
          <cell r="U3003" t="str">
            <v>92007CellNets MaliMinutes</v>
          </cell>
          <cell r="V3003" t="str">
            <v>39331Minutes</v>
          </cell>
          <cell r="W3003" t="str">
            <v>2007CellNets Mali</v>
          </cell>
          <cell r="X3003" t="str">
            <v>2007CellNets MaliMinutes</v>
          </cell>
        </row>
        <row r="3004">
          <cell r="I3004">
            <v>2007</v>
          </cell>
          <cell r="J3004" t="str">
            <v>CellNets MaliMinutes</v>
          </cell>
          <cell r="L3004">
            <v>1</v>
          </cell>
          <cell r="M3004" t="str">
            <v>1CellNets Mali</v>
          </cell>
          <cell r="N3004" t="str">
            <v>CellNets MaliMinutes</v>
          </cell>
          <cell r="O3004" t="str">
            <v>CellNets Mali</v>
          </cell>
          <cell r="P3004" t="str">
            <v>Minutes</v>
          </cell>
          <cell r="Q3004" t="str">
            <v>92007</v>
          </cell>
          <cell r="R3004" t="str">
            <v>92007Minutes</v>
          </cell>
          <cell r="S3004" t="str">
            <v>2007Minutes</v>
          </cell>
          <cell r="T3004" t="str">
            <v>92007CellNets Mali</v>
          </cell>
          <cell r="U3004" t="str">
            <v>92007CellNets MaliMinutes</v>
          </cell>
          <cell r="V3004" t="str">
            <v>39337Minutes</v>
          </cell>
          <cell r="W3004" t="str">
            <v>2007CellNets Mali</v>
          </cell>
          <cell r="X3004" t="str">
            <v>2007CellNets MaliMinutes</v>
          </cell>
        </row>
        <row r="3005">
          <cell r="I3005">
            <v>2007</v>
          </cell>
          <cell r="J3005" t="str">
            <v>CellNets MaliMinutes</v>
          </cell>
          <cell r="L3005">
            <v>1</v>
          </cell>
          <cell r="M3005" t="str">
            <v>1CellNets Mali</v>
          </cell>
          <cell r="N3005" t="str">
            <v>CellNets MaliMinutes</v>
          </cell>
          <cell r="O3005" t="str">
            <v>CellNets Mali</v>
          </cell>
          <cell r="P3005" t="str">
            <v>Minutes</v>
          </cell>
          <cell r="Q3005" t="str">
            <v>92007</v>
          </cell>
          <cell r="R3005" t="str">
            <v>92007Minutes</v>
          </cell>
          <cell r="S3005" t="str">
            <v>2007Minutes</v>
          </cell>
          <cell r="T3005" t="str">
            <v>92007CellNets Mali</v>
          </cell>
          <cell r="U3005" t="str">
            <v>92007CellNets MaliMinutes</v>
          </cell>
          <cell r="V3005" t="str">
            <v>39343Minutes</v>
          </cell>
          <cell r="W3005" t="str">
            <v>2007CellNets Mali</v>
          </cell>
          <cell r="X3005" t="str">
            <v>2007CellNets MaliMinutes</v>
          </cell>
        </row>
        <row r="3006">
          <cell r="I3006">
            <v>2007</v>
          </cell>
          <cell r="J3006" t="str">
            <v>CellNets MaliMinutes</v>
          </cell>
          <cell r="L3006">
            <v>1</v>
          </cell>
          <cell r="M3006" t="str">
            <v>1CellNets Mali</v>
          </cell>
          <cell r="N3006" t="str">
            <v>CellNets MaliMinutes</v>
          </cell>
          <cell r="O3006" t="str">
            <v>CellNets Mali</v>
          </cell>
          <cell r="P3006" t="str">
            <v>Minutes</v>
          </cell>
          <cell r="Q3006" t="str">
            <v>92007</v>
          </cell>
          <cell r="R3006" t="str">
            <v>92007Minutes</v>
          </cell>
          <cell r="S3006" t="str">
            <v>2007Minutes</v>
          </cell>
          <cell r="T3006" t="str">
            <v>92007CellNets Mali</v>
          </cell>
          <cell r="U3006" t="str">
            <v>92007CellNets MaliMinutes</v>
          </cell>
          <cell r="V3006" t="str">
            <v>39352Minutes</v>
          </cell>
          <cell r="W3006" t="str">
            <v>2007CellNets Mali</v>
          </cell>
          <cell r="X3006" t="str">
            <v>2007CellNets MaliMinutes</v>
          </cell>
        </row>
        <row r="3007">
          <cell r="I3007">
            <v>2007</v>
          </cell>
          <cell r="J3007" t="str">
            <v>Grands ComptesVGFU (TTC)</v>
          </cell>
          <cell r="L3007">
            <v>1</v>
          </cell>
          <cell r="M3007" t="str">
            <v>1Grands Comptes</v>
          </cell>
          <cell r="N3007" t="str">
            <v>Grands ComptesVGFU (TTC)</v>
          </cell>
          <cell r="O3007" t="str">
            <v>Grands Comptes</v>
          </cell>
          <cell r="P3007" t="str">
            <v>VGFU (TTC)</v>
          </cell>
          <cell r="Q3007" t="str">
            <v>92007</v>
          </cell>
          <cell r="R3007" t="str">
            <v>92007VGFU (TTC)</v>
          </cell>
          <cell r="S3007" t="str">
            <v>2007VGFU (TTC)</v>
          </cell>
          <cell r="T3007" t="str">
            <v>92007Grands Comptes</v>
          </cell>
          <cell r="U3007" t="str">
            <v>92007Grands ComptesVGFU (TTC)</v>
          </cell>
          <cell r="V3007" t="str">
            <v>39349VGFU (TTC)</v>
          </cell>
          <cell r="W3007" t="str">
            <v>2007Grands Comptes</v>
          </cell>
          <cell r="X3007" t="str">
            <v>2007Grands ComptesVGFU (TTC)</v>
          </cell>
        </row>
        <row r="3008">
          <cell r="I3008">
            <v>2007</v>
          </cell>
          <cell r="J3008" t="str">
            <v>Grands ComptesVGFU (TTC)</v>
          </cell>
          <cell r="L3008">
            <v>1</v>
          </cell>
          <cell r="M3008" t="str">
            <v>1Grands Comptes</v>
          </cell>
          <cell r="N3008" t="str">
            <v>Grands ComptesVGFU (TTC)</v>
          </cell>
          <cell r="O3008" t="str">
            <v>Grands Comptes</v>
          </cell>
          <cell r="P3008" t="str">
            <v>VGFU (TTC)</v>
          </cell>
          <cell r="Q3008" t="str">
            <v>92007</v>
          </cell>
          <cell r="R3008" t="str">
            <v>92007VGFU (TTC)</v>
          </cell>
          <cell r="S3008" t="str">
            <v>2007VGFU (TTC)</v>
          </cell>
          <cell r="T3008" t="str">
            <v>92007Grands Comptes</v>
          </cell>
          <cell r="U3008" t="str">
            <v>92007Grands ComptesVGFU (TTC)</v>
          </cell>
          <cell r="V3008" t="str">
            <v>39353VGFU (TTC)</v>
          </cell>
          <cell r="W3008" t="str">
            <v>2007Grands Comptes</v>
          </cell>
          <cell r="X3008" t="str">
            <v>2007Grands ComptesVGFU (TTC)</v>
          </cell>
        </row>
        <row r="3009">
          <cell r="I3009">
            <v>2007</v>
          </cell>
          <cell r="J3009" t="str">
            <v>Grands ComptesVGFU (TTC)</v>
          </cell>
          <cell r="L3009">
            <v>1</v>
          </cell>
          <cell r="M3009" t="str">
            <v>1Grands Comptes</v>
          </cell>
          <cell r="N3009" t="str">
            <v>Grands ComptesVGFU (TTC)</v>
          </cell>
          <cell r="O3009" t="str">
            <v>Grands Comptes</v>
          </cell>
          <cell r="P3009" t="str">
            <v>VGFU (TTC)</v>
          </cell>
          <cell r="Q3009" t="str">
            <v>92007</v>
          </cell>
          <cell r="R3009" t="str">
            <v>92007VGFU (TTC)</v>
          </cell>
          <cell r="S3009" t="str">
            <v>2007VGFU (TTC)</v>
          </cell>
          <cell r="T3009" t="str">
            <v>92007Grands Comptes</v>
          </cell>
          <cell r="U3009" t="str">
            <v>92007Grands ComptesVGFU (TTC)</v>
          </cell>
          <cell r="V3009" t="str">
            <v>39353VGFU (TTC)</v>
          </cell>
          <cell r="W3009" t="str">
            <v>2007Grands Comptes</v>
          </cell>
          <cell r="X3009" t="str">
            <v>2007Grands ComptesVGFU (TTC)</v>
          </cell>
        </row>
        <row r="3010">
          <cell r="I3010">
            <v>2007</v>
          </cell>
          <cell r="J3010" t="str">
            <v>Grands ComptesVGFU (TTC)</v>
          </cell>
          <cell r="L3010">
            <v>1</v>
          </cell>
          <cell r="M3010" t="str">
            <v>1Grands Comptes</v>
          </cell>
          <cell r="N3010" t="str">
            <v>Grands ComptesVGFU (TTC)</v>
          </cell>
          <cell r="O3010" t="str">
            <v>Grands Comptes</v>
          </cell>
          <cell r="P3010" t="str">
            <v>VGFU (TTC)</v>
          </cell>
          <cell r="Q3010" t="str">
            <v>92007</v>
          </cell>
          <cell r="R3010" t="str">
            <v>92007VGFU (TTC)</v>
          </cell>
          <cell r="S3010" t="str">
            <v>2007VGFU (TTC)</v>
          </cell>
          <cell r="T3010" t="str">
            <v>92007Grands Comptes</v>
          </cell>
          <cell r="U3010" t="str">
            <v>92007Grands ComptesVGFU (TTC)</v>
          </cell>
          <cell r="V3010" t="str">
            <v>39353VGFU (TTC)</v>
          </cell>
          <cell r="W3010" t="str">
            <v>2007Grands Comptes</v>
          </cell>
          <cell r="X3010" t="str">
            <v>2007Grands ComptesVGFU (TTC)</v>
          </cell>
        </row>
        <row r="3011">
          <cell r="I3011">
            <v>2007</v>
          </cell>
          <cell r="J3011" t="str">
            <v>STS GAMBY &amp; FRERES (SOGAF) SarlScratch 5 000</v>
          </cell>
          <cell r="L3011">
            <v>1</v>
          </cell>
          <cell r="M3011" t="str">
            <v>1STS GAMBY &amp; FRERES (SOGAF) Sarl</v>
          </cell>
          <cell r="N3011" t="str">
            <v>STS GAMBY &amp; FRERES (SOGAF) SarlScratch 5 000</v>
          </cell>
          <cell r="O3011" t="str">
            <v>STS GAMBY &amp; FRERES (SOGAF) Sarl</v>
          </cell>
          <cell r="P3011" t="str">
            <v>Scratch 5 000</v>
          </cell>
          <cell r="Q3011" t="str">
            <v>102007</v>
          </cell>
          <cell r="R3011" t="str">
            <v>102007Scratch 5 000</v>
          </cell>
          <cell r="S3011" t="str">
            <v>2007Scratch 5 000</v>
          </cell>
          <cell r="T3011" t="str">
            <v>102007STS GAMBY &amp; FRERES (SOGAF) Sarl</v>
          </cell>
          <cell r="U3011" t="str">
            <v>102007STS GAMBY &amp; FRERES (SOGAF) SarlScratch 5 000</v>
          </cell>
          <cell r="V3011" t="str">
            <v>39356Scratch 5 000</v>
          </cell>
          <cell r="W3011" t="str">
            <v>2007STS GAMBY &amp; FRERES (SOGAF) Sarl</v>
          </cell>
          <cell r="X3011" t="str">
            <v>2007STS GAMBY &amp; FRERES (SOGAF) SarlScratch 5 000</v>
          </cell>
        </row>
        <row r="3012">
          <cell r="I3012">
            <v>2007</v>
          </cell>
          <cell r="J3012" t="str">
            <v>STS GAMBY &amp; FRERES (SOGAF) SarlScratch 2 000</v>
          </cell>
          <cell r="L3012">
            <v>0</v>
          </cell>
          <cell r="M3012" t="str">
            <v>STS GAMBY &amp; FRERES (SOGAF) Sarl</v>
          </cell>
          <cell r="N3012" t="str">
            <v>STS GAMBY &amp; FRERES (SOGAF) SarlScratch 2 000</v>
          </cell>
          <cell r="O3012" t="str">
            <v>STS GAMBY &amp; FRERES (SOGAF) Sarl</v>
          </cell>
          <cell r="P3012" t="str">
            <v>Scratch 2 000</v>
          </cell>
          <cell r="Q3012" t="str">
            <v>102007</v>
          </cell>
          <cell r="R3012" t="str">
            <v>102007Scratch 2 000</v>
          </cell>
          <cell r="S3012" t="str">
            <v>2007Scratch 2 000</v>
          </cell>
          <cell r="T3012" t="str">
            <v>102007STS GAMBY &amp; FRERES (SOGAF) Sarl</v>
          </cell>
          <cell r="U3012" t="str">
            <v>102007STS GAMBY &amp; FRERES (SOGAF) SarlScratch 2 000</v>
          </cell>
          <cell r="V3012" t="str">
            <v>39356Scratch 2 000</v>
          </cell>
          <cell r="W3012" t="str">
            <v>2007STS GAMBY &amp; FRERES (SOGAF) Sarl</v>
          </cell>
          <cell r="X3012" t="str">
            <v>2007STS GAMBY &amp; FRERES (SOGAF) SarlScratch 2 000</v>
          </cell>
        </row>
        <row r="3013">
          <cell r="I3013">
            <v>2007</v>
          </cell>
          <cell r="J3013" t="str">
            <v>STS GAMBY &amp; FRERES (SOGAF) SarlScratch 1 000</v>
          </cell>
          <cell r="L3013">
            <v>0</v>
          </cell>
          <cell r="M3013" t="str">
            <v>STS GAMBY &amp; FRERES (SOGAF) Sarl</v>
          </cell>
          <cell r="N3013" t="str">
            <v>STS GAMBY &amp; FRERES (SOGAF) SarlScratch 1 000</v>
          </cell>
          <cell r="O3013" t="str">
            <v>STS GAMBY &amp; FRERES (SOGAF) Sarl</v>
          </cell>
          <cell r="P3013" t="str">
            <v>Scratch 1 000</v>
          </cell>
          <cell r="Q3013" t="str">
            <v>102007</v>
          </cell>
          <cell r="R3013" t="str">
            <v>102007Scratch 1 000</v>
          </cell>
          <cell r="S3013" t="str">
            <v>2007Scratch 1 000</v>
          </cell>
          <cell r="T3013" t="str">
            <v>102007STS GAMBY &amp; FRERES (SOGAF) Sarl</v>
          </cell>
          <cell r="U3013" t="str">
            <v>102007STS GAMBY &amp; FRERES (SOGAF) SarlScratch 1 000</v>
          </cell>
          <cell r="V3013" t="str">
            <v>39356Scratch 1 000</v>
          </cell>
          <cell r="W3013" t="str">
            <v>2007STS GAMBY &amp; FRERES (SOGAF) Sarl</v>
          </cell>
          <cell r="X3013" t="str">
            <v>2007STS GAMBY &amp; FRERES (SOGAF) SarlScratch 1 000</v>
          </cell>
        </row>
        <row r="3014">
          <cell r="I3014">
            <v>2007</v>
          </cell>
          <cell r="J3014" t="str">
            <v>Compagnie Internationale de NegoceScratch 5 000</v>
          </cell>
          <cell r="L3014">
            <v>1</v>
          </cell>
          <cell r="M3014" t="str">
            <v>1Compagnie Internationale de Negoce</v>
          </cell>
          <cell r="N3014" t="str">
            <v>Compagnie Internationale de NegoceScratch 5 000</v>
          </cell>
          <cell r="O3014" t="str">
            <v>Compagnie Internationale de Negoce</v>
          </cell>
          <cell r="P3014" t="str">
            <v>Scratch 5 000</v>
          </cell>
          <cell r="Q3014" t="str">
            <v>102007</v>
          </cell>
          <cell r="R3014" t="str">
            <v>102007Scratch 5 000</v>
          </cell>
          <cell r="S3014" t="str">
            <v>2007Scratch 5 000</v>
          </cell>
          <cell r="T3014" t="str">
            <v>102007Compagnie Internationale de Negoce</v>
          </cell>
          <cell r="U3014" t="str">
            <v>102007Compagnie Internationale de NegoceScratch 5 000</v>
          </cell>
          <cell r="V3014" t="str">
            <v>39356Scratch 5 000</v>
          </cell>
          <cell r="W3014" t="str">
            <v>2007Compagnie Internationale de Negoce</v>
          </cell>
          <cell r="X3014" t="str">
            <v>2007Compagnie Internationale de NegoceScratch 5 000</v>
          </cell>
        </row>
        <row r="3015">
          <cell r="I3015">
            <v>2007</v>
          </cell>
          <cell r="J3015" t="str">
            <v>Compagnie Internationale de NegoceScratch 2 000</v>
          </cell>
          <cell r="L3015">
            <v>0</v>
          </cell>
          <cell r="M3015" t="str">
            <v>Compagnie Internationale de Negoce</v>
          </cell>
          <cell r="N3015" t="str">
            <v>Compagnie Internationale de NegoceScratch 2 000</v>
          </cell>
          <cell r="O3015" t="str">
            <v>Compagnie Internationale de Negoce</v>
          </cell>
          <cell r="P3015" t="str">
            <v>Scratch 2 000</v>
          </cell>
          <cell r="Q3015" t="str">
            <v>102007</v>
          </cell>
          <cell r="R3015" t="str">
            <v>102007Scratch 2 000</v>
          </cell>
          <cell r="S3015" t="str">
            <v>2007Scratch 2 000</v>
          </cell>
          <cell r="T3015" t="str">
            <v>102007Compagnie Internationale de Negoce</v>
          </cell>
          <cell r="U3015" t="str">
            <v>102007Compagnie Internationale de NegoceScratch 2 000</v>
          </cell>
          <cell r="V3015" t="str">
            <v>39356Scratch 2 000</v>
          </cell>
          <cell r="W3015" t="str">
            <v>2007Compagnie Internationale de Negoce</v>
          </cell>
          <cell r="X3015" t="str">
            <v>2007Compagnie Internationale de NegoceScratch 2 000</v>
          </cell>
        </row>
        <row r="3016">
          <cell r="I3016">
            <v>2007</v>
          </cell>
          <cell r="J3016" t="str">
            <v>Compagnie Internationale de NegoceScratch 1 000</v>
          </cell>
          <cell r="L3016">
            <v>0</v>
          </cell>
          <cell r="M3016" t="str">
            <v>Compagnie Internationale de Negoce</v>
          </cell>
          <cell r="N3016" t="str">
            <v>Compagnie Internationale de NegoceScratch 1 000</v>
          </cell>
          <cell r="O3016" t="str">
            <v>Compagnie Internationale de Negoce</v>
          </cell>
          <cell r="P3016" t="str">
            <v>Scratch 1 000</v>
          </cell>
          <cell r="Q3016" t="str">
            <v>102007</v>
          </cell>
          <cell r="R3016" t="str">
            <v>102007Scratch 1 000</v>
          </cell>
          <cell r="S3016" t="str">
            <v>2007Scratch 1 000</v>
          </cell>
          <cell r="T3016" t="str">
            <v>102007Compagnie Internationale de Negoce</v>
          </cell>
          <cell r="U3016" t="str">
            <v>102007Compagnie Internationale de NegoceScratch 1 000</v>
          </cell>
          <cell r="V3016" t="str">
            <v>39356Scratch 1 000</v>
          </cell>
          <cell r="W3016" t="str">
            <v>2007Compagnie Internationale de Negoce</v>
          </cell>
          <cell r="X3016" t="str">
            <v>2007Compagnie Internationale de NegoceScratch 1 000</v>
          </cell>
        </row>
        <row r="3017">
          <cell r="I3017">
            <v>2007</v>
          </cell>
          <cell r="J3017" t="str">
            <v>ANKA SERVICESScratch 5 000</v>
          </cell>
          <cell r="L3017">
            <v>1</v>
          </cell>
          <cell r="M3017" t="str">
            <v>1ANKA SERVICES</v>
          </cell>
          <cell r="N3017" t="str">
            <v>ANKA SERVICESScratch 5 000</v>
          </cell>
          <cell r="O3017" t="str">
            <v>ANKA SERVICES</v>
          </cell>
          <cell r="P3017" t="str">
            <v>Scratch 5 000</v>
          </cell>
          <cell r="Q3017" t="str">
            <v>102007</v>
          </cell>
          <cell r="R3017" t="str">
            <v>102007Scratch 5 000</v>
          </cell>
          <cell r="S3017" t="str">
            <v>2007Scratch 5 000</v>
          </cell>
          <cell r="T3017" t="str">
            <v>102007ANKA SERVICES</v>
          </cell>
          <cell r="U3017" t="str">
            <v>102007ANKA SERVICESScratch 5 000</v>
          </cell>
          <cell r="V3017" t="str">
            <v>39356Scratch 5 000</v>
          </cell>
          <cell r="W3017" t="str">
            <v>2007ANKA SERVICES</v>
          </cell>
          <cell r="X3017" t="str">
            <v>2007ANKA SERVICESScratch 5 000</v>
          </cell>
        </row>
        <row r="3018">
          <cell r="I3018">
            <v>2007</v>
          </cell>
          <cell r="J3018" t="str">
            <v>ANKA SERVICESScratch 2 000</v>
          </cell>
          <cell r="L3018">
            <v>0</v>
          </cell>
          <cell r="M3018" t="str">
            <v>ANKA SERVICES</v>
          </cell>
          <cell r="N3018" t="str">
            <v>ANKA SERVICESScratch 2 000</v>
          </cell>
          <cell r="O3018" t="str">
            <v>ANKA SERVICES</v>
          </cell>
          <cell r="P3018" t="str">
            <v>Scratch 2 000</v>
          </cell>
          <cell r="Q3018" t="str">
            <v>102007</v>
          </cell>
          <cell r="R3018" t="str">
            <v>102007Scratch 2 000</v>
          </cell>
          <cell r="S3018" t="str">
            <v>2007Scratch 2 000</v>
          </cell>
          <cell r="T3018" t="str">
            <v>102007ANKA SERVICES</v>
          </cell>
          <cell r="U3018" t="str">
            <v>102007ANKA SERVICESScratch 2 000</v>
          </cell>
          <cell r="V3018" t="str">
            <v>39356Scratch 2 000</v>
          </cell>
          <cell r="W3018" t="str">
            <v>2007ANKA SERVICES</v>
          </cell>
          <cell r="X3018" t="str">
            <v>2007ANKA SERVICESScratch 2 000</v>
          </cell>
        </row>
        <row r="3019">
          <cell r="I3019">
            <v>2007</v>
          </cell>
          <cell r="J3019" t="str">
            <v>ANKA SERVICESScratch 1 000</v>
          </cell>
          <cell r="L3019">
            <v>0</v>
          </cell>
          <cell r="M3019" t="str">
            <v>ANKA SERVICES</v>
          </cell>
          <cell r="N3019" t="str">
            <v>ANKA SERVICESScratch 1 000</v>
          </cell>
          <cell r="O3019" t="str">
            <v>ANKA SERVICES</v>
          </cell>
          <cell r="P3019" t="str">
            <v>Scratch 1 000</v>
          </cell>
          <cell r="Q3019" t="str">
            <v>102007</v>
          </cell>
          <cell r="R3019" t="str">
            <v>102007Scratch 1 000</v>
          </cell>
          <cell r="S3019" t="str">
            <v>2007Scratch 1 000</v>
          </cell>
          <cell r="T3019" t="str">
            <v>102007ANKA SERVICES</v>
          </cell>
          <cell r="U3019" t="str">
            <v>102007ANKA SERVICESScratch 1 000</v>
          </cell>
          <cell r="V3019" t="str">
            <v>39356Scratch 1 000</v>
          </cell>
          <cell r="W3019" t="str">
            <v>2007ANKA SERVICES</v>
          </cell>
          <cell r="X3019" t="str">
            <v>2007ANKA SERVICESScratch 1 000</v>
          </cell>
        </row>
        <row r="3020">
          <cell r="I3020">
            <v>2007</v>
          </cell>
          <cell r="J3020" t="str">
            <v>Burtel MacsymScratch 20 000</v>
          </cell>
          <cell r="L3020">
            <v>1</v>
          </cell>
          <cell r="M3020" t="str">
            <v>1Burtel Macsym</v>
          </cell>
          <cell r="N3020" t="str">
            <v>Burtel MacsymScratch 20 000</v>
          </cell>
          <cell r="O3020" t="str">
            <v>Burtel Macsym</v>
          </cell>
          <cell r="P3020" t="str">
            <v>Scratch 20 000</v>
          </cell>
          <cell r="Q3020" t="str">
            <v>102007</v>
          </cell>
          <cell r="R3020" t="str">
            <v>102007Scratch 20 000</v>
          </cell>
          <cell r="S3020" t="str">
            <v>2007Scratch 20 000</v>
          </cell>
          <cell r="T3020" t="str">
            <v>102007Burtel Macsym</v>
          </cell>
          <cell r="U3020" t="str">
            <v>102007Burtel MacsymScratch 20 000</v>
          </cell>
          <cell r="V3020" t="str">
            <v>39356Scratch 20 000</v>
          </cell>
          <cell r="W3020" t="str">
            <v>2007Burtel Macsym</v>
          </cell>
          <cell r="X3020" t="str">
            <v>2007Burtel MacsymScratch 20 000</v>
          </cell>
        </row>
        <row r="3021">
          <cell r="I3021">
            <v>2007</v>
          </cell>
          <cell r="J3021" t="str">
            <v>Burtel MacsymScratch 5 000</v>
          </cell>
          <cell r="L3021">
            <v>0</v>
          </cell>
          <cell r="M3021" t="str">
            <v>Burtel Macsym</v>
          </cell>
          <cell r="N3021" t="str">
            <v>Burtel MacsymScratch 5 000</v>
          </cell>
          <cell r="O3021" t="str">
            <v>Burtel Macsym</v>
          </cell>
          <cell r="P3021" t="str">
            <v>Scratch 5 000</v>
          </cell>
          <cell r="Q3021" t="str">
            <v>102007</v>
          </cell>
          <cell r="R3021" t="str">
            <v>102007Scratch 5 000</v>
          </cell>
          <cell r="S3021" t="str">
            <v>2007Scratch 5 000</v>
          </cell>
          <cell r="T3021" t="str">
            <v>102007Burtel Macsym</v>
          </cell>
          <cell r="U3021" t="str">
            <v>102007Burtel MacsymScratch 5 000</v>
          </cell>
          <cell r="V3021" t="str">
            <v>39356Scratch 5 000</v>
          </cell>
          <cell r="W3021" t="str">
            <v>2007Burtel Macsym</v>
          </cell>
          <cell r="X3021" t="str">
            <v>2007Burtel MacsymScratch 5 000</v>
          </cell>
        </row>
        <row r="3022">
          <cell r="I3022">
            <v>2007</v>
          </cell>
          <cell r="J3022" t="str">
            <v>Burtel MacsymScratch 2 000</v>
          </cell>
          <cell r="L3022">
            <v>0</v>
          </cell>
          <cell r="M3022" t="str">
            <v>Burtel Macsym</v>
          </cell>
          <cell r="N3022" t="str">
            <v>Burtel MacsymScratch 2 000</v>
          </cell>
          <cell r="O3022" t="str">
            <v>Burtel Macsym</v>
          </cell>
          <cell r="P3022" t="str">
            <v>Scratch 2 000</v>
          </cell>
          <cell r="Q3022" t="str">
            <v>102007</v>
          </cell>
          <cell r="R3022" t="str">
            <v>102007Scratch 2 000</v>
          </cell>
          <cell r="S3022" t="str">
            <v>2007Scratch 2 000</v>
          </cell>
          <cell r="T3022" t="str">
            <v>102007Burtel Macsym</v>
          </cell>
          <cell r="U3022" t="str">
            <v>102007Burtel MacsymScratch 2 000</v>
          </cell>
          <cell r="V3022" t="str">
            <v>39356Scratch 2 000</v>
          </cell>
          <cell r="W3022" t="str">
            <v>2007Burtel Macsym</v>
          </cell>
          <cell r="X3022" t="str">
            <v>2007Burtel MacsymScratch 2 000</v>
          </cell>
        </row>
        <row r="3023">
          <cell r="I3023">
            <v>2007</v>
          </cell>
          <cell r="J3023" t="str">
            <v>Burtel MacsymScratch 1 000</v>
          </cell>
          <cell r="L3023">
            <v>0</v>
          </cell>
          <cell r="M3023" t="str">
            <v>Burtel Macsym</v>
          </cell>
          <cell r="N3023" t="str">
            <v>Burtel MacsymScratch 1 000</v>
          </cell>
          <cell r="O3023" t="str">
            <v>Burtel Macsym</v>
          </cell>
          <cell r="P3023" t="str">
            <v>Scratch 1 000</v>
          </cell>
          <cell r="Q3023" t="str">
            <v>102007</v>
          </cell>
          <cell r="R3023" t="str">
            <v>102007Scratch 1 000</v>
          </cell>
          <cell r="S3023" t="str">
            <v>2007Scratch 1 000</v>
          </cell>
          <cell r="T3023" t="str">
            <v>102007Burtel Macsym</v>
          </cell>
          <cell r="U3023" t="str">
            <v>102007Burtel MacsymScratch 1 000</v>
          </cell>
          <cell r="V3023" t="str">
            <v>39356Scratch 1 000</v>
          </cell>
          <cell r="W3023" t="str">
            <v>2007Burtel Macsym</v>
          </cell>
          <cell r="X3023" t="str">
            <v>2007Burtel MacsymScratch 1 000</v>
          </cell>
        </row>
        <row r="3024">
          <cell r="I3024">
            <v>2007</v>
          </cell>
          <cell r="J3024" t="str">
            <v>GEMATELScratch 20 000</v>
          </cell>
          <cell r="L3024">
            <v>1</v>
          </cell>
          <cell r="M3024" t="str">
            <v>1GEMATEL</v>
          </cell>
          <cell r="N3024" t="str">
            <v>GEMATELScratch 20 000</v>
          </cell>
          <cell r="O3024" t="str">
            <v>GEMATEL</v>
          </cell>
          <cell r="P3024" t="str">
            <v>Scratch 20 000</v>
          </cell>
          <cell r="Q3024" t="str">
            <v>102007</v>
          </cell>
          <cell r="R3024" t="str">
            <v>102007Scratch 20 000</v>
          </cell>
          <cell r="S3024" t="str">
            <v>2007Scratch 20 000</v>
          </cell>
          <cell r="T3024" t="str">
            <v>102007GEMATEL</v>
          </cell>
          <cell r="U3024" t="str">
            <v>102007GEMATELScratch 20 000</v>
          </cell>
          <cell r="V3024" t="str">
            <v>39356Scratch 20 000</v>
          </cell>
          <cell r="W3024" t="str">
            <v>2007GEMATEL</v>
          </cell>
          <cell r="X3024" t="str">
            <v>2007GEMATELScratch 20 000</v>
          </cell>
        </row>
        <row r="3025">
          <cell r="I3025">
            <v>2007</v>
          </cell>
          <cell r="J3025" t="str">
            <v>GEMATELScratch 10 000</v>
          </cell>
          <cell r="L3025">
            <v>0</v>
          </cell>
          <cell r="M3025" t="str">
            <v>GEMATEL</v>
          </cell>
          <cell r="N3025" t="str">
            <v>GEMATELScratch 10 000</v>
          </cell>
          <cell r="O3025" t="str">
            <v>GEMATEL</v>
          </cell>
          <cell r="P3025" t="str">
            <v>Scratch 10 000</v>
          </cell>
          <cell r="Q3025" t="str">
            <v>102007</v>
          </cell>
          <cell r="R3025" t="str">
            <v>102007Scratch 10 000</v>
          </cell>
          <cell r="S3025" t="str">
            <v>2007Scratch 10 000</v>
          </cell>
          <cell r="T3025" t="str">
            <v>102007GEMATEL</v>
          </cell>
          <cell r="U3025" t="str">
            <v>102007GEMATELScratch 10 000</v>
          </cell>
          <cell r="V3025" t="str">
            <v>39356Scratch 10 000</v>
          </cell>
          <cell r="W3025" t="str">
            <v>2007GEMATEL</v>
          </cell>
          <cell r="X3025" t="str">
            <v>2007GEMATELScratch 10 000</v>
          </cell>
        </row>
        <row r="3026">
          <cell r="I3026">
            <v>2007</v>
          </cell>
          <cell r="J3026" t="str">
            <v>GEMATELScratch 5 000</v>
          </cell>
          <cell r="L3026">
            <v>0</v>
          </cell>
          <cell r="M3026" t="str">
            <v>GEMATEL</v>
          </cell>
          <cell r="N3026" t="str">
            <v>GEMATELScratch 5 000</v>
          </cell>
          <cell r="O3026" t="str">
            <v>GEMATEL</v>
          </cell>
          <cell r="P3026" t="str">
            <v>Scratch 5 000</v>
          </cell>
          <cell r="Q3026" t="str">
            <v>102007</v>
          </cell>
          <cell r="R3026" t="str">
            <v>102007Scratch 5 000</v>
          </cell>
          <cell r="S3026" t="str">
            <v>2007Scratch 5 000</v>
          </cell>
          <cell r="T3026" t="str">
            <v>102007GEMATEL</v>
          </cell>
          <cell r="U3026" t="str">
            <v>102007GEMATELScratch 5 000</v>
          </cell>
          <cell r="V3026" t="str">
            <v>39356Scratch 5 000</v>
          </cell>
          <cell r="W3026" t="str">
            <v>2007GEMATEL</v>
          </cell>
          <cell r="X3026" t="str">
            <v>2007GEMATELScratch 5 000</v>
          </cell>
        </row>
        <row r="3027">
          <cell r="I3027">
            <v>2007</v>
          </cell>
          <cell r="J3027" t="str">
            <v>GEMATELScratch 2 000</v>
          </cell>
          <cell r="L3027">
            <v>0</v>
          </cell>
          <cell r="M3027" t="str">
            <v>GEMATEL</v>
          </cell>
          <cell r="N3027" t="str">
            <v>GEMATELScratch 2 000</v>
          </cell>
          <cell r="O3027" t="str">
            <v>GEMATEL</v>
          </cell>
          <cell r="P3027" t="str">
            <v>Scratch 2 000</v>
          </cell>
          <cell r="Q3027" t="str">
            <v>102007</v>
          </cell>
          <cell r="R3027" t="str">
            <v>102007Scratch 2 000</v>
          </cell>
          <cell r="S3027" t="str">
            <v>2007Scratch 2 000</v>
          </cell>
          <cell r="T3027" t="str">
            <v>102007GEMATEL</v>
          </cell>
          <cell r="U3027" t="str">
            <v>102007GEMATELScratch 2 000</v>
          </cell>
          <cell r="V3027" t="str">
            <v>39356Scratch 2 000</v>
          </cell>
          <cell r="W3027" t="str">
            <v>2007GEMATEL</v>
          </cell>
          <cell r="X3027" t="str">
            <v>2007GEMATELScratch 2 000</v>
          </cell>
        </row>
        <row r="3028">
          <cell r="I3028">
            <v>2007</v>
          </cell>
          <cell r="J3028" t="str">
            <v>GEMATELScratch 1 000</v>
          </cell>
          <cell r="L3028">
            <v>0</v>
          </cell>
          <cell r="M3028" t="str">
            <v>GEMATEL</v>
          </cell>
          <cell r="N3028" t="str">
            <v>GEMATELScratch 1 000</v>
          </cell>
          <cell r="O3028" t="str">
            <v>GEMATEL</v>
          </cell>
          <cell r="P3028" t="str">
            <v>Scratch 1 000</v>
          </cell>
          <cell r="Q3028" t="str">
            <v>102007</v>
          </cell>
          <cell r="R3028" t="str">
            <v>102007Scratch 1 000</v>
          </cell>
          <cell r="S3028" t="str">
            <v>2007Scratch 1 000</v>
          </cell>
          <cell r="T3028" t="str">
            <v>102007GEMATEL</v>
          </cell>
          <cell r="U3028" t="str">
            <v>102007GEMATELScratch 1 000</v>
          </cell>
          <cell r="V3028" t="str">
            <v>39356Scratch 1 000</v>
          </cell>
          <cell r="W3028" t="str">
            <v>2007GEMATEL</v>
          </cell>
          <cell r="X3028" t="str">
            <v>2007GEMATELScratch 1 000</v>
          </cell>
        </row>
        <row r="3029">
          <cell r="I3029">
            <v>2007</v>
          </cell>
          <cell r="J3029" t="str">
            <v>MALI COM SarlScratch 20 000</v>
          </cell>
          <cell r="L3029">
            <v>1</v>
          </cell>
          <cell r="M3029" t="str">
            <v>1MALI COM Sarl</v>
          </cell>
          <cell r="N3029" t="str">
            <v>MALI COM SarlScratch 20 000</v>
          </cell>
          <cell r="O3029" t="str">
            <v>MALI COM Sarl</v>
          </cell>
          <cell r="P3029" t="str">
            <v>Scratch 20 000</v>
          </cell>
          <cell r="Q3029" t="str">
            <v>102007</v>
          </cell>
          <cell r="R3029" t="str">
            <v>102007Scratch 20 000</v>
          </cell>
          <cell r="S3029" t="str">
            <v>2007Scratch 20 000</v>
          </cell>
          <cell r="T3029" t="str">
            <v>102007MALI COM Sarl</v>
          </cell>
          <cell r="U3029" t="str">
            <v>102007MALI COM SarlScratch 20 000</v>
          </cell>
          <cell r="V3029" t="str">
            <v>39356Scratch 20 000</v>
          </cell>
          <cell r="W3029" t="str">
            <v>2007MALI COM Sarl</v>
          </cell>
          <cell r="X3029" t="str">
            <v>2007MALI COM SarlScratch 20 000</v>
          </cell>
        </row>
        <row r="3030">
          <cell r="I3030">
            <v>2007</v>
          </cell>
          <cell r="J3030" t="str">
            <v>MALI COM SarlScratch 5 000</v>
          </cell>
          <cell r="L3030">
            <v>0</v>
          </cell>
          <cell r="M3030" t="str">
            <v>MALI COM Sarl</v>
          </cell>
          <cell r="N3030" t="str">
            <v>MALI COM SarlScratch 5 000</v>
          </cell>
          <cell r="O3030" t="str">
            <v>MALI COM Sarl</v>
          </cell>
          <cell r="P3030" t="str">
            <v>Scratch 5 000</v>
          </cell>
          <cell r="Q3030" t="str">
            <v>102007</v>
          </cell>
          <cell r="R3030" t="str">
            <v>102007Scratch 5 000</v>
          </cell>
          <cell r="S3030" t="str">
            <v>2007Scratch 5 000</v>
          </cell>
          <cell r="T3030" t="str">
            <v>102007MALI COM Sarl</v>
          </cell>
          <cell r="U3030" t="str">
            <v>102007MALI COM SarlScratch 5 000</v>
          </cell>
          <cell r="V3030" t="str">
            <v>39356Scratch 5 000</v>
          </cell>
          <cell r="W3030" t="str">
            <v>2007MALI COM Sarl</v>
          </cell>
          <cell r="X3030" t="str">
            <v>2007MALI COM SarlScratch 5 000</v>
          </cell>
        </row>
        <row r="3031">
          <cell r="I3031">
            <v>2007</v>
          </cell>
          <cell r="J3031" t="str">
            <v>MALI COM SarlScratch 2 000</v>
          </cell>
          <cell r="L3031">
            <v>0</v>
          </cell>
          <cell r="M3031" t="str">
            <v>MALI COM Sarl</v>
          </cell>
          <cell r="N3031" t="str">
            <v>MALI COM SarlScratch 2 000</v>
          </cell>
          <cell r="O3031" t="str">
            <v>MALI COM Sarl</v>
          </cell>
          <cell r="P3031" t="str">
            <v>Scratch 2 000</v>
          </cell>
          <cell r="Q3031" t="str">
            <v>102007</v>
          </cell>
          <cell r="R3031" t="str">
            <v>102007Scratch 2 000</v>
          </cell>
          <cell r="S3031" t="str">
            <v>2007Scratch 2 000</v>
          </cell>
          <cell r="T3031" t="str">
            <v>102007MALI COM Sarl</v>
          </cell>
          <cell r="U3031" t="str">
            <v>102007MALI COM SarlScratch 2 000</v>
          </cell>
          <cell r="V3031" t="str">
            <v>39356Scratch 2 000</v>
          </cell>
          <cell r="W3031" t="str">
            <v>2007MALI COM Sarl</v>
          </cell>
          <cell r="X3031" t="str">
            <v>2007MALI COM SarlScratch 2 000</v>
          </cell>
        </row>
        <row r="3032">
          <cell r="I3032">
            <v>2007</v>
          </cell>
          <cell r="J3032" t="str">
            <v>MALI COM SarlScratch 1 000</v>
          </cell>
          <cell r="L3032">
            <v>0</v>
          </cell>
          <cell r="M3032" t="str">
            <v>MALI COM Sarl</v>
          </cell>
          <cell r="N3032" t="str">
            <v>MALI COM SarlScratch 1 000</v>
          </cell>
          <cell r="O3032" t="str">
            <v>MALI COM Sarl</v>
          </cell>
          <cell r="P3032" t="str">
            <v>Scratch 1 000</v>
          </cell>
          <cell r="Q3032" t="str">
            <v>102007</v>
          </cell>
          <cell r="R3032" t="str">
            <v>102007Scratch 1 000</v>
          </cell>
          <cell r="S3032" t="str">
            <v>2007Scratch 1 000</v>
          </cell>
          <cell r="T3032" t="str">
            <v>102007MALI COM Sarl</v>
          </cell>
          <cell r="U3032" t="str">
            <v>102007MALI COM SarlScratch 1 000</v>
          </cell>
          <cell r="V3032" t="str">
            <v>39356Scratch 1 000</v>
          </cell>
          <cell r="W3032" t="str">
            <v>2007MALI COM Sarl</v>
          </cell>
          <cell r="X3032" t="str">
            <v>2007MALI COM SarlScratch 1 000</v>
          </cell>
        </row>
        <row r="3033">
          <cell r="I3033">
            <v>2007</v>
          </cell>
          <cell r="J3033" t="str">
            <v>SOMAKOFFScratch 5 000</v>
          </cell>
          <cell r="L3033">
            <v>1</v>
          </cell>
          <cell r="M3033" t="str">
            <v>1SOMAKOFF</v>
          </cell>
          <cell r="N3033" t="str">
            <v>SOMAKOFFScratch 5 000</v>
          </cell>
          <cell r="O3033" t="str">
            <v>SOMAKOFF</v>
          </cell>
          <cell r="P3033" t="str">
            <v>Scratch 5 000</v>
          </cell>
          <cell r="Q3033" t="str">
            <v>102007</v>
          </cell>
          <cell r="R3033" t="str">
            <v>102007Scratch 5 000</v>
          </cell>
          <cell r="S3033" t="str">
            <v>2007Scratch 5 000</v>
          </cell>
          <cell r="T3033" t="str">
            <v>102007SOMAKOFF</v>
          </cell>
          <cell r="U3033" t="str">
            <v>102007SOMAKOFFScratch 5 000</v>
          </cell>
          <cell r="V3033" t="str">
            <v>39356Scratch 5 000</v>
          </cell>
          <cell r="W3033" t="str">
            <v>2007SOMAKOFF</v>
          </cell>
          <cell r="X3033" t="str">
            <v>2007SOMAKOFFScratch 5 000</v>
          </cell>
        </row>
        <row r="3034">
          <cell r="I3034">
            <v>2007</v>
          </cell>
          <cell r="J3034" t="str">
            <v>SOMAKOFFScratch 2 000</v>
          </cell>
          <cell r="L3034">
            <v>0</v>
          </cell>
          <cell r="M3034" t="str">
            <v>SOMAKOFF</v>
          </cell>
          <cell r="N3034" t="str">
            <v>SOMAKOFFScratch 2 000</v>
          </cell>
          <cell r="O3034" t="str">
            <v>SOMAKOFF</v>
          </cell>
          <cell r="P3034" t="str">
            <v>Scratch 2 000</v>
          </cell>
          <cell r="Q3034" t="str">
            <v>102007</v>
          </cell>
          <cell r="R3034" t="str">
            <v>102007Scratch 2 000</v>
          </cell>
          <cell r="S3034" t="str">
            <v>2007Scratch 2 000</v>
          </cell>
          <cell r="T3034" t="str">
            <v>102007SOMAKOFF</v>
          </cell>
          <cell r="U3034" t="str">
            <v>102007SOMAKOFFScratch 2 000</v>
          </cell>
          <cell r="V3034" t="str">
            <v>39356Scratch 2 000</v>
          </cell>
          <cell r="W3034" t="str">
            <v>2007SOMAKOFF</v>
          </cell>
          <cell r="X3034" t="str">
            <v>2007SOMAKOFFScratch 2 000</v>
          </cell>
        </row>
        <row r="3035">
          <cell r="I3035">
            <v>2007</v>
          </cell>
          <cell r="J3035" t="str">
            <v>SOMAKOFFScratch 1 000</v>
          </cell>
          <cell r="L3035">
            <v>0</v>
          </cell>
          <cell r="M3035" t="str">
            <v>SOMAKOFF</v>
          </cell>
          <cell r="N3035" t="str">
            <v>SOMAKOFFScratch 1 000</v>
          </cell>
          <cell r="O3035" t="str">
            <v>SOMAKOFF</v>
          </cell>
          <cell r="P3035" t="str">
            <v>Scratch 1 000</v>
          </cell>
          <cell r="Q3035" t="str">
            <v>102007</v>
          </cell>
          <cell r="R3035" t="str">
            <v>102007Scratch 1 000</v>
          </cell>
          <cell r="S3035" t="str">
            <v>2007Scratch 1 000</v>
          </cell>
          <cell r="T3035" t="str">
            <v>102007SOMAKOFF</v>
          </cell>
          <cell r="U3035" t="str">
            <v>102007SOMAKOFFScratch 1 000</v>
          </cell>
          <cell r="V3035" t="str">
            <v>39356Scratch 1 000</v>
          </cell>
          <cell r="W3035" t="str">
            <v>2007SOMAKOFF</v>
          </cell>
          <cell r="X3035" t="str">
            <v>2007SOMAKOFFScratch 1 000</v>
          </cell>
        </row>
        <row r="3036">
          <cell r="I3036">
            <v>2007</v>
          </cell>
          <cell r="J3036" t="str">
            <v>Bonneterie Nouvelle TelecomScratch 10 000</v>
          </cell>
          <cell r="L3036">
            <v>1</v>
          </cell>
          <cell r="M3036" t="str">
            <v>1Bonneterie Nouvelle Telecom</v>
          </cell>
          <cell r="N3036" t="str">
            <v>Bonneterie Nouvelle TelecomScratch 10 000</v>
          </cell>
          <cell r="O3036" t="str">
            <v>Bonneterie Nouvelle Telecom</v>
          </cell>
          <cell r="P3036" t="str">
            <v>Scratch 10 000</v>
          </cell>
          <cell r="Q3036" t="str">
            <v>102007</v>
          </cell>
          <cell r="R3036" t="str">
            <v>102007Scratch 10 000</v>
          </cell>
          <cell r="S3036" t="str">
            <v>2007Scratch 10 000</v>
          </cell>
          <cell r="T3036" t="str">
            <v>102007Bonneterie Nouvelle Telecom</v>
          </cell>
          <cell r="U3036" t="str">
            <v>102007Bonneterie Nouvelle TelecomScratch 10 000</v>
          </cell>
          <cell r="V3036" t="str">
            <v>39356Scratch 10 000</v>
          </cell>
          <cell r="W3036" t="str">
            <v>2007Bonneterie Nouvelle Telecom</v>
          </cell>
          <cell r="X3036" t="str">
            <v>2007Bonneterie Nouvelle TelecomScratch 10 000</v>
          </cell>
        </row>
        <row r="3037">
          <cell r="I3037">
            <v>2007</v>
          </cell>
          <cell r="J3037" t="str">
            <v>Bonneterie Nouvelle TelecomScratch 5 000</v>
          </cell>
          <cell r="L3037">
            <v>0</v>
          </cell>
          <cell r="M3037" t="str">
            <v>Bonneterie Nouvelle Telecom</v>
          </cell>
          <cell r="N3037" t="str">
            <v>Bonneterie Nouvelle TelecomScratch 5 000</v>
          </cell>
          <cell r="O3037" t="str">
            <v>Bonneterie Nouvelle Telecom</v>
          </cell>
          <cell r="P3037" t="str">
            <v>Scratch 5 000</v>
          </cell>
          <cell r="Q3037" t="str">
            <v>102007</v>
          </cell>
          <cell r="R3037" t="str">
            <v>102007Scratch 5 000</v>
          </cell>
          <cell r="S3037" t="str">
            <v>2007Scratch 5 000</v>
          </cell>
          <cell r="T3037" t="str">
            <v>102007Bonneterie Nouvelle Telecom</v>
          </cell>
          <cell r="U3037" t="str">
            <v>102007Bonneterie Nouvelle TelecomScratch 5 000</v>
          </cell>
          <cell r="V3037" t="str">
            <v>39356Scratch 5 000</v>
          </cell>
          <cell r="W3037" t="str">
            <v>2007Bonneterie Nouvelle Telecom</v>
          </cell>
          <cell r="X3037" t="str">
            <v>2007Bonneterie Nouvelle TelecomScratch 5 000</v>
          </cell>
        </row>
        <row r="3038">
          <cell r="I3038">
            <v>2007</v>
          </cell>
          <cell r="J3038" t="str">
            <v>Bonneterie Nouvelle TelecomScratch 2 000</v>
          </cell>
          <cell r="L3038">
            <v>0</v>
          </cell>
          <cell r="M3038" t="str">
            <v>Bonneterie Nouvelle Telecom</v>
          </cell>
          <cell r="N3038" t="str">
            <v>Bonneterie Nouvelle TelecomScratch 2 000</v>
          </cell>
          <cell r="O3038" t="str">
            <v>Bonneterie Nouvelle Telecom</v>
          </cell>
          <cell r="P3038" t="str">
            <v>Scratch 2 000</v>
          </cell>
          <cell r="Q3038" t="str">
            <v>102007</v>
          </cell>
          <cell r="R3038" t="str">
            <v>102007Scratch 2 000</v>
          </cell>
          <cell r="S3038" t="str">
            <v>2007Scratch 2 000</v>
          </cell>
          <cell r="T3038" t="str">
            <v>102007Bonneterie Nouvelle Telecom</v>
          </cell>
          <cell r="U3038" t="str">
            <v>102007Bonneterie Nouvelle TelecomScratch 2 000</v>
          </cell>
          <cell r="V3038" t="str">
            <v>39356Scratch 2 000</v>
          </cell>
          <cell r="W3038" t="str">
            <v>2007Bonneterie Nouvelle Telecom</v>
          </cell>
          <cell r="X3038" t="str">
            <v>2007Bonneterie Nouvelle TelecomScratch 2 000</v>
          </cell>
        </row>
        <row r="3039">
          <cell r="I3039">
            <v>2007</v>
          </cell>
          <cell r="J3039" t="str">
            <v>Bonneterie Nouvelle TelecomScratch 1 000</v>
          </cell>
          <cell r="L3039">
            <v>0</v>
          </cell>
          <cell r="M3039" t="str">
            <v>Bonneterie Nouvelle Telecom</v>
          </cell>
          <cell r="N3039" t="str">
            <v>Bonneterie Nouvelle TelecomScratch 1 000</v>
          </cell>
          <cell r="O3039" t="str">
            <v>Bonneterie Nouvelle Telecom</v>
          </cell>
          <cell r="P3039" t="str">
            <v>Scratch 1 000</v>
          </cell>
          <cell r="Q3039" t="str">
            <v>102007</v>
          </cell>
          <cell r="R3039" t="str">
            <v>102007Scratch 1 000</v>
          </cell>
          <cell r="S3039" t="str">
            <v>2007Scratch 1 000</v>
          </cell>
          <cell r="T3039" t="str">
            <v>102007Bonneterie Nouvelle Telecom</v>
          </cell>
          <cell r="U3039" t="str">
            <v>102007Bonneterie Nouvelle TelecomScratch 1 000</v>
          </cell>
          <cell r="V3039" t="str">
            <v>39356Scratch 1 000</v>
          </cell>
          <cell r="W3039" t="str">
            <v>2007Bonneterie Nouvelle Telecom</v>
          </cell>
          <cell r="X3039" t="str">
            <v>2007Bonneterie Nouvelle TelecomScratch 1 000</v>
          </cell>
        </row>
        <row r="3040">
          <cell r="I3040">
            <v>2007</v>
          </cell>
          <cell r="J3040" t="str">
            <v>Compagnie Internationale de NegoceScratch 20 000</v>
          </cell>
          <cell r="L3040">
            <v>1</v>
          </cell>
          <cell r="M3040" t="str">
            <v>1Compagnie Internationale de Negoce</v>
          </cell>
          <cell r="N3040" t="str">
            <v>Compagnie Internationale de NegoceScratch 20 000</v>
          </cell>
          <cell r="O3040" t="str">
            <v>Compagnie Internationale de Negoce</v>
          </cell>
          <cell r="P3040" t="str">
            <v>Scratch 20 000</v>
          </cell>
          <cell r="Q3040" t="str">
            <v>102007</v>
          </cell>
          <cell r="R3040" t="str">
            <v>102007Scratch 20 000</v>
          </cell>
          <cell r="S3040" t="str">
            <v>2007Scratch 20 000</v>
          </cell>
          <cell r="T3040" t="str">
            <v>102007Compagnie Internationale de Negoce</v>
          </cell>
          <cell r="U3040" t="str">
            <v>102007Compagnie Internationale de NegoceScratch 20 000</v>
          </cell>
          <cell r="V3040" t="str">
            <v>39357Scratch 20 000</v>
          </cell>
          <cell r="W3040" t="str">
            <v>2007Compagnie Internationale de Negoce</v>
          </cell>
          <cell r="X3040" t="str">
            <v>2007Compagnie Internationale de NegoceScratch 20 000</v>
          </cell>
        </row>
        <row r="3041">
          <cell r="I3041">
            <v>2007</v>
          </cell>
          <cell r="J3041" t="str">
            <v>Compagnie Internationale de NegoceScratch 5 000</v>
          </cell>
          <cell r="L3041">
            <v>0</v>
          </cell>
          <cell r="M3041" t="str">
            <v>Compagnie Internationale de Negoce</v>
          </cell>
          <cell r="N3041" t="str">
            <v>Compagnie Internationale de NegoceScratch 5 000</v>
          </cell>
          <cell r="O3041" t="str">
            <v>Compagnie Internationale de Negoce</v>
          </cell>
          <cell r="P3041" t="str">
            <v>Scratch 5 000</v>
          </cell>
          <cell r="Q3041" t="str">
            <v>102007</v>
          </cell>
          <cell r="R3041" t="str">
            <v>102007Scratch 5 000</v>
          </cell>
          <cell r="S3041" t="str">
            <v>2007Scratch 5 000</v>
          </cell>
          <cell r="T3041" t="str">
            <v>102007Compagnie Internationale de Negoce</v>
          </cell>
          <cell r="U3041" t="str">
            <v>102007Compagnie Internationale de NegoceScratch 5 000</v>
          </cell>
          <cell r="V3041" t="str">
            <v>39357Scratch 5 000</v>
          </cell>
          <cell r="W3041" t="str">
            <v>2007Compagnie Internationale de Negoce</v>
          </cell>
          <cell r="X3041" t="str">
            <v>2007Compagnie Internationale de NegoceScratch 5 000</v>
          </cell>
        </row>
        <row r="3042">
          <cell r="I3042">
            <v>2007</v>
          </cell>
          <cell r="J3042" t="str">
            <v>Compagnie Internationale de NegoceScratch 2 000</v>
          </cell>
          <cell r="L3042">
            <v>0</v>
          </cell>
          <cell r="M3042" t="str">
            <v>Compagnie Internationale de Negoce</v>
          </cell>
          <cell r="N3042" t="str">
            <v>Compagnie Internationale de NegoceScratch 2 000</v>
          </cell>
          <cell r="O3042" t="str">
            <v>Compagnie Internationale de Negoce</v>
          </cell>
          <cell r="P3042" t="str">
            <v>Scratch 2 000</v>
          </cell>
          <cell r="Q3042" t="str">
            <v>102007</v>
          </cell>
          <cell r="R3042" t="str">
            <v>102007Scratch 2 000</v>
          </cell>
          <cell r="S3042" t="str">
            <v>2007Scratch 2 000</v>
          </cell>
          <cell r="T3042" t="str">
            <v>102007Compagnie Internationale de Negoce</v>
          </cell>
          <cell r="U3042" t="str">
            <v>102007Compagnie Internationale de NegoceScratch 2 000</v>
          </cell>
          <cell r="V3042" t="str">
            <v>39357Scratch 2 000</v>
          </cell>
          <cell r="W3042" t="str">
            <v>2007Compagnie Internationale de Negoce</v>
          </cell>
          <cell r="X3042" t="str">
            <v>2007Compagnie Internationale de NegoceScratch 2 000</v>
          </cell>
        </row>
        <row r="3043">
          <cell r="I3043">
            <v>2007</v>
          </cell>
          <cell r="J3043" t="str">
            <v>Compagnie Internationale de NegoceScratch 1 000</v>
          </cell>
          <cell r="L3043">
            <v>0</v>
          </cell>
          <cell r="M3043" t="str">
            <v>Compagnie Internationale de Negoce</v>
          </cell>
          <cell r="N3043" t="str">
            <v>Compagnie Internationale de NegoceScratch 1 000</v>
          </cell>
          <cell r="O3043" t="str">
            <v>Compagnie Internationale de Negoce</v>
          </cell>
          <cell r="P3043" t="str">
            <v>Scratch 1 000</v>
          </cell>
          <cell r="Q3043" t="str">
            <v>102007</v>
          </cell>
          <cell r="R3043" t="str">
            <v>102007Scratch 1 000</v>
          </cell>
          <cell r="S3043" t="str">
            <v>2007Scratch 1 000</v>
          </cell>
          <cell r="T3043" t="str">
            <v>102007Compagnie Internationale de Negoce</v>
          </cell>
          <cell r="U3043" t="str">
            <v>102007Compagnie Internationale de NegoceScratch 1 000</v>
          </cell>
          <cell r="V3043" t="str">
            <v>39357Scratch 1 000</v>
          </cell>
          <cell r="W3043" t="str">
            <v>2007Compagnie Internationale de Negoce</v>
          </cell>
          <cell r="X3043" t="str">
            <v>2007Compagnie Internationale de NegoceScratch 1 000</v>
          </cell>
        </row>
        <row r="3044">
          <cell r="I3044">
            <v>2007</v>
          </cell>
          <cell r="J3044" t="str">
            <v>Ets Mamadou GAMBYScratch 20 000</v>
          </cell>
          <cell r="L3044">
            <v>1</v>
          </cell>
          <cell r="M3044" t="str">
            <v>1Ets Mamadou GAMBY</v>
          </cell>
          <cell r="N3044" t="str">
            <v>Ets Mamadou GAMBYScratch 20 000</v>
          </cell>
          <cell r="O3044" t="str">
            <v>Ets Mamadou GAMBY</v>
          </cell>
          <cell r="P3044" t="str">
            <v>Scratch 20 000</v>
          </cell>
          <cell r="Q3044" t="str">
            <v>102007</v>
          </cell>
          <cell r="R3044" t="str">
            <v>102007Scratch 20 000</v>
          </cell>
          <cell r="S3044" t="str">
            <v>2007Scratch 20 000</v>
          </cell>
          <cell r="T3044" t="str">
            <v>102007Ets Mamadou GAMBY</v>
          </cell>
          <cell r="U3044" t="str">
            <v>102007Ets Mamadou GAMBYScratch 20 000</v>
          </cell>
          <cell r="V3044" t="str">
            <v>39357Scratch 20 000</v>
          </cell>
          <cell r="W3044" t="str">
            <v>2007Ets Mamadou GAMBY</v>
          </cell>
          <cell r="X3044" t="str">
            <v>2007Ets Mamadou GAMBYScratch 20 000</v>
          </cell>
        </row>
        <row r="3045">
          <cell r="I3045">
            <v>2007</v>
          </cell>
          <cell r="J3045" t="str">
            <v>Ets Mamadou GAMBYScratch 5 000</v>
          </cell>
          <cell r="L3045">
            <v>0</v>
          </cell>
          <cell r="M3045" t="str">
            <v>Ets Mamadou GAMBY</v>
          </cell>
          <cell r="N3045" t="str">
            <v>Ets Mamadou GAMBYScratch 5 000</v>
          </cell>
          <cell r="O3045" t="str">
            <v>Ets Mamadou GAMBY</v>
          </cell>
          <cell r="P3045" t="str">
            <v>Scratch 5 000</v>
          </cell>
          <cell r="Q3045" t="str">
            <v>102007</v>
          </cell>
          <cell r="R3045" t="str">
            <v>102007Scratch 5 000</v>
          </cell>
          <cell r="S3045" t="str">
            <v>2007Scratch 5 000</v>
          </cell>
          <cell r="T3045" t="str">
            <v>102007Ets Mamadou GAMBY</v>
          </cell>
          <cell r="U3045" t="str">
            <v>102007Ets Mamadou GAMBYScratch 5 000</v>
          </cell>
          <cell r="V3045" t="str">
            <v>39357Scratch 5 000</v>
          </cell>
          <cell r="W3045" t="str">
            <v>2007Ets Mamadou GAMBY</v>
          </cell>
          <cell r="X3045" t="str">
            <v>2007Ets Mamadou GAMBYScratch 5 000</v>
          </cell>
        </row>
        <row r="3046">
          <cell r="I3046">
            <v>2007</v>
          </cell>
          <cell r="J3046" t="str">
            <v>Ets Mamadou GAMBYScratch 2 000</v>
          </cell>
          <cell r="L3046">
            <v>0</v>
          </cell>
          <cell r="M3046" t="str">
            <v>Ets Mamadou GAMBY</v>
          </cell>
          <cell r="N3046" t="str">
            <v>Ets Mamadou GAMBYScratch 2 000</v>
          </cell>
          <cell r="O3046" t="str">
            <v>Ets Mamadou GAMBY</v>
          </cell>
          <cell r="P3046" t="str">
            <v>Scratch 2 000</v>
          </cell>
          <cell r="Q3046" t="str">
            <v>102007</v>
          </cell>
          <cell r="R3046" t="str">
            <v>102007Scratch 2 000</v>
          </cell>
          <cell r="S3046" t="str">
            <v>2007Scratch 2 000</v>
          </cell>
          <cell r="T3046" t="str">
            <v>102007Ets Mamadou GAMBY</v>
          </cell>
          <cell r="U3046" t="str">
            <v>102007Ets Mamadou GAMBYScratch 2 000</v>
          </cell>
          <cell r="V3046" t="str">
            <v>39357Scratch 2 000</v>
          </cell>
          <cell r="W3046" t="str">
            <v>2007Ets Mamadou GAMBY</v>
          </cell>
          <cell r="X3046" t="str">
            <v>2007Ets Mamadou GAMBYScratch 2 000</v>
          </cell>
        </row>
        <row r="3047">
          <cell r="I3047">
            <v>2007</v>
          </cell>
          <cell r="J3047" t="str">
            <v>Ets Mamadou GAMBYScratch 1 000</v>
          </cell>
          <cell r="L3047">
            <v>0</v>
          </cell>
          <cell r="M3047" t="str">
            <v>Ets Mamadou GAMBY</v>
          </cell>
          <cell r="N3047" t="str">
            <v>Ets Mamadou GAMBYScratch 1 000</v>
          </cell>
          <cell r="O3047" t="str">
            <v>Ets Mamadou GAMBY</v>
          </cell>
          <cell r="P3047" t="str">
            <v>Scratch 1 000</v>
          </cell>
          <cell r="Q3047" t="str">
            <v>102007</v>
          </cell>
          <cell r="R3047" t="str">
            <v>102007Scratch 1 000</v>
          </cell>
          <cell r="S3047" t="str">
            <v>2007Scratch 1 000</v>
          </cell>
          <cell r="T3047" t="str">
            <v>102007Ets Mamadou GAMBY</v>
          </cell>
          <cell r="U3047" t="str">
            <v>102007Ets Mamadou GAMBYScratch 1 000</v>
          </cell>
          <cell r="V3047" t="str">
            <v>39357Scratch 1 000</v>
          </cell>
          <cell r="W3047" t="str">
            <v>2007Ets Mamadou GAMBY</v>
          </cell>
          <cell r="X3047" t="str">
            <v>2007Ets Mamadou GAMBYScratch 1 000</v>
          </cell>
        </row>
        <row r="3048">
          <cell r="I3048">
            <v>2007</v>
          </cell>
          <cell r="J3048" t="str">
            <v>MALI COM SarlScratch 5 000</v>
          </cell>
          <cell r="L3048">
            <v>1</v>
          </cell>
          <cell r="M3048" t="str">
            <v>1MALI COM Sarl</v>
          </cell>
          <cell r="N3048" t="str">
            <v>MALI COM SarlScratch 5 000</v>
          </cell>
          <cell r="O3048" t="str">
            <v>MALI COM Sarl</v>
          </cell>
          <cell r="P3048" t="str">
            <v>Scratch 5 000</v>
          </cell>
          <cell r="Q3048" t="str">
            <v>102007</v>
          </cell>
          <cell r="R3048" t="str">
            <v>102007Scratch 5 000</v>
          </cell>
          <cell r="S3048" t="str">
            <v>2007Scratch 5 000</v>
          </cell>
          <cell r="T3048" t="str">
            <v>102007MALI COM Sarl</v>
          </cell>
          <cell r="U3048" t="str">
            <v>102007MALI COM SarlScratch 5 000</v>
          </cell>
          <cell r="V3048" t="str">
            <v>39357Scratch 5 000</v>
          </cell>
          <cell r="W3048" t="str">
            <v>2007MALI COM Sarl</v>
          </cell>
          <cell r="X3048" t="str">
            <v>2007MALI COM SarlScratch 5 000</v>
          </cell>
        </row>
        <row r="3049">
          <cell r="I3049">
            <v>2007</v>
          </cell>
          <cell r="J3049" t="str">
            <v>MALI COM SarlScratch 2 000</v>
          </cell>
          <cell r="L3049">
            <v>0</v>
          </cell>
          <cell r="M3049" t="str">
            <v>MALI COM Sarl</v>
          </cell>
          <cell r="N3049" t="str">
            <v>MALI COM SarlScratch 2 000</v>
          </cell>
          <cell r="O3049" t="str">
            <v>MALI COM Sarl</v>
          </cell>
          <cell r="P3049" t="str">
            <v>Scratch 2 000</v>
          </cell>
          <cell r="Q3049" t="str">
            <v>102007</v>
          </cell>
          <cell r="R3049" t="str">
            <v>102007Scratch 2 000</v>
          </cell>
          <cell r="S3049" t="str">
            <v>2007Scratch 2 000</v>
          </cell>
          <cell r="T3049" t="str">
            <v>102007MALI COM Sarl</v>
          </cell>
          <cell r="U3049" t="str">
            <v>102007MALI COM SarlScratch 2 000</v>
          </cell>
          <cell r="V3049" t="str">
            <v>39357Scratch 2 000</v>
          </cell>
          <cell r="W3049" t="str">
            <v>2007MALI COM Sarl</v>
          </cell>
          <cell r="X3049" t="str">
            <v>2007MALI COM SarlScratch 2 000</v>
          </cell>
        </row>
        <row r="3050">
          <cell r="I3050">
            <v>2007</v>
          </cell>
          <cell r="J3050" t="str">
            <v>MALI COM SarlScratch 1 000</v>
          </cell>
          <cell r="L3050">
            <v>0</v>
          </cell>
          <cell r="M3050" t="str">
            <v>MALI COM Sarl</v>
          </cell>
          <cell r="N3050" t="str">
            <v>MALI COM SarlScratch 1 000</v>
          </cell>
          <cell r="O3050" t="str">
            <v>MALI COM Sarl</v>
          </cell>
          <cell r="P3050" t="str">
            <v>Scratch 1 000</v>
          </cell>
          <cell r="Q3050" t="str">
            <v>102007</v>
          </cell>
          <cell r="R3050" t="str">
            <v>102007Scratch 1 000</v>
          </cell>
          <cell r="S3050" t="str">
            <v>2007Scratch 1 000</v>
          </cell>
          <cell r="T3050" t="str">
            <v>102007MALI COM Sarl</v>
          </cell>
          <cell r="U3050" t="str">
            <v>102007MALI COM SarlScratch 1 000</v>
          </cell>
          <cell r="V3050" t="str">
            <v>39357Scratch 1 000</v>
          </cell>
          <cell r="W3050" t="str">
            <v>2007MALI COM Sarl</v>
          </cell>
          <cell r="X3050" t="str">
            <v>2007MALI COM SarlScratch 1 000</v>
          </cell>
        </row>
        <row r="3051">
          <cell r="I3051">
            <v>2007</v>
          </cell>
          <cell r="J3051" t="str">
            <v>ANKA SERVICESScratch 20 000</v>
          </cell>
          <cell r="L3051">
            <v>1</v>
          </cell>
          <cell r="M3051" t="str">
            <v>1ANKA SERVICES</v>
          </cell>
          <cell r="N3051" t="str">
            <v>ANKA SERVICESScratch 20 000</v>
          </cell>
          <cell r="O3051" t="str">
            <v>ANKA SERVICES</v>
          </cell>
          <cell r="P3051" t="str">
            <v>Scratch 20 000</v>
          </cell>
          <cell r="Q3051" t="str">
            <v>102007</v>
          </cell>
          <cell r="R3051" t="str">
            <v>102007Scratch 20 000</v>
          </cell>
          <cell r="S3051" t="str">
            <v>2007Scratch 20 000</v>
          </cell>
          <cell r="T3051" t="str">
            <v>102007ANKA SERVICES</v>
          </cell>
          <cell r="U3051" t="str">
            <v>102007ANKA SERVICESScratch 20 000</v>
          </cell>
          <cell r="V3051" t="str">
            <v>39357Scratch 20 000</v>
          </cell>
          <cell r="W3051" t="str">
            <v>2007ANKA SERVICES</v>
          </cell>
          <cell r="X3051" t="str">
            <v>2007ANKA SERVICESScratch 20 000</v>
          </cell>
        </row>
        <row r="3052">
          <cell r="I3052">
            <v>2007</v>
          </cell>
          <cell r="J3052" t="str">
            <v>ANKA SERVICESScratch 10 000</v>
          </cell>
          <cell r="L3052">
            <v>0</v>
          </cell>
          <cell r="M3052" t="str">
            <v>ANKA SERVICES</v>
          </cell>
          <cell r="N3052" t="str">
            <v>ANKA SERVICESScratch 10 000</v>
          </cell>
          <cell r="O3052" t="str">
            <v>ANKA SERVICES</v>
          </cell>
          <cell r="P3052" t="str">
            <v>Scratch 10 000</v>
          </cell>
          <cell r="Q3052" t="str">
            <v>102007</v>
          </cell>
          <cell r="R3052" t="str">
            <v>102007Scratch 10 000</v>
          </cell>
          <cell r="S3052" t="str">
            <v>2007Scratch 10 000</v>
          </cell>
          <cell r="T3052" t="str">
            <v>102007ANKA SERVICES</v>
          </cell>
          <cell r="U3052" t="str">
            <v>102007ANKA SERVICESScratch 10 000</v>
          </cell>
          <cell r="V3052" t="str">
            <v>39357Scratch 10 000</v>
          </cell>
          <cell r="W3052" t="str">
            <v>2007ANKA SERVICES</v>
          </cell>
          <cell r="X3052" t="str">
            <v>2007ANKA SERVICESScratch 10 000</v>
          </cell>
        </row>
        <row r="3053">
          <cell r="I3053">
            <v>2007</v>
          </cell>
          <cell r="J3053" t="str">
            <v>ANKA SERVICESScratch 5 000</v>
          </cell>
          <cell r="L3053">
            <v>0</v>
          </cell>
          <cell r="M3053" t="str">
            <v>ANKA SERVICES</v>
          </cell>
          <cell r="N3053" t="str">
            <v>ANKA SERVICESScratch 5 000</v>
          </cell>
          <cell r="O3053" t="str">
            <v>ANKA SERVICES</v>
          </cell>
          <cell r="P3053" t="str">
            <v>Scratch 5 000</v>
          </cell>
          <cell r="Q3053" t="str">
            <v>102007</v>
          </cell>
          <cell r="R3053" t="str">
            <v>102007Scratch 5 000</v>
          </cell>
          <cell r="S3053" t="str">
            <v>2007Scratch 5 000</v>
          </cell>
          <cell r="T3053" t="str">
            <v>102007ANKA SERVICES</v>
          </cell>
          <cell r="U3053" t="str">
            <v>102007ANKA SERVICESScratch 5 000</v>
          </cell>
          <cell r="V3053" t="str">
            <v>39357Scratch 5 000</v>
          </cell>
          <cell r="W3053" t="str">
            <v>2007ANKA SERVICES</v>
          </cell>
          <cell r="X3053" t="str">
            <v>2007ANKA SERVICESScratch 5 000</v>
          </cell>
        </row>
        <row r="3054">
          <cell r="I3054">
            <v>2007</v>
          </cell>
          <cell r="J3054" t="str">
            <v>ANKA SERVICESScratch 2 000</v>
          </cell>
          <cell r="L3054">
            <v>0</v>
          </cell>
          <cell r="M3054" t="str">
            <v>ANKA SERVICES</v>
          </cell>
          <cell r="N3054" t="str">
            <v>ANKA SERVICESScratch 2 000</v>
          </cell>
          <cell r="O3054" t="str">
            <v>ANKA SERVICES</v>
          </cell>
          <cell r="P3054" t="str">
            <v>Scratch 2 000</v>
          </cell>
          <cell r="Q3054" t="str">
            <v>102007</v>
          </cell>
          <cell r="R3054" t="str">
            <v>102007Scratch 2 000</v>
          </cell>
          <cell r="S3054" t="str">
            <v>2007Scratch 2 000</v>
          </cell>
          <cell r="T3054" t="str">
            <v>102007ANKA SERVICES</v>
          </cell>
          <cell r="U3054" t="str">
            <v>102007ANKA SERVICESScratch 2 000</v>
          </cell>
          <cell r="V3054" t="str">
            <v>39357Scratch 2 000</v>
          </cell>
          <cell r="W3054" t="str">
            <v>2007ANKA SERVICES</v>
          </cell>
          <cell r="X3054" t="str">
            <v>2007ANKA SERVICESScratch 2 000</v>
          </cell>
        </row>
        <row r="3055">
          <cell r="I3055">
            <v>2007</v>
          </cell>
          <cell r="J3055" t="str">
            <v>ANKA SERVICESScratch 1 000</v>
          </cell>
          <cell r="L3055">
            <v>0</v>
          </cell>
          <cell r="M3055" t="str">
            <v>ANKA SERVICES</v>
          </cell>
          <cell r="N3055" t="str">
            <v>ANKA SERVICESScratch 1 000</v>
          </cell>
          <cell r="O3055" t="str">
            <v>ANKA SERVICES</v>
          </cell>
          <cell r="P3055" t="str">
            <v>Scratch 1 000</v>
          </cell>
          <cell r="Q3055" t="str">
            <v>102007</v>
          </cell>
          <cell r="R3055" t="str">
            <v>102007Scratch 1 000</v>
          </cell>
          <cell r="S3055" t="str">
            <v>2007Scratch 1 000</v>
          </cell>
          <cell r="T3055" t="str">
            <v>102007ANKA SERVICES</v>
          </cell>
          <cell r="U3055" t="str">
            <v>102007ANKA SERVICESScratch 1 000</v>
          </cell>
          <cell r="V3055" t="str">
            <v>39357Scratch 1 000</v>
          </cell>
          <cell r="W3055" t="str">
            <v>2007ANKA SERVICES</v>
          </cell>
          <cell r="X3055" t="str">
            <v>2007ANKA SERVICESScratch 1 000</v>
          </cell>
        </row>
        <row r="3056">
          <cell r="I3056">
            <v>2007</v>
          </cell>
          <cell r="J3056" t="str">
            <v>Burtel MacsymScratch 20 000</v>
          </cell>
          <cell r="L3056">
            <v>1</v>
          </cell>
          <cell r="M3056" t="str">
            <v>1Burtel Macsym</v>
          </cell>
          <cell r="N3056" t="str">
            <v>Burtel MacsymScratch 20 000</v>
          </cell>
          <cell r="O3056" t="str">
            <v>Burtel Macsym</v>
          </cell>
          <cell r="P3056" t="str">
            <v>Scratch 20 000</v>
          </cell>
          <cell r="Q3056" t="str">
            <v>102007</v>
          </cell>
          <cell r="R3056" t="str">
            <v>102007Scratch 20 000</v>
          </cell>
          <cell r="S3056" t="str">
            <v>2007Scratch 20 000</v>
          </cell>
          <cell r="T3056" t="str">
            <v>102007Burtel Macsym</v>
          </cell>
          <cell r="U3056" t="str">
            <v>102007Burtel MacsymScratch 20 000</v>
          </cell>
          <cell r="V3056" t="str">
            <v>39357Scratch 20 000</v>
          </cell>
          <cell r="W3056" t="str">
            <v>2007Burtel Macsym</v>
          </cell>
          <cell r="X3056" t="str">
            <v>2007Burtel MacsymScratch 20 000</v>
          </cell>
        </row>
        <row r="3057">
          <cell r="I3057">
            <v>2007</v>
          </cell>
          <cell r="J3057" t="str">
            <v>Burtel MacsymScratch 5 000</v>
          </cell>
          <cell r="L3057">
            <v>0</v>
          </cell>
          <cell r="M3057" t="str">
            <v>Burtel Macsym</v>
          </cell>
          <cell r="N3057" t="str">
            <v>Burtel MacsymScratch 5 000</v>
          </cell>
          <cell r="O3057" t="str">
            <v>Burtel Macsym</v>
          </cell>
          <cell r="P3057" t="str">
            <v>Scratch 5 000</v>
          </cell>
          <cell r="Q3057" t="str">
            <v>102007</v>
          </cell>
          <cell r="R3057" t="str">
            <v>102007Scratch 5 000</v>
          </cell>
          <cell r="S3057" t="str">
            <v>2007Scratch 5 000</v>
          </cell>
          <cell r="T3057" t="str">
            <v>102007Burtel Macsym</v>
          </cell>
          <cell r="U3057" t="str">
            <v>102007Burtel MacsymScratch 5 000</v>
          </cell>
          <cell r="V3057" t="str">
            <v>39357Scratch 5 000</v>
          </cell>
          <cell r="W3057" t="str">
            <v>2007Burtel Macsym</v>
          </cell>
          <cell r="X3057" t="str">
            <v>2007Burtel MacsymScratch 5 000</v>
          </cell>
        </row>
        <row r="3058">
          <cell r="I3058">
            <v>2007</v>
          </cell>
          <cell r="J3058" t="str">
            <v>Burtel MacsymScratch 2 000</v>
          </cell>
          <cell r="L3058">
            <v>0</v>
          </cell>
          <cell r="M3058" t="str">
            <v>Burtel Macsym</v>
          </cell>
          <cell r="N3058" t="str">
            <v>Burtel MacsymScratch 2 000</v>
          </cell>
          <cell r="O3058" t="str">
            <v>Burtel Macsym</v>
          </cell>
          <cell r="P3058" t="str">
            <v>Scratch 2 000</v>
          </cell>
          <cell r="Q3058" t="str">
            <v>102007</v>
          </cell>
          <cell r="R3058" t="str">
            <v>102007Scratch 2 000</v>
          </cell>
          <cell r="S3058" t="str">
            <v>2007Scratch 2 000</v>
          </cell>
          <cell r="T3058" t="str">
            <v>102007Burtel Macsym</v>
          </cell>
          <cell r="U3058" t="str">
            <v>102007Burtel MacsymScratch 2 000</v>
          </cell>
          <cell r="V3058" t="str">
            <v>39357Scratch 2 000</v>
          </cell>
          <cell r="W3058" t="str">
            <v>2007Burtel Macsym</v>
          </cell>
          <cell r="X3058" t="str">
            <v>2007Burtel MacsymScratch 2 000</v>
          </cell>
        </row>
        <row r="3059">
          <cell r="I3059">
            <v>2007</v>
          </cell>
          <cell r="J3059" t="str">
            <v>Burtel MacsymScratch 1 000</v>
          </cell>
          <cell r="L3059">
            <v>0</v>
          </cell>
          <cell r="M3059" t="str">
            <v>Burtel Macsym</v>
          </cell>
          <cell r="N3059" t="str">
            <v>Burtel MacsymScratch 1 000</v>
          </cell>
          <cell r="O3059" t="str">
            <v>Burtel Macsym</v>
          </cell>
          <cell r="P3059" t="str">
            <v>Scratch 1 000</v>
          </cell>
          <cell r="Q3059" t="str">
            <v>102007</v>
          </cell>
          <cell r="R3059" t="str">
            <v>102007Scratch 1 000</v>
          </cell>
          <cell r="S3059" t="str">
            <v>2007Scratch 1 000</v>
          </cell>
          <cell r="T3059" t="str">
            <v>102007Burtel Macsym</v>
          </cell>
          <cell r="U3059" t="str">
            <v>102007Burtel MacsymScratch 1 000</v>
          </cell>
          <cell r="V3059" t="str">
            <v>39357Scratch 1 000</v>
          </cell>
          <cell r="W3059" t="str">
            <v>2007Burtel Macsym</v>
          </cell>
          <cell r="X3059" t="str">
            <v>2007Burtel MacsymScratch 1 000</v>
          </cell>
        </row>
        <row r="3060">
          <cell r="I3060">
            <v>2007</v>
          </cell>
          <cell r="J3060" t="str">
            <v>GEMATELScratch 20 000</v>
          </cell>
          <cell r="L3060">
            <v>1</v>
          </cell>
          <cell r="M3060" t="str">
            <v>1GEMATEL</v>
          </cell>
          <cell r="N3060" t="str">
            <v>GEMATELScratch 20 000</v>
          </cell>
          <cell r="O3060" t="str">
            <v>GEMATEL</v>
          </cell>
          <cell r="P3060" t="str">
            <v>Scratch 20 000</v>
          </cell>
          <cell r="Q3060" t="str">
            <v>102007</v>
          </cell>
          <cell r="R3060" t="str">
            <v>102007Scratch 20 000</v>
          </cell>
          <cell r="S3060" t="str">
            <v>2007Scratch 20 000</v>
          </cell>
          <cell r="T3060" t="str">
            <v>102007GEMATEL</v>
          </cell>
          <cell r="U3060" t="str">
            <v>102007GEMATELScratch 20 000</v>
          </cell>
          <cell r="V3060" t="str">
            <v>39358Scratch 20 000</v>
          </cell>
          <cell r="W3060" t="str">
            <v>2007GEMATEL</v>
          </cell>
          <cell r="X3060" t="str">
            <v>2007GEMATELScratch 20 000</v>
          </cell>
        </row>
        <row r="3061">
          <cell r="I3061">
            <v>2007</v>
          </cell>
          <cell r="J3061" t="str">
            <v>GEMATELScratch 5 000</v>
          </cell>
          <cell r="L3061">
            <v>0</v>
          </cell>
          <cell r="M3061" t="str">
            <v>GEMATEL</v>
          </cell>
          <cell r="N3061" t="str">
            <v>GEMATELScratch 5 000</v>
          </cell>
          <cell r="O3061" t="str">
            <v>GEMATEL</v>
          </cell>
          <cell r="P3061" t="str">
            <v>Scratch 5 000</v>
          </cell>
          <cell r="Q3061" t="str">
            <v>102007</v>
          </cell>
          <cell r="R3061" t="str">
            <v>102007Scratch 5 000</v>
          </cell>
          <cell r="S3061" t="str">
            <v>2007Scratch 5 000</v>
          </cell>
          <cell r="T3061" t="str">
            <v>102007GEMATEL</v>
          </cell>
          <cell r="U3061" t="str">
            <v>102007GEMATELScratch 5 000</v>
          </cell>
          <cell r="V3061" t="str">
            <v>39358Scratch 5 000</v>
          </cell>
          <cell r="W3061" t="str">
            <v>2007GEMATEL</v>
          </cell>
          <cell r="X3061" t="str">
            <v>2007GEMATELScratch 5 000</v>
          </cell>
        </row>
        <row r="3062">
          <cell r="I3062">
            <v>2007</v>
          </cell>
          <cell r="J3062" t="str">
            <v>GEMATELScratch 2 000</v>
          </cell>
          <cell r="L3062">
            <v>0</v>
          </cell>
          <cell r="M3062" t="str">
            <v>GEMATEL</v>
          </cell>
          <cell r="N3062" t="str">
            <v>GEMATELScratch 2 000</v>
          </cell>
          <cell r="O3062" t="str">
            <v>GEMATEL</v>
          </cell>
          <cell r="P3062" t="str">
            <v>Scratch 2 000</v>
          </cell>
          <cell r="Q3062" t="str">
            <v>102007</v>
          </cell>
          <cell r="R3062" t="str">
            <v>102007Scratch 2 000</v>
          </cell>
          <cell r="S3062" t="str">
            <v>2007Scratch 2 000</v>
          </cell>
          <cell r="T3062" t="str">
            <v>102007GEMATEL</v>
          </cell>
          <cell r="U3062" t="str">
            <v>102007GEMATELScratch 2 000</v>
          </cell>
          <cell r="V3062" t="str">
            <v>39358Scratch 2 000</v>
          </cell>
          <cell r="W3062" t="str">
            <v>2007GEMATEL</v>
          </cell>
          <cell r="X3062" t="str">
            <v>2007GEMATELScratch 2 000</v>
          </cell>
        </row>
        <row r="3063">
          <cell r="I3063">
            <v>2007</v>
          </cell>
          <cell r="J3063" t="str">
            <v>GEMATELScratch 1 000</v>
          </cell>
          <cell r="L3063">
            <v>0</v>
          </cell>
          <cell r="M3063" t="str">
            <v>GEMATEL</v>
          </cell>
          <cell r="N3063" t="str">
            <v>GEMATELScratch 1 000</v>
          </cell>
          <cell r="O3063" t="str">
            <v>GEMATEL</v>
          </cell>
          <cell r="P3063" t="str">
            <v>Scratch 1 000</v>
          </cell>
          <cell r="Q3063" t="str">
            <v>102007</v>
          </cell>
          <cell r="R3063" t="str">
            <v>102007Scratch 1 000</v>
          </cell>
          <cell r="S3063" t="str">
            <v>2007Scratch 1 000</v>
          </cell>
          <cell r="T3063" t="str">
            <v>102007GEMATEL</v>
          </cell>
          <cell r="U3063" t="str">
            <v>102007GEMATELScratch 1 000</v>
          </cell>
          <cell r="V3063" t="str">
            <v>39358Scratch 1 000</v>
          </cell>
          <cell r="W3063" t="str">
            <v>2007GEMATEL</v>
          </cell>
          <cell r="X3063" t="str">
            <v>2007GEMATELScratch 1 000</v>
          </cell>
        </row>
        <row r="3064">
          <cell r="I3064">
            <v>2007</v>
          </cell>
          <cell r="J3064" t="str">
            <v>STS GAMBY &amp; FRERES (SOGAF) SarlScratch 5 000</v>
          </cell>
          <cell r="L3064">
            <v>1</v>
          </cell>
          <cell r="M3064" t="str">
            <v>1STS GAMBY &amp; FRERES (SOGAF) Sarl</v>
          </cell>
          <cell r="N3064" t="str">
            <v>STS GAMBY &amp; FRERES (SOGAF) SarlScratch 5 000</v>
          </cell>
          <cell r="O3064" t="str">
            <v>STS GAMBY &amp; FRERES (SOGAF) Sarl</v>
          </cell>
          <cell r="P3064" t="str">
            <v>Scratch 5 000</v>
          </cell>
          <cell r="Q3064" t="str">
            <v>102007</v>
          </cell>
          <cell r="R3064" t="str">
            <v>102007Scratch 5 000</v>
          </cell>
          <cell r="S3064" t="str">
            <v>2007Scratch 5 000</v>
          </cell>
          <cell r="T3064" t="str">
            <v>102007STS GAMBY &amp; FRERES (SOGAF) Sarl</v>
          </cell>
          <cell r="U3064" t="str">
            <v>102007STS GAMBY &amp; FRERES (SOGAF) SarlScratch 5 000</v>
          </cell>
          <cell r="V3064" t="str">
            <v>39358Scratch 5 000</v>
          </cell>
          <cell r="W3064" t="str">
            <v>2007STS GAMBY &amp; FRERES (SOGAF) Sarl</v>
          </cell>
          <cell r="X3064" t="str">
            <v>2007STS GAMBY &amp; FRERES (SOGAF) SarlScratch 5 000</v>
          </cell>
        </row>
        <row r="3065">
          <cell r="I3065">
            <v>2007</v>
          </cell>
          <cell r="J3065" t="str">
            <v>STS GAMBY &amp; FRERES (SOGAF) SarlScratch 2 000</v>
          </cell>
          <cell r="L3065">
            <v>0</v>
          </cell>
          <cell r="M3065" t="str">
            <v>STS GAMBY &amp; FRERES (SOGAF) Sarl</v>
          </cell>
          <cell r="N3065" t="str">
            <v>STS GAMBY &amp; FRERES (SOGAF) SarlScratch 2 000</v>
          </cell>
          <cell r="O3065" t="str">
            <v>STS GAMBY &amp; FRERES (SOGAF) Sarl</v>
          </cell>
          <cell r="P3065" t="str">
            <v>Scratch 2 000</v>
          </cell>
          <cell r="Q3065" t="str">
            <v>102007</v>
          </cell>
          <cell r="R3065" t="str">
            <v>102007Scratch 2 000</v>
          </cell>
          <cell r="S3065" t="str">
            <v>2007Scratch 2 000</v>
          </cell>
          <cell r="T3065" t="str">
            <v>102007STS GAMBY &amp; FRERES (SOGAF) Sarl</v>
          </cell>
          <cell r="U3065" t="str">
            <v>102007STS GAMBY &amp; FRERES (SOGAF) SarlScratch 2 000</v>
          </cell>
          <cell r="V3065" t="str">
            <v>39358Scratch 2 000</v>
          </cell>
          <cell r="W3065" t="str">
            <v>2007STS GAMBY &amp; FRERES (SOGAF) Sarl</v>
          </cell>
          <cell r="X3065" t="str">
            <v>2007STS GAMBY &amp; FRERES (SOGAF) SarlScratch 2 000</v>
          </cell>
        </row>
        <row r="3066">
          <cell r="I3066">
            <v>2007</v>
          </cell>
          <cell r="J3066" t="str">
            <v>STS GAMBY &amp; FRERES (SOGAF) SarlScratch 1 000</v>
          </cell>
          <cell r="L3066">
            <v>0</v>
          </cell>
          <cell r="M3066" t="str">
            <v>STS GAMBY &amp; FRERES (SOGAF) Sarl</v>
          </cell>
          <cell r="N3066" t="str">
            <v>STS GAMBY &amp; FRERES (SOGAF) SarlScratch 1 000</v>
          </cell>
          <cell r="O3066" t="str">
            <v>STS GAMBY &amp; FRERES (SOGAF) Sarl</v>
          </cell>
          <cell r="P3066" t="str">
            <v>Scratch 1 000</v>
          </cell>
          <cell r="Q3066" t="str">
            <v>102007</v>
          </cell>
          <cell r="R3066" t="str">
            <v>102007Scratch 1 000</v>
          </cell>
          <cell r="S3066" t="str">
            <v>2007Scratch 1 000</v>
          </cell>
          <cell r="T3066" t="str">
            <v>102007STS GAMBY &amp; FRERES (SOGAF) Sarl</v>
          </cell>
          <cell r="U3066" t="str">
            <v>102007STS GAMBY &amp; FRERES (SOGAF) SarlScratch 1 000</v>
          </cell>
          <cell r="V3066" t="str">
            <v>39358Scratch 1 000</v>
          </cell>
          <cell r="W3066" t="str">
            <v>2007STS GAMBY &amp; FRERES (SOGAF) Sarl</v>
          </cell>
          <cell r="X3066" t="str">
            <v>2007STS GAMBY &amp; FRERES (SOGAF) SarlScratch 1 000</v>
          </cell>
        </row>
        <row r="3067">
          <cell r="I3067">
            <v>2007</v>
          </cell>
          <cell r="J3067" t="str">
            <v>Bonneterie Nouvelle TelecomScratch 20 000</v>
          </cell>
          <cell r="L3067">
            <v>1</v>
          </cell>
          <cell r="M3067" t="str">
            <v>1Bonneterie Nouvelle Telecom</v>
          </cell>
          <cell r="N3067" t="str">
            <v>Bonneterie Nouvelle TelecomScratch 20 000</v>
          </cell>
          <cell r="O3067" t="str">
            <v>Bonneterie Nouvelle Telecom</v>
          </cell>
          <cell r="P3067" t="str">
            <v>Scratch 20 000</v>
          </cell>
          <cell r="Q3067" t="str">
            <v>102007</v>
          </cell>
          <cell r="R3067" t="str">
            <v>102007Scratch 20 000</v>
          </cell>
          <cell r="S3067" t="str">
            <v>2007Scratch 20 000</v>
          </cell>
          <cell r="T3067" t="str">
            <v>102007Bonneterie Nouvelle Telecom</v>
          </cell>
          <cell r="U3067" t="str">
            <v>102007Bonneterie Nouvelle TelecomScratch 20 000</v>
          </cell>
          <cell r="V3067" t="str">
            <v>39358Scratch 20 000</v>
          </cell>
          <cell r="W3067" t="str">
            <v>2007Bonneterie Nouvelle Telecom</v>
          </cell>
          <cell r="X3067" t="str">
            <v>2007Bonneterie Nouvelle TelecomScratch 20 000</v>
          </cell>
        </row>
        <row r="3068">
          <cell r="I3068">
            <v>2007</v>
          </cell>
          <cell r="J3068" t="str">
            <v>Bonneterie Nouvelle TelecomScratch 5 000</v>
          </cell>
          <cell r="L3068">
            <v>0</v>
          </cell>
          <cell r="M3068" t="str">
            <v>Bonneterie Nouvelle Telecom</v>
          </cell>
          <cell r="N3068" t="str">
            <v>Bonneterie Nouvelle TelecomScratch 5 000</v>
          </cell>
          <cell r="O3068" t="str">
            <v>Bonneterie Nouvelle Telecom</v>
          </cell>
          <cell r="P3068" t="str">
            <v>Scratch 5 000</v>
          </cell>
          <cell r="Q3068" t="str">
            <v>102007</v>
          </cell>
          <cell r="R3068" t="str">
            <v>102007Scratch 5 000</v>
          </cell>
          <cell r="S3068" t="str">
            <v>2007Scratch 5 000</v>
          </cell>
          <cell r="T3068" t="str">
            <v>102007Bonneterie Nouvelle Telecom</v>
          </cell>
          <cell r="U3068" t="str">
            <v>102007Bonneterie Nouvelle TelecomScratch 5 000</v>
          </cell>
          <cell r="V3068" t="str">
            <v>39358Scratch 5 000</v>
          </cell>
          <cell r="W3068" t="str">
            <v>2007Bonneterie Nouvelle Telecom</v>
          </cell>
          <cell r="X3068" t="str">
            <v>2007Bonneterie Nouvelle TelecomScratch 5 000</v>
          </cell>
        </row>
        <row r="3069">
          <cell r="I3069">
            <v>2007</v>
          </cell>
          <cell r="J3069" t="str">
            <v>Bonneterie Nouvelle TelecomScratch 2 000</v>
          </cell>
          <cell r="L3069">
            <v>0</v>
          </cell>
          <cell r="M3069" t="str">
            <v>Bonneterie Nouvelle Telecom</v>
          </cell>
          <cell r="N3069" t="str">
            <v>Bonneterie Nouvelle TelecomScratch 2 000</v>
          </cell>
          <cell r="O3069" t="str">
            <v>Bonneterie Nouvelle Telecom</v>
          </cell>
          <cell r="P3069" t="str">
            <v>Scratch 2 000</v>
          </cell>
          <cell r="Q3069" t="str">
            <v>102007</v>
          </cell>
          <cell r="R3069" t="str">
            <v>102007Scratch 2 000</v>
          </cell>
          <cell r="S3069" t="str">
            <v>2007Scratch 2 000</v>
          </cell>
          <cell r="T3069" t="str">
            <v>102007Bonneterie Nouvelle Telecom</v>
          </cell>
          <cell r="U3069" t="str">
            <v>102007Bonneterie Nouvelle TelecomScratch 2 000</v>
          </cell>
          <cell r="V3069" t="str">
            <v>39358Scratch 2 000</v>
          </cell>
          <cell r="W3069" t="str">
            <v>2007Bonneterie Nouvelle Telecom</v>
          </cell>
          <cell r="X3069" t="str">
            <v>2007Bonneterie Nouvelle TelecomScratch 2 000</v>
          </cell>
        </row>
        <row r="3070">
          <cell r="I3070">
            <v>2007</v>
          </cell>
          <cell r="J3070" t="str">
            <v>Bonneterie Nouvelle TelecomScratch 1 000</v>
          </cell>
          <cell r="L3070">
            <v>0</v>
          </cell>
          <cell r="M3070" t="str">
            <v>Bonneterie Nouvelle Telecom</v>
          </cell>
          <cell r="N3070" t="str">
            <v>Bonneterie Nouvelle TelecomScratch 1 000</v>
          </cell>
          <cell r="O3070" t="str">
            <v>Bonneterie Nouvelle Telecom</v>
          </cell>
          <cell r="P3070" t="str">
            <v>Scratch 1 000</v>
          </cell>
          <cell r="Q3070" t="str">
            <v>102007</v>
          </cell>
          <cell r="R3070" t="str">
            <v>102007Scratch 1 000</v>
          </cell>
          <cell r="S3070" t="str">
            <v>2007Scratch 1 000</v>
          </cell>
          <cell r="T3070" t="str">
            <v>102007Bonneterie Nouvelle Telecom</v>
          </cell>
          <cell r="U3070" t="str">
            <v>102007Bonneterie Nouvelle TelecomScratch 1 000</v>
          </cell>
          <cell r="V3070" t="str">
            <v>39358Scratch 1 000</v>
          </cell>
          <cell r="W3070" t="str">
            <v>2007Bonneterie Nouvelle Telecom</v>
          </cell>
          <cell r="X3070" t="str">
            <v>2007Bonneterie Nouvelle TelecomScratch 1 000</v>
          </cell>
        </row>
        <row r="3071">
          <cell r="I3071">
            <v>2007</v>
          </cell>
          <cell r="J3071" t="str">
            <v>GEMATELScratch 20 000</v>
          </cell>
          <cell r="L3071">
            <v>1</v>
          </cell>
          <cell r="M3071" t="str">
            <v>1GEMATEL</v>
          </cell>
          <cell r="N3071" t="str">
            <v>GEMATELScratch 20 000</v>
          </cell>
          <cell r="O3071" t="str">
            <v>GEMATEL</v>
          </cell>
          <cell r="P3071" t="str">
            <v>Scratch 20 000</v>
          </cell>
          <cell r="Q3071" t="str">
            <v>102007</v>
          </cell>
          <cell r="R3071" t="str">
            <v>102007Scratch 20 000</v>
          </cell>
          <cell r="S3071" t="str">
            <v>2007Scratch 20 000</v>
          </cell>
          <cell r="T3071" t="str">
            <v>102007GEMATEL</v>
          </cell>
          <cell r="U3071" t="str">
            <v>102007GEMATELScratch 20 000</v>
          </cell>
          <cell r="V3071" t="str">
            <v>39358Scratch 20 000</v>
          </cell>
          <cell r="W3071" t="str">
            <v>2007GEMATEL</v>
          </cell>
          <cell r="X3071" t="str">
            <v>2007GEMATELScratch 20 000</v>
          </cell>
        </row>
        <row r="3072">
          <cell r="I3072">
            <v>2007</v>
          </cell>
          <cell r="J3072" t="str">
            <v>GEMATELScratch 5 000</v>
          </cell>
          <cell r="L3072">
            <v>0</v>
          </cell>
          <cell r="M3072" t="str">
            <v>GEMATEL</v>
          </cell>
          <cell r="N3072" t="str">
            <v>GEMATELScratch 5 000</v>
          </cell>
          <cell r="O3072" t="str">
            <v>GEMATEL</v>
          </cell>
          <cell r="P3072" t="str">
            <v>Scratch 5 000</v>
          </cell>
          <cell r="Q3072" t="str">
            <v>102007</v>
          </cell>
          <cell r="R3072" t="str">
            <v>102007Scratch 5 000</v>
          </cell>
          <cell r="S3072" t="str">
            <v>2007Scratch 5 000</v>
          </cell>
          <cell r="T3072" t="str">
            <v>102007GEMATEL</v>
          </cell>
          <cell r="U3072" t="str">
            <v>102007GEMATELScratch 5 000</v>
          </cell>
          <cell r="V3072" t="str">
            <v>39358Scratch 5 000</v>
          </cell>
          <cell r="W3072" t="str">
            <v>2007GEMATEL</v>
          </cell>
          <cell r="X3072" t="str">
            <v>2007GEMATELScratch 5 000</v>
          </cell>
        </row>
        <row r="3073">
          <cell r="I3073">
            <v>2007</v>
          </cell>
          <cell r="J3073" t="str">
            <v>GEMATELScratch 2 000</v>
          </cell>
          <cell r="L3073">
            <v>0</v>
          </cell>
          <cell r="M3073" t="str">
            <v>GEMATEL</v>
          </cell>
          <cell r="N3073" t="str">
            <v>GEMATELScratch 2 000</v>
          </cell>
          <cell r="O3073" t="str">
            <v>GEMATEL</v>
          </cell>
          <cell r="P3073" t="str">
            <v>Scratch 2 000</v>
          </cell>
          <cell r="Q3073" t="str">
            <v>102007</v>
          </cell>
          <cell r="R3073" t="str">
            <v>102007Scratch 2 000</v>
          </cell>
          <cell r="S3073" t="str">
            <v>2007Scratch 2 000</v>
          </cell>
          <cell r="T3073" t="str">
            <v>102007GEMATEL</v>
          </cell>
          <cell r="U3073" t="str">
            <v>102007GEMATELScratch 2 000</v>
          </cell>
          <cell r="V3073" t="str">
            <v>39358Scratch 2 000</v>
          </cell>
          <cell r="W3073" t="str">
            <v>2007GEMATEL</v>
          </cell>
          <cell r="X3073" t="str">
            <v>2007GEMATELScratch 2 000</v>
          </cell>
        </row>
        <row r="3074">
          <cell r="I3074">
            <v>2007</v>
          </cell>
          <cell r="J3074" t="str">
            <v>GEMATELScratch 1 000</v>
          </cell>
          <cell r="L3074">
            <v>0</v>
          </cell>
          <cell r="M3074" t="str">
            <v>GEMATEL</v>
          </cell>
          <cell r="N3074" t="str">
            <v>GEMATELScratch 1 000</v>
          </cell>
          <cell r="O3074" t="str">
            <v>GEMATEL</v>
          </cell>
          <cell r="P3074" t="str">
            <v>Scratch 1 000</v>
          </cell>
          <cell r="Q3074" t="str">
            <v>102007</v>
          </cell>
          <cell r="R3074" t="str">
            <v>102007Scratch 1 000</v>
          </cell>
          <cell r="S3074" t="str">
            <v>2007Scratch 1 000</v>
          </cell>
          <cell r="T3074" t="str">
            <v>102007GEMATEL</v>
          </cell>
          <cell r="U3074" t="str">
            <v>102007GEMATELScratch 1 000</v>
          </cell>
          <cell r="V3074" t="str">
            <v>39358Scratch 1 000</v>
          </cell>
          <cell r="W3074" t="str">
            <v>2007GEMATEL</v>
          </cell>
          <cell r="X3074" t="str">
            <v>2007GEMATELScratch 1 000</v>
          </cell>
        </row>
        <row r="3075">
          <cell r="I3075">
            <v>2007</v>
          </cell>
          <cell r="J3075" t="str">
            <v>ANKA SERVICESScratch 20 000</v>
          </cell>
          <cell r="L3075">
            <v>1</v>
          </cell>
          <cell r="M3075" t="str">
            <v>1ANKA SERVICES</v>
          </cell>
          <cell r="N3075" t="str">
            <v>ANKA SERVICESScratch 20 000</v>
          </cell>
          <cell r="O3075" t="str">
            <v>ANKA SERVICES</v>
          </cell>
          <cell r="P3075" t="str">
            <v>Scratch 20 000</v>
          </cell>
          <cell r="Q3075" t="str">
            <v>102007</v>
          </cell>
          <cell r="R3075" t="str">
            <v>102007Scratch 20 000</v>
          </cell>
          <cell r="S3075" t="str">
            <v>2007Scratch 20 000</v>
          </cell>
          <cell r="T3075" t="str">
            <v>102007ANKA SERVICES</v>
          </cell>
          <cell r="U3075" t="str">
            <v>102007ANKA SERVICESScratch 20 000</v>
          </cell>
          <cell r="V3075" t="str">
            <v>39358Scratch 20 000</v>
          </cell>
          <cell r="W3075" t="str">
            <v>2007ANKA SERVICES</v>
          </cell>
          <cell r="X3075" t="str">
            <v>2007ANKA SERVICESScratch 20 000</v>
          </cell>
        </row>
        <row r="3076">
          <cell r="I3076">
            <v>2007</v>
          </cell>
          <cell r="J3076" t="str">
            <v>ANKA SERVICESScratch 5 000</v>
          </cell>
          <cell r="L3076">
            <v>0</v>
          </cell>
          <cell r="M3076" t="str">
            <v>ANKA SERVICES</v>
          </cell>
          <cell r="N3076" t="str">
            <v>ANKA SERVICESScratch 5 000</v>
          </cell>
          <cell r="O3076" t="str">
            <v>ANKA SERVICES</v>
          </cell>
          <cell r="P3076" t="str">
            <v>Scratch 5 000</v>
          </cell>
          <cell r="Q3076" t="str">
            <v>102007</v>
          </cell>
          <cell r="R3076" t="str">
            <v>102007Scratch 5 000</v>
          </cell>
          <cell r="S3076" t="str">
            <v>2007Scratch 5 000</v>
          </cell>
          <cell r="T3076" t="str">
            <v>102007ANKA SERVICES</v>
          </cell>
          <cell r="U3076" t="str">
            <v>102007ANKA SERVICESScratch 5 000</v>
          </cell>
          <cell r="V3076" t="str">
            <v>39358Scratch 5 000</v>
          </cell>
          <cell r="W3076" t="str">
            <v>2007ANKA SERVICES</v>
          </cell>
          <cell r="X3076" t="str">
            <v>2007ANKA SERVICESScratch 5 000</v>
          </cell>
        </row>
        <row r="3077">
          <cell r="I3077">
            <v>2007</v>
          </cell>
          <cell r="J3077" t="str">
            <v>ANKA SERVICESScratch 2 000</v>
          </cell>
          <cell r="L3077">
            <v>0</v>
          </cell>
          <cell r="M3077" t="str">
            <v>ANKA SERVICES</v>
          </cell>
          <cell r="N3077" t="str">
            <v>ANKA SERVICESScratch 2 000</v>
          </cell>
          <cell r="O3077" t="str">
            <v>ANKA SERVICES</v>
          </cell>
          <cell r="P3077" t="str">
            <v>Scratch 2 000</v>
          </cell>
          <cell r="Q3077" t="str">
            <v>102007</v>
          </cell>
          <cell r="R3077" t="str">
            <v>102007Scratch 2 000</v>
          </cell>
          <cell r="S3077" t="str">
            <v>2007Scratch 2 000</v>
          </cell>
          <cell r="T3077" t="str">
            <v>102007ANKA SERVICES</v>
          </cell>
          <cell r="U3077" t="str">
            <v>102007ANKA SERVICESScratch 2 000</v>
          </cell>
          <cell r="V3077" t="str">
            <v>39358Scratch 2 000</v>
          </cell>
          <cell r="W3077" t="str">
            <v>2007ANKA SERVICES</v>
          </cell>
          <cell r="X3077" t="str">
            <v>2007ANKA SERVICESScratch 2 000</v>
          </cell>
        </row>
        <row r="3078">
          <cell r="I3078">
            <v>2007</v>
          </cell>
          <cell r="J3078" t="str">
            <v>ANKA SERVICESScratch 1 000</v>
          </cell>
          <cell r="L3078">
            <v>0</v>
          </cell>
          <cell r="M3078" t="str">
            <v>ANKA SERVICES</v>
          </cell>
          <cell r="N3078" t="str">
            <v>ANKA SERVICESScratch 1 000</v>
          </cell>
          <cell r="O3078" t="str">
            <v>ANKA SERVICES</v>
          </cell>
          <cell r="P3078" t="str">
            <v>Scratch 1 000</v>
          </cell>
          <cell r="Q3078" t="str">
            <v>102007</v>
          </cell>
          <cell r="R3078" t="str">
            <v>102007Scratch 1 000</v>
          </cell>
          <cell r="S3078" t="str">
            <v>2007Scratch 1 000</v>
          </cell>
          <cell r="T3078" t="str">
            <v>102007ANKA SERVICES</v>
          </cell>
          <cell r="U3078" t="str">
            <v>102007ANKA SERVICESScratch 1 000</v>
          </cell>
          <cell r="V3078" t="str">
            <v>39358Scratch 1 000</v>
          </cell>
          <cell r="W3078" t="str">
            <v>2007ANKA SERVICES</v>
          </cell>
          <cell r="X3078" t="str">
            <v>2007ANKA SERVICESScratch 1 000</v>
          </cell>
        </row>
        <row r="3079">
          <cell r="I3079">
            <v>2007</v>
          </cell>
          <cell r="J3079" t="str">
            <v>CellNets MaliMinutes</v>
          </cell>
          <cell r="L3079">
            <v>1</v>
          </cell>
          <cell r="M3079" t="str">
            <v>1CellNets Mali</v>
          </cell>
          <cell r="N3079" t="str">
            <v>CellNets MaliMinutes</v>
          </cell>
          <cell r="O3079" t="str">
            <v>CellNets Mali</v>
          </cell>
          <cell r="P3079" t="str">
            <v>Minutes</v>
          </cell>
          <cell r="Q3079" t="str">
            <v>102007</v>
          </cell>
          <cell r="R3079" t="str">
            <v>102007Minutes</v>
          </cell>
          <cell r="S3079" t="str">
            <v>2007Minutes</v>
          </cell>
          <cell r="T3079" t="str">
            <v>102007CellNets Mali</v>
          </cell>
          <cell r="U3079" t="str">
            <v>102007CellNets MaliMinutes</v>
          </cell>
          <cell r="V3079" t="str">
            <v>39358Minutes</v>
          </cell>
          <cell r="W3079" t="str">
            <v>2007CellNets Mali</v>
          </cell>
          <cell r="X3079" t="str">
            <v>2007CellNets MaliMinutes</v>
          </cell>
        </row>
        <row r="3080">
          <cell r="I3080">
            <v>2007</v>
          </cell>
          <cell r="J3080" t="str">
            <v>Compagnie Internationale de NegoceScratch 5 000</v>
          </cell>
          <cell r="L3080">
            <v>1</v>
          </cell>
          <cell r="M3080" t="str">
            <v>1Compagnie Internationale de Negoce</v>
          </cell>
          <cell r="N3080" t="str">
            <v>Compagnie Internationale de NegoceScratch 5 000</v>
          </cell>
          <cell r="O3080" t="str">
            <v>Compagnie Internationale de Negoce</v>
          </cell>
          <cell r="P3080" t="str">
            <v>Scratch 5 000</v>
          </cell>
          <cell r="Q3080" t="str">
            <v>102007</v>
          </cell>
          <cell r="R3080" t="str">
            <v>102007Scratch 5 000</v>
          </cell>
          <cell r="S3080" t="str">
            <v>2007Scratch 5 000</v>
          </cell>
          <cell r="T3080" t="str">
            <v>102007Compagnie Internationale de Negoce</v>
          </cell>
          <cell r="U3080" t="str">
            <v>102007Compagnie Internationale de NegoceScratch 5 000</v>
          </cell>
          <cell r="V3080" t="str">
            <v>39359Scratch 5 000</v>
          </cell>
          <cell r="W3080" t="str">
            <v>2007Compagnie Internationale de Negoce</v>
          </cell>
          <cell r="X3080" t="str">
            <v>2007Compagnie Internationale de NegoceScratch 5 000</v>
          </cell>
        </row>
        <row r="3081">
          <cell r="I3081">
            <v>2007</v>
          </cell>
          <cell r="J3081" t="str">
            <v>Compagnie Internationale de NegoceScratch 2 000</v>
          </cell>
          <cell r="L3081">
            <v>0</v>
          </cell>
          <cell r="M3081" t="str">
            <v>Compagnie Internationale de Negoce</v>
          </cell>
          <cell r="N3081" t="str">
            <v>Compagnie Internationale de NegoceScratch 2 000</v>
          </cell>
          <cell r="O3081" t="str">
            <v>Compagnie Internationale de Negoce</v>
          </cell>
          <cell r="P3081" t="str">
            <v>Scratch 2 000</v>
          </cell>
          <cell r="Q3081" t="str">
            <v>102007</v>
          </cell>
          <cell r="R3081" t="str">
            <v>102007Scratch 2 000</v>
          </cell>
          <cell r="S3081" t="str">
            <v>2007Scratch 2 000</v>
          </cell>
          <cell r="T3081" t="str">
            <v>102007Compagnie Internationale de Negoce</v>
          </cell>
          <cell r="U3081" t="str">
            <v>102007Compagnie Internationale de NegoceScratch 2 000</v>
          </cell>
          <cell r="V3081" t="str">
            <v>39359Scratch 2 000</v>
          </cell>
          <cell r="W3081" t="str">
            <v>2007Compagnie Internationale de Negoce</v>
          </cell>
          <cell r="X3081" t="str">
            <v>2007Compagnie Internationale de NegoceScratch 2 000</v>
          </cell>
        </row>
        <row r="3082">
          <cell r="I3082">
            <v>2007</v>
          </cell>
          <cell r="J3082" t="str">
            <v>Compagnie Internationale de NegoceScratch 1 000</v>
          </cell>
          <cell r="L3082">
            <v>0</v>
          </cell>
          <cell r="M3082" t="str">
            <v>Compagnie Internationale de Negoce</v>
          </cell>
          <cell r="N3082" t="str">
            <v>Compagnie Internationale de NegoceScratch 1 000</v>
          </cell>
          <cell r="O3082" t="str">
            <v>Compagnie Internationale de Negoce</v>
          </cell>
          <cell r="P3082" t="str">
            <v>Scratch 1 000</v>
          </cell>
          <cell r="Q3082" t="str">
            <v>102007</v>
          </cell>
          <cell r="R3082" t="str">
            <v>102007Scratch 1 000</v>
          </cell>
          <cell r="S3082" t="str">
            <v>2007Scratch 1 000</v>
          </cell>
          <cell r="T3082" t="str">
            <v>102007Compagnie Internationale de Negoce</v>
          </cell>
          <cell r="U3082" t="str">
            <v>102007Compagnie Internationale de NegoceScratch 1 000</v>
          </cell>
          <cell r="V3082" t="str">
            <v>39359Scratch 1 000</v>
          </cell>
          <cell r="W3082" t="str">
            <v>2007Compagnie Internationale de Negoce</v>
          </cell>
          <cell r="X3082" t="str">
            <v>2007Compagnie Internationale de NegoceScratch 1 000</v>
          </cell>
        </row>
        <row r="3083">
          <cell r="I3083">
            <v>2007</v>
          </cell>
          <cell r="J3083" t="str">
            <v>Soleil LevantScratch 5 000</v>
          </cell>
          <cell r="L3083">
            <v>1</v>
          </cell>
          <cell r="M3083" t="str">
            <v>1Soleil Levant</v>
          </cell>
          <cell r="N3083" t="str">
            <v>Soleil LevantScratch 5 000</v>
          </cell>
          <cell r="O3083" t="str">
            <v>Soleil Levant</v>
          </cell>
          <cell r="P3083" t="str">
            <v>Scratch 5 000</v>
          </cell>
          <cell r="Q3083" t="str">
            <v>102007</v>
          </cell>
          <cell r="R3083" t="str">
            <v>102007Scratch 5 000</v>
          </cell>
          <cell r="S3083" t="str">
            <v>2007Scratch 5 000</v>
          </cell>
          <cell r="T3083" t="str">
            <v>102007Soleil Levant</v>
          </cell>
          <cell r="U3083" t="str">
            <v>102007Soleil LevantScratch 5 000</v>
          </cell>
          <cell r="V3083" t="str">
            <v>39359Scratch 5 000</v>
          </cell>
          <cell r="W3083" t="str">
            <v>2007Soleil Levant</v>
          </cell>
          <cell r="X3083" t="str">
            <v>2007Soleil LevantScratch 5 000</v>
          </cell>
        </row>
        <row r="3084">
          <cell r="I3084">
            <v>2007</v>
          </cell>
          <cell r="J3084" t="str">
            <v>Soleil LevantScratch 2 000</v>
          </cell>
          <cell r="L3084">
            <v>0</v>
          </cell>
          <cell r="M3084" t="str">
            <v>Soleil Levant</v>
          </cell>
          <cell r="N3084" t="str">
            <v>Soleil LevantScratch 2 000</v>
          </cell>
          <cell r="O3084" t="str">
            <v>Soleil Levant</v>
          </cell>
          <cell r="P3084" t="str">
            <v>Scratch 2 000</v>
          </cell>
          <cell r="Q3084" t="str">
            <v>102007</v>
          </cell>
          <cell r="R3084" t="str">
            <v>102007Scratch 2 000</v>
          </cell>
          <cell r="S3084" t="str">
            <v>2007Scratch 2 000</v>
          </cell>
          <cell r="T3084" t="str">
            <v>102007Soleil Levant</v>
          </cell>
          <cell r="U3084" t="str">
            <v>102007Soleil LevantScratch 2 000</v>
          </cell>
          <cell r="V3084" t="str">
            <v>39359Scratch 2 000</v>
          </cell>
          <cell r="W3084" t="str">
            <v>2007Soleil Levant</v>
          </cell>
          <cell r="X3084" t="str">
            <v>2007Soleil LevantScratch 2 000</v>
          </cell>
        </row>
        <row r="3085">
          <cell r="I3085">
            <v>2007</v>
          </cell>
          <cell r="J3085" t="str">
            <v>Soleil LevantScratch 1 000</v>
          </cell>
          <cell r="L3085">
            <v>0</v>
          </cell>
          <cell r="M3085" t="str">
            <v>Soleil Levant</v>
          </cell>
          <cell r="N3085" t="str">
            <v>Soleil LevantScratch 1 000</v>
          </cell>
          <cell r="O3085" t="str">
            <v>Soleil Levant</v>
          </cell>
          <cell r="P3085" t="str">
            <v>Scratch 1 000</v>
          </cell>
          <cell r="Q3085" t="str">
            <v>102007</v>
          </cell>
          <cell r="R3085" t="str">
            <v>102007Scratch 1 000</v>
          </cell>
          <cell r="S3085" t="str">
            <v>2007Scratch 1 000</v>
          </cell>
          <cell r="T3085" t="str">
            <v>102007Soleil Levant</v>
          </cell>
          <cell r="U3085" t="str">
            <v>102007Soleil LevantScratch 1 000</v>
          </cell>
          <cell r="V3085" t="str">
            <v>39359Scratch 1 000</v>
          </cell>
          <cell r="W3085" t="str">
            <v>2007Soleil Levant</v>
          </cell>
          <cell r="X3085" t="str">
            <v>2007Soleil LevantScratch 1 000</v>
          </cell>
        </row>
        <row r="3086">
          <cell r="I3086">
            <v>2007</v>
          </cell>
          <cell r="J3086" t="str">
            <v>ANKA SERVICESScratch 5 000</v>
          </cell>
          <cell r="L3086">
            <v>1</v>
          </cell>
          <cell r="M3086" t="str">
            <v>1ANKA SERVICES</v>
          </cell>
          <cell r="N3086" t="str">
            <v>ANKA SERVICESScratch 5 000</v>
          </cell>
          <cell r="O3086" t="str">
            <v>ANKA SERVICES</v>
          </cell>
          <cell r="P3086" t="str">
            <v>Scratch 5 000</v>
          </cell>
          <cell r="Q3086" t="str">
            <v>102007</v>
          </cell>
          <cell r="R3086" t="str">
            <v>102007Scratch 5 000</v>
          </cell>
          <cell r="S3086" t="str">
            <v>2007Scratch 5 000</v>
          </cell>
          <cell r="T3086" t="str">
            <v>102007ANKA SERVICES</v>
          </cell>
          <cell r="U3086" t="str">
            <v>102007ANKA SERVICESScratch 5 000</v>
          </cell>
          <cell r="V3086" t="str">
            <v>39359Scratch 5 000</v>
          </cell>
          <cell r="W3086" t="str">
            <v>2007ANKA SERVICES</v>
          </cell>
          <cell r="X3086" t="str">
            <v>2007ANKA SERVICESScratch 5 000</v>
          </cell>
        </row>
        <row r="3087">
          <cell r="I3087">
            <v>2007</v>
          </cell>
          <cell r="J3087" t="str">
            <v>ANKA SERVICESScratch 2 000</v>
          </cell>
          <cell r="L3087">
            <v>0</v>
          </cell>
          <cell r="M3087" t="str">
            <v>ANKA SERVICES</v>
          </cell>
          <cell r="N3087" t="str">
            <v>ANKA SERVICESScratch 2 000</v>
          </cell>
          <cell r="O3087" t="str">
            <v>ANKA SERVICES</v>
          </cell>
          <cell r="P3087" t="str">
            <v>Scratch 2 000</v>
          </cell>
          <cell r="Q3087" t="str">
            <v>102007</v>
          </cell>
          <cell r="R3087" t="str">
            <v>102007Scratch 2 000</v>
          </cell>
          <cell r="S3087" t="str">
            <v>2007Scratch 2 000</v>
          </cell>
          <cell r="T3087" t="str">
            <v>102007ANKA SERVICES</v>
          </cell>
          <cell r="U3087" t="str">
            <v>102007ANKA SERVICESScratch 2 000</v>
          </cell>
          <cell r="V3087" t="str">
            <v>39359Scratch 2 000</v>
          </cell>
          <cell r="W3087" t="str">
            <v>2007ANKA SERVICES</v>
          </cell>
          <cell r="X3087" t="str">
            <v>2007ANKA SERVICESScratch 2 000</v>
          </cell>
        </row>
        <row r="3088">
          <cell r="I3088">
            <v>2007</v>
          </cell>
          <cell r="J3088" t="str">
            <v>ANKA SERVICESScratch 1 000</v>
          </cell>
          <cell r="L3088">
            <v>0</v>
          </cell>
          <cell r="M3088" t="str">
            <v>ANKA SERVICES</v>
          </cell>
          <cell r="N3088" t="str">
            <v>ANKA SERVICESScratch 1 000</v>
          </cell>
          <cell r="O3088" t="str">
            <v>ANKA SERVICES</v>
          </cell>
          <cell r="P3088" t="str">
            <v>Scratch 1 000</v>
          </cell>
          <cell r="Q3088" t="str">
            <v>102007</v>
          </cell>
          <cell r="R3088" t="str">
            <v>102007Scratch 1 000</v>
          </cell>
          <cell r="S3088" t="str">
            <v>2007Scratch 1 000</v>
          </cell>
          <cell r="T3088" t="str">
            <v>102007ANKA SERVICES</v>
          </cell>
          <cell r="U3088" t="str">
            <v>102007ANKA SERVICESScratch 1 000</v>
          </cell>
          <cell r="V3088" t="str">
            <v>39359Scratch 1 000</v>
          </cell>
          <cell r="W3088" t="str">
            <v>2007ANKA SERVICES</v>
          </cell>
          <cell r="X3088" t="str">
            <v>2007ANKA SERVICESScratch 1 000</v>
          </cell>
        </row>
        <row r="3089">
          <cell r="I3089">
            <v>2007</v>
          </cell>
          <cell r="J3089" t="str">
            <v>Ets Boubacar TANDIAScratch 20 000</v>
          </cell>
          <cell r="L3089">
            <v>1</v>
          </cell>
          <cell r="M3089" t="str">
            <v>1Ets Boubacar TANDIA</v>
          </cell>
          <cell r="N3089" t="str">
            <v>Ets Boubacar TANDIAScratch 20 000</v>
          </cell>
          <cell r="O3089" t="str">
            <v>Ets Boubacar TANDIA</v>
          </cell>
          <cell r="P3089" t="str">
            <v>Scratch 20 000</v>
          </cell>
          <cell r="Q3089" t="str">
            <v>102007</v>
          </cell>
          <cell r="R3089" t="str">
            <v>102007Scratch 20 000</v>
          </cell>
          <cell r="S3089" t="str">
            <v>2007Scratch 20 000</v>
          </cell>
          <cell r="T3089" t="str">
            <v>102007Ets Boubacar TANDIA</v>
          </cell>
          <cell r="U3089" t="str">
            <v>102007Ets Boubacar TANDIAScratch 20 000</v>
          </cell>
          <cell r="V3089" t="str">
            <v>39360Scratch 20 000</v>
          </cell>
          <cell r="W3089" t="str">
            <v>2007Ets Boubacar TANDIA</v>
          </cell>
          <cell r="X3089" t="str">
            <v>2007Ets Boubacar TANDIAScratch 20 000</v>
          </cell>
        </row>
        <row r="3090">
          <cell r="I3090">
            <v>2007</v>
          </cell>
          <cell r="J3090" t="str">
            <v>Ets Boubacar TANDIAScratch 2 000</v>
          </cell>
          <cell r="L3090">
            <v>0</v>
          </cell>
          <cell r="M3090" t="str">
            <v>Ets Boubacar TANDIA</v>
          </cell>
          <cell r="N3090" t="str">
            <v>Ets Boubacar TANDIAScratch 2 000</v>
          </cell>
          <cell r="O3090" t="str">
            <v>Ets Boubacar TANDIA</v>
          </cell>
          <cell r="P3090" t="str">
            <v>Scratch 2 000</v>
          </cell>
          <cell r="Q3090" t="str">
            <v>102007</v>
          </cell>
          <cell r="R3090" t="str">
            <v>102007Scratch 2 000</v>
          </cell>
          <cell r="S3090" t="str">
            <v>2007Scratch 2 000</v>
          </cell>
          <cell r="T3090" t="str">
            <v>102007Ets Boubacar TANDIA</v>
          </cell>
          <cell r="U3090" t="str">
            <v>102007Ets Boubacar TANDIAScratch 2 000</v>
          </cell>
          <cell r="V3090" t="str">
            <v>39360Scratch 2 000</v>
          </cell>
          <cell r="W3090" t="str">
            <v>2007Ets Boubacar TANDIA</v>
          </cell>
          <cell r="X3090" t="str">
            <v>2007Ets Boubacar TANDIAScratch 2 000</v>
          </cell>
        </row>
        <row r="3091">
          <cell r="I3091">
            <v>2007</v>
          </cell>
          <cell r="J3091" t="str">
            <v>Ets Boubacar TANDIAScratch 1 000</v>
          </cell>
          <cell r="L3091">
            <v>0</v>
          </cell>
          <cell r="M3091" t="str">
            <v>Ets Boubacar TANDIA</v>
          </cell>
          <cell r="N3091" t="str">
            <v>Ets Boubacar TANDIAScratch 1 000</v>
          </cell>
          <cell r="O3091" t="str">
            <v>Ets Boubacar TANDIA</v>
          </cell>
          <cell r="P3091" t="str">
            <v>Scratch 1 000</v>
          </cell>
          <cell r="Q3091" t="str">
            <v>102007</v>
          </cell>
          <cell r="R3091" t="str">
            <v>102007Scratch 1 000</v>
          </cell>
          <cell r="S3091" t="str">
            <v>2007Scratch 1 000</v>
          </cell>
          <cell r="T3091" t="str">
            <v>102007Ets Boubacar TANDIA</v>
          </cell>
          <cell r="U3091" t="str">
            <v>102007Ets Boubacar TANDIAScratch 1 000</v>
          </cell>
          <cell r="V3091" t="str">
            <v>39360Scratch 1 000</v>
          </cell>
          <cell r="W3091" t="str">
            <v>2007Ets Boubacar TANDIA</v>
          </cell>
          <cell r="X3091" t="str">
            <v>2007Ets Boubacar TANDIAScratch 1 000</v>
          </cell>
        </row>
        <row r="3092">
          <cell r="I3092">
            <v>2007</v>
          </cell>
          <cell r="J3092" t="str">
            <v>CellNets MaliMinutes</v>
          </cell>
          <cell r="L3092">
            <v>1</v>
          </cell>
          <cell r="M3092" t="str">
            <v>1CellNets Mali</v>
          </cell>
          <cell r="N3092" t="str">
            <v>CellNets MaliMinutes</v>
          </cell>
          <cell r="O3092" t="str">
            <v>CellNets Mali</v>
          </cell>
          <cell r="P3092" t="str">
            <v>Minutes</v>
          </cell>
          <cell r="Q3092" t="str">
            <v>102007</v>
          </cell>
          <cell r="R3092" t="str">
            <v>102007Minutes</v>
          </cell>
          <cell r="S3092" t="str">
            <v>2007Minutes</v>
          </cell>
          <cell r="T3092" t="str">
            <v>102007CellNets Mali</v>
          </cell>
          <cell r="U3092" t="str">
            <v>102007CellNets MaliMinutes</v>
          </cell>
          <cell r="V3092" t="str">
            <v>39360Minutes</v>
          </cell>
          <cell r="W3092" t="str">
            <v>2007CellNets Mali</v>
          </cell>
          <cell r="X3092" t="str">
            <v>2007CellNets MaliMinutes</v>
          </cell>
        </row>
        <row r="3093">
          <cell r="I3093">
            <v>2007</v>
          </cell>
          <cell r="J3093" t="str">
            <v>GEMATELScratch 20 000</v>
          </cell>
          <cell r="L3093">
            <v>1</v>
          </cell>
          <cell r="M3093" t="str">
            <v>1GEMATEL</v>
          </cell>
          <cell r="N3093" t="str">
            <v>GEMATELScratch 20 000</v>
          </cell>
          <cell r="O3093" t="str">
            <v>GEMATEL</v>
          </cell>
          <cell r="P3093" t="str">
            <v>Scratch 20 000</v>
          </cell>
          <cell r="Q3093" t="str">
            <v>102007</v>
          </cell>
          <cell r="R3093" t="str">
            <v>102007Scratch 20 000</v>
          </cell>
          <cell r="S3093" t="str">
            <v>2007Scratch 20 000</v>
          </cell>
          <cell r="T3093" t="str">
            <v>102007GEMATEL</v>
          </cell>
          <cell r="U3093" t="str">
            <v>102007GEMATELScratch 20 000</v>
          </cell>
          <cell r="V3093" t="str">
            <v>39363Scratch 20 000</v>
          </cell>
          <cell r="W3093" t="str">
            <v>2007GEMATEL</v>
          </cell>
          <cell r="X3093" t="str">
            <v>2007GEMATELScratch 20 000</v>
          </cell>
        </row>
        <row r="3094">
          <cell r="I3094">
            <v>2007</v>
          </cell>
          <cell r="J3094" t="str">
            <v>GEMATELScratch 10 000</v>
          </cell>
          <cell r="L3094">
            <v>0</v>
          </cell>
          <cell r="M3094" t="str">
            <v>GEMATEL</v>
          </cell>
          <cell r="N3094" t="str">
            <v>GEMATELScratch 10 000</v>
          </cell>
          <cell r="O3094" t="str">
            <v>GEMATEL</v>
          </cell>
          <cell r="P3094" t="str">
            <v>Scratch 10 000</v>
          </cell>
          <cell r="Q3094" t="str">
            <v>102007</v>
          </cell>
          <cell r="R3094" t="str">
            <v>102007Scratch 10 000</v>
          </cell>
          <cell r="S3094" t="str">
            <v>2007Scratch 10 000</v>
          </cell>
          <cell r="T3094" t="str">
            <v>102007GEMATEL</v>
          </cell>
          <cell r="U3094" t="str">
            <v>102007GEMATELScratch 10 000</v>
          </cell>
          <cell r="V3094" t="str">
            <v>39363Scratch 10 000</v>
          </cell>
          <cell r="W3094" t="str">
            <v>2007GEMATEL</v>
          </cell>
          <cell r="X3094" t="str">
            <v>2007GEMATELScratch 10 000</v>
          </cell>
        </row>
        <row r="3095">
          <cell r="I3095">
            <v>2007</v>
          </cell>
          <cell r="J3095" t="str">
            <v>GEMATELScratch 5 000</v>
          </cell>
          <cell r="L3095">
            <v>0</v>
          </cell>
          <cell r="M3095" t="str">
            <v>GEMATEL</v>
          </cell>
          <cell r="N3095" t="str">
            <v>GEMATELScratch 5 000</v>
          </cell>
          <cell r="O3095" t="str">
            <v>GEMATEL</v>
          </cell>
          <cell r="P3095" t="str">
            <v>Scratch 5 000</v>
          </cell>
          <cell r="Q3095" t="str">
            <v>102007</v>
          </cell>
          <cell r="R3095" t="str">
            <v>102007Scratch 5 000</v>
          </cell>
          <cell r="S3095" t="str">
            <v>2007Scratch 5 000</v>
          </cell>
          <cell r="T3095" t="str">
            <v>102007GEMATEL</v>
          </cell>
          <cell r="U3095" t="str">
            <v>102007GEMATELScratch 5 000</v>
          </cell>
          <cell r="V3095" t="str">
            <v>39363Scratch 5 000</v>
          </cell>
          <cell r="W3095" t="str">
            <v>2007GEMATEL</v>
          </cell>
          <cell r="X3095" t="str">
            <v>2007GEMATELScratch 5 000</v>
          </cell>
        </row>
        <row r="3096">
          <cell r="I3096">
            <v>2007</v>
          </cell>
          <cell r="J3096" t="str">
            <v>GEMATELScratch 2 000</v>
          </cell>
          <cell r="L3096">
            <v>0</v>
          </cell>
          <cell r="M3096" t="str">
            <v>GEMATEL</v>
          </cell>
          <cell r="N3096" t="str">
            <v>GEMATELScratch 2 000</v>
          </cell>
          <cell r="O3096" t="str">
            <v>GEMATEL</v>
          </cell>
          <cell r="P3096" t="str">
            <v>Scratch 2 000</v>
          </cell>
          <cell r="Q3096" t="str">
            <v>102007</v>
          </cell>
          <cell r="R3096" t="str">
            <v>102007Scratch 2 000</v>
          </cell>
          <cell r="S3096" t="str">
            <v>2007Scratch 2 000</v>
          </cell>
          <cell r="T3096" t="str">
            <v>102007GEMATEL</v>
          </cell>
          <cell r="U3096" t="str">
            <v>102007GEMATELScratch 2 000</v>
          </cell>
          <cell r="V3096" t="str">
            <v>39363Scratch 2 000</v>
          </cell>
          <cell r="W3096" t="str">
            <v>2007GEMATEL</v>
          </cell>
          <cell r="X3096" t="str">
            <v>2007GEMATELScratch 2 000</v>
          </cell>
        </row>
        <row r="3097">
          <cell r="I3097">
            <v>2007</v>
          </cell>
          <cell r="J3097" t="str">
            <v>GEMATELScratch 1 000</v>
          </cell>
          <cell r="L3097">
            <v>0</v>
          </cell>
          <cell r="M3097" t="str">
            <v>GEMATEL</v>
          </cell>
          <cell r="N3097" t="str">
            <v>GEMATELScratch 1 000</v>
          </cell>
          <cell r="O3097" t="str">
            <v>GEMATEL</v>
          </cell>
          <cell r="P3097" t="str">
            <v>Scratch 1 000</v>
          </cell>
          <cell r="Q3097" t="str">
            <v>102007</v>
          </cell>
          <cell r="R3097" t="str">
            <v>102007Scratch 1 000</v>
          </cell>
          <cell r="S3097" t="str">
            <v>2007Scratch 1 000</v>
          </cell>
          <cell r="T3097" t="str">
            <v>102007GEMATEL</v>
          </cell>
          <cell r="U3097" t="str">
            <v>102007GEMATELScratch 1 000</v>
          </cell>
          <cell r="V3097" t="str">
            <v>39363Scratch 1 000</v>
          </cell>
          <cell r="W3097" t="str">
            <v>2007GEMATEL</v>
          </cell>
          <cell r="X3097" t="str">
            <v>2007GEMATELScratch 1 000</v>
          </cell>
        </row>
        <row r="3098">
          <cell r="I3098">
            <v>2007</v>
          </cell>
          <cell r="J3098" t="str">
            <v>STS GAMBY &amp; FRERES (SOGAF) SarlScratch 10 000</v>
          </cell>
          <cell r="L3098">
            <v>1</v>
          </cell>
          <cell r="M3098" t="str">
            <v>1STS GAMBY &amp; FRERES (SOGAF) Sarl</v>
          </cell>
          <cell r="N3098" t="str">
            <v>STS GAMBY &amp; FRERES (SOGAF) SarlScratch 10 000</v>
          </cell>
          <cell r="O3098" t="str">
            <v>STS GAMBY &amp; FRERES (SOGAF) Sarl</v>
          </cell>
          <cell r="P3098" t="str">
            <v>Scratch 10 000</v>
          </cell>
          <cell r="Q3098" t="str">
            <v>102007</v>
          </cell>
          <cell r="R3098" t="str">
            <v>102007Scratch 10 000</v>
          </cell>
          <cell r="S3098" t="str">
            <v>2007Scratch 10 000</v>
          </cell>
          <cell r="T3098" t="str">
            <v>102007STS GAMBY &amp; FRERES (SOGAF) Sarl</v>
          </cell>
          <cell r="U3098" t="str">
            <v>102007STS GAMBY &amp; FRERES (SOGAF) SarlScratch 10 000</v>
          </cell>
          <cell r="V3098" t="str">
            <v>39363Scratch 10 000</v>
          </cell>
          <cell r="W3098" t="str">
            <v>2007STS GAMBY &amp; FRERES (SOGAF) Sarl</v>
          </cell>
          <cell r="X3098" t="str">
            <v>2007STS GAMBY &amp; FRERES (SOGAF) SarlScratch 10 000</v>
          </cell>
        </row>
        <row r="3099">
          <cell r="I3099">
            <v>2007</v>
          </cell>
          <cell r="J3099" t="str">
            <v>STS GAMBY &amp; FRERES (SOGAF) SarlScratch 5 000</v>
          </cell>
          <cell r="L3099">
            <v>0</v>
          </cell>
          <cell r="M3099" t="str">
            <v>STS GAMBY &amp; FRERES (SOGAF) Sarl</v>
          </cell>
          <cell r="N3099" t="str">
            <v>STS GAMBY &amp; FRERES (SOGAF) SarlScratch 5 000</v>
          </cell>
          <cell r="O3099" t="str">
            <v>STS GAMBY &amp; FRERES (SOGAF) Sarl</v>
          </cell>
          <cell r="P3099" t="str">
            <v>Scratch 5 000</v>
          </cell>
          <cell r="Q3099" t="str">
            <v>102007</v>
          </cell>
          <cell r="R3099" t="str">
            <v>102007Scratch 5 000</v>
          </cell>
          <cell r="S3099" t="str">
            <v>2007Scratch 5 000</v>
          </cell>
          <cell r="T3099" t="str">
            <v>102007STS GAMBY &amp; FRERES (SOGAF) Sarl</v>
          </cell>
          <cell r="U3099" t="str">
            <v>102007STS GAMBY &amp; FRERES (SOGAF) SarlScratch 5 000</v>
          </cell>
          <cell r="V3099" t="str">
            <v>39363Scratch 5 000</v>
          </cell>
          <cell r="W3099" t="str">
            <v>2007STS GAMBY &amp; FRERES (SOGAF) Sarl</v>
          </cell>
          <cell r="X3099" t="str">
            <v>2007STS GAMBY &amp; FRERES (SOGAF) SarlScratch 5 000</v>
          </cell>
        </row>
        <row r="3100">
          <cell r="I3100">
            <v>2007</v>
          </cell>
          <cell r="J3100" t="str">
            <v>STS GAMBY &amp; FRERES (SOGAF) SarlScratch 2 000</v>
          </cell>
          <cell r="L3100">
            <v>0</v>
          </cell>
          <cell r="M3100" t="str">
            <v>STS GAMBY &amp; FRERES (SOGAF) Sarl</v>
          </cell>
          <cell r="N3100" t="str">
            <v>STS GAMBY &amp; FRERES (SOGAF) SarlScratch 2 000</v>
          </cell>
          <cell r="O3100" t="str">
            <v>STS GAMBY &amp; FRERES (SOGAF) Sarl</v>
          </cell>
          <cell r="P3100" t="str">
            <v>Scratch 2 000</v>
          </cell>
          <cell r="Q3100" t="str">
            <v>102007</v>
          </cell>
          <cell r="R3100" t="str">
            <v>102007Scratch 2 000</v>
          </cell>
          <cell r="S3100" t="str">
            <v>2007Scratch 2 000</v>
          </cell>
          <cell r="T3100" t="str">
            <v>102007STS GAMBY &amp; FRERES (SOGAF) Sarl</v>
          </cell>
          <cell r="U3100" t="str">
            <v>102007STS GAMBY &amp; FRERES (SOGAF) SarlScratch 2 000</v>
          </cell>
          <cell r="V3100" t="str">
            <v>39363Scratch 2 000</v>
          </cell>
          <cell r="W3100" t="str">
            <v>2007STS GAMBY &amp; FRERES (SOGAF) Sarl</v>
          </cell>
          <cell r="X3100" t="str">
            <v>2007STS GAMBY &amp; FRERES (SOGAF) SarlScratch 2 000</v>
          </cell>
        </row>
        <row r="3101">
          <cell r="I3101">
            <v>2007</v>
          </cell>
          <cell r="J3101" t="str">
            <v>STS GAMBY &amp; FRERES (SOGAF) SarlScratch 1 000</v>
          </cell>
          <cell r="L3101">
            <v>0</v>
          </cell>
          <cell r="M3101" t="str">
            <v>STS GAMBY &amp; FRERES (SOGAF) Sarl</v>
          </cell>
          <cell r="N3101" t="str">
            <v>STS GAMBY &amp; FRERES (SOGAF) SarlScratch 1 000</v>
          </cell>
          <cell r="O3101" t="str">
            <v>STS GAMBY &amp; FRERES (SOGAF) Sarl</v>
          </cell>
          <cell r="P3101" t="str">
            <v>Scratch 1 000</v>
          </cell>
          <cell r="Q3101" t="str">
            <v>102007</v>
          </cell>
          <cell r="R3101" t="str">
            <v>102007Scratch 1 000</v>
          </cell>
          <cell r="S3101" t="str">
            <v>2007Scratch 1 000</v>
          </cell>
          <cell r="T3101" t="str">
            <v>102007STS GAMBY &amp; FRERES (SOGAF) Sarl</v>
          </cell>
          <cell r="U3101" t="str">
            <v>102007STS GAMBY &amp; FRERES (SOGAF) SarlScratch 1 000</v>
          </cell>
          <cell r="V3101" t="str">
            <v>39363Scratch 1 000</v>
          </cell>
          <cell r="W3101" t="str">
            <v>2007STS GAMBY &amp; FRERES (SOGAF) Sarl</v>
          </cell>
          <cell r="X3101" t="str">
            <v>2007STS GAMBY &amp; FRERES (SOGAF) SarlScratch 1 000</v>
          </cell>
        </row>
        <row r="3102">
          <cell r="I3102">
            <v>2007</v>
          </cell>
          <cell r="J3102" t="str">
            <v>ANKA SERVICESScratch 5 000</v>
          </cell>
          <cell r="L3102">
            <v>1</v>
          </cell>
          <cell r="M3102" t="str">
            <v>1ANKA SERVICES</v>
          </cell>
          <cell r="N3102" t="str">
            <v>ANKA SERVICESScratch 5 000</v>
          </cell>
          <cell r="O3102" t="str">
            <v>ANKA SERVICES</v>
          </cell>
          <cell r="P3102" t="str">
            <v>Scratch 5 000</v>
          </cell>
          <cell r="Q3102" t="str">
            <v>102007</v>
          </cell>
          <cell r="R3102" t="str">
            <v>102007Scratch 5 000</v>
          </cell>
          <cell r="S3102" t="str">
            <v>2007Scratch 5 000</v>
          </cell>
          <cell r="T3102" t="str">
            <v>102007ANKA SERVICES</v>
          </cell>
          <cell r="U3102" t="str">
            <v>102007ANKA SERVICESScratch 5 000</v>
          </cell>
          <cell r="V3102" t="str">
            <v>39363Scratch 5 000</v>
          </cell>
          <cell r="W3102" t="str">
            <v>2007ANKA SERVICES</v>
          </cell>
          <cell r="X3102" t="str">
            <v>2007ANKA SERVICESScratch 5 000</v>
          </cell>
        </row>
        <row r="3103">
          <cell r="I3103">
            <v>2007</v>
          </cell>
          <cell r="J3103" t="str">
            <v>ANKA SERVICESScratch 2 000</v>
          </cell>
          <cell r="L3103">
            <v>0</v>
          </cell>
          <cell r="M3103" t="str">
            <v>ANKA SERVICES</v>
          </cell>
          <cell r="N3103" t="str">
            <v>ANKA SERVICESScratch 2 000</v>
          </cell>
          <cell r="O3103" t="str">
            <v>ANKA SERVICES</v>
          </cell>
          <cell r="P3103" t="str">
            <v>Scratch 2 000</v>
          </cell>
          <cell r="Q3103" t="str">
            <v>102007</v>
          </cell>
          <cell r="R3103" t="str">
            <v>102007Scratch 2 000</v>
          </cell>
          <cell r="S3103" t="str">
            <v>2007Scratch 2 000</v>
          </cell>
          <cell r="T3103" t="str">
            <v>102007ANKA SERVICES</v>
          </cell>
          <cell r="U3103" t="str">
            <v>102007ANKA SERVICESScratch 2 000</v>
          </cell>
          <cell r="V3103" t="str">
            <v>39363Scratch 2 000</v>
          </cell>
          <cell r="W3103" t="str">
            <v>2007ANKA SERVICES</v>
          </cell>
          <cell r="X3103" t="str">
            <v>2007ANKA SERVICESScratch 2 000</v>
          </cell>
        </row>
        <row r="3104">
          <cell r="I3104">
            <v>2007</v>
          </cell>
          <cell r="J3104" t="str">
            <v>ANKA SERVICESScratch 1 000</v>
          </cell>
          <cell r="L3104">
            <v>0</v>
          </cell>
          <cell r="M3104" t="str">
            <v>ANKA SERVICES</v>
          </cell>
          <cell r="N3104" t="str">
            <v>ANKA SERVICESScratch 1 000</v>
          </cell>
          <cell r="O3104" t="str">
            <v>ANKA SERVICES</v>
          </cell>
          <cell r="P3104" t="str">
            <v>Scratch 1 000</v>
          </cell>
          <cell r="Q3104" t="str">
            <v>102007</v>
          </cell>
          <cell r="R3104" t="str">
            <v>102007Scratch 1 000</v>
          </cell>
          <cell r="S3104" t="str">
            <v>2007Scratch 1 000</v>
          </cell>
          <cell r="T3104" t="str">
            <v>102007ANKA SERVICES</v>
          </cell>
          <cell r="U3104" t="str">
            <v>102007ANKA SERVICESScratch 1 000</v>
          </cell>
          <cell r="V3104" t="str">
            <v>39363Scratch 1 000</v>
          </cell>
          <cell r="W3104" t="str">
            <v>2007ANKA SERVICES</v>
          </cell>
          <cell r="X3104" t="str">
            <v>2007ANKA SERVICESScratch 1 000</v>
          </cell>
        </row>
        <row r="3105">
          <cell r="I3105">
            <v>2007</v>
          </cell>
          <cell r="J3105" t="str">
            <v>GEMATELScratch 5 000</v>
          </cell>
          <cell r="L3105">
            <v>1</v>
          </cell>
          <cell r="M3105" t="str">
            <v>1GEMATEL</v>
          </cell>
          <cell r="N3105" t="str">
            <v>GEMATELScratch 5 000</v>
          </cell>
          <cell r="O3105" t="str">
            <v>GEMATEL</v>
          </cell>
          <cell r="P3105" t="str">
            <v>Scratch 5 000</v>
          </cell>
          <cell r="Q3105" t="str">
            <v>102007</v>
          </cell>
          <cell r="R3105" t="str">
            <v>102007Scratch 5 000</v>
          </cell>
          <cell r="S3105" t="str">
            <v>2007Scratch 5 000</v>
          </cell>
          <cell r="T3105" t="str">
            <v>102007GEMATEL</v>
          </cell>
          <cell r="U3105" t="str">
            <v>102007GEMATELScratch 5 000</v>
          </cell>
          <cell r="V3105" t="str">
            <v>39363Scratch 5 000</v>
          </cell>
          <cell r="W3105" t="str">
            <v>2007GEMATEL</v>
          </cell>
          <cell r="X3105" t="str">
            <v>2007GEMATELScratch 5 000</v>
          </cell>
        </row>
        <row r="3106">
          <cell r="I3106">
            <v>2007</v>
          </cell>
          <cell r="J3106" t="str">
            <v>GEMATELScratch 2 000</v>
          </cell>
          <cell r="L3106">
            <v>0</v>
          </cell>
          <cell r="M3106" t="str">
            <v>GEMATEL</v>
          </cell>
          <cell r="N3106" t="str">
            <v>GEMATELScratch 2 000</v>
          </cell>
          <cell r="O3106" t="str">
            <v>GEMATEL</v>
          </cell>
          <cell r="P3106" t="str">
            <v>Scratch 2 000</v>
          </cell>
          <cell r="Q3106" t="str">
            <v>102007</v>
          </cell>
          <cell r="R3106" t="str">
            <v>102007Scratch 2 000</v>
          </cell>
          <cell r="S3106" t="str">
            <v>2007Scratch 2 000</v>
          </cell>
          <cell r="T3106" t="str">
            <v>102007GEMATEL</v>
          </cell>
          <cell r="U3106" t="str">
            <v>102007GEMATELScratch 2 000</v>
          </cell>
          <cell r="V3106" t="str">
            <v>39363Scratch 2 000</v>
          </cell>
          <cell r="W3106" t="str">
            <v>2007GEMATEL</v>
          </cell>
          <cell r="X3106" t="str">
            <v>2007GEMATELScratch 2 000</v>
          </cell>
        </row>
        <row r="3107">
          <cell r="I3107">
            <v>2007</v>
          </cell>
          <cell r="J3107" t="str">
            <v>GEMATELScratch 1 000</v>
          </cell>
          <cell r="L3107">
            <v>0</v>
          </cell>
          <cell r="M3107" t="str">
            <v>GEMATEL</v>
          </cell>
          <cell r="N3107" t="str">
            <v>GEMATELScratch 1 000</v>
          </cell>
          <cell r="O3107" t="str">
            <v>GEMATEL</v>
          </cell>
          <cell r="P3107" t="str">
            <v>Scratch 1 000</v>
          </cell>
          <cell r="Q3107" t="str">
            <v>102007</v>
          </cell>
          <cell r="R3107" t="str">
            <v>102007Scratch 1 000</v>
          </cell>
          <cell r="S3107" t="str">
            <v>2007Scratch 1 000</v>
          </cell>
          <cell r="T3107" t="str">
            <v>102007GEMATEL</v>
          </cell>
          <cell r="U3107" t="str">
            <v>102007GEMATELScratch 1 000</v>
          </cell>
          <cell r="V3107" t="str">
            <v>39363Scratch 1 000</v>
          </cell>
          <cell r="W3107" t="str">
            <v>2007GEMATEL</v>
          </cell>
          <cell r="X3107" t="str">
            <v>2007GEMATELScratch 1 000</v>
          </cell>
        </row>
        <row r="3108">
          <cell r="I3108">
            <v>2007</v>
          </cell>
          <cell r="J3108" t="str">
            <v>MALI COM SarlScratch 20 000</v>
          </cell>
          <cell r="L3108">
            <v>1</v>
          </cell>
          <cell r="M3108" t="str">
            <v>1MALI COM Sarl</v>
          </cell>
          <cell r="N3108" t="str">
            <v>MALI COM SarlScratch 20 000</v>
          </cell>
          <cell r="O3108" t="str">
            <v>MALI COM Sarl</v>
          </cell>
          <cell r="P3108" t="str">
            <v>Scratch 20 000</v>
          </cell>
          <cell r="Q3108" t="str">
            <v>102007</v>
          </cell>
          <cell r="R3108" t="str">
            <v>102007Scratch 20 000</v>
          </cell>
          <cell r="S3108" t="str">
            <v>2007Scratch 20 000</v>
          </cell>
          <cell r="T3108" t="str">
            <v>102007MALI COM Sarl</v>
          </cell>
          <cell r="U3108" t="str">
            <v>102007MALI COM SarlScratch 20 000</v>
          </cell>
          <cell r="V3108" t="str">
            <v>39363Scratch 20 000</v>
          </cell>
          <cell r="W3108" t="str">
            <v>2007MALI COM Sarl</v>
          </cell>
          <cell r="X3108" t="str">
            <v>2007MALI COM SarlScratch 20 000</v>
          </cell>
        </row>
        <row r="3109">
          <cell r="I3109">
            <v>2007</v>
          </cell>
          <cell r="J3109" t="str">
            <v>MALI COM SarlScratch 5 000</v>
          </cell>
          <cell r="L3109">
            <v>0</v>
          </cell>
          <cell r="M3109" t="str">
            <v>MALI COM Sarl</v>
          </cell>
          <cell r="N3109" t="str">
            <v>MALI COM SarlScratch 5 000</v>
          </cell>
          <cell r="O3109" t="str">
            <v>MALI COM Sarl</v>
          </cell>
          <cell r="P3109" t="str">
            <v>Scratch 5 000</v>
          </cell>
          <cell r="Q3109" t="str">
            <v>102007</v>
          </cell>
          <cell r="R3109" t="str">
            <v>102007Scratch 5 000</v>
          </cell>
          <cell r="S3109" t="str">
            <v>2007Scratch 5 000</v>
          </cell>
          <cell r="T3109" t="str">
            <v>102007MALI COM Sarl</v>
          </cell>
          <cell r="U3109" t="str">
            <v>102007MALI COM SarlScratch 5 000</v>
          </cell>
          <cell r="V3109" t="str">
            <v>39363Scratch 5 000</v>
          </cell>
          <cell r="W3109" t="str">
            <v>2007MALI COM Sarl</v>
          </cell>
          <cell r="X3109" t="str">
            <v>2007MALI COM SarlScratch 5 000</v>
          </cell>
        </row>
        <row r="3110">
          <cell r="I3110">
            <v>2007</v>
          </cell>
          <cell r="J3110" t="str">
            <v>MALI COM SarlScratch 2 000</v>
          </cell>
          <cell r="L3110">
            <v>0</v>
          </cell>
          <cell r="M3110" t="str">
            <v>MALI COM Sarl</v>
          </cell>
          <cell r="N3110" t="str">
            <v>MALI COM SarlScratch 2 000</v>
          </cell>
          <cell r="O3110" t="str">
            <v>MALI COM Sarl</v>
          </cell>
          <cell r="P3110" t="str">
            <v>Scratch 2 000</v>
          </cell>
          <cell r="Q3110" t="str">
            <v>102007</v>
          </cell>
          <cell r="R3110" t="str">
            <v>102007Scratch 2 000</v>
          </cell>
          <cell r="S3110" t="str">
            <v>2007Scratch 2 000</v>
          </cell>
          <cell r="T3110" t="str">
            <v>102007MALI COM Sarl</v>
          </cell>
          <cell r="U3110" t="str">
            <v>102007MALI COM SarlScratch 2 000</v>
          </cell>
          <cell r="V3110" t="str">
            <v>39363Scratch 2 000</v>
          </cell>
          <cell r="W3110" t="str">
            <v>2007MALI COM Sarl</v>
          </cell>
          <cell r="X3110" t="str">
            <v>2007MALI COM SarlScratch 2 000</v>
          </cell>
        </row>
        <row r="3111">
          <cell r="I3111">
            <v>2007</v>
          </cell>
          <cell r="J3111" t="str">
            <v>MALI COM SarlScratch 1 000</v>
          </cell>
          <cell r="L3111">
            <v>0</v>
          </cell>
          <cell r="M3111" t="str">
            <v>MALI COM Sarl</v>
          </cell>
          <cell r="N3111" t="str">
            <v>MALI COM SarlScratch 1 000</v>
          </cell>
          <cell r="O3111" t="str">
            <v>MALI COM Sarl</v>
          </cell>
          <cell r="P3111" t="str">
            <v>Scratch 1 000</v>
          </cell>
          <cell r="Q3111" t="str">
            <v>102007</v>
          </cell>
          <cell r="R3111" t="str">
            <v>102007Scratch 1 000</v>
          </cell>
          <cell r="S3111" t="str">
            <v>2007Scratch 1 000</v>
          </cell>
          <cell r="T3111" t="str">
            <v>102007MALI COM Sarl</v>
          </cell>
          <cell r="U3111" t="str">
            <v>102007MALI COM SarlScratch 1 000</v>
          </cell>
          <cell r="V3111" t="str">
            <v>39363Scratch 1 000</v>
          </cell>
          <cell r="W3111" t="str">
            <v>2007MALI COM Sarl</v>
          </cell>
          <cell r="X3111" t="str">
            <v>2007MALI COM SarlScratch 1 000</v>
          </cell>
        </row>
        <row r="3112">
          <cell r="I3112">
            <v>2007</v>
          </cell>
          <cell r="J3112" t="str">
            <v>Compagnie Internationale de NegoceScratch 20 000</v>
          </cell>
          <cell r="L3112">
            <v>1</v>
          </cell>
          <cell r="M3112" t="str">
            <v>1Compagnie Internationale de Negoce</v>
          </cell>
          <cell r="N3112" t="str">
            <v>Compagnie Internationale de NegoceScratch 20 000</v>
          </cell>
          <cell r="O3112" t="str">
            <v>Compagnie Internationale de Negoce</v>
          </cell>
          <cell r="P3112" t="str">
            <v>Scratch 20 000</v>
          </cell>
          <cell r="Q3112" t="str">
            <v>102007</v>
          </cell>
          <cell r="R3112" t="str">
            <v>102007Scratch 20 000</v>
          </cell>
          <cell r="S3112" t="str">
            <v>2007Scratch 20 000</v>
          </cell>
          <cell r="T3112" t="str">
            <v>102007Compagnie Internationale de Negoce</v>
          </cell>
          <cell r="U3112" t="str">
            <v>102007Compagnie Internationale de NegoceScratch 20 000</v>
          </cell>
          <cell r="V3112" t="str">
            <v>39363Scratch 20 000</v>
          </cell>
          <cell r="W3112" t="str">
            <v>2007Compagnie Internationale de Negoce</v>
          </cell>
          <cell r="X3112" t="str">
            <v>2007Compagnie Internationale de NegoceScratch 20 000</v>
          </cell>
        </row>
        <row r="3113">
          <cell r="I3113">
            <v>2007</v>
          </cell>
          <cell r="J3113" t="str">
            <v>Compagnie Internationale de NegoceScratch 10 000</v>
          </cell>
          <cell r="L3113">
            <v>0</v>
          </cell>
          <cell r="M3113" t="str">
            <v>Compagnie Internationale de Negoce</v>
          </cell>
          <cell r="N3113" t="str">
            <v>Compagnie Internationale de NegoceScratch 10 000</v>
          </cell>
          <cell r="O3113" t="str">
            <v>Compagnie Internationale de Negoce</v>
          </cell>
          <cell r="P3113" t="str">
            <v>Scratch 10 000</v>
          </cell>
          <cell r="Q3113" t="str">
            <v>102007</v>
          </cell>
          <cell r="R3113" t="str">
            <v>102007Scratch 10 000</v>
          </cell>
          <cell r="S3113" t="str">
            <v>2007Scratch 10 000</v>
          </cell>
          <cell r="T3113" t="str">
            <v>102007Compagnie Internationale de Negoce</v>
          </cell>
          <cell r="U3113" t="str">
            <v>102007Compagnie Internationale de NegoceScratch 10 000</v>
          </cell>
          <cell r="V3113" t="str">
            <v>39363Scratch 10 000</v>
          </cell>
          <cell r="W3113" t="str">
            <v>2007Compagnie Internationale de Negoce</v>
          </cell>
          <cell r="X3113" t="str">
            <v>2007Compagnie Internationale de NegoceScratch 10 000</v>
          </cell>
        </row>
        <row r="3114">
          <cell r="I3114">
            <v>2007</v>
          </cell>
          <cell r="J3114" t="str">
            <v>Compagnie Internationale de NegoceScratch 5 000</v>
          </cell>
          <cell r="L3114">
            <v>0</v>
          </cell>
          <cell r="M3114" t="str">
            <v>Compagnie Internationale de Negoce</v>
          </cell>
          <cell r="N3114" t="str">
            <v>Compagnie Internationale de NegoceScratch 5 000</v>
          </cell>
          <cell r="O3114" t="str">
            <v>Compagnie Internationale de Negoce</v>
          </cell>
          <cell r="P3114" t="str">
            <v>Scratch 5 000</v>
          </cell>
          <cell r="Q3114" t="str">
            <v>102007</v>
          </cell>
          <cell r="R3114" t="str">
            <v>102007Scratch 5 000</v>
          </cell>
          <cell r="S3114" t="str">
            <v>2007Scratch 5 000</v>
          </cell>
          <cell r="T3114" t="str">
            <v>102007Compagnie Internationale de Negoce</v>
          </cell>
          <cell r="U3114" t="str">
            <v>102007Compagnie Internationale de NegoceScratch 5 000</v>
          </cell>
          <cell r="V3114" t="str">
            <v>39363Scratch 5 000</v>
          </cell>
          <cell r="W3114" t="str">
            <v>2007Compagnie Internationale de Negoce</v>
          </cell>
          <cell r="X3114" t="str">
            <v>2007Compagnie Internationale de NegoceScratch 5 000</v>
          </cell>
        </row>
        <row r="3115">
          <cell r="I3115">
            <v>2007</v>
          </cell>
          <cell r="J3115" t="str">
            <v>Compagnie Internationale de NegoceScratch 2 000</v>
          </cell>
          <cell r="L3115">
            <v>0</v>
          </cell>
          <cell r="M3115" t="str">
            <v>Compagnie Internationale de Negoce</v>
          </cell>
          <cell r="N3115" t="str">
            <v>Compagnie Internationale de NegoceScratch 2 000</v>
          </cell>
          <cell r="O3115" t="str">
            <v>Compagnie Internationale de Negoce</v>
          </cell>
          <cell r="P3115" t="str">
            <v>Scratch 2 000</v>
          </cell>
          <cell r="Q3115" t="str">
            <v>102007</v>
          </cell>
          <cell r="R3115" t="str">
            <v>102007Scratch 2 000</v>
          </cell>
          <cell r="S3115" t="str">
            <v>2007Scratch 2 000</v>
          </cell>
          <cell r="T3115" t="str">
            <v>102007Compagnie Internationale de Negoce</v>
          </cell>
          <cell r="U3115" t="str">
            <v>102007Compagnie Internationale de NegoceScratch 2 000</v>
          </cell>
          <cell r="V3115" t="str">
            <v>39363Scratch 2 000</v>
          </cell>
          <cell r="W3115" t="str">
            <v>2007Compagnie Internationale de Negoce</v>
          </cell>
          <cell r="X3115" t="str">
            <v>2007Compagnie Internationale de NegoceScratch 2 000</v>
          </cell>
        </row>
        <row r="3116">
          <cell r="I3116">
            <v>2007</v>
          </cell>
          <cell r="J3116" t="str">
            <v>Compagnie Internationale de NegoceScratch 1 000</v>
          </cell>
          <cell r="L3116">
            <v>0</v>
          </cell>
          <cell r="M3116" t="str">
            <v>Compagnie Internationale de Negoce</v>
          </cell>
          <cell r="N3116" t="str">
            <v>Compagnie Internationale de NegoceScratch 1 000</v>
          </cell>
          <cell r="O3116" t="str">
            <v>Compagnie Internationale de Negoce</v>
          </cell>
          <cell r="P3116" t="str">
            <v>Scratch 1 000</v>
          </cell>
          <cell r="Q3116" t="str">
            <v>102007</v>
          </cell>
          <cell r="R3116" t="str">
            <v>102007Scratch 1 000</v>
          </cell>
          <cell r="S3116" t="str">
            <v>2007Scratch 1 000</v>
          </cell>
          <cell r="T3116" t="str">
            <v>102007Compagnie Internationale de Negoce</v>
          </cell>
          <cell r="U3116" t="str">
            <v>102007Compagnie Internationale de NegoceScratch 1 000</v>
          </cell>
          <cell r="V3116" t="str">
            <v>39363Scratch 1 000</v>
          </cell>
          <cell r="W3116" t="str">
            <v>2007Compagnie Internationale de Negoce</v>
          </cell>
          <cell r="X3116" t="str">
            <v>2007Compagnie Internationale de NegoceScratch 1 000</v>
          </cell>
        </row>
        <row r="3117">
          <cell r="I3117">
            <v>2007</v>
          </cell>
          <cell r="J3117" t="str">
            <v>Burtel MacsymScratch 5 000</v>
          </cell>
          <cell r="L3117">
            <v>1</v>
          </cell>
          <cell r="M3117" t="str">
            <v>1Burtel Macsym</v>
          </cell>
          <cell r="N3117" t="str">
            <v>Burtel MacsymScratch 5 000</v>
          </cell>
          <cell r="O3117" t="str">
            <v>Burtel Macsym</v>
          </cell>
          <cell r="P3117" t="str">
            <v>Scratch 5 000</v>
          </cell>
          <cell r="Q3117" t="str">
            <v>102007</v>
          </cell>
          <cell r="R3117" t="str">
            <v>102007Scratch 5 000</v>
          </cell>
          <cell r="S3117" t="str">
            <v>2007Scratch 5 000</v>
          </cell>
          <cell r="T3117" t="str">
            <v>102007Burtel Macsym</v>
          </cell>
          <cell r="U3117" t="str">
            <v>102007Burtel MacsymScratch 5 000</v>
          </cell>
          <cell r="V3117" t="str">
            <v>39363Scratch 5 000</v>
          </cell>
          <cell r="W3117" t="str">
            <v>2007Burtel Macsym</v>
          </cell>
          <cell r="X3117" t="str">
            <v>2007Burtel MacsymScratch 5 000</v>
          </cell>
        </row>
        <row r="3118">
          <cell r="I3118">
            <v>2007</v>
          </cell>
          <cell r="J3118" t="str">
            <v>Burtel MacsymScratch 2 000</v>
          </cell>
          <cell r="L3118">
            <v>0</v>
          </cell>
          <cell r="M3118" t="str">
            <v>Burtel Macsym</v>
          </cell>
          <cell r="N3118" t="str">
            <v>Burtel MacsymScratch 2 000</v>
          </cell>
          <cell r="O3118" t="str">
            <v>Burtel Macsym</v>
          </cell>
          <cell r="P3118" t="str">
            <v>Scratch 2 000</v>
          </cell>
          <cell r="Q3118" t="str">
            <v>102007</v>
          </cell>
          <cell r="R3118" t="str">
            <v>102007Scratch 2 000</v>
          </cell>
          <cell r="S3118" t="str">
            <v>2007Scratch 2 000</v>
          </cell>
          <cell r="T3118" t="str">
            <v>102007Burtel Macsym</v>
          </cell>
          <cell r="U3118" t="str">
            <v>102007Burtel MacsymScratch 2 000</v>
          </cell>
          <cell r="V3118" t="str">
            <v>39363Scratch 2 000</v>
          </cell>
          <cell r="W3118" t="str">
            <v>2007Burtel Macsym</v>
          </cell>
          <cell r="X3118" t="str">
            <v>2007Burtel MacsymScratch 2 000</v>
          </cell>
        </row>
        <row r="3119">
          <cell r="I3119">
            <v>2007</v>
          </cell>
          <cell r="J3119" t="str">
            <v>Burtel MacsymScratch 1 000</v>
          </cell>
          <cell r="L3119">
            <v>0</v>
          </cell>
          <cell r="M3119" t="str">
            <v>Burtel Macsym</v>
          </cell>
          <cell r="N3119" t="str">
            <v>Burtel MacsymScratch 1 000</v>
          </cell>
          <cell r="O3119" t="str">
            <v>Burtel Macsym</v>
          </cell>
          <cell r="P3119" t="str">
            <v>Scratch 1 000</v>
          </cell>
          <cell r="Q3119" t="str">
            <v>102007</v>
          </cell>
          <cell r="R3119" t="str">
            <v>102007Scratch 1 000</v>
          </cell>
          <cell r="S3119" t="str">
            <v>2007Scratch 1 000</v>
          </cell>
          <cell r="T3119" t="str">
            <v>102007Burtel Macsym</v>
          </cell>
          <cell r="U3119" t="str">
            <v>102007Burtel MacsymScratch 1 000</v>
          </cell>
          <cell r="V3119" t="str">
            <v>39363Scratch 1 000</v>
          </cell>
          <cell r="W3119" t="str">
            <v>2007Burtel Macsym</v>
          </cell>
          <cell r="X3119" t="str">
            <v>2007Burtel MacsymScratch 1 000</v>
          </cell>
        </row>
        <row r="3120">
          <cell r="I3120">
            <v>2007</v>
          </cell>
          <cell r="J3120" t="str">
            <v>Bonneterie Nouvelle TelecomScratch 5 000</v>
          </cell>
          <cell r="L3120">
            <v>1</v>
          </cell>
          <cell r="M3120" t="str">
            <v>1Bonneterie Nouvelle Telecom</v>
          </cell>
          <cell r="N3120" t="str">
            <v>Bonneterie Nouvelle TelecomScratch 5 000</v>
          </cell>
          <cell r="O3120" t="str">
            <v>Bonneterie Nouvelle Telecom</v>
          </cell>
          <cell r="P3120" t="str">
            <v>Scratch 5 000</v>
          </cell>
          <cell r="Q3120" t="str">
            <v>102007</v>
          </cell>
          <cell r="R3120" t="str">
            <v>102007Scratch 5 000</v>
          </cell>
          <cell r="S3120" t="str">
            <v>2007Scratch 5 000</v>
          </cell>
          <cell r="T3120" t="str">
            <v>102007Bonneterie Nouvelle Telecom</v>
          </cell>
          <cell r="U3120" t="str">
            <v>102007Bonneterie Nouvelle TelecomScratch 5 000</v>
          </cell>
          <cell r="V3120" t="str">
            <v>39363Scratch 5 000</v>
          </cell>
          <cell r="W3120" t="str">
            <v>2007Bonneterie Nouvelle Telecom</v>
          </cell>
          <cell r="X3120" t="str">
            <v>2007Bonneterie Nouvelle TelecomScratch 5 000</v>
          </cell>
        </row>
        <row r="3121">
          <cell r="I3121">
            <v>2007</v>
          </cell>
          <cell r="J3121" t="str">
            <v>Bonneterie Nouvelle TelecomScratch 2 000</v>
          </cell>
          <cell r="L3121">
            <v>0</v>
          </cell>
          <cell r="M3121" t="str">
            <v>Bonneterie Nouvelle Telecom</v>
          </cell>
          <cell r="N3121" t="str">
            <v>Bonneterie Nouvelle TelecomScratch 2 000</v>
          </cell>
          <cell r="O3121" t="str">
            <v>Bonneterie Nouvelle Telecom</v>
          </cell>
          <cell r="P3121" t="str">
            <v>Scratch 2 000</v>
          </cell>
          <cell r="Q3121" t="str">
            <v>102007</v>
          </cell>
          <cell r="R3121" t="str">
            <v>102007Scratch 2 000</v>
          </cell>
          <cell r="S3121" t="str">
            <v>2007Scratch 2 000</v>
          </cell>
          <cell r="T3121" t="str">
            <v>102007Bonneterie Nouvelle Telecom</v>
          </cell>
          <cell r="U3121" t="str">
            <v>102007Bonneterie Nouvelle TelecomScratch 2 000</v>
          </cell>
          <cell r="V3121" t="str">
            <v>39363Scratch 2 000</v>
          </cell>
          <cell r="W3121" t="str">
            <v>2007Bonneterie Nouvelle Telecom</v>
          </cell>
          <cell r="X3121" t="str">
            <v>2007Bonneterie Nouvelle TelecomScratch 2 000</v>
          </cell>
        </row>
        <row r="3122">
          <cell r="I3122">
            <v>2007</v>
          </cell>
          <cell r="J3122" t="str">
            <v>Bonneterie Nouvelle TelecomScratch 1 000</v>
          </cell>
          <cell r="L3122">
            <v>0</v>
          </cell>
          <cell r="M3122" t="str">
            <v>Bonneterie Nouvelle Telecom</v>
          </cell>
          <cell r="N3122" t="str">
            <v>Bonneterie Nouvelle TelecomScratch 1 000</v>
          </cell>
          <cell r="O3122" t="str">
            <v>Bonneterie Nouvelle Telecom</v>
          </cell>
          <cell r="P3122" t="str">
            <v>Scratch 1 000</v>
          </cell>
          <cell r="Q3122" t="str">
            <v>102007</v>
          </cell>
          <cell r="R3122" t="str">
            <v>102007Scratch 1 000</v>
          </cell>
          <cell r="S3122" t="str">
            <v>2007Scratch 1 000</v>
          </cell>
          <cell r="T3122" t="str">
            <v>102007Bonneterie Nouvelle Telecom</v>
          </cell>
          <cell r="U3122" t="str">
            <v>102007Bonneterie Nouvelle TelecomScratch 1 000</v>
          </cell>
          <cell r="V3122" t="str">
            <v>39363Scratch 1 000</v>
          </cell>
          <cell r="W3122" t="str">
            <v>2007Bonneterie Nouvelle Telecom</v>
          </cell>
          <cell r="X3122" t="str">
            <v>2007Bonneterie Nouvelle TelecomScratch 1 000</v>
          </cell>
        </row>
        <row r="3123">
          <cell r="I3123">
            <v>2007</v>
          </cell>
          <cell r="J3123" t="str">
            <v>CellNets MaliMinutes</v>
          </cell>
          <cell r="L3123">
            <v>1</v>
          </cell>
          <cell r="M3123" t="str">
            <v>1CellNets Mali</v>
          </cell>
          <cell r="N3123" t="str">
            <v>CellNets MaliMinutes</v>
          </cell>
          <cell r="O3123" t="str">
            <v>CellNets Mali</v>
          </cell>
          <cell r="P3123" t="str">
            <v>Minutes</v>
          </cell>
          <cell r="Q3123" t="str">
            <v>102007</v>
          </cell>
          <cell r="R3123" t="str">
            <v>102007Minutes</v>
          </cell>
          <cell r="S3123" t="str">
            <v>2007Minutes</v>
          </cell>
          <cell r="T3123" t="str">
            <v>102007CellNets Mali</v>
          </cell>
          <cell r="U3123" t="str">
            <v>102007CellNets MaliMinutes</v>
          </cell>
          <cell r="V3123" t="str">
            <v>39363Minutes</v>
          </cell>
          <cell r="W3123" t="str">
            <v>2007CellNets Mali</v>
          </cell>
          <cell r="X3123" t="str">
            <v>2007CellNets MaliMinutes</v>
          </cell>
        </row>
        <row r="3124">
          <cell r="I3124">
            <v>2007</v>
          </cell>
          <cell r="J3124" t="str">
            <v>SOMAKOFFScratch 20 000</v>
          </cell>
          <cell r="L3124">
            <v>1</v>
          </cell>
          <cell r="M3124" t="str">
            <v>1SOMAKOFF</v>
          </cell>
          <cell r="N3124" t="str">
            <v>SOMAKOFFScratch 20 000</v>
          </cell>
          <cell r="O3124" t="str">
            <v>SOMAKOFF</v>
          </cell>
          <cell r="P3124" t="str">
            <v>Scratch 20 000</v>
          </cell>
          <cell r="Q3124" t="str">
            <v>102007</v>
          </cell>
          <cell r="R3124" t="str">
            <v>102007Scratch 20 000</v>
          </cell>
          <cell r="S3124" t="str">
            <v>2007Scratch 20 000</v>
          </cell>
          <cell r="T3124" t="str">
            <v>102007SOMAKOFF</v>
          </cell>
          <cell r="U3124" t="str">
            <v>102007SOMAKOFFScratch 20 000</v>
          </cell>
          <cell r="V3124" t="str">
            <v>39364Scratch 20 000</v>
          </cell>
          <cell r="W3124" t="str">
            <v>2007SOMAKOFF</v>
          </cell>
          <cell r="X3124" t="str">
            <v>2007SOMAKOFFScratch 20 000</v>
          </cell>
        </row>
        <row r="3125">
          <cell r="I3125">
            <v>2007</v>
          </cell>
          <cell r="J3125" t="str">
            <v>SOMAKOFFScratch 10 000</v>
          </cell>
          <cell r="L3125">
            <v>0</v>
          </cell>
          <cell r="M3125" t="str">
            <v>SOMAKOFF</v>
          </cell>
          <cell r="N3125" t="str">
            <v>SOMAKOFFScratch 10 000</v>
          </cell>
          <cell r="O3125" t="str">
            <v>SOMAKOFF</v>
          </cell>
          <cell r="P3125" t="str">
            <v>Scratch 10 000</v>
          </cell>
          <cell r="Q3125" t="str">
            <v>102007</v>
          </cell>
          <cell r="R3125" t="str">
            <v>102007Scratch 10 000</v>
          </cell>
          <cell r="S3125" t="str">
            <v>2007Scratch 10 000</v>
          </cell>
          <cell r="T3125" t="str">
            <v>102007SOMAKOFF</v>
          </cell>
          <cell r="U3125" t="str">
            <v>102007SOMAKOFFScratch 10 000</v>
          </cell>
          <cell r="V3125" t="str">
            <v>39364Scratch 10 000</v>
          </cell>
          <cell r="W3125" t="str">
            <v>2007SOMAKOFF</v>
          </cell>
          <cell r="X3125" t="str">
            <v>2007SOMAKOFFScratch 10 000</v>
          </cell>
        </row>
        <row r="3126">
          <cell r="I3126">
            <v>2007</v>
          </cell>
          <cell r="J3126" t="str">
            <v>SOMAKOFFScratch 1 000</v>
          </cell>
          <cell r="L3126">
            <v>0</v>
          </cell>
          <cell r="M3126" t="str">
            <v>SOMAKOFF</v>
          </cell>
          <cell r="N3126" t="str">
            <v>SOMAKOFFScratch 1 000</v>
          </cell>
          <cell r="O3126" t="str">
            <v>SOMAKOFF</v>
          </cell>
          <cell r="P3126" t="str">
            <v>Scratch 1 000</v>
          </cell>
          <cell r="Q3126" t="str">
            <v>102007</v>
          </cell>
          <cell r="R3126" t="str">
            <v>102007Scratch 1 000</v>
          </cell>
          <cell r="S3126" t="str">
            <v>2007Scratch 1 000</v>
          </cell>
          <cell r="T3126" t="str">
            <v>102007SOMAKOFF</v>
          </cell>
          <cell r="U3126" t="str">
            <v>102007SOMAKOFFScratch 1 000</v>
          </cell>
          <cell r="V3126" t="str">
            <v>39364Scratch 1 000</v>
          </cell>
          <cell r="W3126" t="str">
            <v>2007SOMAKOFF</v>
          </cell>
          <cell r="X3126" t="str">
            <v>2007SOMAKOFFScratch 1 000</v>
          </cell>
        </row>
        <row r="3127">
          <cell r="I3127">
            <v>2007</v>
          </cell>
          <cell r="J3127" t="str">
            <v>ANKA SERVICESScratch 20 000</v>
          </cell>
          <cell r="L3127">
            <v>1</v>
          </cell>
          <cell r="M3127" t="str">
            <v>1ANKA SERVICES</v>
          </cell>
          <cell r="N3127" t="str">
            <v>ANKA SERVICESScratch 20 000</v>
          </cell>
          <cell r="O3127" t="str">
            <v>ANKA SERVICES</v>
          </cell>
          <cell r="P3127" t="str">
            <v>Scratch 20 000</v>
          </cell>
          <cell r="Q3127" t="str">
            <v>102007</v>
          </cell>
          <cell r="R3127" t="str">
            <v>102007Scratch 20 000</v>
          </cell>
          <cell r="S3127" t="str">
            <v>2007Scratch 20 000</v>
          </cell>
          <cell r="T3127" t="str">
            <v>102007ANKA SERVICES</v>
          </cell>
          <cell r="U3127" t="str">
            <v>102007ANKA SERVICESScratch 20 000</v>
          </cell>
          <cell r="V3127" t="str">
            <v>39364Scratch 20 000</v>
          </cell>
          <cell r="W3127" t="str">
            <v>2007ANKA SERVICES</v>
          </cell>
          <cell r="X3127" t="str">
            <v>2007ANKA SERVICESScratch 20 000</v>
          </cell>
        </row>
        <row r="3128">
          <cell r="I3128">
            <v>2007</v>
          </cell>
          <cell r="J3128" t="str">
            <v>ANKA SERVICESScratch 10 000</v>
          </cell>
          <cell r="L3128">
            <v>0</v>
          </cell>
          <cell r="M3128" t="str">
            <v>ANKA SERVICES</v>
          </cell>
          <cell r="N3128" t="str">
            <v>ANKA SERVICESScratch 10 000</v>
          </cell>
          <cell r="O3128" t="str">
            <v>ANKA SERVICES</v>
          </cell>
          <cell r="P3128" t="str">
            <v>Scratch 10 000</v>
          </cell>
          <cell r="Q3128" t="str">
            <v>102007</v>
          </cell>
          <cell r="R3128" t="str">
            <v>102007Scratch 10 000</v>
          </cell>
          <cell r="S3128" t="str">
            <v>2007Scratch 10 000</v>
          </cell>
          <cell r="T3128" t="str">
            <v>102007ANKA SERVICES</v>
          </cell>
          <cell r="U3128" t="str">
            <v>102007ANKA SERVICESScratch 10 000</v>
          </cell>
          <cell r="V3128" t="str">
            <v>39364Scratch 10 000</v>
          </cell>
          <cell r="W3128" t="str">
            <v>2007ANKA SERVICES</v>
          </cell>
          <cell r="X3128" t="str">
            <v>2007ANKA SERVICESScratch 10 000</v>
          </cell>
        </row>
        <row r="3129">
          <cell r="I3129">
            <v>2007</v>
          </cell>
          <cell r="J3129" t="str">
            <v>ANKA SERVICESScratch 5 000</v>
          </cell>
          <cell r="L3129">
            <v>0</v>
          </cell>
          <cell r="M3129" t="str">
            <v>ANKA SERVICES</v>
          </cell>
          <cell r="N3129" t="str">
            <v>ANKA SERVICESScratch 5 000</v>
          </cell>
          <cell r="O3129" t="str">
            <v>ANKA SERVICES</v>
          </cell>
          <cell r="P3129" t="str">
            <v>Scratch 5 000</v>
          </cell>
          <cell r="Q3129" t="str">
            <v>102007</v>
          </cell>
          <cell r="R3129" t="str">
            <v>102007Scratch 5 000</v>
          </cell>
          <cell r="S3129" t="str">
            <v>2007Scratch 5 000</v>
          </cell>
          <cell r="T3129" t="str">
            <v>102007ANKA SERVICES</v>
          </cell>
          <cell r="U3129" t="str">
            <v>102007ANKA SERVICESScratch 5 000</v>
          </cell>
          <cell r="V3129" t="str">
            <v>39364Scratch 5 000</v>
          </cell>
          <cell r="W3129" t="str">
            <v>2007ANKA SERVICES</v>
          </cell>
          <cell r="X3129" t="str">
            <v>2007ANKA SERVICESScratch 5 000</v>
          </cell>
        </row>
        <row r="3130">
          <cell r="I3130">
            <v>2007</v>
          </cell>
          <cell r="J3130" t="str">
            <v>ANKA SERVICESScratch 2 000</v>
          </cell>
          <cell r="L3130">
            <v>0</v>
          </cell>
          <cell r="M3130" t="str">
            <v>ANKA SERVICES</v>
          </cell>
          <cell r="N3130" t="str">
            <v>ANKA SERVICESScratch 2 000</v>
          </cell>
          <cell r="O3130" t="str">
            <v>ANKA SERVICES</v>
          </cell>
          <cell r="P3130" t="str">
            <v>Scratch 2 000</v>
          </cell>
          <cell r="Q3130" t="str">
            <v>102007</v>
          </cell>
          <cell r="R3130" t="str">
            <v>102007Scratch 2 000</v>
          </cell>
          <cell r="S3130" t="str">
            <v>2007Scratch 2 000</v>
          </cell>
          <cell r="T3130" t="str">
            <v>102007ANKA SERVICES</v>
          </cell>
          <cell r="U3130" t="str">
            <v>102007ANKA SERVICESScratch 2 000</v>
          </cell>
          <cell r="V3130" t="str">
            <v>39364Scratch 2 000</v>
          </cell>
          <cell r="W3130" t="str">
            <v>2007ANKA SERVICES</v>
          </cell>
          <cell r="X3130" t="str">
            <v>2007ANKA SERVICESScratch 2 000</v>
          </cell>
        </row>
        <row r="3131">
          <cell r="I3131">
            <v>2007</v>
          </cell>
          <cell r="J3131" t="str">
            <v>ANKA SERVICESScratch 1 000</v>
          </cell>
          <cell r="L3131">
            <v>0</v>
          </cell>
          <cell r="M3131" t="str">
            <v>ANKA SERVICES</v>
          </cell>
          <cell r="N3131" t="str">
            <v>ANKA SERVICESScratch 1 000</v>
          </cell>
          <cell r="O3131" t="str">
            <v>ANKA SERVICES</v>
          </cell>
          <cell r="P3131" t="str">
            <v>Scratch 1 000</v>
          </cell>
          <cell r="Q3131" t="str">
            <v>102007</v>
          </cell>
          <cell r="R3131" t="str">
            <v>102007Scratch 1 000</v>
          </cell>
          <cell r="S3131" t="str">
            <v>2007Scratch 1 000</v>
          </cell>
          <cell r="T3131" t="str">
            <v>102007ANKA SERVICES</v>
          </cell>
          <cell r="U3131" t="str">
            <v>102007ANKA SERVICESScratch 1 000</v>
          </cell>
          <cell r="V3131" t="str">
            <v>39364Scratch 1 000</v>
          </cell>
          <cell r="W3131" t="str">
            <v>2007ANKA SERVICES</v>
          </cell>
          <cell r="X3131" t="str">
            <v>2007ANKA SERVICESScratch 1 000</v>
          </cell>
        </row>
        <row r="3132">
          <cell r="I3132">
            <v>2007</v>
          </cell>
          <cell r="J3132" t="str">
            <v>GEMATELScratch 5 000</v>
          </cell>
          <cell r="L3132">
            <v>1</v>
          </cell>
          <cell r="M3132" t="str">
            <v>1GEMATEL</v>
          </cell>
          <cell r="N3132" t="str">
            <v>GEMATELScratch 5 000</v>
          </cell>
          <cell r="O3132" t="str">
            <v>GEMATEL</v>
          </cell>
          <cell r="P3132" t="str">
            <v>Scratch 5 000</v>
          </cell>
          <cell r="Q3132" t="str">
            <v>102007</v>
          </cell>
          <cell r="R3132" t="str">
            <v>102007Scratch 5 000</v>
          </cell>
          <cell r="S3132" t="str">
            <v>2007Scratch 5 000</v>
          </cell>
          <cell r="T3132" t="str">
            <v>102007GEMATEL</v>
          </cell>
          <cell r="U3132" t="str">
            <v>102007GEMATELScratch 5 000</v>
          </cell>
          <cell r="V3132" t="str">
            <v>39364Scratch 5 000</v>
          </cell>
          <cell r="W3132" t="str">
            <v>2007GEMATEL</v>
          </cell>
          <cell r="X3132" t="str">
            <v>2007GEMATELScratch 5 000</v>
          </cell>
        </row>
        <row r="3133">
          <cell r="I3133">
            <v>2007</v>
          </cell>
          <cell r="J3133" t="str">
            <v>GEMATELScratch 2 000</v>
          </cell>
          <cell r="L3133">
            <v>0</v>
          </cell>
          <cell r="M3133" t="str">
            <v>GEMATEL</v>
          </cell>
          <cell r="N3133" t="str">
            <v>GEMATELScratch 2 000</v>
          </cell>
          <cell r="O3133" t="str">
            <v>GEMATEL</v>
          </cell>
          <cell r="P3133" t="str">
            <v>Scratch 2 000</v>
          </cell>
          <cell r="Q3133" t="str">
            <v>102007</v>
          </cell>
          <cell r="R3133" t="str">
            <v>102007Scratch 2 000</v>
          </cell>
          <cell r="S3133" t="str">
            <v>2007Scratch 2 000</v>
          </cell>
          <cell r="T3133" t="str">
            <v>102007GEMATEL</v>
          </cell>
          <cell r="U3133" t="str">
            <v>102007GEMATELScratch 2 000</v>
          </cell>
          <cell r="V3133" t="str">
            <v>39364Scratch 2 000</v>
          </cell>
          <cell r="W3133" t="str">
            <v>2007GEMATEL</v>
          </cell>
          <cell r="X3133" t="str">
            <v>2007GEMATELScratch 2 000</v>
          </cell>
        </row>
        <row r="3134">
          <cell r="I3134">
            <v>2007</v>
          </cell>
          <cell r="J3134" t="str">
            <v>GEMATELScratch 1 000</v>
          </cell>
          <cell r="L3134">
            <v>0</v>
          </cell>
          <cell r="M3134" t="str">
            <v>GEMATEL</v>
          </cell>
          <cell r="N3134" t="str">
            <v>GEMATELScratch 1 000</v>
          </cell>
          <cell r="O3134" t="str">
            <v>GEMATEL</v>
          </cell>
          <cell r="P3134" t="str">
            <v>Scratch 1 000</v>
          </cell>
          <cell r="Q3134" t="str">
            <v>102007</v>
          </cell>
          <cell r="R3134" t="str">
            <v>102007Scratch 1 000</v>
          </cell>
          <cell r="S3134" t="str">
            <v>2007Scratch 1 000</v>
          </cell>
          <cell r="T3134" t="str">
            <v>102007GEMATEL</v>
          </cell>
          <cell r="U3134" t="str">
            <v>102007GEMATELScratch 1 000</v>
          </cell>
          <cell r="V3134" t="str">
            <v>39364Scratch 1 000</v>
          </cell>
          <cell r="W3134" t="str">
            <v>2007GEMATEL</v>
          </cell>
          <cell r="X3134" t="str">
            <v>2007GEMATELScratch 1 000</v>
          </cell>
        </row>
        <row r="3135">
          <cell r="I3135">
            <v>2007</v>
          </cell>
          <cell r="J3135" t="str">
            <v>Burtel MacsymScratch 20 000</v>
          </cell>
          <cell r="L3135">
            <v>1</v>
          </cell>
          <cell r="M3135" t="str">
            <v>1Burtel Macsym</v>
          </cell>
          <cell r="N3135" t="str">
            <v>Burtel MacsymScratch 20 000</v>
          </cell>
          <cell r="O3135" t="str">
            <v>Burtel Macsym</v>
          </cell>
          <cell r="P3135" t="str">
            <v>Scratch 20 000</v>
          </cell>
          <cell r="Q3135" t="str">
            <v>102007</v>
          </cell>
          <cell r="R3135" t="str">
            <v>102007Scratch 20 000</v>
          </cell>
          <cell r="S3135" t="str">
            <v>2007Scratch 20 000</v>
          </cell>
          <cell r="T3135" t="str">
            <v>102007Burtel Macsym</v>
          </cell>
          <cell r="U3135" t="str">
            <v>102007Burtel MacsymScratch 20 000</v>
          </cell>
          <cell r="V3135" t="str">
            <v>39364Scratch 20 000</v>
          </cell>
          <cell r="W3135" t="str">
            <v>2007Burtel Macsym</v>
          </cell>
          <cell r="X3135" t="str">
            <v>2007Burtel MacsymScratch 20 000</v>
          </cell>
        </row>
        <row r="3136">
          <cell r="I3136">
            <v>2007</v>
          </cell>
          <cell r="J3136" t="str">
            <v>Burtel MacsymScratch 5 000</v>
          </cell>
          <cell r="L3136">
            <v>0</v>
          </cell>
          <cell r="M3136" t="str">
            <v>Burtel Macsym</v>
          </cell>
          <cell r="N3136" t="str">
            <v>Burtel MacsymScratch 5 000</v>
          </cell>
          <cell r="O3136" t="str">
            <v>Burtel Macsym</v>
          </cell>
          <cell r="P3136" t="str">
            <v>Scratch 5 000</v>
          </cell>
          <cell r="Q3136" t="str">
            <v>102007</v>
          </cell>
          <cell r="R3136" t="str">
            <v>102007Scratch 5 000</v>
          </cell>
          <cell r="S3136" t="str">
            <v>2007Scratch 5 000</v>
          </cell>
          <cell r="T3136" t="str">
            <v>102007Burtel Macsym</v>
          </cell>
          <cell r="U3136" t="str">
            <v>102007Burtel MacsymScratch 5 000</v>
          </cell>
          <cell r="V3136" t="str">
            <v>39364Scratch 5 000</v>
          </cell>
          <cell r="W3136" t="str">
            <v>2007Burtel Macsym</v>
          </cell>
          <cell r="X3136" t="str">
            <v>2007Burtel MacsymScratch 5 000</v>
          </cell>
        </row>
        <row r="3137">
          <cell r="I3137">
            <v>2007</v>
          </cell>
          <cell r="J3137" t="str">
            <v>Burtel MacsymScratch 2 000</v>
          </cell>
          <cell r="L3137">
            <v>0</v>
          </cell>
          <cell r="M3137" t="str">
            <v>Burtel Macsym</v>
          </cell>
          <cell r="N3137" t="str">
            <v>Burtel MacsymScratch 2 000</v>
          </cell>
          <cell r="O3137" t="str">
            <v>Burtel Macsym</v>
          </cell>
          <cell r="P3137" t="str">
            <v>Scratch 2 000</v>
          </cell>
          <cell r="Q3137" t="str">
            <v>102007</v>
          </cell>
          <cell r="R3137" t="str">
            <v>102007Scratch 2 000</v>
          </cell>
          <cell r="S3137" t="str">
            <v>2007Scratch 2 000</v>
          </cell>
          <cell r="T3137" t="str">
            <v>102007Burtel Macsym</v>
          </cell>
          <cell r="U3137" t="str">
            <v>102007Burtel MacsymScratch 2 000</v>
          </cell>
          <cell r="V3137" t="str">
            <v>39364Scratch 2 000</v>
          </cell>
          <cell r="W3137" t="str">
            <v>2007Burtel Macsym</v>
          </cell>
          <cell r="X3137" t="str">
            <v>2007Burtel MacsymScratch 2 000</v>
          </cell>
        </row>
        <row r="3138">
          <cell r="I3138">
            <v>2007</v>
          </cell>
          <cell r="J3138" t="str">
            <v>Burtel MacsymScratch 1 000</v>
          </cell>
          <cell r="L3138">
            <v>0</v>
          </cell>
          <cell r="M3138" t="str">
            <v>Burtel Macsym</v>
          </cell>
          <cell r="N3138" t="str">
            <v>Burtel MacsymScratch 1 000</v>
          </cell>
          <cell r="O3138" t="str">
            <v>Burtel Macsym</v>
          </cell>
          <cell r="P3138" t="str">
            <v>Scratch 1 000</v>
          </cell>
          <cell r="Q3138" t="str">
            <v>102007</v>
          </cell>
          <cell r="R3138" t="str">
            <v>102007Scratch 1 000</v>
          </cell>
          <cell r="S3138" t="str">
            <v>2007Scratch 1 000</v>
          </cell>
          <cell r="T3138" t="str">
            <v>102007Burtel Macsym</v>
          </cell>
          <cell r="U3138" t="str">
            <v>102007Burtel MacsymScratch 1 000</v>
          </cell>
          <cell r="V3138" t="str">
            <v>39364Scratch 1 000</v>
          </cell>
          <cell r="W3138" t="str">
            <v>2007Burtel Macsym</v>
          </cell>
          <cell r="X3138" t="str">
            <v>2007Burtel MacsymScratch 1 000</v>
          </cell>
        </row>
        <row r="3139">
          <cell r="I3139">
            <v>2007</v>
          </cell>
          <cell r="J3139" t="str">
            <v>Grands ComptesVGFU (TTC)</v>
          </cell>
          <cell r="L3139">
            <v>1</v>
          </cell>
          <cell r="M3139" t="str">
            <v>1Grands Comptes</v>
          </cell>
          <cell r="N3139" t="str">
            <v>Grands ComptesVGFU (TTC)</v>
          </cell>
          <cell r="O3139" t="str">
            <v>Grands Comptes</v>
          </cell>
          <cell r="P3139" t="str">
            <v>VGFU (TTC)</v>
          </cell>
          <cell r="Q3139" t="str">
            <v>102007</v>
          </cell>
          <cell r="R3139" t="str">
            <v>102007VGFU (TTC)</v>
          </cell>
          <cell r="S3139" t="str">
            <v>2007VGFU (TTC)</v>
          </cell>
          <cell r="T3139" t="str">
            <v>102007Grands Comptes</v>
          </cell>
          <cell r="U3139" t="str">
            <v>102007Grands ComptesVGFU (TTC)</v>
          </cell>
          <cell r="V3139" t="str">
            <v>39359VGFU (TTC)</v>
          </cell>
          <cell r="W3139" t="str">
            <v>2007Grands Comptes</v>
          </cell>
          <cell r="X3139" t="str">
            <v>2007Grands ComptesVGFU (TTC)</v>
          </cell>
        </row>
        <row r="3140">
          <cell r="I3140">
            <v>2007</v>
          </cell>
          <cell r="J3140" t="str">
            <v>Grands ComptesVGFU (TTC)</v>
          </cell>
          <cell r="L3140">
            <v>1</v>
          </cell>
          <cell r="M3140" t="str">
            <v>1Grands Comptes</v>
          </cell>
          <cell r="N3140" t="str">
            <v>Grands ComptesVGFU (TTC)</v>
          </cell>
          <cell r="O3140" t="str">
            <v>Grands Comptes</v>
          </cell>
          <cell r="P3140" t="str">
            <v>VGFU (TTC)</v>
          </cell>
          <cell r="Q3140" t="str">
            <v>102007</v>
          </cell>
          <cell r="R3140" t="str">
            <v>102007VGFU (TTC)</v>
          </cell>
          <cell r="S3140" t="str">
            <v>2007VGFU (TTC)</v>
          </cell>
          <cell r="T3140" t="str">
            <v>102007Grands Comptes</v>
          </cell>
          <cell r="U3140" t="str">
            <v>102007Grands ComptesVGFU (TTC)</v>
          </cell>
          <cell r="V3140" t="str">
            <v>39359VGFU (TTC)</v>
          </cell>
          <cell r="W3140" t="str">
            <v>2007Grands Comptes</v>
          </cell>
          <cell r="X3140" t="str">
            <v>2007Grands ComptesVGFU (TTC)</v>
          </cell>
        </row>
        <row r="3141">
          <cell r="I3141">
            <v>2007</v>
          </cell>
          <cell r="J3141" t="str">
            <v>Grands ComptesVGFU (TTC)</v>
          </cell>
          <cell r="L3141">
            <v>1</v>
          </cell>
          <cell r="M3141" t="str">
            <v>1Grands Comptes</v>
          </cell>
          <cell r="N3141" t="str">
            <v>Grands ComptesVGFU (TTC)</v>
          </cell>
          <cell r="O3141" t="str">
            <v>Grands Comptes</v>
          </cell>
          <cell r="P3141" t="str">
            <v>VGFU (TTC)</v>
          </cell>
          <cell r="Q3141" t="str">
            <v>102007</v>
          </cell>
          <cell r="R3141" t="str">
            <v>102007VGFU (TTC)</v>
          </cell>
          <cell r="S3141" t="str">
            <v>2007VGFU (TTC)</v>
          </cell>
          <cell r="T3141" t="str">
            <v>102007Grands Comptes</v>
          </cell>
          <cell r="U3141" t="str">
            <v>102007Grands ComptesVGFU (TTC)</v>
          </cell>
          <cell r="V3141" t="str">
            <v>39359VGFU (TTC)</v>
          </cell>
          <cell r="W3141" t="str">
            <v>2007Grands Comptes</v>
          </cell>
          <cell r="X3141" t="str">
            <v>2007Grands ComptesVGFU (TTC)</v>
          </cell>
        </row>
        <row r="3142">
          <cell r="I3142">
            <v>2007</v>
          </cell>
          <cell r="J3142" t="str">
            <v>STS GAMBY &amp; FRERES (SOGAF) SarlScratch 5 000</v>
          </cell>
          <cell r="L3142">
            <v>1</v>
          </cell>
          <cell r="M3142" t="str">
            <v>1STS GAMBY &amp; FRERES (SOGAF) Sarl</v>
          </cell>
          <cell r="N3142" t="str">
            <v>STS GAMBY &amp; FRERES (SOGAF) SarlScratch 5 000</v>
          </cell>
          <cell r="O3142" t="str">
            <v>STS GAMBY &amp; FRERES (SOGAF) Sarl</v>
          </cell>
          <cell r="P3142" t="str">
            <v>Scratch 5 000</v>
          </cell>
          <cell r="Q3142" t="str">
            <v>102007</v>
          </cell>
          <cell r="R3142" t="str">
            <v>102007Scratch 5 000</v>
          </cell>
          <cell r="S3142" t="str">
            <v>2007Scratch 5 000</v>
          </cell>
          <cell r="T3142" t="str">
            <v>102007STS GAMBY &amp; FRERES (SOGAF) Sarl</v>
          </cell>
          <cell r="U3142" t="str">
            <v>102007STS GAMBY &amp; FRERES (SOGAF) SarlScratch 5 000</v>
          </cell>
          <cell r="V3142" t="str">
            <v>39365Scratch 5 000</v>
          </cell>
          <cell r="W3142" t="str">
            <v>2007STS GAMBY &amp; FRERES (SOGAF) Sarl</v>
          </cell>
          <cell r="X3142" t="str">
            <v>2007STS GAMBY &amp; FRERES (SOGAF) SarlScratch 5 000</v>
          </cell>
        </row>
        <row r="3143">
          <cell r="I3143">
            <v>2007</v>
          </cell>
          <cell r="J3143" t="str">
            <v>STS GAMBY &amp; FRERES (SOGAF) SarlScratch 2 000</v>
          </cell>
          <cell r="L3143">
            <v>0</v>
          </cell>
          <cell r="M3143" t="str">
            <v>STS GAMBY &amp; FRERES (SOGAF) Sarl</v>
          </cell>
          <cell r="N3143" t="str">
            <v>STS GAMBY &amp; FRERES (SOGAF) SarlScratch 2 000</v>
          </cell>
          <cell r="O3143" t="str">
            <v>STS GAMBY &amp; FRERES (SOGAF) Sarl</v>
          </cell>
          <cell r="P3143" t="str">
            <v>Scratch 2 000</v>
          </cell>
          <cell r="Q3143" t="str">
            <v>102007</v>
          </cell>
          <cell r="R3143" t="str">
            <v>102007Scratch 2 000</v>
          </cell>
          <cell r="S3143" t="str">
            <v>2007Scratch 2 000</v>
          </cell>
          <cell r="T3143" t="str">
            <v>102007STS GAMBY &amp; FRERES (SOGAF) Sarl</v>
          </cell>
          <cell r="U3143" t="str">
            <v>102007STS GAMBY &amp; FRERES (SOGAF) SarlScratch 2 000</v>
          </cell>
          <cell r="V3143" t="str">
            <v>39365Scratch 2 000</v>
          </cell>
          <cell r="W3143" t="str">
            <v>2007STS GAMBY &amp; FRERES (SOGAF) Sarl</v>
          </cell>
          <cell r="X3143" t="str">
            <v>2007STS GAMBY &amp; FRERES (SOGAF) SarlScratch 2 000</v>
          </cell>
        </row>
        <row r="3144">
          <cell r="I3144">
            <v>2007</v>
          </cell>
          <cell r="J3144" t="str">
            <v>STS GAMBY &amp; FRERES (SOGAF) SarlScratch 1 000</v>
          </cell>
          <cell r="L3144">
            <v>0</v>
          </cell>
          <cell r="M3144" t="str">
            <v>STS GAMBY &amp; FRERES (SOGAF) Sarl</v>
          </cell>
          <cell r="N3144" t="str">
            <v>STS GAMBY &amp; FRERES (SOGAF) SarlScratch 1 000</v>
          </cell>
          <cell r="O3144" t="str">
            <v>STS GAMBY &amp; FRERES (SOGAF) Sarl</v>
          </cell>
          <cell r="P3144" t="str">
            <v>Scratch 1 000</v>
          </cell>
          <cell r="Q3144" t="str">
            <v>102007</v>
          </cell>
          <cell r="R3144" t="str">
            <v>102007Scratch 1 000</v>
          </cell>
          <cell r="S3144" t="str">
            <v>2007Scratch 1 000</v>
          </cell>
          <cell r="T3144" t="str">
            <v>102007STS GAMBY &amp; FRERES (SOGAF) Sarl</v>
          </cell>
          <cell r="U3144" t="str">
            <v>102007STS GAMBY &amp; FRERES (SOGAF) SarlScratch 1 000</v>
          </cell>
          <cell r="V3144" t="str">
            <v>39365Scratch 1 000</v>
          </cell>
          <cell r="W3144" t="str">
            <v>2007STS GAMBY &amp; FRERES (SOGAF) Sarl</v>
          </cell>
          <cell r="X3144" t="str">
            <v>2007STS GAMBY &amp; FRERES (SOGAF) SarlScratch 1 000</v>
          </cell>
        </row>
        <row r="3145">
          <cell r="I3145">
            <v>2007</v>
          </cell>
          <cell r="J3145" t="str">
            <v>Ets Boubacar TANDIAScratch 20 000</v>
          </cell>
          <cell r="L3145">
            <v>1</v>
          </cell>
          <cell r="M3145" t="str">
            <v>1Ets Boubacar TANDIA</v>
          </cell>
          <cell r="N3145" t="str">
            <v>Ets Boubacar TANDIAScratch 20 000</v>
          </cell>
          <cell r="O3145" t="str">
            <v>Ets Boubacar TANDIA</v>
          </cell>
          <cell r="P3145" t="str">
            <v>Scratch 20 000</v>
          </cell>
          <cell r="Q3145" t="str">
            <v>102007</v>
          </cell>
          <cell r="R3145" t="str">
            <v>102007Scratch 20 000</v>
          </cell>
          <cell r="S3145" t="str">
            <v>2007Scratch 20 000</v>
          </cell>
          <cell r="T3145" t="str">
            <v>102007Ets Boubacar TANDIA</v>
          </cell>
          <cell r="U3145" t="str">
            <v>102007Ets Boubacar TANDIAScratch 20 000</v>
          </cell>
          <cell r="V3145" t="str">
            <v>39365Scratch 20 000</v>
          </cell>
          <cell r="W3145" t="str">
            <v>2007Ets Boubacar TANDIA</v>
          </cell>
          <cell r="X3145" t="str">
            <v>2007Ets Boubacar TANDIAScratch 20 000</v>
          </cell>
        </row>
        <row r="3146">
          <cell r="I3146">
            <v>2007</v>
          </cell>
          <cell r="J3146" t="str">
            <v>Ets Boubacar TANDIAScratch 10 000</v>
          </cell>
          <cell r="L3146">
            <v>0</v>
          </cell>
          <cell r="M3146" t="str">
            <v>Ets Boubacar TANDIA</v>
          </cell>
          <cell r="N3146" t="str">
            <v>Ets Boubacar TANDIAScratch 10 000</v>
          </cell>
          <cell r="O3146" t="str">
            <v>Ets Boubacar TANDIA</v>
          </cell>
          <cell r="P3146" t="str">
            <v>Scratch 10 000</v>
          </cell>
          <cell r="Q3146" t="str">
            <v>102007</v>
          </cell>
          <cell r="R3146" t="str">
            <v>102007Scratch 10 000</v>
          </cell>
          <cell r="S3146" t="str">
            <v>2007Scratch 10 000</v>
          </cell>
          <cell r="T3146" t="str">
            <v>102007Ets Boubacar TANDIA</v>
          </cell>
          <cell r="U3146" t="str">
            <v>102007Ets Boubacar TANDIAScratch 10 000</v>
          </cell>
          <cell r="V3146" t="str">
            <v>39365Scratch 10 000</v>
          </cell>
          <cell r="W3146" t="str">
            <v>2007Ets Boubacar TANDIA</v>
          </cell>
          <cell r="X3146" t="str">
            <v>2007Ets Boubacar TANDIAScratch 10 000</v>
          </cell>
        </row>
        <row r="3147">
          <cell r="I3147">
            <v>2007</v>
          </cell>
          <cell r="J3147" t="str">
            <v>Ets Boubacar TANDIAScratch 5 000</v>
          </cell>
          <cell r="L3147">
            <v>0</v>
          </cell>
          <cell r="M3147" t="str">
            <v>Ets Boubacar TANDIA</v>
          </cell>
          <cell r="N3147" t="str">
            <v>Ets Boubacar TANDIAScratch 5 000</v>
          </cell>
          <cell r="O3147" t="str">
            <v>Ets Boubacar TANDIA</v>
          </cell>
          <cell r="P3147" t="str">
            <v>Scratch 5 000</v>
          </cell>
          <cell r="Q3147" t="str">
            <v>102007</v>
          </cell>
          <cell r="R3147" t="str">
            <v>102007Scratch 5 000</v>
          </cell>
          <cell r="S3147" t="str">
            <v>2007Scratch 5 000</v>
          </cell>
          <cell r="T3147" t="str">
            <v>102007Ets Boubacar TANDIA</v>
          </cell>
          <cell r="U3147" t="str">
            <v>102007Ets Boubacar TANDIAScratch 5 000</v>
          </cell>
          <cell r="V3147" t="str">
            <v>39365Scratch 5 000</v>
          </cell>
          <cell r="W3147" t="str">
            <v>2007Ets Boubacar TANDIA</v>
          </cell>
          <cell r="X3147" t="str">
            <v>2007Ets Boubacar TANDIAScratch 5 000</v>
          </cell>
        </row>
        <row r="3148">
          <cell r="I3148">
            <v>2007</v>
          </cell>
          <cell r="J3148" t="str">
            <v>Ets Boubacar TANDIAScratch 2 000</v>
          </cell>
          <cell r="L3148">
            <v>0</v>
          </cell>
          <cell r="M3148" t="str">
            <v>Ets Boubacar TANDIA</v>
          </cell>
          <cell r="N3148" t="str">
            <v>Ets Boubacar TANDIAScratch 2 000</v>
          </cell>
          <cell r="O3148" t="str">
            <v>Ets Boubacar TANDIA</v>
          </cell>
          <cell r="P3148" t="str">
            <v>Scratch 2 000</v>
          </cell>
          <cell r="Q3148" t="str">
            <v>102007</v>
          </cell>
          <cell r="R3148" t="str">
            <v>102007Scratch 2 000</v>
          </cell>
          <cell r="S3148" t="str">
            <v>2007Scratch 2 000</v>
          </cell>
          <cell r="T3148" t="str">
            <v>102007Ets Boubacar TANDIA</v>
          </cell>
          <cell r="U3148" t="str">
            <v>102007Ets Boubacar TANDIAScratch 2 000</v>
          </cell>
          <cell r="V3148" t="str">
            <v>39365Scratch 2 000</v>
          </cell>
          <cell r="W3148" t="str">
            <v>2007Ets Boubacar TANDIA</v>
          </cell>
          <cell r="X3148" t="str">
            <v>2007Ets Boubacar TANDIAScratch 2 000</v>
          </cell>
        </row>
        <row r="3149">
          <cell r="I3149">
            <v>2007</v>
          </cell>
          <cell r="J3149" t="str">
            <v>Ets Boubacar TANDIAScratch 1 000</v>
          </cell>
          <cell r="L3149">
            <v>0</v>
          </cell>
          <cell r="M3149" t="str">
            <v>Ets Boubacar TANDIA</v>
          </cell>
          <cell r="N3149" t="str">
            <v>Ets Boubacar TANDIAScratch 1 000</v>
          </cell>
          <cell r="O3149" t="str">
            <v>Ets Boubacar TANDIA</v>
          </cell>
          <cell r="P3149" t="str">
            <v>Scratch 1 000</v>
          </cell>
          <cell r="Q3149" t="str">
            <v>102007</v>
          </cell>
          <cell r="R3149" t="str">
            <v>102007Scratch 1 000</v>
          </cell>
          <cell r="S3149" t="str">
            <v>2007Scratch 1 000</v>
          </cell>
          <cell r="T3149" t="str">
            <v>102007Ets Boubacar TANDIA</v>
          </cell>
          <cell r="U3149" t="str">
            <v>102007Ets Boubacar TANDIAScratch 1 000</v>
          </cell>
          <cell r="V3149" t="str">
            <v>39365Scratch 1 000</v>
          </cell>
          <cell r="W3149" t="str">
            <v>2007Ets Boubacar TANDIA</v>
          </cell>
          <cell r="X3149" t="str">
            <v>2007Ets Boubacar TANDIAScratch 1 000</v>
          </cell>
        </row>
        <row r="3150">
          <cell r="I3150">
            <v>2007</v>
          </cell>
          <cell r="J3150" t="str">
            <v>ANKA SERVICESScratch 20 000</v>
          </cell>
          <cell r="L3150">
            <v>1</v>
          </cell>
          <cell r="M3150" t="str">
            <v>1ANKA SERVICES</v>
          </cell>
          <cell r="N3150" t="str">
            <v>ANKA SERVICESScratch 20 000</v>
          </cell>
          <cell r="O3150" t="str">
            <v>ANKA SERVICES</v>
          </cell>
          <cell r="P3150" t="str">
            <v>Scratch 20 000</v>
          </cell>
          <cell r="Q3150" t="str">
            <v>102007</v>
          </cell>
          <cell r="R3150" t="str">
            <v>102007Scratch 20 000</v>
          </cell>
          <cell r="S3150" t="str">
            <v>2007Scratch 20 000</v>
          </cell>
          <cell r="T3150" t="str">
            <v>102007ANKA SERVICES</v>
          </cell>
          <cell r="U3150" t="str">
            <v>102007ANKA SERVICESScratch 20 000</v>
          </cell>
          <cell r="V3150" t="str">
            <v>39365Scratch 20 000</v>
          </cell>
          <cell r="W3150" t="str">
            <v>2007ANKA SERVICES</v>
          </cell>
          <cell r="X3150" t="str">
            <v>2007ANKA SERVICESScratch 20 000</v>
          </cell>
        </row>
        <row r="3151">
          <cell r="I3151">
            <v>2007</v>
          </cell>
          <cell r="J3151" t="str">
            <v>ANKA SERVICESScratch 10 000</v>
          </cell>
          <cell r="L3151">
            <v>0</v>
          </cell>
          <cell r="M3151" t="str">
            <v>ANKA SERVICES</v>
          </cell>
          <cell r="N3151" t="str">
            <v>ANKA SERVICESScratch 10 000</v>
          </cell>
          <cell r="O3151" t="str">
            <v>ANKA SERVICES</v>
          </cell>
          <cell r="P3151" t="str">
            <v>Scratch 10 000</v>
          </cell>
          <cell r="Q3151" t="str">
            <v>102007</v>
          </cell>
          <cell r="R3151" t="str">
            <v>102007Scratch 10 000</v>
          </cell>
          <cell r="S3151" t="str">
            <v>2007Scratch 10 000</v>
          </cell>
          <cell r="T3151" t="str">
            <v>102007ANKA SERVICES</v>
          </cell>
          <cell r="U3151" t="str">
            <v>102007ANKA SERVICESScratch 10 000</v>
          </cell>
          <cell r="V3151" t="str">
            <v>39365Scratch 10 000</v>
          </cell>
          <cell r="W3151" t="str">
            <v>2007ANKA SERVICES</v>
          </cell>
          <cell r="X3151" t="str">
            <v>2007ANKA SERVICESScratch 10 000</v>
          </cell>
        </row>
        <row r="3152">
          <cell r="I3152">
            <v>2007</v>
          </cell>
          <cell r="J3152" t="str">
            <v>ANKA SERVICESScratch 5 000</v>
          </cell>
          <cell r="L3152">
            <v>0</v>
          </cell>
          <cell r="M3152" t="str">
            <v>ANKA SERVICES</v>
          </cell>
          <cell r="N3152" t="str">
            <v>ANKA SERVICESScratch 5 000</v>
          </cell>
          <cell r="O3152" t="str">
            <v>ANKA SERVICES</v>
          </cell>
          <cell r="P3152" t="str">
            <v>Scratch 5 000</v>
          </cell>
          <cell r="Q3152" t="str">
            <v>102007</v>
          </cell>
          <cell r="R3152" t="str">
            <v>102007Scratch 5 000</v>
          </cell>
          <cell r="S3152" t="str">
            <v>2007Scratch 5 000</v>
          </cell>
          <cell r="T3152" t="str">
            <v>102007ANKA SERVICES</v>
          </cell>
          <cell r="U3152" t="str">
            <v>102007ANKA SERVICESScratch 5 000</v>
          </cell>
          <cell r="V3152" t="str">
            <v>39365Scratch 5 000</v>
          </cell>
          <cell r="W3152" t="str">
            <v>2007ANKA SERVICES</v>
          </cell>
          <cell r="X3152" t="str">
            <v>2007ANKA SERVICESScratch 5 000</v>
          </cell>
        </row>
        <row r="3153">
          <cell r="I3153">
            <v>2007</v>
          </cell>
          <cell r="J3153" t="str">
            <v>ANKA SERVICESScratch 2 000</v>
          </cell>
          <cell r="L3153">
            <v>0</v>
          </cell>
          <cell r="M3153" t="str">
            <v>ANKA SERVICES</v>
          </cell>
          <cell r="N3153" t="str">
            <v>ANKA SERVICESScratch 2 000</v>
          </cell>
          <cell r="O3153" t="str">
            <v>ANKA SERVICES</v>
          </cell>
          <cell r="P3153" t="str">
            <v>Scratch 2 000</v>
          </cell>
          <cell r="Q3153" t="str">
            <v>102007</v>
          </cell>
          <cell r="R3153" t="str">
            <v>102007Scratch 2 000</v>
          </cell>
          <cell r="S3153" t="str">
            <v>2007Scratch 2 000</v>
          </cell>
          <cell r="T3153" t="str">
            <v>102007ANKA SERVICES</v>
          </cell>
          <cell r="U3153" t="str">
            <v>102007ANKA SERVICESScratch 2 000</v>
          </cell>
          <cell r="V3153" t="str">
            <v>39365Scratch 2 000</v>
          </cell>
          <cell r="W3153" t="str">
            <v>2007ANKA SERVICES</v>
          </cell>
          <cell r="X3153" t="str">
            <v>2007ANKA SERVICESScratch 2 000</v>
          </cell>
        </row>
        <row r="3154">
          <cell r="I3154">
            <v>2007</v>
          </cell>
          <cell r="J3154" t="str">
            <v>ANKA SERVICESScratch 1 000</v>
          </cell>
          <cell r="L3154">
            <v>0</v>
          </cell>
          <cell r="M3154" t="str">
            <v>ANKA SERVICES</v>
          </cell>
          <cell r="N3154" t="str">
            <v>ANKA SERVICESScratch 1 000</v>
          </cell>
          <cell r="O3154" t="str">
            <v>ANKA SERVICES</v>
          </cell>
          <cell r="P3154" t="str">
            <v>Scratch 1 000</v>
          </cell>
          <cell r="Q3154" t="str">
            <v>102007</v>
          </cell>
          <cell r="R3154" t="str">
            <v>102007Scratch 1 000</v>
          </cell>
          <cell r="S3154" t="str">
            <v>2007Scratch 1 000</v>
          </cell>
          <cell r="T3154" t="str">
            <v>102007ANKA SERVICES</v>
          </cell>
          <cell r="U3154" t="str">
            <v>102007ANKA SERVICESScratch 1 000</v>
          </cell>
          <cell r="V3154" t="str">
            <v>39365Scratch 1 000</v>
          </cell>
          <cell r="W3154" t="str">
            <v>2007ANKA SERVICES</v>
          </cell>
          <cell r="X3154" t="str">
            <v>2007ANKA SERVICESScratch 1 000</v>
          </cell>
        </row>
        <row r="3155">
          <cell r="I3155">
            <v>2007</v>
          </cell>
          <cell r="J3155" t="str">
            <v>Burtel MacsymScratch 20 000</v>
          </cell>
          <cell r="L3155">
            <v>1</v>
          </cell>
          <cell r="M3155" t="str">
            <v>1Burtel Macsym</v>
          </cell>
          <cell r="N3155" t="str">
            <v>Burtel MacsymScratch 20 000</v>
          </cell>
          <cell r="O3155" t="str">
            <v>Burtel Macsym</v>
          </cell>
          <cell r="P3155" t="str">
            <v>Scratch 20 000</v>
          </cell>
          <cell r="Q3155" t="str">
            <v>102007</v>
          </cell>
          <cell r="R3155" t="str">
            <v>102007Scratch 20 000</v>
          </cell>
          <cell r="S3155" t="str">
            <v>2007Scratch 20 000</v>
          </cell>
          <cell r="T3155" t="str">
            <v>102007Burtel Macsym</v>
          </cell>
          <cell r="U3155" t="str">
            <v>102007Burtel MacsymScratch 20 000</v>
          </cell>
          <cell r="V3155" t="str">
            <v>39365Scratch 20 000</v>
          </cell>
          <cell r="W3155" t="str">
            <v>2007Burtel Macsym</v>
          </cell>
          <cell r="X3155" t="str">
            <v>2007Burtel MacsymScratch 20 000</v>
          </cell>
        </row>
        <row r="3156">
          <cell r="I3156">
            <v>2007</v>
          </cell>
          <cell r="J3156" t="str">
            <v>Burtel MacsymScratch 10 000</v>
          </cell>
          <cell r="L3156">
            <v>0</v>
          </cell>
          <cell r="M3156" t="str">
            <v>Burtel Macsym</v>
          </cell>
          <cell r="N3156" t="str">
            <v>Burtel MacsymScratch 10 000</v>
          </cell>
          <cell r="O3156" t="str">
            <v>Burtel Macsym</v>
          </cell>
          <cell r="P3156" t="str">
            <v>Scratch 10 000</v>
          </cell>
          <cell r="Q3156" t="str">
            <v>102007</v>
          </cell>
          <cell r="R3156" t="str">
            <v>102007Scratch 10 000</v>
          </cell>
          <cell r="S3156" t="str">
            <v>2007Scratch 10 000</v>
          </cell>
          <cell r="T3156" t="str">
            <v>102007Burtel Macsym</v>
          </cell>
          <cell r="U3156" t="str">
            <v>102007Burtel MacsymScratch 10 000</v>
          </cell>
          <cell r="V3156" t="str">
            <v>39365Scratch 10 000</v>
          </cell>
          <cell r="W3156" t="str">
            <v>2007Burtel Macsym</v>
          </cell>
          <cell r="X3156" t="str">
            <v>2007Burtel MacsymScratch 10 000</v>
          </cell>
        </row>
        <row r="3157">
          <cell r="I3157">
            <v>2007</v>
          </cell>
          <cell r="J3157" t="str">
            <v>Burtel MacsymScratch 5 000</v>
          </cell>
          <cell r="L3157">
            <v>0</v>
          </cell>
          <cell r="M3157" t="str">
            <v>Burtel Macsym</v>
          </cell>
          <cell r="N3157" t="str">
            <v>Burtel MacsymScratch 5 000</v>
          </cell>
          <cell r="O3157" t="str">
            <v>Burtel Macsym</v>
          </cell>
          <cell r="P3157" t="str">
            <v>Scratch 5 000</v>
          </cell>
          <cell r="Q3157" t="str">
            <v>102007</v>
          </cell>
          <cell r="R3157" t="str">
            <v>102007Scratch 5 000</v>
          </cell>
          <cell r="S3157" t="str">
            <v>2007Scratch 5 000</v>
          </cell>
          <cell r="T3157" t="str">
            <v>102007Burtel Macsym</v>
          </cell>
          <cell r="U3157" t="str">
            <v>102007Burtel MacsymScratch 5 000</v>
          </cell>
          <cell r="V3157" t="str">
            <v>39365Scratch 5 000</v>
          </cell>
          <cell r="W3157" t="str">
            <v>2007Burtel Macsym</v>
          </cell>
          <cell r="X3157" t="str">
            <v>2007Burtel MacsymScratch 5 000</v>
          </cell>
        </row>
        <row r="3158">
          <cell r="I3158">
            <v>2007</v>
          </cell>
          <cell r="J3158" t="str">
            <v>Burtel MacsymScratch 2 000</v>
          </cell>
          <cell r="L3158">
            <v>0</v>
          </cell>
          <cell r="M3158" t="str">
            <v>Burtel Macsym</v>
          </cell>
          <cell r="N3158" t="str">
            <v>Burtel MacsymScratch 2 000</v>
          </cell>
          <cell r="O3158" t="str">
            <v>Burtel Macsym</v>
          </cell>
          <cell r="P3158" t="str">
            <v>Scratch 2 000</v>
          </cell>
          <cell r="Q3158" t="str">
            <v>102007</v>
          </cell>
          <cell r="R3158" t="str">
            <v>102007Scratch 2 000</v>
          </cell>
          <cell r="S3158" t="str">
            <v>2007Scratch 2 000</v>
          </cell>
          <cell r="T3158" t="str">
            <v>102007Burtel Macsym</v>
          </cell>
          <cell r="U3158" t="str">
            <v>102007Burtel MacsymScratch 2 000</v>
          </cell>
          <cell r="V3158" t="str">
            <v>39365Scratch 2 000</v>
          </cell>
          <cell r="W3158" t="str">
            <v>2007Burtel Macsym</v>
          </cell>
          <cell r="X3158" t="str">
            <v>2007Burtel MacsymScratch 2 000</v>
          </cell>
        </row>
        <row r="3159">
          <cell r="I3159">
            <v>2007</v>
          </cell>
          <cell r="J3159" t="str">
            <v>Burtel MacsymScratch 1 000</v>
          </cell>
          <cell r="L3159">
            <v>0</v>
          </cell>
          <cell r="M3159" t="str">
            <v>Burtel Macsym</v>
          </cell>
          <cell r="N3159" t="str">
            <v>Burtel MacsymScratch 1 000</v>
          </cell>
          <cell r="O3159" t="str">
            <v>Burtel Macsym</v>
          </cell>
          <cell r="P3159" t="str">
            <v>Scratch 1 000</v>
          </cell>
          <cell r="Q3159" t="str">
            <v>102007</v>
          </cell>
          <cell r="R3159" t="str">
            <v>102007Scratch 1 000</v>
          </cell>
          <cell r="S3159" t="str">
            <v>2007Scratch 1 000</v>
          </cell>
          <cell r="T3159" t="str">
            <v>102007Burtel Macsym</v>
          </cell>
          <cell r="U3159" t="str">
            <v>102007Burtel MacsymScratch 1 000</v>
          </cell>
          <cell r="V3159" t="str">
            <v>39365Scratch 1 000</v>
          </cell>
          <cell r="W3159" t="str">
            <v>2007Burtel Macsym</v>
          </cell>
          <cell r="X3159" t="str">
            <v>2007Burtel MacsymScratch 1 000</v>
          </cell>
        </row>
        <row r="3160">
          <cell r="I3160">
            <v>2007</v>
          </cell>
          <cell r="J3160" t="str">
            <v>GEMATELScratch 20 000</v>
          </cell>
          <cell r="L3160">
            <v>1</v>
          </cell>
          <cell r="M3160" t="str">
            <v>1GEMATEL</v>
          </cell>
          <cell r="N3160" t="str">
            <v>GEMATELScratch 20 000</v>
          </cell>
          <cell r="O3160" t="str">
            <v>GEMATEL</v>
          </cell>
          <cell r="P3160" t="str">
            <v>Scratch 20 000</v>
          </cell>
          <cell r="Q3160" t="str">
            <v>102007</v>
          </cell>
          <cell r="R3160" t="str">
            <v>102007Scratch 20 000</v>
          </cell>
          <cell r="S3160" t="str">
            <v>2007Scratch 20 000</v>
          </cell>
          <cell r="T3160" t="str">
            <v>102007GEMATEL</v>
          </cell>
          <cell r="U3160" t="str">
            <v>102007GEMATELScratch 20 000</v>
          </cell>
          <cell r="V3160" t="str">
            <v>39365Scratch 20 000</v>
          </cell>
          <cell r="W3160" t="str">
            <v>2007GEMATEL</v>
          </cell>
          <cell r="X3160" t="str">
            <v>2007GEMATELScratch 20 000</v>
          </cell>
        </row>
        <row r="3161">
          <cell r="I3161">
            <v>2007</v>
          </cell>
          <cell r="J3161" t="str">
            <v>GEMATELScratch 10 000</v>
          </cell>
          <cell r="L3161">
            <v>0</v>
          </cell>
          <cell r="M3161" t="str">
            <v>GEMATEL</v>
          </cell>
          <cell r="N3161" t="str">
            <v>GEMATELScratch 10 000</v>
          </cell>
          <cell r="O3161" t="str">
            <v>GEMATEL</v>
          </cell>
          <cell r="P3161" t="str">
            <v>Scratch 10 000</v>
          </cell>
          <cell r="Q3161" t="str">
            <v>102007</v>
          </cell>
          <cell r="R3161" t="str">
            <v>102007Scratch 10 000</v>
          </cell>
          <cell r="S3161" t="str">
            <v>2007Scratch 10 000</v>
          </cell>
          <cell r="T3161" t="str">
            <v>102007GEMATEL</v>
          </cell>
          <cell r="U3161" t="str">
            <v>102007GEMATELScratch 10 000</v>
          </cell>
          <cell r="V3161" t="str">
            <v>39365Scratch 10 000</v>
          </cell>
          <cell r="W3161" t="str">
            <v>2007GEMATEL</v>
          </cell>
          <cell r="X3161" t="str">
            <v>2007GEMATELScratch 10 000</v>
          </cell>
        </row>
        <row r="3162">
          <cell r="I3162">
            <v>2007</v>
          </cell>
          <cell r="J3162" t="str">
            <v>GEMATELScratch 5 000</v>
          </cell>
          <cell r="L3162">
            <v>0</v>
          </cell>
          <cell r="M3162" t="str">
            <v>GEMATEL</v>
          </cell>
          <cell r="N3162" t="str">
            <v>GEMATELScratch 5 000</v>
          </cell>
          <cell r="O3162" t="str">
            <v>GEMATEL</v>
          </cell>
          <cell r="P3162" t="str">
            <v>Scratch 5 000</v>
          </cell>
          <cell r="Q3162" t="str">
            <v>102007</v>
          </cell>
          <cell r="R3162" t="str">
            <v>102007Scratch 5 000</v>
          </cell>
          <cell r="S3162" t="str">
            <v>2007Scratch 5 000</v>
          </cell>
          <cell r="T3162" t="str">
            <v>102007GEMATEL</v>
          </cell>
          <cell r="U3162" t="str">
            <v>102007GEMATELScratch 5 000</v>
          </cell>
          <cell r="V3162" t="str">
            <v>39365Scratch 5 000</v>
          </cell>
          <cell r="W3162" t="str">
            <v>2007GEMATEL</v>
          </cell>
          <cell r="X3162" t="str">
            <v>2007GEMATELScratch 5 000</v>
          </cell>
        </row>
        <row r="3163">
          <cell r="I3163">
            <v>2007</v>
          </cell>
          <cell r="J3163" t="str">
            <v>GEMATELScratch 2 000</v>
          </cell>
          <cell r="L3163">
            <v>0</v>
          </cell>
          <cell r="M3163" t="str">
            <v>GEMATEL</v>
          </cell>
          <cell r="N3163" t="str">
            <v>GEMATELScratch 2 000</v>
          </cell>
          <cell r="O3163" t="str">
            <v>GEMATEL</v>
          </cell>
          <cell r="P3163" t="str">
            <v>Scratch 2 000</v>
          </cell>
          <cell r="Q3163" t="str">
            <v>102007</v>
          </cell>
          <cell r="R3163" t="str">
            <v>102007Scratch 2 000</v>
          </cell>
          <cell r="S3163" t="str">
            <v>2007Scratch 2 000</v>
          </cell>
          <cell r="T3163" t="str">
            <v>102007GEMATEL</v>
          </cell>
          <cell r="U3163" t="str">
            <v>102007GEMATELScratch 2 000</v>
          </cell>
          <cell r="V3163" t="str">
            <v>39365Scratch 2 000</v>
          </cell>
          <cell r="W3163" t="str">
            <v>2007GEMATEL</v>
          </cell>
          <cell r="X3163" t="str">
            <v>2007GEMATELScratch 2 000</v>
          </cell>
        </row>
        <row r="3164">
          <cell r="I3164">
            <v>2007</v>
          </cell>
          <cell r="J3164" t="str">
            <v>GEMATELScratch 1 000</v>
          </cell>
          <cell r="L3164">
            <v>0</v>
          </cell>
          <cell r="M3164" t="str">
            <v>GEMATEL</v>
          </cell>
          <cell r="N3164" t="str">
            <v>GEMATELScratch 1 000</v>
          </cell>
          <cell r="O3164" t="str">
            <v>GEMATEL</v>
          </cell>
          <cell r="P3164" t="str">
            <v>Scratch 1 000</v>
          </cell>
          <cell r="Q3164" t="str">
            <v>102007</v>
          </cell>
          <cell r="R3164" t="str">
            <v>102007Scratch 1 000</v>
          </cell>
          <cell r="S3164" t="str">
            <v>2007Scratch 1 000</v>
          </cell>
          <cell r="T3164" t="str">
            <v>102007GEMATEL</v>
          </cell>
          <cell r="U3164" t="str">
            <v>102007GEMATELScratch 1 000</v>
          </cell>
          <cell r="V3164" t="str">
            <v>39365Scratch 1 000</v>
          </cell>
          <cell r="W3164" t="str">
            <v>2007GEMATEL</v>
          </cell>
          <cell r="X3164" t="str">
            <v>2007GEMATELScratch 1 000</v>
          </cell>
        </row>
        <row r="3165">
          <cell r="I3165">
            <v>2007</v>
          </cell>
          <cell r="J3165" t="str">
            <v>Bonneterie Nouvelle TelecomScratch 20 000</v>
          </cell>
          <cell r="L3165">
            <v>1</v>
          </cell>
          <cell r="M3165" t="str">
            <v>1Bonneterie Nouvelle Telecom</v>
          </cell>
          <cell r="N3165" t="str">
            <v>Bonneterie Nouvelle TelecomScratch 20 000</v>
          </cell>
          <cell r="O3165" t="str">
            <v>Bonneterie Nouvelle Telecom</v>
          </cell>
          <cell r="P3165" t="str">
            <v>Scratch 20 000</v>
          </cell>
          <cell r="Q3165" t="str">
            <v>102007</v>
          </cell>
          <cell r="R3165" t="str">
            <v>102007Scratch 20 000</v>
          </cell>
          <cell r="S3165" t="str">
            <v>2007Scratch 20 000</v>
          </cell>
          <cell r="T3165" t="str">
            <v>102007Bonneterie Nouvelle Telecom</v>
          </cell>
          <cell r="U3165" t="str">
            <v>102007Bonneterie Nouvelle TelecomScratch 20 000</v>
          </cell>
          <cell r="V3165" t="str">
            <v>39365Scratch 20 000</v>
          </cell>
          <cell r="W3165" t="str">
            <v>2007Bonneterie Nouvelle Telecom</v>
          </cell>
          <cell r="X3165" t="str">
            <v>2007Bonneterie Nouvelle TelecomScratch 20 000</v>
          </cell>
        </row>
        <row r="3166">
          <cell r="I3166">
            <v>2007</v>
          </cell>
          <cell r="J3166" t="str">
            <v>Bonneterie Nouvelle TelecomScratch 10 000</v>
          </cell>
          <cell r="L3166">
            <v>0</v>
          </cell>
          <cell r="M3166" t="str">
            <v>Bonneterie Nouvelle Telecom</v>
          </cell>
          <cell r="N3166" t="str">
            <v>Bonneterie Nouvelle TelecomScratch 10 000</v>
          </cell>
          <cell r="O3166" t="str">
            <v>Bonneterie Nouvelle Telecom</v>
          </cell>
          <cell r="P3166" t="str">
            <v>Scratch 10 000</v>
          </cell>
          <cell r="Q3166" t="str">
            <v>102007</v>
          </cell>
          <cell r="R3166" t="str">
            <v>102007Scratch 10 000</v>
          </cell>
          <cell r="S3166" t="str">
            <v>2007Scratch 10 000</v>
          </cell>
          <cell r="T3166" t="str">
            <v>102007Bonneterie Nouvelle Telecom</v>
          </cell>
          <cell r="U3166" t="str">
            <v>102007Bonneterie Nouvelle TelecomScratch 10 000</v>
          </cell>
          <cell r="V3166" t="str">
            <v>39365Scratch 10 000</v>
          </cell>
          <cell r="W3166" t="str">
            <v>2007Bonneterie Nouvelle Telecom</v>
          </cell>
          <cell r="X3166" t="str">
            <v>2007Bonneterie Nouvelle TelecomScratch 10 000</v>
          </cell>
        </row>
        <row r="3167">
          <cell r="I3167">
            <v>2007</v>
          </cell>
          <cell r="J3167" t="str">
            <v>Bonneterie Nouvelle TelecomScratch 5 000</v>
          </cell>
          <cell r="L3167">
            <v>0</v>
          </cell>
          <cell r="M3167" t="str">
            <v>Bonneterie Nouvelle Telecom</v>
          </cell>
          <cell r="N3167" t="str">
            <v>Bonneterie Nouvelle TelecomScratch 5 000</v>
          </cell>
          <cell r="O3167" t="str">
            <v>Bonneterie Nouvelle Telecom</v>
          </cell>
          <cell r="P3167" t="str">
            <v>Scratch 5 000</v>
          </cell>
          <cell r="Q3167" t="str">
            <v>102007</v>
          </cell>
          <cell r="R3167" t="str">
            <v>102007Scratch 5 000</v>
          </cell>
          <cell r="S3167" t="str">
            <v>2007Scratch 5 000</v>
          </cell>
          <cell r="T3167" t="str">
            <v>102007Bonneterie Nouvelle Telecom</v>
          </cell>
          <cell r="U3167" t="str">
            <v>102007Bonneterie Nouvelle TelecomScratch 5 000</v>
          </cell>
          <cell r="V3167" t="str">
            <v>39365Scratch 5 000</v>
          </cell>
          <cell r="W3167" t="str">
            <v>2007Bonneterie Nouvelle Telecom</v>
          </cell>
          <cell r="X3167" t="str">
            <v>2007Bonneterie Nouvelle TelecomScratch 5 000</v>
          </cell>
        </row>
        <row r="3168">
          <cell r="I3168">
            <v>2007</v>
          </cell>
          <cell r="J3168" t="str">
            <v>Bonneterie Nouvelle TelecomScratch 2 000</v>
          </cell>
          <cell r="L3168">
            <v>0</v>
          </cell>
          <cell r="M3168" t="str">
            <v>Bonneterie Nouvelle Telecom</v>
          </cell>
          <cell r="N3168" t="str">
            <v>Bonneterie Nouvelle TelecomScratch 2 000</v>
          </cell>
          <cell r="O3168" t="str">
            <v>Bonneterie Nouvelle Telecom</v>
          </cell>
          <cell r="P3168" t="str">
            <v>Scratch 2 000</v>
          </cell>
          <cell r="Q3168" t="str">
            <v>102007</v>
          </cell>
          <cell r="R3168" t="str">
            <v>102007Scratch 2 000</v>
          </cell>
          <cell r="S3168" t="str">
            <v>2007Scratch 2 000</v>
          </cell>
          <cell r="T3168" t="str">
            <v>102007Bonneterie Nouvelle Telecom</v>
          </cell>
          <cell r="U3168" t="str">
            <v>102007Bonneterie Nouvelle TelecomScratch 2 000</v>
          </cell>
          <cell r="V3168" t="str">
            <v>39365Scratch 2 000</v>
          </cell>
          <cell r="W3168" t="str">
            <v>2007Bonneterie Nouvelle Telecom</v>
          </cell>
          <cell r="X3168" t="str">
            <v>2007Bonneterie Nouvelle TelecomScratch 2 000</v>
          </cell>
        </row>
        <row r="3169">
          <cell r="I3169">
            <v>2007</v>
          </cell>
          <cell r="J3169" t="str">
            <v>Bonneterie Nouvelle TelecomScratch 1 000</v>
          </cell>
          <cell r="L3169">
            <v>0</v>
          </cell>
          <cell r="M3169" t="str">
            <v>Bonneterie Nouvelle Telecom</v>
          </cell>
          <cell r="N3169" t="str">
            <v>Bonneterie Nouvelle TelecomScratch 1 000</v>
          </cell>
          <cell r="O3169" t="str">
            <v>Bonneterie Nouvelle Telecom</v>
          </cell>
          <cell r="P3169" t="str">
            <v>Scratch 1 000</v>
          </cell>
          <cell r="Q3169" t="str">
            <v>102007</v>
          </cell>
          <cell r="R3169" t="str">
            <v>102007Scratch 1 000</v>
          </cell>
          <cell r="S3169" t="str">
            <v>2007Scratch 1 000</v>
          </cell>
          <cell r="T3169" t="str">
            <v>102007Bonneterie Nouvelle Telecom</v>
          </cell>
          <cell r="U3169" t="str">
            <v>102007Bonneterie Nouvelle TelecomScratch 1 000</v>
          </cell>
          <cell r="V3169" t="str">
            <v>39365Scratch 1 000</v>
          </cell>
          <cell r="W3169" t="str">
            <v>2007Bonneterie Nouvelle Telecom</v>
          </cell>
          <cell r="X3169" t="str">
            <v>2007Bonneterie Nouvelle TelecomScratch 1 000</v>
          </cell>
        </row>
        <row r="3170">
          <cell r="I3170">
            <v>2007</v>
          </cell>
          <cell r="J3170" t="str">
            <v>CellNets MaliMinutes</v>
          </cell>
          <cell r="L3170">
            <v>1</v>
          </cell>
          <cell r="M3170" t="str">
            <v>1CellNets Mali</v>
          </cell>
          <cell r="N3170" t="str">
            <v>CellNets MaliMinutes</v>
          </cell>
          <cell r="O3170" t="str">
            <v>CellNets Mali</v>
          </cell>
          <cell r="P3170" t="str">
            <v>Minutes</v>
          </cell>
          <cell r="Q3170" t="str">
            <v>102007</v>
          </cell>
          <cell r="R3170" t="str">
            <v>102007Minutes</v>
          </cell>
          <cell r="S3170" t="str">
            <v>2007Minutes</v>
          </cell>
          <cell r="T3170" t="str">
            <v>102007CellNets Mali</v>
          </cell>
          <cell r="U3170" t="str">
            <v>102007CellNets MaliMinutes</v>
          </cell>
          <cell r="V3170" t="str">
            <v>39366Minutes</v>
          </cell>
          <cell r="W3170" t="str">
            <v>2007CellNets Mali</v>
          </cell>
          <cell r="X3170" t="str">
            <v>2007CellNets MaliMinutes</v>
          </cell>
        </row>
        <row r="3171">
          <cell r="I3171">
            <v>2007</v>
          </cell>
          <cell r="J3171" t="str">
            <v>SOMAKOFFScratch 20 000</v>
          </cell>
          <cell r="L3171">
            <v>1</v>
          </cell>
          <cell r="M3171" t="str">
            <v>1SOMAKOFF</v>
          </cell>
          <cell r="N3171" t="str">
            <v>SOMAKOFFScratch 20 000</v>
          </cell>
          <cell r="O3171" t="str">
            <v>SOMAKOFF</v>
          </cell>
          <cell r="P3171" t="str">
            <v>Scratch 20 000</v>
          </cell>
          <cell r="Q3171" t="str">
            <v>102007</v>
          </cell>
          <cell r="R3171" t="str">
            <v>102007Scratch 20 000</v>
          </cell>
          <cell r="S3171" t="str">
            <v>2007Scratch 20 000</v>
          </cell>
          <cell r="T3171" t="str">
            <v>102007SOMAKOFF</v>
          </cell>
          <cell r="U3171" t="str">
            <v>102007SOMAKOFFScratch 20 000</v>
          </cell>
          <cell r="V3171" t="str">
            <v>39366Scratch 20 000</v>
          </cell>
          <cell r="W3171" t="str">
            <v>2007SOMAKOFF</v>
          </cell>
          <cell r="X3171" t="str">
            <v>2007SOMAKOFFScratch 20 000</v>
          </cell>
        </row>
        <row r="3172">
          <cell r="I3172">
            <v>2007</v>
          </cell>
          <cell r="J3172" t="str">
            <v>SOMAKOFFScratch 10 000</v>
          </cell>
          <cell r="L3172">
            <v>0</v>
          </cell>
          <cell r="M3172" t="str">
            <v>SOMAKOFF</v>
          </cell>
          <cell r="N3172" t="str">
            <v>SOMAKOFFScratch 10 000</v>
          </cell>
          <cell r="O3172" t="str">
            <v>SOMAKOFF</v>
          </cell>
          <cell r="P3172" t="str">
            <v>Scratch 10 000</v>
          </cell>
          <cell r="Q3172" t="str">
            <v>102007</v>
          </cell>
          <cell r="R3172" t="str">
            <v>102007Scratch 10 000</v>
          </cell>
          <cell r="S3172" t="str">
            <v>2007Scratch 10 000</v>
          </cell>
          <cell r="T3172" t="str">
            <v>102007SOMAKOFF</v>
          </cell>
          <cell r="U3172" t="str">
            <v>102007SOMAKOFFScratch 10 000</v>
          </cell>
          <cell r="V3172" t="str">
            <v>39366Scratch 10 000</v>
          </cell>
          <cell r="W3172" t="str">
            <v>2007SOMAKOFF</v>
          </cell>
          <cell r="X3172" t="str">
            <v>2007SOMAKOFFScratch 10 000</v>
          </cell>
        </row>
        <row r="3173">
          <cell r="I3173">
            <v>2007</v>
          </cell>
          <cell r="J3173" t="str">
            <v>SOMAKOFFScratch 5 000</v>
          </cell>
          <cell r="L3173">
            <v>0</v>
          </cell>
          <cell r="M3173" t="str">
            <v>SOMAKOFF</v>
          </cell>
          <cell r="N3173" t="str">
            <v>SOMAKOFFScratch 5 000</v>
          </cell>
          <cell r="O3173" t="str">
            <v>SOMAKOFF</v>
          </cell>
          <cell r="P3173" t="str">
            <v>Scratch 5 000</v>
          </cell>
          <cell r="Q3173" t="str">
            <v>102007</v>
          </cell>
          <cell r="R3173" t="str">
            <v>102007Scratch 5 000</v>
          </cell>
          <cell r="S3173" t="str">
            <v>2007Scratch 5 000</v>
          </cell>
          <cell r="T3173" t="str">
            <v>102007SOMAKOFF</v>
          </cell>
          <cell r="U3173" t="str">
            <v>102007SOMAKOFFScratch 5 000</v>
          </cell>
          <cell r="V3173" t="str">
            <v>39366Scratch 5 000</v>
          </cell>
          <cell r="W3173" t="str">
            <v>2007SOMAKOFF</v>
          </cell>
          <cell r="X3173" t="str">
            <v>2007SOMAKOFFScratch 5 000</v>
          </cell>
        </row>
        <row r="3174">
          <cell r="I3174">
            <v>2007</v>
          </cell>
          <cell r="J3174" t="str">
            <v>SOMAKOFFScratch 2 000</v>
          </cell>
          <cell r="L3174">
            <v>0</v>
          </cell>
          <cell r="M3174" t="str">
            <v>SOMAKOFF</v>
          </cell>
          <cell r="N3174" t="str">
            <v>SOMAKOFFScratch 2 000</v>
          </cell>
          <cell r="O3174" t="str">
            <v>SOMAKOFF</v>
          </cell>
          <cell r="P3174" t="str">
            <v>Scratch 2 000</v>
          </cell>
          <cell r="Q3174" t="str">
            <v>102007</v>
          </cell>
          <cell r="R3174" t="str">
            <v>102007Scratch 2 000</v>
          </cell>
          <cell r="S3174" t="str">
            <v>2007Scratch 2 000</v>
          </cell>
          <cell r="T3174" t="str">
            <v>102007SOMAKOFF</v>
          </cell>
          <cell r="U3174" t="str">
            <v>102007SOMAKOFFScratch 2 000</v>
          </cell>
          <cell r="V3174" t="str">
            <v>39366Scratch 2 000</v>
          </cell>
          <cell r="W3174" t="str">
            <v>2007SOMAKOFF</v>
          </cell>
          <cell r="X3174" t="str">
            <v>2007SOMAKOFFScratch 2 000</v>
          </cell>
        </row>
        <row r="3175">
          <cell r="I3175">
            <v>2007</v>
          </cell>
          <cell r="J3175" t="str">
            <v>SOMAKOFFScratch 1 000</v>
          </cell>
          <cell r="L3175">
            <v>0</v>
          </cell>
          <cell r="M3175" t="str">
            <v>SOMAKOFF</v>
          </cell>
          <cell r="N3175" t="str">
            <v>SOMAKOFFScratch 1 000</v>
          </cell>
          <cell r="O3175" t="str">
            <v>SOMAKOFF</v>
          </cell>
          <cell r="P3175" t="str">
            <v>Scratch 1 000</v>
          </cell>
          <cell r="Q3175" t="str">
            <v>102007</v>
          </cell>
          <cell r="R3175" t="str">
            <v>102007Scratch 1 000</v>
          </cell>
          <cell r="S3175" t="str">
            <v>2007Scratch 1 000</v>
          </cell>
          <cell r="T3175" t="str">
            <v>102007SOMAKOFF</v>
          </cell>
          <cell r="U3175" t="str">
            <v>102007SOMAKOFFScratch 1 000</v>
          </cell>
          <cell r="V3175" t="str">
            <v>39366Scratch 1 000</v>
          </cell>
          <cell r="W3175" t="str">
            <v>2007SOMAKOFF</v>
          </cell>
          <cell r="X3175" t="str">
            <v>2007SOMAKOFFScratch 1 000</v>
          </cell>
        </row>
        <row r="3176">
          <cell r="I3176">
            <v>2007</v>
          </cell>
          <cell r="J3176" t="str">
            <v>Burtel MacsymScratch 20 000</v>
          </cell>
          <cell r="L3176">
            <v>1</v>
          </cell>
          <cell r="M3176" t="str">
            <v>1Burtel Macsym</v>
          </cell>
          <cell r="N3176" t="str">
            <v>Burtel MacsymScratch 20 000</v>
          </cell>
          <cell r="O3176" t="str">
            <v>Burtel Macsym</v>
          </cell>
          <cell r="P3176" t="str">
            <v>Scratch 20 000</v>
          </cell>
          <cell r="Q3176" t="str">
            <v>102007</v>
          </cell>
          <cell r="R3176" t="str">
            <v>102007Scratch 20 000</v>
          </cell>
          <cell r="S3176" t="str">
            <v>2007Scratch 20 000</v>
          </cell>
          <cell r="T3176" t="str">
            <v>102007Burtel Macsym</v>
          </cell>
          <cell r="U3176" t="str">
            <v>102007Burtel MacsymScratch 20 000</v>
          </cell>
          <cell r="V3176" t="str">
            <v>39366Scratch 20 000</v>
          </cell>
          <cell r="W3176" t="str">
            <v>2007Burtel Macsym</v>
          </cell>
          <cell r="X3176" t="str">
            <v>2007Burtel MacsymScratch 20 000</v>
          </cell>
        </row>
        <row r="3177">
          <cell r="I3177">
            <v>2007</v>
          </cell>
          <cell r="J3177" t="str">
            <v>Burtel MacsymScratch 10 000</v>
          </cell>
          <cell r="L3177">
            <v>0</v>
          </cell>
          <cell r="M3177" t="str">
            <v>Burtel Macsym</v>
          </cell>
          <cell r="N3177" t="str">
            <v>Burtel MacsymScratch 10 000</v>
          </cell>
          <cell r="O3177" t="str">
            <v>Burtel Macsym</v>
          </cell>
          <cell r="P3177" t="str">
            <v>Scratch 10 000</v>
          </cell>
          <cell r="Q3177" t="str">
            <v>102007</v>
          </cell>
          <cell r="R3177" t="str">
            <v>102007Scratch 10 000</v>
          </cell>
          <cell r="S3177" t="str">
            <v>2007Scratch 10 000</v>
          </cell>
          <cell r="T3177" t="str">
            <v>102007Burtel Macsym</v>
          </cell>
          <cell r="U3177" t="str">
            <v>102007Burtel MacsymScratch 10 000</v>
          </cell>
          <cell r="V3177" t="str">
            <v>39366Scratch 10 000</v>
          </cell>
          <cell r="W3177" t="str">
            <v>2007Burtel Macsym</v>
          </cell>
          <cell r="X3177" t="str">
            <v>2007Burtel MacsymScratch 10 000</v>
          </cell>
        </row>
        <row r="3178">
          <cell r="I3178">
            <v>2007</v>
          </cell>
          <cell r="J3178" t="str">
            <v>Burtel MacsymScratch 5 000</v>
          </cell>
          <cell r="L3178">
            <v>0</v>
          </cell>
          <cell r="M3178" t="str">
            <v>Burtel Macsym</v>
          </cell>
          <cell r="N3178" t="str">
            <v>Burtel MacsymScratch 5 000</v>
          </cell>
          <cell r="O3178" t="str">
            <v>Burtel Macsym</v>
          </cell>
          <cell r="P3178" t="str">
            <v>Scratch 5 000</v>
          </cell>
          <cell r="Q3178" t="str">
            <v>102007</v>
          </cell>
          <cell r="R3178" t="str">
            <v>102007Scratch 5 000</v>
          </cell>
          <cell r="S3178" t="str">
            <v>2007Scratch 5 000</v>
          </cell>
          <cell r="T3178" t="str">
            <v>102007Burtel Macsym</v>
          </cell>
          <cell r="U3178" t="str">
            <v>102007Burtel MacsymScratch 5 000</v>
          </cell>
          <cell r="V3178" t="str">
            <v>39366Scratch 5 000</v>
          </cell>
          <cell r="W3178" t="str">
            <v>2007Burtel Macsym</v>
          </cell>
          <cell r="X3178" t="str">
            <v>2007Burtel MacsymScratch 5 000</v>
          </cell>
        </row>
        <row r="3179">
          <cell r="I3179">
            <v>2007</v>
          </cell>
          <cell r="J3179" t="str">
            <v>Burtel MacsymScratch 2 000</v>
          </cell>
          <cell r="L3179">
            <v>0</v>
          </cell>
          <cell r="M3179" t="str">
            <v>Burtel Macsym</v>
          </cell>
          <cell r="N3179" t="str">
            <v>Burtel MacsymScratch 2 000</v>
          </cell>
          <cell r="O3179" t="str">
            <v>Burtel Macsym</v>
          </cell>
          <cell r="P3179" t="str">
            <v>Scratch 2 000</v>
          </cell>
          <cell r="Q3179" t="str">
            <v>102007</v>
          </cell>
          <cell r="R3179" t="str">
            <v>102007Scratch 2 000</v>
          </cell>
          <cell r="S3179" t="str">
            <v>2007Scratch 2 000</v>
          </cell>
          <cell r="T3179" t="str">
            <v>102007Burtel Macsym</v>
          </cell>
          <cell r="U3179" t="str">
            <v>102007Burtel MacsymScratch 2 000</v>
          </cell>
          <cell r="V3179" t="str">
            <v>39366Scratch 2 000</v>
          </cell>
          <cell r="W3179" t="str">
            <v>2007Burtel Macsym</v>
          </cell>
          <cell r="X3179" t="str">
            <v>2007Burtel MacsymScratch 2 000</v>
          </cell>
        </row>
        <row r="3180">
          <cell r="I3180">
            <v>2007</v>
          </cell>
          <cell r="J3180" t="str">
            <v>Burtel MacsymScratch 1 000</v>
          </cell>
          <cell r="L3180">
            <v>0</v>
          </cell>
          <cell r="M3180" t="str">
            <v>Burtel Macsym</v>
          </cell>
          <cell r="N3180" t="str">
            <v>Burtel MacsymScratch 1 000</v>
          </cell>
          <cell r="O3180" t="str">
            <v>Burtel Macsym</v>
          </cell>
          <cell r="P3180" t="str">
            <v>Scratch 1 000</v>
          </cell>
          <cell r="Q3180" t="str">
            <v>102007</v>
          </cell>
          <cell r="R3180" t="str">
            <v>102007Scratch 1 000</v>
          </cell>
          <cell r="S3180" t="str">
            <v>2007Scratch 1 000</v>
          </cell>
          <cell r="T3180" t="str">
            <v>102007Burtel Macsym</v>
          </cell>
          <cell r="U3180" t="str">
            <v>102007Burtel MacsymScratch 1 000</v>
          </cell>
          <cell r="V3180" t="str">
            <v>39366Scratch 1 000</v>
          </cell>
          <cell r="W3180" t="str">
            <v>2007Burtel Macsym</v>
          </cell>
          <cell r="X3180" t="str">
            <v>2007Burtel MacsymScratch 1 000</v>
          </cell>
        </row>
        <row r="3181">
          <cell r="I3181">
            <v>2007</v>
          </cell>
          <cell r="J3181" t="str">
            <v>MALI COM SarlScratch 20 000</v>
          </cell>
          <cell r="L3181">
            <v>1</v>
          </cell>
          <cell r="M3181" t="str">
            <v>1MALI COM Sarl</v>
          </cell>
          <cell r="N3181" t="str">
            <v>MALI COM SarlScratch 20 000</v>
          </cell>
          <cell r="O3181" t="str">
            <v>MALI COM Sarl</v>
          </cell>
          <cell r="P3181" t="str">
            <v>Scratch 20 000</v>
          </cell>
          <cell r="Q3181" t="str">
            <v>102007</v>
          </cell>
          <cell r="R3181" t="str">
            <v>102007Scratch 20 000</v>
          </cell>
          <cell r="S3181" t="str">
            <v>2007Scratch 20 000</v>
          </cell>
          <cell r="T3181" t="str">
            <v>102007MALI COM Sarl</v>
          </cell>
          <cell r="U3181" t="str">
            <v>102007MALI COM SarlScratch 20 000</v>
          </cell>
          <cell r="V3181" t="str">
            <v>39366Scratch 20 000</v>
          </cell>
          <cell r="W3181" t="str">
            <v>2007MALI COM Sarl</v>
          </cell>
          <cell r="X3181" t="str">
            <v>2007MALI COM SarlScratch 20 000</v>
          </cell>
        </row>
        <row r="3182">
          <cell r="I3182">
            <v>2007</v>
          </cell>
          <cell r="J3182" t="str">
            <v>MALI COM SarlScratch 10 000</v>
          </cell>
          <cell r="L3182">
            <v>0</v>
          </cell>
          <cell r="M3182" t="str">
            <v>MALI COM Sarl</v>
          </cell>
          <cell r="N3182" t="str">
            <v>MALI COM SarlScratch 10 000</v>
          </cell>
          <cell r="O3182" t="str">
            <v>MALI COM Sarl</v>
          </cell>
          <cell r="P3182" t="str">
            <v>Scratch 10 000</v>
          </cell>
          <cell r="Q3182" t="str">
            <v>102007</v>
          </cell>
          <cell r="R3182" t="str">
            <v>102007Scratch 10 000</v>
          </cell>
          <cell r="S3182" t="str">
            <v>2007Scratch 10 000</v>
          </cell>
          <cell r="T3182" t="str">
            <v>102007MALI COM Sarl</v>
          </cell>
          <cell r="U3182" t="str">
            <v>102007MALI COM SarlScratch 10 000</v>
          </cell>
          <cell r="V3182" t="str">
            <v>39366Scratch 10 000</v>
          </cell>
          <cell r="W3182" t="str">
            <v>2007MALI COM Sarl</v>
          </cell>
          <cell r="X3182" t="str">
            <v>2007MALI COM SarlScratch 10 000</v>
          </cell>
        </row>
        <row r="3183">
          <cell r="I3183">
            <v>2007</v>
          </cell>
          <cell r="J3183" t="str">
            <v>MALI COM SarlScratch 5 000</v>
          </cell>
          <cell r="L3183">
            <v>0</v>
          </cell>
          <cell r="M3183" t="str">
            <v>MALI COM Sarl</v>
          </cell>
          <cell r="N3183" t="str">
            <v>MALI COM SarlScratch 5 000</v>
          </cell>
          <cell r="O3183" t="str">
            <v>MALI COM Sarl</v>
          </cell>
          <cell r="P3183" t="str">
            <v>Scratch 5 000</v>
          </cell>
          <cell r="Q3183" t="str">
            <v>102007</v>
          </cell>
          <cell r="R3183" t="str">
            <v>102007Scratch 5 000</v>
          </cell>
          <cell r="S3183" t="str">
            <v>2007Scratch 5 000</v>
          </cell>
          <cell r="T3183" t="str">
            <v>102007MALI COM Sarl</v>
          </cell>
          <cell r="U3183" t="str">
            <v>102007MALI COM SarlScratch 5 000</v>
          </cell>
          <cell r="V3183" t="str">
            <v>39366Scratch 5 000</v>
          </cell>
          <cell r="W3183" t="str">
            <v>2007MALI COM Sarl</v>
          </cell>
          <cell r="X3183" t="str">
            <v>2007MALI COM SarlScratch 5 000</v>
          </cell>
        </row>
        <row r="3184">
          <cell r="I3184">
            <v>2007</v>
          </cell>
          <cell r="J3184" t="str">
            <v>MALI COM SarlScratch 2 000</v>
          </cell>
          <cell r="L3184">
            <v>0</v>
          </cell>
          <cell r="M3184" t="str">
            <v>MALI COM Sarl</v>
          </cell>
          <cell r="N3184" t="str">
            <v>MALI COM SarlScratch 2 000</v>
          </cell>
          <cell r="O3184" t="str">
            <v>MALI COM Sarl</v>
          </cell>
          <cell r="P3184" t="str">
            <v>Scratch 2 000</v>
          </cell>
          <cell r="Q3184" t="str">
            <v>102007</v>
          </cell>
          <cell r="R3184" t="str">
            <v>102007Scratch 2 000</v>
          </cell>
          <cell r="S3184" t="str">
            <v>2007Scratch 2 000</v>
          </cell>
          <cell r="T3184" t="str">
            <v>102007MALI COM Sarl</v>
          </cell>
          <cell r="U3184" t="str">
            <v>102007MALI COM SarlScratch 2 000</v>
          </cell>
          <cell r="V3184" t="str">
            <v>39366Scratch 2 000</v>
          </cell>
          <cell r="W3184" t="str">
            <v>2007MALI COM Sarl</v>
          </cell>
          <cell r="X3184" t="str">
            <v>2007MALI COM SarlScratch 2 000</v>
          </cell>
        </row>
        <row r="3185">
          <cell r="I3185">
            <v>2007</v>
          </cell>
          <cell r="J3185" t="str">
            <v>MALI COM SarlScratch 1 000</v>
          </cell>
          <cell r="L3185">
            <v>0</v>
          </cell>
          <cell r="M3185" t="str">
            <v>MALI COM Sarl</v>
          </cell>
          <cell r="N3185" t="str">
            <v>MALI COM SarlScratch 1 000</v>
          </cell>
          <cell r="O3185" t="str">
            <v>MALI COM Sarl</v>
          </cell>
          <cell r="P3185" t="str">
            <v>Scratch 1 000</v>
          </cell>
          <cell r="Q3185" t="str">
            <v>102007</v>
          </cell>
          <cell r="R3185" t="str">
            <v>102007Scratch 1 000</v>
          </cell>
          <cell r="S3185" t="str">
            <v>2007Scratch 1 000</v>
          </cell>
          <cell r="T3185" t="str">
            <v>102007MALI COM Sarl</v>
          </cell>
          <cell r="U3185" t="str">
            <v>102007MALI COM SarlScratch 1 000</v>
          </cell>
          <cell r="V3185" t="str">
            <v>39366Scratch 1 000</v>
          </cell>
          <cell r="W3185" t="str">
            <v>2007MALI COM Sarl</v>
          </cell>
          <cell r="X3185" t="str">
            <v>2007MALI COM SarlScratch 1 000</v>
          </cell>
        </row>
        <row r="3186">
          <cell r="I3186">
            <v>2007</v>
          </cell>
          <cell r="J3186" t="str">
            <v>STS GAMBY &amp; FRERES (SOGAF) SarlScratch 20 000</v>
          </cell>
          <cell r="L3186">
            <v>1</v>
          </cell>
          <cell r="M3186" t="str">
            <v>1STS GAMBY &amp; FRERES (SOGAF) Sarl</v>
          </cell>
          <cell r="N3186" t="str">
            <v>STS GAMBY &amp; FRERES (SOGAF) SarlScratch 20 000</v>
          </cell>
          <cell r="O3186" t="str">
            <v>STS GAMBY &amp; FRERES (SOGAF) Sarl</v>
          </cell>
          <cell r="P3186" t="str">
            <v>Scratch 20 000</v>
          </cell>
          <cell r="Q3186" t="str">
            <v>102007</v>
          </cell>
          <cell r="R3186" t="str">
            <v>102007Scratch 20 000</v>
          </cell>
          <cell r="S3186" t="str">
            <v>2007Scratch 20 000</v>
          </cell>
          <cell r="T3186" t="str">
            <v>102007STS GAMBY &amp; FRERES (SOGAF) Sarl</v>
          </cell>
          <cell r="U3186" t="str">
            <v>102007STS GAMBY &amp; FRERES (SOGAF) SarlScratch 20 000</v>
          </cell>
          <cell r="V3186" t="str">
            <v>39366Scratch 20 000</v>
          </cell>
          <cell r="W3186" t="str">
            <v>2007STS GAMBY &amp; FRERES (SOGAF) Sarl</v>
          </cell>
          <cell r="X3186" t="str">
            <v>2007STS GAMBY &amp; FRERES (SOGAF) SarlScratch 20 000</v>
          </cell>
        </row>
        <row r="3187">
          <cell r="I3187">
            <v>2007</v>
          </cell>
          <cell r="J3187" t="str">
            <v>STS GAMBY &amp; FRERES (SOGAF) SarlScratch 10 000</v>
          </cell>
          <cell r="L3187">
            <v>0</v>
          </cell>
          <cell r="M3187" t="str">
            <v>STS GAMBY &amp; FRERES (SOGAF) Sarl</v>
          </cell>
          <cell r="N3187" t="str">
            <v>STS GAMBY &amp; FRERES (SOGAF) SarlScratch 10 000</v>
          </cell>
          <cell r="O3187" t="str">
            <v>STS GAMBY &amp; FRERES (SOGAF) Sarl</v>
          </cell>
          <cell r="P3187" t="str">
            <v>Scratch 10 000</v>
          </cell>
          <cell r="Q3187" t="str">
            <v>102007</v>
          </cell>
          <cell r="R3187" t="str">
            <v>102007Scratch 10 000</v>
          </cell>
          <cell r="S3187" t="str">
            <v>2007Scratch 10 000</v>
          </cell>
          <cell r="T3187" t="str">
            <v>102007STS GAMBY &amp; FRERES (SOGAF) Sarl</v>
          </cell>
          <cell r="U3187" t="str">
            <v>102007STS GAMBY &amp; FRERES (SOGAF) SarlScratch 10 000</v>
          </cell>
          <cell r="V3187" t="str">
            <v>39366Scratch 10 000</v>
          </cell>
          <cell r="W3187" t="str">
            <v>2007STS GAMBY &amp; FRERES (SOGAF) Sarl</v>
          </cell>
          <cell r="X3187" t="str">
            <v>2007STS GAMBY &amp; FRERES (SOGAF) SarlScratch 10 000</v>
          </cell>
        </row>
        <row r="3188">
          <cell r="I3188">
            <v>2007</v>
          </cell>
          <cell r="J3188" t="str">
            <v>STS GAMBY &amp; FRERES (SOGAF) SarlScratch 5 000</v>
          </cell>
          <cell r="L3188">
            <v>0</v>
          </cell>
          <cell r="M3188" t="str">
            <v>STS GAMBY &amp; FRERES (SOGAF) Sarl</v>
          </cell>
          <cell r="N3188" t="str">
            <v>STS GAMBY &amp; FRERES (SOGAF) SarlScratch 5 000</v>
          </cell>
          <cell r="O3188" t="str">
            <v>STS GAMBY &amp; FRERES (SOGAF) Sarl</v>
          </cell>
          <cell r="P3188" t="str">
            <v>Scratch 5 000</v>
          </cell>
          <cell r="Q3188" t="str">
            <v>102007</v>
          </cell>
          <cell r="R3188" t="str">
            <v>102007Scratch 5 000</v>
          </cell>
          <cell r="S3188" t="str">
            <v>2007Scratch 5 000</v>
          </cell>
          <cell r="T3188" t="str">
            <v>102007STS GAMBY &amp; FRERES (SOGAF) Sarl</v>
          </cell>
          <cell r="U3188" t="str">
            <v>102007STS GAMBY &amp; FRERES (SOGAF) SarlScratch 5 000</v>
          </cell>
          <cell r="V3188" t="str">
            <v>39366Scratch 5 000</v>
          </cell>
          <cell r="W3188" t="str">
            <v>2007STS GAMBY &amp; FRERES (SOGAF) Sarl</v>
          </cell>
          <cell r="X3188" t="str">
            <v>2007STS GAMBY &amp; FRERES (SOGAF) SarlScratch 5 000</v>
          </cell>
        </row>
        <row r="3189">
          <cell r="I3189">
            <v>2007</v>
          </cell>
          <cell r="J3189" t="str">
            <v>STS GAMBY &amp; FRERES (SOGAF) SarlScratch 2 000</v>
          </cell>
          <cell r="L3189">
            <v>0</v>
          </cell>
          <cell r="M3189" t="str">
            <v>STS GAMBY &amp; FRERES (SOGAF) Sarl</v>
          </cell>
          <cell r="N3189" t="str">
            <v>STS GAMBY &amp; FRERES (SOGAF) SarlScratch 2 000</v>
          </cell>
          <cell r="O3189" t="str">
            <v>STS GAMBY &amp; FRERES (SOGAF) Sarl</v>
          </cell>
          <cell r="P3189" t="str">
            <v>Scratch 2 000</v>
          </cell>
          <cell r="Q3189" t="str">
            <v>102007</v>
          </cell>
          <cell r="R3189" t="str">
            <v>102007Scratch 2 000</v>
          </cell>
          <cell r="S3189" t="str">
            <v>2007Scratch 2 000</v>
          </cell>
          <cell r="T3189" t="str">
            <v>102007STS GAMBY &amp; FRERES (SOGAF) Sarl</v>
          </cell>
          <cell r="U3189" t="str">
            <v>102007STS GAMBY &amp; FRERES (SOGAF) SarlScratch 2 000</v>
          </cell>
          <cell r="V3189" t="str">
            <v>39366Scratch 2 000</v>
          </cell>
          <cell r="W3189" t="str">
            <v>2007STS GAMBY &amp; FRERES (SOGAF) Sarl</v>
          </cell>
          <cell r="X3189" t="str">
            <v>2007STS GAMBY &amp; FRERES (SOGAF) SarlScratch 2 000</v>
          </cell>
        </row>
        <row r="3190">
          <cell r="I3190">
            <v>2007</v>
          </cell>
          <cell r="J3190" t="str">
            <v>STS GAMBY &amp; FRERES (SOGAF) SarlScratch 1 000</v>
          </cell>
          <cell r="L3190">
            <v>0</v>
          </cell>
          <cell r="M3190" t="str">
            <v>STS GAMBY &amp; FRERES (SOGAF) Sarl</v>
          </cell>
          <cell r="N3190" t="str">
            <v>STS GAMBY &amp; FRERES (SOGAF) SarlScratch 1 000</v>
          </cell>
          <cell r="O3190" t="str">
            <v>STS GAMBY &amp; FRERES (SOGAF) Sarl</v>
          </cell>
          <cell r="P3190" t="str">
            <v>Scratch 1 000</v>
          </cell>
          <cell r="Q3190" t="str">
            <v>102007</v>
          </cell>
          <cell r="R3190" t="str">
            <v>102007Scratch 1 000</v>
          </cell>
          <cell r="S3190" t="str">
            <v>2007Scratch 1 000</v>
          </cell>
          <cell r="T3190" t="str">
            <v>102007STS GAMBY &amp; FRERES (SOGAF) Sarl</v>
          </cell>
          <cell r="U3190" t="str">
            <v>102007STS GAMBY &amp; FRERES (SOGAF) SarlScratch 1 000</v>
          </cell>
          <cell r="V3190" t="str">
            <v>39366Scratch 1 000</v>
          </cell>
          <cell r="W3190" t="str">
            <v>2007STS GAMBY &amp; FRERES (SOGAF) Sarl</v>
          </cell>
          <cell r="X3190" t="str">
            <v>2007STS GAMBY &amp; FRERES (SOGAF) SarlScratch 1 000</v>
          </cell>
        </row>
        <row r="3191">
          <cell r="I3191">
            <v>2007</v>
          </cell>
          <cell r="J3191" t="str">
            <v>GEMATELScratch 20 000</v>
          </cell>
          <cell r="L3191">
            <v>1</v>
          </cell>
          <cell r="M3191" t="str">
            <v>1GEMATEL</v>
          </cell>
          <cell r="N3191" t="str">
            <v>GEMATELScratch 20 000</v>
          </cell>
          <cell r="O3191" t="str">
            <v>GEMATEL</v>
          </cell>
          <cell r="P3191" t="str">
            <v>Scratch 20 000</v>
          </cell>
          <cell r="Q3191" t="str">
            <v>102007</v>
          </cell>
          <cell r="R3191" t="str">
            <v>102007Scratch 20 000</v>
          </cell>
          <cell r="S3191" t="str">
            <v>2007Scratch 20 000</v>
          </cell>
          <cell r="T3191" t="str">
            <v>102007GEMATEL</v>
          </cell>
          <cell r="U3191" t="str">
            <v>102007GEMATELScratch 20 000</v>
          </cell>
          <cell r="V3191" t="str">
            <v>39366Scratch 20 000</v>
          </cell>
          <cell r="W3191" t="str">
            <v>2007GEMATEL</v>
          </cell>
          <cell r="X3191" t="str">
            <v>2007GEMATELScratch 20 000</v>
          </cell>
        </row>
        <row r="3192">
          <cell r="I3192">
            <v>2007</v>
          </cell>
          <cell r="J3192" t="str">
            <v>GEMATELScratch 5 000</v>
          </cell>
          <cell r="L3192">
            <v>0</v>
          </cell>
          <cell r="M3192" t="str">
            <v>GEMATEL</v>
          </cell>
          <cell r="N3192" t="str">
            <v>GEMATELScratch 5 000</v>
          </cell>
          <cell r="O3192" t="str">
            <v>GEMATEL</v>
          </cell>
          <cell r="P3192" t="str">
            <v>Scratch 5 000</v>
          </cell>
          <cell r="Q3192" t="str">
            <v>102007</v>
          </cell>
          <cell r="R3192" t="str">
            <v>102007Scratch 5 000</v>
          </cell>
          <cell r="S3192" t="str">
            <v>2007Scratch 5 000</v>
          </cell>
          <cell r="T3192" t="str">
            <v>102007GEMATEL</v>
          </cell>
          <cell r="U3192" t="str">
            <v>102007GEMATELScratch 5 000</v>
          </cell>
          <cell r="V3192" t="str">
            <v>39366Scratch 5 000</v>
          </cell>
          <cell r="W3192" t="str">
            <v>2007GEMATEL</v>
          </cell>
          <cell r="X3192" t="str">
            <v>2007GEMATELScratch 5 000</v>
          </cell>
        </row>
        <row r="3193">
          <cell r="I3193">
            <v>2007</v>
          </cell>
          <cell r="J3193" t="str">
            <v>GEMATELScratch 2 000</v>
          </cell>
          <cell r="L3193">
            <v>0</v>
          </cell>
          <cell r="M3193" t="str">
            <v>GEMATEL</v>
          </cell>
          <cell r="N3193" t="str">
            <v>GEMATELScratch 2 000</v>
          </cell>
          <cell r="O3193" t="str">
            <v>GEMATEL</v>
          </cell>
          <cell r="P3193" t="str">
            <v>Scratch 2 000</v>
          </cell>
          <cell r="Q3193" t="str">
            <v>102007</v>
          </cell>
          <cell r="R3193" t="str">
            <v>102007Scratch 2 000</v>
          </cell>
          <cell r="S3193" t="str">
            <v>2007Scratch 2 000</v>
          </cell>
          <cell r="T3193" t="str">
            <v>102007GEMATEL</v>
          </cell>
          <cell r="U3193" t="str">
            <v>102007GEMATELScratch 2 000</v>
          </cell>
          <cell r="V3193" t="str">
            <v>39366Scratch 2 000</v>
          </cell>
          <cell r="W3193" t="str">
            <v>2007GEMATEL</v>
          </cell>
          <cell r="X3193" t="str">
            <v>2007GEMATELScratch 2 000</v>
          </cell>
        </row>
        <row r="3194">
          <cell r="I3194">
            <v>2007</v>
          </cell>
          <cell r="J3194" t="str">
            <v>GEMATELScratch 1 000</v>
          </cell>
          <cell r="L3194">
            <v>0</v>
          </cell>
          <cell r="M3194" t="str">
            <v>GEMATEL</v>
          </cell>
          <cell r="N3194" t="str">
            <v>GEMATELScratch 1 000</v>
          </cell>
          <cell r="O3194" t="str">
            <v>GEMATEL</v>
          </cell>
          <cell r="P3194" t="str">
            <v>Scratch 1 000</v>
          </cell>
          <cell r="Q3194" t="str">
            <v>102007</v>
          </cell>
          <cell r="R3194" t="str">
            <v>102007Scratch 1 000</v>
          </cell>
          <cell r="S3194" t="str">
            <v>2007Scratch 1 000</v>
          </cell>
          <cell r="T3194" t="str">
            <v>102007GEMATEL</v>
          </cell>
          <cell r="U3194" t="str">
            <v>102007GEMATELScratch 1 000</v>
          </cell>
          <cell r="V3194" t="str">
            <v>39366Scratch 1 000</v>
          </cell>
          <cell r="W3194" t="str">
            <v>2007GEMATEL</v>
          </cell>
          <cell r="X3194" t="str">
            <v>2007GEMATELScratch 1 000</v>
          </cell>
        </row>
        <row r="3195">
          <cell r="I3195">
            <v>2007</v>
          </cell>
          <cell r="J3195" t="str">
            <v>MALI COM SarlScratch 20 000</v>
          </cell>
          <cell r="L3195">
            <v>1</v>
          </cell>
          <cell r="M3195" t="str">
            <v>1MALI COM Sarl</v>
          </cell>
          <cell r="N3195" t="str">
            <v>MALI COM SarlScratch 20 000</v>
          </cell>
          <cell r="O3195" t="str">
            <v>MALI COM Sarl</v>
          </cell>
          <cell r="P3195" t="str">
            <v>Scratch 20 000</v>
          </cell>
          <cell r="Q3195" t="str">
            <v>102007</v>
          </cell>
          <cell r="R3195" t="str">
            <v>102007Scratch 20 000</v>
          </cell>
          <cell r="S3195" t="str">
            <v>2007Scratch 20 000</v>
          </cell>
          <cell r="T3195" t="str">
            <v>102007MALI COM Sarl</v>
          </cell>
          <cell r="U3195" t="str">
            <v>102007MALI COM SarlScratch 20 000</v>
          </cell>
          <cell r="V3195" t="str">
            <v>39366Scratch 20 000</v>
          </cell>
          <cell r="W3195" t="str">
            <v>2007MALI COM Sarl</v>
          </cell>
          <cell r="X3195" t="str">
            <v>2007MALI COM SarlScratch 20 000</v>
          </cell>
        </row>
        <row r="3196">
          <cell r="I3196">
            <v>2007</v>
          </cell>
          <cell r="J3196" t="str">
            <v>MALI COM SarlScratch 10 000</v>
          </cell>
          <cell r="L3196">
            <v>0</v>
          </cell>
          <cell r="M3196" t="str">
            <v>MALI COM Sarl</v>
          </cell>
          <cell r="N3196" t="str">
            <v>MALI COM SarlScratch 10 000</v>
          </cell>
          <cell r="O3196" t="str">
            <v>MALI COM Sarl</v>
          </cell>
          <cell r="P3196" t="str">
            <v>Scratch 10 000</v>
          </cell>
          <cell r="Q3196" t="str">
            <v>102007</v>
          </cell>
          <cell r="R3196" t="str">
            <v>102007Scratch 10 000</v>
          </cell>
          <cell r="S3196" t="str">
            <v>2007Scratch 10 000</v>
          </cell>
          <cell r="T3196" t="str">
            <v>102007MALI COM Sarl</v>
          </cell>
          <cell r="U3196" t="str">
            <v>102007MALI COM SarlScratch 10 000</v>
          </cell>
          <cell r="V3196" t="str">
            <v>39366Scratch 10 000</v>
          </cell>
          <cell r="W3196" t="str">
            <v>2007MALI COM Sarl</v>
          </cell>
          <cell r="X3196" t="str">
            <v>2007MALI COM SarlScratch 10 000</v>
          </cell>
        </row>
        <row r="3197">
          <cell r="I3197">
            <v>2007</v>
          </cell>
          <cell r="J3197" t="str">
            <v>MALI COM SarlScratch 5 000</v>
          </cell>
          <cell r="L3197">
            <v>0</v>
          </cell>
          <cell r="M3197" t="str">
            <v>MALI COM Sarl</v>
          </cell>
          <cell r="N3197" t="str">
            <v>MALI COM SarlScratch 5 000</v>
          </cell>
          <cell r="O3197" t="str">
            <v>MALI COM Sarl</v>
          </cell>
          <cell r="P3197" t="str">
            <v>Scratch 5 000</v>
          </cell>
          <cell r="Q3197" t="str">
            <v>102007</v>
          </cell>
          <cell r="R3197" t="str">
            <v>102007Scratch 5 000</v>
          </cell>
          <cell r="S3197" t="str">
            <v>2007Scratch 5 000</v>
          </cell>
          <cell r="T3197" t="str">
            <v>102007MALI COM Sarl</v>
          </cell>
          <cell r="U3197" t="str">
            <v>102007MALI COM SarlScratch 5 000</v>
          </cell>
          <cell r="V3197" t="str">
            <v>39366Scratch 5 000</v>
          </cell>
          <cell r="W3197" t="str">
            <v>2007MALI COM Sarl</v>
          </cell>
          <cell r="X3197" t="str">
            <v>2007MALI COM SarlScratch 5 000</v>
          </cell>
        </row>
        <row r="3198">
          <cell r="I3198">
            <v>2007</v>
          </cell>
          <cell r="J3198" t="str">
            <v>MALI COM SarlScratch 2 000</v>
          </cell>
          <cell r="L3198">
            <v>0</v>
          </cell>
          <cell r="M3198" t="str">
            <v>MALI COM Sarl</v>
          </cell>
          <cell r="N3198" t="str">
            <v>MALI COM SarlScratch 2 000</v>
          </cell>
          <cell r="O3198" t="str">
            <v>MALI COM Sarl</v>
          </cell>
          <cell r="P3198" t="str">
            <v>Scratch 2 000</v>
          </cell>
          <cell r="Q3198" t="str">
            <v>102007</v>
          </cell>
          <cell r="R3198" t="str">
            <v>102007Scratch 2 000</v>
          </cell>
          <cell r="S3198" t="str">
            <v>2007Scratch 2 000</v>
          </cell>
          <cell r="T3198" t="str">
            <v>102007MALI COM Sarl</v>
          </cell>
          <cell r="U3198" t="str">
            <v>102007MALI COM SarlScratch 2 000</v>
          </cell>
          <cell r="V3198" t="str">
            <v>39366Scratch 2 000</v>
          </cell>
          <cell r="W3198" t="str">
            <v>2007MALI COM Sarl</v>
          </cell>
          <cell r="X3198" t="str">
            <v>2007MALI COM SarlScratch 2 000</v>
          </cell>
        </row>
        <row r="3199">
          <cell r="I3199">
            <v>2007</v>
          </cell>
          <cell r="J3199" t="str">
            <v>MALI COM SarlScratch 1 000</v>
          </cell>
          <cell r="L3199">
            <v>0</v>
          </cell>
          <cell r="M3199" t="str">
            <v>MALI COM Sarl</v>
          </cell>
          <cell r="N3199" t="str">
            <v>MALI COM SarlScratch 1 000</v>
          </cell>
          <cell r="O3199" t="str">
            <v>MALI COM Sarl</v>
          </cell>
          <cell r="P3199" t="str">
            <v>Scratch 1 000</v>
          </cell>
          <cell r="Q3199" t="str">
            <v>102007</v>
          </cell>
          <cell r="R3199" t="str">
            <v>102007Scratch 1 000</v>
          </cell>
          <cell r="S3199" t="str">
            <v>2007Scratch 1 000</v>
          </cell>
          <cell r="T3199" t="str">
            <v>102007MALI COM Sarl</v>
          </cell>
          <cell r="U3199" t="str">
            <v>102007MALI COM SarlScratch 1 000</v>
          </cell>
          <cell r="V3199" t="str">
            <v>39366Scratch 1 000</v>
          </cell>
          <cell r="W3199" t="str">
            <v>2007MALI COM Sarl</v>
          </cell>
          <cell r="X3199" t="str">
            <v>2007MALI COM SarlScratch 1 000</v>
          </cell>
        </row>
        <row r="3200">
          <cell r="I3200">
            <v>2007</v>
          </cell>
          <cell r="J3200" t="str">
            <v>ANKA SERVICESScratch 10 000</v>
          </cell>
          <cell r="L3200">
            <v>1</v>
          </cell>
          <cell r="M3200" t="str">
            <v>1ANKA SERVICES</v>
          </cell>
          <cell r="N3200" t="str">
            <v>ANKA SERVICESScratch 10 000</v>
          </cell>
          <cell r="O3200" t="str">
            <v>ANKA SERVICES</v>
          </cell>
          <cell r="P3200" t="str">
            <v>Scratch 10 000</v>
          </cell>
          <cell r="Q3200" t="str">
            <v>102007</v>
          </cell>
          <cell r="R3200" t="str">
            <v>102007Scratch 10 000</v>
          </cell>
          <cell r="S3200" t="str">
            <v>2007Scratch 10 000</v>
          </cell>
          <cell r="T3200" t="str">
            <v>102007ANKA SERVICES</v>
          </cell>
          <cell r="U3200" t="str">
            <v>102007ANKA SERVICESScratch 10 000</v>
          </cell>
          <cell r="V3200" t="str">
            <v>39366Scratch 10 000</v>
          </cell>
          <cell r="W3200" t="str">
            <v>2007ANKA SERVICES</v>
          </cell>
          <cell r="X3200" t="str">
            <v>2007ANKA SERVICESScratch 10 000</v>
          </cell>
        </row>
        <row r="3201">
          <cell r="I3201">
            <v>2007</v>
          </cell>
          <cell r="J3201" t="str">
            <v>ANKA SERVICESScratch 5 000</v>
          </cell>
          <cell r="L3201">
            <v>0</v>
          </cell>
          <cell r="M3201" t="str">
            <v>ANKA SERVICES</v>
          </cell>
          <cell r="N3201" t="str">
            <v>ANKA SERVICESScratch 5 000</v>
          </cell>
          <cell r="O3201" t="str">
            <v>ANKA SERVICES</v>
          </cell>
          <cell r="P3201" t="str">
            <v>Scratch 5 000</v>
          </cell>
          <cell r="Q3201" t="str">
            <v>102007</v>
          </cell>
          <cell r="R3201" t="str">
            <v>102007Scratch 5 000</v>
          </cell>
          <cell r="S3201" t="str">
            <v>2007Scratch 5 000</v>
          </cell>
          <cell r="T3201" t="str">
            <v>102007ANKA SERVICES</v>
          </cell>
          <cell r="U3201" t="str">
            <v>102007ANKA SERVICESScratch 5 000</v>
          </cell>
          <cell r="V3201" t="str">
            <v>39366Scratch 5 000</v>
          </cell>
          <cell r="W3201" t="str">
            <v>2007ANKA SERVICES</v>
          </cell>
          <cell r="X3201" t="str">
            <v>2007ANKA SERVICESScratch 5 000</v>
          </cell>
        </row>
        <row r="3202">
          <cell r="I3202">
            <v>2007</v>
          </cell>
          <cell r="J3202" t="str">
            <v>ANKA SERVICESScratch 2 000</v>
          </cell>
          <cell r="L3202">
            <v>0</v>
          </cell>
          <cell r="M3202" t="str">
            <v>ANKA SERVICES</v>
          </cell>
          <cell r="N3202" t="str">
            <v>ANKA SERVICESScratch 2 000</v>
          </cell>
          <cell r="O3202" t="str">
            <v>ANKA SERVICES</v>
          </cell>
          <cell r="P3202" t="str">
            <v>Scratch 2 000</v>
          </cell>
          <cell r="Q3202" t="str">
            <v>102007</v>
          </cell>
          <cell r="R3202" t="str">
            <v>102007Scratch 2 000</v>
          </cell>
          <cell r="S3202" t="str">
            <v>2007Scratch 2 000</v>
          </cell>
          <cell r="T3202" t="str">
            <v>102007ANKA SERVICES</v>
          </cell>
          <cell r="U3202" t="str">
            <v>102007ANKA SERVICESScratch 2 000</v>
          </cell>
          <cell r="V3202" t="str">
            <v>39366Scratch 2 000</v>
          </cell>
          <cell r="W3202" t="str">
            <v>2007ANKA SERVICES</v>
          </cell>
          <cell r="X3202" t="str">
            <v>2007ANKA SERVICESScratch 2 000</v>
          </cell>
        </row>
        <row r="3203">
          <cell r="I3203">
            <v>2007</v>
          </cell>
          <cell r="J3203" t="str">
            <v>ANKA SERVICESScratch 1 000</v>
          </cell>
          <cell r="L3203">
            <v>0</v>
          </cell>
          <cell r="M3203" t="str">
            <v>ANKA SERVICES</v>
          </cell>
          <cell r="N3203" t="str">
            <v>ANKA SERVICESScratch 1 000</v>
          </cell>
          <cell r="O3203" t="str">
            <v>ANKA SERVICES</v>
          </cell>
          <cell r="P3203" t="str">
            <v>Scratch 1 000</v>
          </cell>
          <cell r="Q3203" t="str">
            <v>102007</v>
          </cell>
          <cell r="R3203" t="str">
            <v>102007Scratch 1 000</v>
          </cell>
          <cell r="S3203" t="str">
            <v>2007Scratch 1 000</v>
          </cell>
          <cell r="T3203" t="str">
            <v>102007ANKA SERVICES</v>
          </cell>
          <cell r="U3203" t="str">
            <v>102007ANKA SERVICESScratch 1 000</v>
          </cell>
          <cell r="V3203" t="str">
            <v>39366Scratch 1 000</v>
          </cell>
          <cell r="W3203" t="str">
            <v>2007ANKA SERVICES</v>
          </cell>
          <cell r="X3203" t="str">
            <v>2007ANKA SERVICESScratch 1 000</v>
          </cell>
        </row>
        <row r="3204">
          <cell r="I3204">
            <v>2007</v>
          </cell>
          <cell r="J3204" t="str">
            <v>Burtel MacsymScratch 20 000</v>
          </cell>
          <cell r="L3204">
            <v>1</v>
          </cell>
          <cell r="M3204" t="str">
            <v>1Burtel Macsym</v>
          </cell>
          <cell r="N3204" t="str">
            <v>Burtel MacsymScratch 20 000</v>
          </cell>
          <cell r="O3204" t="str">
            <v>Burtel Macsym</v>
          </cell>
          <cell r="P3204" t="str">
            <v>Scratch 20 000</v>
          </cell>
          <cell r="Q3204" t="str">
            <v>102007</v>
          </cell>
          <cell r="R3204" t="str">
            <v>102007Scratch 20 000</v>
          </cell>
          <cell r="S3204" t="str">
            <v>2007Scratch 20 000</v>
          </cell>
          <cell r="T3204" t="str">
            <v>102007Burtel Macsym</v>
          </cell>
          <cell r="U3204" t="str">
            <v>102007Burtel MacsymScratch 20 000</v>
          </cell>
          <cell r="V3204" t="str">
            <v>39366Scratch 20 000</v>
          </cell>
          <cell r="W3204" t="str">
            <v>2007Burtel Macsym</v>
          </cell>
          <cell r="X3204" t="str">
            <v>2007Burtel MacsymScratch 20 000</v>
          </cell>
        </row>
        <row r="3205">
          <cell r="I3205">
            <v>2007</v>
          </cell>
          <cell r="J3205" t="str">
            <v>Burtel MacsymScratch 10 000</v>
          </cell>
          <cell r="L3205">
            <v>0</v>
          </cell>
          <cell r="M3205" t="str">
            <v>Burtel Macsym</v>
          </cell>
          <cell r="N3205" t="str">
            <v>Burtel MacsymScratch 10 000</v>
          </cell>
          <cell r="O3205" t="str">
            <v>Burtel Macsym</v>
          </cell>
          <cell r="P3205" t="str">
            <v>Scratch 10 000</v>
          </cell>
          <cell r="Q3205" t="str">
            <v>102007</v>
          </cell>
          <cell r="R3205" t="str">
            <v>102007Scratch 10 000</v>
          </cell>
          <cell r="S3205" t="str">
            <v>2007Scratch 10 000</v>
          </cell>
          <cell r="T3205" t="str">
            <v>102007Burtel Macsym</v>
          </cell>
          <cell r="U3205" t="str">
            <v>102007Burtel MacsymScratch 10 000</v>
          </cell>
          <cell r="V3205" t="str">
            <v>39366Scratch 10 000</v>
          </cell>
          <cell r="W3205" t="str">
            <v>2007Burtel Macsym</v>
          </cell>
          <cell r="X3205" t="str">
            <v>2007Burtel MacsymScratch 10 000</v>
          </cell>
        </row>
        <row r="3206">
          <cell r="I3206">
            <v>2007</v>
          </cell>
          <cell r="J3206" t="str">
            <v>Burtel MacsymScratch 5 000</v>
          </cell>
          <cell r="L3206">
            <v>0</v>
          </cell>
          <cell r="M3206" t="str">
            <v>Burtel Macsym</v>
          </cell>
          <cell r="N3206" t="str">
            <v>Burtel MacsymScratch 5 000</v>
          </cell>
          <cell r="O3206" t="str">
            <v>Burtel Macsym</v>
          </cell>
          <cell r="P3206" t="str">
            <v>Scratch 5 000</v>
          </cell>
          <cell r="Q3206" t="str">
            <v>102007</v>
          </cell>
          <cell r="R3206" t="str">
            <v>102007Scratch 5 000</v>
          </cell>
          <cell r="S3206" t="str">
            <v>2007Scratch 5 000</v>
          </cell>
          <cell r="T3206" t="str">
            <v>102007Burtel Macsym</v>
          </cell>
          <cell r="U3206" t="str">
            <v>102007Burtel MacsymScratch 5 000</v>
          </cell>
          <cell r="V3206" t="str">
            <v>39366Scratch 5 000</v>
          </cell>
          <cell r="W3206" t="str">
            <v>2007Burtel Macsym</v>
          </cell>
          <cell r="X3206" t="str">
            <v>2007Burtel MacsymScratch 5 000</v>
          </cell>
        </row>
        <row r="3207">
          <cell r="I3207">
            <v>2007</v>
          </cell>
          <cell r="J3207" t="str">
            <v>Burtel MacsymScratch 2 000</v>
          </cell>
          <cell r="L3207">
            <v>0</v>
          </cell>
          <cell r="M3207" t="str">
            <v>Burtel Macsym</v>
          </cell>
          <cell r="N3207" t="str">
            <v>Burtel MacsymScratch 2 000</v>
          </cell>
          <cell r="O3207" t="str">
            <v>Burtel Macsym</v>
          </cell>
          <cell r="P3207" t="str">
            <v>Scratch 2 000</v>
          </cell>
          <cell r="Q3207" t="str">
            <v>102007</v>
          </cell>
          <cell r="R3207" t="str">
            <v>102007Scratch 2 000</v>
          </cell>
          <cell r="S3207" t="str">
            <v>2007Scratch 2 000</v>
          </cell>
          <cell r="T3207" t="str">
            <v>102007Burtel Macsym</v>
          </cell>
          <cell r="U3207" t="str">
            <v>102007Burtel MacsymScratch 2 000</v>
          </cell>
          <cell r="V3207" t="str">
            <v>39366Scratch 2 000</v>
          </cell>
          <cell r="W3207" t="str">
            <v>2007Burtel Macsym</v>
          </cell>
          <cell r="X3207" t="str">
            <v>2007Burtel MacsymScratch 2 000</v>
          </cell>
        </row>
        <row r="3208">
          <cell r="I3208">
            <v>2007</v>
          </cell>
          <cell r="J3208" t="str">
            <v>Burtel MacsymScratch 1 000</v>
          </cell>
          <cell r="L3208">
            <v>0</v>
          </cell>
          <cell r="M3208" t="str">
            <v>Burtel Macsym</v>
          </cell>
          <cell r="N3208" t="str">
            <v>Burtel MacsymScratch 1 000</v>
          </cell>
          <cell r="O3208" t="str">
            <v>Burtel Macsym</v>
          </cell>
          <cell r="P3208" t="str">
            <v>Scratch 1 000</v>
          </cell>
          <cell r="Q3208" t="str">
            <v>102007</v>
          </cell>
          <cell r="R3208" t="str">
            <v>102007Scratch 1 000</v>
          </cell>
          <cell r="S3208" t="str">
            <v>2007Scratch 1 000</v>
          </cell>
          <cell r="T3208" t="str">
            <v>102007Burtel Macsym</v>
          </cell>
          <cell r="U3208" t="str">
            <v>102007Burtel MacsymScratch 1 000</v>
          </cell>
          <cell r="V3208" t="str">
            <v>39366Scratch 1 000</v>
          </cell>
          <cell r="W3208" t="str">
            <v>2007Burtel Macsym</v>
          </cell>
          <cell r="X3208" t="str">
            <v>2007Burtel MacsymScratch 1 000</v>
          </cell>
        </row>
        <row r="3209">
          <cell r="I3209">
            <v>2007</v>
          </cell>
          <cell r="J3209" t="str">
            <v>Compagnie Internationale de NegoceScratch 20 000</v>
          </cell>
          <cell r="L3209">
            <v>1</v>
          </cell>
          <cell r="M3209" t="str">
            <v>1Compagnie Internationale de Negoce</v>
          </cell>
          <cell r="N3209" t="str">
            <v>Compagnie Internationale de NegoceScratch 20 000</v>
          </cell>
          <cell r="O3209" t="str">
            <v>Compagnie Internationale de Negoce</v>
          </cell>
          <cell r="P3209" t="str">
            <v>Scratch 20 000</v>
          </cell>
          <cell r="Q3209" t="str">
            <v>102007</v>
          </cell>
          <cell r="R3209" t="str">
            <v>102007Scratch 20 000</v>
          </cell>
          <cell r="S3209" t="str">
            <v>2007Scratch 20 000</v>
          </cell>
          <cell r="T3209" t="str">
            <v>102007Compagnie Internationale de Negoce</v>
          </cell>
          <cell r="U3209" t="str">
            <v>102007Compagnie Internationale de NegoceScratch 20 000</v>
          </cell>
          <cell r="V3209" t="str">
            <v>39366Scratch 20 000</v>
          </cell>
          <cell r="W3209" t="str">
            <v>2007Compagnie Internationale de Negoce</v>
          </cell>
          <cell r="X3209" t="str">
            <v>2007Compagnie Internationale de NegoceScratch 20 000</v>
          </cell>
        </row>
        <row r="3210">
          <cell r="I3210">
            <v>2007</v>
          </cell>
          <cell r="J3210" t="str">
            <v>Compagnie Internationale de NegoceScratch 10 000</v>
          </cell>
          <cell r="L3210">
            <v>0</v>
          </cell>
          <cell r="M3210" t="str">
            <v>Compagnie Internationale de Negoce</v>
          </cell>
          <cell r="N3210" t="str">
            <v>Compagnie Internationale de NegoceScratch 10 000</v>
          </cell>
          <cell r="O3210" t="str">
            <v>Compagnie Internationale de Negoce</v>
          </cell>
          <cell r="P3210" t="str">
            <v>Scratch 10 000</v>
          </cell>
          <cell r="Q3210" t="str">
            <v>102007</v>
          </cell>
          <cell r="R3210" t="str">
            <v>102007Scratch 10 000</v>
          </cell>
          <cell r="S3210" t="str">
            <v>2007Scratch 10 000</v>
          </cell>
          <cell r="T3210" t="str">
            <v>102007Compagnie Internationale de Negoce</v>
          </cell>
          <cell r="U3210" t="str">
            <v>102007Compagnie Internationale de NegoceScratch 10 000</v>
          </cell>
          <cell r="V3210" t="str">
            <v>39366Scratch 10 000</v>
          </cell>
          <cell r="W3210" t="str">
            <v>2007Compagnie Internationale de Negoce</v>
          </cell>
          <cell r="X3210" t="str">
            <v>2007Compagnie Internationale de NegoceScratch 10 000</v>
          </cell>
        </row>
        <row r="3211">
          <cell r="I3211">
            <v>2007</v>
          </cell>
          <cell r="J3211" t="str">
            <v>Compagnie Internationale de NegoceScratch 5 000</v>
          </cell>
          <cell r="L3211">
            <v>0</v>
          </cell>
          <cell r="M3211" t="str">
            <v>Compagnie Internationale de Negoce</v>
          </cell>
          <cell r="N3211" t="str">
            <v>Compagnie Internationale de NegoceScratch 5 000</v>
          </cell>
          <cell r="O3211" t="str">
            <v>Compagnie Internationale de Negoce</v>
          </cell>
          <cell r="P3211" t="str">
            <v>Scratch 5 000</v>
          </cell>
          <cell r="Q3211" t="str">
            <v>102007</v>
          </cell>
          <cell r="R3211" t="str">
            <v>102007Scratch 5 000</v>
          </cell>
          <cell r="S3211" t="str">
            <v>2007Scratch 5 000</v>
          </cell>
          <cell r="T3211" t="str">
            <v>102007Compagnie Internationale de Negoce</v>
          </cell>
          <cell r="U3211" t="str">
            <v>102007Compagnie Internationale de NegoceScratch 5 000</v>
          </cell>
          <cell r="V3211" t="str">
            <v>39366Scratch 5 000</v>
          </cell>
          <cell r="W3211" t="str">
            <v>2007Compagnie Internationale de Negoce</v>
          </cell>
          <cell r="X3211" t="str">
            <v>2007Compagnie Internationale de NegoceScratch 5 000</v>
          </cell>
        </row>
        <row r="3212">
          <cell r="I3212">
            <v>2007</v>
          </cell>
          <cell r="J3212" t="str">
            <v>Compagnie Internationale de NegoceScratch 2 000</v>
          </cell>
          <cell r="L3212">
            <v>0</v>
          </cell>
          <cell r="M3212" t="str">
            <v>Compagnie Internationale de Negoce</v>
          </cell>
          <cell r="N3212" t="str">
            <v>Compagnie Internationale de NegoceScratch 2 000</v>
          </cell>
          <cell r="O3212" t="str">
            <v>Compagnie Internationale de Negoce</v>
          </cell>
          <cell r="P3212" t="str">
            <v>Scratch 2 000</v>
          </cell>
          <cell r="Q3212" t="str">
            <v>102007</v>
          </cell>
          <cell r="R3212" t="str">
            <v>102007Scratch 2 000</v>
          </cell>
          <cell r="S3212" t="str">
            <v>2007Scratch 2 000</v>
          </cell>
          <cell r="T3212" t="str">
            <v>102007Compagnie Internationale de Negoce</v>
          </cell>
          <cell r="U3212" t="str">
            <v>102007Compagnie Internationale de NegoceScratch 2 000</v>
          </cell>
          <cell r="V3212" t="str">
            <v>39366Scratch 2 000</v>
          </cell>
          <cell r="W3212" t="str">
            <v>2007Compagnie Internationale de Negoce</v>
          </cell>
          <cell r="X3212" t="str">
            <v>2007Compagnie Internationale de NegoceScratch 2 000</v>
          </cell>
        </row>
        <row r="3213">
          <cell r="I3213">
            <v>2007</v>
          </cell>
          <cell r="J3213" t="str">
            <v>Compagnie Internationale de NegoceScratch 1 000</v>
          </cell>
          <cell r="L3213">
            <v>0</v>
          </cell>
          <cell r="M3213" t="str">
            <v>Compagnie Internationale de Negoce</v>
          </cell>
          <cell r="N3213" t="str">
            <v>Compagnie Internationale de NegoceScratch 1 000</v>
          </cell>
          <cell r="O3213" t="str">
            <v>Compagnie Internationale de Negoce</v>
          </cell>
          <cell r="P3213" t="str">
            <v>Scratch 1 000</v>
          </cell>
          <cell r="Q3213" t="str">
            <v>102007</v>
          </cell>
          <cell r="R3213" t="str">
            <v>102007Scratch 1 000</v>
          </cell>
          <cell r="S3213" t="str">
            <v>2007Scratch 1 000</v>
          </cell>
          <cell r="T3213" t="str">
            <v>102007Compagnie Internationale de Negoce</v>
          </cell>
          <cell r="U3213" t="str">
            <v>102007Compagnie Internationale de NegoceScratch 1 000</v>
          </cell>
          <cell r="V3213" t="str">
            <v>39366Scratch 1 000</v>
          </cell>
          <cell r="W3213" t="str">
            <v>2007Compagnie Internationale de Negoce</v>
          </cell>
          <cell r="X3213" t="str">
            <v>2007Compagnie Internationale de NegoceScratch 1 000</v>
          </cell>
        </row>
        <row r="3214">
          <cell r="I3214">
            <v>2007</v>
          </cell>
          <cell r="J3214" t="str">
            <v>SDC TELECOMScratch 10 000</v>
          </cell>
          <cell r="L3214">
            <v>1</v>
          </cell>
          <cell r="M3214" t="str">
            <v>1SDC TELECOM</v>
          </cell>
          <cell r="N3214" t="str">
            <v>SDC TELECOMScratch 10 000</v>
          </cell>
          <cell r="O3214" t="str">
            <v>SDC TELECOM</v>
          </cell>
          <cell r="P3214" t="str">
            <v>Scratch 10 000</v>
          </cell>
          <cell r="Q3214" t="str">
            <v>102007</v>
          </cell>
          <cell r="R3214" t="str">
            <v>102007Scratch 10 000</v>
          </cell>
          <cell r="S3214" t="str">
            <v>2007Scratch 10 000</v>
          </cell>
          <cell r="T3214" t="str">
            <v>102007SDC TELECOM</v>
          </cell>
          <cell r="U3214" t="str">
            <v>102007SDC TELECOMScratch 10 000</v>
          </cell>
          <cell r="V3214" t="str">
            <v>39366Scratch 10 000</v>
          </cell>
          <cell r="W3214" t="str">
            <v>2007SDC TELECOM</v>
          </cell>
          <cell r="X3214" t="str">
            <v>2007SDC TELECOMScratch 10 000</v>
          </cell>
        </row>
        <row r="3215">
          <cell r="I3215">
            <v>2007</v>
          </cell>
          <cell r="J3215" t="str">
            <v>SDC TELECOMScratch 5 000</v>
          </cell>
          <cell r="L3215">
            <v>0</v>
          </cell>
          <cell r="M3215" t="str">
            <v>SDC TELECOM</v>
          </cell>
          <cell r="N3215" t="str">
            <v>SDC TELECOMScratch 5 000</v>
          </cell>
          <cell r="O3215" t="str">
            <v>SDC TELECOM</v>
          </cell>
          <cell r="P3215" t="str">
            <v>Scratch 5 000</v>
          </cell>
          <cell r="Q3215" t="str">
            <v>102007</v>
          </cell>
          <cell r="R3215" t="str">
            <v>102007Scratch 5 000</v>
          </cell>
          <cell r="S3215" t="str">
            <v>2007Scratch 5 000</v>
          </cell>
          <cell r="T3215" t="str">
            <v>102007SDC TELECOM</v>
          </cell>
          <cell r="U3215" t="str">
            <v>102007SDC TELECOMScratch 5 000</v>
          </cell>
          <cell r="V3215" t="str">
            <v>39366Scratch 5 000</v>
          </cell>
          <cell r="W3215" t="str">
            <v>2007SDC TELECOM</v>
          </cell>
          <cell r="X3215" t="str">
            <v>2007SDC TELECOMScratch 5 000</v>
          </cell>
        </row>
        <row r="3216">
          <cell r="I3216">
            <v>2007</v>
          </cell>
          <cell r="J3216" t="str">
            <v>SDC TELECOMScratch 2 000</v>
          </cell>
          <cell r="L3216">
            <v>0</v>
          </cell>
          <cell r="M3216" t="str">
            <v>SDC TELECOM</v>
          </cell>
          <cell r="N3216" t="str">
            <v>SDC TELECOMScratch 2 000</v>
          </cell>
          <cell r="O3216" t="str">
            <v>SDC TELECOM</v>
          </cell>
          <cell r="P3216" t="str">
            <v>Scratch 2 000</v>
          </cell>
          <cell r="Q3216" t="str">
            <v>102007</v>
          </cell>
          <cell r="R3216" t="str">
            <v>102007Scratch 2 000</v>
          </cell>
          <cell r="S3216" t="str">
            <v>2007Scratch 2 000</v>
          </cell>
          <cell r="T3216" t="str">
            <v>102007SDC TELECOM</v>
          </cell>
          <cell r="U3216" t="str">
            <v>102007SDC TELECOMScratch 2 000</v>
          </cell>
          <cell r="V3216" t="str">
            <v>39366Scratch 2 000</v>
          </cell>
          <cell r="W3216" t="str">
            <v>2007SDC TELECOM</v>
          </cell>
          <cell r="X3216" t="str">
            <v>2007SDC TELECOMScratch 2 000</v>
          </cell>
        </row>
        <row r="3217">
          <cell r="I3217">
            <v>2007</v>
          </cell>
          <cell r="J3217" t="str">
            <v>SDC TELECOMScratch 1 000</v>
          </cell>
          <cell r="L3217">
            <v>0</v>
          </cell>
          <cell r="M3217" t="str">
            <v>SDC TELECOM</v>
          </cell>
          <cell r="N3217" t="str">
            <v>SDC TELECOMScratch 1 000</v>
          </cell>
          <cell r="O3217" t="str">
            <v>SDC TELECOM</v>
          </cell>
          <cell r="P3217" t="str">
            <v>Scratch 1 000</v>
          </cell>
          <cell r="Q3217" t="str">
            <v>102007</v>
          </cell>
          <cell r="R3217" t="str">
            <v>102007Scratch 1 000</v>
          </cell>
          <cell r="S3217" t="str">
            <v>2007Scratch 1 000</v>
          </cell>
          <cell r="T3217" t="str">
            <v>102007SDC TELECOM</v>
          </cell>
          <cell r="U3217" t="str">
            <v>102007SDC TELECOMScratch 1 000</v>
          </cell>
          <cell r="V3217" t="str">
            <v>39366Scratch 1 000</v>
          </cell>
          <cell r="W3217" t="str">
            <v>2007SDC TELECOM</v>
          </cell>
          <cell r="X3217" t="str">
            <v>2007SDC TELECOMScratch 1 000</v>
          </cell>
        </row>
        <row r="3218">
          <cell r="I3218">
            <v>2007</v>
          </cell>
          <cell r="J3218" t="str">
            <v>ANKA SERVICESScratch 5 000</v>
          </cell>
          <cell r="L3218">
            <v>1</v>
          </cell>
          <cell r="M3218" t="str">
            <v>1ANKA SERVICES</v>
          </cell>
          <cell r="N3218" t="str">
            <v>ANKA SERVICESScratch 5 000</v>
          </cell>
          <cell r="O3218" t="str">
            <v>ANKA SERVICES</v>
          </cell>
          <cell r="P3218" t="str">
            <v>Scratch 5 000</v>
          </cell>
          <cell r="Q3218" t="str">
            <v>102007</v>
          </cell>
          <cell r="R3218" t="str">
            <v>102007Scratch 5 000</v>
          </cell>
          <cell r="S3218" t="str">
            <v>2007Scratch 5 000</v>
          </cell>
          <cell r="T3218" t="str">
            <v>102007ANKA SERVICES</v>
          </cell>
          <cell r="U3218" t="str">
            <v>102007ANKA SERVICESScratch 5 000</v>
          </cell>
          <cell r="V3218" t="str">
            <v>39368Scratch 5 000</v>
          </cell>
          <cell r="W3218" t="str">
            <v>2007ANKA SERVICES</v>
          </cell>
          <cell r="X3218" t="str">
            <v>2007ANKA SERVICESScratch 5 000</v>
          </cell>
        </row>
        <row r="3219">
          <cell r="I3219">
            <v>2007</v>
          </cell>
          <cell r="J3219" t="str">
            <v>ANKA SERVICESScratch 2 000</v>
          </cell>
          <cell r="L3219">
            <v>0</v>
          </cell>
          <cell r="M3219" t="str">
            <v>ANKA SERVICES</v>
          </cell>
          <cell r="N3219" t="str">
            <v>ANKA SERVICESScratch 2 000</v>
          </cell>
          <cell r="O3219" t="str">
            <v>ANKA SERVICES</v>
          </cell>
          <cell r="P3219" t="str">
            <v>Scratch 2 000</v>
          </cell>
          <cell r="Q3219" t="str">
            <v>102007</v>
          </cell>
          <cell r="R3219" t="str">
            <v>102007Scratch 2 000</v>
          </cell>
          <cell r="S3219" t="str">
            <v>2007Scratch 2 000</v>
          </cell>
          <cell r="T3219" t="str">
            <v>102007ANKA SERVICES</v>
          </cell>
          <cell r="U3219" t="str">
            <v>102007ANKA SERVICESScratch 2 000</v>
          </cell>
          <cell r="V3219" t="str">
            <v>39368Scratch 2 000</v>
          </cell>
          <cell r="W3219" t="str">
            <v>2007ANKA SERVICES</v>
          </cell>
          <cell r="X3219" t="str">
            <v>2007ANKA SERVICESScratch 2 000</v>
          </cell>
        </row>
        <row r="3220">
          <cell r="I3220">
            <v>2007</v>
          </cell>
          <cell r="J3220" t="str">
            <v>ANKA SERVICESScratch 1 000</v>
          </cell>
          <cell r="L3220">
            <v>0</v>
          </cell>
          <cell r="M3220" t="str">
            <v>ANKA SERVICES</v>
          </cell>
          <cell r="N3220" t="str">
            <v>ANKA SERVICESScratch 1 000</v>
          </cell>
          <cell r="O3220" t="str">
            <v>ANKA SERVICES</v>
          </cell>
          <cell r="P3220" t="str">
            <v>Scratch 1 000</v>
          </cell>
          <cell r="Q3220" t="str">
            <v>102007</v>
          </cell>
          <cell r="R3220" t="str">
            <v>102007Scratch 1 000</v>
          </cell>
          <cell r="S3220" t="str">
            <v>2007Scratch 1 000</v>
          </cell>
          <cell r="T3220" t="str">
            <v>102007ANKA SERVICES</v>
          </cell>
          <cell r="U3220" t="str">
            <v>102007ANKA SERVICESScratch 1 000</v>
          </cell>
          <cell r="V3220" t="str">
            <v>39368Scratch 1 000</v>
          </cell>
          <cell r="W3220" t="str">
            <v>2007ANKA SERVICES</v>
          </cell>
          <cell r="X3220" t="str">
            <v>2007ANKA SERVICESScratch 1 000</v>
          </cell>
        </row>
        <row r="3221">
          <cell r="I3221">
            <v>2007</v>
          </cell>
          <cell r="J3221" t="str">
            <v>Compagnie Internationale de NegoceScratch 5 000</v>
          </cell>
          <cell r="L3221">
            <v>1</v>
          </cell>
          <cell r="M3221" t="str">
            <v>1Compagnie Internationale de Negoce</v>
          </cell>
          <cell r="N3221" t="str">
            <v>Compagnie Internationale de NegoceScratch 5 000</v>
          </cell>
          <cell r="O3221" t="str">
            <v>Compagnie Internationale de Negoce</v>
          </cell>
          <cell r="P3221" t="str">
            <v>Scratch 5 000</v>
          </cell>
          <cell r="Q3221" t="str">
            <v>102007</v>
          </cell>
          <cell r="R3221" t="str">
            <v>102007Scratch 5 000</v>
          </cell>
          <cell r="S3221" t="str">
            <v>2007Scratch 5 000</v>
          </cell>
          <cell r="T3221" t="str">
            <v>102007Compagnie Internationale de Negoce</v>
          </cell>
          <cell r="U3221" t="str">
            <v>102007Compagnie Internationale de NegoceScratch 5 000</v>
          </cell>
          <cell r="V3221" t="str">
            <v>39368Scratch 5 000</v>
          </cell>
          <cell r="W3221" t="str">
            <v>2007Compagnie Internationale de Negoce</v>
          </cell>
          <cell r="X3221" t="str">
            <v>2007Compagnie Internationale de NegoceScratch 5 000</v>
          </cell>
        </row>
        <row r="3222">
          <cell r="I3222">
            <v>2007</v>
          </cell>
          <cell r="J3222" t="str">
            <v>Compagnie Internationale de NegoceScratch 2 000</v>
          </cell>
          <cell r="L3222">
            <v>0</v>
          </cell>
          <cell r="M3222" t="str">
            <v>Compagnie Internationale de Negoce</v>
          </cell>
          <cell r="N3222" t="str">
            <v>Compagnie Internationale de NegoceScratch 2 000</v>
          </cell>
          <cell r="O3222" t="str">
            <v>Compagnie Internationale de Negoce</v>
          </cell>
          <cell r="P3222" t="str">
            <v>Scratch 2 000</v>
          </cell>
          <cell r="Q3222" t="str">
            <v>102007</v>
          </cell>
          <cell r="R3222" t="str">
            <v>102007Scratch 2 000</v>
          </cell>
          <cell r="S3222" t="str">
            <v>2007Scratch 2 000</v>
          </cell>
          <cell r="T3222" t="str">
            <v>102007Compagnie Internationale de Negoce</v>
          </cell>
          <cell r="U3222" t="str">
            <v>102007Compagnie Internationale de NegoceScratch 2 000</v>
          </cell>
          <cell r="V3222" t="str">
            <v>39368Scratch 2 000</v>
          </cell>
          <cell r="W3222" t="str">
            <v>2007Compagnie Internationale de Negoce</v>
          </cell>
          <cell r="X3222" t="str">
            <v>2007Compagnie Internationale de NegoceScratch 2 000</v>
          </cell>
        </row>
        <row r="3223">
          <cell r="I3223">
            <v>2007</v>
          </cell>
          <cell r="J3223" t="str">
            <v>Compagnie Internationale de NegoceScratch 1 000</v>
          </cell>
          <cell r="L3223">
            <v>0</v>
          </cell>
          <cell r="M3223" t="str">
            <v>Compagnie Internationale de Negoce</v>
          </cell>
          <cell r="N3223" t="str">
            <v>Compagnie Internationale de NegoceScratch 1 000</v>
          </cell>
          <cell r="O3223" t="str">
            <v>Compagnie Internationale de Negoce</v>
          </cell>
          <cell r="P3223" t="str">
            <v>Scratch 1 000</v>
          </cell>
          <cell r="Q3223" t="str">
            <v>102007</v>
          </cell>
          <cell r="R3223" t="str">
            <v>102007Scratch 1 000</v>
          </cell>
          <cell r="S3223" t="str">
            <v>2007Scratch 1 000</v>
          </cell>
          <cell r="T3223" t="str">
            <v>102007Compagnie Internationale de Negoce</v>
          </cell>
          <cell r="U3223" t="str">
            <v>102007Compagnie Internationale de NegoceScratch 1 000</v>
          </cell>
          <cell r="V3223" t="str">
            <v>39368Scratch 1 000</v>
          </cell>
          <cell r="W3223" t="str">
            <v>2007Compagnie Internationale de Negoce</v>
          </cell>
          <cell r="X3223" t="str">
            <v>2007Compagnie Internationale de NegoceScratch 1 000</v>
          </cell>
        </row>
        <row r="3224">
          <cell r="I3224">
            <v>2007</v>
          </cell>
          <cell r="J3224" t="str">
            <v>Bonneterie Nouvelle TelecomScratch 20 000</v>
          </cell>
          <cell r="L3224">
            <v>1</v>
          </cell>
          <cell r="M3224" t="str">
            <v>1Bonneterie Nouvelle Telecom</v>
          </cell>
          <cell r="N3224" t="str">
            <v>Bonneterie Nouvelle TelecomScratch 20 000</v>
          </cell>
          <cell r="O3224" t="str">
            <v>Bonneterie Nouvelle Telecom</v>
          </cell>
          <cell r="P3224" t="str">
            <v>Scratch 20 000</v>
          </cell>
          <cell r="Q3224" t="str">
            <v>102007</v>
          </cell>
          <cell r="R3224" t="str">
            <v>102007Scratch 20 000</v>
          </cell>
          <cell r="S3224" t="str">
            <v>2007Scratch 20 000</v>
          </cell>
          <cell r="T3224" t="str">
            <v>102007Bonneterie Nouvelle Telecom</v>
          </cell>
          <cell r="U3224" t="str">
            <v>102007Bonneterie Nouvelle TelecomScratch 20 000</v>
          </cell>
          <cell r="V3224" t="str">
            <v>39368Scratch 20 000</v>
          </cell>
          <cell r="W3224" t="str">
            <v>2007Bonneterie Nouvelle Telecom</v>
          </cell>
          <cell r="X3224" t="str">
            <v>2007Bonneterie Nouvelle TelecomScratch 20 000</v>
          </cell>
        </row>
        <row r="3225">
          <cell r="I3225">
            <v>2007</v>
          </cell>
          <cell r="J3225" t="str">
            <v>Bonneterie Nouvelle TelecomScratch 5 000</v>
          </cell>
          <cell r="L3225">
            <v>0</v>
          </cell>
          <cell r="M3225" t="str">
            <v>Bonneterie Nouvelle Telecom</v>
          </cell>
          <cell r="N3225" t="str">
            <v>Bonneterie Nouvelle TelecomScratch 5 000</v>
          </cell>
          <cell r="O3225" t="str">
            <v>Bonneterie Nouvelle Telecom</v>
          </cell>
          <cell r="P3225" t="str">
            <v>Scratch 5 000</v>
          </cell>
          <cell r="Q3225" t="str">
            <v>102007</v>
          </cell>
          <cell r="R3225" t="str">
            <v>102007Scratch 5 000</v>
          </cell>
          <cell r="S3225" t="str">
            <v>2007Scratch 5 000</v>
          </cell>
          <cell r="T3225" t="str">
            <v>102007Bonneterie Nouvelle Telecom</v>
          </cell>
          <cell r="U3225" t="str">
            <v>102007Bonneterie Nouvelle TelecomScratch 5 000</v>
          </cell>
          <cell r="V3225" t="str">
            <v>39368Scratch 5 000</v>
          </cell>
          <cell r="W3225" t="str">
            <v>2007Bonneterie Nouvelle Telecom</v>
          </cell>
          <cell r="X3225" t="str">
            <v>2007Bonneterie Nouvelle TelecomScratch 5 000</v>
          </cell>
        </row>
        <row r="3226">
          <cell r="I3226">
            <v>2007</v>
          </cell>
          <cell r="J3226" t="str">
            <v>Bonneterie Nouvelle TelecomScratch 2 000</v>
          </cell>
          <cell r="L3226">
            <v>0</v>
          </cell>
          <cell r="M3226" t="str">
            <v>Bonneterie Nouvelle Telecom</v>
          </cell>
          <cell r="N3226" t="str">
            <v>Bonneterie Nouvelle TelecomScratch 2 000</v>
          </cell>
          <cell r="O3226" t="str">
            <v>Bonneterie Nouvelle Telecom</v>
          </cell>
          <cell r="P3226" t="str">
            <v>Scratch 2 000</v>
          </cell>
          <cell r="Q3226" t="str">
            <v>102007</v>
          </cell>
          <cell r="R3226" t="str">
            <v>102007Scratch 2 000</v>
          </cell>
          <cell r="S3226" t="str">
            <v>2007Scratch 2 000</v>
          </cell>
          <cell r="T3226" t="str">
            <v>102007Bonneterie Nouvelle Telecom</v>
          </cell>
          <cell r="U3226" t="str">
            <v>102007Bonneterie Nouvelle TelecomScratch 2 000</v>
          </cell>
          <cell r="V3226" t="str">
            <v>39368Scratch 2 000</v>
          </cell>
          <cell r="W3226" t="str">
            <v>2007Bonneterie Nouvelle Telecom</v>
          </cell>
          <cell r="X3226" t="str">
            <v>2007Bonneterie Nouvelle TelecomScratch 2 000</v>
          </cell>
        </row>
        <row r="3227">
          <cell r="I3227">
            <v>2007</v>
          </cell>
          <cell r="J3227" t="str">
            <v>Bonneterie Nouvelle TelecomScratch 1 000</v>
          </cell>
          <cell r="L3227">
            <v>0</v>
          </cell>
          <cell r="M3227" t="str">
            <v>Bonneterie Nouvelle Telecom</v>
          </cell>
          <cell r="N3227" t="str">
            <v>Bonneterie Nouvelle TelecomScratch 1 000</v>
          </cell>
          <cell r="O3227" t="str">
            <v>Bonneterie Nouvelle Telecom</v>
          </cell>
          <cell r="P3227" t="str">
            <v>Scratch 1 000</v>
          </cell>
          <cell r="Q3227" t="str">
            <v>102007</v>
          </cell>
          <cell r="R3227" t="str">
            <v>102007Scratch 1 000</v>
          </cell>
          <cell r="S3227" t="str">
            <v>2007Scratch 1 000</v>
          </cell>
          <cell r="T3227" t="str">
            <v>102007Bonneterie Nouvelle Telecom</v>
          </cell>
          <cell r="U3227" t="str">
            <v>102007Bonneterie Nouvelle TelecomScratch 1 000</v>
          </cell>
          <cell r="V3227" t="str">
            <v>39368Scratch 1 000</v>
          </cell>
          <cell r="W3227" t="str">
            <v>2007Bonneterie Nouvelle Telecom</v>
          </cell>
          <cell r="X3227" t="str">
            <v>2007Bonneterie Nouvelle TelecomScratch 1 000</v>
          </cell>
        </row>
        <row r="3228">
          <cell r="I3228">
            <v>2007</v>
          </cell>
          <cell r="J3228" t="str">
            <v>Soleil LevantScratch 5 000</v>
          </cell>
          <cell r="L3228">
            <v>1</v>
          </cell>
          <cell r="M3228" t="str">
            <v>1Soleil Levant</v>
          </cell>
          <cell r="N3228" t="str">
            <v>Soleil LevantScratch 5 000</v>
          </cell>
          <cell r="O3228" t="str">
            <v>Soleil Levant</v>
          </cell>
          <cell r="P3228" t="str">
            <v>Scratch 5 000</v>
          </cell>
          <cell r="Q3228" t="str">
            <v>102007</v>
          </cell>
          <cell r="R3228" t="str">
            <v>102007Scratch 5 000</v>
          </cell>
          <cell r="S3228" t="str">
            <v>2007Scratch 5 000</v>
          </cell>
          <cell r="T3228" t="str">
            <v>102007Soleil Levant</v>
          </cell>
          <cell r="U3228" t="str">
            <v>102007Soleil LevantScratch 5 000</v>
          </cell>
          <cell r="V3228" t="str">
            <v>39370Scratch 5 000</v>
          </cell>
          <cell r="W3228" t="str">
            <v>2007Soleil Levant</v>
          </cell>
          <cell r="X3228" t="str">
            <v>2007Soleil LevantScratch 5 000</v>
          </cell>
        </row>
        <row r="3229">
          <cell r="I3229">
            <v>2007</v>
          </cell>
          <cell r="J3229" t="str">
            <v>Soleil LevantScratch 2 000</v>
          </cell>
          <cell r="L3229">
            <v>0</v>
          </cell>
          <cell r="M3229" t="str">
            <v>Soleil Levant</v>
          </cell>
          <cell r="N3229" t="str">
            <v>Soleil LevantScratch 2 000</v>
          </cell>
          <cell r="O3229" t="str">
            <v>Soleil Levant</v>
          </cell>
          <cell r="P3229" t="str">
            <v>Scratch 2 000</v>
          </cell>
          <cell r="Q3229" t="str">
            <v>102007</v>
          </cell>
          <cell r="R3229" t="str">
            <v>102007Scratch 2 000</v>
          </cell>
          <cell r="S3229" t="str">
            <v>2007Scratch 2 000</v>
          </cell>
          <cell r="T3229" t="str">
            <v>102007Soleil Levant</v>
          </cell>
          <cell r="U3229" t="str">
            <v>102007Soleil LevantScratch 2 000</v>
          </cell>
          <cell r="V3229" t="str">
            <v>39370Scratch 2 000</v>
          </cell>
          <cell r="W3229" t="str">
            <v>2007Soleil Levant</v>
          </cell>
          <cell r="X3229" t="str">
            <v>2007Soleil LevantScratch 2 000</v>
          </cell>
        </row>
        <row r="3230">
          <cell r="I3230">
            <v>2007</v>
          </cell>
          <cell r="J3230" t="str">
            <v>Soleil LevantScratch 1 000</v>
          </cell>
          <cell r="L3230">
            <v>0</v>
          </cell>
          <cell r="M3230" t="str">
            <v>Soleil Levant</v>
          </cell>
          <cell r="N3230" t="str">
            <v>Soleil LevantScratch 1 000</v>
          </cell>
          <cell r="O3230" t="str">
            <v>Soleil Levant</v>
          </cell>
          <cell r="P3230" t="str">
            <v>Scratch 1 000</v>
          </cell>
          <cell r="Q3230" t="str">
            <v>102007</v>
          </cell>
          <cell r="R3230" t="str">
            <v>102007Scratch 1 000</v>
          </cell>
          <cell r="S3230" t="str">
            <v>2007Scratch 1 000</v>
          </cell>
          <cell r="T3230" t="str">
            <v>102007Soleil Levant</v>
          </cell>
          <cell r="U3230" t="str">
            <v>102007Soleil LevantScratch 1 000</v>
          </cell>
          <cell r="V3230" t="str">
            <v>39370Scratch 1 000</v>
          </cell>
          <cell r="W3230" t="str">
            <v>2007Soleil Levant</v>
          </cell>
          <cell r="X3230" t="str">
            <v>2007Soleil LevantScratch 1 000</v>
          </cell>
        </row>
        <row r="3231">
          <cell r="I3231">
            <v>2007</v>
          </cell>
          <cell r="J3231" t="str">
            <v>Compagnie Internationale de NegoceScratch 5 000</v>
          </cell>
          <cell r="L3231">
            <v>1</v>
          </cell>
          <cell r="M3231" t="str">
            <v>1Compagnie Internationale de Negoce</v>
          </cell>
          <cell r="N3231" t="str">
            <v>Compagnie Internationale de NegoceScratch 5 000</v>
          </cell>
          <cell r="O3231" t="str">
            <v>Compagnie Internationale de Negoce</v>
          </cell>
          <cell r="P3231" t="str">
            <v>Scratch 5 000</v>
          </cell>
          <cell r="Q3231" t="str">
            <v>102007</v>
          </cell>
          <cell r="R3231" t="str">
            <v>102007Scratch 5 000</v>
          </cell>
          <cell r="S3231" t="str">
            <v>2007Scratch 5 000</v>
          </cell>
          <cell r="T3231" t="str">
            <v>102007Compagnie Internationale de Negoce</v>
          </cell>
          <cell r="U3231" t="str">
            <v>102007Compagnie Internationale de NegoceScratch 5 000</v>
          </cell>
          <cell r="V3231" t="str">
            <v>39370Scratch 5 000</v>
          </cell>
          <cell r="W3231" t="str">
            <v>2007Compagnie Internationale de Negoce</v>
          </cell>
          <cell r="X3231" t="str">
            <v>2007Compagnie Internationale de NegoceScratch 5 000</v>
          </cell>
        </row>
        <row r="3232">
          <cell r="I3232">
            <v>2007</v>
          </cell>
          <cell r="J3232" t="str">
            <v>Compagnie Internationale de NegoceScratch 2 000</v>
          </cell>
          <cell r="L3232">
            <v>0</v>
          </cell>
          <cell r="M3232" t="str">
            <v>Compagnie Internationale de Negoce</v>
          </cell>
          <cell r="N3232" t="str">
            <v>Compagnie Internationale de NegoceScratch 2 000</v>
          </cell>
          <cell r="O3232" t="str">
            <v>Compagnie Internationale de Negoce</v>
          </cell>
          <cell r="P3232" t="str">
            <v>Scratch 2 000</v>
          </cell>
          <cell r="Q3232" t="str">
            <v>102007</v>
          </cell>
          <cell r="R3232" t="str">
            <v>102007Scratch 2 000</v>
          </cell>
          <cell r="S3232" t="str">
            <v>2007Scratch 2 000</v>
          </cell>
          <cell r="T3232" t="str">
            <v>102007Compagnie Internationale de Negoce</v>
          </cell>
          <cell r="U3232" t="str">
            <v>102007Compagnie Internationale de NegoceScratch 2 000</v>
          </cell>
          <cell r="V3232" t="str">
            <v>39370Scratch 2 000</v>
          </cell>
          <cell r="W3232" t="str">
            <v>2007Compagnie Internationale de Negoce</v>
          </cell>
          <cell r="X3232" t="str">
            <v>2007Compagnie Internationale de NegoceScratch 2 000</v>
          </cell>
        </row>
        <row r="3233">
          <cell r="I3233">
            <v>2007</v>
          </cell>
          <cell r="J3233" t="str">
            <v>Compagnie Internationale de NegoceScratch 1 000</v>
          </cell>
          <cell r="L3233">
            <v>0</v>
          </cell>
          <cell r="M3233" t="str">
            <v>Compagnie Internationale de Negoce</v>
          </cell>
          <cell r="N3233" t="str">
            <v>Compagnie Internationale de NegoceScratch 1 000</v>
          </cell>
          <cell r="O3233" t="str">
            <v>Compagnie Internationale de Negoce</v>
          </cell>
          <cell r="P3233" t="str">
            <v>Scratch 1 000</v>
          </cell>
          <cell r="Q3233" t="str">
            <v>102007</v>
          </cell>
          <cell r="R3233" t="str">
            <v>102007Scratch 1 000</v>
          </cell>
          <cell r="S3233" t="str">
            <v>2007Scratch 1 000</v>
          </cell>
          <cell r="T3233" t="str">
            <v>102007Compagnie Internationale de Negoce</v>
          </cell>
          <cell r="U3233" t="str">
            <v>102007Compagnie Internationale de NegoceScratch 1 000</v>
          </cell>
          <cell r="V3233" t="str">
            <v>39370Scratch 1 000</v>
          </cell>
          <cell r="W3233" t="str">
            <v>2007Compagnie Internationale de Negoce</v>
          </cell>
          <cell r="X3233" t="str">
            <v>2007Compagnie Internationale de NegoceScratch 1 000</v>
          </cell>
        </row>
        <row r="3234">
          <cell r="I3234">
            <v>2007</v>
          </cell>
          <cell r="J3234" t="str">
            <v>MALI COM SarlScratch 2 000</v>
          </cell>
          <cell r="L3234">
            <v>1</v>
          </cell>
          <cell r="M3234" t="str">
            <v>1MALI COM Sarl</v>
          </cell>
          <cell r="N3234" t="str">
            <v>MALI COM SarlScratch 2 000</v>
          </cell>
          <cell r="O3234" t="str">
            <v>MALI COM Sarl</v>
          </cell>
          <cell r="P3234" t="str">
            <v>Scratch 2 000</v>
          </cell>
          <cell r="Q3234" t="str">
            <v>102007</v>
          </cell>
          <cell r="R3234" t="str">
            <v>102007Scratch 2 000</v>
          </cell>
          <cell r="S3234" t="str">
            <v>2007Scratch 2 000</v>
          </cell>
          <cell r="T3234" t="str">
            <v>102007MALI COM Sarl</v>
          </cell>
          <cell r="U3234" t="str">
            <v>102007MALI COM SarlScratch 2 000</v>
          </cell>
          <cell r="V3234" t="str">
            <v>39370Scratch 2 000</v>
          </cell>
          <cell r="W3234" t="str">
            <v>2007MALI COM Sarl</v>
          </cell>
          <cell r="X3234" t="str">
            <v>2007MALI COM SarlScratch 2 000</v>
          </cell>
        </row>
        <row r="3235">
          <cell r="I3235">
            <v>2007</v>
          </cell>
          <cell r="J3235" t="str">
            <v>MALI COM SarlScratch 1 000</v>
          </cell>
          <cell r="L3235">
            <v>0</v>
          </cell>
          <cell r="M3235" t="str">
            <v>MALI COM Sarl</v>
          </cell>
          <cell r="N3235" t="str">
            <v>MALI COM SarlScratch 1 000</v>
          </cell>
          <cell r="O3235" t="str">
            <v>MALI COM Sarl</v>
          </cell>
          <cell r="P3235" t="str">
            <v>Scratch 1 000</v>
          </cell>
          <cell r="Q3235" t="str">
            <v>102007</v>
          </cell>
          <cell r="R3235" t="str">
            <v>102007Scratch 1 000</v>
          </cell>
          <cell r="S3235" t="str">
            <v>2007Scratch 1 000</v>
          </cell>
          <cell r="T3235" t="str">
            <v>102007MALI COM Sarl</v>
          </cell>
          <cell r="U3235" t="str">
            <v>102007MALI COM SarlScratch 1 000</v>
          </cell>
          <cell r="V3235" t="str">
            <v>39370Scratch 1 000</v>
          </cell>
          <cell r="W3235" t="str">
            <v>2007MALI COM Sarl</v>
          </cell>
          <cell r="X3235" t="str">
            <v>2007MALI COM SarlScratch 1 000</v>
          </cell>
        </row>
        <row r="3236">
          <cell r="I3236">
            <v>2007</v>
          </cell>
          <cell r="J3236" t="str">
            <v>GEMATELScratch 20 000</v>
          </cell>
          <cell r="L3236">
            <v>1</v>
          </cell>
          <cell r="M3236" t="str">
            <v>1GEMATEL</v>
          </cell>
          <cell r="N3236" t="str">
            <v>GEMATELScratch 20 000</v>
          </cell>
          <cell r="O3236" t="str">
            <v>GEMATEL</v>
          </cell>
          <cell r="P3236" t="str">
            <v>Scratch 20 000</v>
          </cell>
          <cell r="Q3236" t="str">
            <v>102007</v>
          </cell>
          <cell r="R3236" t="str">
            <v>102007Scratch 20 000</v>
          </cell>
          <cell r="S3236" t="str">
            <v>2007Scratch 20 000</v>
          </cell>
          <cell r="T3236" t="str">
            <v>102007GEMATEL</v>
          </cell>
          <cell r="U3236" t="str">
            <v>102007GEMATELScratch 20 000</v>
          </cell>
          <cell r="V3236" t="str">
            <v>39370Scratch 20 000</v>
          </cell>
          <cell r="W3236" t="str">
            <v>2007GEMATEL</v>
          </cell>
          <cell r="X3236" t="str">
            <v>2007GEMATELScratch 20 000</v>
          </cell>
        </row>
        <row r="3237">
          <cell r="I3237">
            <v>2007</v>
          </cell>
          <cell r="J3237" t="str">
            <v>GEMATELScratch 10 000</v>
          </cell>
          <cell r="L3237">
            <v>0</v>
          </cell>
          <cell r="M3237" t="str">
            <v>GEMATEL</v>
          </cell>
          <cell r="N3237" t="str">
            <v>GEMATELScratch 10 000</v>
          </cell>
          <cell r="O3237" t="str">
            <v>GEMATEL</v>
          </cell>
          <cell r="P3237" t="str">
            <v>Scratch 10 000</v>
          </cell>
          <cell r="Q3237" t="str">
            <v>102007</v>
          </cell>
          <cell r="R3237" t="str">
            <v>102007Scratch 10 000</v>
          </cell>
          <cell r="S3237" t="str">
            <v>2007Scratch 10 000</v>
          </cell>
          <cell r="T3237" t="str">
            <v>102007GEMATEL</v>
          </cell>
          <cell r="U3237" t="str">
            <v>102007GEMATELScratch 10 000</v>
          </cell>
          <cell r="V3237" t="str">
            <v>39370Scratch 10 000</v>
          </cell>
          <cell r="W3237" t="str">
            <v>2007GEMATEL</v>
          </cell>
          <cell r="X3237" t="str">
            <v>2007GEMATELScratch 10 000</v>
          </cell>
        </row>
        <row r="3238">
          <cell r="I3238">
            <v>2007</v>
          </cell>
          <cell r="J3238" t="str">
            <v>GEMATELScratch 5 000</v>
          </cell>
          <cell r="L3238">
            <v>0</v>
          </cell>
          <cell r="M3238" t="str">
            <v>GEMATEL</v>
          </cell>
          <cell r="N3238" t="str">
            <v>GEMATELScratch 5 000</v>
          </cell>
          <cell r="O3238" t="str">
            <v>GEMATEL</v>
          </cell>
          <cell r="P3238" t="str">
            <v>Scratch 5 000</v>
          </cell>
          <cell r="Q3238" t="str">
            <v>102007</v>
          </cell>
          <cell r="R3238" t="str">
            <v>102007Scratch 5 000</v>
          </cell>
          <cell r="S3238" t="str">
            <v>2007Scratch 5 000</v>
          </cell>
          <cell r="T3238" t="str">
            <v>102007GEMATEL</v>
          </cell>
          <cell r="U3238" t="str">
            <v>102007GEMATELScratch 5 000</v>
          </cell>
          <cell r="V3238" t="str">
            <v>39370Scratch 5 000</v>
          </cell>
          <cell r="W3238" t="str">
            <v>2007GEMATEL</v>
          </cell>
          <cell r="X3238" t="str">
            <v>2007GEMATELScratch 5 000</v>
          </cell>
        </row>
        <row r="3239">
          <cell r="I3239">
            <v>2007</v>
          </cell>
          <cell r="J3239" t="str">
            <v>GEMATELScratch 2 000</v>
          </cell>
          <cell r="L3239">
            <v>0</v>
          </cell>
          <cell r="M3239" t="str">
            <v>GEMATEL</v>
          </cell>
          <cell r="N3239" t="str">
            <v>GEMATELScratch 2 000</v>
          </cell>
          <cell r="O3239" t="str">
            <v>GEMATEL</v>
          </cell>
          <cell r="P3239" t="str">
            <v>Scratch 2 000</v>
          </cell>
          <cell r="Q3239" t="str">
            <v>102007</v>
          </cell>
          <cell r="R3239" t="str">
            <v>102007Scratch 2 000</v>
          </cell>
          <cell r="S3239" t="str">
            <v>2007Scratch 2 000</v>
          </cell>
          <cell r="T3239" t="str">
            <v>102007GEMATEL</v>
          </cell>
          <cell r="U3239" t="str">
            <v>102007GEMATELScratch 2 000</v>
          </cell>
          <cell r="V3239" t="str">
            <v>39370Scratch 2 000</v>
          </cell>
          <cell r="W3239" t="str">
            <v>2007GEMATEL</v>
          </cell>
          <cell r="X3239" t="str">
            <v>2007GEMATELScratch 2 000</v>
          </cell>
        </row>
        <row r="3240">
          <cell r="I3240">
            <v>2007</v>
          </cell>
          <cell r="J3240" t="str">
            <v>GEMATELScratch 1 000</v>
          </cell>
          <cell r="L3240">
            <v>0</v>
          </cell>
          <cell r="M3240" t="str">
            <v>GEMATEL</v>
          </cell>
          <cell r="N3240" t="str">
            <v>GEMATELScratch 1 000</v>
          </cell>
          <cell r="O3240" t="str">
            <v>GEMATEL</v>
          </cell>
          <cell r="P3240" t="str">
            <v>Scratch 1 000</v>
          </cell>
          <cell r="Q3240" t="str">
            <v>102007</v>
          </cell>
          <cell r="R3240" t="str">
            <v>102007Scratch 1 000</v>
          </cell>
          <cell r="S3240" t="str">
            <v>2007Scratch 1 000</v>
          </cell>
          <cell r="T3240" t="str">
            <v>102007GEMATEL</v>
          </cell>
          <cell r="U3240" t="str">
            <v>102007GEMATELScratch 1 000</v>
          </cell>
          <cell r="V3240" t="str">
            <v>39370Scratch 1 000</v>
          </cell>
          <cell r="W3240" t="str">
            <v>2007GEMATEL</v>
          </cell>
          <cell r="X3240" t="str">
            <v>2007GEMATELScratch 1 000</v>
          </cell>
        </row>
        <row r="3241">
          <cell r="I3241">
            <v>2007</v>
          </cell>
          <cell r="J3241" t="str">
            <v>ANKA SERVICESScratch 5 000</v>
          </cell>
          <cell r="L3241">
            <v>1</v>
          </cell>
          <cell r="M3241" t="str">
            <v>1ANKA SERVICES</v>
          </cell>
          <cell r="N3241" t="str">
            <v>ANKA SERVICESScratch 5 000</v>
          </cell>
          <cell r="O3241" t="str">
            <v>ANKA SERVICES</v>
          </cell>
          <cell r="P3241" t="str">
            <v>Scratch 5 000</v>
          </cell>
          <cell r="Q3241" t="str">
            <v>102007</v>
          </cell>
          <cell r="R3241" t="str">
            <v>102007Scratch 5 000</v>
          </cell>
          <cell r="S3241" t="str">
            <v>2007Scratch 5 000</v>
          </cell>
          <cell r="T3241" t="str">
            <v>102007ANKA SERVICES</v>
          </cell>
          <cell r="U3241" t="str">
            <v>102007ANKA SERVICESScratch 5 000</v>
          </cell>
          <cell r="V3241" t="str">
            <v>39370Scratch 5 000</v>
          </cell>
          <cell r="W3241" t="str">
            <v>2007ANKA SERVICES</v>
          </cell>
          <cell r="X3241" t="str">
            <v>2007ANKA SERVICESScratch 5 000</v>
          </cell>
        </row>
        <row r="3242">
          <cell r="I3242">
            <v>2007</v>
          </cell>
          <cell r="J3242" t="str">
            <v>ANKA SERVICESScratch 2 000</v>
          </cell>
          <cell r="L3242">
            <v>0</v>
          </cell>
          <cell r="M3242" t="str">
            <v>ANKA SERVICES</v>
          </cell>
          <cell r="N3242" t="str">
            <v>ANKA SERVICESScratch 2 000</v>
          </cell>
          <cell r="O3242" t="str">
            <v>ANKA SERVICES</v>
          </cell>
          <cell r="P3242" t="str">
            <v>Scratch 2 000</v>
          </cell>
          <cell r="Q3242" t="str">
            <v>102007</v>
          </cell>
          <cell r="R3242" t="str">
            <v>102007Scratch 2 000</v>
          </cell>
          <cell r="S3242" t="str">
            <v>2007Scratch 2 000</v>
          </cell>
          <cell r="T3242" t="str">
            <v>102007ANKA SERVICES</v>
          </cell>
          <cell r="U3242" t="str">
            <v>102007ANKA SERVICESScratch 2 000</v>
          </cell>
          <cell r="V3242" t="str">
            <v>39370Scratch 2 000</v>
          </cell>
          <cell r="W3242" t="str">
            <v>2007ANKA SERVICES</v>
          </cell>
          <cell r="X3242" t="str">
            <v>2007ANKA SERVICESScratch 2 000</v>
          </cell>
        </row>
        <row r="3243">
          <cell r="I3243">
            <v>2007</v>
          </cell>
          <cell r="J3243" t="str">
            <v>ANKA SERVICESScratch 1 000</v>
          </cell>
          <cell r="L3243">
            <v>0</v>
          </cell>
          <cell r="M3243" t="str">
            <v>ANKA SERVICES</v>
          </cell>
          <cell r="N3243" t="str">
            <v>ANKA SERVICESScratch 1 000</v>
          </cell>
          <cell r="O3243" t="str">
            <v>ANKA SERVICES</v>
          </cell>
          <cell r="P3243" t="str">
            <v>Scratch 1 000</v>
          </cell>
          <cell r="Q3243" t="str">
            <v>102007</v>
          </cell>
          <cell r="R3243" t="str">
            <v>102007Scratch 1 000</v>
          </cell>
          <cell r="S3243" t="str">
            <v>2007Scratch 1 000</v>
          </cell>
          <cell r="T3243" t="str">
            <v>102007ANKA SERVICES</v>
          </cell>
          <cell r="U3243" t="str">
            <v>102007ANKA SERVICESScratch 1 000</v>
          </cell>
          <cell r="V3243" t="str">
            <v>39370Scratch 1 000</v>
          </cell>
          <cell r="W3243" t="str">
            <v>2007ANKA SERVICES</v>
          </cell>
          <cell r="X3243" t="str">
            <v>2007ANKA SERVICESScratch 1 000</v>
          </cell>
        </row>
        <row r="3244">
          <cell r="I3244">
            <v>2007</v>
          </cell>
          <cell r="J3244" t="str">
            <v>CellNets MaliMinutes</v>
          </cell>
          <cell r="L3244">
            <v>1</v>
          </cell>
          <cell r="M3244" t="str">
            <v>1CellNets Mali</v>
          </cell>
          <cell r="N3244" t="str">
            <v>CellNets MaliMinutes</v>
          </cell>
          <cell r="O3244" t="str">
            <v>CellNets Mali</v>
          </cell>
          <cell r="P3244" t="str">
            <v>Minutes</v>
          </cell>
          <cell r="Q3244" t="str">
            <v>102007</v>
          </cell>
          <cell r="R3244" t="str">
            <v>102007Minutes</v>
          </cell>
          <cell r="S3244" t="str">
            <v>2007Minutes</v>
          </cell>
          <cell r="T3244" t="str">
            <v>102007CellNets Mali</v>
          </cell>
          <cell r="U3244" t="str">
            <v>102007CellNets MaliMinutes</v>
          </cell>
          <cell r="V3244" t="str">
            <v>39371Minutes</v>
          </cell>
          <cell r="W3244" t="str">
            <v>2007CellNets Mali</v>
          </cell>
          <cell r="X3244" t="str">
            <v>2007CellNets MaliMinutes</v>
          </cell>
        </row>
        <row r="3245">
          <cell r="I3245">
            <v>2007</v>
          </cell>
          <cell r="J3245" t="str">
            <v>Burtel MacsymScratch 5 000</v>
          </cell>
          <cell r="L3245">
            <v>1</v>
          </cell>
          <cell r="M3245" t="str">
            <v>1Burtel Macsym</v>
          </cell>
          <cell r="N3245" t="str">
            <v>Burtel MacsymScratch 5 000</v>
          </cell>
          <cell r="O3245" t="str">
            <v>Burtel Macsym</v>
          </cell>
          <cell r="P3245" t="str">
            <v>Scratch 5 000</v>
          </cell>
          <cell r="Q3245" t="str">
            <v>102007</v>
          </cell>
          <cell r="R3245" t="str">
            <v>102007Scratch 5 000</v>
          </cell>
          <cell r="S3245" t="str">
            <v>2007Scratch 5 000</v>
          </cell>
          <cell r="T3245" t="str">
            <v>102007Burtel Macsym</v>
          </cell>
          <cell r="U3245" t="str">
            <v>102007Burtel MacsymScratch 5 000</v>
          </cell>
          <cell r="V3245" t="str">
            <v>39371Scratch 5 000</v>
          </cell>
          <cell r="W3245" t="str">
            <v>2007Burtel Macsym</v>
          </cell>
          <cell r="X3245" t="str">
            <v>2007Burtel MacsymScratch 5 000</v>
          </cell>
        </row>
        <row r="3246">
          <cell r="I3246">
            <v>2007</v>
          </cell>
          <cell r="J3246" t="str">
            <v>Burtel MacsymScratch 2 000</v>
          </cell>
          <cell r="L3246">
            <v>0</v>
          </cell>
          <cell r="M3246" t="str">
            <v>Burtel Macsym</v>
          </cell>
          <cell r="N3246" t="str">
            <v>Burtel MacsymScratch 2 000</v>
          </cell>
          <cell r="O3246" t="str">
            <v>Burtel Macsym</v>
          </cell>
          <cell r="P3246" t="str">
            <v>Scratch 2 000</v>
          </cell>
          <cell r="Q3246" t="str">
            <v>102007</v>
          </cell>
          <cell r="R3246" t="str">
            <v>102007Scratch 2 000</v>
          </cell>
          <cell r="S3246" t="str">
            <v>2007Scratch 2 000</v>
          </cell>
          <cell r="T3246" t="str">
            <v>102007Burtel Macsym</v>
          </cell>
          <cell r="U3246" t="str">
            <v>102007Burtel MacsymScratch 2 000</v>
          </cell>
          <cell r="V3246" t="str">
            <v>39371Scratch 2 000</v>
          </cell>
          <cell r="W3246" t="str">
            <v>2007Burtel Macsym</v>
          </cell>
          <cell r="X3246" t="str">
            <v>2007Burtel MacsymScratch 2 000</v>
          </cell>
        </row>
        <row r="3247">
          <cell r="I3247">
            <v>2007</v>
          </cell>
          <cell r="J3247" t="str">
            <v>Burtel MacsymScratch 1 000</v>
          </cell>
          <cell r="L3247">
            <v>0</v>
          </cell>
          <cell r="M3247" t="str">
            <v>Burtel Macsym</v>
          </cell>
          <cell r="N3247" t="str">
            <v>Burtel MacsymScratch 1 000</v>
          </cell>
          <cell r="O3247" t="str">
            <v>Burtel Macsym</v>
          </cell>
          <cell r="P3247" t="str">
            <v>Scratch 1 000</v>
          </cell>
          <cell r="Q3247" t="str">
            <v>102007</v>
          </cell>
          <cell r="R3247" t="str">
            <v>102007Scratch 1 000</v>
          </cell>
          <cell r="S3247" t="str">
            <v>2007Scratch 1 000</v>
          </cell>
          <cell r="T3247" t="str">
            <v>102007Burtel Macsym</v>
          </cell>
          <cell r="U3247" t="str">
            <v>102007Burtel MacsymScratch 1 000</v>
          </cell>
          <cell r="V3247" t="str">
            <v>39371Scratch 1 000</v>
          </cell>
          <cell r="W3247" t="str">
            <v>2007Burtel Macsym</v>
          </cell>
          <cell r="X3247" t="str">
            <v>2007Burtel MacsymScratch 1 000</v>
          </cell>
        </row>
        <row r="3248">
          <cell r="I3248">
            <v>2007</v>
          </cell>
          <cell r="J3248" t="str">
            <v>STS GAMBY &amp; FRERES (SOGAF) SarlScratch 2 000</v>
          </cell>
          <cell r="L3248">
            <v>1</v>
          </cell>
          <cell r="M3248" t="str">
            <v>1STS GAMBY &amp; FRERES (SOGAF) Sarl</v>
          </cell>
          <cell r="N3248" t="str">
            <v>STS GAMBY &amp; FRERES (SOGAF) SarlScratch 2 000</v>
          </cell>
          <cell r="O3248" t="str">
            <v>STS GAMBY &amp; FRERES (SOGAF) Sarl</v>
          </cell>
          <cell r="P3248" t="str">
            <v>Scratch 2 000</v>
          </cell>
          <cell r="Q3248" t="str">
            <v>102007</v>
          </cell>
          <cell r="R3248" t="str">
            <v>102007Scratch 2 000</v>
          </cell>
          <cell r="S3248" t="str">
            <v>2007Scratch 2 000</v>
          </cell>
          <cell r="T3248" t="str">
            <v>102007STS GAMBY &amp; FRERES (SOGAF) Sarl</v>
          </cell>
          <cell r="U3248" t="str">
            <v>102007STS GAMBY &amp; FRERES (SOGAF) SarlScratch 2 000</v>
          </cell>
          <cell r="V3248" t="str">
            <v>39371Scratch 2 000</v>
          </cell>
          <cell r="W3248" t="str">
            <v>2007STS GAMBY &amp; FRERES (SOGAF) Sarl</v>
          </cell>
          <cell r="X3248" t="str">
            <v>2007STS GAMBY &amp; FRERES (SOGAF) SarlScratch 2 000</v>
          </cell>
        </row>
        <row r="3249">
          <cell r="I3249">
            <v>2007</v>
          </cell>
          <cell r="J3249" t="str">
            <v>STS GAMBY &amp; FRERES (SOGAF) SarlScratch 1 000</v>
          </cell>
          <cell r="L3249">
            <v>0</v>
          </cell>
          <cell r="M3249" t="str">
            <v>STS GAMBY &amp; FRERES (SOGAF) Sarl</v>
          </cell>
          <cell r="N3249" t="str">
            <v>STS GAMBY &amp; FRERES (SOGAF) SarlScratch 1 000</v>
          </cell>
          <cell r="O3249" t="str">
            <v>STS GAMBY &amp; FRERES (SOGAF) Sarl</v>
          </cell>
          <cell r="P3249" t="str">
            <v>Scratch 1 000</v>
          </cell>
          <cell r="Q3249" t="str">
            <v>102007</v>
          </cell>
          <cell r="R3249" t="str">
            <v>102007Scratch 1 000</v>
          </cell>
          <cell r="S3249" t="str">
            <v>2007Scratch 1 000</v>
          </cell>
          <cell r="T3249" t="str">
            <v>102007STS GAMBY &amp; FRERES (SOGAF) Sarl</v>
          </cell>
          <cell r="U3249" t="str">
            <v>102007STS GAMBY &amp; FRERES (SOGAF) SarlScratch 1 000</v>
          </cell>
          <cell r="V3249" t="str">
            <v>39371Scratch 1 000</v>
          </cell>
          <cell r="W3249" t="str">
            <v>2007STS GAMBY &amp; FRERES (SOGAF) Sarl</v>
          </cell>
          <cell r="X3249" t="str">
            <v>2007STS GAMBY &amp; FRERES (SOGAF) SarlScratch 1 000</v>
          </cell>
        </row>
        <row r="3250">
          <cell r="I3250">
            <v>2007</v>
          </cell>
          <cell r="J3250" t="str">
            <v>ANKA SERVICESScratch 5 000</v>
          </cell>
          <cell r="L3250">
            <v>1</v>
          </cell>
          <cell r="M3250" t="str">
            <v>1ANKA SERVICES</v>
          </cell>
          <cell r="N3250" t="str">
            <v>ANKA SERVICESScratch 5 000</v>
          </cell>
          <cell r="O3250" t="str">
            <v>ANKA SERVICES</v>
          </cell>
          <cell r="P3250" t="str">
            <v>Scratch 5 000</v>
          </cell>
          <cell r="Q3250" t="str">
            <v>102007</v>
          </cell>
          <cell r="R3250" t="str">
            <v>102007Scratch 5 000</v>
          </cell>
          <cell r="S3250" t="str">
            <v>2007Scratch 5 000</v>
          </cell>
          <cell r="T3250" t="str">
            <v>102007ANKA SERVICES</v>
          </cell>
          <cell r="U3250" t="str">
            <v>102007ANKA SERVICESScratch 5 000</v>
          </cell>
          <cell r="V3250" t="str">
            <v>39371Scratch 5 000</v>
          </cell>
          <cell r="W3250" t="str">
            <v>2007ANKA SERVICES</v>
          </cell>
          <cell r="X3250" t="str">
            <v>2007ANKA SERVICESScratch 5 000</v>
          </cell>
        </row>
        <row r="3251">
          <cell r="I3251">
            <v>2007</v>
          </cell>
          <cell r="J3251" t="str">
            <v>ANKA SERVICESScratch 2 000</v>
          </cell>
          <cell r="L3251">
            <v>0</v>
          </cell>
          <cell r="M3251" t="str">
            <v>ANKA SERVICES</v>
          </cell>
          <cell r="N3251" t="str">
            <v>ANKA SERVICESScratch 2 000</v>
          </cell>
          <cell r="O3251" t="str">
            <v>ANKA SERVICES</v>
          </cell>
          <cell r="P3251" t="str">
            <v>Scratch 2 000</v>
          </cell>
          <cell r="Q3251" t="str">
            <v>102007</v>
          </cell>
          <cell r="R3251" t="str">
            <v>102007Scratch 2 000</v>
          </cell>
          <cell r="S3251" t="str">
            <v>2007Scratch 2 000</v>
          </cell>
          <cell r="T3251" t="str">
            <v>102007ANKA SERVICES</v>
          </cell>
          <cell r="U3251" t="str">
            <v>102007ANKA SERVICESScratch 2 000</v>
          </cell>
          <cell r="V3251" t="str">
            <v>39371Scratch 2 000</v>
          </cell>
          <cell r="W3251" t="str">
            <v>2007ANKA SERVICES</v>
          </cell>
          <cell r="X3251" t="str">
            <v>2007ANKA SERVICESScratch 2 000</v>
          </cell>
        </row>
        <row r="3252">
          <cell r="I3252">
            <v>2007</v>
          </cell>
          <cell r="J3252" t="str">
            <v>ANKA SERVICESScratch 1 000</v>
          </cell>
          <cell r="L3252">
            <v>0</v>
          </cell>
          <cell r="M3252" t="str">
            <v>ANKA SERVICES</v>
          </cell>
          <cell r="N3252" t="str">
            <v>ANKA SERVICESScratch 1 000</v>
          </cell>
          <cell r="O3252" t="str">
            <v>ANKA SERVICES</v>
          </cell>
          <cell r="P3252" t="str">
            <v>Scratch 1 000</v>
          </cell>
          <cell r="Q3252" t="str">
            <v>102007</v>
          </cell>
          <cell r="R3252" t="str">
            <v>102007Scratch 1 000</v>
          </cell>
          <cell r="S3252" t="str">
            <v>2007Scratch 1 000</v>
          </cell>
          <cell r="T3252" t="str">
            <v>102007ANKA SERVICES</v>
          </cell>
          <cell r="U3252" t="str">
            <v>102007ANKA SERVICESScratch 1 000</v>
          </cell>
          <cell r="V3252" t="str">
            <v>39371Scratch 1 000</v>
          </cell>
          <cell r="W3252" t="str">
            <v>2007ANKA SERVICES</v>
          </cell>
          <cell r="X3252" t="str">
            <v>2007ANKA SERVICESScratch 1 000</v>
          </cell>
        </row>
        <row r="3253">
          <cell r="I3253">
            <v>2007</v>
          </cell>
          <cell r="J3253" t="str">
            <v>Bonneterie Nouvelle TelecomScratch 5 000</v>
          </cell>
          <cell r="L3253">
            <v>1</v>
          </cell>
          <cell r="M3253" t="str">
            <v>1Bonneterie Nouvelle Telecom</v>
          </cell>
          <cell r="N3253" t="str">
            <v>Bonneterie Nouvelle TelecomScratch 5 000</v>
          </cell>
          <cell r="O3253" t="str">
            <v>Bonneterie Nouvelle Telecom</v>
          </cell>
          <cell r="P3253" t="str">
            <v>Scratch 5 000</v>
          </cell>
          <cell r="Q3253" t="str">
            <v>102007</v>
          </cell>
          <cell r="R3253" t="str">
            <v>102007Scratch 5 000</v>
          </cell>
          <cell r="S3253" t="str">
            <v>2007Scratch 5 000</v>
          </cell>
          <cell r="T3253" t="str">
            <v>102007Bonneterie Nouvelle Telecom</v>
          </cell>
          <cell r="U3253" t="str">
            <v>102007Bonneterie Nouvelle TelecomScratch 5 000</v>
          </cell>
          <cell r="V3253" t="str">
            <v>39371Scratch 5 000</v>
          </cell>
          <cell r="W3253" t="str">
            <v>2007Bonneterie Nouvelle Telecom</v>
          </cell>
          <cell r="X3253" t="str">
            <v>2007Bonneterie Nouvelle TelecomScratch 5 000</v>
          </cell>
        </row>
        <row r="3254">
          <cell r="I3254">
            <v>2007</v>
          </cell>
          <cell r="J3254" t="str">
            <v>Bonneterie Nouvelle TelecomScratch 2 000</v>
          </cell>
          <cell r="L3254">
            <v>0</v>
          </cell>
          <cell r="M3254" t="str">
            <v>Bonneterie Nouvelle Telecom</v>
          </cell>
          <cell r="N3254" t="str">
            <v>Bonneterie Nouvelle TelecomScratch 2 000</v>
          </cell>
          <cell r="O3254" t="str">
            <v>Bonneterie Nouvelle Telecom</v>
          </cell>
          <cell r="P3254" t="str">
            <v>Scratch 2 000</v>
          </cell>
          <cell r="Q3254" t="str">
            <v>102007</v>
          </cell>
          <cell r="R3254" t="str">
            <v>102007Scratch 2 000</v>
          </cell>
          <cell r="S3254" t="str">
            <v>2007Scratch 2 000</v>
          </cell>
          <cell r="T3254" t="str">
            <v>102007Bonneterie Nouvelle Telecom</v>
          </cell>
          <cell r="U3254" t="str">
            <v>102007Bonneterie Nouvelle TelecomScratch 2 000</v>
          </cell>
          <cell r="V3254" t="str">
            <v>39371Scratch 2 000</v>
          </cell>
          <cell r="W3254" t="str">
            <v>2007Bonneterie Nouvelle Telecom</v>
          </cell>
          <cell r="X3254" t="str">
            <v>2007Bonneterie Nouvelle TelecomScratch 2 000</v>
          </cell>
        </row>
        <row r="3255">
          <cell r="I3255">
            <v>2007</v>
          </cell>
          <cell r="J3255" t="str">
            <v>Bonneterie Nouvelle TelecomScratch 1 000</v>
          </cell>
          <cell r="L3255">
            <v>0</v>
          </cell>
          <cell r="M3255" t="str">
            <v>Bonneterie Nouvelle Telecom</v>
          </cell>
          <cell r="N3255" t="str">
            <v>Bonneterie Nouvelle TelecomScratch 1 000</v>
          </cell>
          <cell r="O3255" t="str">
            <v>Bonneterie Nouvelle Telecom</v>
          </cell>
          <cell r="P3255" t="str">
            <v>Scratch 1 000</v>
          </cell>
          <cell r="Q3255" t="str">
            <v>102007</v>
          </cell>
          <cell r="R3255" t="str">
            <v>102007Scratch 1 000</v>
          </cell>
          <cell r="S3255" t="str">
            <v>2007Scratch 1 000</v>
          </cell>
          <cell r="T3255" t="str">
            <v>102007Bonneterie Nouvelle Telecom</v>
          </cell>
          <cell r="U3255" t="str">
            <v>102007Bonneterie Nouvelle TelecomScratch 1 000</v>
          </cell>
          <cell r="V3255" t="str">
            <v>39371Scratch 1 000</v>
          </cell>
          <cell r="W3255" t="str">
            <v>2007Bonneterie Nouvelle Telecom</v>
          </cell>
          <cell r="X3255" t="str">
            <v>2007Bonneterie Nouvelle TelecomScratch 1 000</v>
          </cell>
        </row>
        <row r="3256">
          <cell r="I3256">
            <v>2007</v>
          </cell>
          <cell r="J3256" t="str">
            <v>MALI COM SarlScratch 5 000</v>
          </cell>
          <cell r="L3256">
            <v>1</v>
          </cell>
          <cell r="M3256" t="str">
            <v>1MALI COM Sarl</v>
          </cell>
          <cell r="N3256" t="str">
            <v>MALI COM SarlScratch 5 000</v>
          </cell>
          <cell r="O3256" t="str">
            <v>MALI COM Sarl</v>
          </cell>
          <cell r="P3256" t="str">
            <v>Scratch 5 000</v>
          </cell>
          <cell r="Q3256" t="str">
            <v>102007</v>
          </cell>
          <cell r="R3256" t="str">
            <v>102007Scratch 5 000</v>
          </cell>
          <cell r="S3256" t="str">
            <v>2007Scratch 5 000</v>
          </cell>
          <cell r="T3256" t="str">
            <v>102007MALI COM Sarl</v>
          </cell>
          <cell r="U3256" t="str">
            <v>102007MALI COM SarlScratch 5 000</v>
          </cell>
          <cell r="V3256" t="str">
            <v>39371Scratch 5 000</v>
          </cell>
          <cell r="W3256" t="str">
            <v>2007MALI COM Sarl</v>
          </cell>
          <cell r="X3256" t="str">
            <v>2007MALI COM SarlScratch 5 000</v>
          </cell>
        </row>
        <row r="3257">
          <cell r="I3257">
            <v>2007</v>
          </cell>
          <cell r="J3257" t="str">
            <v>MALI COM SarlScratch 2 000</v>
          </cell>
          <cell r="L3257">
            <v>0</v>
          </cell>
          <cell r="M3257" t="str">
            <v>MALI COM Sarl</v>
          </cell>
          <cell r="N3257" t="str">
            <v>MALI COM SarlScratch 2 000</v>
          </cell>
          <cell r="O3257" t="str">
            <v>MALI COM Sarl</v>
          </cell>
          <cell r="P3257" t="str">
            <v>Scratch 2 000</v>
          </cell>
          <cell r="Q3257" t="str">
            <v>102007</v>
          </cell>
          <cell r="R3257" t="str">
            <v>102007Scratch 2 000</v>
          </cell>
          <cell r="S3257" t="str">
            <v>2007Scratch 2 000</v>
          </cell>
          <cell r="T3257" t="str">
            <v>102007MALI COM Sarl</v>
          </cell>
          <cell r="U3257" t="str">
            <v>102007MALI COM SarlScratch 2 000</v>
          </cell>
          <cell r="V3257" t="str">
            <v>39371Scratch 2 000</v>
          </cell>
          <cell r="W3257" t="str">
            <v>2007MALI COM Sarl</v>
          </cell>
          <cell r="X3257" t="str">
            <v>2007MALI COM SarlScratch 2 000</v>
          </cell>
        </row>
        <row r="3258">
          <cell r="I3258">
            <v>2007</v>
          </cell>
          <cell r="J3258" t="str">
            <v>MALI COM SarlScratch 1 000</v>
          </cell>
          <cell r="L3258">
            <v>1</v>
          </cell>
          <cell r="M3258" t="str">
            <v>1MALI COM Sarl</v>
          </cell>
          <cell r="N3258" t="str">
            <v>MALI COM SarlScratch 1 000</v>
          </cell>
          <cell r="O3258" t="str">
            <v>MALI COM Sarl</v>
          </cell>
          <cell r="P3258" t="str">
            <v>Scratch 1 000</v>
          </cell>
          <cell r="Q3258" t="str">
            <v>102007</v>
          </cell>
          <cell r="R3258" t="str">
            <v>102007Scratch 1 000</v>
          </cell>
          <cell r="S3258" t="str">
            <v>2007Scratch 1 000</v>
          </cell>
          <cell r="T3258" t="str">
            <v>102007MALI COM Sarl</v>
          </cell>
          <cell r="U3258" t="str">
            <v>102007MALI COM SarlScratch 1 000</v>
          </cell>
          <cell r="V3258" t="str">
            <v>39371Scratch 1 000</v>
          </cell>
          <cell r="W3258" t="str">
            <v>2007MALI COM Sarl</v>
          </cell>
          <cell r="X3258" t="str">
            <v>2007MALI COM SarlScratch 1 000</v>
          </cell>
        </row>
        <row r="3259">
          <cell r="I3259">
            <v>2007</v>
          </cell>
          <cell r="J3259" t="str">
            <v>GEMATELScratch 5 000</v>
          </cell>
          <cell r="L3259">
            <v>1</v>
          </cell>
          <cell r="M3259" t="str">
            <v>1GEMATEL</v>
          </cell>
          <cell r="N3259" t="str">
            <v>GEMATELScratch 5 000</v>
          </cell>
          <cell r="O3259" t="str">
            <v>GEMATEL</v>
          </cell>
          <cell r="P3259" t="str">
            <v>Scratch 5 000</v>
          </cell>
          <cell r="Q3259" t="str">
            <v>102007</v>
          </cell>
          <cell r="R3259" t="str">
            <v>102007Scratch 5 000</v>
          </cell>
          <cell r="S3259" t="str">
            <v>2007Scratch 5 000</v>
          </cell>
          <cell r="T3259" t="str">
            <v>102007GEMATEL</v>
          </cell>
          <cell r="U3259" t="str">
            <v>102007GEMATELScratch 5 000</v>
          </cell>
          <cell r="V3259" t="str">
            <v>39371Scratch 5 000</v>
          </cell>
          <cell r="W3259" t="str">
            <v>2007GEMATEL</v>
          </cell>
          <cell r="X3259" t="str">
            <v>2007GEMATELScratch 5 000</v>
          </cell>
        </row>
        <row r="3260">
          <cell r="I3260">
            <v>2007</v>
          </cell>
          <cell r="J3260" t="str">
            <v>GEMATELScratch 2 000</v>
          </cell>
          <cell r="L3260">
            <v>0</v>
          </cell>
          <cell r="M3260" t="str">
            <v>GEMATEL</v>
          </cell>
          <cell r="N3260" t="str">
            <v>GEMATELScratch 2 000</v>
          </cell>
          <cell r="O3260" t="str">
            <v>GEMATEL</v>
          </cell>
          <cell r="P3260" t="str">
            <v>Scratch 2 000</v>
          </cell>
          <cell r="Q3260" t="str">
            <v>102007</v>
          </cell>
          <cell r="R3260" t="str">
            <v>102007Scratch 2 000</v>
          </cell>
          <cell r="S3260" t="str">
            <v>2007Scratch 2 000</v>
          </cell>
          <cell r="T3260" t="str">
            <v>102007GEMATEL</v>
          </cell>
          <cell r="U3260" t="str">
            <v>102007GEMATELScratch 2 000</v>
          </cell>
          <cell r="V3260" t="str">
            <v>39371Scratch 2 000</v>
          </cell>
          <cell r="W3260" t="str">
            <v>2007GEMATEL</v>
          </cell>
          <cell r="X3260" t="str">
            <v>2007GEMATELScratch 2 000</v>
          </cell>
        </row>
        <row r="3261">
          <cell r="I3261">
            <v>2007</v>
          </cell>
          <cell r="J3261" t="str">
            <v>GEMATELScratch 1 000</v>
          </cell>
          <cell r="L3261">
            <v>0</v>
          </cell>
          <cell r="M3261" t="str">
            <v>GEMATEL</v>
          </cell>
          <cell r="N3261" t="str">
            <v>GEMATELScratch 1 000</v>
          </cell>
          <cell r="O3261" t="str">
            <v>GEMATEL</v>
          </cell>
          <cell r="P3261" t="str">
            <v>Scratch 1 000</v>
          </cell>
          <cell r="Q3261" t="str">
            <v>102007</v>
          </cell>
          <cell r="R3261" t="str">
            <v>102007Scratch 1 000</v>
          </cell>
          <cell r="S3261" t="str">
            <v>2007Scratch 1 000</v>
          </cell>
          <cell r="T3261" t="str">
            <v>102007GEMATEL</v>
          </cell>
          <cell r="U3261" t="str">
            <v>102007GEMATELScratch 1 000</v>
          </cell>
          <cell r="V3261" t="str">
            <v>39371Scratch 1 000</v>
          </cell>
          <cell r="W3261" t="str">
            <v>2007GEMATEL</v>
          </cell>
          <cell r="X3261" t="str">
            <v>2007GEMATELScratch 1 000</v>
          </cell>
        </row>
        <row r="3262">
          <cell r="I3262">
            <v>2007</v>
          </cell>
          <cell r="J3262" t="str">
            <v>SOMAKOFFScratch 20 000</v>
          </cell>
          <cell r="L3262">
            <v>1</v>
          </cell>
          <cell r="M3262" t="str">
            <v>1SOMAKOFF</v>
          </cell>
          <cell r="N3262" t="str">
            <v>SOMAKOFFScratch 20 000</v>
          </cell>
          <cell r="O3262" t="str">
            <v>SOMAKOFF</v>
          </cell>
          <cell r="P3262" t="str">
            <v>Scratch 20 000</v>
          </cell>
          <cell r="Q3262" t="str">
            <v>102007</v>
          </cell>
          <cell r="R3262" t="str">
            <v>102007Scratch 20 000</v>
          </cell>
          <cell r="S3262" t="str">
            <v>2007Scratch 20 000</v>
          </cell>
          <cell r="T3262" t="str">
            <v>102007SOMAKOFF</v>
          </cell>
          <cell r="U3262" t="str">
            <v>102007SOMAKOFFScratch 20 000</v>
          </cell>
          <cell r="V3262" t="str">
            <v>39372Scratch 20 000</v>
          </cell>
          <cell r="W3262" t="str">
            <v>2007SOMAKOFF</v>
          </cell>
          <cell r="X3262" t="str">
            <v>2007SOMAKOFFScratch 20 000</v>
          </cell>
        </row>
        <row r="3263">
          <cell r="I3263">
            <v>2007</v>
          </cell>
          <cell r="J3263" t="str">
            <v>SOMAKOFFScratch 10 000</v>
          </cell>
          <cell r="L3263">
            <v>0</v>
          </cell>
          <cell r="M3263" t="str">
            <v>SOMAKOFF</v>
          </cell>
          <cell r="N3263" t="str">
            <v>SOMAKOFFScratch 10 000</v>
          </cell>
          <cell r="O3263" t="str">
            <v>SOMAKOFF</v>
          </cell>
          <cell r="P3263" t="str">
            <v>Scratch 10 000</v>
          </cell>
          <cell r="Q3263" t="str">
            <v>102007</v>
          </cell>
          <cell r="R3263" t="str">
            <v>102007Scratch 10 000</v>
          </cell>
          <cell r="S3263" t="str">
            <v>2007Scratch 10 000</v>
          </cell>
          <cell r="T3263" t="str">
            <v>102007SOMAKOFF</v>
          </cell>
          <cell r="U3263" t="str">
            <v>102007SOMAKOFFScratch 10 000</v>
          </cell>
          <cell r="V3263" t="str">
            <v>39372Scratch 10 000</v>
          </cell>
          <cell r="W3263" t="str">
            <v>2007SOMAKOFF</v>
          </cell>
          <cell r="X3263" t="str">
            <v>2007SOMAKOFFScratch 10 000</v>
          </cell>
        </row>
        <row r="3264">
          <cell r="I3264">
            <v>2007</v>
          </cell>
          <cell r="J3264" t="str">
            <v>SOMAKOFFScratch 2 000</v>
          </cell>
          <cell r="L3264">
            <v>0</v>
          </cell>
          <cell r="M3264" t="str">
            <v>SOMAKOFF</v>
          </cell>
          <cell r="N3264" t="str">
            <v>SOMAKOFFScratch 2 000</v>
          </cell>
          <cell r="O3264" t="str">
            <v>SOMAKOFF</v>
          </cell>
          <cell r="P3264" t="str">
            <v>Scratch 2 000</v>
          </cell>
          <cell r="Q3264" t="str">
            <v>102007</v>
          </cell>
          <cell r="R3264" t="str">
            <v>102007Scratch 2 000</v>
          </cell>
          <cell r="S3264" t="str">
            <v>2007Scratch 2 000</v>
          </cell>
          <cell r="T3264" t="str">
            <v>102007SOMAKOFF</v>
          </cell>
          <cell r="U3264" t="str">
            <v>102007SOMAKOFFScratch 2 000</v>
          </cell>
          <cell r="V3264" t="str">
            <v>39372Scratch 2 000</v>
          </cell>
          <cell r="W3264" t="str">
            <v>2007SOMAKOFF</v>
          </cell>
          <cell r="X3264" t="str">
            <v>2007SOMAKOFFScratch 2 000</v>
          </cell>
        </row>
        <row r="3265">
          <cell r="I3265">
            <v>2007</v>
          </cell>
          <cell r="J3265" t="str">
            <v>SOMAKOFFScratch 1 000</v>
          </cell>
          <cell r="L3265">
            <v>0</v>
          </cell>
          <cell r="M3265" t="str">
            <v>SOMAKOFF</v>
          </cell>
          <cell r="N3265" t="str">
            <v>SOMAKOFFScratch 1 000</v>
          </cell>
          <cell r="O3265" t="str">
            <v>SOMAKOFF</v>
          </cell>
          <cell r="P3265" t="str">
            <v>Scratch 1 000</v>
          </cell>
          <cell r="Q3265" t="str">
            <v>102007</v>
          </cell>
          <cell r="R3265" t="str">
            <v>102007Scratch 1 000</v>
          </cell>
          <cell r="S3265" t="str">
            <v>2007Scratch 1 000</v>
          </cell>
          <cell r="T3265" t="str">
            <v>102007SOMAKOFF</v>
          </cell>
          <cell r="U3265" t="str">
            <v>102007SOMAKOFFScratch 1 000</v>
          </cell>
          <cell r="V3265" t="str">
            <v>39372Scratch 1 000</v>
          </cell>
          <cell r="W3265" t="str">
            <v>2007SOMAKOFF</v>
          </cell>
          <cell r="X3265" t="str">
            <v>2007SOMAKOFFScratch 1 000</v>
          </cell>
        </row>
        <row r="3266">
          <cell r="I3266">
            <v>2007</v>
          </cell>
          <cell r="J3266" t="str">
            <v>STS GAMBY &amp; FRERES (SOGAF) SarlScratch 5 000</v>
          </cell>
          <cell r="L3266">
            <v>1</v>
          </cell>
          <cell r="M3266" t="str">
            <v>1STS GAMBY &amp; FRERES (SOGAF) Sarl</v>
          </cell>
          <cell r="N3266" t="str">
            <v>STS GAMBY &amp; FRERES (SOGAF) SarlScratch 5 000</v>
          </cell>
          <cell r="O3266" t="str">
            <v>STS GAMBY &amp; FRERES (SOGAF) Sarl</v>
          </cell>
          <cell r="P3266" t="str">
            <v>Scratch 5 000</v>
          </cell>
          <cell r="Q3266" t="str">
            <v>102007</v>
          </cell>
          <cell r="R3266" t="str">
            <v>102007Scratch 5 000</v>
          </cell>
          <cell r="S3266" t="str">
            <v>2007Scratch 5 000</v>
          </cell>
          <cell r="T3266" t="str">
            <v>102007STS GAMBY &amp; FRERES (SOGAF) Sarl</v>
          </cell>
          <cell r="U3266" t="str">
            <v>102007STS GAMBY &amp; FRERES (SOGAF) SarlScratch 5 000</v>
          </cell>
          <cell r="V3266" t="str">
            <v>39372Scratch 5 000</v>
          </cell>
          <cell r="W3266" t="str">
            <v>2007STS GAMBY &amp; FRERES (SOGAF) Sarl</v>
          </cell>
          <cell r="X3266" t="str">
            <v>2007STS GAMBY &amp; FRERES (SOGAF) SarlScratch 5 000</v>
          </cell>
        </row>
        <row r="3267">
          <cell r="I3267">
            <v>2007</v>
          </cell>
          <cell r="J3267" t="str">
            <v>STS GAMBY &amp; FRERES (SOGAF) SarlScratch 2 000</v>
          </cell>
          <cell r="L3267">
            <v>1</v>
          </cell>
          <cell r="M3267" t="str">
            <v>1STS GAMBY &amp; FRERES (SOGAF) Sarl</v>
          </cell>
          <cell r="N3267" t="str">
            <v>STS GAMBY &amp; FRERES (SOGAF) SarlScratch 2 000</v>
          </cell>
          <cell r="O3267" t="str">
            <v>STS GAMBY &amp; FRERES (SOGAF) Sarl</v>
          </cell>
          <cell r="P3267" t="str">
            <v>Scratch 2 000</v>
          </cell>
          <cell r="Q3267" t="str">
            <v>102007</v>
          </cell>
          <cell r="R3267" t="str">
            <v>102007Scratch 2 000</v>
          </cell>
          <cell r="S3267" t="str">
            <v>2007Scratch 2 000</v>
          </cell>
          <cell r="T3267" t="str">
            <v>102007STS GAMBY &amp; FRERES (SOGAF) Sarl</v>
          </cell>
          <cell r="U3267" t="str">
            <v>102007STS GAMBY &amp; FRERES (SOGAF) SarlScratch 2 000</v>
          </cell>
          <cell r="V3267" t="str">
            <v>39372Scratch 2 000</v>
          </cell>
          <cell r="W3267" t="str">
            <v>2007STS GAMBY &amp; FRERES (SOGAF) Sarl</v>
          </cell>
          <cell r="X3267" t="str">
            <v>2007STS GAMBY &amp; FRERES (SOGAF) SarlScratch 2 000</v>
          </cell>
        </row>
        <row r="3268">
          <cell r="I3268">
            <v>2007</v>
          </cell>
          <cell r="J3268" t="str">
            <v>STS GAMBY &amp; FRERES (SOGAF) SarlScratch 1 000</v>
          </cell>
          <cell r="L3268">
            <v>0</v>
          </cell>
          <cell r="M3268" t="str">
            <v>STS GAMBY &amp; FRERES (SOGAF) Sarl</v>
          </cell>
          <cell r="N3268" t="str">
            <v>STS GAMBY &amp; FRERES (SOGAF) SarlScratch 1 000</v>
          </cell>
          <cell r="O3268" t="str">
            <v>STS GAMBY &amp; FRERES (SOGAF) Sarl</v>
          </cell>
          <cell r="P3268" t="str">
            <v>Scratch 1 000</v>
          </cell>
          <cell r="Q3268" t="str">
            <v>102007</v>
          </cell>
          <cell r="R3268" t="str">
            <v>102007Scratch 1 000</v>
          </cell>
          <cell r="S3268" t="str">
            <v>2007Scratch 1 000</v>
          </cell>
          <cell r="T3268" t="str">
            <v>102007STS GAMBY &amp; FRERES (SOGAF) Sarl</v>
          </cell>
          <cell r="U3268" t="str">
            <v>102007STS GAMBY &amp; FRERES (SOGAF) SarlScratch 1 000</v>
          </cell>
          <cell r="V3268" t="str">
            <v>39372Scratch 1 000</v>
          </cell>
          <cell r="W3268" t="str">
            <v>2007STS GAMBY &amp; FRERES (SOGAF) Sarl</v>
          </cell>
          <cell r="X3268" t="str">
            <v>2007STS GAMBY &amp; FRERES (SOGAF) SarlScratch 1 000</v>
          </cell>
        </row>
        <row r="3269">
          <cell r="I3269">
            <v>2007</v>
          </cell>
          <cell r="J3269" t="str">
            <v>Compagnie Internationale de NegoceScratch 5 000</v>
          </cell>
          <cell r="L3269">
            <v>1</v>
          </cell>
          <cell r="M3269" t="str">
            <v>1Compagnie Internationale de Negoce</v>
          </cell>
          <cell r="N3269" t="str">
            <v>Compagnie Internationale de NegoceScratch 5 000</v>
          </cell>
          <cell r="O3269" t="str">
            <v>Compagnie Internationale de Negoce</v>
          </cell>
          <cell r="P3269" t="str">
            <v>Scratch 5 000</v>
          </cell>
          <cell r="Q3269" t="str">
            <v>102007</v>
          </cell>
          <cell r="R3269" t="str">
            <v>102007Scratch 5 000</v>
          </cell>
          <cell r="S3269" t="str">
            <v>2007Scratch 5 000</v>
          </cell>
          <cell r="T3269" t="str">
            <v>102007Compagnie Internationale de Negoce</v>
          </cell>
          <cell r="U3269" t="str">
            <v>102007Compagnie Internationale de NegoceScratch 5 000</v>
          </cell>
          <cell r="V3269" t="str">
            <v>39372Scratch 5 000</v>
          </cell>
          <cell r="W3269" t="str">
            <v>2007Compagnie Internationale de Negoce</v>
          </cell>
          <cell r="X3269" t="str">
            <v>2007Compagnie Internationale de NegoceScratch 5 000</v>
          </cell>
        </row>
        <row r="3270">
          <cell r="I3270">
            <v>2007</v>
          </cell>
          <cell r="J3270" t="str">
            <v>Compagnie Internationale de NegoceScratch 2 000</v>
          </cell>
          <cell r="L3270">
            <v>0</v>
          </cell>
          <cell r="M3270" t="str">
            <v>Compagnie Internationale de Negoce</v>
          </cell>
          <cell r="N3270" t="str">
            <v>Compagnie Internationale de NegoceScratch 2 000</v>
          </cell>
          <cell r="O3270" t="str">
            <v>Compagnie Internationale de Negoce</v>
          </cell>
          <cell r="P3270" t="str">
            <v>Scratch 2 000</v>
          </cell>
          <cell r="Q3270" t="str">
            <v>102007</v>
          </cell>
          <cell r="R3270" t="str">
            <v>102007Scratch 2 000</v>
          </cell>
          <cell r="S3270" t="str">
            <v>2007Scratch 2 000</v>
          </cell>
          <cell r="T3270" t="str">
            <v>102007Compagnie Internationale de Negoce</v>
          </cell>
          <cell r="U3270" t="str">
            <v>102007Compagnie Internationale de NegoceScratch 2 000</v>
          </cell>
          <cell r="V3270" t="str">
            <v>39372Scratch 2 000</v>
          </cell>
          <cell r="W3270" t="str">
            <v>2007Compagnie Internationale de Negoce</v>
          </cell>
          <cell r="X3270" t="str">
            <v>2007Compagnie Internationale de NegoceScratch 2 000</v>
          </cell>
        </row>
        <row r="3271">
          <cell r="I3271">
            <v>2007</v>
          </cell>
          <cell r="J3271" t="str">
            <v>Compagnie Internationale de NegoceScratch 1 000</v>
          </cell>
          <cell r="L3271">
            <v>0</v>
          </cell>
          <cell r="M3271" t="str">
            <v>Compagnie Internationale de Negoce</v>
          </cell>
          <cell r="N3271" t="str">
            <v>Compagnie Internationale de NegoceScratch 1 000</v>
          </cell>
          <cell r="O3271" t="str">
            <v>Compagnie Internationale de Negoce</v>
          </cell>
          <cell r="P3271" t="str">
            <v>Scratch 1 000</v>
          </cell>
          <cell r="Q3271" t="str">
            <v>102007</v>
          </cell>
          <cell r="R3271" t="str">
            <v>102007Scratch 1 000</v>
          </cell>
          <cell r="S3271" t="str">
            <v>2007Scratch 1 000</v>
          </cell>
          <cell r="T3271" t="str">
            <v>102007Compagnie Internationale de Negoce</v>
          </cell>
          <cell r="U3271" t="str">
            <v>102007Compagnie Internationale de NegoceScratch 1 000</v>
          </cell>
          <cell r="V3271" t="str">
            <v>39372Scratch 1 000</v>
          </cell>
          <cell r="W3271" t="str">
            <v>2007Compagnie Internationale de Negoce</v>
          </cell>
          <cell r="X3271" t="str">
            <v>2007Compagnie Internationale de NegoceScratch 1 000</v>
          </cell>
        </row>
        <row r="3272">
          <cell r="I3272">
            <v>2007</v>
          </cell>
          <cell r="J3272" t="str">
            <v>Burtel MacsymScratch 10 000</v>
          </cell>
          <cell r="L3272">
            <v>1</v>
          </cell>
          <cell r="M3272" t="str">
            <v>1Burtel Macsym</v>
          </cell>
          <cell r="N3272" t="str">
            <v>Burtel MacsymScratch 10 000</v>
          </cell>
          <cell r="O3272" t="str">
            <v>Burtel Macsym</v>
          </cell>
          <cell r="P3272" t="str">
            <v>Scratch 10 000</v>
          </cell>
          <cell r="Q3272" t="str">
            <v>102007</v>
          </cell>
          <cell r="R3272" t="str">
            <v>102007Scratch 10 000</v>
          </cell>
          <cell r="S3272" t="str">
            <v>2007Scratch 10 000</v>
          </cell>
          <cell r="T3272" t="str">
            <v>102007Burtel Macsym</v>
          </cell>
          <cell r="U3272" t="str">
            <v>102007Burtel MacsymScratch 10 000</v>
          </cell>
          <cell r="V3272" t="str">
            <v>39372Scratch 10 000</v>
          </cell>
          <cell r="W3272" t="str">
            <v>2007Burtel Macsym</v>
          </cell>
          <cell r="X3272" t="str">
            <v>2007Burtel MacsymScratch 10 000</v>
          </cell>
        </row>
        <row r="3273">
          <cell r="I3273">
            <v>2007</v>
          </cell>
          <cell r="J3273" t="str">
            <v>Burtel MacsymScratch 5 000</v>
          </cell>
          <cell r="L3273">
            <v>1</v>
          </cell>
          <cell r="M3273" t="str">
            <v>1Burtel Macsym</v>
          </cell>
          <cell r="N3273" t="str">
            <v>Burtel MacsymScratch 5 000</v>
          </cell>
          <cell r="O3273" t="str">
            <v>Burtel Macsym</v>
          </cell>
          <cell r="P3273" t="str">
            <v>Scratch 5 000</v>
          </cell>
          <cell r="Q3273" t="str">
            <v>102007</v>
          </cell>
          <cell r="R3273" t="str">
            <v>102007Scratch 5 000</v>
          </cell>
          <cell r="S3273" t="str">
            <v>2007Scratch 5 000</v>
          </cell>
          <cell r="T3273" t="str">
            <v>102007Burtel Macsym</v>
          </cell>
          <cell r="U3273" t="str">
            <v>102007Burtel MacsymScratch 5 000</v>
          </cell>
          <cell r="V3273" t="str">
            <v>39372Scratch 5 000</v>
          </cell>
          <cell r="W3273" t="str">
            <v>2007Burtel Macsym</v>
          </cell>
          <cell r="X3273" t="str">
            <v>2007Burtel MacsymScratch 5 000</v>
          </cell>
        </row>
        <row r="3274">
          <cell r="I3274">
            <v>2007</v>
          </cell>
          <cell r="J3274" t="str">
            <v>Burtel MacsymScratch 2 000</v>
          </cell>
          <cell r="L3274">
            <v>0</v>
          </cell>
          <cell r="M3274" t="str">
            <v>Burtel Macsym</v>
          </cell>
          <cell r="N3274" t="str">
            <v>Burtel MacsymScratch 2 000</v>
          </cell>
          <cell r="O3274" t="str">
            <v>Burtel Macsym</v>
          </cell>
          <cell r="P3274" t="str">
            <v>Scratch 2 000</v>
          </cell>
          <cell r="Q3274" t="str">
            <v>102007</v>
          </cell>
          <cell r="R3274" t="str">
            <v>102007Scratch 2 000</v>
          </cell>
          <cell r="S3274" t="str">
            <v>2007Scratch 2 000</v>
          </cell>
          <cell r="T3274" t="str">
            <v>102007Burtel Macsym</v>
          </cell>
          <cell r="U3274" t="str">
            <v>102007Burtel MacsymScratch 2 000</v>
          </cell>
          <cell r="V3274" t="str">
            <v>39372Scratch 2 000</v>
          </cell>
          <cell r="W3274" t="str">
            <v>2007Burtel Macsym</v>
          </cell>
          <cell r="X3274" t="str">
            <v>2007Burtel MacsymScratch 2 000</v>
          </cell>
        </row>
        <row r="3275">
          <cell r="I3275">
            <v>2007</v>
          </cell>
          <cell r="J3275" t="str">
            <v>Burtel MacsymScratch 1 000</v>
          </cell>
          <cell r="L3275">
            <v>0</v>
          </cell>
          <cell r="M3275" t="str">
            <v>Burtel Macsym</v>
          </cell>
          <cell r="N3275" t="str">
            <v>Burtel MacsymScratch 1 000</v>
          </cell>
          <cell r="O3275" t="str">
            <v>Burtel Macsym</v>
          </cell>
          <cell r="P3275" t="str">
            <v>Scratch 1 000</v>
          </cell>
          <cell r="Q3275" t="str">
            <v>102007</v>
          </cell>
          <cell r="R3275" t="str">
            <v>102007Scratch 1 000</v>
          </cell>
          <cell r="S3275" t="str">
            <v>2007Scratch 1 000</v>
          </cell>
          <cell r="T3275" t="str">
            <v>102007Burtel Macsym</v>
          </cell>
          <cell r="U3275" t="str">
            <v>102007Burtel MacsymScratch 1 000</v>
          </cell>
          <cell r="V3275" t="str">
            <v>39372Scratch 1 000</v>
          </cell>
          <cell r="W3275" t="str">
            <v>2007Burtel Macsym</v>
          </cell>
          <cell r="X3275" t="str">
            <v>2007Burtel MacsymScratch 1 000</v>
          </cell>
        </row>
        <row r="3276">
          <cell r="I3276">
            <v>2007</v>
          </cell>
          <cell r="J3276" t="str">
            <v>ANKA SERVICESScratch 5 000</v>
          </cell>
          <cell r="L3276">
            <v>1</v>
          </cell>
          <cell r="M3276" t="str">
            <v>1ANKA SERVICES</v>
          </cell>
          <cell r="N3276" t="str">
            <v>ANKA SERVICESScratch 5 000</v>
          </cell>
          <cell r="O3276" t="str">
            <v>ANKA SERVICES</v>
          </cell>
          <cell r="P3276" t="str">
            <v>Scratch 5 000</v>
          </cell>
          <cell r="Q3276" t="str">
            <v>102007</v>
          </cell>
          <cell r="R3276" t="str">
            <v>102007Scratch 5 000</v>
          </cell>
          <cell r="S3276" t="str">
            <v>2007Scratch 5 000</v>
          </cell>
          <cell r="T3276" t="str">
            <v>102007ANKA SERVICES</v>
          </cell>
          <cell r="U3276" t="str">
            <v>102007ANKA SERVICESScratch 5 000</v>
          </cell>
          <cell r="V3276" t="str">
            <v>39372Scratch 5 000</v>
          </cell>
          <cell r="W3276" t="str">
            <v>2007ANKA SERVICES</v>
          </cell>
          <cell r="X3276" t="str">
            <v>2007ANKA SERVICESScratch 5 000</v>
          </cell>
        </row>
        <row r="3277">
          <cell r="I3277">
            <v>2007</v>
          </cell>
          <cell r="J3277" t="str">
            <v>ANKA SERVICESScratch 2 000</v>
          </cell>
          <cell r="L3277">
            <v>0</v>
          </cell>
          <cell r="M3277" t="str">
            <v>ANKA SERVICES</v>
          </cell>
          <cell r="N3277" t="str">
            <v>ANKA SERVICESScratch 2 000</v>
          </cell>
          <cell r="O3277" t="str">
            <v>ANKA SERVICES</v>
          </cell>
          <cell r="P3277" t="str">
            <v>Scratch 2 000</v>
          </cell>
          <cell r="Q3277" t="str">
            <v>102007</v>
          </cell>
          <cell r="R3277" t="str">
            <v>102007Scratch 2 000</v>
          </cell>
          <cell r="S3277" t="str">
            <v>2007Scratch 2 000</v>
          </cell>
          <cell r="T3277" t="str">
            <v>102007ANKA SERVICES</v>
          </cell>
          <cell r="U3277" t="str">
            <v>102007ANKA SERVICESScratch 2 000</v>
          </cell>
          <cell r="V3277" t="str">
            <v>39372Scratch 2 000</v>
          </cell>
          <cell r="W3277" t="str">
            <v>2007ANKA SERVICES</v>
          </cell>
          <cell r="X3277" t="str">
            <v>2007ANKA SERVICESScratch 2 000</v>
          </cell>
        </row>
        <row r="3278">
          <cell r="I3278">
            <v>2007</v>
          </cell>
          <cell r="J3278" t="str">
            <v>ANKA SERVICESScratch 1 000</v>
          </cell>
          <cell r="L3278">
            <v>1</v>
          </cell>
          <cell r="M3278" t="str">
            <v>1ANKA SERVICES</v>
          </cell>
          <cell r="N3278" t="str">
            <v>ANKA SERVICESScratch 1 000</v>
          </cell>
          <cell r="O3278" t="str">
            <v>ANKA SERVICES</v>
          </cell>
          <cell r="P3278" t="str">
            <v>Scratch 1 000</v>
          </cell>
          <cell r="Q3278" t="str">
            <v>102007</v>
          </cell>
          <cell r="R3278" t="str">
            <v>102007Scratch 1 000</v>
          </cell>
          <cell r="S3278" t="str">
            <v>2007Scratch 1 000</v>
          </cell>
          <cell r="T3278" t="str">
            <v>102007ANKA SERVICES</v>
          </cell>
          <cell r="U3278" t="str">
            <v>102007ANKA SERVICESScratch 1 000</v>
          </cell>
          <cell r="V3278" t="str">
            <v>39372Scratch 1 000</v>
          </cell>
          <cell r="W3278" t="str">
            <v>2007ANKA SERVICES</v>
          </cell>
          <cell r="X3278" t="str">
            <v>2007ANKA SERVICESScratch 1 000</v>
          </cell>
        </row>
        <row r="3279">
          <cell r="I3279">
            <v>2007</v>
          </cell>
          <cell r="J3279" t="str">
            <v>GEMATELScratch 5 000</v>
          </cell>
          <cell r="L3279">
            <v>1</v>
          </cell>
          <cell r="M3279" t="str">
            <v>1GEMATEL</v>
          </cell>
          <cell r="N3279" t="str">
            <v>GEMATELScratch 5 000</v>
          </cell>
          <cell r="O3279" t="str">
            <v>GEMATEL</v>
          </cell>
          <cell r="P3279" t="str">
            <v>Scratch 5 000</v>
          </cell>
          <cell r="Q3279" t="str">
            <v>102007</v>
          </cell>
          <cell r="R3279" t="str">
            <v>102007Scratch 5 000</v>
          </cell>
          <cell r="S3279" t="str">
            <v>2007Scratch 5 000</v>
          </cell>
          <cell r="T3279" t="str">
            <v>102007GEMATEL</v>
          </cell>
          <cell r="U3279" t="str">
            <v>102007GEMATELScratch 5 000</v>
          </cell>
          <cell r="V3279" t="str">
            <v>39372Scratch 5 000</v>
          </cell>
          <cell r="W3279" t="str">
            <v>2007GEMATEL</v>
          </cell>
          <cell r="X3279" t="str">
            <v>2007GEMATELScratch 5 000</v>
          </cell>
        </row>
        <row r="3280">
          <cell r="I3280">
            <v>2007</v>
          </cell>
          <cell r="J3280" t="str">
            <v>GEMATELScratch 2 000</v>
          </cell>
          <cell r="L3280">
            <v>0</v>
          </cell>
          <cell r="M3280" t="str">
            <v>GEMATEL</v>
          </cell>
          <cell r="N3280" t="str">
            <v>GEMATELScratch 2 000</v>
          </cell>
          <cell r="O3280" t="str">
            <v>GEMATEL</v>
          </cell>
          <cell r="P3280" t="str">
            <v>Scratch 2 000</v>
          </cell>
          <cell r="Q3280" t="str">
            <v>102007</v>
          </cell>
          <cell r="R3280" t="str">
            <v>102007Scratch 2 000</v>
          </cell>
          <cell r="S3280" t="str">
            <v>2007Scratch 2 000</v>
          </cell>
          <cell r="T3280" t="str">
            <v>102007GEMATEL</v>
          </cell>
          <cell r="U3280" t="str">
            <v>102007GEMATELScratch 2 000</v>
          </cell>
          <cell r="V3280" t="str">
            <v>39372Scratch 2 000</v>
          </cell>
          <cell r="W3280" t="str">
            <v>2007GEMATEL</v>
          </cell>
          <cell r="X3280" t="str">
            <v>2007GEMATELScratch 2 000</v>
          </cell>
        </row>
        <row r="3281">
          <cell r="I3281">
            <v>2007</v>
          </cell>
          <cell r="J3281" t="str">
            <v>GEMATELScratch 1 000</v>
          </cell>
          <cell r="L3281">
            <v>0</v>
          </cell>
          <cell r="M3281" t="str">
            <v>GEMATEL</v>
          </cell>
          <cell r="N3281" t="str">
            <v>GEMATELScratch 1 000</v>
          </cell>
          <cell r="O3281" t="str">
            <v>GEMATEL</v>
          </cell>
          <cell r="P3281" t="str">
            <v>Scratch 1 000</v>
          </cell>
          <cell r="Q3281" t="str">
            <v>102007</v>
          </cell>
          <cell r="R3281" t="str">
            <v>102007Scratch 1 000</v>
          </cell>
          <cell r="S3281" t="str">
            <v>2007Scratch 1 000</v>
          </cell>
          <cell r="T3281" t="str">
            <v>102007GEMATEL</v>
          </cell>
          <cell r="U3281" t="str">
            <v>102007GEMATELScratch 1 000</v>
          </cell>
          <cell r="V3281" t="str">
            <v>39372Scratch 1 000</v>
          </cell>
          <cell r="W3281" t="str">
            <v>2007GEMATEL</v>
          </cell>
          <cell r="X3281" t="str">
            <v>2007GEMATELScratch 1 000</v>
          </cell>
        </row>
        <row r="3282">
          <cell r="I3282">
            <v>2007</v>
          </cell>
          <cell r="J3282" t="str">
            <v>Soleil LevantScratch 5 000</v>
          </cell>
          <cell r="L3282">
            <v>1</v>
          </cell>
          <cell r="M3282" t="str">
            <v>1Soleil Levant</v>
          </cell>
          <cell r="N3282" t="str">
            <v>Soleil LevantScratch 5 000</v>
          </cell>
          <cell r="O3282" t="str">
            <v>Soleil Levant</v>
          </cell>
          <cell r="P3282" t="str">
            <v>Scratch 5 000</v>
          </cell>
          <cell r="Q3282" t="str">
            <v>102007</v>
          </cell>
          <cell r="R3282" t="str">
            <v>102007Scratch 5 000</v>
          </cell>
          <cell r="S3282" t="str">
            <v>2007Scratch 5 000</v>
          </cell>
          <cell r="T3282" t="str">
            <v>102007Soleil Levant</v>
          </cell>
          <cell r="U3282" t="str">
            <v>102007Soleil LevantScratch 5 000</v>
          </cell>
          <cell r="V3282" t="str">
            <v>39373Scratch 5 000</v>
          </cell>
          <cell r="W3282" t="str">
            <v>2007Soleil Levant</v>
          </cell>
          <cell r="X3282" t="str">
            <v>2007Soleil LevantScratch 5 000</v>
          </cell>
        </row>
        <row r="3283">
          <cell r="I3283">
            <v>2007</v>
          </cell>
          <cell r="J3283" t="str">
            <v>Soleil LevantScratch 2 000</v>
          </cell>
          <cell r="L3283">
            <v>0</v>
          </cell>
          <cell r="M3283" t="str">
            <v>Soleil Levant</v>
          </cell>
          <cell r="N3283" t="str">
            <v>Soleil LevantScratch 2 000</v>
          </cell>
          <cell r="O3283" t="str">
            <v>Soleil Levant</v>
          </cell>
          <cell r="P3283" t="str">
            <v>Scratch 2 000</v>
          </cell>
          <cell r="Q3283" t="str">
            <v>102007</v>
          </cell>
          <cell r="R3283" t="str">
            <v>102007Scratch 2 000</v>
          </cell>
          <cell r="S3283" t="str">
            <v>2007Scratch 2 000</v>
          </cell>
          <cell r="T3283" t="str">
            <v>102007Soleil Levant</v>
          </cell>
          <cell r="U3283" t="str">
            <v>102007Soleil LevantScratch 2 000</v>
          </cell>
          <cell r="V3283" t="str">
            <v>39373Scratch 2 000</v>
          </cell>
          <cell r="W3283" t="str">
            <v>2007Soleil Levant</v>
          </cell>
          <cell r="X3283" t="str">
            <v>2007Soleil LevantScratch 2 000</v>
          </cell>
        </row>
        <row r="3284">
          <cell r="I3284">
            <v>2007</v>
          </cell>
          <cell r="J3284" t="str">
            <v>Soleil LevantScratch 1 000</v>
          </cell>
          <cell r="L3284">
            <v>0</v>
          </cell>
          <cell r="M3284" t="str">
            <v>Soleil Levant</v>
          </cell>
          <cell r="N3284" t="str">
            <v>Soleil LevantScratch 1 000</v>
          </cell>
          <cell r="O3284" t="str">
            <v>Soleil Levant</v>
          </cell>
          <cell r="P3284" t="str">
            <v>Scratch 1 000</v>
          </cell>
          <cell r="Q3284" t="str">
            <v>102007</v>
          </cell>
          <cell r="R3284" t="str">
            <v>102007Scratch 1 000</v>
          </cell>
          <cell r="S3284" t="str">
            <v>2007Scratch 1 000</v>
          </cell>
          <cell r="T3284" t="str">
            <v>102007Soleil Levant</v>
          </cell>
          <cell r="U3284" t="str">
            <v>102007Soleil LevantScratch 1 000</v>
          </cell>
          <cell r="V3284" t="str">
            <v>39373Scratch 1 000</v>
          </cell>
          <cell r="W3284" t="str">
            <v>2007Soleil Levant</v>
          </cell>
          <cell r="X3284" t="str">
            <v>2007Soleil LevantScratch 1 000</v>
          </cell>
        </row>
        <row r="3285">
          <cell r="I3285">
            <v>2007</v>
          </cell>
          <cell r="J3285" t="str">
            <v>GEMATELScratch 20 000</v>
          </cell>
          <cell r="L3285">
            <v>1</v>
          </cell>
          <cell r="M3285" t="str">
            <v>1GEMATEL</v>
          </cell>
          <cell r="N3285" t="str">
            <v>GEMATELScratch 20 000</v>
          </cell>
          <cell r="O3285" t="str">
            <v>GEMATEL</v>
          </cell>
          <cell r="P3285" t="str">
            <v>Scratch 20 000</v>
          </cell>
          <cell r="Q3285" t="str">
            <v>102007</v>
          </cell>
          <cell r="R3285" t="str">
            <v>102007Scratch 20 000</v>
          </cell>
          <cell r="S3285" t="str">
            <v>2007Scratch 20 000</v>
          </cell>
          <cell r="T3285" t="str">
            <v>102007GEMATEL</v>
          </cell>
          <cell r="U3285" t="str">
            <v>102007GEMATELScratch 20 000</v>
          </cell>
          <cell r="V3285" t="str">
            <v>39373Scratch 20 000</v>
          </cell>
          <cell r="W3285" t="str">
            <v>2007GEMATEL</v>
          </cell>
          <cell r="X3285" t="str">
            <v>2007GEMATELScratch 20 000</v>
          </cell>
        </row>
        <row r="3286">
          <cell r="I3286">
            <v>2007</v>
          </cell>
          <cell r="J3286" t="str">
            <v>GEMATELScratch 5 000</v>
          </cell>
          <cell r="L3286">
            <v>0</v>
          </cell>
          <cell r="M3286" t="str">
            <v>GEMATEL</v>
          </cell>
          <cell r="N3286" t="str">
            <v>GEMATELScratch 5 000</v>
          </cell>
          <cell r="O3286" t="str">
            <v>GEMATEL</v>
          </cell>
          <cell r="P3286" t="str">
            <v>Scratch 5 000</v>
          </cell>
          <cell r="Q3286" t="str">
            <v>102007</v>
          </cell>
          <cell r="R3286" t="str">
            <v>102007Scratch 5 000</v>
          </cell>
          <cell r="S3286" t="str">
            <v>2007Scratch 5 000</v>
          </cell>
          <cell r="T3286" t="str">
            <v>102007GEMATEL</v>
          </cell>
          <cell r="U3286" t="str">
            <v>102007GEMATELScratch 5 000</v>
          </cell>
          <cell r="V3286" t="str">
            <v>39373Scratch 5 000</v>
          </cell>
          <cell r="W3286" t="str">
            <v>2007GEMATEL</v>
          </cell>
          <cell r="X3286" t="str">
            <v>2007GEMATELScratch 5 000</v>
          </cell>
        </row>
        <row r="3287">
          <cell r="I3287">
            <v>2007</v>
          </cell>
          <cell r="J3287" t="str">
            <v>GEMATELScratch 2 000</v>
          </cell>
          <cell r="L3287">
            <v>0</v>
          </cell>
          <cell r="M3287" t="str">
            <v>GEMATEL</v>
          </cell>
          <cell r="N3287" t="str">
            <v>GEMATELScratch 2 000</v>
          </cell>
          <cell r="O3287" t="str">
            <v>GEMATEL</v>
          </cell>
          <cell r="P3287" t="str">
            <v>Scratch 2 000</v>
          </cell>
          <cell r="Q3287" t="str">
            <v>102007</v>
          </cell>
          <cell r="R3287" t="str">
            <v>102007Scratch 2 000</v>
          </cell>
          <cell r="S3287" t="str">
            <v>2007Scratch 2 000</v>
          </cell>
          <cell r="T3287" t="str">
            <v>102007GEMATEL</v>
          </cell>
          <cell r="U3287" t="str">
            <v>102007GEMATELScratch 2 000</v>
          </cell>
          <cell r="V3287" t="str">
            <v>39373Scratch 2 000</v>
          </cell>
          <cell r="W3287" t="str">
            <v>2007GEMATEL</v>
          </cell>
          <cell r="X3287" t="str">
            <v>2007GEMATELScratch 2 000</v>
          </cell>
        </row>
        <row r="3288">
          <cell r="I3288">
            <v>2007</v>
          </cell>
          <cell r="J3288" t="str">
            <v>GEMATELScratch 1 000</v>
          </cell>
          <cell r="L3288">
            <v>0</v>
          </cell>
          <cell r="M3288" t="str">
            <v>GEMATEL</v>
          </cell>
          <cell r="N3288" t="str">
            <v>GEMATELScratch 1 000</v>
          </cell>
          <cell r="O3288" t="str">
            <v>GEMATEL</v>
          </cell>
          <cell r="P3288" t="str">
            <v>Scratch 1 000</v>
          </cell>
          <cell r="Q3288" t="str">
            <v>102007</v>
          </cell>
          <cell r="R3288" t="str">
            <v>102007Scratch 1 000</v>
          </cell>
          <cell r="S3288" t="str">
            <v>2007Scratch 1 000</v>
          </cell>
          <cell r="T3288" t="str">
            <v>102007GEMATEL</v>
          </cell>
          <cell r="U3288" t="str">
            <v>102007GEMATELScratch 1 000</v>
          </cell>
          <cell r="V3288" t="str">
            <v>39373Scratch 1 000</v>
          </cell>
          <cell r="W3288" t="str">
            <v>2007GEMATEL</v>
          </cell>
          <cell r="X3288" t="str">
            <v>2007GEMATELScratch 1 000</v>
          </cell>
        </row>
        <row r="3289">
          <cell r="I3289">
            <v>2007</v>
          </cell>
          <cell r="J3289" t="str">
            <v>STS GAMBY &amp; FRERES (SOGAF) SarlScratch 5 000</v>
          </cell>
          <cell r="L3289">
            <v>1</v>
          </cell>
          <cell r="M3289" t="str">
            <v>1STS GAMBY &amp; FRERES (SOGAF) Sarl</v>
          </cell>
          <cell r="N3289" t="str">
            <v>STS GAMBY &amp; FRERES (SOGAF) SarlScratch 5 000</v>
          </cell>
          <cell r="O3289" t="str">
            <v>STS GAMBY &amp; FRERES (SOGAF) Sarl</v>
          </cell>
          <cell r="P3289" t="str">
            <v>Scratch 5 000</v>
          </cell>
          <cell r="Q3289" t="str">
            <v>102007</v>
          </cell>
          <cell r="R3289" t="str">
            <v>102007Scratch 5 000</v>
          </cell>
          <cell r="S3289" t="str">
            <v>2007Scratch 5 000</v>
          </cell>
          <cell r="T3289" t="str">
            <v>102007STS GAMBY &amp; FRERES (SOGAF) Sarl</v>
          </cell>
          <cell r="U3289" t="str">
            <v>102007STS GAMBY &amp; FRERES (SOGAF) SarlScratch 5 000</v>
          </cell>
          <cell r="V3289" t="str">
            <v>39374Scratch 5 000</v>
          </cell>
          <cell r="W3289" t="str">
            <v>2007STS GAMBY &amp; FRERES (SOGAF) Sarl</v>
          </cell>
          <cell r="X3289" t="str">
            <v>2007STS GAMBY &amp; FRERES (SOGAF) SarlScratch 5 000</v>
          </cell>
        </row>
        <row r="3290">
          <cell r="I3290">
            <v>2007</v>
          </cell>
          <cell r="J3290" t="str">
            <v>STS GAMBY &amp; FRERES (SOGAF) SarlScratch 2 000</v>
          </cell>
          <cell r="L3290">
            <v>0</v>
          </cell>
          <cell r="M3290" t="str">
            <v>STS GAMBY &amp; FRERES (SOGAF) Sarl</v>
          </cell>
          <cell r="N3290" t="str">
            <v>STS GAMBY &amp; FRERES (SOGAF) SarlScratch 2 000</v>
          </cell>
          <cell r="O3290" t="str">
            <v>STS GAMBY &amp; FRERES (SOGAF) Sarl</v>
          </cell>
          <cell r="P3290" t="str">
            <v>Scratch 2 000</v>
          </cell>
          <cell r="Q3290" t="str">
            <v>102007</v>
          </cell>
          <cell r="R3290" t="str">
            <v>102007Scratch 2 000</v>
          </cell>
          <cell r="S3290" t="str">
            <v>2007Scratch 2 000</v>
          </cell>
          <cell r="T3290" t="str">
            <v>102007STS GAMBY &amp; FRERES (SOGAF) Sarl</v>
          </cell>
          <cell r="U3290" t="str">
            <v>102007STS GAMBY &amp; FRERES (SOGAF) SarlScratch 2 000</v>
          </cell>
          <cell r="V3290" t="str">
            <v>39374Scratch 2 000</v>
          </cell>
          <cell r="W3290" t="str">
            <v>2007STS GAMBY &amp; FRERES (SOGAF) Sarl</v>
          </cell>
          <cell r="X3290" t="str">
            <v>2007STS GAMBY &amp; FRERES (SOGAF) SarlScratch 2 000</v>
          </cell>
        </row>
        <row r="3291">
          <cell r="I3291">
            <v>2007</v>
          </cell>
          <cell r="J3291" t="str">
            <v>STS GAMBY &amp; FRERES (SOGAF) SarlScratch 1 000</v>
          </cell>
          <cell r="L3291">
            <v>0</v>
          </cell>
          <cell r="M3291" t="str">
            <v>STS GAMBY &amp; FRERES (SOGAF) Sarl</v>
          </cell>
          <cell r="N3291" t="str">
            <v>STS GAMBY &amp; FRERES (SOGAF) SarlScratch 1 000</v>
          </cell>
          <cell r="O3291" t="str">
            <v>STS GAMBY &amp; FRERES (SOGAF) Sarl</v>
          </cell>
          <cell r="P3291" t="str">
            <v>Scratch 1 000</v>
          </cell>
          <cell r="Q3291" t="str">
            <v>102007</v>
          </cell>
          <cell r="R3291" t="str">
            <v>102007Scratch 1 000</v>
          </cell>
          <cell r="S3291" t="str">
            <v>2007Scratch 1 000</v>
          </cell>
          <cell r="T3291" t="str">
            <v>102007STS GAMBY &amp; FRERES (SOGAF) Sarl</v>
          </cell>
          <cell r="U3291" t="str">
            <v>102007STS GAMBY &amp; FRERES (SOGAF) SarlScratch 1 000</v>
          </cell>
          <cell r="V3291" t="str">
            <v>39374Scratch 1 000</v>
          </cell>
          <cell r="W3291" t="str">
            <v>2007STS GAMBY &amp; FRERES (SOGAF) Sarl</v>
          </cell>
          <cell r="X3291" t="str">
            <v>2007STS GAMBY &amp; FRERES (SOGAF) SarlScratch 1 000</v>
          </cell>
        </row>
        <row r="3292">
          <cell r="I3292">
            <v>2007</v>
          </cell>
          <cell r="J3292" t="str">
            <v>MALI COM SarlScratch 20 000</v>
          </cell>
          <cell r="L3292">
            <v>1</v>
          </cell>
          <cell r="M3292" t="str">
            <v>1MALI COM Sarl</v>
          </cell>
          <cell r="N3292" t="str">
            <v>MALI COM SarlScratch 20 000</v>
          </cell>
          <cell r="O3292" t="str">
            <v>MALI COM Sarl</v>
          </cell>
          <cell r="P3292" t="str">
            <v>Scratch 20 000</v>
          </cell>
          <cell r="Q3292" t="str">
            <v>102007</v>
          </cell>
          <cell r="R3292" t="str">
            <v>102007Scratch 20 000</v>
          </cell>
          <cell r="S3292" t="str">
            <v>2007Scratch 20 000</v>
          </cell>
          <cell r="T3292" t="str">
            <v>102007MALI COM Sarl</v>
          </cell>
          <cell r="U3292" t="str">
            <v>102007MALI COM SarlScratch 20 000</v>
          </cell>
          <cell r="V3292" t="str">
            <v>39374Scratch 20 000</v>
          </cell>
          <cell r="W3292" t="str">
            <v>2007MALI COM Sarl</v>
          </cell>
          <cell r="X3292" t="str">
            <v>2007MALI COM SarlScratch 20 000</v>
          </cell>
        </row>
        <row r="3293">
          <cell r="I3293">
            <v>2007</v>
          </cell>
          <cell r="J3293" t="str">
            <v>MALI COM SarlScratch 5 000</v>
          </cell>
          <cell r="L3293">
            <v>0</v>
          </cell>
          <cell r="M3293" t="str">
            <v>MALI COM Sarl</v>
          </cell>
          <cell r="N3293" t="str">
            <v>MALI COM SarlScratch 5 000</v>
          </cell>
          <cell r="O3293" t="str">
            <v>MALI COM Sarl</v>
          </cell>
          <cell r="P3293" t="str">
            <v>Scratch 5 000</v>
          </cell>
          <cell r="Q3293" t="str">
            <v>102007</v>
          </cell>
          <cell r="R3293" t="str">
            <v>102007Scratch 5 000</v>
          </cell>
          <cell r="S3293" t="str">
            <v>2007Scratch 5 000</v>
          </cell>
          <cell r="T3293" t="str">
            <v>102007MALI COM Sarl</v>
          </cell>
          <cell r="U3293" t="str">
            <v>102007MALI COM SarlScratch 5 000</v>
          </cell>
          <cell r="V3293" t="str">
            <v>39374Scratch 5 000</v>
          </cell>
          <cell r="W3293" t="str">
            <v>2007MALI COM Sarl</v>
          </cell>
          <cell r="X3293" t="str">
            <v>2007MALI COM SarlScratch 5 000</v>
          </cell>
        </row>
        <row r="3294">
          <cell r="I3294">
            <v>2007</v>
          </cell>
          <cell r="J3294" t="str">
            <v>MALI COM SarlScratch 2 000</v>
          </cell>
          <cell r="L3294">
            <v>0</v>
          </cell>
          <cell r="M3294" t="str">
            <v>MALI COM Sarl</v>
          </cell>
          <cell r="N3294" t="str">
            <v>MALI COM SarlScratch 2 000</v>
          </cell>
          <cell r="O3294" t="str">
            <v>MALI COM Sarl</v>
          </cell>
          <cell r="P3294" t="str">
            <v>Scratch 2 000</v>
          </cell>
          <cell r="Q3294" t="str">
            <v>102007</v>
          </cell>
          <cell r="R3294" t="str">
            <v>102007Scratch 2 000</v>
          </cell>
          <cell r="S3294" t="str">
            <v>2007Scratch 2 000</v>
          </cell>
          <cell r="T3294" t="str">
            <v>102007MALI COM Sarl</v>
          </cell>
          <cell r="U3294" t="str">
            <v>102007MALI COM SarlScratch 2 000</v>
          </cell>
          <cell r="V3294" t="str">
            <v>39374Scratch 2 000</v>
          </cell>
          <cell r="W3294" t="str">
            <v>2007MALI COM Sarl</v>
          </cell>
          <cell r="X3294" t="str">
            <v>2007MALI COM SarlScratch 2 000</v>
          </cell>
        </row>
        <row r="3295">
          <cell r="I3295">
            <v>2007</v>
          </cell>
          <cell r="J3295" t="str">
            <v>MALI COM SarlScratch 1 000</v>
          </cell>
          <cell r="L3295">
            <v>0</v>
          </cell>
          <cell r="M3295" t="str">
            <v>MALI COM Sarl</v>
          </cell>
          <cell r="N3295" t="str">
            <v>MALI COM SarlScratch 1 000</v>
          </cell>
          <cell r="O3295" t="str">
            <v>MALI COM Sarl</v>
          </cell>
          <cell r="P3295" t="str">
            <v>Scratch 1 000</v>
          </cell>
          <cell r="Q3295" t="str">
            <v>102007</v>
          </cell>
          <cell r="R3295" t="str">
            <v>102007Scratch 1 000</v>
          </cell>
          <cell r="S3295" t="str">
            <v>2007Scratch 1 000</v>
          </cell>
          <cell r="T3295" t="str">
            <v>102007MALI COM Sarl</v>
          </cell>
          <cell r="U3295" t="str">
            <v>102007MALI COM SarlScratch 1 000</v>
          </cell>
          <cell r="V3295" t="str">
            <v>39374Scratch 1 000</v>
          </cell>
          <cell r="W3295" t="str">
            <v>2007MALI COM Sarl</v>
          </cell>
          <cell r="X3295" t="str">
            <v>2007MALI COM SarlScratch 1 000</v>
          </cell>
        </row>
        <row r="3296">
          <cell r="I3296">
            <v>2007</v>
          </cell>
          <cell r="J3296" t="str">
            <v>Ets Boubacar TANDIAScratch 20 000</v>
          </cell>
          <cell r="L3296">
            <v>1</v>
          </cell>
          <cell r="M3296" t="str">
            <v>1Ets Boubacar TANDIA</v>
          </cell>
          <cell r="N3296" t="str">
            <v>Ets Boubacar TANDIAScratch 20 000</v>
          </cell>
          <cell r="O3296" t="str">
            <v>Ets Boubacar TANDIA</v>
          </cell>
          <cell r="P3296" t="str">
            <v>Scratch 20 000</v>
          </cell>
          <cell r="Q3296" t="str">
            <v>102007</v>
          </cell>
          <cell r="R3296" t="str">
            <v>102007Scratch 20 000</v>
          </cell>
          <cell r="S3296" t="str">
            <v>2007Scratch 20 000</v>
          </cell>
          <cell r="T3296" t="str">
            <v>102007Ets Boubacar TANDIA</v>
          </cell>
          <cell r="U3296" t="str">
            <v>102007Ets Boubacar TANDIAScratch 20 000</v>
          </cell>
          <cell r="V3296" t="str">
            <v>39374Scratch 20 000</v>
          </cell>
          <cell r="W3296" t="str">
            <v>2007Ets Boubacar TANDIA</v>
          </cell>
          <cell r="X3296" t="str">
            <v>2007Ets Boubacar TANDIAScratch 20 000</v>
          </cell>
        </row>
        <row r="3297">
          <cell r="I3297">
            <v>2007</v>
          </cell>
          <cell r="J3297" t="str">
            <v>Ets Boubacar TANDIAScratch 5 000</v>
          </cell>
          <cell r="L3297">
            <v>0</v>
          </cell>
          <cell r="M3297" t="str">
            <v>Ets Boubacar TANDIA</v>
          </cell>
          <cell r="N3297" t="str">
            <v>Ets Boubacar TANDIAScratch 5 000</v>
          </cell>
          <cell r="O3297" t="str">
            <v>Ets Boubacar TANDIA</v>
          </cell>
          <cell r="P3297" t="str">
            <v>Scratch 5 000</v>
          </cell>
          <cell r="Q3297" t="str">
            <v>102007</v>
          </cell>
          <cell r="R3297" t="str">
            <v>102007Scratch 5 000</v>
          </cell>
          <cell r="S3297" t="str">
            <v>2007Scratch 5 000</v>
          </cell>
          <cell r="T3297" t="str">
            <v>102007Ets Boubacar TANDIA</v>
          </cell>
          <cell r="U3297" t="str">
            <v>102007Ets Boubacar TANDIAScratch 5 000</v>
          </cell>
          <cell r="V3297" t="str">
            <v>39374Scratch 5 000</v>
          </cell>
          <cell r="W3297" t="str">
            <v>2007Ets Boubacar TANDIA</v>
          </cell>
          <cell r="X3297" t="str">
            <v>2007Ets Boubacar TANDIAScratch 5 000</v>
          </cell>
        </row>
        <row r="3298">
          <cell r="I3298">
            <v>2007</v>
          </cell>
          <cell r="J3298" t="str">
            <v>Ets Boubacar TANDIAScratch 2 000</v>
          </cell>
          <cell r="L3298">
            <v>0</v>
          </cell>
          <cell r="M3298" t="str">
            <v>Ets Boubacar TANDIA</v>
          </cell>
          <cell r="N3298" t="str">
            <v>Ets Boubacar TANDIAScratch 2 000</v>
          </cell>
          <cell r="O3298" t="str">
            <v>Ets Boubacar TANDIA</v>
          </cell>
          <cell r="P3298" t="str">
            <v>Scratch 2 000</v>
          </cell>
          <cell r="Q3298" t="str">
            <v>102007</v>
          </cell>
          <cell r="R3298" t="str">
            <v>102007Scratch 2 000</v>
          </cell>
          <cell r="S3298" t="str">
            <v>2007Scratch 2 000</v>
          </cell>
          <cell r="T3298" t="str">
            <v>102007Ets Boubacar TANDIA</v>
          </cell>
          <cell r="U3298" t="str">
            <v>102007Ets Boubacar TANDIAScratch 2 000</v>
          </cell>
          <cell r="V3298" t="str">
            <v>39374Scratch 2 000</v>
          </cell>
          <cell r="W3298" t="str">
            <v>2007Ets Boubacar TANDIA</v>
          </cell>
          <cell r="X3298" t="str">
            <v>2007Ets Boubacar TANDIAScratch 2 000</v>
          </cell>
        </row>
        <row r="3299">
          <cell r="I3299">
            <v>2007</v>
          </cell>
          <cell r="J3299" t="str">
            <v>Ets Boubacar TANDIAScratch 1 000</v>
          </cell>
          <cell r="L3299">
            <v>0</v>
          </cell>
          <cell r="M3299" t="str">
            <v>Ets Boubacar TANDIA</v>
          </cell>
          <cell r="N3299" t="str">
            <v>Ets Boubacar TANDIAScratch 1 000</v>
          </cell>
          <cell r="O3299" t="str">
            <v>Ets Boubacar TANDIA</v>
          </cell>
          <cell r="P3299" t="str">
            <v>Scratch 1 000</v>
          </cell>
          <cell r="Q3299" t="str">
            <v>102007</v>
          </cell>
          <cell r="R3299" t="str">
            <v>102007Scratch 1 000</v>
          </cell>
          <cell r="S3299" t="str">
            <v>2007Scratch 1 000</v>
          </cell>
          <cell r="T3299" t="str">
            <v>102007Ets Boubacar TANDIA</v>
          </cell>
          <cell r="U3299" t="str">
            <v>102007Ets Boubacar TANDIAScratch 1 000</v>
          </cell>
          <cell r="V3299" t="str">
            <v>39374Scratch 1 000</v>
          </cell>
          <cell r="W3299" t="str">
            <v>2007Ets Boubacar TANDIA</v>
          </cell>
          <cell r="X3299" t="str">
            <v>2007Ets Boubacar TANDIAScratch 1 000</v>
          </cell>
        </row>
        <row r="3300">
          <cell r="I3300">
            <v>2007</v>
          </cell>
          <cell r="J3300" t="str">
            <v>ANKA SERVICESScratch 5 000</v>
          </cell>
          <cell r="L3300">
            <v>1</v>
          </cell>
          <cell r="M3300" t="str">
            <v>1ANKA SERVICES</v>
          </cell>
          <cell r="N3300" t="str">
            <v>ANKA SERVICESScratch 5 000</v>
          </cell>
          <cell r="O3300" t="str">
            <v>ANKA SERVICES</v>
          </cell>
          <cell r="P3300" t="str">
            <v>Scratch 5 000</v>
          </cell>
          <cell r="Q3300" t="str">
            <v>102007</v>
          </cell>
          <cell r="R3300" t="str">
            <v>102007Scratch 5 000</v>
          </cell>
          <cell r="S3300" t="str">
            <v>2007Scratch 5 000</v>
          </cell>
          <cell r="T3300" t="str">
            <v>102007ANKA SERVICES</v>
          </cell>
          <cell r="U3300" t="str">
            <v>102007ANKA SERVICESScratch 5 000</v>
          </cell>
          <cell r="V3300" t="str">
            <v>39374Scratch 5 000</v>
          </cell>
          <cell r="W3300" t="str">
            <v>2007ANKA SERVICES</v>
          </cell>
          <cell r="X3300" t="str">
            <v>2007ANKA SERVICESScratch 5 000</v>
          </cell>
        </row>
        <row r="3301">
          <cell r="I3301">
            <v>2007</v>
          </cell>
          <cell r="J3301" t="str">
            <v>ANKA SERVICESScratch 2 000</v>
          </cell>
          <cell r="L3301">
            <v>0</v>
          </cell>
          <cell r="M3301" t="str">
            <v>ANKA SERVICES</v>
          </cell>
          <cell r="N3301" t="str">
            <v>ANKA SERVICESScratch 2 000</v>
          </cell>
          <cell r="O3301" t="str">
            <v>ANKA SERVICES</v>
          </cell>
          <cell r="P3301" t="str">
            <v>Scratch 2 000</v>
          </cell>
          <cell r="Q3301" t="str">
            <v>102007</v>
          </cell>
          <cell r="R3301" t="str">
            <v>102007Scratch 2 000</v>
          </cell>
          <cell r="S3301" t="str">
            <v>2007Scratch 2 000</v>
          </cell>
          <cell r="T3301" t="str">
            <v>102007ANKA SERVICES</v>
          </cell>
          <cell r="U3301" t="str">
            <v>102007ANKA SERVICESScratch 2 000</v>
          </cell>
          <cell r="V3301" t="str">
            <v>39374Scratch 2 000</v>
          </cell>
          <cell r="W3301" t="str">
            <v>2007ANKA SERVICES</v>
          </cell>
          <cell r="X3301" t="str">
            <v>2007ANKA SERVICESScratch 2 000</v>
          </cell>
        </row>
        <row r="3302">
          <cell r="I3302">
            <v>2007</v>
          </cell>
          <cell r="J3302" t="str">
            <v>ANKA SERVICESScratch 1 000</v>
          </cell>
          <cell r="L3302">
            <v>0</v>
          </cell>
          <cell r="M3302" t="str">
            <v>ANKA SERVICES</v>
          </cell>
          <cell r="N3302" t="str">
            <v>ANKA SERVICESScratch 1 000</v>
          </cell>
          <cell r="O3302" t="str">
            <v>ANKA SERVICES</v>
          </cell>
          <cell r="P3302" t="str">
            <v>Scratch 1 000</v>
          </cell>
          <cell r="Q3302" t="str">
            <v>102007</v>
          </cell>
          <cell r="R3302" t="str">
            <v>102007Scratch 1 000</v>
          </cell>
          <cell r="S3302" t="str">
            <v>2007Scratch 1 000</v>
          </cell>
          <cell r="T3302" t="str">
            <v>102007ANKA SERVICES</v>
          </cell>
          <cell r="U3302" t="str">
            <v>102007ANKA SERVICESScratch 1 000</v>
          </cell>
          <cell r="V3302" t="str">
            <v>39374Scratch 1 000</v>
          </cell>
          <cell r="W3302" t="str">
            <v>2007ANKA SERVICES</v>
          </cell>
          <cell r="X3302" t="str">
            <v>2007ANKA SERVICESScratch 1 000</v>
          </cell>
        </row>
        <row r="3303">
          <cell r="I3303">
            <v>2007</v>
          </cell>
          <cell r="J3303" t="str">
            <v>Bonneterie Nouvelle TelecomScratch 5 000</v>
          </cell>
          <cell r="L3303">
            <v>1</v>
          </cell>
          <cell r="M3303" t="str">
            <v>1Bonneterie Nouvelle Telecom</v>
          </cell>
          <cell r="N3303" t="str">
            <v>Bonneterie Nouvelle TelecomScratch 5 000</v>
          </cell>
          <cell r="O3303" t="str">
            <v>Bonneterie Nouvelle Telecom</v>
          </cell>
          <cell r="P3303" t="str">
            <v>Scratch 5 000</v>
          </cell>
          <cell r="Q3303" t="str">
            <v>102007</v>
          </cell>
          <cell r="R3303" t="str">
            <v>102007Scratch 5 000</v>
          </cell>
          <cell r="S3303" t="str">
            <v>2007Scratch 5 000</v>
          </cell>
          <cell r="T3303" t="str">
            <v>102007Bonneterie Nouvelle Telecom</v>
          </cell>
          <cell r="U3303" t="str">
            <v>102007Bonneterie Nouvelle TelecomScratch 5 000</v>
          </cell>
          <cell r="V3303" t="str">
            <v>39374Scratch 5 000</v>
          </cell>
          <cell r="W3303" t="str">
            <v>2007Bonneterie Nouvelle Telecom</v>
          </cell>
          <cell r="X3303" t="str">
            <v>2007Bonneterie Nouvelle TelecomScratch 5 000</v>
          </cell>
        </row>
        <row r="3304">
          <cell r="I3304">
            <v>2007</v>
          </cell>
          <cell r="J3304" t="str">
            <v>Bonneterie Nouvelle TelecomScratch 2 000</v>
          </cell>
          <cell r="L3304">
            <v>0</v>
          </cell>
          <cell r="M3304" t="str">
            <v>Bonneterie Nouvelle Telecom</v>
          </cell>
          <cell r="N3304" t="str">
            <v>Bonneterie Nouvelle TelecomScratch 2 000</v>
          </cell>
          <cell r="O3304" t="str">
            <v>Bonneterie Nouvelle Telecom</v>
          </cell>
          <cell r="P3304" t="str">
            <v>Scratch 2 000</v>
          </cell>
          <cell r="Q3304" t="str">
            <v>102007</v>
          </cell>
          <cell r="R3304" t="str">
            <v>102007Scratch 2 000</v>
          </cell>
          <cell r="S3304" t="str">
            <v>2007Scratch 2 000</v>
          </cell>
          <cell r="T3304" t="str">
            <v>102007Bonneterie Nouvelle Telecom</v>
          </cell>
          <cell r="U3304" t="str">
            <v>102007Bonneterie Nouvelle TelecomScratch 2 000</v>
          </cell>
          <cell r="V3304" t="str">
            <v>39374Scratch 2 000</v>
          </cell>
          <cell r="W3304" t="str">
            <v>2007Bonneterie Nouvelle Telecom</v>
          </cell>
          <cell r="X3304" t="str">
            <v>2007Bonneterie Nouvelle TelecomScratch 2 000</v>
          </cell>
        </row>
        <row r="3305">
          <cell r="I3305">
            <v>2007</v>
          </cell>
          <cell r="J3305" t="str">
            <v>Bonneterie Nouvelle TelecomScratch 1 000</v>
          </cell>
          <cell r="L3305">
            <v>0</v>
          </cell>
          <cell r="M3305" t="str">
            <v>Bonneterie Nouvelle Telecom</v>
          </cell>
          <cell r="N3305" t="str">
            <v>Bonneterie Nouvelle TelecomScratch 1 000</v>
          </cell>
          <cell r="O3305" t="str">
            <v>Bonneterie Nouvelle Telecom</v>
          </cell>
          <cell r="P3305" t="str">
            <v>Scratch 1 000</v>
          </cell>
          <cell r="Q3305" t="str">
            <v>102007</v>
          </cell>
          <cell r="R3305" t="str">
            <v>102007Scratch 1 000</v>
          </cell>
          <cell r="S3305" t="str">
            <v>2007Scratch 1 000</v>
          </cell>
          <cell r="T3305" t="str">
            <v>102007Bonneterie Nouvelle Telecom</v>
          </cell>
          <cell r="U3305" t="str">
            <v>102007Bonneterie Nouvelle TelecomScratch 1 000</v>
          </cell>
          <cell r="V3305" t="str">
            <v>39374Scratch 1 000</v>
          </cell>
          <cell r="W3305" t="str">
            <v>2007Bonneterie Nouvelle Telecom</v>
          </cell>
          <cell r="X3305" t="str">
            <v>2007Bonneterie Nouvelle TelecomScratch 1 000</v>
          </cell>
        </row>
        <row r="3306">
          <cell r="I3306">
            <v>2007</v>
          </cell>
          <cell r="J3306" t="str">
            <v>Burtel MacsymScratch 5 000</v>
          </cell>
          <cell r="L3306">
            <v>1</v>
          </cell>
          <cell r="M3306" t="str">
            <v>1Burtel Macsym</v>
          </cell>
          <cell r="N3306" t="str">
            <v>Burtel MacsymScratch 5 000</v>
          </cell>
          <cell r="O3306" t="str">
            <v>Burtel Macsym</v>
          </cell>
          <cell r="P3306" t="str">
            <v>Scratch 5 000</v>
          </cell>
          <cell r="Q3306" t="str">
            <v>102007</v>
          </cell>
          <cell r="R3306" t="str">
            <v>102007Scratch 5 000</v>
          </cell>
          <cell r="S3306" t="str">
            <v>2007Scratch 5 000</v>
          </cell>
          <cell r="T3306" t="str">
            <v>102007Burtel Macsym</v>
          </cell>
          <cell r="U3306" t="str">
            <v>102007Burtel MacsymScratch 5 000</v>
          </cell>
          <cell r="V3306" t="str">
            <v>39374Scratch 5 000</v>
          </cell>
          <cell r="W3306" t="str">
            <v>2007Burtel Macsym</v>
          </cell>
          <cell r="X3306" t="str">
            <v>2007Burtel MacsymScratch 5 000</v>
          </cell>
        </row>
        <row r="3307">
          <cell r="I3307">
            <v>2007</v>
          </cell>
          <cell r="J3307" t="str">
            <v>Burtel MacsymScratch 2 000</v>
          </cell>
          <cell r="L3307">
            <v>0</v>
          </cell>
          <cell r="M3307" t="str">
            <v>Burtel Macsym</v>
          </cell>
          <cell r="N3307" t="str">
            <v>Burtel MacsymScratch 2 000</v>
          </cell>
          <cell r="O3307" t="str">
            <v>Burtel Macsym</v>
          </cell>
          <cell r="P3307" t="str">
            <v>Scratch 2 000</v>
          </cell>
          <cell r="Q3307" t="str">
            <v>102007</v>
          </cell>
          <cell r="R3307" t="str">
            <v>102007Scratch 2 000</v>
          </cell>
          <cell r="S3307" t="str">
            <v>2007Scratch 2 000</v>
          </cell>
          <cell r="T3307" t="str">
            <v>102007Burtel Macsym</v>
          </cell>
          <cell r="U3307" t="str">
            <v>102007Burtel MacsymScratch 2 000</v>
          </cell>
          <cell r="V3307" t="str">
            <v>39374Scratch 2 000</v>
          </cell>
          <cell r="W3307" t="str">
            <v>2007Burtel Macsym</v>
          </cell>
          <cell r="X3307" t="str">
            <v>2007Burtel MacsymScratch 2 000</v>
          </cell>
        </row>
        <row r="3308">
          <cell r="I3308">
            <v>2007</v>
          </cell>
          <cell r="J3308" t="str">
            <v>Burtel MacsymScratch 1 000</v>
          </cell>
          <cell r="L3308">
            <v>0</v>
          </cell>
          <cell r="M3308" t="str">
            <v>Burtel Macsym</v>
          </cell>
          <cell r="N3308" t="str">
            <v>Burtel MacsymScratch 1 000</v>
          </cell>
          <cell r="O3308" t="str">
            <v>Burtel Macsym</v>
          </cell>
          <cell r="P3308" t="str">
            <v>Scratch 1 000</v>
          </cell>
          <cell r="Q3308" t="str">
            <v>102007</v>
          </cell>
          <cell r="R3308" t="str">
            <v>102007Scratch 1 000</v>
          </cell>
          <cell r="S3308" t="str">
            <v>2007Scratch 1 000</v>
          </cell>
          <cell r="T3308" t="str">
            <v>102007Burtel Macsym</v>
          </cell>
          <cell r="U3308" t="str">
            <v>102007Burtel MacsymScratch 1 000</v>
          </cell>
          <cell r="V3308" t="str">
            <v>39374Scratch 1 000</v>
          </cell>
          <cell r="W3308" t="str">
            <v>2007Burtel Macsym</v>
          </cell>
          <cell r="X3308" t="str">
            <v>2007Burtel MacsymScratch 1 000</v>
          </cell>
        </row>
        <row r="3309">
          <cell r="I3309">
            <v>2007</v>
          </cell>
          <cell r="J3309" t="str">
            <v>GEMATELScratch 5 000</v>
          </cell>
          <cell r="L3309">
            <v>1</v>
          </cell>
          <cell r="M3309" t="str">
            <v>1GEMATEL</v>
          </cell>
          <cell r="N3309" t="str">
            <v>GEMATELScratch 5 000</v>
          </cell>
          <cell r="O3309" t="str">
            <v>GEMATEL</v>
          </cell>
          <cell r="P3309" t="str">
            <v>Scratch 5 000</v>
          </cell>
          <cell r="Q3309" t="str">
            <v>102007</v>
          </cell>
          <cell r="R3309" t="str">
            <v>102007Scratch 5 000</v>
          </cell>
          <cell r="S3309" t="str">
            <v>2007Scratch 5 000</v>
          </cell>
          <cell r="T3309" t="str">
            <v>102007GEMATEL</v>
          </cell>
          <cell r="U3309" t="str">
            <v>102007GEMATELScratch 5 000</v>
          </cell>
          <cell r="V3309" t="str">
            <v>39374Scratch 5 000</v>
          </cell>
          <cell r="W3309" t="str">
            <v>2007GEMATEL</v>
          </cell>
          <cell r="X3309" t="str">
            <v>2007GEMATELScratch 5 000</v>
          </cell>
        </row>
        <row r="3310">
          <cell r="I3310">
            <v>2007</v>
          </cell>
          <cell r="J3310" t="str">
            <v>GEMATELScratch 2 000</v>
          </cell>
          <cell r="L3310">
            <v>0</v>
          </cell>
          <cell r="M3310" t="str">
            <v>GEMATEL</v>
          </cell>
          <cell r="N3310" t="str">
            <v>GEMATELScratch 2 000</v>
          </cell>
          <cell r="O3310" t="str">
            <v>GEMATEL</v>
          </cell>
          <cell r="P3310" t="str">
            <v>Scratch 2 000</v>
          </cell>
          <cell r="Q3310" t="str">
            <v>102007</v>
          </cell>
          <cell r="R3310" t="str">
            <v>102007Scratch 2 000</v>
          </cell>
          <cell r="S3310" t="str">
            <v>2007Scratch 2 000</v>
          </cell>
          <cell r="T3310" t="str">
            <v>102007GEMATEL</v>
          </cell>
          <cell r="U3310" t="str">
            <v>102007GEMATELScratch 2 000</v>
          </cell>
          <cell r="V3310" t="str">
            <v>39374Scratch 2 000</v>
          </cell>
          <cell r="W3310" t="str">
            <v>2007GEMATEL</v>
          </cell>
          <cell r="X3310" t="str">
            <v>2007GEMATELScratch 2 000</v>
          </cell>
        </row>
        <row r="3311">
          <cell r="I3311">
            <v>2007</v>
          </cell>
          <cell r="J3311" t="str">
            <v>GEMATELScratch 1 000</v>
          </cell>
          <cell r="L3311">
            <v>0</v>
          </cell>
          <cell r="M3311" t="str">
            <v>GEMATEL</v>
          </cell>
          <cell r="N3311" t="str">
            <v>GEMATELScratch 1 000</v>
          </cell>
          <cell r="O3311" t="str">
            <v>GEMATEL</v>
          </cell>
          <cell r="P3311" t="str">
            <v>Scratch 1 000</v>
          </cell>
          <cell r="Q3311" t="str">
            <v>102007</v>
          </cell>
          <cell r="R3311" t="str">
            <v>102007Scratch 1 000</v>
          </cell>
          <cell r="S3311" t="str">
            <v>2007Scratch 1 000</v>
          </cell>
          <cell r="T3311" t="str">
            <v>102007GEMATEL</v>
          </cell>
          <cell r="U3311" t="str">
            <v>102007GEMATELScratch 1 000</v>
          </cell>
          <cell r="V3311" t="str">
            <v>39374Scratch 1 000</v>
          </cell>
          <cell r="W3311" t="str">
            <v>2007GEMATEL</v>
          </cell>
          <cell r="X3311" t="str">
            <v>2007GEMATELScratch 1 000</v>
          </cell>
        </row>
        <row r="3312">
          <cell r="I3312">
            <v>2007</v>
          </cell>
          <cell r="J3312" t="str">
            <v>STS GAMBY &amp; FRERES (SOGAF) SarlScratch 5 000</v>
          </cell>
          <cell r="L3312">
            <v>1</v>
          </cell>
          <cell r="M3312" t="str">
            <v>1STS GAMBY &amp; FRERES (SOGAF) Sarl</v>
          </cell>
          <cell r="N3312" t="str">
            <v>STS GAMBY &amp; FRERES (SOGAF) SarlScratch 5 000</v>
          </cell>
          <cell r="O3312" t="str">
            <v>STS GAMBY &amp; FRERES (SOGAF) Sarl</v>
          </cell>
          <cell r="P3312" t="str">
            <v>Scratch 5 000</v>
          </cell>
          <cell r="Q3312" t="str">
            <v>102007</v>
          </cell>
          <cell r="R3312" t="str">
            <v>102007Scratch 5 000</v>
          </cell>
          <cell r="S3312" t="str">
            <v>2007Scratch 5 000</v>
          </cell>
          <cell r="T3312" t="str">
            <v>102007STS GAMBY &amp; FRERES (SOGAF) Sarl</v>
          </cell>
          <cell r="U3312" t="str">
            <v>102007STS GAMBY &amp; FRERES (SOGAF) SarlScratch 5 000</v>
          </cell>
          <cell r="V3312" t="str">
            <v>39377Scratch 5 000</v>
          </cell>
          <cell r="W3312" t="str">
            <v>2007STS GAMBY &amp; FRERES (SOGAF) Sarl</v>
          </cell>
          <cell r="X3312" t="str">
            <v>2007STS GAMBY &amp; FRERES (SOGAF) SarlScratch 5 000</v>
          </cell>
        </row>
        <row r="3313">
          <cell r="I3313">
            <v>2007</v>
          </cell>
          <cell r="J3313" t="str">
            <v>STS GAMBY &amp; FRERES (SOGAF) SarlScratch 2 000</v>
          </cell>
          <cell r="L3313">
            <v>0</v>
          </cell>
          <cell r="M3313" t="str">
            <v>STS GAMBY &amp; FRERES (SOGAF) Sarl</v>
          </cell>
          <cell r="N3313" t="str">
            <v>STS GAMBY &amp; FRERES (SOGAF) SarlScratch 2 000</v>
          </cell>
          <cell r="O3313" t="str">
            <v>STS GAMBY &amp; FRERES (SOGAF) Sarl</v>
          </cell>
          <cell r="P3313" t="str">
            <v>Scratch 2 000</v>
          </cell>
          <cell r="Q3313" t="str">
            <v>102007</v>
          </cell>
          <cell r="R3313" t="str">
            <v>102007Scratch 2 000</v>
          </cell>
          <cell r="S3313" t="str">
            <v>2007Scratch 2 000</v>
          </cell>
          <cell r="T3313" t="str">
            <v>102007STS GAMBY &amp; FRERES (SOGAF) Sarl</v>
          </cell>
          <cell r="U3313" t="str">
            <v>102007STS GAMBY &amp; FRERES (SOGAF) SarlScratch 2 000</v>
          </cell>
          <cell r="V3313" t="str">
            <v>39377Scratch 2 000</v>
          </cell>
          <cell r="W3313" t="str">
            <v>2007STS GAMBY &amp; FRERES (SOGAF) Sarl</v>
          </cell>
          <cell r="X3313" t="str">
            <v>2007STS GAMBY &amp; FRERES (SOGAF) SarlScratch 2 000</v>
          </cell>
        </row>
        <row r="3314">
          <cell r="I3314">
            <v>2007</v>
          </cell>
          <cell r="J3314" t="str">
            <v>STS GAMBY &amp; FRERES (SOGAF) SarlScratch 1 000</v>
          </cell>
          <cell r="L3314">
            <v>0</v>
          </cell>
          <cell r="M3314" t="str">
            <v>STS GAMBY &amp; FRERES (SOGAF) Sarl</v>
          </cell>
          <cell r="N3314" t="str">
            <v>STS GAMBY &amp; FRERES (SOGAF) SarlScratch 1 000</v>
          </cell>
          <cell r="O3314" t="str">
            <v>STS GAMBY &amp; FRERES (SOGAF) Sarl</v>
          </cell>
          <cell r="P3314" t="str">
            <v>Scratch 1 000</v>
          </cell>
          <cell r="Q3314" t="str">
            <v>102007</v>
          </cell>
          <cell r="R3314" t="str">
            <v>102007Scratch 1 000</v>
          </cell>
          <cell r="S3314" t="str">
            <v>2007Scratch 1 000</v>
          </cell>
          <cell r="T3314" t="str">
            <v>102007STS GAMBY &amp; FRERES (SOGAF) Sarl</v>
          </cell>
          <cell r="U3314" t="str">
            <v>102007STS GAMBY &amp; FRERES (SOGAF) SarlScratch 1 000</v>
          </cell>
          <cell r="V3314" t="str">
            <v>39377Scratch 1 000</v>
          </cell>
          <cell r="W3314" t="str">
            <v>2007STS GAMBY &amp; FRERES (SOGAF) Sarl</v>
          </cell>
          <cell r="X3314" t="str">
            <v>2007STS GAMBY &amp; FRERES (SOGAF) SarlScratch 1 000</v>
          </cell>
        </row>
        <row r="3315">
          <cell r="I3315">
            <v>2007</v>
          </cell>
          <cell r="J3315" t="str">
            <v>Burtel MacsymScratch 5 000</v>
          </cell>
          <cell r="L3315">
            <v>1</v>
          </cell>
          <cell r="M3315" t="str">
            <v>1Burtel Macsym</v>
          </cell>
          <cell r="N3315" t="str">
            <v>Burtel MacsymScratch 5 000</v>
          </cell>
          <cell r="O3315" t="str">
            <v>Burtel Macsym</v>
          </cell>
          <cell r="P3315" t="str">
            <v>Scratch 5 000</v>
          </cell>
          <cell r="Q3315" t="str">
            <v>102007</v>
          </cell>
          <cell r="R3315" t="str">
            <v>102007Scratch 5 000</v>
          </cell>
          <cell r="S3315" t="str">
            <v>2007Scratch 5 000</v>
          </cell>
          <cell r="T3315" t="str">
            <v>102007Burtel Macsym</v>
          </cell>
          <cell r="U3315" t="str">
            <v>102007Burtel MacsymScratch 5 000</v>
          </cell>
          <cell r="V3315" t="str">
            <v>39377Scratch 5 000</v>
          </cell>
          <cell r="W3315" t="str">
            <v>2007Burtel Macsym</v>
          </cell>
          <cell r="X3315" t="str">
            <v>2007Burtel MacsymScratch 5 000</v>
          </cell>
        </row>
        <row r="3316">
          <cell r="I3316">
            <v>2007</v>
          </cell>
          <cell r="J3316" t="str">
            <v>Burtel MacsymScratch 2 000</v>
          </cell>
          <cell r="L3316">
            <v>0</v>
          </cell>
          <cell r="M3316" t="str">
            <v>Burtel Macsym</v>
          </cell>
          <cell r="N3316" t="str">
            <v>Burtel MacsymScratch 2 000</v>
          </cell>
          <cell r="O3316" t="str">
            <v>Burtel Macsym</v>
          </cell>
          <cell r="P3316" t="str">
            <v>Scratch 2 000</v>
          </cell>
          <cell r="Q3316" t="str">
            <v>102007</v>
          </cell>
          <cell r="R3316" t="str">
            <v>102007Scratch 2 000</v>
          </cell>
          <cell r="S3316" t="str">
            <v>2007Scratch 2 000</v>
          </cell>
          <cell r="T3316" t="str">
            <v>102007Burtel Macsym</v>
          </cell>
          <cell r="U3316" t="str">
            <v>102007Burtel MacsymScratch 2 000</v>
          </cell>
          <cell r="V3316" t="str">
            <v>39377Scratch 2 000</v>
          </cell>
          <cell r="W3316" t="str">
            <v>2007Burtel Macsym</v>
          </cell>
          <cell r="X3316" t="str">
            <v>2007Burtel MacsymScratch 2 000</v>
          </cell>
        </row>
        <row r="3317">
          <cell r="I3317">
            <v>2007</v>
          </cell>
          <cell r="J3317" t="str">
            <v>Burtel MacsymScratch 1 000</v>
          </cell>
          <cell r="L3317">
            <v>0</v>
          </cell>
          <cell r="M3317" t="str">
            <v>Burtel Macsym</v>
          </cell>
          <cell r="N3317" t="str">
            <v>Burtel MacsymScratch 1 000</v>
          </cell>
          <cell r="O3317" t="str">
            <v>Burtel Macsym</v>
          </cell>
          <cell r="P3317" t="str">
            <v>Scratch 1 000</v>
          </cell>
          <cell r="Q3317" t="str">
            <v>102007</v>
          </cell>
          <cell r="R3317" t="str">
            <v>102007Scratch 1 000</v>
          </cell>
          <cell r="S3317" t="str">
            <v>2007Scratch 1 000</v>
          </cell>
          <cell r="T3317" t="str">
            <v>102007Burtel Macsym</v>
          </cell>
          <cell r="U3317" t="str">
            <v>102007Burtel MacsymScratch 1 000</v>
          </cell>
          <cell r="V3317" t="str">
            <v>39377Scratch 1 000</v>
          </cell>
          <cell r="W3317" t="str">
            <v>2007Burtel Macsym</v>
          </cell>
          <cell r="X3317" t="str">
            <v>2007Burtel MacsymScratch 1 000</v>
          </cell>
        </row>
        <row r="3318">
          <cell r="I3318">
            <v>2007</v>
          </cell>
          <cell r="J3318" t="str">
            <v>Compagnie Internationale de NegoceScratch 20 000</v>
          </cell>
          <cell r="L3318">
            <v>1</v>
          </cell>
          <cell r="M3318" t="str">
            <v>1Compagnie Internationale de Negoce</v>
          </cell>
          <cell r="N3318" t="str">
            <v>Compagnie Internationale de NegoceScratch 20 000</v>
          </cell>
          <cell r="O3318" t="str">
            <v>Compagnie Internationale de Negoce</v>
          </cell>
          <cell r="P3318" t="str">
            <v>Scratch 20 000</v>
          </cell>
          <cell r="Q3318" t="str">
            <v>102007</v>
          </cell>
          <cell r="R3318" t="str">
            <v>102007Scratch 20 000</v>
          </cell>
          <cell r="S3318" t="str">
            <v>2007Scratch 20 000</v>
          </cell>
          <cell r="T3318" t="str">
            <v>102007Compagnie Internationale de Negoce</v>
          </cell>
          <cell r="U3318" t="str">
            <v>102007Compagnie Internationale de NegoceScratch 20 000</v>
          </cell>
          <cell r="V3318" t="str">
            <v>39377Scratch 20 000</v>
          </cell>
          <cell r="W3318" t="str">
            <v>2007Compagnie Internationale de Negoce</v>
          </cell>
          <cell r="X3318" t="str">
            <v>2007Compagnie Internationale de NegoceScratch 20 000</v>
          </cell>
        </row>
        <row r="3319">
          <cell r="I3319">
            <v>2007</v>
          </cell>
          <cell r="J3319" t="str">
            <v>Compagnie Internationale de NegoceScratch 10 000</v>
          </cell>
          <cell r="L3319">
            <v>0</v>
          </cell>
          <cell r="M3319" t="str">
            <v>Compagnie Internationale de Negoce</v>
          </cell>
          <cell r="N3319" t="str">
            <v>Compagnie Internationale de NegoceScratch 10 000</v>
          </cell>
          <cell r="O3319" t="str">
            <v>Compagnie Internationale de Negoce</v>
          </cell>
          <cell r="P3319" t="str">
            <v>Scratch 10 000</v>
          </cell>
          <cell r="Q3319" t="str">
            <v>102007</v>
          </cell>
          <cell r="R3319" t="str">
            <v>102007Scratch 10 000</v>
          </cell>
          <cell r="S3319" t="str">
            <v>2007Scratch 10 000</v>
          </cell>
          <cell r="T3319" t="str">
            <v>102007Compagnie Internationale de Negoce</v>
          </cell>
          <cell r="U3319" t="str">
            <v>102007Compagnie Internationale de NegoceScratch 10 000</v>
          </cell>
          <cell r="V3319" t="str">
            <v>39377Scratch 10 000</v>
          </cell>
          <cell r="W3319" t="str">
            <v>2007Compagnie Internationale de Negoce</v>
          </cell>
          <cell r="X3319" t="str">
            <v>2007Compagnie Internationale de NegoceScratch 10 000</v>
          </cell>
        </row>
        <row r="3320">
          <cell r="I3320">
            <v>2007</v>
          </cell>
          <cell r="J3320" t="str">
            <v>Compagnie Internationale de NegoceScratch 5 000</v>
          </cell>
          <cell r="L3320">
            <v>0</v>
          </cell>
          <cell r="M3320" t="str">
            <v>Compagnie Internationale de Negoce</v>
          </cell>
          <cell r="N3320" t="str">
            <v>Compagnie Internationale de NegoceScratch 5 000</v>
          </cell>
          <cell r="O3320" t="str">
            <v>Compagnie Internationale de Negoce</v>
          </cell>
          <cell r="P3320" t="str">
            <v>Scratch 5 000</v>
          </cell>
          <cell r="Q3320" t="str">
            <v>102007</v>
          </cell>
          <cell r="R3320" t="str">
            <v>102007Scratch 5 000</v>
          </cell>
          <cell r="S3320" t="str">
            <v>2007Scratch 5 000</v>
          </cell>
          <cell r="T3320" t="str">
            <v>102007Compagnie Internationale de Negoce</v>
          </cell>
          <cell r="U3320" t="str">
            <v>102007Compagnie Internationale de NegoceScratch 5 000</v>
          </cell>
          <cell r="V3320" t="str">
            <v>39377Scratch 5 000</v>
          </cell>
          <cell r="W3320" t="str">
            <v>2007Compagnie Internationale de Negoce</v>
          </cell>
          <cell r="X3320" t="str">
            <v>2007Compagnie Internationale de NegoceScratch 5 000</v>
          </cell>
        </row>
        <row r="3321">
          <cell r="I3321">
            <v>2007</v>
          </cell>
          <cell r="J3321" t="str">
            <v>Compagnie Internationale de NegoceScratch 2 000</v>
          </cell>
          <cell r="L3321">
            <v>0</v>
          </cell>
          <cell r="M3321" t="str">
            <v>Compagnie Internationale de Negoce</v>
          </cell>
          <cell r="N3321" t="str">
            <v>Compagnie Internationale de NegoceScratch 2 000</v>
          </cell>
          <cell r="O3321" t="str">
            <v>Compagnie Internationale de Negoce</v>
          </cell>
          <cell r="P3321" t="str">
            <v>Scratch 2 000</v>
          </cell>
          <cell r="Q3321" t="str">
            <v>102007</v>
          </cell>
          <cell r="R3321" t="str">
            <v>102007Scratch 2 000</v>
          </cell>
          <cell r="S3321" t="str">
            <v>2007Scratch 2 000</v>
          </cell>
          <cell r="T3321" t="str">
            <v>102007Compagnie Internationale de Negoce</v>
          </cell>
          <cell r="U3321" t="str">
            <v>102007Compagnie Internationale de NegoceScratch 2 000</v>
          </cell>
          <cell r="V3321" t="str">
            <v>39377Scratch 2 000</v>
          </cell>
          <cell r="W3321" t="str">
            <v>2007Compagnie Internationale de Negoce</v>
          </cell>
          <cell r="X3321" t="str">
            <v>2007Compagnie Internationale de NegoceScratch 2 000</v>
          </cell>
        </row>
        <row r="3322">
          <cell r="I3322">
            <v>2007</v>
          </cell>
          <cell r="J3322" t="str">
            <v>Compagnie Internationale de NegoceScratch 1 000</v>
          </cell>
          <cell r="L3322">
            <v>0</v>
          </cell>
          <cell r="M3322" t="str">
            <v>Compagnie Internationale de Negoce</v>
          </cell>
          <cell r="N3322" t="str">
            <v>Compagnie Internationale de NegoceScratch 1 000</v>
          </cell>
          <cell r="O3322" t="str">
            <v>Compagnie Internationale de Negoce</v>
          </cell>
          <cell r="P3322" t="str">
            <v>Scratch 1 000</v>
          </cell>
          <cell r="Q3322" t="str">
            <v>102007</v>
          </cell>
          <cell r="R3322" t="str">
            <v>102007Scratch 1 000</v>
          </cell>
          <cell r="S3322" t="str">
            <v>2007Scratch 1 000</v>
          </cell>
          <cell r="T3322" t="str">
            <v>102007Compagnie Internationale de Negoce</v>
          </cell>
          <cell r="U3322" t="str">
            <v>102007Compagnie Internationale de NegoceScratch 1 000</v>
          </cell>
          <cell r="V3322" t="str">
            <v>39377Scratch 1 000</v>
          </cell>
          <cell r="W3322" t="str">
            <v>2007Compagnie Internationale de Negoce</v>
          </cell>
          <cell r="X3322" t="str">
            <v>2007Compagnie Internationale de NegoceScratch 1 000</v>
          </cell>
        </row>
        <row r="3323">
          <cell r="I3323">
            <v>2007</v>
          </cell>
          <cell r="J3323" t="str">
            <v>GEMATELScratch 5 000</v>
          </cell>
          <cell r="L3323">
            <v>1</v>
          </cell>
          <cell r="M3323" t="str">
            <v>1GEMATEL</v>
          </cell>
          <cell r="N3323" t="str">
            <v>GEMATELScratch 5 000</v>
          </cell>
          <cell r="O3323" t="str">
            <v>GEMATEL</v>
          </cell>
          <cell r="P3323" t="str">
            <v>Scratch 5 000</v>
          </cell>
          <cell r="Q3323" t="str">
            <v>102007</v>
          </cell>
          <cell r="R3323" t="str">
            <v>102007Scratch 5 000</v>
          </cell>
          <cell r="S3323" t="str">
            <v>2007Scratch 5 000</v>
          </cell>
          <cell r="T3323" t="str">
            <v>102007GEMATEL</v>
          </cell>
          <cell r="U3323" t="str">
            <v>102007GEMATELScratch 5 000</v>
          </cell>
          <cell r="V3323" t="str">
            <v>39377Scratch 5 000</v>
          </cell>
          <cell r="W3323" t="str">
            <v>2007GEMATEL</v>
          </cell>
          <cell r="X3323" t="str">
            <v>2007GEMATELScratch 5 000</v>
          </cell>
        </row>
        <row r="3324">
          <cell r="I3324">
            <v>2007</v>
          </cell>
          <cell r="J3324" t="str">
            <v>GEMATELScratch 2 000</v>
          </cell>
          <cell r="L3324">
            <v>0</v>
          </cell>
          <cell r="M3324" t="str">
            <v>GEMATEL</v>
          </cell>
          <cell r="N3324" t="str">
            <v>GEMATELScratch 2 000</v>
          </cell>
          <cell r="O3324" t="str">
            <v>GEMATEL</v>
          </cell>
          <cell r="P3324" t="str">
            <v>Scratch 2 000</v>
          </cell>
          <cell r="Q3324" t="str">
            <v>102007</v>
          </cell>
          <cell r="R3324" t="str">
            <v>102007Scratch 2 000</v>
          </cell>
          <cell r="S3324" t="str">
            <v>2007Scratch 2 000</v>
          </cell>
          <cell r="T3324" t="str">
            <v>102007GEMATEL</v>
          </cell>
          <cell r="U3324" t="str">
            <v>102007GEMATELScratch 2 000</v>
          </cell>
          <cell r="V3324" t="str">
            <v>39377Scratch 2 000</v>
          </cell>
          <cell r="W3324" t="str">
            <v>2007GEMATEL</v>
          </cell>
          <cell r="X3324" t="str">
            <v>2007GEMATELScratch 2 000</v>
          </cell>
        </row>
        <row r="3325">
          <cell r="I3325">
            <v>2007</v>
          </cell>
          <cell r="J3325" t="str">
            <v>GEMATELScratch 1 000</v>
          </cell>
          <cell r="L3325">
            <v>0</v>
          </cell>
          <cell r="M3325" t="str">
            <v>GEMATEL</v>
          </cell>
          <cell r="N3325" t="str">
            <v>GEMATELScratch 1 000</v>
          </cell>
          <cell r="O3325" t="str">
            <v>GEMATEL</v>
          </cell>
          <cell r="P3325" t="str">
            <v>Scratch 1 000</v>
          </cell>
          <cell r="Q3325" t="str">
            <v>102007</v>
          </cell>
          <cell r="R3325" t="str">
            <v>102007Scratch 1 000</v>
          </cell>
          <cell r="S3325" t="str">
            <v>2007Scratch 1 000</v>
          </cell>
          <cell r="T3325" t="str">
            <v>102007GEMATEL</v>
          </cell>
          <cell r="U3325" t="str">
            <v>102007GEMATELScratch 1 000</v>
          </cell>
          <cell r="V3325" t="str">
            <v>39377Scratch 1 000</v>
          </cell>
          <cell r="W3325" t="str">
            <v>2007GEMATEL</v>
          </cell>
          <cell r="X3325" t="str">
            <v>2007GEMATELScratch 1 000</v>
          </cell>
        </row>
        <row r="3326">
          <cell r="I3326">
            <v>2007</v>
          </cell>
          <cell r="J3326" t="str">
            <v>ANKA SERVICESScratch 20 000</v>
          </cell>
          <cell r="L3326">
            <v>0</v>
          </cell>
          <cell r="M3326" t="str">
            <v>ANKA SERVICES</v>
          </cell>
          <cell r="N3326" t="str">
            <v>ANKA SERVICESScratch 20 000</v>
          </cell>
          <cell r="O3326" t="str">
            <v>ANKA SERVICES</v>
          </cell>
          <cell r="P3326" t="str">
            <v>Scratch 20 000</v>
          </cell>
          <cell r="Q3326" t="str">
            <v>102007</v>
          </cell>
          <cell r="R3326" t="str">
            <v>102007Scratch 20 000</v>
          </cell>
          <cell r="S3326" t="str">
            <v>2007Scratch 20 000</v>
          </cell>
          <cell r="T3326" t="str">
            <v>102007ANKA SERVICES</v>
          </cell>
          <cell r="U3326" t="str">
            <v>102007ANKA SERVICESScratch 20 000</v>
          </cell>
          <cell r="V3326" t="str">
            <v>39377Scratch 20 000</v>
          </cell>
          <cell r="W3326" t="str">
            <v>2007ANKA SERVICES</v>
          </cell>
          <cell r="X3326" t="str">
            <v>2007ANKA SERVICESScratch 20 000</v>
          </cell>
        </row>
        <row r="3327">
          <cell r="I3327">
            <v>2007</v>
          </cell>
          <cell r="J3327" t="str">
            <v>ANKA SERVICESScratch 5 000</v>
          </cell>
          <cell r="L3327">
            <v>0</v>
          </cell>
          <cell r="M3327" t="str">
            <v>ANKA SERVICES</v>
          </cell>
          <cell r="N3327" t="str">
            <v>ANKA SERVICESScratch 5 000</v>
          </cell>
          <cell r="O3327" t="str">
            <v>ANKA SERVICES</v>
          </cell>
          <cell r="P3327" t="str">
            <v>Scratch 5 000</v>
          </cell>
          <cell r="Q3327" t="str">
            <v>102007</v>
          </cell>
          <cell r="R3327" t="str">
            <v>102007Scratch 5 000</v>
          </cell>
          <cell r="S3327" t="str">
            <v>2007Scratch 5 000</v>
          </cell>
          <cell r="T3327" t="str">
            <v>102007ANKA SERVICES</v>
          </cell>
          <cell r="U3327" t="str">
            <v>102007ANKA SERVICESScratch 5 000</v>
          </cell>
          <cell r="V3327" t="str">
            <v>39377Scratch 5 000</v>
          </cell>
          <cell r="W3327" t="str">
            <v>2007ANKA SERVICES</v>
          </cell>
          <cell r="X3327" t="str">
            <v>2007ANKA SERVICESScratch 5 000</v>
          </cell>
        </row>
        <row r="3328">
          <cell r="I3328">
            <v>2007</v>
          </cell>
          <cell r="J3328" t="str">
            <v>ANKA SERVICESScratch 2 000</v>
          </cell>
          <cell r="L3328">
            <v>0</v>
          </cell>
          <cell r="M3328" t="str">
            <v>ANKA SERVICES</v>
          </cell>
          <cell r="N3328" t="str">
            <v>ANKA SERVICESScratch 2 000</v>
          </cell>
          <cell r="O3328" t="str">
            <v>ANKA SERVICES</v>
          </cell>
          <cell r="P3328" t="str">
            <v>Scratch 2 000</v>
          </cell>
          <cell r="Q3328" t="str">
            <v>102007</v>
          </cell>
          <cell r="R3328" t="str">
            <v>102007Scratch 2 000</v>
          </cell>
          <cell r="S3328" t="str">
            <v>2007Scratch 2 000</v>
          </cell>
          <cell r="T3328" t="str">
            <v>102007ANKA SERVICES</v>
          </cell>
          <cell r="U3328" t="str">
            <v>102007ANKA SERVICESScratch 2 000</v>
          </cell>
          <cell r="V3328" t="str">
            <v>39377Scratch 2 000</v>
          </cell>
          <cell r="W3328" t="str">
            <v>2007ANKA SERVICES</v>
          </cell>
          <cell r="X3328" t="str">
            <v>2007ANKA SERVICESScratch 2 000</v>
          </cell>
        </row>
        <row r="3329">
          <cell r="I3329">
            <v>2007</v>
          </cell>
          <cell r="J3329" t="str">
            <v>ANKA SERVICESScratch 1 000</v>
          </cell>
          <cell r="L3329">
            <v>0</v>
          </cell>
          <cell r="M3329" t="str">
            <v>ANKA SERVICES</v>
          </cell>
          <cell r="N3329" t="str">
            <v>ANKA SERVICESScratch 1 000</v>
          </cell>
          <cell r="O3329" t="str">
            <v>ANKA SERVICES</v>
          </cell>
          <cell r="P3329" t="str">
            <v>Scratch 1 000</v>
          </cell>
          <cell r="Q3329" t="str">
            <v>102007</v>
          </cell>
          <cell r="R3329" t="str">
            <v>102007Scratch 1 000</v>
          </cell>
          <cell r="S3329" t="str">
            <v>2007Scratch 1 000</v>
          </cell>
          <cell r="T3329" t="str">
            <v>102007ANKA SERVICES</v>
          </cell>
          <cell r="U3329" t="str">
            <v>102007ANKA SERVICESScratch 1 000</v>
          </cell>
          <cell r="V3329" t="str">
            <v>39377Scratch 1 000</v>
          </cell>
          <cell r="W3329" t="str">
            <v>2007ANKA SERVICES</v>
          </cell>
          <cell r="X3329" t="str">
            <v>2007ANKA SERVICESScratch 1 000</v>
          </cell>
        </row>
        <row r="3330">
          <cell r="I3330">
            <v>2007</v>
          </cell>
          <cell r="J3330" t="str">
            <v>MALI COM SarlScratch 2 000</v>
          </cell>
          <cell r="L3330">
            <v>1</v>
          </cell>
          <cell r="M3330" t="str">
            <v>1MALI COM Sarl</v>
          </cell>
          <cell r="N3330" t="str">
            <v>MALI COM SarlScratch 2 000</v>
          </cell>
          <cell r="O3330" t="str">
            <v>MALI COM Sarl</v>
          </cell>
          <cell r="P3330" t="str">
            <v>Scratch 2 000</v>
          </cell>
          <cell r="Q3330" t="str">
            <v>102007</v>
          </cell>
          <cell r="R3330" t="str">
            <v>102007Scratch 2 000</v>
          </cell>
          <cell r="S3330" t="str">
            <v>2007Scratch 2 000</v>
          </cell>
          <cell r="T3330" t="str">
            <v>102007MALI COM Sarl</v>
          </cell>
          <cell r="U3330" t="str">
            <v>102007MALI COM SarlScratch 2 000</v>
          </cell>
          <cell r="V3330" t="str">
            <v>39377Scratch 2 000</v>
          </cell>
          <cell r="W3330" t="str">
            <v>2007MALI COM Sarl</v>
          </cell>
          <cell r="X3330" t="str">
            <v>2007MALI COM SarlScratch 2 000</v>
          </cell>
        </row>
        <row r="3331">
          <cell r="I3331">
            <v>2007</v>
          </cell>
          <cell r="J3331" t="str">
            <v>MALI COM SarlScratch 1 000</v>
          </cell>
          <cell r="L3331">
            <v>0</v>
          </cell>
          <cell r="M3331" t="str">
            <v>MALI COM Sarl</v>
          </cell>
          <cell r="N3331" t="str">
            <v>MALI COM SarlScratch 1 000</v>
          </cell>
          <cell r="O3331" t="str">
            <v>MALI COM Sarl</v>
          </cell>
          <cell r="P3331" t="str">
            <v>Scratch 1 000</v>
          </cell>
          <cell r="Q3331" t="str">
            <v>102007</v>
          </cell>
          <cell r="R3331" t="str">
            <v>102007Scratch 1 000</v>
          </cell>
          <cell r="S3331" t="str">
            <v>2007Scratch 1 000</v>
          </cell>
          <cell r="T3331" t="str">
            <v>102007MALI COM Sarl</v>
          </cell>
          <cell r="U3331" t="str">
            <v>102007MALI COM SarlScratch 1 000</v>
          </cell>
          <cell r="V3331" t="str">
            <v>39377Scratch 1 000</v>
          </cell>
          <cell r="W3331" t="str">
            <v>2007MALI COM Sarl</v>
          </cell>
          <cell r="X3331" t="str">
            <v>2007MALI COM SarlScratch 1 000</v>
          </cell>
        </row>
        <row r="3332">
          <cell r="I3332">
            <v>2007</v>
          </cell>
          <cell r="J3332" t="str">
            <v>Bonneterie Nouvelle TelecomScratch 5 000</v>
          </cell>
          <cell r="L3332">
            <v>1</v>
          </cell>
          <cell r="M3332" t="str">
            <v>1Bonneterie Nouvelle Telecom</v>
          </cell>
          <cell r="N3332" t="str">
            <v>Bonneterie Nouvelle TelecomScratch 5 000</v>
          </cell>
          <cell r="O3332" t="str">
            <v>Bonneterie Nouvelle Telecom</v>
          </cell>
          <cell r="P3332" t="str">
            <v>Scratch 5 000</v>
          </cell>
          <cell r="Q3332" t="str">
            <v>102007</v>
          </cell>
          <cell r="R3332" t="str">
            <v>102007Scratch 5 000</v>
          </cell>
          <cell r="S3332" t="str">
            <v>2007Scratch 5 000</v>
          </cell>
          <cell r="T3332" t="str">
            <v>102007Bonneterie Nouvelle Telecom</v>
          </cell>
          <cell r="U3332" t="str">
            <v>102007Bonneterie Nouvelle TelecomScratch 5 000</v>
          </cell>
          <cell r="V3332" t="str">
            <v>39377Scratch 5 000</v>
          </cell>
          <cell r="W3332" t="str">
            <v>2007Bonneterie Nouvelle Telecom</v>
          </cell>
          <cell r="X3332" t="str">
            <v>2007Bonneterie Nouvelle TelecomScratch 5 000</v>
          </cell>
        </row>
        <row r="3333">
          <cell r="I3333">
            <v>2007</v>
          </cell>
          <cell r="J3333" t="str">
            <v>Bonneterie Nouvelle TelecomScratch 2 000</v>
          </cell>
          <cell r="L3333">
            <v>0</v>
          </cell>
          <cell r="M3333" t="str">
            <v>Bonneterie Nouvelle Telecom</v>
          </cell>
          <cell r="N3333" t="str">
            <v>Bonneterie Nouvelle TelecomScratch 2 000</v>
          </cell>
          <cell r="O3333" t="str">
            <v>Bonneterie Nouvelle Telecom</v>
          </cell>
          <cell r="P3333" t="str">
            <v>Scratch 2 000</v>
          </cell>
          <cell r="Q3333" t="str">
            <v>102007</v>
          </cell>
          <cell r="R3333" t="str">
            <v>102007Scratch 2 000</v>
          </cell>
          <cell r="S3333" t="str">
            <v>2007Scratch 2 000</v>
          </cell>
          <cell r="T3333" t="str">
            <v>102007Bonneterie Nouvelle Telecom</v>
          </cell>
          <cell r="U3333" t="str">
            <v>102007Bonneterie Nouvelle TelecomScratch 2 000</v>
          </cell>
          <cell r="V3333" t="str">
            <v>39377Scratch 2 000</v>
          </cell>
          <cell r="W3333" t="str">
            <v>2007Bonneterie Nouvelle Telecom</v>
          </cell>
          <cell r="X3333" t="str">
            <v>2007Bonneterie Nouvelle TelecomScratch 2 000</v>
          </cell>
        </row>
        <row r="3334">
          <cell r="I3334">
            <v>2007</v>
          </cell>
          <cell r="J3334" t="str">
            <v>Bonneterie Nouvelle TelecomScratch 1 000</v>
          </cell>
          <cell r="L3334">
            <v>0</v>
          </cell>
          <cell r="M3334" t="str">
            <v>Bonneterie Nouvelle Telecom</v>
          </cell>
          <cell r="N3334" t="str">
            <v>Bonneterie Nouvelle TelecomScratch 1 000</v>
          </cell>
          <cell r="O3334" t="str">
            <v>Bonneterie Nouvelle Telecom</v>
          </cell>
          <cell r="P3334" t="str">
            <v>Scratch 1 000</v>
          </cell>
          <cell r="Q3334" t="str">
            <v>102007</v>
          </cell>
          <cell r="R3334" t="str">
            <v>102007Scratch 1 000</v>
          </cell>
          <cell r="S3334" t="str">
            <v>2007Scratch 1 000</v>
          </cell>
          <cell r="T3334" t="str">
            <v>102007Bonneterie Nouvelle Telecom</v>
          </cell>
          <cell r="U3334" t="str">
            <v>102007Bonneterie Nouvelle TelecomScratch 1 000</v>
          </cell>
          <cell r="V3334" t="str">
            <v>39377Scratch 1 000</v>
          </cell>
          <cell r="W3334" t="str">
            <v>2007Bonneterie Nouvelle Telecom</v>
          </cell>
          <cell r="X3334" t="str">
            <v>2007Bonneterie Nouvelle TelecomScratch 1 000</v>
          </cell>
        </row>
        <row r="3335">
          <cell r="I3335">
            <v>2007</v>
          </cell>
          <cell r="J3335" t="str">
            <v>GEMATELScratch 20 000</v>
          </cell>
          <cell r="L3335">
            <v>1</v>
          </cell>
          <cell r="M3335" t="str">
            <v>1GEMATEL</v>
          </cell>
          <cell r="N3335" t="str">
            <v>GEMATELScratch 20 000</v>
          </cell>
          <cell r="O3335" t="str">
            <v>GEMATEL</v>
          </cell>
          <cell r="P3335" t="str">
            <v>Scratch 20 000</v>
          </cell>
          <cell r="Q3335" t="str">
            <v>102007</v>
          </cell>
          <cell r="R3335" t="str">
            <v>102007Scratch 20 000</v>
          </cell>
          <cell r="S3335" t="str">
            <v>2007Scratch 20 000</v>
          </cell>
          <cell r="T3335" t="str">
            <v>102007GEMATEL</v>
          </cell>
          <cell r="U3335" t="str">
            <v>102007GEMATELScratch 20 000</v>
          </cell>
          <cell r="V3335" t="str">
            <v>39378Scratch 20 000</v>
          </cell>
          <cell r="W3335" t="str">
            <v>2007GEMATEL</v>
          </cell>
          <cell r="X3335" t="str">
            <v>2007GEMATELScratch 20 000</v>
          </cell>
        </row>
        <row r="3336">
          <cell r="I3336">
            <v>2007</v>
          </cell>
          <cell r="J3336" t="str">
            <v>GEMATELScratch 5 000</v>
          </cell>
          <cell r="L3336">
            <v>0</v>
          </cell>
          <cell r="M3336" t="str">
            <v>GEMATEL</v>
          </cell>
          <cell r="N3336" t="str">
            <v>GEMATELScratch 5 000</v>
          </cell>
          <cell r="O3336" t="str">
            <v>GEMATEL</v>
          </cell>
          <cell r="P3336" t="str">
            <v>Scratch 5 000</v>
          </cell>
          <cell r="Q3336" t="str">
            <v>102007</v>
          </cell>
          <cell r="R3336" t="str">
            <v>102007Scratch 5 000</v>
          </cell>
          <cell r="S3336" t="str">
            <v>2007Scratch 5 000</v>
          </cell>
          <cell r="T3336" t="str">
            <v>102007GEMATEL</v>
          </cell>
          <cell r="U3336" t="str">
            <v>102007GEMATELScratch 5 000</v>
          </cell>
          <cell r="V3336" t="str">
            <v>39378Scratch 5 000</v>
          </cell>
          <cell r="W3336" t="str">
            <v>2007GEMATEL</v>
          </cell>
          <cell r="X3336" t="str">
            <v>2007GEMATELScratch 5 000</v>
          </cell>
        </row>
        <row r="3337">
          <cell r="I3337">
            <v>2007</v>
          </cell>
          <cell r="J3337" t="str">
            <v>GEMATELScratch 2 000</v>
          </cell>
          <cell r="L3337">
            <v>0</v>
          </cell>
          <cell r="M3337" t="str">
            <v>GEMATEL</v>
          </cell>
          <cell r="N3337" t="str">
            <v>GEMATELScratch 2 000</v>
          </cell>
          <cell r="O3337" t="str">
            <v>GEMATEL</v>
          </cell>
          <cell r="P3337" t="str">
            <v>Scratch 2 000</v>
          </cell>
          <cell r="Q3337" t="str">
            <v>102007</v>
          </cell>
          <cell r="R3337" t="str">
            <v>102007Scratch 2 000</v>
          </cell>
          <cell r="S3337" t="str">
            <v>2007Scratch 2 000</v>
          </cell>
          <cell r="T3337" t="str">
            <v>102007GEMATEL</v>
          </cell>
          <cell r="U3337" t="str">
            <v>102007GEMATELScratch 2 000</v>
          </cell>
          <cell r="V3337" t="str">
            <v>39378Scratch 2 000</v>
          </cell>
          <cell r="W3337" t="str">
            <v>2007GEMATEL</v>
          </cell>
          <cell r="X3337" t="str">
            <v>2007GEMATELScratch 2 000</v>
          </cell>
        </row>
        <row r="3338">
          <cell r="I3338">
            <v>2007</v>
          </cell>
          <cell r="J3338" t="str">
            <v>GEMATELScratch 1 000</v>
          </cell>
          <cell r="L3338">
            <v>0</v>
          </cell>
          <cell r="M3338" t="str">
            <v>GEMATEL</v>
          </cell>
          <cell r="N3338" t="str">
            <v>GEMATELScratch 1 000</v>
          </cell>
          <cell r="O3338" t="str">
            <v>GEMATEL</v>
          </cell>
          <cell r="P3338" t="str">
            <v>Scratch 1 000</v>
          </cell>
          <cell r="Q3338" t="str">
            <v>102007</v>
          </cell>
          <cell r="R3338" t="str">
            <v>102007Scratch 1 000</v>
          </cell>
          <cell r="S3338" t="str">
            <v>2007Scratch 1 000</v>
          </cell>
          <cell r="T3338" t="str">
            <v>102007GEMATEL</v>
          </cell>
          <cell r="U3338" t="str">
            <v>102007GEMATELScratch 1 000</v>
          </cell>
          <cell r="V3338" t="str">
            <v>39378Scratch 1 000</v>
          </cell>
          <cell r="W3338" t="str">
            <v>2007GEMATEL</v>
          </cell>
          <cell r="X3338" t="str">
            <v>2007GEMATELScratch 1 000</v>
          </cell>
        </row>
        <row r="3339">
          <cell r="I3339">
            <v>2007</v>
          </cell>
          <cell r="J3339" t="str">
            <v>STS GAMBY &amp; FRERES (SOGAF) SarlScratch 5 000</v>
          </cell>
          <cell r="L3339">
            <v>1</v>
          </cell>
          <cell r="M3339" t="str">
            <v>1STS GAMBY &amp; FRERES (SOGAF) Sarl</v>
          </cell>
          <cell r="N3339" t="str">
            <v>STS GAMBY &amp; FRERES (SOGAF) SarlScratch 5 000</v>
          </cell>
          <cell r="O3339" t="str">
            <v>STS GAMBY &amp; FRERES (SOGAF) Sarl</v>
          </cell>
          <cell r="P3339" t="str">
            <v>Scratch 5 000</v>
          </cell>
          <cell r="Q3339" t="str">
            <v>102007</v>
          </cell>
          <cell r="R3339" t="str">
            <v>102007Scratch 5 000</v>
          </cell>
          <cell r="S3339" t="str">
            <v>2007Scratch 5 000</v>
          </cell>
          <cell r="T3339" t="str">
            <v>102007STS GAMBY &amp; FRERES (SOGAF) Sarl</v>
          </cell>
          <cell r="U3339" t="str">
            <v>102007STS GAMBY &amp; FRERES (SOGAF) SarlScratch 5 000</v>
          </cell>
          <cell r="V3339" t="str">
            <v>39378Scratch 5 000</v>
          </cell>
          <cell r="W3339" t="str">
            <v>2007STS GAMBY &amp; FRERES (SOGAF) Sarl</v>
          </cell>
          <cell r="X3339" t="str">
            <v>2007STS GAMBY &amp; FRERES (SOGAF) SarlScratch 5 000</v>
          </cell>
        </row>
        <row r="3340">
          <cell r="I3340">
            <v>2007</v>
          </cell>
          <cell r="J3340" t="str">
            <v>STS GAMBY &amp; FRERES (SOGAF) SarlScratch 2 000</v>
          </cell>
          <cell r="L3340">
            <v>0</v>
          </cell>
          <cell r="M3340" t="str">
            <v>STS GAMBY &amp; FRERES (SOGAF) Sarl</v>
          </cell>
          <cell r="N3340" t="str">
            <v>STS GAMBY &amp; FRERES (SOGAF) SarlScratch 2 000</v>
          </cell>
          <cell r="O3340" t="str">
            <v>STS GAMBY &amp; FRERES (SOGAF) Sarl</v>
          </cell>
          <cell r="P3340" t="str">
            <v>Scratch 2 000</v>
          </cell>
          <cell r="Q3340" t="str">
            <v>102007</v>
          </cell>
          <cell r="R3340" t="str">
            <v>102007Scratch 2 000</v>
          </cell>
          <cell r="S3340" t="str">
            <v>2007Scratch 2 000</v>
          </cell>
          <cell r="T3340" t="str">
            <v>102007STS GAMBY &amp; FRERES (SOGAF) Sarl</v>
          </cell>
          <cell r="U3340" t="str">
            <v>102007STS GAMBY &amp; FRERES (SOGAF) SarlScratch 2 000</v>
          </cell>
          <cell r="V3340" t="str">
            <v>39378Scratch 2 000</v>
          </cell>
          <cell r="W3340" t="str">
            <v>2007STS GAMBY &amp; FRERES (SOGAF) Sarl</v>
          </cell>
          <cell r="X3340" t="str">
            <v>2007STS GAMBY &amp; FRERES (SOGAF) SarlScratch 2 000</v>
          </cell>
        </row>
        <row r="3341">
          <cell r="I3341">
            <v>2007</v>
          </cell>
          <cell r="J3341" t="str">
            <v>STS GAMBY &amp; FRERES (SOGAF) SarlScratch 1 000</v>
          </cell>
          <cell r="L3341">
            <v>0</v>
          </cell>
          <cell r="M3341" t="str">
            <v>STS GAMBY &amp; FRERES (SOGAF) Sarl</v>
          </cell>
          <cell r="N3341" t="str">
            <v>STS GAMBY &amp; FRERES (SOGAF) SarlScratch 1 000</v>
          </cell>
          <cell r="O3341" t="str">
            <v>STS GAMBY &amp; FRERES (SOGAF) Sarl</v>
          </cell>
          <cell r="P3341" t="str">
            <v>Scratch 1 000</v>
          </cell>
          <cell r="Q3341" t="str">
            <v>102007</v>
          </cell>
          <cell r="R3341" t="str">
            <v>102007Scratch 1 000</v>
          </cell>
          <cell r="S3341" t="str">
            <v>2007Scratch 1 000</v>
          </cell>
          <cell r="T3341" t="str">
            <v>102007STS GAMBY &amp; FRERES (SOGAF) Sarl</v>
          </cell>
          <cell r="U3341" t="str">
            <v>102007STS GAMBY &amp; FRERES (SOGAF) SarlScratch 1 000</v>
          </cell>
          <cell r="V3341" t="str">
            <v>39378Scratch 1 000</v>
          </cell>
          <cell r="W3341" t="str">
            <v>2007STS GAMBY &amp; FRERES (SOGAF) Sarl</v>
          </cell>
          <cell r="X3341" t="str">
            <v>2007STS GAMBY &amp; FRERES (SOGAF) SarlScratch 1 000</v>
          </cell>
        </row>
        <row r="3342">
          <cell r="I3342">
            <v>2007</v>
          </cell>
          <cell r="J3342" t="str">
            <v>Compagnie Internationale de NegoceScratch 5 000</v>
          </cell>
          <cell r="L3342">
            <v>1</v>
          </cell>
          <cell r="M3342" t="str">
            <v>1Compagnie Internationale de Negoce</v>
          </cell>
          <cell r="N3342" t="str">
            <v>Compagnie Internationale de NegoceScratch 5 000</v>
          </cell>
          <cell r="O3342" t="str">
            <v>Compagnie Internationale de Negoce</v>
          </cell>
          <cell r="P3342" t="str">
            <v>Scratch 5 000</v>
          </cell>
          <cell r="Q3342" t="str">
            <v>102007</v>
          </cell>
          <cell r="R3342" t="str">
            <v>102007Scratch 5 000</v>
          </cell>
          <cell r="S3342" t="str">
            <v>2007Scratch 5 000</v>
          </cell>
          <cell r="T3342" t="str">
            <v>102007Compagnie Internationale de Negoce</v>
          </cell>
          <cell r="U3342" t="str">
            <v>102007Compagnie Internationale de NegoceScratch 5 000</v>
          </cell>
          <cell r="V3342" t="str">
            <v>39378Scratch 5 000</v>
          </cell>
          <cell r="W3342" t="str">
            <v>2007Compagnie Internationale de Negoce</v>
          </cell>
          <cell r="X3342" t="str">
            <v>2007Compagnie Internationale de NegoceScratch 5 000</v>
          </cell>
        </row>
        <row r="3343">
          <cell r="I3343">
            <v>2007</v>
          </cell>
          <cell r="J3343" t="str">
            <v>Compagnie Internationale de NegoceScratch 2 000</v>
          </cell>
          <cell r="L3343">
            <v>0</v>
          </cell>
          <cell r="M3343" t="str">
            <v>Compagnie Internationale de Negoce</v>
          </cell>
          <cell r="N3343" t="str">
            <v>Compagnie Internationale de NegoceScratch 2 000</v>
          </cell>
          <cell r="O3343" t="str">
            <v>Compagnie Internationale de Negoce</v>
          </cell>
          <cell r="P3343" t="str">
            <v>Scratch 2 000</v>
          </cell>
          <cell r="Q3343" t="str">
            <v>102007</v>
          </cell>
          <cell r="R3343" t="str">
            <v>102007Scratch 2 000</v>
          </cell>
          <cell r="S3343" t="str">
            <v>2007Scratch 2 000</v>
          </cell>
          <cell r="T3343" t="str">
            <v>102007Compagnie Internationale de Negoce</v>
          </cell>
          <cell r="U3343" t="str">
            <v>102007Compagnie Internationale de NegoceScratch 2 000</v>
          </cell>
          <cell r="V3343" t="str">
            <v>39378Scratch 2 000</v>
          </cell>
          <cell r="W3343" t="str">
            <v>2007Compagnie Internationale de Negoce</v>
          </cell>
          <cell r="X3343" t="str">
            <v>2007Compagnie Internationale de NegoceScratch 2 000</v>
          </cell>
        </row>
        <row r="3344">
          <cell r="I3344">
            <v>2007</v>
          </cell>
          <cell r="J3344" t="str">
            <v>Compagnie Internationale de NegoceScratch 1 000</v>
          </cell>
          <cell r="L3344">
            <v>0</v>
          </cell>
          <cell r="M3344" t="str">
            <v>Compagnie Internationale de Negoce</v>
          </cell>
          <cell r="N3344" t="str">
            <v>Compagnie Internationale de NegoceScratch 1 000</v>
          </cell>
          <cell r="O3344" t="str">
            <v>Compagnie Internationale de Negoce</v>
          </cell>
          <cell r="P3344" t="str">
            <v>Scratch 1 000</v>
          </cell>
          <cell r="Q3344" t="str">
            <v>102007</v>
          </cell>
          <cell r="R3344" t="str">
            <v>102007Scratch 1 000</v>
          </cell>
          <cell r="S3344" t="str">
            <v>2007Scratch 1 000</v>
          </cell>
          <cell r="T3344" t="str">
            <v>102007Compagnie Internationale de Negoce</v>
          </cell>
          <cell r="U3344" t="str">
            <v>102007Compagnie Internationale de NegoceScratch 1 000</v>
          </cell>
          <cell r="V3344" t="str">
            <v>39378Scratch 1 000</v>
          </cell>
          <cell r="W3344" t="str">
            <v>2007Compagnie Internationale de Negoce</v>
          </cell>
          <cell r="X3344" t="str">
            <v>2007Compagnie Internationale de NegoceScratch 1 000</v>
          </cell>
        </row>
        <row r="3345">
          <cell r="I3345">
            <v>2007</v>
          </cell>
          <cell r="J3345" t="str">
            <v>Burtel MacsymScratch 10 000</v>
          </cell>
          <cell r="L3345">
            <v>1</v>
          </cell>
          <cell r="M3345" t="str">
            <v>1Burtel Macsym</v>
          </cell>
          <cell r="N3345" t="str">
            <v>Burtel MacsymScratch 10 000</v>
          </cell>
          <cell r="O3345" t="str">
            <v>Burtel Macsym</v>
          </cell>
          <cell r="P3345" t="str">
            <v>Scratch 10 000</v>
          </cell>
          <cell r="Q3345" t="str">
            <v>102007</v>
          </cell>
          <cell r="R3345" t="str">
            <v>102007Scratch 10 000</v>
          </cell>
          <cell r="S3345" t="str">
            <v>2007Scratch 10 000</v>
          </cell>
          <cell r="T3345" t="str">
            <v>102007Burtel Macsym</v>
          </cell>
          <cell r="U3345" t="str">
            <v>102007Burtel MacsymScratch 10 000</v>
          </cell>
          <cell r="V3345" t="str">
            <v>39378Scratch 10 000</v>
          </cell>
          <cell r="W3345" t="str">
            <v>2007Burtel Macsym</v>
          </cell>
          <cell r="X3345" t="str">
            <v>2007Burtel MacsymScratch 10 000</v>
          </cell>
        </row>
        <row r="3346">
          <cell r="I3346">
            <v>2007</v>
          </cell>
          <cell r="J3346" t="str">
            <v>Burtel MacsymScratch 5 000</v>
          </cell>
          <cell r="L3346">
            <v>0</v>
          </cell>
          <cell r="M3346" t="str">
            <v>Burtel Macsym</v>
          </cell>
          <cell r="N3346" t="str">
            <v>Burtel MacsymScratch 5 000</v>
          </cell>
          <cell r="O3346" t="str">
            <v>Burtel Macsym</v>
          </cell>
          <cell r="P3346" t="str">
            <v>Scratch 5 000</v>
          </cell>
          <cell r="Q3346" t="str">
            <v>102007</v>
          </cell>
          <cell r="R3346" t="str">
            <v>102007Scratch 5 000</v>
          </cell>
          <cell r="S3346" t="str">
            <v>2007Scratch 5 000</v>
          </cell>
          <cell r="T3346" t="str">
            <v>102007Burtel Macsym</v>
          </cell>
          <cell r="U3346" t="str">
            <v>102007Burtel MacsymScratch 5 000</v>
          </cell>
          <cell r="V3346" t="str">
            <v>39378Scratch 5 000</v>
          </cell>
          <cell r="W3346" t="str">
            <v>2007Burtel Macsym</v>
          </cell>
          <cell r="X3346" t="str">
            <v>2007Burtel MacsymScratch 5 000</v>
          </cell>
        </row>
        <row r="3347">
          <cell r="I3347">
            <v>2007</v>
          </cell>
          <cell r="J3347" t="str">
            <v>Burtel MacsymScratch 2 000</v>
          </cell>
          <cell r="L3347">
            <v>0</v>
          </cell>
          <cell r="M3347" t="str">
            <v>Burtel Macsym</v>
          </cell>
          <cell r="N3347" t="str">
            <v>Burtel MacsymScratch 2 000</v>
          </cell>
          <cell r="O3347" t="str">
            <v>Burtel Macsym</v>
          </cell>
          <cell r="P3347" t="str">
            <v>Scratch 2 000</v>
          </cell>
          <cell r="Q3347" t="str">
            <v>102007</v>
          </cell>
          <cell r="R3347" t="str">
            <v>102007Scratch 2 000</v>
          </cell>
          <cell r="S3347" t="str">
            <v>2007Scratch 2 000</v>
          </cell>
          <cell r="T3347" t="str">
            <v>102007Burtel Macsym</v>
          </cell>
          <cell r="U3347" t="str">
            <v>102007Burtel MacsymScratch 2 000</v>
          </cell>
          <cell r="V3347" t="str">
            <v>39378Scratch 2 000</v>
          </cell>
          <cell r="W3347" t="str">
            <v>2007Burtel Macsym</v>
          </cell>
          <cell r="X3347" t="str">
            <v>2007Burtel MacsymScratch 2 000</v>
          </cell>
        </row>
        <row r="3348">
          <cell r="I3348">
            <v>2007</v>
          </cell>
          <cell r="J3348" t="str">
            <v>Burtel MacsymScratch 1 000</v>
          </cell>
          <cell r="L3348">
            <v>0</v>
          </cell>
          <cell r="M3348" t="str">
            <v>Burtel Macsym</v>
          </cell>
          <cell r="N3348" t="str">
            <v>Burtel MacsymScratch 1 000</v>
          </cell>
          <cell r="O3348" t="str">
            <v>Burtel Macsym</v>
          </cell>
          <cell r="P3348" t="str">
            <v>Scratch 1 000</v>
          </cell>
          <cell r="Q3348" t="str">
            <v>102007</v>
          </cell>
          <cell r="R3348" t="str">
            <v>102007Scratch 1 000</v>
          </cell>
          <cell r="S3348" t="str">
            <v>2007Scratch 1 000</v>
          </cell>
          <cell r="T3348" t="str">
            <v>102007Burtel Macsym</v>
          </cell>
          <cell r="U3348" t="str">
            <v>102007Burtel MacsymScratch 1 000</v>
          </cell>
          <cell r="V3348" t="str">
            <v>39378Scratch 1 000</v>
          </cell>
          <cell r="W3348" t="str">
            <v>2007Burtel Macsym</v>
          </cell>
          <cell r="X3348" t="str">
            <v>2007Burtel MacsymScratch 1 000</v>
          </cell>
        </row>
        <row r="3349">
          <cell r="I3349">
            <v>2007</v>
          </cell>
          <cell r="J3349" t="str">
            <v>GEMATELScratch 5 000</v>
          </cell>
          <cell r="L3349">
            <v>1</v>
          </cell>
          <cell r="M3349" t="str">
            <v>1GEMATEL</v>
          </cell>
          <cell r="N3349" t="str">
            <v>GEMATELScratch 5 000</v>
          </cell>
          <cell r="O3349" t="str">
            <v>GEMATEL</v>
          </cell>
          <cell r="P3349" t="str">
            <v>Scratch 5 000</v>
          </cell>
          <cell r="Q3349" t="str">
            <v>102007</v>
          </cell>
          <cell r="R3349" t="str">
            <v>102007Scratch 5 000</v>
          </cell>
          <cell r="S3349" t="str">
            <v>2007Scratch 5 000</v>
          </cell>
          <cell r="T3349" t="str">
            <v>102007GEMATEL</v>
          </cell>
          <cell r="U3349" t="str">
            <v>102007GEMATELScratch 5 000</v>
          </cell>
          <cell r="V3349" t="str">
            <v>39378Scratch 5 000</v>
          </cell>
          <cell r="W3349" t="str">
            <v>2007GEMATEL</v>
          </cell>
          <cell r="X3349" t="str">
            <v>2007GEMATELScratch 5 000</v>
          </cell>
        </row>
        <row r="3350">
          <cell r="I3350">
            <v>2007</v>
          </cell>
          <cell r="J3350" t="str">
            <v>GEMATELScratch 2 000</v>
          </cell>
          <cell r="L3350">
            <v>0</v>
          </cell>
          <cell r="M3350" t="str">
            <v>GEMATEL</v>
          </cell>
          <cell r="N3350" t="str">
            <v>GEMATELScratch 2 000</v>
          </cell>
          <cell r="O3350" t="str">
            <v>GEMATEL</v>
          </cell>
          <cell r="P3350" t="str">
            <v>Scratch 2 000</v>
          </cell>
          <cell r="Q3350" t="str">
            <v>102007</v>
          </cell>
          <cell r="R3350" t="str">
            <v>102007Scratch 2 000</v>
          </cell>
          <cell r="S3350" t="str">
            <v>2007Scratch 2 000</v>
          </cell>
          <cell r="T3350" t="str">
            <v>102007GEMATEL</v>
          </cell>
          <cell r="U3350" t="str">
            <v>102007GEMATELScratch 2 000</v>
          </cell>
          <cell r="V3350" t="str">
            <v>39378Scratch 2 000</v>
          </cell>
          <cell r="W3350" t="str">
            <v>2007GEMATEL</v>
          </cell>
          <cell r="X3350" t="str">
            <v>2007GEMATELScratch 2 000</v>
          </cell>
        </row>
        <row r="3351">
          <cell r="I3351">
            <v>2007</v>
          </cell>
          <cell r="J3351" t="str">
            <v>GEMATELScratch 1 000</v>
          </cell>
          <cell r="L3351">
            <v>0</v>
          </cell>
          <cell r="M3351" t="str">
            <v>GEMATEL</v>
          </cell>
          <cell r="N3351" t="str">
            <v>GEMATELScratch 1 000</v>
          </cell>
          <cell r="O3351" t="str">
            <v>GEMATEL</v>
          </cell>
          <cell r="P3351" t="str">
            <v>Scratch 1 000</v>
          </cell>
          <cell r="Q3351" t="str">
            <v>102007</v>
          </cell>
          <cell r="R3351" t="str">
            <v>102007Scratch 1 000</v>
          </cell>
          <cell r="S3351" t="str">
            <v>2007Scratch 1 000</v>
          </cell>
          <cell r="T3351" t="str">
            <v>102007GEMATEL</v>
          </cell>
          <cell r="U3351" t="str">
            <v>102007GEMATELScratch 1 000</v>
          </cell>
          <cell r="V3351" t="str">
            <v>39378Scratch 1 000</v>
          </cell>
          <cell r="W3351" t="str">
            <v>2007GEMATEL</v>
          </cell>
          <cell r="X3351" t="str">
            <v>2007GEMATELScratch 1 000</v>
          </cell>
        </row>
        <row r="3352">
          <cell r="I3352">
            <v>2007</v>
          </cell>
          <cell r="J3352" t="str">
            <v>ANKA SERVICESScratch 5 000</v>
          </cell>
          <cell r="L3352">
            <v>1</v>
          </cell>
          <cell r="M3352" t="str">
            <v>1ANKA SERVICES</v>
          </cell>
          <cell r="N3352" t="str">
            <v>ANKA SERVICESScratch 5 000</v>
          </cell>
          <cell r="O3352" t="str">
            <v>ANKA SERVICES</v>
          </cell>
          <cell r="P3352" t="str">
            <v>Scratch 5 000</v>
          </cell>
          <cell r="Q3352" t="str">
            <v>102007</v>
          </cell>
          <cell r="R3352" t="str">
            <v>102007Scratch 5 000</v>
          </cell>
          <cell r="S3352" t="str">
            <v>2007Scratch 5 000</v>
          </cell>
          <cell r="T3352" t="str">
            <v>102007ANKA SERVICES</v>
          </cell>
          <cell r="U3352" t="str">
            <v>102007ANKA SERVICESScratch 5 000</v>
          </cell>
          <cell r="V3352" t="str">
            <v>39378Scratch 5 000</v>
          </cell>
          <cell r="W3352" t="str">
            <v>2007ANKA SERVICES</v>
          </cell>
          <cell r="X3352" t="str">
            <v>2007ANKA SERVICESScratch 5 000</v>
          </cell>
        </row>
        <row r="3353">
          <cell r="I3353">
            <v>2007</v>
          </cell>
          <cell r="J3353" t="str">
            <v>ANKA SERVICESScratch 2 000</v>
          </cell>
          <cell r="L3353">
            <v>0</v>
          </cell>
          <cell r="M3353" t="str">
            <v>ANKA SERVICES</v>
          </cell>
          <cell r="N3353" t="str">
            <v>ANKA SERVICESScratch 2 000</v>
          </cell>
          <cell r="O3353" t="str">
            <v>ANKA SERVICES</v>
          </cell>
          <cell r="P3353" t="str">
            <v>Scratch 2 000</v>
          </cell>
          <cell r="Q3353" t="str">
            <v>102007</v>
          </cell>
          <cell r="R3353" t="str">
            <v>102007Scratch 2 000</v>
          </cell>
          <cell r="S3353" t="str">
            <v>2007Scratch 2 000</v>
          </cell>
          <cell r="T3353" t="str">
            <v>102007ANKA SERVICES</v>
          </cell>
          <cell r="U3353" t="str">
            <v>102007ANKA SERVICESScratch 2 000</v>
          </cell>
          <cell r="V3353" t="str">
            <v>39378Scratch 2 000</v>
          </cell>
          <cell r="W3353" t="str">
            <v>2007ANKA SERVICES</v>
          </cell>
          <cell r="X3353" t="str">
            <v>2007ANKA SERVICESScratch 2 000</v>
          </cell>
        </row>
        <row r="3354">
          <cell r="I3354">
            <v>2007</v>
          </cell>
          <cell r="J3354" t="str">
            <v>ANKA SERVICESScratch 1 000</v>
          </cell>
          <cell r="L3354">
            <v>0</v>
          </cell>
          <cell r="M3354" t="str">
            <v>ANKA SERVICES</v>
          </cell>
          <cell r="N3354" t="str">
            <v>ANKA SERVICESScratch 1 000</v>
          </cell>
          <cell r="O3354" t="str">
            <v>ANKA SERVICES</v>
          </cell>
          <cell r="P3354" t="str">
            <v>Scratch 1 000</v>
          </cell>
          <cell r="Q3354" t="str">
            <v>102007</v>
          </cell>
          <cell r="R3354" t="str">
            <v>102007Scratch 1 000</v>
          </cell>
          <cell r="S3354" t="str">
            <v>2007Scratch 1 000</v>
          </cell>
          <cell r="T3354" t="str">
            <v>102007ANKA SERVICES</v>
          </cell>
          <cell r="U3354" t="str">
            <v>102007ANKA SERVICESScratch 1 000</v>
          </cell>
          <cell r="V3354" t="str">
            <v>39378Scratch 1 000</v>
          </cell>
          <cell r="W3354" t="str">
            <v>2007ANKA SERVICES</v>
          </cell>
          <cell r="X3354" t="str">
            <v>2007ANKA SERVICESScratch 1 000</v>
          </cell>
        </row>
        <row r="3355">
          <cell r="I3355">
            <v>2007</v>
          </cell>
          <cell r="J3355" t="str">
            <v>CellNets MaliMinutes</v>
          </cell>
          <cell r="L3355">
            <v>1</v>
          </cell>
          <cell r="M3355" t="str">
            <v>1CellNets Mali</v>
          </cell>
          <cell r="N3355" t="str">
            <v>CellNets MaliMinutes</v>
          </cell>
          <cell r="O3355" t="str">
            <v>CellNets Mali</v>
          </cell>
          <cell r="P3355" t="str">
            <v>Minutes</v>
          </cell>
          <cell r="Q3355" t="str">
            <v>102007</v>
          </cell>
          <cell r="R3355" t="str">
            <v>102007Minutes</v>
          </cell>
          <cell r="S3355" t="str">
            <v>2007Minutes</v>
          </cell>
          <cell r="T3355" t="str">
            <v>102007CellNets Mali</v>
          </cell>
          <cell r="U3355" t="str">
            <v>102007CellNets MaliMinutes</v>
          </cell>
          <cell r="V3355" t="str">
            <v>39379Minutes</v>
          </cell>
          <cell r="W3355" t="str">
            <v>2007CellNets Mali</v>
          </cell>
          <cell r="X3355" t="str">
            <v>2007CellNets MaliMinutes</v>
          </cell>
        </row>
        <row r="3356">
          <cell r="I3356">
            <v>2007</v>
          </cell>
          <cell r="J3356" t="str">
            <v>SOMAKOFFScratch 1 000</v>
          </cell>
          <cell r="L3356">
            <v>1</v>
          </cell>
          <cell r="M3356" t="str">
            <v>1SOMAKOFF</v>
          </cell>
          <cell r="N3356" t="str">
            <v>SOMAKOFFScratch 1 000</v>
          </cell>
          <cell r="O3356" t="str">
            <v>SOMAKOFF</v>
          </cell>
          <cell r="P3356" t="str">
            <v>Scratch 1 000</v>
          </cell>
          <cell r="Q3356" t="str">
            <v>102007</v>
          </cell>
          <cell r="R3356" t="str">
            <v>102007Scratch 1 000</v>
          </cell>
          <cell r="S3356" t="str">
            <v>2007Scratch 1 000</v>
          </cell>
          <cell r="T3356" t="str">
            <v>102007SOMAKOFF</v>
          </cell>
          <cell r="U3356" t="str">
            <v>102007SOMAKOFFScratch 1 000</v>
          </cell>
          <cell r="V3356" t="str">
            <v>39379Scratch 1 000</v>
          </cell>
          <cell r="W3356" t="str">
            <v>2007SOMAKOFF</v>
          </cell>
          <cell r="X3356" t="str">
            <v>2007SOMAKOFFScratch 1 000</v>
          </cell>
        </row>
        <row r="3357">
          <cell r="I3357">
            <v>2007</v>
          </cell>
          <cell r="J3357" t="str">
            <v>GEMATELScratch 20 000</v>
          </cell>
          <cell r="L3357">
            <v>1</v>
          </cell>
          <cell r="M3357" t="str">
            <v>1GEMATEL</v>
          </cell>
          <cell r="N3357" t="str">
            <v>GEMATELScratch 20 000</v>
          </cell>
          <cell r="O3357" t="str">
            <v>GEMATEL</v>
          </cell>
          <cell r="P3357" t="str">
            <v>Scratch 20 000</v>
          </cell>
          <cell r="Q3357" t="str">
            <v>102007</v>
          </cell>
          <cell r="R3357" t="str">
            <v>102007Scratch 20 000</v>
          </cell>
          <cell r="S3357" t="str">
            <v>2007Scratch 20 000</v>
          </cell>
          <cell r="T3357" t="str">
            <v>102007GEMATEL</v>
          </cell>
          <cell r="U3357" t="str">
            <v>102007GEMATELScratch 20 000</v>
          </cell>
          <cell r="V3357" t="str">
            <v>39379Scratch 20 000</v>
          </cell>
          <cell r="W3357" t="str">
            <v>2007GEMATEL</v>
          </cell>
          <cell r="X3357" t="str">
            <v>2007GEMATELScratch 20 000</v>
          </cell>
        </row>
        <row r="3358">
          <cell r="I3358">
            <v>2007</v>
          </cell>
          <cell r="J3358" t="str">
            <v>GEMATELScratch 10 000</v>
          </cell>
          <cell r="L3358">
            <v>0</v>
          </cell>
          <cell r="M3358" t="str">
            <v>GEMATEL</v>
          </cell>
          <cell r="N3358" t="str">
            <v>GEMATELScratch 10 000</v>
          </cell>
          <cell r="O3358" t="str">
            <v>GEMATEL</v>
          </cell>
          <cell r="P3358" t="str">
            <v>Scratch 10 000</v>
          </cell>
          <cell r="Q3358" t="str">
            <v>102007</v>
          </cell>
          <cell r="R3358" t="str">
            <v>102007Scratch 10 000</v>
          </cell>
          <cell r="S3358" t="str">
            <v>2007Scratch 10 000</v>
          </cell>
          <cell r="T3358" t="str">
            <v>102007GEMATEL</v>
          </cell>
          <cell r="U3358" t="str">
            <v>102007GEMATELScratch 10 000</v>
          </cell>
          <cell r="V3358" t="str">
            <v>39379Scratch 10 000</v>
          </cell>
          <cell r="W3358" t="str">
            <v>2007GEMATEL</v>
          </cell>
          <cell r="X3358" t="str">
            <v>2007GEMATELScratch 10 000</v>
          </cell>
        </row>
        <row r="3359">
          <cell r="I3359">
            <v>2007</v>
          </cell>
          <cell r="J3359" t="str">
            <v>GEMATELScratch 5 000</v>
          </cell>
          <cell r="L3359">
            <v>0</v>
          </cell>
          <cell r="M3359" t="str">
            <v>GEMATEL</v>
          </cell>
          <cell r="N3359" t="str">
            <v>GEMATELScratch 5 000</v>
          </cell>
          <cell r="O3359" t="str">
            <v>GEMATEL</v>
          </cell>
          <cell r="P3359" t="str">
            <v>Scratch 5 000</v>
          </cell>
          <cell r="Q3359" t="str">
            <v>102007</v>
          </cell>
          <cell r="R3359" t="str">
            <v>102007Scratch 5 000</v>
          </cell>
          <cell r="S3359" t="str">
            <v>2007Scratch 5 000</v>
          </cell>
          <cell r="T3359" t="str">
            <v>102007GEMATEL</v>
          </cell>
          <cell r="U3359" t="str">
            <v>102007GEMATELScratch 5 000</v>
          </cell>
          <cell r="V3359" t="str">
            <v>39379Scratch 5 000</v>
          </cell>
          <cell r="W3359" t="str">
            <v>2007GEMATEL</v>
          </cell>
          <cell r="X3359" t="str">
            <v>2007GEMATELScratch 5 000</v>
          </cell>
        </row>
        <row r="3360">
          <cell r="I3360">
            <v>2007</v>
          </cell>
          <cell r="J3360" t="str">
            <v>GEMATELScratch 2 000</v>
          </cell>
          <cell r="L3360">
            <v>0</v>
          </cell>
          <cell r="M3360" t="str">
            <v>GEMATEL</v>
          </cell>
          <cell r="N3360" t="str">
            <v>GEMATELScratch 2 000</v>
          </cell>
          <cell r="O3360" t="str">
            <v>GEMATEL</v>
          </cell>
          <cell r="P3360" t="str">
            <v>Scratch 2 000</v>
          </cell>
          <cell r="Q3360" t="str">
            <v>102007</v>
          </cell>
          <cell r="R3360" t="str">
            <v>102007Scratch 2 000</v>
          </cell>
          <cell r="S3360" t="str">
            <v>2007Scratch 2 000</v>
          </cell>
          <cell r="T3360" t="str">
            <v>102007GEMATEL</v>
          </cell>
          <cell r="U3360" t="str">
            <v>102007GEMATELScratch 2 000</v>
          </cell>
          <cell r="V3360" t="str">
            <v>39379Scratch 2 000</v>
          </cell>
          <cell r="W3360" t="str">
            <v>2007GEMATEL</v>
          </cell>
          <cell r="X3360" t="str">
            <v>2007GEMATELScratch 2 000</v>
          </cell>
        </row>
        <row r="3361">
          <cell r="I3361">
            <v>2007</v>
          </cell>
          <cell r="J3361" t="str">
            <v>GEMATELScratch 1 000</v>
          </cell>
          <cell r="L3361">
            <v>0</v>
          </cell>
          <cell r="M3361" t="str">
            <v>GEMATEL</v>
          </cell>
          <cell r="N3361" t="str">
            <v>GEMATELScratch 1 000</v>
          </cell>
          <cell r="O3361" t="str">
            <v>GEMATEL</v>
          </cell>
          <cell r="P3361" t="str">
            <v>Scratch 1 000</v>
          </cell>
          <cell r="Q3361" t="str">
            <v>102007</v>
          </cell>
          <cell r="R3361" t="str">
            <v>102007Scratch 1 000</v>
          </cell>
          <cell r="S3361" t="str">
            <v>2007Scratch 1 000</v>
          </cell>
          <cell r="T3361" t="str">
            <v>102007GEMATEL</v>
          </cell>
          <cell r="U3361" t="str">
            <v>102007GEMATELScratch 1 000</v>
          </cell>
          <cell r="V3361" t="str">
            <v>39379Scratch 1 000</v>
          </cell>
          <cell r="W3361" t="str">
            <v>2007GEMATEL</v>
          </cell>
          <cell r="X3361" t="str">
            <v>2007GEMATELScratch 1 000</v>
          </cell>
        </row>
        <row r="3362">
          <cell r="I3362">
            <v>2007</v>
          </cell>
          <cell r="J3362" t="str">
            <v>STS GAMBY &amp; FRERES (SOGAF) SarlScratch 5 000</v>
          </cell>
          <cell r="L3362">
            <v>1</v>
          </cell>
          <cell r="M3362" t="str">
            <v>1STS GAMBY &amp; FRERES (SOGAF) Sarl</v>
          </cell>
          <cell r="N3362" t="str">
            <v>STS GAMBY &amp; FRERES (SOGAF) SarlScratch 5 000</v>
          </cell>
          <cell r="O3362" t="str">
            <v>STS GAMBY &amp; FRERES (SOGAF) Sarl</v>
          </cell>
          <cell r="P3362" t="str">
            <v>Scratch 5 000</v>
          </cell>
          <cell r="Q3362" t="str">
            <v>102007</v>
          </cell>
          <cell r="R3362" t="str">
            <v>102007Scratch 5 000</v>
          </cell>
          <cell r="S3362" t="str">
            <v>2007Scratch 5 000</v>
          </cell>
          <cell r="T3362" t="str">
            <v>102007STS GAMBY &amp; FRERES (SOGAF) Sarl</v>
          </cell>
          <cell r="U3362" t="str">
            <v>102007STS GAMBY &amp; FRERES (SOGAF) SarlScratch 5 000</v>
          </cell>
          <cell r="V3362" t="str">
            <v>39380Scratch 5 000</v>
          </cell>
          <cell r="W3362" t="str">
            <v>2007STS GAMBY &amp; FRERES (SOGAF) Sarl</v>
          </cell>
          <cell r="X3362" t="str">
            <v>2007STS GAMBY &amp; FRERES (SOGAF) SarlScratch 5 000</v>
          </cell>
        </row>
        <row r="3363">
          <cell r="I3363">
            <v>2007</v>
          </cell>
          <cell r="J3363" t="str">
            <v>STS GAMBY &amp; FRERES (SOGAF) SarlScratch 2 000</v>
          </cell>
          <cell r="L3363">
            <v>0</v>
          </cell>
          <cell r="M3363" t="str">
            <v>STS GAMBY &amp; FRERES (SOGAF) Sarl</v>
          </cell>
          <cell r="N3363" t="str">
            <v>STS GAMBY &amp; FRERES (SOGAF) SarlScratch 2 000</v>
          </cell>
          <cell r="O3363" t="str">
            <v>STS GAMBY &amp; FRERES (SOGAF) Sarl</v>
          </cell>
          <cell r="P3363" t="str">
            <v>Scratch 2 000</v>
          </cell>
          <cell r="Q3363" t="str">
            <v>102007</v>
          </cell>
          <cell r="R3363" t="str">
            <v>102007Scratch 2 000</v>
          </cell>
          <cell r="S3363" t="str">
            <v>2007Scratch 2 000</v>
          </cell>
          <cell r="T3363" t="str">
            <v>102007STS GAMBY &amp; FRERES (SOGAF) Sarl</v>
          </cell>
          <cell r="U3363" t="str">
            <v>102007STS GAMBY &amp; FRERES (SOGAF) SarlScratch 2 000</v>
          </cell>
          <cell r="V3363" t="str">
            <v>39380Scratch 2 000</v>
          </cell>
          <cell r="W3363" t="str">
            <v>2007STS GAMBY &amp; FRERES (SOGAF) Sarl</v>
          </cell>
          <cell r="X3363" t="str">
            <v>2007STS GAMBY &amp; FRERES (SOGAF) SarlScratch 2 000</v>
          </cell>
        </row>
        <row r="3364">
          <cell r="I3364">
            <v>2007</v>
          </cell>
          <cell r="J3364" t="str">
            <v>STS GAMBY &amp; FRERES (SOGAF) SarlScratch 1 000</v>
          </cell>
          <cell r="L3364">
            <v>0</v>
          </cell>
          <cell r="M3364" t="str">
            <v>STS GAMBY &amp; FRERES (SOGAF) Sarl</v>
          </cell>
          <cell r="N3364" t="str">
            <v>STS GAMBY &amp; FRERES (SOGAF) SarlScratch 1 000</v>
          </cell>
          <cell r="O3364" t="str">
            <v>STS GAMBY &amp; FRERES (SOGAF) Sarl</v>
          </cell>
          <cell r="P3364" t="str">
            <v>Scratch 1 000</v>
          </cell>
          <cell r="Q3364" t="str">
            <v>102007</v>
          </cell>
          <cell r="R3364" t="str">
            <v>102007Scratch 1 000</v>
          </cell>
          <cell r="S3364" t="str">
            <v>2007Scratch 1 000</v>
          </cell>
          <cell r="T3364" t="str">
            <v>102007STS GAMBY &amp; FRERES (SOGAF) Sarl</v>
          </cell>
          <cell r="U3364" t="str">
            <v>102007STS GAMBY &amp; FRERES (SOGAF) SarlScratch 1 000</v>
          </cell>
          <cell r="V3364" t="str">
            <v>39380Scratch 1 000</v>
          </cell>
          <cell r="W3364" t="str">
            <v>2007STS GAMBY &amp; FRERES (SOGAF) Sarl</v>
          </cell>
          <cell r="X3364" t="str">
            <v>2007STS GAMBY &amp; FRERES (SOGAF) SarlScratch 1 000</v>
          </cell>
        </row>
        <row r="3365">
          <cell r="I3365">
            <v>2007</v>
          </cell>
          <cell r="J3365" t="str">
            <v>ANKA SERVICESScratch 5 000</v>
          </cell>
          <cell r="L3365">
            <v>1</v>
          </cell>
          <cell r="M3365" t="str">
            <v>1ANKA SERVICES</v>
          </cell>
          <cell r="N3365" t="str">
            <v>ANKA SERVICESScratch 5 000</v>
          </cell>
          <cell r="O3365" t="str">
            <v>ANKA SERVICES</v>
          </cell>
          <cell r="P3365" t="str">
            <v>Scratch 5 000</v>
          </cell>
          <cell r="Q3365" t="str">
            <v>102007</v>
          </cell>
          <cell r="R3365" t="str">
            <v>102007Scratch 5 000</v>
          </cell>
          <cell r="S3365" t="str">
            <v>2007Scratch 5 000</v>
          </cell>
          <cell r="T3365" t="str">
            <v>102007ANKA SERVICES</v>
          </cell>
          <cell r="U3365" t="str">
            <v>102007ANKA SERVICESScratch 5 000</v>
          </cell>
          <cell r="V3365" t="str">
            <v>39380Scratch 5 000</v>
          </cell>
          <cell r="W3365" t="str">
            <v>2007ANKA SERVICES</v>
          </cell>
          <cell r="X3365" t="str">
            <v>2007ANKA SERVICESScratch 5 000</v>
          </cell>
        </row>
        <row r="3366">
          <cell r="I3366">
            <v>2007</v>
          </cell>
          <cell r="J3366" t="str">
            <v>ANKA SERVICESScratch 2 000</v>
          </cell>
          <cell r="L3366">
            <v>0</v>
          </cell>
          <cell r="M3366" t="str">
            <v>ANKA SERVICES</v>
          </cell>
          <cell r="N3366" t="str">
            <v>ANKA SERVICESScratch 2 000</v>
          </cell>
          <cell r="O3366" t="str">
            <v>ANKA SERVICES</v>
          </cell>
          <cell r="P3366" t="str">
            <v>Scratch 2 000</v>
          </cell>
          <cell r="Q3366" t="str">
            <v>102007</v>
          </cell>
          <cell r="R3366" t="str">
            <v>102007Scratch 2 000</v>
          </cell>
          <cell r="S3366" t="str">
            <v>2007Scratch 2 000</v>
          </cell>
          <cell r="T3366" t="str">
            <v>102007ANKA SERVICES</v>
          </cell>
          <cell r="U3366" t="str">
            <v>102007ANKA SERVICESScratch 2 000</v>
          </cell>
          <cell r="V3366" t="str">
            <v>39380Scratch 2 000</v>
          </cell>
          <cell r="W3366" t="str">
            <v>2007ANKA SERVICES</v>
          </cell>
          <cell r="X3366" t="str">
            <v>2007ANKA SERVICESScratch 2 000</v>
          </cell>
        </row>
        <row r="3367">
          <cell r="I3367">
            <v>2007</v>
          </cell>
          <cell r="J3367" t="str">
            <v>ANKA SERVICESScratch 1 000</v>
          </cell>
          <cell r="L3367">
            <v>0</v>
          </cell>
          <cell r="M3367" t="str">
            <v>ANKA SERVICES</v>
          </cell>
          <cell r="N3367" t="str">
            <v>ANKA SERVICESScratch 1 000</v>
          </cell>
          <cell r="O3367" t="str">
            <v>ANKA SERVICES</v>
          </cell>
          <cell r="P3367" t="str">
            <v>Scratch 1 000</v>
          </cell>
          <cell r="Q3367" t="str">
            <v>102007</v>
          </cell>
          <cell r="R3367" t="str">
            <v>102007Scratch 1 000</v>
          </cell>
          <cell r="S3367" t="str">
            <v>2007Scratch 1 000</v>
          </cell>
          <cell r="T3367" t="str">
            <v>102007ANKA SERVICES</v>
          </cell>
          <cell r="U3367" t="str">
            <v>102007ANKA SERVICESScratch 1 000</v>
          </cell>
          <cell r="V3367" t="str">
            <v>39380Scratch 1 000</v>
          </cell>
          <cell r="W3367" t="str">
            <v>2007ANKA SERVICES</v>
          </cell>
          <cell r="X3367" t="str">
            <v>2007ANKA SERVICESScratch 1 000</v>
          </cell>
        </row>
        <row r="3368">
          <cell r="I3368">
            <v>2007</v>
          </cell>
          <cell r="J3368" t="str">
            <v>GEMATELScratch 5 000</v>
          </cell>
          <cell r="L3368">
            <v>1</v>
          </cell>
          <cell r="M3368" t="str">
            <v>1GEMATEL</v>
          </cell>
          <cell r="N3368" t="str">
            <v>GEMATELScratch 5 000</v>
          </cell>
          <cell r="O3368" t="str">
            <v>GEMATEL</v>
          </cell>
          <cell r="P3368" t="str">
            <v>Scratch 5 000</v>
          </cell>
          <cell r="Q3368" t="str">
            <v>102007</v>
          </cell>
          <cell r="R3368" t="str">
            <v>102007Scratch 5 000</v>
          </cell>
          <cell r="S3368" t="str">
            <v>2007Scratch 5 000</v>
          </cell>
          <cell r="T3368" t="str">
            <v>102007GEMATEL</v>
          </cell>
          <cell r="U3368" t="str">
            <v>102007GEMATELScratch 5 000</v>
          </cell>
          <cell r="V3368" t="str">
            <v>39380Scratch 5 000</v>
          </cell>
          <cell r="W3368" t="str">
            <v>2007GEMATEL</v>
          </cell>
          <cell r="X3368" t="str">
            <v>2007GEMATELScratch 5 000</v>
          </cell>
        </row>
        <row r="3369">
          <cell r="I3369">
            <v>2007</v>
          </cell>
          <cell r="J3369" t="str">
            <v>GEMATELScratch 2 000</v>
          </cell>
          <cell r="L3369">
            <v>0</v>
          </cell>
          <cell r="M3369" t="str">
            <v>GEMATEL</v>
          </cell>
          <cell r="N3369" t="str">
            <v>GEMATELScratch 2 000</v>
          </cell>
          <cell r="O3369" t="str">
            <v>GEMATEL</v>
          </cell>
          <cell r="P3369" t="str">
            <v>Scratch 2 000</v>
          </cell>
          <cell r="Q3369" t="str">
            <v>102007</v>
          </cell>
          <cell r="R3369" t="str">
            <v>102007Scratch 2 000</v>
          </cell>
          <cell r="S3369" t="str">
            <v>2007Scratch 2 000</v>
          </cell>
          <cell r="T3369" t="str">
            <v>102007GEMATEL</v>
          </cell>
          <cell r="U3369" t="str">
            <v>102007GEMATELScratch 2 000</v>
          </cell>
          <cell r="V3369" t="str">
            <v>39380Scratch 2 000</v>
          </cell>
          <cell r="W3369" t="str">
            <v>2007GEMATEL</v>
          </cell>
          <cell r="X3369" t="str">
            <v>2007GEMATELScratch 2 000</v>
          </cell>
        </row>
        <row r="3370">
          <cell r="I3370">
            <v>2007</v>
          </cell>
          <cell r="J3370" t="str">
            <v>GEMATELScratch 1 000</v>
          </cell>
          <cell r="L3370">
            <v>0</v>
          </cell>
          <cell r="M3370" t="str">
            <v>GEMATEL</v>
          </cell>
          <cell r="N3370" t="str">
            <v>GEMATELScratch 1 000</v>
          </cell>
          <cell r="O3370" t="str">
            <v>GEMATEL</v>
          </cell>
          <cell r="P3370" t="str">
            <v>Scratch 1 000</v>
          </cell>
          <cell r="Q3370" t="str">
            <v>102007</v>
          </cell>
          <cell r="R3370" t="str">
            <v>102007Scratch 1 000</v>
          </cell>
          <cell r="S3370" t="str">
            <v>2007Scratch 1 000</v>
          </cell>
          <cell r="T3370" t="str">
            <v>102007GEMATEL</v>
          </cell>
          <cell r="U3370" t="str">
            <v>102007GEMATELScratch 1 000</v>
          </cell>
          <cell r="V3370" t="str">
            <v>39380Scratch 1 000</v>
          </cell>
          <cell r="W3370" t="str">
            <v>2007GEMATEL</v>
          </cell>
          <cell r="X3370" t="str">
            <v>2007GEMATELScratch 1 000</v>
          </cell>
        </row>
        <row r="3371">
          <cell r="I3371">
            <v>2007</v>
          </cell>
          <cell r="J3371" t="str">
            <v>Bonneterie Nouvelle TelecomScratch 20 000</v>
          </cell>
          <cell r="L3371">
            <v>1</v>
          </cell>
          <cell r="M3371" t="str">
            <v>1Bonneterie Nouvelle Telecom</v>
          </cell>
          <cell r="N3371" t="str">
            <v>Bonneterie Nouvelle TelecomScratch 20 000</v>
          </cell>
          <cell r="O3371" t="str">
            <v>Bonneterie Nouvelle Telecom</v>
          </cell>
          <cell r="P3371" t="str">
            <v>Scratch 20 000</v>
          </cell>
          <cell r="Q3371" t="str">
            <v>102007</v>
          </cell>
          <cell r="R3371" t="str">
            <v>102007Scratch 20 000</v>
          </cell>
          <cell r="S3371" t="str">
            <v>2007Scratch 20 000</v>
          </cell>
          <cell r="T3371" t="str">
            <v>102007Bonneterie Nouvelle Telecom</v>
          </cell>
          <cell r="U3371" t="str">
            <v>102007Bonneterie Nouvelle TelecomScratch 20 000</v>
          </cell>
          <cell r="V3371" t="str">
            <v>39380Scratch 20 000</v>
          </cell>
          <cell r="W3371" t="str">
            <v>2007Bonneterie Nouvelle Telecom</v>
          </cell>
          <cell r="X3371" t="str">
            <v>2007Bonneterie Nouvelle TelecomScratch 20 000</v>
          </cell>
        </row>
        <row r="3372">
          <cell r="I3372">
            <v>2007</v>
          </cell>
          <cell r="J3372" t="str">
            <v>Bonneterie Nouvelle TelecomScratch 5 000</v>
          </cell>
          <cell r="L3372">
            <v>0</v>
          </cell>
          <cell r="M3372" t="str">
            <v>Bonneterie Nouvelle Telecom</v>
          </cell>
          <cell r="N3372" t="str">
            <v>Bonneterie Nouvelle TelecomScratch 5 000</v>
          </cell>
          <cell r="O3372" t="str">
            <v>Bonneterie Nouvelle Telecom</v>
          </cell>
          <cell r="P3372" t="str">
            <v>Scratch 5 000</v>
          </cell>
          <cell r="Q3372" t="str">
            <v>102007</v>
          </cell>
          <cell r="R3372" t="str">
            <v>102007Scratch 5 000</v>
          </cell>
          <cell r="S3372" t="str">
            <v>2007Scratch 5 000</v>
          </cell>
          <cell r="T3372" t="str">
            <v>102007Bonneterie Nouvelle Telecom</v>
          </cell>
          <cell r="U3372" t="str">
            <v>102007Bonneterie Nouvelle TelecomScratch 5 000</v>
          </cell>
          <cell r="V3372" t="str">
            <v>39380Scratch 5 000</v>
          </cell>
          <cell r="W3372" t="str">
            <v>2007Bonneterie Nouvelle Telecom</v>
          </cell>
          <cell r="X3372" t="str">
            <v>2007Bonneterie Nouvelle TelecomScratch 5 000</v>
          </cell>
        </row>
        <row r="3373">
          <cell r="I3373">
            <v>2007</v>
          </cell>
          <cell r="J3373" t="str">
            <v>Bonneterie Nouvelle TelecomScratch 2 000</v>
          </cell>
          <cell r="L3373">
            <v>0</v>
          </cell>
          <cell r="M3373" t="str">
            <v>Bonneterie Nouvelle Telecom</v>
          </cell>
          <cell r="N3373" t="str">
            <v>Bonneterie Nouvelle TelecomScratch 2 000</v>
          </cell>
          <cell r="O3373" t="str">
            <v>Bonneterie Nouvelle Telecom</v>
          </cell>
          <cell r="P3373" t="str">
            <v>Scratch 2 000</v>
          </cell>
          <cell r="Q3373" t="str">
            <v>102007</v>
          </cell>
          <cell r="R3373" t="str">
            <v>102007Scratch 2 000</v>
          </cell>
          <cell r="S3373" t="str">
            <v>2007Scratch 2 000</v>
          </cell>
          <cell r="T3373" t="str">
            <v>102007Bonneterie Nouvelle Telecom</v>
          </cell>
          <cell r="U3373" t="str">
            <v>102007Bonneterie Nouvelle TelecomScratch 2 000</v>
          </cell>
          <cell r="V3373" t="str">
            <v>39380Scratch 2 000</v>
          </cell>
          <cell r="W3373" t="str">
            <v>2007Bonneterie Nouvelle Telecom</v>
          </cell>
          <cell r="X3373" t="str">
            <v>2007Bonneterie Nouvelle TelecomScratch 2 000</v>
          </cell>
        </row>
        <row r="3374">
          <cell r="I3374">
            <v>2007</v>
          </cell>
          <cell r="J3374" t="str">
            <v>Bonneterie Nouvelle TelecomScratch 1 000</v>
          </cell>
          <cell r="L3374">
            <v>0</v>
          </cell>
          <cell r="M3374" t="str">
            <v>Bonneterie Nouvelle Telecom</v>
          </cell>
          <cell r="N3374" t="str">
            <v>Bonneterie Nouvelle TelecomScratch 1 000</v>
          </cell>
          <cell r="O3374" t="str">
            <v>Bonneterie Nouvelle Telecom</v>
          </cell>
          <cell r="P3374" t="str">
            <v>Scratch 1 000</v>
          </cell>
          <cell r="Q3374" t="str">
            <v>102007</v>
          </cell>
          <cell r="R3374" t="str">
            <v>102007Scratch 1 000</v>
          </cell>
          <cell r="S3374" t="str">
            <v>2007Scratch 1 000</v>
          </cell>
          <cell r="T3374" t="str">
            <v>102007Bonneterie Nouvelle Telecom</v>
          </cell>
          <cell r="U3374" t="str">
            <v>102007Bonneterie Nouvelle TelecomScratch 1 000</v>
          </cell>
          <cell r="V3374" t="str">
            <v>39380Scratch 1 000</v>
          </cell>
          <cell r="W3374" t="str">
            <v>2007Bonneterie Nouvelle Telecom</v>
          </cell>
          <cell r="X3374" t="str">
            <v>2007Bonneterie Nouvelle TelecomScratch 1 000</v>
          </cell>
        </row>
        <row r="3375">
          <cell r="I3375">
            <v>2007</v>
          </cell>
          <cell r="J3375" t="str">
            <v>MALI COM SarlScratch 5 000</v>
          </cell>
          <cell r="L3375">
            <v>1</v>
          </cell>
          <cell r="M3375" t="str">
            <v>1MALI COM Sarl</v>
          </cell>
          <cell r="N3375" t="str">
            <v>MALI COM SarlScratch 5 000</v>
          </cell>
          <cell r="O3375" t="str">
            <v>MALI COM Sarl</v>
          </cell>
          <cell r="P3375" t="str">
            <v>Scratch 5 000</v>
          </cell>
          <cell r="Q3375" t="str">
            <v>102007</v>
          </cell>
          <cell r="R3375" t="str">
            <v>102007Scratch 5 000</v>
          </cell>
          <cell r="S3375" t="str">
            <v>2007Scratch 5 000</v>
          </cell>
          <cell r="T3375" t="str">
            <v>102007MALI COM Sarl</v>
          </cell>
          <cell r="U3375" t="str">
            <v>102007MALI COM SarlScratch 5 000</v>
          </cell>
          <cell r="V3375" t="str">
            <v>39380Scratch 5 000</v>
          </cell>
          <cell r="W3375" t="str">
            <v>2007MALI COM Sarl</v>
          </cell>
          <cell r="X3375" t="str">
            <v>2007MALI COM SarlScratch 5 000</v>
          </cell>
        </row>
        <row r="3376">
          <cell r="I3376">
            <v>2007</v>
          </cell>
          <cell r="J3376" t="str">
            <v>MALI COM SarlScratch 2 000</v>
          </cell>
          <cell r="L3376">
            <v>0</v>
          </cell>
          <cell r="M3376" t="str">
            <v>MALI COM Sarl</v>
          </cell>
          <cell r="N3376" t="str">
            <v>MALI COM SarlScratch 2 000</v>
          </cell>
          <cell r="O3376" t="str">
            <v>MALI COM Sarl</v>
          </cell>
          <cell r="P3376" t="str">
            <v>Scratch 2 000</v>
          </cell>
          <cell r="Q3376" t="str">
            <v>102007</v>
          </cell>
          <cell r="R3376" t="str">
            <v>102007Scratch 2 000</v>
          </cell>
          <cell r="S3376" t="str">
            <v>2007Scratch 2 000</v>
          </cell>
          <cell r="T3376" t="str">
            <v>102007MALI COM Sarl</v>
          </cell>
          <cell r="U3376" t="str">
            <v>102007MALI COM SarlScratch 2 000</v>
          </cell>
          <cell r="V3376" t="str">
            <v>39380Scratch 2 000</v>
          </cell>
          <cell r="W3376" t="str">
            <v>2007MALI COM Sarl</v>
          </cell>
          <cell r="X3376" t="str">
            <v>2007MALI COM SarlScratch 2 000</v>
          </cell>
        </row>
        <row r="3377">
          <cell r="I3377">
            <v>2007</v>
          </cell>
          <cell r="J3377" t="str">
            <v>MALI COM SarlScratch 1 000</v>
          </cell>
          <cell r="L3377">
            <v>0</v>
          </cell>
          <cell r="M3377" t="str">
            <v>MALI COM Sarl</v>
          </cell>
          <cell r="N3377" t="str">
            <v>MALI COM SarlScratch 1 000</v>
          </cell>
          <cell r="O3377" t="str">
            <v>MALI COM Sarl</v>
          </cell>
          <cell r="P3377" t="str">
            <v>Scratch 1 000</v>
          </cell>
          <cell r="Q3377" t="str">
            <v>102007</v>
          </cell>
          <cell r="R3377" t="str">
            <v>102007Scratch 1 000</v>
          </cell>
          <cell r="S3377" t="str">
            <v>2007Scratch 1 000</v>
          </cell>
          <cell r="T3377" t="str">
            <v>102007MALI COM Sarl</v>
          </cell>
          <cell r="U3377" t="str">
            <v>102007MALI COM SarlScratch 1 000</v>
          </cell>
          <cell r="V3377" t="str">
            <v>39380Scratch 1 000</v>
          </cell>
          <cell r="W3377" t="str">
            <v>2007MALI COM Sarl</v>
          </cell>
          <cell r="X3377" t="str">
            <v>2007MALI COM SarlScratch 1 000</v>
          </cell>
        </row>
        <row r="3378">
          <cell r="I3378">
            <v>2007</v>
          </cell>
          <cell r="J3378" t="str">
            <v>Burtel MacsymScratch 20 000</v>
          </cell>
          <cell r="L3378">
            <v>1</v>
          </cell>
          <cell r="M3378" t="str">
            <v>1Burtel Macsym</v>
          </cell>
          <cell r="N3378" t="str">
            <v>Burtel MacsymScratch 20 000</v>
          </cell>
          <cell r="O3378" t="str">
            <v>Burtel Macsym</v>
          </cell>
          <cell r="P3378" t="str">
            <v>Scratch 20 000</v>
          </cell>
          <cell r="Q3378" t="str">
            <v>102007</v>
          </cell>
          <cell r="R3378" t="str">
            <v>102007Scratch 20 000</v>
          </cell>
          <cell r="S3378" t="str">
            <v>2007Scratch 20 000</v>
          </cell>
          <cell r="T3378" t="str">
            <v>102007Burtel Macsym</v>
          </cell>
          <cell r="U3378" t="str">
            <v>102007Burtel MacsymScratch 20 000</v>
          </cell>
          <cell r="V3378" t="str">
            <v>39380Scratch 20 000</v>
          </cell>
          <cell r="W3378" t="str">
            <v>2007Burtel Macsym</v>
          </cell>
          <cell r="X3378" t="str">
            <v>2007Burtel MacsymScratch 20 000</v>
          </cell>
        </row>
        <row r="3379">
          <cell r="I3379">
            <v>2007</v>
          </cell>
          <cell r="J3379" t="str">
            <v>Burtel MacsymScratch 5 000</v>
          </cell>
          <cell r="L3379">
            <v>0</v>
          </cell>
          <cell r="M3379" t="str">
            <v>Burtel Macsym</v>
          </cell>
          <cell r="N3379" t="str">
            <v>Burtel MacsymScratch 5 000</v>
          </cell>
          <cell r="O3379" t="str">
            <v>Burtel Macsym</v>
          </cell>
          <cell r="P3379" t="str">
            <v>Scratch 5 000</v>
          </cell>
          <cell r="Q3379" t="str">
            <v>102007</v>
          </cell>
          <cell r="R3379" t="str">
            <v>102007Scratch 5 000</v>
          </cell>
          <cell r="S3379" t="str">
            <v>2007Scratch 5 000</v>
          </cell>
          <cell r="T3379" t="str">
            <v>102007Burtel Macsym</v>
          </cell>
          <cell r="U3379" t="str">
            <v>102007Burtel MacsymScratch 5 000</v>
          </cell>
          <cell r="V3379" t="str">
            <v>39380Scratch 5 000</v>
          </cell>
          <cell r="W3379" t="str">
            <v>2007Burtel Macsym</v>
          </cell>
          <cell r="X3379" t="str">
            <v>2007Burtel MacsymScratch 5 000</v>
          </cell>
        </row>
        <row r="3380">
          <cell r="I3380">
            <v>2007</v>
          </cell>
          <cell r="J3380" t="str">
            <v>Burtel MacsymScratch 2 000</v>
          </cell>
          <cell r="L3380">
            <v>0</v>
          </cell>
          <cell r="M3380" t="str">
            <v>Burtel Macsym</v>
          </cell>
          <cell r="N3380" t="str">
            <v>Burtel MacsymScratch 2 000</v>
          </cell>
          <cell r="O3380" t="str">
            <v>Burtel Macsym</v>
          </cell>
          <cell r="P3380" t="str">
            <v>Scratch 2 000</v>
          </cell>
          <cell r="Q3380" t="str">
            <v>102007</v>
          </cell>
          <cell r="R3380" t="str">
            <v>102007Scratch 2 000</v>
          </cell>
          <cell r="S3380" t="str">
            <v>2007Scratch 2 000</v>
          </cell>
          <cell r="T3380" t="str">
            <v>102007Burtel Macsym</v>
          </cell>
          <cell r="U3380" t="str">
            <v>102007Burtel MacsymScratch 2 000</v>
          </cell>
          <cell r="V3380" t="str">
            <v>39380Scratch 2 000</v>
          </cell>
          <cell r="W3380" t="str">
            <v>2007Burtel Macsym</v>
          </cell>
          <cell r="X3380" t="str">
            <v>2007Burtel MacsymScratch 2 000</v>
          </cell>
        </row>
        <row r="3381">
          <cell r="I3381">
            <v>2007</v>
          </cell>
          <cell r="J3381" t="str">
            <v>Burtel MacsymScratch 1 000</v>
          </cell>
          <cell r="L3381">
            <v>0</v>
          </cell>
          <cell r="M3381" t="str">
            <v>Burtel Macsym</v>
          </cell>
          <cell r="N3381" t="str">
            <v>Burtel MacsymScratch 1 000</v>
          </cell>
          <cell r="O3381" t="str">
            <v>Burtel Macsym</v>
          </cell>
          <cell r="P3381" t="str">
            <v>Scratch 1 000</v>
          </cell>
          <cell r="Q3381" t="str">
            <v>102007</v>
          </cell>
          <cell r="R3381" t="str">
            <v>102007Scratch 1 000</v>
          </cell>
          <cell r="S3381" t="str">
            <v>2007Scratch 1 000</v>
          </cell>
          <cell r="T3381" t="str">
            <v>102007Burtel Macsym</v>
          </cell>
          <cell r="U3381" t="str">
            <v>102007Burtel MacsymScratch 1 000</v>
          </cell>
          <cell r="V3381" t="str">
            <v>39380Scratch 1 000</v>
          </cell>
          <cell r="W3381" t="str">
            <v>2007Burtel Macsym</v>
          </cell>
          <cell r="X3381" t="str">
            <v>2007Burtel MacsymScratch 1 000</v>
          </cell>
        </row>
        <row r="3382">
          <cell r="I3382">
            <v>2007</v>
          </cell>
          <cell r="J3382" t="str">
            <v>GEMATELScratch 20 000</v>
          </cell>
          <cell r="L3382">
            <v>1</v>
          </cell>
          <cell r="M3382" t="str">
            <v>1GEMATEL</v>
          </cell>
          <cell r="N3382" t="str">
            <v>GEMATELScratch 20 000</v>
          </cell>
          <cell r="O3382" t="str">
            <v>GEMATEL</v>
          </cell>
          <cell r="P3382" t="str">
            <v>Scratch 20 000</v>
          </cell>
          <cell r="Q3382" t="str">
            <v>102007</v>
          </cell>
          <cell r="R3382" t="str">
            <v>102007Scratch 20 000</v>
          </cell>
          <cell r="S3382" t="str">
            <v>2007Scratch 20 000</v>
          </cell>
          <cell r="T3382" t="str">
            <v>102007GEMATEL</v>
          </cell>
          <cell r="U3382" t="str">
            <v>102007GEMATELScratch 20 000</v>
          </cell>
          <cell r="V3382" t="str">
            <v>39381Scratch 20 000</v>
          </cell>
          <cell r="W3382" t="str">
            <v>2007GEMATEL</v>
          </cell>
          <cell r="X3382" t="str">
            <v>2007GEMATELScratch 20 000</v>
          </cell>
        </row>
        <row r="3383">
          <cell r="I3383">
            <v>2007</v>
          </cell>
          <cell r="J3383" t="str">
            <v>GEMATELScratch 5 000</v>
          </cell>
          <cell r="L3383">
            <v>0</v>
          </cell>
          <cell r="M3383" t="str">
            <v>GEMATEL</v>
          </cell>
          <cell r="N3383" t="str">
            <v>GEMATELScratch 5 000</v>
          </cell>
          <cell r="O3383" t="str">
            <v>GEMATEL</v>
          </cell>
          <cell r="P3383" t="str">
            <v>Scratch 5 000</v>
          </cell>
          <cell r="Q3383" t="str">
            <v>102007</v>
          </cell>
          <cell r="R3383" t="str">
            <v>102007Scratch 5 000</v>
          </cell>
          <cell r="S3383" t="str">
            <v>2007Scratch 5 000</v>
          </cell>
          <cell r="T3383" t="str">
            <v>102007GEMATEL</v>
          </cell>
          <cell r="U3383" t="str">
            <v>102007GEMATELScratch 5 000</v>
          </cell>
          <cell r="V3383" t="str">
            <v>39381Scratch 5 000</v>
          </cell>
          <cell r="W3383" t="str">
            <v>2007GEMATEL</v>
          </cell>
          <cell r="X3383" t="str">
            <v>2007GEMATELScratch 5 000</v>
          </cell>
        </row>
        <row r="3384">
          <cell r="I3384">
            <v>2007</v>
          </cell>
          <cell r="J3384" t="str">
            <v>GEMATELScratch 2 000</v>
          </cell>
          <cell r="L3384">
            <v>0</v>
          </cell>
          <cell r="M3384" t="str">
            <v>GEMATEL</v>
          </cell>
          <cell r="N3384" t="str">
            <v>GEMATELScratch 2 000</v>
          </cell>
          <cell r="O3384" t="str">
            <v>GEMATEL</v>
          </cell>
          <cell r="P3384" t="str">
            <v>Scratch 2 000</v>
          </cell>
          <cell r="Q3384" t="str">
            <v>102007</v>
          </cell>
          <cell r="R3384" t="str">
            <v>102007Scratch 2 000</v>
          </cell>
          <cell r="S3384" t="str">
            <v>2007Scratch 2 000</v>
          </cell>
          <cell r="T3384" t="str">
            <v>102007GEMATEL</v>
          </cell>
          <cell r="U3384" t="str">
            <v>102007GEMATELScratch 2 000</v>
          </cell>
          <cell r="V3384" t="str">
            <v>39381Scratch 2 000</v>
          </cell>
          <cell r="W3384" t="str">
            <v>2007GEMATEL</v>
          </cell>
          <cell r="X3384" t="str">
            <v>2007GEMATELScratch 2 000</v>
          </cell>
        </row>
        <row r="3385">
          <cell r="I3385">
            <v>2007</v>
          </cell>
          <cell r="J3385" t="str">
            <v>GEMATELScratch 1 000</v>
          </cell>
          <cell r="L3385">
            <v>0</v>
          </cell>
          <cell r="M3385" t="str">
            <v>GEMATEL</v>
          </cell>
          <cell r="N3385" t="str">
            <v>GEMATELScratch 1 000</v>
          </cell>
          <cell r="O3385" t="str">
            <v>GEMATEL</v>
          </cell>
          <cell r="P3385" t="str">
            <v>Scratch 1 000</v>
          </cell>
          <cell r="Q3385" t="str">
            <v>102007</v>
          </cell>
          <cell r="R3385" t="str">
            <v>102007Scratch 1 000</v>
          </cell>
          <cell r="S3385" t="str">
            <v>2007Scratch 1 000</v>
          </cell>
          <cell r="T3385" t="str">
            <v>102007GEMATEL</v>
          </cell>
          <cell r="U3385" t="str">
            <v>102007GEMATELScratch 1 000</v>
          </cell>
          <cell r="V3385" t="str">
            <v>39381Scratch 1 000</v>
          </cell>
          <cell r="W3385" t="str">
            <v>2007GEMATEL</v>
          </cell>
          <cell r="X3385" t="str">
            <v>2007GEMATELScratch 1 000</v>
          </cell>
        </row>
        <row r="3386">
          <cell r="I3386">
            <v>2007</v>
          </cell>
          <cell r="J3386" t="str">
            <v>Ets Boubacar TANDIAScratch 5 000</v>
          </cell>
          <cell r="L3386">
            <v>1</v>
          </cell>
          <cell r="M3386" t="str">
            <v>1Ets Boubacar TANDIA</v>
          </cell>
          <cell r="N3386" t="str">
            <v>Ets Boubacar TANDIAScratch 5 000</v>
          </cell>
          <cell r="O3386" t="str">
            <v>Ets Boubacar TANDIA</v>
          </cell>
          <cell r="P3386" t="str">
            <v>Scratch 5 000</v>
          </cell>
          <cell r="Q3386" t="str">
            <v>102007</v>
          </cell>
          <cell r="R3386" t="str">
            <v>102007Scratch 5 000</v>
          </cell>
          <cell r="S3386" t="str">
            <v>2007Scratch 5 000</v>
          </cell>
          <cell r="T3386" t="str">
            <v>102007Ets Boubacar TANDIA</v>
          </cell>
          <cell r="U3386" t="str">
            <v>102007Ets Boubacar TANDIAScratch 5 000</v>
          </cell>
          <cell r="V3386" t="str">
            <v>39381Scratch 5 000</v>
          </cell>
          <cell r="W3386" t="str">
            <v>2007Ets Boubacar TANDIA</v>
          </cell>
          <cell r="X3386" t="str">
            <v>2007Ets Boubacar TANDIAScratch 5 000</v>
          </cell>
        </row>
        <row r="3387">
          <cell r="I3387">
            <v>2007</v>
          </cell>
          <cell r="J3387" t="str">
            <v>Ets Boubacar TANDIAScratch 2 000</v>
          </cell>
          <cell r="L3387">
            <v>0</v>
          </cell>
          <cell r="M3387" t="str">
            <v>Ets Boubacar TANDIA</v>
          </cell>
          <cell r="N3387" t="str">
            <v>Ets Boubacar TANDIAScratch 2 000</v>
          </cell>
          <cell r="O3387" t="str">
            <v>Ets Boubacar TANDIA</v>
          </cell>
          <cell r="P3387" t="str">
            <v>Scratch 2 000</v>
          </cell>
          <cell r="Q3387" t="str">
            <v>102007</v>
          </cell>
          <cell r="R3387" t="str">
            <v>102007Scratch 2 000</v>
          </cell>
          <cell r="S3387" t="str">
            <v>2007Scratch 2 000</v>
          </cell>
          <cell r="T3387" t="str">
            <v>102007Ets Boubacar TANDIA</v>
          </cell>
          <cell r="U3387" t="str">
            <v>102007Ets Boubacar TANDIAScratch 2 000</v>
          </cell>
          <cell r="V3387" t="str">
            <v>39381Scratch 2 000</v>
          </cell>
          <cell r="W3387" t="str">
            <v>2007Ets Boubacar TANDIA</v>
          </cell>
          <cell r="X3387" t="str">
            <v>2007Ets Boubacar TANDIAScratch 2 000</v>
          </cell>
        </row>
        <row r="3388">
          <cell r="I3388">
            <v>2007</v>
          </cell>
          <cell r="J3388" t="str">
            <v>Ets Boubacar TANDIAScratch 1 000</v>
          </cell>
          <cell r="L3388">
            <v>0</v>
          </cell>
          <cell r="M3388" t="str">
            <v>Ets Boubacar TANDIA</v>
          </cell>
          <cell r="N3388" t="str">
            <v>Ets Boubacar TANDIAScratch 1 000</v>
          </cell>
          <cell r="O3388" t="str">
            <v>Ets Boubacar TANDIA</v>
          </cell>
          <cell r="P3388" t="str">
            <v>Scratch 1 000</v>
          </cell>
          <cell r="Q3388" t="str">
            <v>102007</v>
          </cell>
          <cell r="R3388" t="str">
            <v>102007Scratch 1 000</v>
          </cell>
          <cell r="S3388" t="str">
            <v>2007Scratch 1 000</v>
          </cell>
          <cell r="T3388" t="str">
            <v>102007Ets Boubacar TANDIA</v>
          </cell>
          <cell r="U3388" t="str">
            <v>102007Ets Boubacar TANDIAScratch 1 000</v>
          </cell>
          <cell r="V3388" t="str">
            <v>39381Scratch 1 000</v>
          </cell>
          <cell r="W3388" t="str">
            <v>2007Ets Boubacar TANDIA</v>
          </cell>
          <cell r="X3388" t="str">
            <v>2007Ets Boubacar TANDIAScratch 1 000</v>
          </cell>
        </row>
        <row r="3389">
          <cell r="I3389">
            <v>2007</v>
          </cell>
          <cell r="J3389" t="str">
            <v>Soleil LevantScratch 5 000</v>
          </cell>
          <cell r="L3389">
            <v>1</v>
          </cell>
          <cell r="M3389" t="str">
            <v>1Soleil Levant</v>
          </cell>
          <cell r="N3389" t="str">
            <v>Soleil LevantScratch 5 000</v>
          </cell>
          <cell r="O3389" t="str">
            <v>Soleil Levant</v>
          </cell>
          <cell r="P3389" t="str">
            <v>Scratch 5 000</v>
          </cell>
          <cell r="Q3389" t="str">
            <v>102007</v>
          </cell>
          <cell r="R3389" t="str">
            <v>102007Scratch 5 000</v>
          </cell>
          <cell r="S3389" t="str">
            <v>2007Scratch 5 000</v>
          </cell>
          <cell r="T3389" t="str">
            <v>102007Soleil Levant</v>
          </cell>
          <cell r="U3389" t="str">
            <v>102007Soleil LevantScratch 5 000</v>
          </cell>
          <cell r="V3389" t="str">
            <v>39384Scratch 5 000</v>
          </cell>
          <cell r="W3389" t="str">
            <v>2007Soleil Levant</v>
          </cell>
          <cell r="X3389" t="str">
            <v>2007Soleil LevantScratch 5 000</v>
          </cell>
        </row>
        <row r="3390">
          <cell r="I3390">
            <v>2007</v>
          </cell>
          <cell r="J3390" t="str">
            <v>Soleil LevantScratch 2 000</v>
          </cell>
          <cell r="L3390">
            <v>0</v>
          </cell>
          <cell r="M3390" t="str">
            <v>Soleil Levant</v>
          </cell>
          <cell r="N3390" t="str">
            <v>Soleil LevantScratch 2 000</v>
          </cell>
          <cell r="O3390" t="str">
            <v>Soleil Levant</v>
          </cell>
          <cell r="P3390" t="str">
            <v>Scratch 2 000</v>
          </cell>
          <cell r="Q3390" t="str">
            <v>102007</v>
          </cell>
          <cell r="R3390" t="str">
            <v>102007Scratch 2 000</v>
          </cell>
          <cell r="S3390" t="str">
            <v>2007Scratch 2 000</v>
          </cell>
          <cell r="T3390" t="str">
            <v>102007Soleil Levant</v>
          </cell>
          <cell r="U3390" t="str">
            <v>102007Soleil LevantScratch 2 000</v>
          </cell>
          <cell r="V3390" t="str">
            <v>39384Scratch 2 000</v>
          </cell>
          <cell r="W3390" t="str">
            <v>2007Soleil Levant</v>
          </cell>
          <cell r="X3390" t="str">
            <v>2007Soleil LevantScratch 2 000</v>
          </cell>
        </row>
        <row r="3391">
          <cell r="I3391">
            <v>2007</v>
          </cell>
          <cell r="J3391" t="str">
            <v>Soleil LevantScratch 1 000</v>
          </cell>
          <cell r="L3391">
            <v>0</v>
          </cell>
          <cell r="M3391" t="str">
            <v>Soleil Levant</v>
          </cell>
          <cell r="N3391" t="str">
            <v>Soleil LevantScratch 1 000</v>
          </cell>
          <cell r="O3391" t="str">
            <v>Soleil Levant</v>
          </cell>
          <cell r="P3391" t="str">
            <v>Scratch 1 000</v>
          </cell>
          <cell r="Q3391" t="str">
            <v>102007</v>
          </cell>
          <cell r="R3391" t="str">
            <v>102007Scratch 1 000</v>
          </cell>
          <cell r="S3391" t="str">
            <v>2007Scratch 1 000</v>
          </cell>
          <cell r="T3391" t="str">
            <v>102007Soleil Levant</v>
          </cell>
          <cell r="U3391" t="str">
            <v>102007Soleil LevantScratch 1 000</v>
          </cell>
          <cell r="V3391" t="str">
            <v>39384Scratch 1 000</v>
          </cell>
          <cell r="W3391" t="str">
            <v>2007Soleil Levant</v>
          </cell>
          <cell r="X3391" t="str">
            <v>2007Soleil LevantScratch 1 000</v>
          </cell>
        </row>
        <row r="3392">
          <cell r="I3392">
            <v>2007</v>
          </cell>
          <cell r="J3392" t="str">
            <v>STS GAMBY &amp; FRERES (SOGAF) SarlScratch 5 000</v>
          </cell>
          <cell r="L3392">
            <v>1</v>
          </cell>
          <cell r="M3392" t="str">
            <v>1STS GAMBY &amp; FRERES (SOGAF) Sarl</v>
          </cell>
          <cell r="N3392" t="str">
            <v>STS GAMBY &amp; FRERES (SOGAF) SarlScratch 5 000</v>
          </cell>
          <cell r="O3392" t="str">
            <v>STS GAMBY &amp; FRERES (SOGAF) Sarl</v>
          </cell>
          <cell r="P3392" t="str">
            <v>Scratch 5 000</v>
          </cell>
          <cell r="Q3392" t="str">
            <v>102007</v>
          </cell>
          <cell r="R3392" t="str">
            <v>102007Scratch 5 000</v>
          </cell>
          <cell r="S3392" t="str">
            <v>2007Scratch 5 000</v>
          </cell>
          <cell r="T3392" t="str">
            <v>102007STS GAMBY &amp; FRERES (SOGAF) Sarl</v>
          </cell>
          <cell r="U3392" t="str">
            <v>102007STS GAMBY &amp; FRERES (SOGAF) SarlScratch 5 000</v>
          </cell>
          <cell r="V3392" t="str">
            <v>39384Scratch 5 000</v>
          </cell>
          <cell r="W3392" t="str">
            <v>2007STS GAMBY &amp; FRERES (SOGAF) Sarl</v>
          </cell>
          <cell r="X3392" t="str">
            <v>2007STS GAMBY &amp; FRERES (SOGAF) SarlScratch 5 000</v>
          </cell>
        </row>
        <row r="3393">
          <cell r="I3393">
            <v>2007</v>
          </cell>
          <cell r="J3393" t="str">
            <v>STS GAMBY &amp; FRERES (SOGAF) SarlScratch 2 000</v>
          </cell>
          <cell r="L3393">
            <v>0</v>
          </cell>
          <cell r="M3393" t="str">
            <v>STS GAMBY &amp; FRERES (SOGAF) Sarl</v>
          </cell>
          <cell r="N3393" t="str">
            <v>STS GAMBY &amp; FRERES (SOGAF) SarlScratch 2 000</v>
          </cell>
          <cell r="O3393" t="str">
            <v>STS GAMBY &amp; FRERES (SOGAF) Sarl</v>
          </cell>
          <cell r="P3393" t="str">
            <v>Scratch 2 000</v>
          </cell>
          <cell r="Q3393" t="str">
            <v>102007</v>
          </cell>
          <cell r="R3393" t="str">
            <v>102007Scratch 2 000</v>
          </cell>
          <cell r="S3393" t="str">
            <v>2007Scratch 2 000</v>
          </cell>
          <cell r="T3393" t="str">
            <v>102007STS GAMBY &amp; FRERES (SOGAF) Sarl</v>
          </cell>
          <cell r="U3393" t="str">
            <v>102007STS GAMBY &amp; FRERES (SOGAF) SarlScratch 2 000</v>
          </cell>
          <cell r="V3393" t="str">
            <v>39384Scratch 2 000</v>
          </cell>
          <cell r="W3393" t="str">
            <v>2007STS GAMBY &amp; FRERES (SOGAF) Sarl</v>
          </cell>
          <cell r="X3393" t="str">
            <v>2007STS GAMBY &amp; FRERES (SOGAF) SarlScratch 2 000</v>
          </cell>
        </row>
        <row r="3394">
          <cell r="I3394">
            <v>2007</v>
          </cell>
          <cell r="J3394" t="str">
            <v>STS GAMBY &amp; FRERES (SOGAF) SarlScratch 1 000</v>
          </cell>
          <cell r="L3394">
            <v>0</v>
          </cell>
          <cell r="M3394" t="str">
            <v>STS GAMBY &amp; FRERES (SOGAF) Sarl</v>
          </cell>
          <cell r="N3394" t="str">
            <v>STS GAMBY &amp; FRERES (SOGAF) SarlScratch 1 000</v>
          </cell>
          <cell r="O3394" t="str">
            <v>STS GAMBY &amp; FRERES (SOGAF) Sarl</v>
          </cell>
          <cell r="P3394" t="str">
            <v>Scratch 1 000</v>
          </cell>
          <cell r="Q3394" t="str">
            <v>102007</v>
          </cell>
          <cell r="R3394" t="str">
            <v>102007Scratch 1 000</v>
          </cell>
          <cell r="S3394" t="str">
            <v>2007Scratch 1 000</v>
          </cell>
          <cell r="T3394" t="str">
            <v>102007STS GAMBY &amp; FRERES (SOGAF) Sarl</v>
          </cell>
          <cell r="U3394" t="str">
            <v>102007STS GAMBY &amp; FRERES (SOGAF) SarlScratch 1 000</v>
          </cell>
          <cell r="V3394" t="str">
            <v>39384Scratch 1 000</v>
          </cell>
          <cell r="W3394" t="str">
            <v>2007STS GAMBY &amp; FRERES (SOGAF) Sarl</v>
          </cell>
          <cell r="X3394" t="str">
            <v>2007STS GAMBY &amp; FRERES (SOGAF) SarlScratch 1 000</v>
          </cell>
        </row>
        <row r="3395">
          <cell r="I3395">
            <v>2007</v>
          </cell>
          <cell r="J3395" t="str">
            <v>Compagnie Internationale de NegoceScratch 5 000</v>
          </cell>
          <cell r="L3395">
            <v>1</v>
          </cell>
          <cell r="M3395" t="str">
            <v>1Compagnie Internationale de Negoce</v>
          </cell>
          <cell r="N3395" t="str">
            <v>Compagnie Internationale de NegoceScratch 5 000</v>
          </cell>
          <cell r="O3395" t="str">
            <v>Compagnie Internationale de Negoce</v>
          </cell>
          <cell r="P3395" t="str">
            <v>Scratch 5 000</v>
          </cell>
          <cell r="Q3395" t="str">
            <v>102007</v>
          </cell>
          <cell r="R3395" t="str">
            <v>102007Scratch 5 000</v>
          </cell>
          <cell r="S3395" t="str">
            <v>2007Scratch 5 000</v>
          </cell>
          <cell r="T3395" t="str">
            <v>102007Compagnie Internationale de Negoce</v>
          </cell>
          <cell r="U3395" t="str">
            <v>102007Compagnie Internationale de NegoceScratch 5 000</v>
          </cell>
          <cell r="V3395" t="str">
            <v>39384Scratch 5 000</v>
          </cell>
          <cell r="W3395" t="str">
            <v>2007Compagnie Internationale de Negoce</v>
          </cell>
          <cell r="X3395" t="str">
            <v>2007Compagnie Internationale de NegoceScratch 5 000</v>
          </cell>
        </row>
        <row r="3396">
          <cell r="I3396">
            <v>2007</v>
          </cell>
          <cell r="J3396" t="str">
            <v>Compagnie Internationale de NegoceScratch 2 000</v>
          </cell>
          <cell r="L3396">
            <v>0</v>
          </cell>
          <cell r="M3396" t="str">
            <v>Compagnie Internationale de Negoce</v>
          </cell>
          <cell r="N3396" t="str">
            <v>Compagnie Internationale de NegoceScratch 2 000</v>
          </cell>
          <cell r="O3396" t="str">
            <v>Compagnie Internationale de Negoce</v>
          </cell>
          <cell r="P3396" t="str">
            <v>Scratch 2 000</v>
          </cell>
          <cell r="Q3396" t="str">
            <v>102007</v>
          </cell>
          <cell r="R3396" t="str">
            <v>102007Scratch 2 000</v>
          </cell>
          <cell r="S3396" t="str">
            <v>2007Scratch 2 000</v>
          </cell>
          <cell r="T3396" t="str">
            <v>102007Compagnie Internationale de Negoce</v>
          </cell>
          <cell r="U3396" t="str">
            <v>102007Compagnie Internationale de NegoceScratch 2 000</v>
          </cell>
          <cell r="V3396" t="str">
            <v>39384Scratch 2 000</v>
          </cell>
          <cell r="W3396" t="str">
            <v>2007Compagnie Internationale de Negoce</v>
          </cell>
          <cell r="X3396" t="str">
            <v>2007Compagnie Internationale de NegoceScratch 2 000</v>
          </cell>
        </row>
        <row r="3397">
          <cell r="I3397">
            <v>2007</v>
          </cell>
          <cell r="J3397" t="str">
            <v>Compagnie Internationale de NegoceScratch 1 000</v>
          </cell>
          <cell r="L3397">
            <v>0</v>
          </cell>
          <cell r="M3397" t="str">
            <v>Compagnie Internationale de Negoce</v>
          </cell>
          <cell r="N3397" t="str">
            <v>Compagnie Internationale de NegoceScratch 1 000</v>
          </cell>
          <cell r="O3397" t="str">
            <v>Compagnie Internationale de Negoce</v>
          </cell>
          <cell r="P3397" t="str">
            <v>Scratch 1 000</v>
          </cell>
          <cell r="Q3397" t="str">
            <v>102007</v>
          </cell>
          <cell r="R3397" t="str">
            <v>102007Scratch 1 000</v>
          </cell>
          <cell r="S3397" t="str">
            <v>2007Scratch 1 000</v>
          </cell>
          <cell r="T3397" t="str">
            <v>102007Compagnie Internationale de Negoce</v>
          </cell>
          <cell r="U3397" t="str">
            <v>102007Compagnie Internationale de NegoceScratch 1 000</v>
          </cell>
          <cell r="V3397" t="str">
            <v>39384Scratch 1 000</v>
          </cell>
          <cell r="W3397" t="str">
            <v>2007Compagnie Internationale de Negoce</v>
          </cell>
          <cell r="X3397" t="str">
            <v>2007Compagnie Internationale de NegoceScratch 1 000</v>
          </cell>
        </row>
        <row r="3398">
          <cell r="I3398">
            <v>2007</v>
          </cell>
          <cell r="J3398" t="str">
            <v>Burtel MacsymScratch 10 000</v>
          </cell>
          <cell r="L3398">
            <v>1</v>
          </cell>
          <cell r="M3398" t="str">
            <v>1Burtel Macsym</v>
          </cell>
          <cell r="N3398" t="str">
            <v>Burtel MacsymScratch 10 000</v>
          </cell>
          <cell r="O3398" t="str">
            <v>Burtel Macsym</v>
          </cell>
          <cell r="P3398" t="str">
            <v>Scratch 10 000</v>
          </cell>
          <cell r="Q3398" t="str">
            <v>102007</v>
          </cell>
          <cell r="R3398" t="str">
            <v>102007Scratch 10 000</v>
          </cell>
          <cell r="S3398" t="str">
            <v>2007Scratch 10 000</v>
          </cell>
          <cell r="T3398" t="str">
            <v>102007Burtel Macsym</v>
          </cell>
          <cell r="U3398" t="str">
            <v>102007Burtel MacsymScratch 10 000</v>
          </cell>
          <cell r="V3398" t="str">
            <v>39384Scratch 10 000</v>
          </cell>
          <cell r="W3398" t="str">
            <v>2007Burtel Macsym</v>
          </cell>
          <cell r="X3398" t="str">
            <v>2007Burtel MacsymScratch 10 000</v>
          </cell>
        </row>
        <row r="3399">
          <cell r="I3399">
            <v>2007</v>
          </cell>
          <cell r="J3399" t="str">
            <v>Burtel MacsymScratch 5 000</v>
          </cell>
          <cell r="L3399">
            <v>0</v>
          </cell>
          <cell r="M3399" t="str">
            <v>Burtel Macsym</v>
          </cell>
          <cell r="N3399" t="str">
            <v>Burtel MacsymScratch 5 000</v>
          </cell>
          <cell r="O3399" t="str">
            <v>Burtel Macsym</v>
          </cell>
          <cell r="P3399" t="str">
            <v>Scratch 5 000</v>
          </cell>
          <cell r="Q3399" t="str">
            <v>102007</v>
          </cell>
          <cell r="R3399" t="str">
            <v>102007Scratch 5 000</v>
          </cell>
          <cell r="S3399" t="str">
            <v>2007Scratch 5 000</v>
          </cell>
          <cell r="T3399" t="str">
            <v>102007Burtel Macsym</v>
          </cell>
          <cell r="U3399" t="str">
            <v>102007Burtel MacsymScratch 5 000</v>
          </cell>
          <cell r="V3399" t="str">
            <v>39384Scratch 5 000</v>
          </cell>
          <cell r="W3399" t="str">
            <v>2007Burtel Macsym</v>
          </cell>
          <cell r="X3399" t="str">
            <v>2007Burtel MacsymScratch 5 000</v>
          </cell>
        </row>
        <row r="3400">
          <cell r="I3400">
            <v>2007</v>
          </cell>
          <cell r="J3400" t="str">
            <v>Burtel MacsymScratch 2 000</v>
          </cell>
          <cell r="L3400">
            <v>0</v>
          </cell>
          <cell r="M3400" t="str">
            <v>Burtel Macsym</v>
          </cell>
          <cell r="N3400" t="str">
            <v>Burtel MacsymScratch 2 000</v>
          </cell>
          <cell r="O3400" t="str">
            <v>Burtel Macsym</v>
          </cell>
          <cell r="P3400" t="str">
            <v>Scratch 2 000</v>
          </cell>
          <cell r="Q3400" t="str">
            <v>102007</v>
          </cell>
          <cell r="R3400" t="str">
            <v>102007Scratch 2 000</v>
          </cell>
          <cell r="S3400" t="str">
            <v>2007Scratch 2 000</v>
          </cell>
          <cell r="T3400" t="str">
            <v>102007Burtel Macsym</v>
          </cell>
          <cell r="U3400" t="str">
            <v>102007Burtel MacsymScratch 2 000</v>
          </cell>
          <cell r="V3400" t="str">
            <v>39384Scratch 2 000</v>
          </cell>
          <cell r="W3400" t="str">
            <v>2007Burtel Macsym</v>
          </cell>
          <cell r="X3400" t="str">
            <v>2007Burtel MacsymScratch 2 000</v>
          </cell>
        </row>
        <row r="3401">
          <cell r="I3401">
            <v>2007</v>
          </cell>
          <cell r="J3401" t="str">
            <v>Burtel MacsymScratch 1 000</v>
          </cell>
          <cell r="L3401">
            <v>0</v>
          </cell>
          <cell r="M3401" t="str">
            <v>Burtel Macsym</v>
          </cell>
          <cell r="N3401" t="str">
            <v>Burtel MacsymScratch 1 000</v>
          </cell>
          <cell r="O3401" t="str">
            <v>Burtel Macsym</v>
          </cell>
          <cell r="P3401" t="str">
            <v>Scratch 1 000</v>
          </cell>
          <cell r="Q3401" t="str">
            <v>102007</v>
          </cell>
          <cell r="R3401" t="str">
            <v>102007Scratch 1 000</v>
          </cell>
          <cell r="S3401" t="str">
            <v>2007Scratch 1 000</v>
          </cell>
          <cell r="T3401" t="str">
            <v>102007Burtel Macsym</v>
          </cell>
          <cell r="U3401" t="str">
            <v>102007Burtel MacsymScratch 1 000</v>
          </cell>
          <cell r="V3401" t="str">
            <v>39384Scratch 1 000</v>
          </cell>
          <cell r="W3401" t="str">
            <v>2007Burtel Macsym</v>
          </cell>
          <cell r="X3401" t="str">
            <v>2007Burtel MacsymScratch 1 000</v>
          </cell>
        </row>
        <row r="3402">
          <cell r="I3402">
            <v>2007</v>
          </cell>
          <cell r="J3402" t="str">
            <v>ANKA SERVICESScratch 5 000</v>
          </cell>
          <cell r="L3402">
            <v>1</v>
          </cell>
          <cell r="M3402" t="str">
            <v>1ANKA SERVICES</v>
          </cell>
          <cell r="N3402" t="str">
            <v>ANKA SERVICESScratch 5 000</v>
          </cell>
          <cell r="O3402" t="str">
            <v>ANKA SERVICES</v>
          </cell>
          <cell r="P3402" t="str">
            <v>Scratch 5 000</v>
          </cell>
          <cell r="Q3402" t="str">
            <v>102007</v>
          </cell>
          <cell r="R3402" t="str">
            <v>102007Scratch 5 000</v>
          </cell>
          <cell r="S3402" t="str">
            <v>2007Scratch 5 000</v>
          </cell>
          <cell r="T3402" t="str">
            <v>102007ANKA SERVICES</v>
          </cell>
          <cell r="U3402" t="str">
            <v>102007ANKA SERVICESScratch 5 000</v>
          </cell>
          <cell r="V3402" t="str">
            <v>39384Scratch 5 000</v>
          </cell>
          <cell r="W3402" t="str">
            <v>2007ANKA SERVICES</v>
          </cell>
          <cell r="X3402" t="str">
            <v>2007ANKA SERVICESScratch 5 000</v>
          </cell>
        </row>
        <row r="3403">
          <cell r="I3403">
            <v>2007</v>
          </cell>
          <cell r="J3403" t="str">
            <v>ANKA SERVICESScratch 2 000</v>
          </cell>
          <cell r="L3403">
            <v>0</v>
          </cell>
          <cell r="M3403" t="str">
            <v>ANKA SERVICES</v>
          </cell>
          <cell r="N3403" t="str">
            <v>ANKA SERVICESScratch 2 000</v>
          </cell>
          <cell r="O3403" t="str">
            <v>ANKA SERVICES</v>
          </cell>
          <cell r="P3403" t="str">
            <v>Scratch 2 000</v>
          </cell>
          <cell r="Q3403" t="str">
            <v>102007</v>
          </cell>
          <cell r="R3403" t="str">
            <v>102007Scratch 2 000</v>
          </cell>
          <cell r="S3403" t="str">
            <v>2007Scratch 2 000</v>
          </cell>
          <cell r="T3403" t="str">
            <v>102007ANKA SERVICES</v>
          </cell>
          <cell r="U3403" t="str">
            <v>102007ANKA SERVICESScratch 2 000</v>
          </cell>
          <cell r="V3403" t="str">
            <v>39384Scratch 2 000</v>
          </cell>
          <cell r="W3403" t="str">
            <v>2007ANKA SERVICES</v>
          </cell>
          <cell r="X3403" t="str">
            <v>2007ANKA SERVICESScratch 2 000</v>
          </cell>
        </row>
        <row r="3404">
          <cell r="I3404">
            <v>2007</v>
          </cell>
          <cell r="J3404" t="str">
            <v>ANKA SERVICESScratch 1 000</v>
          </cell>
          <cell r="L3404">
            <v>0</v>
          </cell>
          <cell r="M3404" t="str">
            <v>ANKA SERVICES</v>
          </cell>
          <cell r="N3404" t="str">
            <v>ANKA SERVICESScratch 1 000</v>
          </cell>
          <cell r="O3404" t="str">
            <v>ANKA SERVICES</v>
          </cell>
          <cell r="P3404" t="str">
            <v>Scratch 1 000</v>
          </cell>
          <cell r="Q3404" t="str">
            <v>102007</v>
          </cell>
          <cell r="R3404" t="str">
            <v>102007Scratch 1 000</v>
          </cell>
          <cell r="S3404" t="str">
            <v>2007Scratch 1 000</v>
          </cell>
          <cell r="T3404" t="str">
            <v>102007ANKA SERVICES</v>
          </cell>
          <cell r="U3404" t="str">
            <v>102007ANKA SERVICESScratch 1 000</v>
          </cell>
          <cell r="V3404" t="str">
            <v>39384Scratch 1 000</v>
          </cell>
          <cell r="W3404" t="str">
            <v>2007ANKA SERVICES</v>
          </cell>
          <cell r="X3404" t="str">
            <v>2007ANKA SERVICESScratch 1 000</v>
          </cell>
        </row>
        <row r="3405">
          <cell r="I3405">
            <v>2007</v>
          </cell>
          <cell r="J3405" t="str">
            <v>MALI COM SarlScratch 5 000</v>
          </cell>
          <cell r="L3405">
            <v>1</v>
          </cell>
          <cell r="M3405" t="str">
            <v>1MALI COM Sarl</v>
          </cell>
          <cell r="N3405" t="str">
            <v>MALI COM SarlScratch 5 000</v>
          </cell>
          <cell r="O3405" t="str">
            <v>MALI COM Sarl</v>
          </cell>
          <cell r="P3405" t="str">
            <v>Scratch 5 000</v>
          </cell>
          <cell r="Q3405" t="str">
            <v>102007</v>
          </cell>
          <cell r="R3405" t="str">
            <v>102007Scratch 5 000</v>
          </cell>
          <cell r="S3405" t="str">
            <v>2007Scratch 5 000</v>
          </cell>
          <cell r="T3405" t="str">
            <v>102007MALI COM Sarl</v>
          </cell>
          <cell r="U3405" t="str">
            <v>102007MALI COM SarlScratch 5 000</v>
          </cell>
          <cell r="V3405" t="str">
            <v>39384Scratch 5 000</v>
          </cell>
          <cell r="W3405" t="str">
            <v>2007MALI COM Sarl</v>
          </cell>
          <cell r="X3405" t="str">
            <v>2007MALI COM SarlScratch 5 000</v>
          </cell>
        </row>
        <row r="3406">
          <cell r="I3406">
            <v>2007</v>
          </cell>
          <cell r="J3406" t="str">
            <v>MALI COM SarlScratch 2 000</v>
          </cell>
          <cell r="L3406">
            <v>0</v>
          </cell>
          <cell r="M3406" t="str">
            <v>MALI COM Sarl</v>
          </cell>
          <cell r="N3406" t="str">
            <v>MALI COM SarlScratch 2 000</v>
          </cell>
          <cell r="O3406" t="str">
            <v>MALI COM Sarl</v>
          </cell>
          <cell r="P3406" t="str">
            <v>Scratch 2 000</v>
          </cell>
          <cell r="Q3406" t="str">
            <v>102007</v>
          </cell>
          <cell r="R3406" t="str">
            <v>102007Scratch 2 000</v>
          </cell>
          <cell r="S3406" t="str">
            <v>2007Scratch 2 000</v>
          </cell>
          <cell r="T3406" t="str">
            <v>102007MALI COM Sarl</v>
          </cell>
          <cell r="U3406" t="str">
            <v>102007MALI COM SarlScratch 2 000</v>
          </cell>
          <cell r="V3406" t="str">
            <v>39384Scratch 2 000</v>
          </cell>
          <cell r="W3406" t="str">
            <v>2007MALI COM Sarl</v>
          </cell>
          <cell r="X3406" t="str">
            <v>2007MALI COM SarlScratch 2 000</v>
          </cell>
        </row>
        <row r="3407">
          <cell r="I3407">
            <v>2007</v>
          </cell>
          <cell r="J3407" t="str">
            <v>MALI COM SarlScratch 1 000</v>
          </cell>
          <cell r="L3407">
            <v>0</v>
          </cell>
          <cell r="M3407" t="str">
            <v>MALI COM Sarl</v>
          </cell>
          <cell r="N3407" t="str">
            <v>MALI COM SarlScratch 1 000</v>
          </cell>
          <cell r="O3407" t="str">
            <v>MALI COM Sarl</v>
          </cell>
          <cell r="P3407" t="str">
            <v>Scratch 1 000</v>
          </cell>
          <cell r="Q3407" t="str">
            <v>102007</v>
          </cell>
          <cell r="R3407" t="str">
            <v>102007Scratch 1 000</v>
          </cell>
          <cell r="S3407" t="str">
            <v>2007Scratch 1 000</v>
          </cell>
          <cell r="T3407" t="str">
            <v>102007MALI COM Sarl</v>
          </cell>
          <cell r="U3407" t="str">
            <v>102007MALI COM SarlScratch 1 000</v>
          </cell>
          <cell r="V3407" t="str">
            <v>39384Scratch 1 000</v>
          </cell>
          <cell r="W3407" t="str">
            <v>2007MALI COM Sarl</v>
          </cell>
          <cell r="X3407" t="str">
            <v>2007MALI COM SarlScratch 1 000</v>
          </cell>
        </row>
        <row r="3408">
          <cell r="I3408">
            <v>2007</v>
          </cell>
          <cell r="J3408" t="str">
            <v>Bonneterie Nouvelle TelecomScratch 10 000</v>
          </cell>
          <cell r="L3408">
            <v>1</v>
          </cell>
          <cell r="M3408" t="str">
            <v>1Bonneterie Nouvelle Telecom</v>
          </cell>
          <cell r="N3408" t="str">
            <v>Bonneterie Nouvelle TelecomScratch 10 000</v>
          </cell>
          <cell r="O3408" t="str">
            <v>Bonneterie Nouvelle Telecom</v>
          </cell>
          <cell r="P3408" t="str">
            <v>Scratch 10 000</v>
          </cell>
          <cell r="Q3408" t="str">
            <v>102007</v>
          </cell>
          <cell r="R3408" t="str">
            <v>102007Scratch 10 000</v>
          </cell>
          <cell r="S3408" t="str">
            <v>2007Scratch 10 000</v>
          </cell>
          <cell r="T3408" t="str">
            <v>102007Bonneterie Nouvelle Telecom</v>
          </cell>
          <cell r="U3408" t="str">
            <v>102007Bonneterie Nouvelle TelecomScratch 10 000</v>
          </cell>
          <cell r="V3408" t="str">
            <v>39384Scratch 10 000</v>
          </cell>
          <cell r="W3408" t="str">
            <v>2007Bonneterie Nouvelle Telecom</v>
          </cell>
          <cell r="X3408" t="str">
            <v>2007Bonneterie Nouvelle TelecomScratch 10 000</v>
          </cell>
        </row>
        <row r="3409">
          <cell r="I3409">
            <v>2007</v>
          </cell>
          <cell r="J3409" t="str">
            <v>Bonneterie Nouvelle TelecomScratch 5 000</v>
          </cell>
          <cell r="L3409">
            <v>0</v>
          </cell>
          <cell r="M3409" t="str">
            <v>Bonneterie Nouvelle Telecom</v>
          </cell>
          <cell r="N3409" t="str">
            <v>Bonneterie Nouvelle TelecomScratch 5 000</v>
          </cell>
          <cell r="O3409" t="str">
            <v>Bonneterie Nouvelle Telecom</v>
          </cell>
          <cell r="P3409" t="str">
            <v>Scratch 5 000</v>
          </cell>
          <cell r="Q3409" t="str">
            <v>102007</v>
          </cell>
          <cell r="R3409" t="str">
            <v>102007Scratch 5 000</v>
          </cell>
          <cell r="S3409" t="str">
            <v>2007Scratch 5 000</v>
          </cell>
          <cell r="T3409" t="str">
            <v>102007Bonneterie Nouvelle Telecom</v>
          </cell>
          <cell r="U3409" t="str">
            <v>102007Bonneterie Nouvelle TelecomScratch 5 000</v>
          </cell>
          <cell r="V3409" t="str">
            <v>39384Scratch 5 000</v>
          </cell>
          <cell r="W3409" t="str">
            <v>2007Bonneterie Nouvelle Telecom</v>
          </cell>
          <cell r="X3409" t="str">
            <v>2007Bonneterie Nouvelle TelecomScratch 5 000</v>
          </cell>
        </row>
        <row r="3410">
          <cell r="I3410">
            <v>2007</v>
          </cell>
          <cell r="J3410" t="str">
            <v>Bonneterie Nouvelle TelecomScratch 2 000</v>
          </cell>
          <cell r="L3410">
            <v>0</v>
          </cell>
          <cell r="M3410" t="str">
            <v>Bonneterie Nouvelle Telecom</v>
          </cell>
          <cell r="N3410" t="str">
            <v>Bonneterie Nouvelle TelecomScratch 2 000</v>
          </cell>
          <cell r="O3410" t="str">
            <v>Bonneterie Nouvelle Telecom</v>
          </cell>
          <cell r="P3410" t="str">
            <v>Scratch 2 000</v>
          </cell>
          <cell r="Q3410" t="str">
            <v>102007</v>
          </cell>
          <cell r="R3410" t="str">
            <v>102007Scratch 2 000</v>
          </cell>
          <cell r="S3410" t="str">
            <v>2007Scratch 2 000</v>
          </cell>
          <cell r="T3410" t="str">
            <v>102007Bonneterie Nouvelle Telecom</v>
          </cell>
          <cell r="U3410" t="str">
            <v>102007Bonneterie Nouvelle TelecomScratch 2 000</v>
          </cell>
          <cell r="V3410" t="str">
            <v>39384Scratch 2 000</v>
          </cell>
          <cell r="W3410" t="str">
            <v>2007Bonneterie Nouvelle Telecom</v>
          </cell>
          <cell r="X3410" t="str">
            <v>2007Bonneterie Nouvelle TelecomScratch 2 000</v>
          </cell>
        </row>
        <row r="3411">
          <cell r="I3411">
            <v>2007</v>
          </cell>
          <cell r="J3411" t="str">
            <v>Bonneterie Nouvelle TelecomScratch 1 000</v>
          </cell>
          <cell r="L3411">
            <v>0</v>
          </cell>
          <cell r="M3411" t="str">
            <v>Bonneterie Nouvelle Telecom</v>
          </cell>
          <cell r="N3411" t="str">
            <v>Bonneterie Nouvelle TelecomScratch 1 000</v>
          </cell>
          <cell r="O3411" t="str">
            <v>Bonneterie Nouvelle Telecom</v>
          </cell>
          <cell r="P3411" t="str">
            <v>Scratch 1 000</v>
          </cell>
          <cell r="Q3411" t="str">
            <v>102007</v>
          </cell>
          <cell r="R3411" t="str">
            <v>102007Scratch 1 000</v>
          </cell>
          <cell r="S3411" t="str">
            <v>2007Scratch 1 000</v>
          </cell>
          <cell r="T3411" t="str">
            <v>102007Bonneterie Nouvelle Telecom</v>
          </cell>
          <cell r="U3411" t="str">
            <v>102007Bonneterie Nouvelle TelecomScratch 1 000</v>
          </cell>
          <cell r="V3411" t="str">
            <v>39384Scratch 1 000</v>
          </cell>
          <cell r="W3411" t="str">
            <v>2007Bonneterie Nouvelle Telecom</v>
          </cell>
          <cell r="X3411" t="str">
            <v>2007Bonneterie Nouvelle TelecomScratch 1 000</v>
          </cell>
        </row>
        <row r="3412">
          <cell r="I3412">
            <v>2007</v>
          </cell>
          <cell r="J3412" t="str">
            <v>SOMAKOFFScratch 2 000</v>
          </cell>
          <cell r="L3412">
            <v>1</v>
          </cell>
          <cell r="M3412" t="str">
            <v>1SOMAKOFF</v>
          </cell>
          <cell r="N3412" t="str">
            <v>SOMAKOFFScratch 2 000</v>
          </cell>
          <cell r="O3412" t="str">
            <v>SOMAKOFF</v>
          </cell>
          <cell r="P3412" t="str">
            <v>Scratch 2 000</v>
          </cell>
          <cell r="Q3412" t="str">
            <v>102007</v>
          </cell>
          <cell r="R3412" t="str">
            <v>102007Scratch 2 000</v>
          </cell>
          <cell r="S3412" t="str">
            <v>2007Scratch 2 000</v>
          </cell>
          <cell r="T3412" t="str">
            <v>102007SOMAKOFF</v>
          </cell>
          <cell r="U3412" t="str">
            <v>102007SOMAKOFFScratch 2 000</v>
          </cell>
          <cell r="V3412" t="str">
            <v>39384Scratch 2 000</v>
          </cell>
          <cell r="W3412" t="str">
            <v>2007SOMAKOFF</v>
          </cell>
          <cell r="X3412" t="str">
            <v>2007SOMAKOFFScratch 2 000</v>
          </cell>
        </row>
        <row r="3413">
          <cell r="I3413">
            <v>2007</v>
          </cell>
          <cell r="J3413" t="str">
            <v>SOMAKOFFScratch 1 000</v>
          </cell>
          <cell r="L3413">
            <v>0</v>
          </cell>
          <cell r="M3413" t="str">
            <v>SOMAKOFF</v>
          </cell>
          <cell r="N3413" t="str">
            <v>SOMAKOFFScratch 1 000</v>
          </cell>
          <cell r="O3413" t="str">
            <v>SOMAKOFF</v>
          </cell>
          <cell r="P3413" t="str">
            <v>Scratch 1 000</v>
          </cell>
          <cell r="Q3413" t="str">
            <v>102007</v>
          </cell>
          <cell r="R3413" t="str">
            <v>102007Scratch 1 000</v>
          </cell>
          <cell r="S3413" t="str">
            <v>2007Scratch 1 000</v>
          </cell>
          <cell r="T3413" t="str">
            <v>102007SOMAKOFF</v>
          </cell>
          <cell r="U3413" t="str">
            <v>102007SOMAKOFFScratch 1 000</v>
          </cell>
          <cell r="V3413" t="str">
            <v>39384Scratch 1 000</v>
          </cell>
          <cell r="W3413" t="str">
            <v>2007SOMAKOFF</v>
          </cell>
          <cell r="X3413" t="str">
            <v>2007SOMAKOFFScratch 1 000</v>
          </cell>
        </row>
        <row r="3414">
          <cell r="I3414">
            <v>2007</v>
          </cell>
          <cell r="J3414" t="str">
            <v>Burtel MacsymScratch 5 000</v>
          </cell>
          <cell r="L3414">
            <v>1</v>
          </cell>
          <cell r="M3414" t="str">
            <v>1Burtel Macsym</v>
          </cell>
          <cell r="N3414" t="str">
            <v>Burtel MacsymScratch 5 000</v>
          </cell>
          <cell r="O3414" t="str">
            <v>Burtel Macsym</v>
          </cell>
          <cell r="P3414" t="str">
            <v>Scratch 5 000</v>
          </cell>
          <cell r="Q3414" t="str">
            <v>102007</v>
          </cell>
          <cell r="R3414" t="str">
            <v>102007Scratch 5 000</v>
          </cell>
          <cell r="S3414" t="str">
            <v>2007Scratch 5 000</v>
          </cell>
          <cell r="T3414" t="str">
            <v>102007Burtel Macsym</v>
          </cell>
          <cell r="U3414" t="str">
            <v>102007Burtel MacsymScratch 5 000</v>
          </cell>
          <cell r="V3414" t="str">
            <v>39384Scratch 5 000</v>
          </cell>
          <cell r="W3414" t="str">
            <v>2007Burtel Macsym</v>
          </cell>
          <cell r="X3414" t="str">
            <v>2007Burtel MacsymScratch 5 000</v>
          </cell>
        </row>
        <row r="3415">
          <cell r="I3415">
            <v>2007</v>
          </cell>
          <cell r="J3415" t="str">
            <v>Burtel MacsymScratch 2 000</v>
          </cell>
          <cell r="L3415">
            <v>0</v>
          </cell>
          <cell r="M3415" t="str">
            <v>Burtel Macsym</v>
          </cell>
          <cell r="N3415" t="str">
            <v>Burtel MacsymScratch 2 000</v>
          </cell>
          <cell r="O3415" t="str">
            <v>Burtel Macsym</v>
          </cell>
          <cell r="P3415" t="str">
            <v>Scratch 2 000</v>
          </cell>
          <cell r="Q3415" t="str">
            <v>102007</v>
          </cell>
          <cell r="R3415" t="str">
            <v>102007Scratch 2 000</v>
          </cell>
          <cell r="S3415" t="str">
            <v>2007Scratch 2 000</v>
          </cell>
          <cell r="T3415" t="str">
            <v>102007Burtel Macsym</v>
          </cell>
          <cell r="U3415" t="str">
            <v>102007Burtel MacsymScratch 2 000</v>
          </cell>
          <cell r="V3415" t="str">
            <v>39384Scratch 2 000</v>
          </cell>
          <cell r="W3415" t="str">
            <v>2007Burtel Macsym</v>
          </cell>
          <cell r="X3415" t="str">
            <v>2007Burtel MacsymScratch 2 000</v>
          </cell>
        </row>
        <row r="3416">
          <cell r="I3416">
            <v>2007</v>
          </cell>
          <cell r="J3416" t="str">
            <v>Burtel MacsymScratch 1 000</v>
          </cell>
          <cell r="L3416">
            <v>0</v>
          </cell>
          <cell r="M3416" t="str">
            <v>Burtel Macsym</v>
          </cell>
          <cell r="N3416" t="str">
            <v>Burtel MacsymScratch 1 000</v>
          </cell>
          <cell r="O3416" t="str">
            <v>Burtel Macsym</v>
          </cell>
          <cell r="P3416" t="str">
            <v>Scratch 1 000</v>
          </cell>
          <cell r="Q3416" t="str">
            <v>102007</v>
          </cell>
          <cell r="R3416" t="str">
            <v>102007Scratch 1 000</v>
          </cell>
          <cell r="S3416" t="str">
            <v>2007Scratch 1 000</v>
          </cell>
          <cell r="T3416" t="str">
            <v>102007Burtel Macsym</v>
          </cell>
          <cell r="U3416" t="str">
            <v>102007Burtel MacsymScratch 1 000</v>
          </cell>
          <cell r="V3416" t="str">
            <v>39384Scratch 1 000</v>
          </cell>
          <cell r="W3416" t="str">
            <v>2007Burtel Macsym</v>
          </cell>
          <cell r="X3416" t="str">
            <v>2007Burtel MacsymScratch 1 000</v>
          </cell>
        </row>
        <row r="3417">
          <cell r="I3417">
            <v>2007</v>
          </cell>
          <cell r="J3417" t="str">
            <v>Grands ComptesVGFU (TTC)</v>
          </cell>
          <cell r="L3417">
            <v>1</v>
          </cell>
          <cell r="M3417" t="str">
            <v>1Grands Comptes</v>
          </cell>
          <cell r="N3417" t="str">
            <v>Grands ComptesVGFU (TTC)</v>
          </cell>
          <cell r="O3417" t="str">
            <v>Grands Comptes</v>
          </cell>
          <cell r="P3417" t="str">
            <v>VGFU (TTC)</v>
          </cell>
          <cell r="Q3417" t="str">
            <v>102007</v>
          </cell>
          <cell r="R3417" t="str">
            <v>102007VGFU (TTC)</v>
          </cell>
          <cell r="S3417" t="str">
            <v>2007VGFU (TTC)</v>
          </cell>
          <cell r="T3417" t="str">
            <v>102007Grands Comptes</v>
          </cell>
          <cell r="U3417" t="str">
            <v>102007Grands ComptesVGFU (TTC)</v>
          </cell>
          <cell r="V3417" t="str">
            <v>39384VGFU (TTC)</v>
          </cell>
          <cell r="W3417" t="str">
            <v>2007Grands Comptes</v>
          </cell>
          <cell r="X3417" t="str">
            <v>2007Grands ComptesVGFU (TTC)</v>
          </cell>
        </row>
        <row r="3418">
          <cell r="I3418">
            <v>2007</v>
          </cell>
          <cell r="J3418" t="str">
            <v>CellNets MaliMinutes</v>
          </cell>
          <cell r="L3418">
            <v>1</v>
          </cell>
          <cell r="M3418" t="str">
            <v>1CellNets Mali</v>
          </cell>
          <cell r="N3418" t="str">
            <v>CellNets MaliMinutes</v>
          </cell>
          <cell r="O3418" t="str">
            <v>CellNets Mali</v>
          </cell>
          <cell r="P3418" t="str">
            <v>Minutes</v>
          </cell>
          <cell r="Q3418" t="str">
            <v>102007</v>
          </cell>
          <cell r="R3418" t="str">
            <v>102007Minutes</v>
          </cell>
          <cell r="S3418" t="str">
            <v>2007Minutes</v>
          </cell>
          <cell r="T3418" t="str">
            <v>102007CellNets Mali</v>
          </cell>
          <cell r="U3418" t="str">
            <v>102007CellNets MaliMinutes</v>
          </cell>
          <cell r="V3418" t="str">
            <v>39385Minutes</v>
          </cell>
          <cell r="W3418" t="str">
            <v>2007CellNets Mali</v>
          </cell>
          <cell r="X3418" t="str">
            <v>2007CellNets MaliMinutes</v>
          </cell>
        </row>
        <row r="3419">
          <cell r="I3419">
            <v>2007</v>
          </cell>
          <cell r="J3419" t="str">
            <v>Burtel MacsymScratch 20 000</v>
          </cell>
          <cell r="L3419">
            <v>1</v>
          </cell>
          <cell r="M3419" t="str">
            <v>1Burtel Macsym</v>
          </cell>
          <cell r="N3419" t="str">
            <v>Burtel MacsymScratch 20 000</v>
          </cell>
          <cell r="O3419" t="str">
            <v>Burtel Macsym</v>
          </cell>
          <cell r="P3419" t="str">
            <v>Scratch 20 000</v>
          </cell>
          <cell r="Q3419" t="str">
            <v>102007</v>
          </cell>
          <cell r="R3419" t="str">
            <v>102007Scratch 20 000</v>
          </cell>
          <cell r="S3419" t="str">
            <v>2007Scratch 20 000</v>
          </cell>
          <cell r="T3419" t="str">
            <v>102007Burtel Macsym</v>
          </cell>
          <cell r="U3419" t="str">
            <v>102007Burtel MacsymScratch 20 000</v>
          </cell>
          <cell r="V3419" t="str">
            <v>39385Scratch 20 000</v>
          </cell>
          <cell r="W3419" t="str">
            <v>2007Burtel Macsym</v>
          </cell>
          <cell r="X3419" t="str">
            <v>2007Burtel MacsymScratch 20 000</v>
          </cell>
        </row>
        <row r="3420">
          <cell r="I3420">
            <v>2007</v>
          </cell>
          <cell r="J3420" t="str">
            <v>Burtel MacsymScratch 5 000</v>
          </cell>
          <cell r="L3420">
            <v>0</v>
          </cell>
          <cell r="M3420" t="str">
            <v>Burtel Macsym</v>
          </cell>
          <cell r="N3420" t="str">
            <v>Burtel MacsymScratch 5 000</v>
          </cell>
          <cell r="O3420" t="str">
            <v>Burtel Macsym</v>
          </cell>
          <cell r="P3420" t="str">
            <v>Scratch 5 000</v>
          </cell>
          <cell r="Q3420" t="str">
            <v>102007</v>
          </cell>
          <cell r="R3420" t="str">
            <v>102007Scratch 5 000</v>
          </cell>
          <cell r="S3420" t="str">
            <v>2007Scratch 5 000</v>
          </cell>
          <cell r="T3420" t="str">
            <v>102007Burtel Macsym</v>
          </cell>
          <cell r="U3420" t="str">
            <v>102007Burtel MacsymScratch 5 000</v>
          </cell>
          <cell r="V3420" t="str">
            <v>39385Scratch 5 000</v>
          </cell>
          <cell r="W3420" t="str">
            <v>2007Burtel Macsym</v>
          </cell>
          <cell r="X3420" t="str">
            <v>2007Burtel MacsymScratch 5 000</v>
          </cell>
        </row>
        <row r="3421">
          <cell r="I3421">
            <v>2007</v>
          </cell>
          <cell r="J3421" t="str">
            <v>Burtel MacsymScratch 2 000</v>
          </cell>
          <cell r="L3421">
            <v>0</v>
          </cell>
          <cell r="M3421" t="str">
            <v>Burtel Macsym</v>
          </cell>
          <cell r="N3421" t="str">
            <v>Burtel MacsymScratch 2 000</v>
          </cell>
          <cell r="O3421" t="str">
            <v>Burtel Macsym</v>
          </cell>
          <cell r="P3421" t="str">
            <v>Scratch 2 000</v>
          </cell>
          <cell r="Q3421" t="str">
            <v>102007</v>
          </cell>
          <cell r="R3421" t="str">
            <v>102007Scratch 2 000</v>
          </cell>
          <cell r="S3421" t="str">
            <v>2007Scratch 2 000</v>
          </cell>
          <cell r="T3421" t="str">
            <v>102007Burtel Macsym</v>
          </cell>
          <cell r="U3421" t="str">
            <v>102007Burtel MacsymScratch 2 000</v>
          </cell>
          <cell r="V3421" t="str">
            <v>39385Scratch 2 000</v>
          </cell>
          <cell r="W3421" t="str">
            <v>2007Burtel Macsym</v>
          </cell>
          <cell r="X3421" t="str">
            <v>2007Burtel MacsymScratch 2 000</v>
          </cell>
        </row>
        <row r="3422">
          <cell r="I3422">
            <v>2007</v>
          </cell>
          <cell r="J3422" t="str">
            <v>Burtel MacsymScratch 1 000</v>
          </cell>
          <cell r="L3422">
            <v>0</v>
          </cell>
          <cell r="M3422" t="str">
            <v>Burtel Macsym</v>
          </cell>
          <cell r="N3422" t="str">
            <v>Burtel MacsymScratch 1 000</v>
          </cell>
          <cell r="O3422" t="str">
            <v>Burtel Macsym</v>
          </cell>
          <cell r="P3422" t="str">
            <v>Scratch 1 000</v>
          </cell>
          <cell r="Q3422" t="str">
            <v>102007</v>
          </cell>
          <cell r="R3422" t="str">
            <v>102007Scratch 1 000</v>
          </cell>
          <cell r="S3422" t="str">
            <v>2007Scratch 1 000</v>
          </cell>
          <cell r="T3422" t="str">
            <v>102007Burtel Macsym</v>
          </cell>
          <cell r="U3422" t="str">
            <v>102007Burtel MacsymScratch 1 000</v>
          </cell>
          <cell r="V3422" t="str">
            <v>39385Scratch 1 000</v>
          </cell>
          <cell r="W3422" t="str">
            <v>2007Burtel Macsym</v>
          </cell>
          <cell r="X3422" t="str">
            <v>2007Burtel MacsymScratch 1 000</v>
          </cell>
        </row>
        <row r="3423">
          <cell r="I3423">
            <v>2007</v>
          </cell>
          <cell r="J3423" t="str">
            <v>STS GAMBY &amp; FRERES (SOGAF) SarlScratch 5 000</v>
          </cell>
          <cell r="L3423">
            <v>1</v>
          </cell>
          <cell r="M3423" t="str">
            <v>1STS GAMBY &amp; FRERES (SOGAF) Sarl</v>
          </cell>
          <cell r="N3423" t="str">
            <v>STS GAMBY &amp; FRERES (SOGAF) SarlScratch 5 000</v>
          </cell>
          <cell r="O3423" t="str">
            <v>STS GAMBY &amp; FRERES (SOGAF) Sarl</v>
          </cell>
          <cell r="P3423" t="str">
            <v>Scratch 5 000</v>
          </cell>
          <cell r="Q3423" t="str">
            <v>102007</v>
          </cell>
          <cell r="R3423" t="str">
            <v>102007Scratch 5 000</v>
          </cell>
          <cell r="S3423" t="str">
            <v>2007Scratch 5 000</v>
          </cell>
          <cell r="T3423" t="str">
            <v>102007STS GAMBY &amp; FRERES (SOGAF) Sarl</v>
          </cell>
          <cell r="U3423" t="str">
            <v>102007STS GAMBY &amp; FRERES (SOGAF) SarlScratch 5 000</v>
          </cell>
          <cell r="V3423" t="str">
            <v>39385Scratch 5 000</v>
          </cell>
          <cell r="W3423" t="str">
            <v>2007STS GAMBY &amp; FRERES (SOGAF) Sarl</v>
          </cell>
          <cell r="X3423" t="str">
            <v>2007STS GAMBY &amp; FRERES (SOGAF) SarlScratch 5 000</v>
          </cell>
        </row>
        <row r="3424">
          <cell r="I3424">
            <v>2007</v>
          </cell>
          <cell r="J3424" t="str">
            <v>STS GAMBY &amp; FRERES (SOGAF) SarlScratch 2 000</v>
          </cell>
          <cell r="L3424">
            <v>0</v>
          </cell>
          <cell r="M3424" t="str">
            <v>STS GAMBY &amp; FRERES (SOGAF) Sarl</v>
          </cell>
          <cell r="N3424" t="str">
            <v>STS GAMBY &amp; FRERES (SOGAF) SarlScratch 2 000</v>
          </cell>
          <cell r="O3424" t="str">
            <v>STS GAMBY &amp; FRERES (SOGAF) Sarl</v>
          </cell>
          <cell r="P3424" t="str">
            <v>Scratch 2 000</v>
          </cell>
          <cell r="Q3424" t="str">
            <v>102007</v>
          </cell>
          <cell r="R3424" t="str">
            <v>102007Scratch 2 000</v>
          </cell>
          <cell r="S3424" t="str">
            <v>2007Scratch 2 000</v>
          </cell>
          <cell r="T3424" t="str">
            <v>102007STS GAMBY &amp; FRERES (SOGAF) Sarl</v>
          </cell>
          <cell r="U3424" t="str">
            <v>102007STS GAMBY &amp; FRERES (SOGAF) SarlScratch 2 000</v>
          </cell>
          <cell r="V3424" t="str">
            <v>39385Scratch 2 000</v>
          </cell>
          <cell r="W3424" t="str">
            <v>2007STS GAMBY &amp; FRERES (SOGAF) Sarl</v>
          </cell>
          <cell r="X3424" t="str">
            <v>2007STS GAMBY &amp; FRERES (SOGAF) SarlScratch 2 000</v>
          </cell>
        </row>
        <row r="3425">
          <cell r="I3425">
            <v>2007</v>
          </cell>
          <cell r="J3425" t="str">
            <v>STS GAMBY &amp; FRERES (SOGAF) SarlScratch 1 000</v>
          </cell>
          <cell r="L3425">
            <v>0</v>
          </cell>
          <cell r="M3425" t="str">
            <v>STS GAMBY &amp; FRERES (SOGAF) Sarl</v>
          </cell>
          <cell r="N3425" t="str">
            <v>STS GAMBY &amp; FRERES (SOGAF) SarlScratch 1 000</v>
          </cell>
          <cell r="O3425" t="str">
            <v>STS GAMBY &amp; FRERES (SOGAF) Sarl</v>
          </cell>
          <cell r="P3425" t="str">
            <v>Scratch 1 000</v>
          </cell>
          <cell r="Q3425" t="str">
            <v>102007</v>
          </cell>
          <cell r="R3425" t="str">
            <v>102007Scratch 1 000</v>
          </cell>
          <cell r="S3425" t="str">
            <v>2007Scratch 1 000</v>
          </cell>
          <cell r="T3425" t="str">
            <v>102007STS GAMBY &amp; FRERES (SOGAF) Sarl</v>
          </cell>
          <cell r="U3425" t="str">
            <v>102007STS GAMBY &amp; FRERES (SOGAF) SarlScratch 1 000</v>
          </cell>
          <cell r="V3425" t="str">
            <v>39385Scratch 1 000</v>
          </cell>
          <cell r="W3425" t="str">
            <v>2007STS GAMBY &amp; FRERES (SOGAF) Sarl</v>
          </cell>
          <cell r="X3425" t="str">
            <v>2007STS GAMBY &amp; FRERES (SOGAF) SarlScratch 1 000</v>
          </cell>
        </row>
        <row r="3426">
          <cell r="I3426">
            <v>2007</v>
          </cell>
          <cell r="J3426" t="str">
            <v>Compagnie Internationale de NegoceScratch 5 000</v>
          </cell>
          <cell r="L3426">
            <v>1</v>
          </cell>
          <cell r="M3426" t="str">
            <v>1Compagnie Internationale de Negoce</v>
          </cell>
          <cell r="N3426" t="str">
            <v>Compagnie Internationale de NegoceScratch 5 000</v>
          </cell>
          <cell r="O3426" t="str">
            <v>Compagnie Internationale de Negoce</v>
          </cell>
          <cell r="P3426" t="str">
            <v>Scratch 5 000</v>
          </cell>
          <cell r="Q3426" t="str">
            <v>102007</v>
          </cell>
          <cell r="R3426" t="str">
            <v>102007Scratch 5 000</v>
          </cell>
          <cell r="S3426" t="str">
            <v>2007Scratch 5 000</v>
          </cell>
          <cell r="T3426" t="str">
            <v>102007Compagnie Internationale de Negoce</v>
          </cell>
          <cell r="U3426" t="str">
            <v>102007Compagnie Internationale de NegoceScratch 5 000</v>
          </cell>
          <cell r="V3426" t="str">
            <v>39385Scratch 5 000</v>
          </cell>
          <cell r="W3426" t="str">
            <v>2007Compagnie Internationale de Negoce</v>
          </cell>
          <cell r="X3426" t="str">
            <v>2007Compagnie Internationale de NegoceScratch 5 000</v>
          </cell>
        </row>
        <row r="3427">
          <cell r="I3427">
            <v>2007</v>
          </cell>
          <cell r="J3427" t="str">
            <v>Compagnie Internationale de NegoceScratch 2 000</v>
          </cell>
          <cell r="L3427">
            <v>0</v>
          </cell>
          <cell r="M3427" t="str">
            <v>Compagnie Internationale de Negoce</v>
          </cell>
          <cell r="N3427" t="str">
            <v>Compagnie Internationale de NegoceScratch 2 000</v>
          </cell>
          <cell r="O3427" t="str">
            <v>Compagnie Internationale de Negoce</v>
          </cell>
          <cell r="P3427" t="str">
            <v>Scratch 2 000</v>
          </cell>
          <cell r="Q3427" t="str">
            <v>102007</v>
          </cell>
          <cell r="R3427" t="str">
            <v>102007Scratch 2 000</v>
          </cell>
          <cell r="S3427" t="str">
            <v>2007Scratch 2 000</v>
          </cell>
          <cell r="T3427" t="str">
            <v>102007Compagnie Internationale de Negoce</v>
          </cell>
          <cell r="U3427" t="str">
            <v>102007Compagnie Internationale de NegoceScratch 2 000</v>
          </cell>
          <cell r="V3427" t="str">
            <v>39385Scratch 2 000</v>
          </cell>
          <cell r="W3427" t="str">
            <v>2007Compagnie Internationale de Negoce</v>
          </cell>
          <cell r="X3427" t="str">
            <v>2007Compagnie Internationale de NegoceScratch 2 000</v>
          </cell>
        </row>
        <row r="3428">
          <cell r="I3428">
            <v>2007</v>
          </cell>
          <cell r="J3428" t="str">
            <v>Compagnie Internationale de NegoceScratch 1 000</v>
          </cell>
          <cell r="L3428">
            <v>0</v>
          </cell>
          <cell r="M3428" t="str">
            <v>Compagnie Internationale de Negoce</v>
          </cell>
          <cell r="N3428" t="str">
            <v>Compagnie Internationale de NegoceScratch 1 000</v>
          </cell>
          <cell r="O3428" t="str">
            <v>Compagnie Internationale de Negoce</v>
          </cell>
          <cell r="P3428" t="str">
            <v>Scratch 1 000</v>
          </cell>
          <cell r="Q3428" t="str">
            <v>102007</v>
          </cell>
          <cell r="R3428" t="str">
            <v>102007Scratch 1 000</v>
          </cell>
          <cell r="S3428" t="str">
            <v>2007Scratch 1 000</v>
          </cell>
          <cell r="T3428" t="str">
            <v>102007Compagnie Internationale de Negoce</v>
          </cell>
          <cell r="U3428" t="str">
            <v>102007Compagnie Internationale de NegoceScratch 1 000</v>
          </cell>
          <cell r="V3428" t="str">
            <v>39385Scratch 1 000</v>
          </cell>
          <cell r="W3428" t="str">
            <v>2007Compagnie Internationale de Negoce</v>
          </cell>
          <cell r="X3428" t="str">
            <v>2007Compagnie Internationale de NegoceScratch 1 000</v>
          </cell>
        </row>
        <row r="3429">
          <cell r="I3429">
            <v>2007</v>
          </cell>
          <cell r="J3429" t="str">
            <v>ANKA SERVICESScratch 5 000</v>
          </cell>
          <cell r="L3429">
            <v>1</v>
          </cell>
          <cell r="M3429" t="str">
            <v>1ANKA SERVICES</v>
          </cell>
          <cell r="N3429" t="str">
            <v>ANKA SERVICESScratch 5 000</v>
          </cell>
          <cell r="O3429" t="str">
            <v>ANKA SERVICES</v>
          </cell>
          <cell r="P3429" t="str">
            <v>Scratch 5 000</v>
          </cell>
          <cell r="Q3429" t="str">
            <v>102007</v>
          </cell>
          <cell r="R3429" t="str">
            <v>102007Scratch 5 000</v>
          </cell>
          <cell r="S3429" t="str">
            <v>2007Scratch 5 000</v>
          </cell>
          <cell r="T3429" t="str">
            <v>102007ANKA SERVICES</v>
          </cell>
          <cell r="U3429" t="str">
            <v>102007ANKA SERVICESScratch 5 000</v>
          </cell>
          <cell r="V3429" t="str">
            <v>39385Scratch 5 000</v>
          </cell>
          <cell r="W3429" t="str">
            <v>2007ANKA SERVICES</v>
          </cell>
          <cell r="X3429" t="str">
            <v>2007ANKA SERVICESScratch 5 000</v>
          </cell>
        </row>
        <row r="3430">
          <cell r="I3430">
            <v>2007</v>
          </cell>
          <cell r="J3430" t="str">
            <v>ANKA SERVICESScratch 2 000</v>
          </cell>
          <cell r="L3430">
            <v>0</v>
          </cell>
          <cell r="M3430" t="str">
            <v>ANKA SERVICES</v>
          </cell>
          <cell r="N3430" t="str">
            <v>ANKA SERVICESScratch 2 000</v>
          </cell>
          <cell r="O3430" t="str">
            <v>ANKA SERVICES</v>
          </cell>
          <cell r="P3430" t="str">
            <v>Scratch 2 000</v>
          </cell>
          <cell r="Q3430" t="str">
            <v>102007</v>
          </cell>
          <cell r="R3430" t="str">
            <v>102007Scratch 2 000</v>
          </cell>
          <cell r="S3430" t="str">
            <v>2007Scratch 2 000</v>
          </cell>
          <cell r="T3430" t="str">
            <v>102007ANKA SERVICES</v>
          </cell>
          <cell r="U3430" t="str">
            <v>102007ANKA SERVICESScratch 2 000</v>
          </cell>
          <cell r="V3430" t="str">
            <v>39385Scratch 2 000</v>
          </cell>
          <cell r="W3430" t="str">
            <v>2007ANKA SERVICES</v>
          </cell>
          <cell r="X3430" t="str">
            <v>2007ANKA SERVICESScratch 2 000</v>
          </cell>
        </row>
        <row r="3431">
          <cell r="I3431">
            <v>2007</v>
          </cell>
          <cell r="J3431" t="str">
            <v>ANKA SERVICESScratch 1 000</v>
          </cell>
          <cell r="L3431">
            <v>0</v>
          </cell>
          <cell r="M3431" t="str">
            <v>ANKA SERVICES</v>
          </cell>
          <cell r="N3431" t="str">
            <v>ANKA SERVICESScratch 1 000</v>
          </cell>
          <cell r="O3431" t="str">
            <v>ANKA SERVICES</v>
          </cell>
          <cell r="P3431" t="str">
            <v>Scratch 1 000</v>
          </cell>
          <cell r="Q3431" t="str">
            <v>102007</v>
          </cell>
          <cell r="R3431" t="str">
            <v>102007Scratch 1 000</v>
          </cell>
          <cell r="S3431" t="str">
            <v>2007Scratch 1 000</v>
          </cell>
          <cell r="T3431" t="str">
            <v>102007ANKA SERVICES</v>
          </cell>
          <cell r="U3431" t="str">
            <v>102007ANKA SERVICESScratch 1 000</v>
          </cell>
          <cell r="V3431" t="str">
            <v>39385Scratch 1 000</v>
          </cell>
          <cell r="W3431" t="str">
            <v>2007ANKA SERVICES</v>
          </cell>
          <cell r="X3431" t="str">
            <v>2007ANKA SERVICESScratch 1 000</v>
          </cell>
        </row>
        <row r="3432">
          <cell r="I3432">
            <v>2007</v>
          </cell>
          <cell r="J3432" t="str">
            <v>Burtel MacsymScratch 10 000</v>
          </cell>
          <cell r="L3432">
            <v>1</v>
          </cell>
          <cell r="M3432" t="str">
            <v>1Burtel Macsym</v>
          </cell>
          <cell r="N3432" t="str">
            <v>Burtel MacsymScratch 10 000</v>
          </cell>
          <cell r="O3432" t="str">
            <v>Burtel Macsym</v>
          </cell>
          <cell r="P3432" t="str">
            <v>Scratch 10 000</v>
          </cell>
          <cell r="Q3432" t="str">
            <v>102007</v>
          </cell>
          <cell r="R3432" t="str">
            <v>102007Scratch 10 000</v>
          </cell>
          <cell r="S3432" t="str">
            <v>2007Scratch 10 000</v>
          </cell>
          <cell r="T3432" t="str">
            <v>102007Burtel Macsym</v>
          </cell>
          <cell r="U3432" t="str">
            <v>102007Burtel MacsymScratch 10 000</v>
          </cell>
          <cell r="V3432" t="str">
            <v>39385Scratch 10 000</v>
          </cell>
          <cell r="W3432" t="str">
            <v>2007Burtel Macsym</v>
          </cell>
          <cell r="X3432" t="str">
            <v>2007Burtel MacsymScratch 10 000</v>
          </cell>
        </row>
        <row r="3433">
          <cell r="I3433">
            <v>2007</v>
          </cell>
          <cell r="J3433" t="str">
            <v>Burtel MacsymScratch 5 000</v>
          </cell>
          <cell r="L3433">
            <v>0</v>
          </cell>
          <cell r="M3433" t="str">
            <v>Burtel Macsym</v>
          </cell>
          <cell r="N3433" t="str">
            <v>Burtel MacsymScratch 5 000</v>
          </cell>
          <cell r="O3433" t="str">
            <v>Burtel Macsym</v>
          </cell>
          <cell r="P3433" t="str">
            <v>Scratch 5 000</v>
          </cell>
          <cell r="Q3433" t="str">
            <v>102007</v>
          </cell>
          <cell r="R3433" t="str">
            <v>102007Scratch 5 000</v>
          </cell>
          <cell r="S3433" t="str">
            <v>2007Scratch 5 000</v>
          </cell>
          <cell r="T3433" t="str">
            <v>102007Burtel Macsym</v>
          </cell>
          <cell r="U3433" t="str">
            <v>102007Burtel MacsymScratch 5 000</v>
          </cell>
          <cell r="V3433" t="str">
            <v>39385Scratch 5 000</v>
          </cell>
          <cell r="W3433" t="str">
            <v>2007Burtel Macsym</v>
          </cell>
          <cell r="X3433" t="str">
            <v>2007Burtel MacsymScratch 5 000</v>
          </cell>
        </row>
        <row r="3434">
          <cell r="I3434">
            <v>2007</v>
          </cell>
          <cell r="J3434" t="str">
            <v>Burtel MacsymScratch 2 000</v>
          </cell>
          <cell r="L3434">
            <v>0</v>
          </cell>
          <cell r="M3434" t="str">
            <v>Burtel Macsym</v>
          </cell>
          <cell r="N3434" t="str">
            <v>Burtel MacsymScratch 2 000</v>
          </cell>
          <cell r="O3434" t="str">
            <v>Burtel Macsym</v>
          </cell>
          <cell r="P3434" t="str">
            <v>Scratch 2 000</v>
          </cell>
          <cell r="Q3434" t="str">
            <v>102007</v>
          </cell>
          <cell r="R3434" t="str">
            <v>102007Scratch 2 000</v>
          </cell>
          <cell r="S3434" t="str">
            <v>2007Scratch 2 000</v>
          </cell>
          <cell r="T3434" t="str">
            <v>102007Burtel Macsym</v>
          </cell>
          <cell r="U3434" t="str">
            <v>102007Burtel MacsymScratch 2 000</v>
          </cell>
          <cell r="V3434" t="str">
            <v>39385Scratch 2 000</v>
          </cell>
          <cell r="W3434" t="str">
            <v>2007Burtel Macsym</v>
          </cell>
          <cell r="X3434" t="str">
            <v>2007Burtel MacsymScratch 2 000</v>
          </cell>
        </row>
        <row r="3435">
          <cell r="I3435">
            <v>2007</v>
          </cell>
          <cell r="J3435" t="str">
            <v>Burtel MacsymScratch 1 000</v>
          </cell>
          <cell r="L3435">
            <v>0</v>
          </cell>
          <cell r="M3435" t="str">
            <v>Burtel Macsym</v>
          </cell>
          <cell r="N3435" t="str">
            <v>Burtel MacsymScratch 1 000</v>
          </cell>
          <cell r="O3435" t="str">
            <v>Burtel Macsym</v>
          </cell>
          <cell r="P3435" t="str">
            <v>Scratch 1 000</v>
          </cell>
          <cell r="Q3435" t="str">
            <v>102007</v>
          </cell>
          <cell r="R3435" t="str">
            <v>102007Scratch 1 000</v>
          </cell>
          <cell r="S3435" t="str">
            <v>2007Scratch 1 000</v>
          </cell>
          <cell r="T3435" t="str">
            <v>102007Burtel Macsym</v>
          </cell>
          <cell r="U3435" t="str">
            <v>102007Burtel MacsymScratch 1 000</v>
          </cell>
          <cell r="V3435" t="str">
            <v>39385Scratch 1 000</v>
          </cell>
          <cell r="W3435" t="str">
            <v>2007Burtel Macsym</v>
          </cell>
          <cell r="X3435" t="str">
            <v>2007Burtel MacsymScratch 1 000</v>
          </cell>
        </row>
        <row r="3436">
          <cell r="I3436">
            <v>2007</v>
          </cell>
          <cell r="J3436" t="str">
            <v>Grands ComptesVGFU (TTC)</v>
          </cell>
          <cell r="L3436">
            <v>1</v>
          </cell>
          <cell r="M3436" t="str">
            <v>1Grands Comptes</v>
          </cell>
          <cell r="N3436" t="str">
            <v>Grands ComptesVGFU (TTC)</v>
          </cell>
          <cell r="O3436" t="str">
            <v>Grands Comptes</v>
          </cell>
          <cell r="P3436" t="str">
            <v>VGFU (TTC)</v>
          </cell>
          <cell r="Q3436" t="str">
            <v>102007</v>
          </cell>
          <cell r="R3436" t="str">
            <v>102007VGFU (TTC)</v>
          </cell>
          <cell r="S3436" t="str">
            <v>2007VGFU (TTC)</v>
          </cell>
          <cell r="T3436" t="str">
            <v>102007Grands Comptes</v>
          </cell>
          <cell r="U3436" t="str">
            <v>102007Grands ComptesVGFU (TTC)</v>
          </cell>
          <cell r="V3436" t="str">
            <v>39386VGFU (TTC)</v>
          </cell>
          <cell r="W3436" t="str">
            <v>2007Grands Comptes</v>
          </cell>
          <cell r="X3436" t="str">
            <v>2007Grands ComptesVGFU (TTC)</v>
          </cell>
        </row>
        <row r="3437">
          <cell r="I3437">
            <v>2007</v>
          </cell>
          <cell r="J3437" t="str">
            <v>Grands ComptesVGFU (TTC)</v>
          </cell>
          <cell r="L3437">
            <v>1</v>
          </cell>
          <cell r="M3437" t="str">
            <v>1Grands Comptes</v>
          </cell>
          <cell r="N3437" t="str">
            <v>Grands ComptesVGFU (TTC)</v>
          </cell>
          <cell r="O3437" t="str">
            <v>Grands Comptes</v>
          </cell>
          <cell r="P3437" t="str">
            <v>VGFU (TTC)</v>
          </cell>
          <cell r="Q3437" t="str">
            <v>102007</v>
          </cell>
          <cell r="R3437" t="str">
            <v>102007VGFU (TTC)</v>
          </cell>
          <cell r="S3437" t="str">
            <v>2007VGFU (TTC)</v>
          </cell>
          <cell r="T3437" t="str">
            <v>102007Grands Comptes</v>
          </cell>
          <cell r="U3437" t="str">
            <v>102007Grands ComptesVGFU (TTC)</v>
          </cell>
          <cell r="V3437" t="str">
            <v>39386VGFU (TTC)</v>
          </cell>
          <cell r="W3437" t="str">
            <v>2007Grands Comptes</v>
          </cell>
          <cell r="X3437" t="str">
            <v>2007Grands ComptesVGFU (TTC)</v>
          </cell>
        </row>
        <row r="3438">
          <cell r="I3438">
            <v>2007</v>
          </cell>
          <cell r="J3438" t="str">
            <v>Burtel MacsymScratch 20 000</v>
          </cell>
          <cell r="L3438">
            <v>1</v>
          </cell>
          <cell r="M3438" t="str">
            <v>1Burtel Macsym</v>
          </cell>
          <cell r="N3438" t="str">
            <v>Burtel MacsymScratch 20 000</v>
          </cell>
          <cell r="O3438" t="str">
            <v>Burtel Macsym</v>
          </cell>
          <cell r="P3438" t="str">
            <v>Scratch 20 000</v>
          </cell>
          <cell r="Q3438" t="str">
            <v>102007</v>
          </cell>
          <cell r="R3438" t="str">
            <v>102007Scratch 20 000</v>
          </cell>
          <cell r="S3438" t="str">
            <v>2007Scratch 20 000</v>
          </cell>
          <cell r="T3438" t="str">
            <v>102007Burtel Macsym</v>
          </cell>
          <cell r="U3438" t="str">
            <v>102007Burtel MacsymScratch 20 000</v>
          </cell>
          <cell r="V3438" t="str">
            <v>39386Scratch 20 000</v>
          </cell>
          <cell r="W3438" t="str">
            <v>2007Burtel Macsym</v>
          </cell>
          <cell r="X3438" t="str">
            <v>2007Burtel MacsymScratch 20 000</v>
          </cell>
        </row>
        <row r="3439">
          <cell r="I3439">
            <v>2007</v>
          </cell>
          <cell r="J3439" t="str">
            <v>Burtel MacsymScratch 10 000</v>
          </cell>
          <cell r="L3439">
            <v>0</v>
          </cell>
          <cell r="M3439" t="str">
            <v>Burtel Macsym</v>
          </cell>
          <cell r="N3439" t="str">
            <v>Burtel MacsymScratch 10 000</v>
          </cell>
          <cell r="O3439" t="str">
            <v>Burtel Macsym</v>
          </cell>
          <cell r="P3439" t="str">
            <v>Scratch 10 000</v>
          </cell>
          <cell r="Q3439" t="str">
            <v>102007</v>
          </cell>
          <cell r="R3439" t="str">
            <v>102007Scratch 10 000</v>
          </cell>
          <cell r="S3439" t="str">
            <v>2007Scratch 10 000</v>
          </cell>
          <cell r="T3439" t="str">
            <v>102007Burtel Macsym</v>
          </cell>
          <cell r="U3439" t="str">
            <v>102007Burtel MacsymScratch 10 000</v>
          </cell>
          <cell r="V3439" t="str">
            <v>39386Scratch 10 000</v>
          </cell>
          <cell r="W3439" t="str">
            <v>2007Burtel Macsym</v>
          </cell>
          <cell r="X3439" t="str">
            <v>2007Burtel MacsymScratch 10 000</v>
          </cell>
        </row>
        <row r="3440">
          <cell r="I3440">
            <v>2007</v>
          </cell>
          <cell r="J3440" t="str">
            <v>Burtel MacsymScratch 5 000</v>
          </cell>
          <cell r="L3440">
            <v>0</v>
          </cell>
          <cell r="M3440" t="str">
            <v>Burtel Macsym</v>
          </cell>
          <cell r="N3440" t="str">
            <v>Burtel MacsymScratch 5 000</v>
          </cell>
          <cell r="O3440" t="str">
            <v>Burtel Macsym</v>
          </cell>
          <cell r="P3440" t="str">
            <v>Scratch 5 000</v>
          </cell>
          <cell r="Q3440" t="str">
            <v>102007</v>
          </cell>
          <cell r="R3440" t="str">
            <v>102007Scratch 5 000</v>
          </cell>
          <cell r="S3440" t="str">
            <v>2007Scratch 5 000</v>
          </cell>
          <cell r="T3440" t="str">
            <v>102007Burtel Macsym</v>
          </cell>
          <cell r="U3440" t="str">
            <v>102007Burtel MacsymScratch 5 000</v>
          </cell>
          <cell r="V3440" t="str">
            <v>39386Scratch 5 000</v>
          </cell>
          <cell r="W3440" t="str">
            <v>2007Burtel Macsym</v>
          </cell>
          <cell r="X3440" t="str">
            <v>2007Burtel MacsymScratch 5 000</v>
          </cell>
        </row>
        <row r="3441">
          <cell r="I3441">
            <v>2007</v>
          </cell>
          <cell r="J3441" t="str">
            <v>Burtel MacsymScratch 2 000</v>
          </cell>
          <cell r="L3441">
            <v>0</v>
          </cell>
          <cell r="M3441" t="str">
            <v>Burtel Macsym</v>
          </cell>
          <cell r="N3441" t="str">
            <v>Burtel MacsymScratch 2 000</v>
          </cell>
          <cell r="O3441" t="str">
            <v>Burtel Macsym</v>
          </cell>
          <cell r="P3441" t="str">
            <v>Scratch 2 000</v>
          </cell>
          <cell r="Q3441" t="str">
            <v>102007</v>
          </cell>
          <cell r="R3441" t="str">
            <v>102007Scratch 2 000</v>
          </cell>
          <cell r="S3441" t="str">
            <v>2007Scratch 2 000</v>
          </cell>
          <cell r="T3441" t="str">
            <v>102007Burtel Macsym</v>
          </cell>
          <cell r="U3441" t="str">
            <v>102007Burtel MacsymScratch 2 000</v>
          </cell>
          <cell r="V3441" t="str">
            <v>39386Scratch 2 000</v>
          </cell>
          <cell r="W3441" t="str">
            <v>2007Burtel Macsym</v>
          </cell>
          <cell r="X3441" t="str">
            <v>2007Burtel MacsymScratch 2 000</v>
          </cell>
        </row>
        <row r="3442">
          <cell r="I3442">
            <v>2007</v>
          </cell>
          <cell r="J3442" t="str">
            <v>Burtel MacsymScratch 1 000</v>
          </cell>
          <cell r="L3442">
            <v>0</v>
          </cell>
          <cell r="M3442" t="str">
            <v>Burtel Macsym</v>
          </cell>
          <cell r="N3442" t="str">
            <v>Burtel MacsymScratch 1 000</v>
          </cell>
          <cell r="O3442" t="str">
            <v>Burtel Macsym</v>
          </cell>
          <cell r="P3442" t="str">
            <v>Scratch 1 000</v>
          </cell>
          <cell r="Q3442" t="str">
            <v>102007</v>
          </cell>
          <cell r="R3442" t="str">
            <v>102007Scratch 1 000</v>
          </cell>
          <cell r="S3442" t="str">
            <v>2007Scratch 1 000</v>
          </cell>
          <cell r="T3442" t="str">
            <v>102007Burtel Macsym</v>
          </cell>
          <cell r="U3442" t="str">
            <v>102007Burtel MacsymScratch 1 000</v>
          </cell>
          <cell r="V3442" t="str">
            <v>39386Scratch 1 000</v>
          </cell>
          <cell r="W3442" t="str">
            <v>2007Burtel Macsym</v>
          </cell>
          <cell r="X3442" t="str">
            <v>2007Burtel MacsymScratch 1 000</v>
          </cell>
        </row>
        <row r="3443">
          <cell r="I3443">
            <v>2007</v>
          </cell>
          <cell r="J3443" t="str">
            <v>STS GAMBY &amp; FRERES (SOGAF) SarlScratch 5 000</v>
          </cell>
          <cell r="L3443">
            <v>1</v>
          </cell>
          <cell r="M3443" t="str">
            <v>1STS GAMBY &amp; FRERES (SOGAF) Sarl</v>
          </cell>
          <cell r="N3443" t="str">
            <v>STS GAMBY &amp; FRERES (SOGAF) SarlScratch 5 000</v>
          </cell>
          <cell r="O3443" t="str">
            <v>STS GAMBY &amp; FRERES (SOGAF) Sarl</v>
          </cell>
          <cell r="P3443" t="str">
            <v>Scratch 5 000</v>
          </cell>
          <cell r="Q3443" t="str">
            <v>102007</v>
          </cell>
          <cell r="R3443" t="str">
            <v>102007Scratch 5 000</v>
          </cell>
          <cell r="S3443" t="str">
            <v>2007Scratch 5 000</v>
          </cell>
          <cell r="T3443" t="str">
            <v>102007STS GAMBY &amp; FRERES (SOGAF) Sarl</v>
          </cell>
          <cell r="U3443" t="str">
            <v>102007STS GAMBY &amp; FRERES (SOGAF) SarlScratch 5 000</v>
          </cell>
          <cell r="V3443" t="str">
            <v>39386Scratch 5 000</v>
          </cell>
          <cell r="W3443" t="str">
            <v>2007STS GAMBY &amp; FRERES (SOGAF) Sarl</v>
          </cell>
          <cell r="X3443" t="str">
            <v>2007STS GAMBY &amp; FRERES (SOGAF) SarlScratch 5 000</v>
          </cell>
        </row>
        <row r="3444">
          <cell r="I3444">
            <v>2007</v>
          </cell>
          <cell r="J3444" t="str">
            <v>STS GAMBY &amp; FRERES (SOGAF) SarlScratch 2 000</v>
          </cell>
          <cell r="L3444">
            <v>0</v>
          </cell>
          <cell r="M3444" t="str">
            <v>STS GAMBY &amp; FRERES (SOGAF) Sarl</v>
          </cell>
          <cell r="N3444" t="str">
            <v>STS GAMBY &amp; FRERES (SOGAF) SarlScratch 2 000</v>
          </cell>
          <cell r="O3444" t="str">
            <v>STS GAMBY &amp; FRERES (SOGAF) Sarl</v>
          </cell>
          <cell r="P3444" t="str">
            <v>Scratch 2 000</v>
          </cell>
          <cell r="Q3444" t="str">
            <v>102007</v>
          </cell>
          <cell r="R3444" t="str">
            <v>102007Scratch 2 000</v>
          </cell>
          <cell r="S3444" t="str">
            <v>2007Scratch 2 000</v>
          </cell>
          <cell r="T3444" t="str">
            <v>102007STS GAMBY &amp; FRERES (SOGAF) Sarl</v>
          </cell>
          <cell r="U3444" t="str">
            <v>102007STS GAMBY &amp; FRERES (SOGAF) SarlScratch 2 000</v>
          </cell>
          <cell r="V3444" t="str">
            <v>39386Scratch 2 000</v>
          </cell>
          <cell r="W3444" t="str">
            <v>2007STS GAMBY &amp; FRERES (SOGAF) Sarl</v>
          </cell>
          <cell r="X3444" t="str">
            <v>2007STS GAMBY &amp; FRERES (SOGAF) SarlScratch 2 000</v>
          </cell>
        </row>
        <row r="3445">
          <cell r="I3445">
            <v>2007</v>
          </cell>
          <cell r="J3445" t="str">
            <v>STS GAMBY &amp; FRERES (SOGAF) SarlScratch 1 000</v>
          </cell>
          <cell r="L3445">
            <v>0</v>
          </cell>
          <cell r="M3445" t="str">
            <v>STS GAMBY &amp; FRERES (SOGAF) Sarl</v>
          </cell>
          <cell r="N3445" t="str">
            <v>STS GAMBY &amp; FRERES (SOGAF) SarlScratch 1 000</v>
          </cell>
          <cell r="O3445" t="str">
            <v>STS GAMBY &amp; FRERES (SOGAF) Sarl</v>
          </cell>
          <cell r="P3445" t="str">
            <v>Scratch 1 000</v>
          </cell>
          <cell r="Q3445" t="str">
            <v>102007</v>
          </cell>
          <cell r="R3445" t="str">
            <v>102007Scratch 1 000</v>
          </cell>
          <cell r="S3445" t="str">
            <v>2007Scratch 1 000</v>
          </cell>
          <cell r="T3445" t="str">
            <v>102007STS GAMBY &amp; FRERES (SOGAF) Sarl</v>
          </cell>
          <cell r="U3445" t="str">
            <v>102007STS GAMBY &amp; FRERES (SOGAF) SarlScratch 1 000</v>
          </cell>
          <cell r="V3445" t="str">
            <v>39386Scratch 1 000</v>
          </cell>
          <cell r="W3445" t="str">
            <v>2007STS GAMBY &amp; FRERES (SOGAF) Sarl</v>
          </cell>
          <cell r="X3445" t="str">
            <v>2007STS GAMBY &amp; FRERES (SOGAF) SarlScratch 1 000</v>
          </cell>
        </row>
        <row r="3446">
          <cell r="I3446">
            <v>2007</v>
          </cell>
          <cell r="J3446" t="str">
            <v>Burtel MacsymScratch 5 000</v>
          </cell>
          <cell r="L3446">
            <v>1</v>
          </cell>
          <cell r="M3446" t="str">
            <v>1Burtel Macsym</v>
          </cell>
          <cell r="N3446" t="str">
            <v>Burtel MacsymScratch 5 000</v>
          </cell>
          <cell r="O3446" t="str">
            <v>Burtel Macsym</v>
          </cell>
          <cell r="P3446" t="str">
            <v>Scratch 5 000</v>
          </cell>
          <cell r="Q3446" t="str">
            <v>102007</v>
          </cell>
          <cell r="R3446" t="str">
            <v>102007Scratch 5 000</v>
          </cell>
          <cell r="S3446" t="str">
            <v>2007Scratch 5 000</v>
          </cell>
          <cell r="T3446" t="str">
            <v>102007Burtel Macsym</v>
          </cell>
          <cell r="U3446" t="str">
            <v>102007Burtel MacsymScratch 5 000</v>
          </cell>
          <cell r="V3446" t="str">
            <v>39386Scratch 5 000</v>
          </cell>
          <cell r="W3446" t="str">
            <v>2007Burtel Macsym</v>
          </cell>
          <cell r="X3446" t="str">
            <v>2007Burtel MacsymScratch 5 000</v>
          </cell>
        </row>
        <row r="3447">
          <cell r="I3447">
            <v>2007</v>
          </cell>
          <cell r="J3447" t="str">
            <v>Burtel MacsymScratch 2 000</v>
          </cell>
          <cell r="L3447">
            <v>0</v>
          </cell>
          <cell r="M3447" t="str">
            <v>Burtel Macsym</v>
          </cell>
          <cell r="N3447" t="str">
            <v>Burtel MacsymScratch 2 000</v>
          </cell>
          <cell r="O3447" t="str">
            <v>Burtel Macsym</v>
          </cell>
          <cell r="P3447" t="str">
            <v>Scratch 2 000</v>
          </cell>
          <cell r="Q3447" t="str">
            <v>102007</v>
          </cell>
          <cell r="R3447" t="str">
            <v>102007Scratch 2 000</v>
          </cell>
          <cell r="S3447" t="str">
            <v>2007Scratch 2 000</v>
          </cell>
          <cell r="T3447" t="str">
            <v>102007Burtel Macsym</v>
          </cell>
          <cell r="U3447" t="str">
            <v>102007Burtel MacsymScratch 2 000</v>
          </cell>
          <cell r="V3447" t="str">
            <v>39386Scratch 2 000</v>
          </cell>
          <cell r="W3447" t="str">
            <v>2007Burtel Macsym</v>
          </cell>
          <cell r="X3447" t="str">
            <v>2007Burtel MacsymScratch 2 000</v>
          </cell>
        </row>
        <row r="3448">
          <cell r="I3448">
            <v>2007</v>
          </cell>
          <cell r="J3448" t="str">
            <v>Burtel MacsymScratch 1 000</v>
          </cell>
          <cell r="L3448">
            <v>0</v>
          </cell>
          <cell r="M3448" t="str">
            <v>Burtel Macsym</v>
          </cell>
          <cell r="N3448" t="str">
            <v>Burtel MacsymScratch 1 000</v>
          </cell>
          <cell r="O3448" t="str">
            <v>Burtel Macsym</v>
          </cell>
          <cell r="P3448" t="str">
            <v>Scratch 1 000</v>
          </cell>
          <cell r="Q3448" t="str">
            <v>102007</v>
          </cell>
          <cell r="R3448" t="str">
            <v>102007Scratch 1 000</v>
          </cell>
          <cell r="S3448" t="str">
            <v>2007Scratch 1 000</v>
          </cell>
          <cell r="T3448" t="str">
            <v>102007Burtel Macsym</v>
          </cell>
          <cell r="U3448" t="str">
            <v>102007Burtel MacsymScratch 1 000</v>
          </cell>
          <cell r="V3448" t="str">
            <v>39386Scratch 1 000</v>
          </cell>
          <cell r="W3448" t="str">
            <v>2007Burtel Macsym</v>
          </cell>
          <cell r="X3448" t="str">
            <v>2007Burtel MacsymScratch 1 000</v>
          </cell>
        </row>
        <row r="3449">
          <cell r="I3449">
            <v>2007</v>
          </cell>
          <cell r="J3449" t="str">
            <v>Bonneterie Nouvelle TelecomScratch 5 000</v>
          </cell>
          <cell r="L3449">
            <v>1</v>
          </cell>
          <cell r="M3449" t="str">
            <v>1Bonneterie Nouvelle Telecom</v>
          </cell>
          <cell r="N3449" t="str">
            <v>Bonneterie Nouvelle TelecomScratch 5 000</v>
          </cell>
          <cell r="O3449" t="str">
            <v>Bonneterie Nouvelle Telecom</v>
          </cell>
          <cell r="P3449" t="str">
            <v>Scratch 5 000</v>
          </cell>
          <cell r="Q3449" t="str">
            <v>102007</v>
          </cell>
          <cell r="R3449" t="str">
            <v>102007Scratch 5 000</v>
          </cell>
          <cell r="S3449" t="str">
            <v>2007Scratch 5 000</v>
          </cell>
          <cell r="T3449" t="str">
            <v>102007Bonneterie Nouvelle Telecom</v>
          </cell>
          <cell r="U3449" t="str">
            <v>102007Bonneterie Nouvelle TelecomScratch 5 000</v>
          </cell>
          <cell r="V3449" t="str">
            <v>39386Scratch 5 000</v>
          </cell>
          <cell r="W3449" t="str">
            <v>2007Bonneterie Nouvelle Telecom</v>
          </cell>
          <cell r="X3449" t="str">
            <v>2007Bonneterie Nouvelle TelecomScratch 5 000</v>
          </cell>
        </row>
        <row r="3450">
          <cell r="I3450">
            <v>2007</v>
          </cell>
          <cell r="J3450" t="str">
            <v>Bonneterie Nouvelle TelecomScratch 2 000</v>
          </cell>
          <cell r="L3450">
            <v>0</v>
          </cell>
          <cell r="M3450" t="str">
            <v>Bonneterie Nouvelle Telecom</v>
          </cell>
          <cell r="N3450" t="str">
            <v>Bonneterie Nouvelle TelecomScratch 2 000</v>
          </cell>
          <cell r="O3450" t="str">
            <v>Bonneterie Nouvelle Telecom</v>
          </cell>
          <cell r="P3450" t="str">
            <v>Scratch 2 000</v>
          </cell>
          <cell r="Q3450" t="str">
            <v>102007</v>
          </cell>
          <cell r="R3450" t="str">
            <v>102007Scratch 2 000</v>
          </cell>
          <cell r="S3450" t="str">
            <v>2007Scratch 2 000</v>
          </cell>
          <cell r="T3450" t="str">
            <v>102007Bonneterie Nouvelle Telecom</v>
          </cell>
          <cell r="U3450" t="str">
            <v>102007Bonneterie Nouvelle TelecomScratch 2 000</v>
          </cell>
          <cell r="V3450" t="str">
            <v>39386Scratch 2 000</v>
          </cell>
          <cell r="W3450" t="str">
            <v>2007Bonneterie Nouvelle Telecom</v>
          </cell>
          <cell r="X3450" t="str">
            <v>2007Bonneterie Nouvelle TelecomScratch 2 000</v>
          </cell>
        </row>
        <row r="3451">
          <cell r="I3451">
            <v>2007</v>
          </cell>
          <cell r="J3451" t="str">
            <v>Bonneterie Nouvelle TelecomScratch 1 000</v>
          </cell>
          <cell r="L3451">
            <v>0</v>
          </cell>
          <cell r="M3451" t="str">
            <v>Bonneterie Nouvelle Telecom</v>
          </cell>
          <cell r="N3451" t="str">
            <v>Bonneterie Nouvelle TelecomScratch 1 000</v>
          </cell>
          <cell r="O3451" t="str">
            <v>Bonneterie Nouvelle Telecom</v>
          </cell>
          <cell r="P3451" t="str">
            <v>Scratch 1 000</v>
          </cell>
          <cell r="Q3451" t="str">
            <v>102007</v>
          </cell>
          <cell r="R3451" t="str">
            <v>102007Scratch 1 000</v>
          </cell>
          <cell r="S3451" t="str">
            <v>2007Scratch 1 000</v>
          </cell>
          <cell r="T3451" t="str">
            <v>102007Bonneterie Nouvelle Telecom</v>
          </cell>
          <cell r="U3451" t="str">
            <v>102007Bonneterie Nouvelle TelecomScratch 1 000</v>
          </cell>
          <cell r="V3451" t="str">
            <v>39386Scratch 1 000</v>
          </cell>
          <cell r="W3451" t="str">
            <v>2007Bonneterie Nouvelle Telecom</v>
          </cell>
          <cell r="X3451" t="str">
            <v>2007Bonneterie Nouvelle TelecomScratch 1 000</v>
          </cell>
        </row>
        <row r="3452">
          <cell r="I3452">
            <v>2007</v>
          </cell>
          <cell r="J3452" t="str">
            <v>Grands ComptesVGFU (TTC)</v>
          </cell>
          <cell r="L3452">
            <v>1</v>
          </cell>
          <cell r="M3452" t="str">
            <v>1Grands Comptes</v>
          </cell>
          <cell r="N3452" t="str">
            <v>Grands ComptesVGFU (TTC)</v>
          </cell>
          <cell r="O3452" t="str">
            <v>Grands Comptes</v>
          </cell>
          <cell r="P3452" t="str">
            <v>VGFU (TTC)</v>
          </cell>
          <cell r="Q3452" t="str">
            <v>112007</v>
          </cell>
          <cell r="R3452" t="str">
            <v>112007VGFU (TTC)</v>
          </cell>
          <cell r="S3452" t="str">
            <v>2007VGFU (TTC)</v>
          </cell>
          <cell r="T3452" t="str">
            <v>112007Grands Comptes</v>
          </cell>
          <cell r="U3452" t="str">
            <v>112007Grands ComptesVGFU (TTC)</v>
          </cell>
          <cell r="V3452" t="str">
            <v>39387VGFU (TTC)</v>
          </cell>
          <cell r="W3452" t="str">
            <v>2007Grands Comptes</v>
          </cell>
          <cell r="X3452" t="str">
            <v>2007Grands ComptesVGFU (TTC)</v>
          </cell>
        </row>
        <row r="3453">
          <cell r="I3453">
            <v>2007</v>
          </cell>
          <cell r="J3453" t="str">
            <v>Grands ComptesVGFU (TTC)</v>
          </cell>
          <cell r="L3453">
            <v>1</v>
          </cell>
          <cell r="M3453" t="str">
            <v>1Grands Comptes</v>
          </cell>
          <cell r="N3453" t="str">
            <v>Grands ComptesVGFU (TTC)</v>
          </cell>
          <cell r="O3453" t="str">
            <v>Grands Comptes</v>
          </cell>
          <cell r="P3453" t="str">
            <v>VGFU (TTC)</v>
          </cell>
          <cell r="Q3453" t="str">
            <v>112007</v>
          </cell>
          <cell r="R3453" t="str">
            <v>112007VGFU (TTC)</v>
          </cell>
          <cell r="S3453" t="str">
            <v>2007VGFU (TTC)</v>
          </cell>
          <cell r="T3453" t="str">
            <v>112007Grands Comptes</v>
          </cell>
          <cell r="U3453" t="str">
            <v>112007Grands ComptesVGFU (TTC)</v>
          </cell>
          <cell r="V3453" t="str">
            <v>39387VGFU (TTC)</v>
          </cell>
          <cell r="W3453" t="str">
            <v>2007Grands Comptes</v>
          </cell>
          <cell r="X3453" t="str">
            <v>2007Grands ComptesVGFU (TTC)</v>
          </cell>
        </row>
        <row r="3454">
          <cell r="I3454">
            <v>2007</v>
          </cell>
          <cell r="J3454" t="str">
            <v>Grands ComptesVGFU (TTC)</v>
          </cell>
          <cell r="L3454">
            <v>1</v>
          </cell>
          <cell r="M3454" t="str">
            <v>1Grands Comptes</v>
          </cell>
          <cell r="N3454" t="str">
            <v>Grands ComptesVGFU (TTC)</v>
          </cell>
          <cell r="O3454" t="str">
            <v>Grands Comptes</v>
          </cell>
          <cell r="P3454" t="str">
            <v>VGFU (TTC)</v>
          </cell>
          <cell r="Q3454" t="str">
            <v>112007</v>
          </cell>
          <cell r="R3454" t="str">
            <v>112007VGFU (TTC)</v>
          </cell>
          <cell r="S3454" t="str">
            <v>2007VGFU (TTC)</v>
          </cell>
          <cell r="T3454" t="str">
            <v>112007Grands Comptes</v>
          </cell>
          <cell r="U3454" t="str">
            <v>112007Grands ComptesVGFU (TTC)</v>
          </cell>
          <cell r="V3454" t="str">
            <v>39387VGFU (TTC)</v>
          </cell>
          <cell r="W3454" t="str">
            <v>2007Grands Comptes</v>
          </cell>
          <cell r="X3454" t="str">
            <v>2007Grands ComptesVGFU (TTC)</v>
          </cell>
        </row>
        <row r="3455">
          <cell r="I3455">
            <v>2007</v>
          </cell>
          <cell r="J3455" t="str">
            <v>STS GAMBY &amp; FRERES (SOGAF) SarlScratch 5 000</v>
          </cell>
          <cell r="L3455">
            <v>1</v>
          </cell>
          <cell r="M3455" t="str">
            <v>1STS GAMBY &amp; FRERES (SOGAF) Sarl</v>
          </cell>
          <cell r="N3455" t="str">
            <v>STS GAMBY &amp; FRERES (SOGAF) SarlScratch 5 000</v>
          </cell>
          <cell r="O3455" t="str">
            <v>STS GAMBY &amp; FRERES (SOGAF) Sarl</v>
          </cell>
          <cell r="P3455" t="str">
            <v>Scratch 5 000</v>
          </cell>
          <cell r="Q3455" t="str">
            <v>112007</v>
          </cell>
          <cell r="R3455" t="str">
            <v>112007Scratch 5 000</v>
          </cell>
          <cell r="S3455" t="str">
            <v>2007Scratch 5 000</v>
          </cell>
          <cell r="T3455" t="str">
            <v>112007STS GAMBY &amp; FRERES (SOGAF) Sarl</v>
          </cell>
          <cell r="U3455" t="str">
            <v>112007STS GAMBY &amp; FRERES (SOGAF) SarlScratch 5 000</v>
          </cell>
          <cell r="V3455" t="str">
            <v>39387Scratch 5 000</v>
          </cell>
          <cell r="W3455" t="str">
            <v>2007STS GAMBY &amp; FRERES (SOGAF) Sarl</v>
          </cell>
          <cell r="X3455" t="str">
            <v>2007STS GAMBY &amp; FRERES (SOGAF) SarlScratch 5 000</v>
          </cell>
        </row>
        <row r="3456">
          <cell r="I3456">
            <v>2007</v>
          </cell>
          <cell r="J3456" t="str">
            <v>STS GAMBY &amp; FRERES (SOGAF) SarlScratch 2 000</v>
          </cell>
          <cell r="L3456">
            <v>0</v>
          </cell>
          <cell r="M3456" t="str">
            <v>STS GAMBY &amp; FRERES (SOGAF) Sarl</v>
          </cell>
          <cell r="N3456" t="str">
            <v>STS GAMBY &amp; FRERES (SOGAF) SarlScratch 2 000</v>
          </cell>
          <cell r="O3456" t="str">
            <v>STS GAMBY &amp; FRERES (SOGAF) Sarl</v>
          </cell>
          <cell r="P3456" t="str">
            <v>Scratch 2 000</v>
          </cell>
          <cell r="Q3456" t="str">
            <v>112007</v>
          </cell>
          <cell r="R3456" t="str">
            <v>112007Scratch 2 000</v>
          </cell>
          <cell r="S3456" t="str">
            <v>2007Scratch 2 000</v>
          </cell>
          <cell r="T3456" t="str">
            <v>112007STS GAMBY &amp; FRERES (SOGAF) Sarl</v>
          </cell>
          <cell r="U3456" t="str">
            <v>112007STS GAMBY &amp; FRERES (SOGAF) SarlScratch 2 000</v>
          </cell>
          <cell r="V3456" t="str">
            <v>39387Scratch 2 000</v>
          </cell>
          <cell r="W3456" t="str">
            <v>2007STS GAMBY &amp; FRERES (SOGAF) Sarl</v>
          </cell>
          <cell r="X3456" t="str">
            <v>2007STS GAMBY &amp; FRERES (SOGAF) SarlScratch 2 000</v>
          </cell>
        </row>
        <row r="3457">
          <cell r="I3457">
            <v>2007</v>
          </cell>
          <cell r="J3457" t="str">
            <v>STS GAMBY &amp; FRERES (SOGAF) SarlScratch 1 000</v>
          </cell>
          <cell r="L3457">
            <v>1</v>
          </cell>
          <cell r="M3457" t="str">
            <v>1STS GAMBY &amp; FRERES (SOGAF) Sarl</v>
          </cell>
          <cell r="N3457" t="str">
            <v>STS GAMBY &amp; FRERES (SOGAF) SarlScratch 1 000</v>
          </cell>
          <cell r="O3457" t="str">
            <v>STS GAMBY &amp; FRERES (SOGAF) Sarl</v>
          </cell>
          <cell r="P3457" t="str">
            <v>Scratch 1 000</v>
          </cell>
          <cell r="Q3457" t="str">
            <v>112007</v>
          </cell>
          <cell r="R3457" t="str">
            <v>112007Scratch 1 000</v>
          </cell>
          <cell r="S3457" t="str">
            <v>2007Scratch 1 000</v>
          </cell>
          <cell r="T3457" t="str">
            <v>112007STS GAMBY &amp; FRERES (SOGAF) Sarl</v>
          </cell>
          <cell r="U3457" t="str">
            <v>112007STS GAMBY &amp; FRERES (SOGAF) SarlScratch 1 000</v>
          </cell>
          <cell r="V3457" t="str">
            <v>39387Scratch 1 000</v>
          </cell>
          <cell r="W3457" t="str">
            <v>2007STS GAMBY &amp; FRERES (SOGAF) Sarl</v>
          </cell>
          <cell r="X3457" t="str">
            <v>2007STS GAMBY &amp; FRERES (SOGAF) SarlScratch 1 000</v>
          </cell>
        </row>
        <row r="3458">
          <cell r="I3458">
            <v>2007</v>
          </cell>
          <cell r="J3458" t="str">
            <v>SOMAKOFFScratch 1 000</v>
          </cell>
          <cell r="L3458">
            <v>1</v>
          </cell>
          <cell r="M3458" t="str">
            <v>1SOMAKOFF</v>
          </cell>
          <cell r="N3458" t="str">
            <v>SOMAKOFFScratch 1 000</v>
          </cell>
          <cell r="O3458" t="str">
            <v>SOMAKOFF</v>
          </cell>
          <cell r="P3458" t="str">
            <v>Scratch 1 000</v>
          </cell>
          <cell r="Q3458" t="str">
            <v>112007</v>
          </cell>
          <cell r="R3458" t="str">
            <v>112007Scratch 1 000</v>
          </cell>
          <cell r="S3458" t="str">
            <v>2007Scratch 1 000</v>
          </cell>
          <cell r="T3458" t="str">
            <v>112007SOMAKOFF</v>
          </cell>
          <cell r="U3458" t="str">
            <v>112007SOMAKOFFScratch 1 000</v>
          </cell>
          <cell r="V3458" t="str">
            <v>39387Scratch 1 000</v>
          </cell>
          <cell r="W3458" t="str">
            <v>2007SOMAKOFF</v>
          </cell>
          <cell r="X3458" t="str">
            <v>2007SOMAKOFFScratch 1 000</v>
          </cell>
        </row>
        <row r="3459">
          <cell r="I3459">
            <v>2007</v>
          </cell>
          <cell r="J3459" t="str">
            <v>ANKA SERVICESScratch 5 000</v>
          </cell>
          <cell r="L3459">
            <v>1</v>
          </cell>
          <cell r="M3459" t="str">
            <v>1ANKA SERVICES</v>
          </cell>
          <cell r="N3459" t="str">
            <v>ANKA SERVICESScratch 5 000</v>
          </cell>
          <cell r="O3459" t="str">
            <v>ANKA SERVICES</v>
          </cell>
          <cell r="P3459" t="str">
            <v>Scratch 5 000</v>
          </cell>
          <cell r="Q3459" t="str">
            <v>112007</v>
          </cell>
          <cell r="R3459" t="str">
            <v>112007Scratch 5 000</v>
          </cell>
          <cell r="S3459" t="str">
            <v>2007Scratch 5 000</v>
          </cell>
          <cell r="T3459" t="str">
            <v>112007ANKA SERVICES</v>
          </cell>
          <cell r="U3459" t="str">
            <v>112007ANKA SERVICESScratch 5 000</v>
          </cell>
          <cell r="V3459" t="str">
            <v>39387Scratch 5 000</v>
          </cell>
          <cell r="W3459" t="str">
            <v>2007ANKA SERVICES</v>
          </cell>
          <cell r="X3459" t="str">
            <v>2007ANKA SERVICESScratch 5 000</v>
          </cell>
        </row>
        <row r="3460">
          <cell r="I3460">
            <v>2007</v>
          </cell>
          <cell r="J3460" t="str">
            <v>ANKA SERVICESScratch 2 000</v>
          </cell>
          <cell r="L3460">
            <v>0</v>
          </cell>
          <cell r="M3460" t="str">
            <v>ANKA SERVICES</v>
          </cell>
          <cell r="N3460" t="str">
            <v>ANKA SERVICESScratch 2 000</v>
          </cell>
          <cell r="O3460" t="str">
            <v>ANKA SERVICES</v>
          </cell>
          <cell r="P3460" t="str">
            <v>Scratch 2 000</v>
          </cell>
          <cell r="Q3460" t="str">
            <v>112007</v>
          </cell>
          <cell r="R3460" t="str">
            <v>112007Scratch 2 000</v>
          </cell>
          <cell r="S3460" t="str">
            <v>2007Scratch 2 000</v>
          </cell>
          <cell r="T3460" t="str">
            <v>112007ANKA SERVICES</v>
          </cell>
          <cell r="U3460" t="str">
            <v>112007ANKA SERVICESScratch 2 000</v>
          </cell>
          <cell r="V3460" t="str">
            <v>39387Scratch 2 000</v>
          </cell>
          <cell r="W3460" t="str">
            <v>2007ANKA SERVICES</v>
          </cell>
          <cell r="X3460" t="str">
            <v>2007ANKA SERVICESScratch 2 000</v>
          </cell>
        </row>
        <row r="3461">
          <cell r="I3461">
            <v>2007</v>
          </cell>
          <cell r="J3461" t="str">
            <v>ANKA SERVICESScratch 1 000</v>
          </cell>
          <cell r="L3461">
            <v>0</v>
          </cell>
          <cell r="M3461" t="str">
            <v>ANKA SERVICES</v>
          </cell>
          <cell r="N3461" t="str">
            <v>ANKA SERVICESScratch 1 000</v>
          </cell>
          <cell r="O3461" t="str">
            <v>ANKA SERVICES</v>
          </cell>
          <cell r="P3461" t="str">
            <v>Scratch 1 000</v>
          </cell>
          <cell r="Q3461" t="str">
            <v>112007</v>
          </cell>
          <cell r="R3461" t="str">
            <v>112007Scratch 1 000</v>
          </cell>
          <cell r="S3461" t="str">
            <v>2007Scratch 1 000</v>
          </cell>
          <cell r="T3461" t="str">
            <v>112007ANKA SERVICES</v>
          </cell>
          <cell r="U3461" t="str">
            <v>112007ANKA SERVICESScratch 1 000</v>
          </cell>
          <cell r="V3461" t="str">
            <v>39387Scratch 1 000</v>
          </cell>
          <cell r="W3461" t="str">
            <v>2007ANKA SERVICES</v>
          </cell>
          <cell r="X3461" t="str">
            <v>2007ANKA SERVICESScratch 1 000</v>
          </cell>
        </row>
        <row r="3462">
          <cell r="I3462">
            <v>2007</v>
          </cell>
          <cell r="J3462" t="str">
            <v>Burtel MacsymScratch 20 000</v>
          </cell>
          <cell r="L3462">
            <v>1</v>
          </cell>
          <cell r="M3462" t="str">
            <v>1Burtel Macsym</v>
          </cell>
          <cell r="N3462" t="str">
            <v>Burtel MacsymScratch 20 000</v>
          </cell>
          <cell r="O3462" t="str">
            <v>Burtel Macsym</v>
          </cell>
          <cell r="P3462" t="str">
            <v>Scratch 20 000</v>
          </cell>
          <cell r="Q3462" t="str">
            <v>112007</v>
          </cell>
          <cell r="R3462" t="str">
            <v>112007Scratch 20 000</v>
          </cell>
          <cell r="S3462" t="str">
            <v>2007Scratch 20 000</v>
          </cell>
          <cell r="T3462" t="str">
            <v>112007Burtel Macsym</v>
          </cell>
          <cell r="U3462" t="str">
            <v>112007Burtel MacsymScratch 20 000</v>
          </cell>
          <cell r="V3462" t="str">
            <v>39387Scratch 20 000</v>
          </cell>
          <cell r="W3462" t="str">
            <v>2007Burtel Macsym</v>
          </cell>
          <cell r="X3462" t="str">
            <v>2007Burtel MacsymScratch 20 000</v>
          </cell>
        </row>
        <row r="3463">
          <cell r="I3463">
            <v>2007</v>
          </cell>
          <cell r="J3463" t="str">
            <v>Burtel MacsymScratch 5 000</v>
          </cell>
          <cell r="L3463">
            <v>0</v>
          </cell>
          <cell r="M3463" t="str">
            <v>Burtel Macsym</v>
          </cell>
          <cell r="N3463" t="str">
            <v>Burtel MacsymScratch 5 000</v>
          </cell>
          <cell r="O3463" t="str">
            <v>Burtel Macsym</v>
          </cell>
          <cell r="P3463" t="str">
            <v>Scratch 5 000</v>
          </cell>
          <cell r="Q3463" t="str">
            <v>112007</v>
          </cell>
          <cell r="R3463" t="str">
            <v>112007Scratch 5 000</v>
          </cell>
          <cell r="S3463" t="str">
            <v>2007Scratch 5 000</v>
          </cell>
          <cell r="T3463" t="str">
            <v>112007Burtel Macsym</v>
          </cell>
          <cell r="U3463" t="str">
            <v>112007Burtel MacsymScratch 5 000</v>
          </cell>
          <cell r="V3463" t="str">
            <v>39387Scratch 5 000</v>
          </cell>
          <cell r="W3463" t="str">
            <v>2007Burtel Macsym</v>
          </cell>
          <cell r="X3463" t="str">
            <v>2007Burtel MacsymScratch 5 000</v>
          </cell>
        </row>
        <row r="3464">
          <cell r="I3464">
            <v>2007</v>
          </cell>
          <cell r="J3464" t="str">
            <v>Burtel MacsymScratch 2 000</v>
          </cell>
          <cell r="L3464">
            <v>0</v>
          </cell>
          <cell r="M3464" t="str">
            <v>Burtel Macsym</v>
          </cell>
          <cell r="N3464" t="str">
            <v>Burtel MacsymScratch 2 000</v>
          </cell>
          <cell r="O3464" t="str">
            <v>Burtel Macsym</v>
          </cell>
          <cell r="P3464" t="str">
            <v>Scratch 2 000</v>
          </cell>
          <cell r="Q3464" t="str">
            <v>112007</v>
          </cell>
          <cell r="R3464" t="str">
            <v>112007Scratch 2 000</v>
          </cell>
          <cell r="S3464" t="str">
            <v>2007Scratch 2 000</v>
          </cell>
          <cell r="T3464" t="str">
            <v>112007Burtel Macsym</v>
          </cell>
          <cell r="U3464" t="str">
            <v>112007Burtel MacsymScratch 2 000</v>
          </cell>
          <cell r="V3464" t="str">
            <v>39387Scratch 2 000</v>
          </cell>
          <cell r="W3464" t="str">
            <v>2007Burtel Macsym</v>
          </cell>
          <cell r="X3464" t="str">
            <v>2007Burtel MacsymScratch 2 000</v>
          </cell>
        </row>
        <row r="3465">
          <cell r="I3465">
            <v>2007</v>
          </cell>
          <cell r="J3465" t="str">
            <v>Burtel MacsymScratch 1 000</v>
          </cell>
          <cell r="L3465">
            <v>1</v>
          </cell>
          <cell r="M3465" t="str">
            <v>1Burtel Macsym</v>
          </cell>
          <cell r="N3465" t="str">
            <v>Burtel MacsymScratch 1 000</v>
          </cell>
          <cell r="O3465" t="str">
            <v>Burtel Macsym</v>
          </cell>
          <cell r="P3465" t="str">
            <v>Scratch 1 000</v>
          </cell>
          <cell r="Q3465" t="str">
            <v>112007</v>
          </cell>
          <cell r="R3465" t="str">
            <v>112007Scratch 1 000</v>
          </cell>
          <cell r="S3465" t="str">
            <v>2007Scratch 1 000</v>
          </cell>
          <cell r="T3465" t="str">
            <v>112007Burtel Macsym</v>
          </cell>
          <cell r="U3465" t="str">
            <v>112007Burtel MacsymScratch 1 000</v>
          </cell>
          <cell r="V3465" t="str">
            <v>39387Scratch 1 000</v>
          </cell>
          <cell r="W3465" t="str">
            <v>2007Burtel Macsym</v>
          </cell>
          <cell r="X3465" t="str">
            <v>2007Burtel MacsymScratch 1 000</v>
          </cell>
        </row>
        <row r="3466">
          <cell r="I3466">
            <v>2007</v>
          </cell>
          <cell r="J3466" t="str">
            <v>MALI COM SarlScratch 20 000</v>
          </cell>
          <cell r="L3466">
            <v>1</v>
          </cell>
          <cell r="M3466" t="str">
            <v>1MALI COM Sarl</v>
          </cell>
          <cell r="N3466" t="str">
            <v>MALI COM SarlScratch 20 000</v>
          </cell>
          <cell r="O3466" t="str">
            <v>MALI COM Sarl</v>
          </cell>
          <cell r="P3466" t="str">
            <v>Scratch 20 000</v>
          </cell>
          <cell r="Q3466" t="str">
            <v>112007</v>
          </cell>
          <cell r="R3466" t="str">
            <v>112007Scratch 20 000</v>
          </cell>
          <cell r="S3466" t="str">
            <v>2007Scratch 20 000</v>
          </cell>
          <cell r="T3466" t="str">
            <v>112007MALI COM Sarl</v>
          </cell>
          <cell r="U3466" t="str">
            <v>112007MALI COM SarlScratch 20 000</v>
          </cell>
          <cell r="V3466" t="str">
            <v>39387Scratch 20 000</v>
          </cell>
          <cell r="W3466" t="str">
            <v>2007MALI COM Sarl</v>
          </cell>
          <cell r="X3466" t="str">
            <v>2007MALI COM SarlScratch 20 000</v>
          </cell>
        </row>
        <row r="3467">
          <cell r="I3467">
            <v>2007</v>
          </cell>
          <cell r="J3467" t="str">
            <v>MALI COM SarlScratch 5 000</v>
          </cell>
          <cell r="L3467">
            <v>0</v>
          </cell>
          <cell r="M3467" t="str">
            <v>MALI COM Sarl</v>
          </cell>
          <cell r="N3467" t="str">
            <v>MALI COM SarlScratch 5 000</v>
          </cell>
          <cell r="O3467" t="str">
            <v>MALI COM Sarl</v>
          </cell>
          <cell r="P3467" t="str">
            <v>Scratch 5 000</v>
          </cell>
          <cell r="Q3467" t="str">
            <v>112007</v>
          </cell>
          <cell r="R3467" t="str">
            <v>112007Scratch 5 000</v>
          </cell>
          <cell r="S3467" t="str">
            <v>2007Scratch 5 000</v>
          </cell>
          <cell r="T3467" t="str">
            <v>112007MALI COM Sarl</v>
          </cell>
          <cell r="U3467" t="str">
            <v>112007MALI COM SarlScratch 5 000</v>
          </cell>
          <cell r="V3467" t="str">
            <v>39387Scratch 5 000</v>
          </cell>
          <cell r="W3467" t="str">
            <v>2007MALI COM Sarl</v>
          </cell>
          <cell r="X3467" t="str">
            <v>2007MALI COM SarlScratch 5 000</v>
          </cell>
        </row>
        <row r="3468">
          <cell r="I3468">
            <v>2007</v>
          </cell>
          <cell r="J3468" t="str">
            <v>MALI COM SarlScratch 2 000</v>
          </cell>
          <cell r="L3468">
            <v>0</v>
          </cell>
          <cell r="M3468" t="str">
            <v>MALI COM Sarl</v>
          </cell>
          <cell r="N3468" t="str">
            <v>MALI COM SarlScratch 2 000</v>
          </cell>
          <cell r="O3468" t="str">
            <v>MALI COM Sarl</v>
          </cell>
          <cell r="P3468" t="str">
            <v>Scratch 2 000</v>
          </cell>
          <cell r="Q3468" t="str">
            <v>112007</v>
          </cell>
          <cell r="R3468" t="str">
            <v>112007Scratch 2 000</v>
          </cell>
          <cell r="S3468" t="str">
            <v>2007Scratch 2 000</v>
          </cell>
          <cell r="T3468" t="str">
            <v>112007MALI COM Sarl</v>
          </cell>
          <cell r="U3468" t="str">
            <v>112007MALI COM SarlScratch 2 000</v>
          </cell>
          <cell r="V3468" t="str">
            <v>39387Scratch 2 000</v>
          </cell>
          <cell r="W3468" t="str">
            <v>2007MALI COM Sarl</v>
          </cell>
          <cell r="X3468" t="str">
            <v>2007MALI COM SarlScratch 2 000</v>
          </cell>
        </row>
        <row r="3469">
          <cell r="I3469">
            <v>2007</v>
          </cell>
          <cell r="J3469" t="str">
            <v>MALI COM SarlScratch 1 000</v>
          </cell>
          <cell r="L3469">
            <v>1</v>
          </cell>
          <cell r="M3469" t="str">
            <v>1MALI COM Sarl</v>
          </cell>
          <cell r="N3469" t="str">
            <v>MALI COM SarlScratch 1 000</v>
          </cell>
          <cell r="O3469" t="str">
            <v>MALI COM Sarl</v>
          </cell>
          <cell r="P3469" t="str">
            <v>Scratch 1 000</v>
          </cell>
          <cell r="Q3469" t="str">
            <v>112007</v>
          </cell>
          <cell r="R3469" t="str">
            <v>112007Scratch 1 000</v>
          </cell>
          <cell r="S3469" t="str">
            <v>2007Scratch 1 000</v>
          </cell>
          <cell r="T3469" t="str">
            <v>112007MALI COM Sarl</v>
          </cell>
          <cell r="U3469" t="str">
            <v>112007MALI COM SarlScratch 1 000</v>
          </cell>
          <cell r="V3469" t="str">
            <v>39387Scratch 1 000</v>
          </cell>
          <cell r="W3469" t="str">
            <v>2007MALI COM Sarl</v>
          </cell>
          <cell r="X3469" t="str">
            <v>2007MALI COM SarlScratch 1 000</v>
          </cell>
        </row>
        <row r="3470">
          <cell r="I3470">
            <v>2007</v>
          </cell>
          <cell r="J3470" t="str">
            <v>Burtel MacsymScratch 5 000</v>
          </cell>
          <cell r="L3470">
            <v>1</v>
          </cell>
          <cell r="M3470" t="str">
            <v>1Burtel Macsym</v>
          </cell>
          <cell r="N3470" t="str">
            <v>Burtel MacsymScratch 5 000</v>
          </cell>
          <cell r="O3470" t="str">
            <v>Burtel Macsym</v>
          </cell>
          <cell r="P3470" t="str">
            <v>Scratch 5 000</v>
          </cell>
          <cell r="Q3470" t="str">
            <v>112007</v>
          </cell>
          <cell r="R3470" t="str">
            <v>112007Scratch 5 000</v>
          </cell>
          <cell r="S3470" t="str">
            <v>2007Scratch 5 000</v>
          </cell>
          <cell r="T3470" t="str">
            <v>112007Burtel Macsym</v>
          </cell>
          <cell r="U3470" t="str">
            <v>112007Burtel MacsymScratch 5 000</v>
          </cell>
          <cell r="V3470" t="str">
            <v>39387Scratch 5 000</v>
          </cell>
          <cell r="W3470" t="str">
            <v>2007Burtel Macsym</v>
          </cell>
          <cell r="X3470" t="str">
            <v>2007Burtel MacsymScratch 5 000</v>
          </cell>
        </row>
        <row r="3471">
          <cell r="I3471">
            <v>2007</v>
          </cell>
          <cell r="J3471" t="str">
            <v>Burtel MacsymScratch 2 000</v>
          </cell>
          <cell r="L3471">
            <v>0</v>
          </cell>
          <cell r="M3471" t="str">
            <v>Burtel Macsym</v>
          </cell>
          <cell r="N3471" t="str">
            <v>Burtel MacsymScratch 2 000</v>
          </cell>
          <cell r="O3471" t="str">
            <v>Burtel Macsym</v>
          </cell>
          <cell r="P3471" t="str">
            <v>Scratch 2 000</v>
          </cell>
          <cell r="Q3471" t="str">
            <v>112007</v>
          </cell>
          <cell r="R3471" t="str">
            <v>112007Scratch 2 000</v>
          </cell>
          <cell r="S3471" t="str">
            <v>2007Scratch 2 000</v>
          </cell>
          <cell r="T3471" t="str">
            <v>112007Burtel Macsym</v>
          </cell>
          <cell r="U3471" t="str">
            <v>112007Burtel MacsymScratch 2 000</v>
          </cell>
          <cell r="V3471" t="str">
            <v>39387Scratch 2 000</v>
          </cell>
          <cell r="W3471" t="str">
            <v>2007Burtel Macsym</v>
          </cell>
          <cell r="X3471" t="str">
            <v>2007Burtel MacsymScratch 2 000</v>
          </cell>
        </row>
        <row r="3472">
          <cell r="I3472">
            <v>2007</v>
          </cell>
          <cell r="J3472" t="str">
            <v>Burtel MacsymScratch 1 000</v>
          </cell>
          <cell r="L3472">
            <v>1</v>
          </cell>
          <cell r="M3472" t="str">
            <v>1Burtel Macsym</v>
          </cell>
          <cell r="N3472" t="str">
            <v>Burtel MacsymScratch 1 000</v>
          </cell>
          <cell r="O3472" t="str">
            <v>Burtel Macsym</v>
          </cell>
          <cell r="P3472" t="str">
            <v>Scratch 1 000</v>
          </cell>
          <cell r="Q3472" t="str">
            <v>112007</v>
          </cell>
          <cell r="R3472" t="str">
            <v>112007Scratch 1 000</v>
          </cell>
          <cell r="S3472" t="str">
            <v>2007Scratch 1 000</v>
          </cell>
          <cell r="T3472" t="str">
            <v>112007Burtel Macsym</v>
          </cell>
          <cell r="U3472" t="str">
            <v>112007Burtel MacsymScratch 1 000</v>
          </cell>
          <cell r="V3472" t="str">
            <v>39387Scratch 1 000</v>
          </cell>
          <cell r="W3472" t="str">
            <v>2007Burtel Macsym</v>
          </cell>
          <cell r="X3472" t="str">
            <v>2007Burtel MacsymScratch 1 000</v>
          </cell>
        </row>
        <row r="3473">
          <cell r="I3473">
            <v>2007</v>
          </cell>
          <cell r="J3473" t="str">
            <v>CellNets MaliMinutes</v>
          </cell>
          <cell r="L3473">
            <v>1</v>
          </cell>
          <cell r="M3473" t="str">
            <v>1CellNets Mali</v>
          </cell>
          <cell r="N3473" t="str">
            <v>CellNets MaliMinutes</v>
          </cell>
          <cell r="O3473" t="str">
            <v>CellNets Mali</v>
          </cell>
          <cell r="P3473" t="str">
            <v>Minutes</v>
          </cell>
          <cell r="Q3473" t="str">
            <v>112007</v>
          </cell>
          <cell r="R3473" t="str">
            <v>112007Minutes</v>
          </cell>
          <cell r="S3473" t="str">
            <v>2007Minutes</v>
          </cell>
          <cell r="T3473" t="str">
            <v>112007CellNets Mali</v>
          </cell>
          <cell r="U3473" t="str">
            <v>112007CellNets MaliMinutes</v>
          </cell>
          <cell r="V3473" t="str">
            <v>39388Minutes</v>
          </cell>
          <cell r="W3473" t="str">
            <v>2007CellNets Mali</v>
          </cell>
          <cell r="X3473" t="str">
            <v>2007CellNets MaliMinutes</v>
          </cell>
        </row>
        <row r="3474">
          <cell r="I3474">
            <v>2007</v>
          </cell>
          <cell r="J3474" t="str">
            <v>Compagnie Internationale de NegoceScratch 5 000</v>
          </cell>
          <cell r="L3474">
            <v>1</v>
          </cell>
          <cell r="M3474" t="str">
            <v>1Compagnie Internationale de Negoce</v>
          </cell>
          <cell r="N3474" t="str">
            <v>Compagnie Internationale de NegoceScratch 5 000</v>
          </cell>
          <cell r="O3474" t="str">
            <v>Compagnie Internationale de Negoce</v>
          </cell>
          <cell r="P3474" t="str">
            <v>Scratch 5 000</v>
          </cell>
          <cell r="Q3474" t="str">
            <v>112007</v>
          </cell>
          <cell r="R3474" t="str">
            <v>112007Scratch 5 000</v>
          </cell>
          <cell r="S3474" t="str">
            <v>2007Scratch 5 000</v>
          </cell>
          <cell r="T3474" t="str">
            <v>112007Compagnie Internationale de Negoce</v>
          </cell>
          <cell r="U3474" t="str">
            <v>112007Compagnie Internationale de NegoceScratch 5 000</v>
          </cell>
          <cell r="V3474" t="str">
            <v>39388Scratch 5 000</v>
          </cell>
          <cell r="W3474" t="str">
            <v>2007Compagnie Internationale de Negoce</v>
          </cell>
          <cell r="X3474" t="str">
            <v>2007Compagnie Internationale de NegoceScratch 5 000</v>
          </cell>
        </row>
        <row r="3475">
          <cell r="I3475">
            <v>2007</v>
          </cell>
          <cell r="J3475" t="str">
            <v>Compagnie Internationale de NegoceScratch 2 000</v>
          </cell>
          <cell r="L3475">
            <v>0</v>
          </cell>
          <cell r="M3475" t="str">
            <v>Compagnie Internationale de Negoce</v>
          </cell>
          <cell r="N3475" t="str">
            <v>Compagnie Internationale de NegoceScratch 2 000</v>
          </cell>
          <cell r="O3475" t="str">
            <v>Compagnie Internationale de Negoce</v>
          </cell>
          <cell r="P3475" t="str">
            <v>Scratch 2 000</v>
          </cell>
          <cell r="Q3475" t="str">
            <v>112007</v>
          </cell>
          <cell r="R3475" t="str">
            <v>112007Scratch 2 000</v>
          </cell>
          <cell r="S3475" t="str">
            <v>2007Scratch 2 000</v>
          </cell>
          <cell r="T3475" t="str">
            <v>112007Compagnie Internationale de Negoce</v>
          </cell>
          <cell r="U3475" t="str">
            <v>112007Compagnie Internationale de NegoceScratch 2 000</v>
          </cell>
          <cell r="V3475" t="str">
            <v>39388Scratch 2 000</v>
          </cell>
          <cell r="W3475" t="str">
            <v>2007Compagnie Internationale de Negoce</v>
          </cell>
          <cell r="X3475" t="str">
            <v>2007Compagnie Internationale de NegoceScratch 2 000</v>
          </cell>
        </row>
        <row r="3476">
          <cell r="I3476">
            <v>2007</v>
          </cell>
          <cell r="J3476" t="str">
            <v>Compagnie Internationale de NegoceScratch 1 000</v>
          </cell>
          <cell r="L3476">
            <v>0</v>
          </cell>
          <cell r="M3476" t="str">
            <v>Compagnie Internationale de Negoce</v>
          </cell>
          <cell r="N3476" t="str">
            <v>Compagnie Internationale de NegoceScratch 1 000</v>
          </cell>
          <cell r="O3476" t="str">
            <v>Compagnie Internationale de Negoce</v>
          </cell>
          <cell r="P3476" t="str">
            <v>Scratch 1 000</v>
          </cell>
          <cell r="Q3476" t="str">
            <v>112007</v>
          </cell>
          <cell r="R3476" t="str">
            <v>112007Scratch 1 000</v>
          </cell>
          <cell r="S3476" t="str">
            <v>2007Scratch 1 000</v>
          </cell>
          <cell r="T3476" t="str">
            <v>112007Compagnie Internationale de Negoce</v>
          </cell>
          <cell r="U3476" t="str">
            <v>112007Compagnie Internationale de NegoceScratch 1 000</v>
          </cell>
          <cell r="V3476" t="str">
            <v>39388Scratch 1 000</v>
          </cell>
          <cell r="W3476" t="str">
            <v>2007Compagnie Internationale de Negoce</v>
          </cell>
          <cell r="X3476" t="str">
            <v>2007Compagnie Internationale de NegoceScratch 1 000</v>
          </cell>
        </row>
        <row r="3477">
          <cell r="I3477">
            <v>2007</v>
          </cell>
          <cell r="J3477" t="str">
            <v>STS GAMBY &amp; FRERES (SOGAF) SarlScratch 5 000</v>
          </cell>
          <cell r="L3477">
            <v>1</v>
          </cell>
          <cell r="M3477" t="str">
            <v>1STS GAMBY &amp; FRERES (SOGAF) Sarl</v>
          </cell>
          <cell r="N3477" t="str">
            <v>STS GAMBY &amp; FRERES (SOGAF) SarlScratch 5 000</v>
          </cell>
          <cell r="O3477" t="str">
            <v>STS GAMBY &amp; FRERES (SOGAF) Sarl</v>
          </cell>
          <cell r="P3477" t="str">
            <v>Scratch 5 000</v>
          </cell>
          <cell r="Q3477" t="str">
            <v>112007</v>
          </cell>
          <cell r="R3477" t="str">
            <v>112007Scratch 5 000</v>
          </cell>
          <cell r="S3477" t="str">
            <v>2007Scratch 5 000</v>
          </cell>
          <cell r="T3477" t="str">
            <v>112007STS GAMBY &amp; FRERES (SOGAF) Sarl</v>
          </cell>
          <cell r="U3477" t="str">
            <v>112007STS GAMBY &amp; FRERES (SOGAF) SarlScratch 5 000</v>
          </cell>
          <cell r="V3477" t="str">
            <v>39388Scratch 5 000</v>
          </cell>
          <cell r="W3477" t="str">
            <v>2007STS GAMBY &amp; FRERES (SOGAF) Sarl</v>
          </cell>
          <cell r="X3477" t="str">
            <v>2007STS GAMBY &amp; FRERES (SOGAF) SarlScratch 5 000</v>
          </cell>
        </row>
        <row r="3478">
          <cell r="I3478">
            <v>2007</v>
          </cell>
          <cell r="J3478" t="str">
            <v>STS GAMBY &amp; FRERES (SOGAF) SarlScratch 2 000</v>
          </cell>
          <cell r="L3478">
            <v>0</v>
          </cell>
          <cell r="M3478" t="str">
            <v>STS GAMBY &amp; FRERES (SOGAF) Sarl</v>
          </cell>
          <cell r="N3478" t="str">
            <v>STS GAMBY &amp; FRERES (SOGAF) SarlScratch 2 000</v>
          </cell>
          <cell r="O3478" t="str">
            <v>STS GAMBY &amp; FRERES (SOGAF) Sarl</v>
          </cell>
          <cell r="P3478" t="str">
            <v>Scratch 2 000</v>
          </cell>
          <cell r="Q3478" t="str">
            <v>112007</v>
          </cell>
          <cell r="R3478" t="str">
            <v>112007Scratch 2 000</v>
          </cell>
          <cell r="S3478" t="str">
            <v>2007Scratch 2 000</v>
          </cell>
          <cell r="T3478" t="str">
            <v>112007STS GAMBY &amp; FRERES (SOGAF) Sarl</v>
          </cell>
          <cell r="U3478" t="str">
            <v>112007STS GAMBY &amp; FRERES (SOGAF) SarlScratch 2 000</v>
          </cell>
          <cell r="V3478" t="str">
            <v>39388Scratch 2 000</v>
          </cell>
          <cell r="W3478" t="str">
            <v>2007STS GAMBY &amp; FRERES (SOGAF) Sarl</v>
          </cell>
          <cell r="X3478" t="str">
            <v>2007STS GAMBY &amp; FRERES (SOGAF) SarlScratch 2 000</v>
          </cell>
        </row>
        <row r="3479">
          <cell r="I3479">
            <v>2007</v>
          </cell>
          <cell r="J3479" t="str">
            <v>STS GAMBY &amp; FRERES (SOGAF) SarlScratch 1 000</v>
          </cell>
          <cell r="L3479">
            <v>0</v>
          </cell>
          <cell r="M3479" t="str">
            <v>STS GAMBY &amp; FRERES (SOGAF) Sarl</v>
          </cell>
          <cell r="N3479" t="str">
            <v>STS GAMBY &amp; FRERES (SOGAF) SarlScratch 1 000</v>
          </cell>
          <cell r="O3479" t="str">
            <v>STS GAMBY &amp; FRERES (SOGAF) Sarl</v>
          </cell>
          <cell r="P3479" t="str">
            <v>Scratch 1 000</v>
          </cell>
          <cell r="Q3479" t="str">
            <v>112007</v>
          </cell>
          <cell r="R3479" t="str">
            <v>112007Scratch 1 000</v>
          </cell>
          <cell r="S3479" t="str">
            <v>2007Scratch 1 000</v>
          </cell>
          <cell r="T3479" t="str">
            <v>112007STS GAMBY &amp; FRERES (SOGAF) Sarl</v>
          </cell>
          <cell r="U3479" t="str">
            <v>112007STS GAMBY &amp; FRERES (SOGAF) SarlScratch 1 000</v>
          </cell>
          <cell r="V3479" t="str">
            <v>39388Scratch 1 000</v>
          </cell>
          <cell r="W3479" t="str">
            <v>2007STS GAMBY &amp; FRERES (SOGAF) Sarl</v>
          </cell>
          <cell r="X3479" t="str">
            <v>2007STS GAMBY &amp; FRERES (SOGAF) SarlScratch 1 000</v>
          </cell>
        </row>
        <row r="3480">
          <cell r="I3480">
            <v>2007</v>
          </cell>
          <cell r="J3480" t="str">
            <v>Burtel MacsymScratch 5 000</v>
          </cell>
          <cell r="L3480">
            <v>1</v>
          </cell>
          <cell r="M3480" t="str">
            <v>1Burtel Macsym</v>
          </cell>
          <cell r="N3480" t="str">
            <v>Burtel MacsymScratch 5 000</v>
          </cell>
          <cell r="O3480" t="str">
            <v>Burtel Macsym</v>
          </cell>
          <cell r="P3480" t="str">
            <v>Scratch 5 000</v>
          </cell>
          <cell r="Q3480" t="str">
            <v>112007</v>
          </cell>
          <cell r="R3480" t="str">
            <v>112007Scratch 5 000</v>
          </cell>
          <cell r="S3480" t="str">
            <v>2007Scratch 5 000</v>
          </cell>
          <cell r="T3480" t="str">
            <v>112007Burtel Macsym</v>
          </cell>
          <cell r="U3480" t="str">
            <v>112007Burtel MacsymScratch 5 000</v>
          </cell>
          <cell r="V3480" t="str">
            <v>39388Scratch 5 000</v>
          </cell>
          <cell r="W3480" t="str">
            <v>2007Burtel Macsym</v>
          </cell>
          <cell r="X3480" t="str">
            <v>2007Burtel MacsymScratch 5 000</v>
          </cell>
        </row>
        <row r="3481">
          <cell r="I3481">
            <v>2007</v>
          </cell>
          <cell r="J3481" t="str">
            <v>Burtel MacsymScratch 2 000</v>
          </cell>
          <cell r="L3481">
            <v>0</v>
          </cell>
          <cell r="M3481" t="str">
            <v>Burtel Macsym</v>
          </cell>
          <cell r="N3481" t="str">
            <v>Burtel MacsymScratch 2 000</v>
          </cell>
          <cell r="O3481" t="str">
            <v>Burtel Macsym</v>
          </cell>
          <cell r="P3481" t="str">
            <v>Scratch 2 000</v>
          </cell>
          <cell r="Q3481" t="str">
            <v>112007</v>
          </cell>
          <cell r="R3481" t="str">
            <v>112007Scratch 2 000</v>
          </cell>
          <cell r="S3481" t="str">
            <v>2007Scratch 2 000</v>
          </cell>
          <cell r="T3481" t="str">
            <v>112007Burtel Macsym</v>
          </cell>
          <cell r="U3481" t="str">
            <v>112007Burtel MacsymScratch 2 000</v>
          </cell>
          <cell r="V3481" t="str">
            <v>39388Scratch 2 000</v>
          </cell>
          <cell r="W3481" t="str">
            <v>2007Burtel Macsym</v>
          </cell>
          <cell r="X3481" t="str">
            <v>2007Burtel MacsymScratch 2 000</v>
          </cell>
        </row>
        <row r="3482">
          <cell r="I3482">
            <v>2007</v>
          </cell>
          <cell r="J3482" t="str">
            <v>Burtel MacsymScratch 1 000</v>
          </cell>
          <cell r="L3482">
            <v>0</v>
          </cell>
          <cell r="M3482" t="str">
            <v>Burtel Macsym</v>
          </cell>
          <cell r="N3482" t="str">
            <v>Burtel MacsymScratch 1 000</v>
          </cell>
          <cell r="O3482" t="str">
            <v>Burtel Macsym</v>
          </cell>
          <cell r="P3482" t="str">
            <v>Scratch 1 000</v>
          </cell>
          <cell r="Q3482" t="str">
            <v>112007</v>
          </cell>
          <cell r="R3482" t="str">
            <v>112007Scratch 1 000</v>
          </cell>
          <cell r="S3482" t="str">
            <v>2007Scratch 1 000</v>
          </cell>
          <cell r="T3482" t="str">
            <v>112007Burtel Macsym</v>
          </cell>
          <cell r="U3482" t="str">
            <v>112007Burtel MacsymScratch 1 000</v>
          </cell>
          <cell r="V3482" t="str">
            <v>39388Scratch 1 000</v>
          </cell>
          <cell r="W3482" t="str">
            <v>2007Burtel Macsym</v>
          </cell>
          <cell r="X3482" t="str">
            <v>2007Burtel MacsymScratch 1 000</v>
          </cell>
        </row>
        <row r="3483">
          <cell r="I3483">
            <v>2007</v>
          </cell>
          <cell r="J3483" t="str">
            <v>Burtel MacsymScratch 20 000</v>
          </cell>
          <cell r="L3483">
            <v>1</v>
          </cell>
          <cell r="M3483" t="str">
            <v>1Burtel Macsym</v>
          </cell>
          <cell r="N3483" t="str">
            <v>Burtel MacsymScratch 20 000</v>
          </cell>
          <cell r="O3483" t="str">
            <v>Burtel Macsym</v>
          </cell>
          <cell r="P3483" t="str">
            <v>Scratch 20 000</v>
          </cell>
          <cell r="Q3483" t="str">
            <v>112007</v>
          </cell>
          <cell r="R3483" t="str">
            <v>112007Scratch 20 000</v>
          </cell>
          <cell r="S3483" t="str">
            <v>2007Scratch 20 000</v>
          </cell>
          <cell r="T3483" t="str">
            <v>112007Burtel Macsym</v>
          </cell>
          <cell r="U3483" t="str">
            <v>112007Burtel MacsymScratch 20 000</v>
          </cell>
          <cell r="V3483" t="str">
            <v>39388Scratch 20 000</v>
          </cell>
          <cell r="W3483" t="str">
            <v>2007Burtel Macsym</v>
          </cell>
          <cell r="X3483" t="str">
            <v>2007Burtel MacsymScratch 20 000</v>
          </cell>
        </row>
        <row r="3484">
          <cell r="I3484">
            <v>2007</v>
          </cell>
          <cell r="J3484" t="str">
            <v>Burtel MacsymScratch 10 000</v>
          </cell>
          <cell r="L3484">
            <v>0</v>
          </cell>
          <cell r="M3484" t="str">
            <v>Burtel Macsym</v>
          </cell>
          <cell r="N3484" t="str">
            <v>Burtel MacsymScratch 10 000</v>
          </cell>
          <cell r="O3484" t="str">
            <v>Burtel Macsym</v>
          </cell>
          <cell r="P3484" t="str">
            <v>Scratch 10 000</v>
          </cell>
          <cell r="Q3484" t="str">
            <v>112007</v>
          </cell>
          <cell r="R3484" t="str">
            <v>112007Scratch 10 000</v>
          </cell>
          <cell r="S3484" t="str">
            <v>2007Scratch 10 000</v>
          </cell>
          <cell r="T3484" t="str">
            <v>112007Burtel Macsym</v>
          </cell>
          <cell r="U3484" t="str">
            <v>112007Burtel MacsymScratch 10 000</v>
          </cell>
          <cell r="V3484" t="str">
            <v>39388Scratch 10 000</v>
          </cell>
          <cell r="W3484" t="str">
            <v>2007Burtel Macsym</v>
          </cell>
          <cell r="X3484" t="str">
            <v>2007Burtel MacsymScratch 10 000</v>
          </cell>
        </row>
        <row r="3485">
          <cell r="I3485">
            <v>2007</v>
          </cell>
          <cell r="J3485" t="str">
            <v>Burtel MacsymScratch 5 000</v>
          </cell>
          <cell r="L3485">
            <v>0</v>
          </cell>
          <cell r="M3485" t="str">
            <v>Burtel Macsym</v>
          </cell>
          <cell r="N3485" t="str">
            <v>Burtel MacsymScratch 5 000</v>
          </cell>
          <cell r="O3485" t="str">
            <v>Burtel Macsym</v>
          </cell>
          <cell r="P3485" t="str">
            <v>Scratch 5 000</v>
          </cell>
          <cell r="Q3485" t="str">
            <v>112007</v>
          </cell>
          <cell r="R3485" t="str">
            <v>112007Scratch 5 000</v>
          </cell>
          <cell r="S3485" t="str">
            <v>2007Scratch 5 000</v>
          </cell>
          <cell r="T3485" t="str">
            <v>112007Burtel Macsym</v>
          </cell>
          <cell r="U3485" t="str">
            <v>112007Burtel MacsymScratch 5 000</v>
          </cell>
          <cell r="V3485" t="str">
            <v>39388Scratch 5 000</v>
          </cell>
          <cell r="W3485" t="str">
            <v>2007Burtel Macsym</v>
          </cell>
          <cell r="X3485" t="str">
            <v>2007Burtel MacsymScratch 5 000</v>
          </cell>
        </row>
        <row r="3486">
          <cell r="I3486">
            <v>2007</v>
          </cell>
          <cell r="J3486" t="str">
            <v>Burtel MacsymScratch 2 000</v>
          </cell>
          <cell r="L3486">
            <v>0</v>
          </cell>
          <cell r="M3486" t="str">
            <v>Burtel Macsym</v>
          </cell>
          <cell r="N3486" t="str">
            <v>Burtel MacsymScratch 2 000</v>
          </cell>
          <cell r="O3486" t="str">
            <v>Burtel Macsym</v>
          </cell>
          <cell r="P3486" t="str">
            <v>Scratch 2 000</v>
          </cell>
          <cell r="Q3486" t="str">
            <v>112007</v>
          </cell>
          <cell r="R3486" t="str">
            <v>112007Scratch 2 000</v>
          </cell>
          <cell r="S3486" t="str">
            <v>2007Scratch 2 000</v>
          </cell>
          <cell r="T3486" t="str">
            <v>112007Burtel Macsym</v>
          </cell>
          <cell r="U3486" t="str">
            <v>112007Burtel MacsymScratch 2 000</v>
          </cell>
          <cell r="V3486" t="str">
            <v>39388Scratch 2 000</v>
          </cell>
          <cell r="W3486" t="str">
            <v>2007Burtel Macsym</v>
          </cell>
          <cell r="X3486" t="str">
            <v>2007Burtel MacsymScratch 2 000</v>
          </cell>
        </row>
        <row r="3487">
          <cell r="I3487">
            <v>2007</v>
          </cell>
          <cell r="J3487" t="str">
            <v>Burtel MacsymScratch 1 000</v>
          </cell>
          <cell r="L3487">
            <v>0</v>
          </cell>
          <cell r="M3487" t="str">
            <v>Burtel Macsym</v>
          </cell>
          <cell r="N3487" t="str">
            <v>Burtel MacsymScratch 1 000</v>
          </cell>
          <cell r="O3487" t="str">
            <v>Burtel Macsym</v>
          </cell>
          <cell r="P3487" t="str">
            <v>Scratch 1 000</v>
          </cell>
          <cell r="Q3487" t="str">
            <v>112007</v>
          </cell>
          <cell r="R3487" t="str">
            <v>112007Scratch 1 000</v>
          </cell>
          <cell r="S3487" t="str">
            <v>2007Scratch 1 000</v>
          </cell>
          <cell r="T3487" t="str">
            <v>112007Burtel Macsym</v>
          </cell>
          <cell r="U3487" t="str">
            <v>112007Burtel MacsymScratch 1 000</v>
          </cell>
          <cell r="V3487" t="str">
            <v>39388Scratch 1 000</v>
          </cell>
          <cell r="W3487" t="str">
            <v>2007Burtel Macsym</v>
          </cell>
          <cell r="X3487" t="str">
            <v>2007Burtel MacsymScratch 1 000</v>
          </cell>
        </row>
        <row r="3488">
          <cell r="I3488">
            <v>2007</v>
          </cell>
          <cell r="J3488" t="str">
            <v>Ets Boubacar TANDIAScratch 20 000</v>
          </cell>
          <cell r="L3488">
            <v>1</v>
          </cell>
          <cell r="M3488" t="str">
            <v>1Ets Boubacar TANDIA</v>
          </cell>
          <cell r="N3488" t="str">
            <v>Ets Boubacar TANDIAScratch 20 000</v>
          </cell>
          <cell r="O3488" t="str">
            <v>Ets Boubacar TANDIA</v>
          </cell>
          <cell r="P3488" t="str">
            <v>Scratch 20 000</v>
          </cell>
          <cell r="Q3488" t="str">
            <v>112007</v>
          </cell>
          <cell r="R3488" t="str">
            <v>112007Scratch 20 000</v>
          </cell>
          <cell r="S3488" t="str">
            <v>2007Scratch 20 000</v>
          </cell>
          <cell r="T3488" t="str">
            <v>112007Ets Boubacar TANDIA</v>
          </cell>
          <cell r="U3488" t="str">
            <v>112007Ets Boubacar TANDIAScratch 20 000</v>
          </cell>
          <cell r="V3488" t="str">
            <v>39388Scratch 20 000</v>
          </cell>
          <cell r="W3488" t="str">
            <v>2007Ets Boubacar TANDIA</v>
          </cell>
          <cell r="X3488" t="str">
            <v>2007Ets Boubacar TANDIAScratch 20 000</v>
          </cell>
        </row>
        <row r="3489">
          <cell r="I3489">
            <v>2007</v>
          </cell>
          <cell r="J3489" t="str">
            <v>Ets Boubacar TANDIAScratch 10 000</v>
          </cell>
          <cell r="L3489">
            <v>0</v>
          </cell>
          <cell r="M3489" t="str">
            <v>Ets Boubacar TANDIA</v>
          </cell>
          <cell r="N3489" t="str">
            <v>Ets Boubacar TANDIAScratch 10 000</v>
          </cell>
          <cell r="O3489" t="str">
            <v>Ets Boubacar TANDIA</v>
          </cell>
          <cell r="P3489" t="str">
            <v>Scratch 10 000</v>
          </cell>
          <cell r="Q3489" t="str">
            <v>112007</v>
          </cell>
          <cell r="R3489" t="str">
            <v>112007Scratch 10 000</v>
          </cell>
          <cell r="S3489" t="str">
            <v>2007Scratch 10 000</v>
          </cell>
          <cell r="T3489" t="str">
            <v>112007Ets Boubacar TANDIA</v>
          </cell>
          <cell r="U3489" t="str">
            <v>112007Ets Boubacar TANDIAScratch 10 000</v>
          </cell>
          <cell r="V3489" t="str">
            <v>39388Scratch 10 000</v>
          </cell>
          <cell r="W3489" t="str">
            <v>2007Ets Boubacar TANDIA</v>
          </cell>
          <cell r="X3489" t="str">
            <v>2007Ets Boubacar TANDIAScratch 10 000</v>
          </cell>
        </row>
        <row r="3490">
          <cell r="I3490">
            <v>2007</v>
          </cell>
          <cell r="J3490" t="str">
            <v>Ets Boubacar TANDIAScratch 5 000</v>
          </cell>
          <cell r="L3490">
            <v>0</v>
          </cell>
          <cell r="M3490" t="str">
            <v>Ets Boubacar TANDIA</v>
          </cell>
          <cell r="N3490" t="str">
            <v>Ets Boubacar TANDIAScratch 5 000</v>
          </cell>
          <cell r="O3490" t="str">
            <v>Ets Boubacar TANDIA</v>
          </cell>
          <cell r="P3490" t="str">
            <v>Scratch 5 000</v>
          </cell>
          <cell r="Q3490" t="str">
            <v>112007</v>
          </cell>
          <cell r="R3490" t="str">
            <v>112007Scratch 5 000</v>
          </cell>
          <cell r="S3490" t="str">
            <v>2007Scratch 5 000</v>
          </cell>
          <cell r="T3490" t="str">
            <v>112007Ets Boubacar TANDIA</v>
          </cell>
          <cell r="U3490" t="str">
            <v>112007Ets Boubacar TANDIAScratch 5 000</v>
          </cell>
          <cell r="V3490" t="str">
            <v>39388Scratch 5 000</v>
          </cell>
          <cell r="W3490" t="str">
            <v>2007Ets Boubacar TANDIA</v>
          </cell>
          <cell r="X3490" t="str">
            <v>2007Ets Boubacar TANDIAScratch 5 000</v>
          </cell>
        </row>
        <row r="3491">
          <cell r="I3491">
            <v>2007</v>
          </cell>
          <cell r="J3491" t="str">
            <v>Ets Boubacar TANDIAScratch 2 000</v>
          </cell>
          <cell r="L3491">
            <v>0</v>
          </cell>
          <cell r="M3491" t="str">
            <v>Ets Boubacar TANDIA</v>
          </cell>
          <cell r="N3491" t="str">
            <v>Ets Boubacar TANDIAScratch 2 000</v>
          </cell>
          <cell r="O3491" t="str">
            <v>Ets Boubacar TANDIA</v>
          </cell>
          <cell r="P3491" t="str">
            <v>Scratch 2 000</v>
          </cell>
          <cell r="Q3491" t="str">
            <v>112007</v>
          </cell>
          <cell r="R3491" t="str">
            <v>112007Scratch 2 000</v>
          </cell>
          <cell r="S3491" t="str">
            <v>2007Scratch 2 000</v>
          </cell>
          <cell r="T3491" t="str">
            <v>112007Ets Boubacar TANDIA</v>
          </cell>
          <cell r="U3491" t="str">
            <v>112007Ets Boubacar TANDIAScratch 2 000</v>
          </cell>
          <cell r="V3491" t="str">
            <v>39388Scratch 2 000</v>
          </cell>
          <cell r="W3491" t="str">
            <v>2007Ets Boubacar TANDIA</v>
          </cell>
          <cell r="X3491" t="str">
            <v>2007Ets Boubacar TANDIAScratch 2 000</v>
          </cell>
        </row>
        <row r="3492">
          <cell r="I3492">
            <v>2007</v>
          </cell>
          <cell r="J3492" t="str">
            <v>Ets Boubacar TANDIAScratch 1 000</v>
          </cell>
          <cell r="L3492">
            <v>0</v>
          </cell>
          <cell r="M3492" t="str">
            <v>Ets Boubacar TANDIA</v>
          </cell>
          <cell r="N3492" t="str">
            <v>Ets Boubacar TANDIAScratch 1 000</v>
          </cell>
          <cell r="O3492" t="str">
            <v>Ets Boubacar TANDIA</v>
          </cell>
          <cell r="P3492" t="str">
            <v>Scratch 1 000</v>
          </cell>
          <cell r="Q3492" t="str">
            <v>112007</v>
          </cell>
          <cell r="R3492" t="str">
            <v>112007Scratch 1 000</v>
          </cell>
          <cell r="S3492" t="str">
            <v>2007Scratch 1 000</v>
          </cell>
          <cell r="T3492" t="str">
            <v>112007Ets Boubacar TANDIA</v>
          </cell>
          <cell r="U3492" t="str">
            <v>112007Ets Boubacar TANDIAScratch 1 000</v>
          </cell>
          <cell r="V3492" t="str">
            <v>39388Scratch 1 000</v>
          </cell>
          <cell r="W3492" t="str">
            <v>2007Ets Boubacar TANDIA</v>
          </cell>
          <cell r="X3492" t="str">
            <v>2007Ets Boubacar TANDIAScratch 1 000</v>
          </cell>
        </row>
        <row r="3493">
          <cell r="I3493">
            <v>2007</v>
          </cell>
          <cell r="J3493" t="str">
            <v>Bonneterie Nouvelle TelecomScratch 5 000</v>
          </cell>
          <cell r="L3493">
            <v>1</v>
          </cell>
          <cell r="M3493" t="str">
            <v>1Bonneterie Nouvelle Telecom</v>
          </cell>
          <cell r="N3493" t="str">
            <v>Bonneterie Nouvelle TelecomScratch 5 000</v>
          </cell>
          <cell r="O3493" t="str">
            <v>Bonneterie Nouvelle Telecom</v>
          </cell>
          <cell r="P3493" t="str">
            <v>Scratch 5 000</v>
          </cell>
          <cell r="Q3493" t="str">
            <v>112007</v>
          </cell>
          <cell r="R3493" t="str">
            <v>112007Scratch 5 000</v>
          </cell>
          <cell r="S3493" t="str">
            <v>2007Scratch 5 000</v>
          </cell>
          <cell r="T3493" t="str">
            <v>112007Bonneterie Nouvelle Telecom</v>
          </cell>
          <cell r="U3493" t="str">
            <v>112007Bonneterie Nouvelle TelecomScratch 5 000</v>
          </cell>
          <cell r="V3493" t="str">
            <v>39388Scratch 5 000</v>
          </cell>
          <cell r="W3493" t="str">
            <v>2007Bonneterie Nouvelle Telecom</v>
          </cell>
          <cell r="X3493" t="str">
            <v>2007Bonneterie Nouvelle TelecomScratch 5 000</v>
          </cell>
        </row>
        <row r="3494">
          <cell r="I3494">
            <v>2007</v>
          </cell>
          <cell r="J3494" t="str">
            <v>Bonneterie Nouvelle TelecomScratch 2 000</v>
          </cell>
          <cell r="L3494">
            <v>0</v>
          </cell>
          <cell r="M3494" t="str">
            <v>Bonneterie Nouvelle Telecom</v>
          </cell>
          <cell r="N3494" t="str">
            <v>Bonneterie Nouvelle TelecomScratch 2 000</v>
          </cell>
          <cell r="O3494" t="str">
            <v>Bonneterie Nouvelle Telecom</v>
          </cell>
          <cell r="P3494" t="str">
            <v>Scratch 2 000</v>
          </cell>
          <cell r="Q3494" t="str">
            <v>112007</v>
          </cell>
          <cell r="R3494" t="str">
            <v>112007Scratch 2 000</v>
          </cell>
          <cell r="S3494" t="str">
            <v>2007Scratch 2 000</v>
          </cell>
          <cell r="T3494" t="str">
            <v>112007Bonneterie Nouvelle Telecom</v>
          </cell>
          <cell r="U3494" t="str">
            <v>112007Bonneterie Nouvelle TelecomScratch 2 000</v>
          </cell>
          <cell r="V3494" t="str">
            <v>39388Scratch 2 000</v>
          </cell>
          <cell r="W3494" t="str">
            <v>2007Bonneterie Nouvelle Telecom</v>
          </cell>
          <cell r="X3494" t="str">
            <v>2007Bonneterie Nouvelle TelecomScratch 2 000</v>
          </cell>
        </row>
        <row r="3495">
          <cell r="I3495">
            <v>2007</v>
          </cell>
          <cell r="J3495" t="str">
            <v>Bonneterie Nouvelle TelecomScratch 1 000</v>
          </cell>
          <cell r="L3495">
            <v>0</v>
          </cell>
          <cell r="M3495" t="str">
            <v>Bonneterie Nouvelle Telecom</v>
          </cell>
          <cell r="N3495" t="str">
            <v>Bonneterie Nouvelle TelecomScratch 1 000</v>
          </cell>
          <cell r="O3495" t="str">
            <v>Bonneterie Nouvelle Telecom</v>
          </cell>
          <cell r="P3495" t="str">
            <v>Scratch 1 000</v>
          </cell>
          <cell r="Q3495" t="str">
            <v>112007</v>
          </cell>
          <cell r="R3495" t="str">
            <v>112007Scratch 1 000</v>
          </cell>
          <cell r="S3495" t="str">
            <v>2007Scratch 1 000</v>
          </cell>
          <cell r="T3495" t="str">
            <v>112007Bonneterie Nouvelle Telecom</v>
          </cell>
          <cell r="U3495" t="str">
            <v>112007Bonneterie Nouvelle TelecomScratch 1 000</v>
          </cell>
          <cell r="V3495" t="str">
            <v>39388Scratch 1 000</v>
          </cell>
          <cell r="W3495" t="str">
            <v>2007Bonneterie Nouvelle Telecom</v>
          </cell>
          <cell r="X3495" t="str">
            <v>2007Bonneterie Nouvelle TelecomScratch 1 000</v>
          </cell>
        </row>
        <row r="3496">
          <cell r="I3496">
            <v>2007</v>
          </cell>
          <cell r="J3496" t="str">
            <v>STS GAMBY &amp; FRERES (SOGAF) SarlScratch 5 000</v>
          </cell>
          <cell r="L3496">
            <v>1</v>
          </cell>
          <cell r="M3496" t="str">
            <v>1STS GAMBY &amp; FRERES (SOGAF) Sarl</v>
          </cell>
          <cell r="N3496" t="str">
            <v>STS GAMBY &amp; FRERES (SOGAF) SarlScratch 5 000</v>
          </cell>
          <cell r="O3496" t="str">
            <v>STS GAMBY &amp; FRERES (SOGAF) Sarl</v>
          </cell>
          <cell r="P3496" t="str">
            <v>Scratch 5 000</v>
          </cell>
          <cell r="Q3496" t="str">
            <v>112007</v>
          </cell>
          <cell r="R3496" t="str">
            <v>112007Scratch 5 000</v>
          </cell>
          <cell r="S3496" t="str">
            <v>2007Scratch 5 000</v>
          </cell>
          <cell r="T3496" t="str">
            <v>112007STS GAMBY &amp; FRERES (SOGAF) Sarl</v>
          </cell>
          <cell r="U3496" t="str">
            <v>112007STS GAMBY &amp; FRERES (SOGAF) SarlScratch 5 000</v>
          </cell>
          <cell r="V3496" t="str">
            <v>39391Scratch 5 000</v>
          </cell>
          <cell r="W3496" t="str">
            <v>2007STS GAMBY &amp; FRERES (SOGAF) Sarl</v>
          </cell>
          <cell r="X3496" t="str">
            <v>2007STS GAMBY &amp; FRERES (SOGAF) SarlScratch 5 000</v>
          </cell>
        </row>
        <row r="3497">
          <cell r="I3497">
            <v>2007</v>
          </cell>
          <cell r="J3497" t="str">
            <v>STS GAMBY &amp; FRERES (SOGAF) SarlScratch 2 000</v>
          </cell>
          <cell r="L3497">
            <v>0</v>
          </cell>
          <cell r="M3497" t="str">
            <v>STS GAMBY &amp; FRERES (SOGAF) Sarl</v>
          </cell>
          <cell r="N3497" t="str">
            <v>STS GAMBY &amp; FRERES (SOGAF) SarlScratch 2 000</v>
          </cell>
          <cell r="O3497" t="str">
            <v>STS GAMBY &amp; FRERES (SOGAF) Sarl</v>
          </cell>
          <cell r="P3497" t="str">
            <v>Scratch 2 000</v>
          </cell>
          <cell r="Q3497" t="str">
            <v>112007</v>
          </cell>
          <cell r="R3497" t="str">
            <v>112007Scratch 2 000</v>
          </cell>
          <cell r="S3497" t="str">
            <v>2007Scratch 2 000</v>
          </cell>
          <cell r="T3497" t="str">
            <v>112007STS GAMBY &amp; FRERES (SOGAF) Sarl</v>
          </cell>
          <cell r="U3497" t="str">
            <v>112007STS GAMBY &amp; FRERES (SOGAF) SarlScratch 2 000</v>
          </cell>
          <cell r="V3497" t="str">
            <v>39391Scratch 2 000</v>
          </cell>
          <cell r="W3497" t="str">
            <v>2007STS GAMBY &amp; FRERES (SOGAF) Sarl</v>
          </cell>
          <cell r="X3497" t="str">
            <v>2007STS GAMBY &amp; FRERES (SOGAF) SarlScratch 2 000</v>
          </cell>
        </row>
        <row r="3498">
          <cell r="I3498">
            <v>2007</v>
          </cell>
          <cell r="J3498" t="str">
            <v>STS GAMBY &amp; FRERES (SOGAF) SarlScratch 1 000</v>
          </cell>
          <cell r="L3498">
            <v>0</v>
          </cell>
          <cell r="M3498" t="str">
            <v>STS GAMBY &amp; FRERES (SOGAF) Sarl</v>
          </cell>
          <cell r="N3498" t="str">
            <v>STS GAMBY &amp; FRERES (SOGAF) SarlScratch 1 000</v>
          </cell>
          <cell r="O3498" t="str">
            <v>STS GAMBY &amp; FRERES (SOGAF) Sarl</v>
          </cell>
          <cell r="P3498" t="str">
            <v>Scratch 1 000</v>
          </cell>
          <cell r="Q3498" t="str">
            <v>112007</v>
          </cell>
          <cell r="R3498" t="str">
            <v>112007Scratch 1 000</v>
          </cell>
          <cell r="S3498" t="str">
            <v>2007Scratch 1 000</v>
          </cell>
          <cell r="T3498" t="str">
            <v>112007STS GAMBY &amp; FRERES (SOGAF) Sarl</v>
          </cell>
          <cell r="U3498" t="str">
            <v>112007STS GAMBY &amp; FRERES (SOGAF) SarlScratch 1 000</v>
          </cell>
          <cell r="V3498" t="str">
            <v>39391Scratch 1 000</v>
          </cell>
          <cell r="W3498" t="str">
            <v>2007STS GAMBY &amp; FRERES (SOGAF) Sarl</v>
          </cell>
          <cell r="X3498" t="str">
            <v>2007STS GAMBY &amp; FRERES (SOGAF) SarlScratch 1 000</v>
          </cell>
        </row>
        <row r="3499">
          <cell r="I3499">
            <v>2007</v>
          </cell>
          <cell r="J3499" t="str">
            <v>ANKA SERVICESScratch 5 000</v>
          </cell>
          <cell r="L3499">
            <v>1</v>
          </cell>
          <cell r="M3499" t="str">
            <v>1ANKA SERVICES</v>
          </cell>
          <cell r="N3499" t="str">
            <v>ANKA SERVICESScratch 5 000</v>
          </cell>
          <cell r="O3499" t="str">
            <v>ANKA SERVICES</v>
          </cell>
          <cell r="P3499" t="str">
            <v>Scratch 5 000</v>
          </cell>
          <cell r="Q3499" t="str">
            <v>112007</v>
          </cell>
          <cell r="R3499" t="str">
            <v>112007Scratch 5 000</v>
          </cell>
          <cell r="S3499" t="str">
            <v>2007Scratch 5 000</v>
          </cell>
          <cell r="T3499" t="str">
            <v>112007ANKA SERVICES</v>
          </cell>
          <cell r="U3499" t="str">
            <v>112007ANKA SERVICESScratch 5 000</v>
          </cell>
          <cell r="V3499" t="str">
            <v>39391Scratch 5 000</v>
          </cell>
          <cell r="W3499" t="str">
            <v>2007ANKA SERVICES</v>
          </cell>
          <cell r="X3499" t="str">
            <v>2007ANKA SERVICESScratch 5 000</v>
          </cell>
        </row>
        <row r="3500">
          <cell r="I3500">
            <v>2007</v>
          </cell>
          <cell r="J3500" t="str">
            <v>ANKA SERVICESScratch 2 000</v>
          </cell>
          <cell r="L3500">
            <v>0</v>
          </cell>
          <cell r="M3500" t="str">
            <v>ANKA SERVICES</v>
          </cell>
          <cell r="N3500" t="str">
            <v>ANKA SERVICESScratch 2 000</v>
          </cell>
          <cell r="O3500" t="str">
            <v>ANKA SERVICES</v>
          </cell>
          <cell r="P3500" t="str">
            <v>Scratch 2 000</v>
          </cell>
          <cell r="Q3500" t="str">
            <v>112007</v>
          </cell>
          <cell r="R3500" t="str">
            <v>112007Scratch 2 000</v>
          </cell>
          <cell r="S3500" t="str">
            <v>2007Scratch 2 000</v>
          </cell>
          <cell r="T3500" t="str">
            <v>112007ANKA SERVICES</v>
          </cell>
          <cell r="U3500" t="str">
            <v>112007ANKA SERVICESScratch 2 000</v>
          </cell>
          <cell r="V3500" t="str">
            <v>39391Scratch 2 000</v>
          </cell>
          <cell r="W3500" t="str">
            <v>2007ANKA SERVICES</v>
          </cell>
          <cell r="X3500" t="str">
            <v>2007ANKA SERVICESScratch 2 000</v>
          </cell>
        </row>
        <row r="3501">
          <cell r="I3501">
            <v>2007</v>
          </cell>
          <cell r="J3501" t="str">
            <v>ANKA SERVICESScratch 1 000</v>
          </cell>
          <cell r="L3501">
            <v>0</v>
          </cell>
          <cell r="M3501" t="str">
            <v>ANKA SERVICES</v>
          </cell>
          <cell r="N3501" t="str">
            <v>ANKA SERVICESScratch 1 000</v>
          </cell>
          <cell r="O3501" t="str">
            <v>ANKA SERVICES</v>
          </cell>
          <cell r="P3501" t="str">
            <v>Scratch 1 000</v>
          </cell>
          <cell r="Q3501" t="str">
            <v>112007</v>
          </cell>
          <cell r="R3501" t="str">
            <v>112007Scratch 1 000</v>
          </cell>
          <cell r="S3501" t="str">
            <v>2007Scratch 1 000</v>
          </cell>
          <cell r="T3501" t="str">
            <v>112007ANKA SERVICES</v>
          </cell>
          <cell r="U3501" t="str">
            <v>112007ANKA SERVICESScratch 1 000</v>
          </cell>
          <cell r="V3501" t="str">
            <v>39391Scratch 1 000</v>
          </cell>
          <cell r="W3501" t="str">
            <v>2007ANKA SERVICES</v>
          </cell>
          <cell r="X3501" t="str">
            <v>2007ANKA SERVICESScratch 1 000</v>
          </cell>
        </row>
        <row r="3502">
          <cell r="I3502">
            <v>2007</v>
          </cell>
          <cell r="J3502" t="str">
            <v>MALI COM SarlScratch 5 000</v>
          </cell>
          <cell r="L3502">
            <v>1</v>
          </cell>
          <cell r="M3502" t="str">
            <v>1MALI COM Sarl</v>
          </cell>
          <cell r="N3502" t="str">
            <v>MALI COM SarlScratch 5 000</v>
          </cell>
          <cell r="O3502" t="str">
            <v>MALI COM Sarl</v>
          </cell>
          <cell r="P3502" t="str">
            <v>Scratch 5 000</v>
          </cell>
          <cell r="Q3502" t="str">
            <v>112007</v>
          </cell>
          <cell r="R3502" t="str">
            <v>112007Scratch 5 000</v>
          </cell>
          <cell r="S3502" t="str">
            <v>2007Scratch 5 000</v>
          </cell>
          <cell r="T3502" t="str">
            <v>112007MALI COM Sarl</v>
          </cell>
          <cell r="U3502" t="str">
            <v>112007MALI COM SarlScratch 5 000</v>
          </cell>
          <cell r="V3502" t="str">
            <v>39391Scratch 5 000</v>
          </cell>
          <cell r="W3502" t="str">
            <v>2007MALI COM Sarl</v>
          </cell>
          <cell r="X3502" t="str">
            <v>2007MALI COM SarlScratch 5 000</v>
          </cell>
        </row>
      </sheetData>
      <sheetData sheetId="1"/>
      <sheetData sheetId="2" refreshError="1">
        <row r="1">
          <cell r="C1">
            <v>39814</v>
          </cell>
          <cell r="E1">
            <v>40086</v>
          </cell>
        </row>
        <row r="2">
          <cell r="D2" t="str">
            <v>Scratch 1 000</v>
          </cell>
          <cell r="E2" t="str">
            <v>Scratch 2 000</v>
          </cell>
          <cell r="F2" t="str">
            <v>Scratch 2 500</v>
          </cell>
          <cell r="G2" t="str">
            <v>Scratch 5 000</v>
          </cell>
          <cell r="H2" t="str">
            <v>Scratch 10 000</v>
          </cell>
          <cell r="I2" t="str">
            <v>Scratch 20 000</v>
          </cell>
          <cell r="J2" t="str">
            <v>Kit</v>
          </cell>
          <cell r="K2" t="str">
            <v>Minutes</v>
          </cell>
          <cell r="L2" t="str">
            <v>VGFU (TTC)</v>
          </cell>
          <cell r="M2">
            <v>0</v>
          </cell>
          <cell r="N2">
            <v>0</v>
          </cell>
          <cell r="O2">
            <v>0</v>
          </cell>
        </row>
        <row r="3">
          <cell r="P3">
            <v>2470500000</v>
          </cell>
        </row>
        <row r="4">
          <cell r="P4">
            <v>1365300000</v>
          </cell>
        </row>
        <row r="5">
          <cell r="P5">
            <v>2829600000</v>
          </cell>
        </row>
        <row r="6">
          <cell r="P6">
            <v>1712700000</v>
          </cell>
        </row>
        <row r="7">
          <cell r="P7">
            <v>5013000000</v>
          </cell>
        </row>
        <row r="8">
          <cell r="P8">
            <v>1303200000</v>
          </cell>
        </row>
        <row r="9">
          <cell r="P9">
            <v>767700000</v>
          </cell>
        </row>
        <row r="10">
          <cell r="P10">
            <v>2302200000</v>
          </cell>
        </row>
        <row r="11">
          <cell r="P11">
            <v>3064500000</v>
          </cell>
        </row>
        <row r="12">
          <cell r="P12">
            <v>3744000000</v>
          </cell>
        </row>
        <row r="13">
          <cell r="P13">
            <v>1897200000</v>
          </cell>
        </row>
        <row r="14">
          <cell r="P14">
            <v>2693700000</v>
          </cell>
        </row>
        <row r="15">
          <cell r="P15">
            <v>451800000</v>
          </cell>
        </row>
        <row r="16">
          <cell r="P16">
            <v>90657902</v>
          </cell>
        </row>
        <row r="17">
          <cell r="P17">
            <v>44124340</v>
          </cell>
        </row>
        <row r="18">
          <cell r="P18">
            <v>0</v>
          </cell>
        </row>
        <row r="19">
          <cell r="P19">
            <v>0</v>
          </cell>
        </row>
        <row r="20">
          <cell r="P20">
            <v>0</v>
          </cell>
        </row>
        <row r="21">
          <cell r="P21">
            <v>0</v>
          </cell>
        </row>
        <row r="22">
          <cell r="P22">
            <v>0</v>
          </cell>
        </row>
        <row r="23">
          <cell r="P23">
            <v>0</v>
          </cell>
        </row>
        <row r="24">
          <cell r="P24">
            <v>29750182242</v>
          </cell>
        </row>
        <row r="25">
          <cell r="P25">
            <v>29750182242</v>
          </cell>
        </row>
      </sheetData>
      <sheetData sheetId="3"/>
      <sheetData sheetId="4" refreshError="1">
        <row r="1">
          <cell r="B1">
            <v>2009</v>
          </cell>
        </row>
      </sheetData>
      <sheetData sheetId="5"/>
      <sheetData sheetId="6" refreshError="1">
        <row r="1">
          <cell r="B1" t="str">
            <v>Malicom International</v>
          </cell>
        </row>
      </sheetData>
      <sheetData sheetId="7"/>
      <sheetData sheetId="8" refreshError="1">
        <row r="2">
          <cell r="B2" t="str">
            <v>Scratch 1 000</v>
          </cell>
        </row>
        <row r="3">
          <cell r="B3" t="str">
            <v>Scratch 2 000</v>
          </cell>
        </row>
        <row r="4">
          <cell r="B4" t="str">
            <v>Scratch 2 500</v>
          </cell>
        </row>
        <row r="5">
          <cell r="B5" t="str">
            <v>Scratch 5 000</v>
          </cell>
        </row>
        <row r="6">
          <cell r="B6" t="str">
            <v>Scratch 10 000</v>
          </cell>
        </row>
        <row r="7">
          <cell r="B7" t="str">
            <v>Scratch 20 000</v>
          </cell>
        </row>
        <row r="8">
          <cell r="B8" t="str">
            <v>Kit</v>
          </cell>
        </row>
        <row r="9">
          <cell r="B9" t="str">
            <v>Minutes</v>
          </cell>
        </row>
        <row r="10">
          <cell r="B10" t="str">
            <v>VGFU (TTC)</v>
          </cell>
        </row>
      </sheetData>
      <sheetData sheetId="9"/>
      <sheetData sheetId="10" refreshError="1">
        <row r="2">
          <cell r="B2" t="str">
            <v>Compagnie Internationale de Negoce</v>
          </cell>
        </row>
        <row r="3">
          <cell r="B3" t="str">
            <v>Soleil Levant</v>
          </cell>
        </row>
        <row r="4">
          <cell r="B4" t="str">
            <v>Burtel Macsym</v>
          </cell>
        </row>
        <row r="5">
          <cell r="B5" t="str">
            <v>Bonneterie Nouvelle Telecom</v>
          </cell>
        </row>
        <row r="6">
          <cell r="B6" t="str">
            <v>GEMATEL</v>
          </cell>
        </row>
        <row r="7">
          <cell r="B7" t="str">
            <v>Ets Boubacar TANDIA</v>
          </cell>
        </row>
        <row r="8">
          <cell r="B8" t="str">
            <v>Ets Mamadou GAMBY</v>
          </cell>
        </row>
        <row r="9">
          <cell r="B9" t="str">
            <v>STS GAMBY &amp; FRERES (SOGAF) Sarl</v>
          </cell>
        </row>
        <row r="10">
          <cell r="B10" t="str">
            <v>ANKA SERVICES</v>
          </cell>
        </row>
        <row r="11">
          <cell r="B11" t="str">
            <v>SOMAKOFF</v>
          </cell>
        </row>
        <row r="12">
          <cell r="B12" t="str">
            <v>Malicom International</v>
          </cell>
        </row>
        <row r="13">
          <cell r="B13" t="str">
            <v>Mali Commerce</v>
          </cell>
        </row>
        <row r="14">
          <cell r="B14" t="str">
            <v>SDC TELECOM</v>
          </cell>
        </row>
        <row r="15">
          <cell r="B15" t="str">
            <v>CellNets Mali</v>
          </cell>
        </row>
        <row r="16">
          <cell r="B16" t="str">
            <v>Grands Comptes</v>
          </cell>
        </row>
        <row r="17">
          <cell r="B17" t="str">
            <v>MALI COM Sarl</v>
          </cell>
        </row>
        <row r="18">
          <cell r="B18" t="str">
            <v>SODIBAF</v>
          </cell>
        </row>
        <row r="19">
          <cell r="B19" t="str">
            <v>Youma Communication SARL</v>
          </cell>
        </row>
        <row r="20">
          <cell r="B20" t="str">
            <v>Balmaya TELECOM/ ETS Sacko</v>
          </cell>
        </row>
        <row r="21">
          <cell r="B21" t="str">
            <v>A.L.S SARL</v>
          </cell>
        </row>
        <row r="22">
          <cell r="B22" t="str">
            <v>Sté NIANGADOU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B2" t="str">
            <v>Compagnie Internationale de Negoce</v>
          </cell>
        </row>
      </sheetData>
      <sheetData sheetId="22">
        <row r="1">
          <cell r="B1">
            <v>2009</v>
          </cell>
        </row>
      </sheetData>
      <sheetData sheetId="23">
        <row r="2">
          <cell r="B2" t="str">
            <v>Compagnie Internationale de Negoce</v>
          </cell>
        </row>
      </sheetData>
      <sheetData sheetId="24">
        <row r="1">
          <cell r="B1">
            <v>2009</v>
          </cell>
        </row>
      </sheetData>
      <sheetData sheetId="25">
        <row r="2">
          <cell r="B2" t="str">
            <v>Compagnie Internationale de Negoce</v>
          </cell>
        </row>
      </sheetData>
      <sheetData sheetId="26">
        <row r="1">
          <cell r="B1" t="str">
            <v>Malicom International</v>
          </cell>
        </row>
      </sheetData>
      <sheetData sheetId="27">
        <row r="2">
          <cell r="B2" t="str">
            <v>Compagnie Internationale de Negoce</v>
          </cell>
        </row>
      </sheetData>
      <sheetData sheetId="28">
        <row r="1">
          <cell r="B1" t="str">
            <v>Malicom International</v>
          </cell>
        </row>
      </sheetData>
      <sheetData sheetId="29">
        <row r="2">
          <cell r="B2" t="str">
            <v>Compagnie Internationale de Negoce</v>
          </cell>
        </row>
      </sheetData>
      <sheetData sheetId="30">
        <row r="1">
          <cell r="B1" t="str">
            <v>Malicom International</v>
          </cell>
        </row>
      </sheetData>
      <sheetData sheetId="31" refreshError="1"/>
      <sheetData sheetId="32" refreshError="1"/>
      <sheetData sheetId="33"/>
      <sheetData sheetId="34">
        <row r="1">
          <cell r="C1">
            <v>39814</v>
          </cell>
        </row>
      </sheetData>
      <sheetData sheetId="35"/>
      <sheetData sheetId="36">
        <row r="1">
          <cell r="B1">
            <v>2009</v>
          </cell>
        </row>
      </sheetData>
      <sheetData sheetId="37"/>
      <sheetData sheetId="38">
        <row r="1">
          <cell r="B1" t="str">
            <v>Malicom International</v>
          </cell>
        </row>
      </sheetData>
      <sheetData sheetId="39"/>
      <sheetData sheetId="40">
        <row r="2">
          <cell r="B2" t="str">
            <v>Scratch 1 000</v>
          </cell>
        </row>
      </sheetData>
      <sheetData sheetId="41">
        <row r="2">
          <cell r="B2" t="str">
            <v>Compagnie Internationale de Negoce</v>
          </cell>
        </row>
      </sheetData>
      <sheetData sheetId="42"/>
      <sheetData sheetId="43">
        <row r="2">
          <cell r="B2" t="str">
            <v>Compagnie Internationale de Negoce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  <sheetName val="Ventes"/>
      <sheetName val="Rapport Période"/>
      <sheetName val="Vente Annuelle"/>
      <sheetName val="Liste des Partenaires"/>
      <sheetName val="Vente Mensuelle Master"/>
      <sheetName val="Suivi Stocks"/>
      <sheetName val="#REF"/>
      <sheetName val="SV161"/>
      <sheetName val="Capex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  <sheetName val="trafic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apest PMP capex simulation"/>
      <sheetName val="Top 16 cities PMP capex simul."/>
      <sheetName val="PMP Cost model"/>
      <sheetName val="Graph - leased line"/>
      <sheetName val="Feuil1"/>
      <sheetName val="Tariffs_voice"/>
      <sheetName val="Voice nominal"/>
      <sheetName val="Tariffs_data"/>
      <sheetName val="Data nominal"/>
      <sheetName val="#REF"/>
      <sheetName val="Capex-C"/>
      <sheetName val="'fil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on CA prép"/>
      <sheetName val="#REF"/>
      <sheetName val="SC - Marketing"/>
      <sheetName val="useles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  <sheetName val="S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on CA prép"/>
      <sheetName val="#REF"/>
      <sheetName val="SC - Marketing"/>
      <sheetName val="Capex-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  <sheetName val="#REF"/>
    </sheetNames>
    <sheetDataSet>
      <sheetData sheetId="0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estimation CA prép"/>
      <sheetName val="SC - Market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  <sheetName val="ListPrice Alcatel Part"/>
      <sheetName val="ListPrice Sun Part"/>
      <sheetName val="ListPrice Sun Others"/>
      <sheetName val="Rev_Mob_new32"/>
      <sheetName val="Mobile__Clts__(2)32"/>
      <sheetName val="Marge_Brute_Mble32"/>
      <sheetName val="Mobile_Ind_clés_Rev32"/>
      <sheetName val="Ind_Clés_Trafic_(2)32"/>
      <sheetName val="Prov_Créances32"/>
      <sheetName val="ARPU_segmenté32"/>
      <sheetName val="coût_d'acqui32"/>
      <sheetName val="synth_des_coûts_TM&amp;DEP_compri32"/>
      <sheetName val="DETAIL_REPORT32"/>
      <sheetName val="by_dept32"/>
      <sheetName val="Frs_Loc32"/>
      <sheetName val="Detail_mensuel32"/>
      <sheetName val="Income_Statement32"/>
      <sheetName val="Mobile_Ind_cl?s_Rev32"/>
      <sheetName val="Ind_Cl?s_Trafic_(2)32"/>
      <sheetName val="Prov_Cr?ances32"/>
      <sheetName val="ARPU_segment?32"/>
      <sheetName val="co?t_d'acqui32"/>
      <sheetName val="synth_des_co?ts_TM&amp;DEP_compri32"/>
      <sheetName val="Cur_Q_v_Plan32"/>
      <sheetName val="Cost_investments6"/>
      <sheetName val="Fair_value_investments6"/>
      <sheetName val="Other_LT_loans_&amp;_investments6"/>
      <sheetName val="Invest__in_equity_affiliates6"/>
      <sheetName val="Mobile_Ind_cl_s_Rev32"/>
      <sheetName val="Ind_Cl_s_Trafic_(2)32"/>
      <sheetName val="Prov_Cr_ances32"/>
      <sheetName val="ARPU_segment_32"/>
      <sheetName val="co_t_d'acqui32"/>
      <sheetName val="synth_des_co_ts_TM&amp;DEP_compri32"/>
      <sheetName val="Projets_PSDSI6"/>
      <sheetName val="Description_of_Each_Section5"/>
      <sheetName val="Info_&amp;_Versions5"/>
      <sheetName val="Centrex_IP5"/>
      <sheetName val="Element_Managers5"/>
      <sheetName val="Passport_15K5"/>
      <sheetName val="XA-Core_Translations5"/>
      <sheetName val="Tones_&amp;_AMA5"/>
      <sheetName val="ISN05_IP_Addressing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  <sheetName val="E"/>
      <sheetName val="Parameters"/>
      <sheetName val="L1-Price Summary"/>
      <sheetName val="P.EQUIPEMENT99"/>
      <sheetName val="DROP DOWN LISTS"/>
      <sheetName val="Local"/>
      <sheetName val="Long_Distance"/>
      <sheetName val="Sites_per_custo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  <sheetName val="A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  <sheetName val="BUDGET REVISE"/>
      <sheetName val="DM 30-09-06"/>
    </sheetNames>
    <sheetDataSet>
      <sheetData sheetId="0" refreshError="1"/>
      <sheetData sheetId="1" refreshError="1">
        <row r="1">
          <cell r="B1" t="str">
            <v>Project C2C</v>
          </cell>
          <cell r="C1"/>
          <cell r="D1"/>
          <cell r="E1"/>
          <cell r="F1" t="str">
            <v>DRAFT</v>
          </cell>
          <cell r="G1"/>
          <cell r="H1" t="str">
            <v>En cours de construction</v>
          </cell>
        </row>
        <row r="4">
          <cell r="A4" t="str">
            <v>MOBILE MODEL - ASSUMPTION INPUT</v>
          </cell>
          <cell r="B4"/>
          <cell r="C4"/>
          <cell r="D4"/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/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/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/>
          <cell r="E17"/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/>
          <cell r="E18"/>
          <cell r="F18"/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/>
          <cell r="E23"/>
          <cell r="F23"/>
          <cell r="G23"/>
          <cell r="H23"/>
          <cell r="I23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/>
          <cell r="E32"/>
          <cell r="F32"/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/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/>
          <cell r="E50"/>
          <cell r="F50"/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/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/>
          <cell r="E52"/>
          <cell r="F52"/>
          <cell r="G52"/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/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/>
          <cell r="E56"/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/>
          <cell r="E57"/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/>
          <cell r="E58"/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/>
          <cell r="E59"/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/>
          <cell r="E63"/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/>
          <cell r="E64"/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/>
          <cell r="E67"/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/>
          <cell r="E68"/>
          <cell r="F68"/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/>
          <cell r="E70"/>
          <cell r="F70"/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/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/>
          <cell r="E78"/>
          <cell r="F78"/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/>
          <cell r="E79"/>
          <cell r="F79"/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/>
          <cell r="E80"/>
          <cell r="F80"/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/>
          <cell r="E81"/>
          <cell r="F81"/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/>
          <cell r="E82"/>
          <cell r="F82"/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/>
          <cell r="E83"/>
          <cell r="F83"/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/>
          <cell r="E84"/>
          <cell r="F84"/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/>
          <cell r="E85"/>
          <cell r="F85"/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/>
          <cell r="E86"/>
          <cell r="F86"/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/>
          <cell r="E87"/>
          <cell r="F87"/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/>
          <cell r="E88"/>
          <cell r="F88"/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/>
          <cell r="E89"/>
          <cell r="F89"/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/>
          <cell r="E90"/>
          <cell r="F90"/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/>
          <cell r="E91"/>
          <cell r="F91"/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/>
          <cell r="E92"/>
          <cell r="F92"/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/>
          <cell r="E95"/>
          <cell r="F95"/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/>
          <cell r="E96"/>
          <cell r="F96"/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/>
          <cell r="E97"/>
          <cell r="F97"/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/>
          <cell r="E98"/>
          <cell r="F98"/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/>
          <cell r="E99"/>
          <cell r="F99"/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/>
          <cell r="E100"/>
          <cell r="F100"/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/>
          <cell r="E101"/>
          <cell r="F101"/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/>
          <cell r="E102"/>
          <cell r="F102"/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/>
          <cell r="E103"/>
          <cell r="F103"/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/>
          <cell r="E104"/>
          <cell r="F104"/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/>
          <cell r="E105"/>
          <cell r="F105"/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/>
          <cell r="E106"/>
          <cell r="F106"/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/>
          <cell r="E107"/>
          <cell r="F107"/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/>
          <cell r="E108"/>
          <cell r="F108"/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/>
          <cell r="E112"/>
          <cell r="F112"/>
          <cell r="G112"/>
          <cell r="H112"/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/>
          <cell r="E113"/>
          <cell r="F113"/>
          <cell r="G113"/>
          <cell r="H113"/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/>
          <cell r="E114"/>
          <cell r="F114"/>
          <cell r="G114"/>
          <cell r="H114"/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/>
          <cell r="E115"/>
          <cell r="F115"/>
          <cell r="G115"/>
          <cell r="H115"/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/>
          <cell r="E116"/>
          <cell r="F116"/>
          <cell r="G116"/>
          <cell r="H116"/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/>
          <cell r="E117"/>
          <cell r="F117"/>
          <cell r="G117"/>
          <cell r="H117"/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/>
          <cell r="E118"/>
          <cell r="F118"/>
          <cell r="G118"/>
          <cell r="H118"/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/>
          <cell r="E121"/>
          <cell r="F121"/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/>
          <cell r="E122"/>
          <cell r="F122"/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/>
          <cell r="E123"/>
          <cell r="F123"/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/>
          <cell r="E124"/>
          <cell r="F124"/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/>
          <cell r="E125"/>
          <cell r="F125"/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/>
          <cell r="E126"/>
          <cell r="F126"/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/>
          <cell r="E131"/>
          <cell r="F131"/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/>
          <cell r="E132"/>
          <cell r="F132"/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/>
          <cell r="E133"/>
          <cell r="F133"/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/>
          <cell r="E137"/>
          <cell r="F137"/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/>
          <cell r="E138"/>
          <cell r="F138"/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/>
          <cell r="E139"/>
          <cell r="F139"/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/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/>
          <cell r="E147"/>
          <cell r="F147"/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/>
          <cell r="E148"/>
          <cell r="F148"/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/>
          <cell r="E149"/>
          <cell r="F149"/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/>
          <cell r="E150"/>
          <cell r="F150"/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/>
          <cell r="E151"/>
          <cell r="F151"/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/>
          <cell r="E152"/>
          <cell r="F152"/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/>
          <cell r="E153"/>
          <cell r="F153"/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/>
          <cell r="E154"/>
          <cell r="F154"/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/>
          <cell r="E155"/>
          <cell r="F155"/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/>
          <cell r="E156"/>
          <cell r="F156"/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/>
          <cell r="E157"/>
          <cell r="F157"/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/>
          <cell r="E158"/>
          <cell r="F158"/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/>
          <cell r="E159"/>
          <cell r="F159"/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/>
          <cell r="E160"/>
          <cell r="F160"/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/>
          <cell r="E161"/>
          <cell r="F161"/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/>
          <cell r="E165"/>
          <cell r="F165"/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/>
          <cell r="E166"/>
          <cell r="F166"/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/>
          <cell r="E167"/>
          <cell r="F167"/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/>
          <cell r="E168"/>
          <cell r="F168"/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/>
          <cell r="E169"/>
          <cell r="F169"/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/>
          <cell r="E176"/>
          <cell r="F176"/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/>
          <cell r="E177"/>
          <cell r="F177"/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/>
          <cell r="E178"/>
          <cell r="F178"/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/>
          <cell r="E179"/>
          <cell r="F179"/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/>
          <cell r="E180"/>
          <cell r="F180"/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/>
          <cell r="E181"/>
          <cell r="F181"/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/>
          <cell r="E182"/>
          <cell r="F182"/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/>
          <cell r="E186"/>
          <cell r="F186"/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/>
          <cell r="E187"/>
          <cell r="F187"/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/>
          <cell r="E188"/>
          <cell r="F188"/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/>
          <cell r="E193"/>
          <cell r="F193"/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/>
          <cell r="E194"/>
          <cell r="F194"/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/>
          <cell r="E195"/>
          <cell r="F195"/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/>
          <cell r="E198"/>
          <cell r="F198"/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/>
          <cell r="E199"/>
          <cell r="F199"/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/>
          <cell r="E200"/>
          <cell r="F200"/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/>
          <cell r="E205"/>
          <cell r="F205"/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/>
          <cell r="E206"/>
          <cell r="F206"/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/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/>
          <cell r="E212"/>
          <cell r="F212"/>
          <cell r="G212"/>
          <cell r="H212"/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/>
          <cell r="E214"/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/>
          <cell r="E215"/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/>
          <cell r="E216"/>
          <cell r="F216"/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/>
          <cell r="E217"/>
          <cell r="F217"/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/>
          <cell r="E218"/>
          <cell r="F218"/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/>
          <cell r="E219"/>
          <cell r="F219"/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/>
          <cell r="E220"/>
          <cell r="F220"/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/>
          <cell r="E221"/>
          <cell r="F221"/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/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/>
          <cell r="E223"/>
          <cell r="F223"/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/>
          <cell r="E224"/>
          <cell r="F224"/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/>
          <cell r="E225"/>
          <cell r="F225"/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/>
          <cell r="E226"/>
          <cell r="F226"/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/>
          <cell r="E227"/>
          <cell r="F227"/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/>
          <cell r="E228"/>
          <cell r="F228"/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/>
          <cell r="E231"/>
          <cell r="F231"/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/>
          <cell r="E232"/>
          <cell r="F232"/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/>
          <cell r="E233"/>
          <cell r="F233"/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/>
          <cell r="E234"/>
          <cell r="F234"/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/>
          <cell r="E235"/>
          <cell r="F235"/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/>
          <cell r="E236"/>
          <cell r="F236"/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/>
          <cell r="E237"/>
          <cell r="F237"/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/>
          <cell r="E238"/>
          <cell r="F238"/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/>
          <cell r="E239"/>
          <cell r="F239"/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/>
          <cell r="E240"/>
          <cell r="F240"/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/>
          <cell r="E241"/>
          <cell r="F241"/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/>
          <cell r="E242"/>
          <cell r="F242"/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/>
          <cell r="E243"/>
          <cell r="F243"/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/>
          <cell r="E244"/>
          <cell r="F244"/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/>
          <cell r="E250"/>
          <cell r="F250"/>
          <cell r="G250"/>
          <cell r="H250"/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/>
          <cell r="E251"/>
          <cell r="F251"/>
          <cell r="G251"/>
          <cell r="H251"/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/>
          <cell r="E253"/>
          <cell r="F253"/>
          <cell r="G253"/>
          <cell r="H253"/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/>
          <cell r="E254"/>
          <cell r="F254"/>
          <cell r="G254"/>
          <cell r="H254"/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/>
          <cell r="E257"/>
          <cell r="F257"/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/>
          <cell r="E258"/>
          <cell r="F258"/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/>
          <cell r="E259"/>
          <cell r="F259"/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/>
          <cell r="E260"/>
          <cell r="F260"/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/>
          <cell r="E261"/>
          <cell r="F261"/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/>
          <cell r="E262"/>
          <cell r="F262"/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/>
          <cell r="E267"/>
          <cell r="F267"/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/>
          <cell r="E268"/>
          <cell r="F268"/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/>
          <cell r="F269"/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/>
          <cell r="E272"/>
          <cell r="F272"/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/>
          <cell r="E273"/>
          <cell r="F273"/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/>
          <cell r="E274"/>
          <cell r="F274"/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/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/>
          <cell r="E281"/>
          <cell r="F281"/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/>
          <cell r="E282"/>
          <cell r="F282"/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/>
          <cell r="E283"/>
          <cell r="F283"/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/>
          <cell r="E284"/>
          <cell r="F284"/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/>
          <cell r="E285"/>
          <cell r="F285"/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/>
          <cell r="E286"/>
          <cell r="F286"/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/>
          <cell r="E287"/>
          <cell r="F287"/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/>
          <cell r="E288"/>
          <cell r="F288"/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/>
          <cell r="E289"/>
          <cell r="F289"/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/>
          <cell r="E290"/>
          <cell r="F290"/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/>
          <cell r="E291"/>
          <cell r="F291"/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/>
          <cell r="E292"/>
          <cell r="F292"/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/>
          <cell r="E293"/>
          <cell r="F293"/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/>
          <cell r="E294"/>
          <cell r="F294"/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/>
          <cell r="E297"/>
          <cell r="F297"/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/>
          <cell r="E298"/>
          <cell r="F298"/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/>
          <cell r="E299"/>
          <cell r="F299"/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/>
          <cell r="E300"/>
          <cell r="F300"/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/>
          <cell r="E301"/>
          <cell r="F301"/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/>
          <cell r="E302"/>
          <cell r="F302"/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/>
          <cell r="E303"/>
          <cell r="F303"/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/>
          <cell r="E304"/>
          <cell r="F304"/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/>
          <cell r="E305"/>
          <cell r="F305"/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/>
          <cell r="E306"/>
          <cell r="F306"/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/>
          <cell r="E307"/>
          <cell r="F307"/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/>
          <cell r="E308"/>
          <cell r="F308"/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/>
          <cell r="E309"/>
          <cell r="F309"/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/>
          <cell r="E310"/>
          <cell r="F310"/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/>
          <cell r="E315"/>
          <cell r="F315"/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/>
          <cell r="E316"/>
          <cell r="F316"/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/>
          <cell r="E317"/>
          <cell r="F317"/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/>
          <cell r="E318"/>
          <cell r="F318"/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/>
          <cell r="E319"/>
          <cell r="F319"/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/>
          <cell r="E320"/>
          <cell r="F320"/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/>
          <cell r="E323"/>
          <cell r="F323"/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/>
          <cell r="E324"/>
          <cell r="F324"/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/>
          <cell r="E325"/>
          <cell r="F325"/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/>
          <cell r="E326"/>
          <cell r="F326"/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/>
          <cell r="E327"/>
          <cell r="F327"/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/>
          <cell r="E328"/>
          <cell r="F328"/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/>
          <cell r="E332"/>
          <cell r="F332"/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/>
          <cell r="E333"/>
          <cell r="F333"/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/>
          <cell r="E334"/>
          <cell r="F334"/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/>
          <cell r="E336"/>
          <cell r="F336"/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/>
          <cell r="E337"/>
          <cell r="F337"/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/>
          <cell r="E338"/>
          <cell r="F338"/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/>
          <cell r="E341"/>
          <cell r="F341"/>
          <cell r="G341"/>
          <cell r="H341"/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/>
          <cell r="E343"/>
          <cell r="F343"/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/>
          <cell r="E344"/>
          <cell r="F344"/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/>
          <cell r="E345"/>
          <cell r="F345"/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/>
          <cell r="E346"/>
          <cell r="F346"/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/>
          <cell r="E347"/>
          <cell r="F347"/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/>
          <cell r="E348"/>
          <cell r="F348"/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/>
          <cell r="E349"/>
          <cell r="F349"/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/>
          <cell r="E350"/>
          <cell r="F350"/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/>
          <cell r="E352"/>
          <cell r="F352"/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/>
          <cell r="E353"/>
          <cell r="F353"/>
          <cell r="G353"/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/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/>
          <cell r="E360"/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/>
          <cell r="E361"/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/>
          <cell r="E364"/>
          <cell r="F364"/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/>
          <cell r="E365"/>
          <cell r="F365"/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/>
          <cell r="E369"/>
          <cell r="F369"/>
          <cell r="G369"/>
          <cell r="H369"/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/>
          <cell r="E370"/>
          <cell r="F370"/>
          <cell r="G370"/>
          <cell r="H370"/>
          <cell r="I370"/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/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/>
          <cell r="C373" t="str">
            <v>P&amp;L (US$ in thousands)</v>
          </cell>
          <cell r="D373"/>
          <cell r="E373"/>
          <cell r="F373"/>
          <cell r="G373"/>
          <cell r="H373"/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/>
          <cell r="E375"/>
          <cell r="F375"/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/>
          <cell r="E376"/>
          <cell r="F376"/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/>
          <cell r="E377"/>
          <cell r="F377"/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/>
          <cell r="E378"/>
          <cell r="F378"/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/>
          <cell r="E379"/>
          <cell r="F379"/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/>
          <cell r="E380"/>
          <cell r="F380"/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/>
          <cell r="E381"/>
          <cell r="F381"/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/>
          <cell r="E382"/>
          <cell r="F382"/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/>
          <cell r="E383"/>
          <cell r="F383"/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/>
          <cell r="E384"/>
          <cell r="F384"/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/>
          <cell r="E385"/>
          <cell r="F385"/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/>
          <cell r="E386"/>
          <cell r="F386"/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/>
          <cell r="E388"/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/>
          <cell r="E390"/>
          <cell r="F390"/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/>
          <cell r="E391"/>
          <cell r="F391"/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/>
          <cell r="E392"/>
          <cell r="F392"/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/>
          <cell r="E393"/>
          <cell r="F393"/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/>
          <cell r="E394"/>
          <cell r="F394"/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/>
          <cell r="E396"/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/>
          <cell r="E398"/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/>
          <cell r="E399"/>
          <cell r="F399"/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/>
          <cell r="E400"/>
          <cell r="F400"/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/>
          <cell r="E401"/>
          <cell r="F401"/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/>
          <cell r="E402"/>
          <cell r="F402"/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/>
          <cell r="E404"/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/>
          <cell r="E405"/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/>
          <cell r="E406"/>
          <cell r="F406"/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/>
          <cell r="E407"/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/>
          <cell r="E408"/>
          <cell r="F408"/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/>
          <cell r="E410"/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/>
          <cell r="E412"/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/>
          <cell r="E413"/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/>
          <cell r="E414"/>
          <cell r="F414"/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/>
          <cell r="E416"/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/>
          <cell r="E417"/>
          <cell r="F417"/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/>
          <cell r="E418"/>
          <cell r="F418"/>
          <cell r="G418"/>
          <cell r="H418"/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/>
          <cell r="E419"/>
          <cell r="F419"/>
          <cell r="G419"/>
          <cell r="H419"/>
          <cell r="I419">
            <v>92291.628780000014</v>
          </cell>
        </row>
        <row r="420">
          <cell r="C420" t="str">
            <v>BP 1st phase</v>
          </cell>
          <cell r="D420"/>
          <cell r="E420"/>
          <cell r="F420"/>
          <cell r="G420"/>
          <cell r="H420"/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/>
          <cell r="E422"/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/>
          <cell r="E423"/>
          <cell r="F423"/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/>
          <cell r="E424"/>
          <cell r="F424"/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/>
          <cell r="E425"/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/>
          <cell r="E426"/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/>
          <cell r="E427"/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/>
          <cell r="E428"/>
          <cell r="F428"/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/>
          <cell r="E430"/>
          <cell r="F430"/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/>
          <cell r="E431"/>
          <cell r="F431"/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/>
          <cell r="E433"/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/>
          <cell r="E434"/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/>
          <cell r="E436"/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/>
          <cell r="E437"/>
          <cell r="F437"/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/>
          <cell r="E438"/>
          <cell r="F438"/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/>
          <cell r="E439"/>
          <cell r="F439"/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/>
          <cell r="E440"/>
          <cell r="F440"/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/>
          <cell r="E441"/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/>
          <cell r="E443"/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/>
          <cell r="E444"/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/>
          <cell r="E445"/>
          <cell r="F445"/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/>
          <cell r="E446"/>
          <cell r="F446"/>
          <cell r="G446"/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/>
          <cell r="E447"/>
          <cell r="F447"/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/>
          <cell r="E449"/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/>
          <cell r="E450"/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/>
          <cell r="E452"/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/>
          <cell r="E453"/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/>
          <cell r="E455"/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/>
          <cell r="E456"/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/>
          <cell r="E457"/>
          <cell r="F457"/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/>
          <cell r="E459"/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/>
          <cell r="E460"/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/>
          <cell r="E461"/>
          <cell r="F461"/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/>
          <cell r="E462"/>
          <cell r="F462"/>
          <cell r="G462"/>
          <cell r="H462"/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/>
          <cell r="E463"/>
          <cell r="F463"/>
          <cell r="G463"/>
          <cell r="H463"/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/>
          <cell r="E465"/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/>
          <cell r="E466"/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/>
          <cell r="E468"/>
          <cell r="F468"/>
          <cell r="G468"/>
          <cell r="H468"/>
          <cell r="I468"/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/>
          <cell r="E469"/>
          <cell r="F469"/>
          <cell r="G469"/>
          <cell r="H469"/>
          <cell r="I469"/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/>
          <cell r="E471"/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/>
          <cell r="E472"/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/>
          <cell r="E474"/>
          <cell r="F474"/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/>
          <cell r="E475"/>
          <cell r="F475"/>
          <cell r="G475"/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/>
          <cell r="E476"/>
          <cell r="F476"/>
          <cell r="G476"/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/>
          <cell r="E477"/>
          <cell r="F477"/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/>
          <cell r="E479"/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/>
          <cell r="E480"/>
          <cell r="F480"/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/>
          <cell r="E483"/>
          <cell r="F483"/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/>
          <cell r="E485"/>
          <cell r="F485"/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/>
          <cell r="E486"/>
          <cell r="F486"/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/>
          <cell r="E487"/>
          <cell r="F487"/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/>
          <cell r="E488"/>
          <cell r="F488"/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/>
          <cell r="E489"/>
          <cell r="F489"/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/>
          <cell r="E490"/>
          <cell r="F490"/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/>
          <cell r="E491"/>
          <cell r="F491"/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/>
          <cell r="E492"/>
          <cell r="F492"/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/>
          <cell r="E493"/>
          <cell r="F493"/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/>
          <cell r="E494"/>
          <cell r="F494"/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/>
          <cell r="E495"/>
          <cell r="F495"/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/>
          <cell r="E496"/>
          <cell r="F496"/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/>
          <cell r="E497"/>
          <cell r="F497"/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/>
          <cell r="E498"/>
          <cell r="F498"/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/>
          <cell r="E499"/>
          <cell r="F499"/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/>
          <cell r="E501"/>
          <cell r="F501"/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/>
          <cell r="E502"/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/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/>
          <cell r="E505"/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/>
          <cell r="E506"/>
          <cell r="F506"/>
          <cell r="G506"/>
          <cell r="H506"/>
          <cell r="I506"/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/>
          <cell r="E507"/>
          <cell r="F507"/>
          <cell r="G507"/>
          <cell r="H507"/>
          <cell r="I507"/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/>
          <cell r="E508"/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/>
          <cell r="E509"/>
          <cell r="F509"/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/>
          <cell r="E513"/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/>
          <cell r="E514"/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/>
          <cell r="E517"/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/>
          <cell r="E518"/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/>
          <cell r="E519"/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/>
          <cell r="E522"/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/>
          <cell r="E523"/>
          <cell r="F523"/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/>
          <cell r="E524"/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/>
          <cell r="E526"/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/>
          <cell r="E527"/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/>
          <cell r="E528"/>
          <cell r="F528"/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/>
          <cell r="E533"/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/>
          <cell r="E534"/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/>
          <cell r="E535"/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/>
          <cell r="E536"/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/>
          <cell r="E537"/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/>
          <cell r="E539"/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/>
          <cell r="E540"/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/>
          <cell r="E541"/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/>
          <cell r="E542"/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/>
          <cell r="E544"/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/>
          <cell r="E545"/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/>
          <cell r="E546"/>
          <cell r="F546"/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/>
          <cell r="E548"/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/>
          <cell r="E549"/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/>
          <cell r="E550"/>
          <cell r="F550"/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/>
          <cell r="E552"/>
          <cell r="F552"/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/>
          <cell r="E553"/>
          <cell r="F553"/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/>
          <cell r="E554"/>
          <cell r="F554"/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/>
          <cell r="E555"/>
          <cell r="F555"/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/>
          <cell r="E556"/>
          <cell r="F556"/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/>
          <cell r="E557"/>
          <cell r="F557"/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/>
          <cell r="E558"/>
          <cell r="F558"/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/>
          <cell r="E559"/>
          <cell r="F559"/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/>
          <cell r="E560"/>
          <cell r="F560"/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/>
          <cell r="E561"/>
          <cell r="F561"/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/>
          <cell r="E562"/>
          <cell r="F562"/>
          <cell r="G562"/>
          <cell r="H562"/>
          <cell r="I562"/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/>
          <cell r="E564"/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/>
          <cell r="E565"/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/>
          <cell r="U565">
            <v>0.15917230563900242</v>
          </cell>
        </row>
        <row r="566">
          <cell r="C566" t="str">
            <v>Chinese (permanent &amp; from ZTE)</v>
          </cell>
          <cell r="D566"/>
          <cell r="E566"/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/>
          <cell r="E567"/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/>
          <cell r="E568"/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/>
          <cell r="E569"/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/>
          <cell r="E572"/>
          <cell r="F572"/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/>
          <cell r="E573"/>
          <cell r="F573"/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/>
          <cell r="E576"/>
          <cell r="F576"/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/>
          <cell r="E577"/>
          <cell r="F577"/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/>
          <cell r="E578"/>
          <cell r="F578"/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/>
          <cell r="E581"/>
          <cell r="F581"/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/>
          <cell r="E582"/>
          <cell r="F582"/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/>
          <cell r="E583"/>
          <cell r="F583"/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/>
          <cell r="E586"/>
          <cell r="F586"/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/>
          <cell r="E587"/>
          <cell r="F587"/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/>
          <cell r="E588"/>
          <cell r="F588"/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/>
          <cell r="E589"/>
          <cell r="F589"/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/>
          <cell r="E590"/>
          <cell r="F590"/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/>
          <cell r="E591"/>
          <cell r="F591"/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/>
          <cell r="E593"/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/>
          <cell r="E596"/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/>
          <cell r="E597"/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/>
          <cell r="E598"/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/>
          <cell r="E599"/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/>
          <cell r="E602"/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/>
          <cell r="E604"/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/>
          <cell r="E605"/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/>
          <cell r="E606"/>
          <cell r="F606"/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/>
          <cell r="E607"/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/>
          <cell r="E608"/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/>
          <cell r="E609"/>
          <cell r="F609"/>
          <cell r="G609"/>
          <cell r="H609"/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/>
          <cell r="E611"/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/>
          <cell r="E612"/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/>
          <cell r="E613"/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/>
          <cell r="E614"/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/>
          <cell r="E615"/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/>
          <cell r="E617"/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/>
          <cell r="E618"/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/>
          <cell r="E619"/>
          <cell r="F619"/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/>
          <cell r="E620"/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/>
          <cell r="E622"/>
          <cell r="F622"/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/>
          <cell r="E623"/>
          <cell r="F623"/>
          <cell r="G623"/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/>
          <cell r="E624"/>
          <cell r="F624"/>
          <cell r="G624"/>
          <cell r="H624"/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/>
          <cell r="E626"/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/>
          <cell r="E627"/>
          <cell r="F627"/>
          <cell r="G627"/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/>
          <cell r="E629"/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/>
          <cell r="E632"/>
          <cell r="F632"/>
          <cell r="G632"/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/>
          <cell r="E635"/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/>
          <cell r="E636"/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/>
          <cell r="E637"/>
          <cell r="F637"/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/>
          <cell r="E639"/>
          <cell r="F639"/>
          <cell r="G639"/>
          <cell r="H639"/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/>
          <cell r="E640"/>
          <cell r="F640"/>
          <cell r="G640"/>
          <cell r="H640"/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/>
          <cell r="E641"/>
          <cell r="F641"/>
          <cell r="G641"/>
          <cell r="H641"/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/>
          <cell r="E642"/>
          <cell r="F642"/>
          <cell r="G642"/>
          <cell r="H642"/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/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/>
          <cell r="E645"/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/>
          <cell r="E647"/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/>
          <cell r="E648"/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/>
          <cell r="E649"/>
          <cell r="F649"/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/>
          <cell r="C651" t="str">
            <v>Capex</v>
          </cell>
          <cell r="D651"/>
          <cell r="E651" t="str">
            <v>En cours de construction</v>
          </cell>
        </row>
        <row r="654">
          <cell r="C654" t="str">
            <v>PP&amp;E</v>
          </cell>
          <cell r="D654"/>
          <cell r="E654"/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/>
          <cell r="E655"/>
          <cell r="F655"/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/>
          <cell r="E656"/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/>
          <cell r="E657"/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/>
          <cell r="E658"/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/>
          <cell r="E659"/>
          <cell r="F659"/>
          <cell r="G659"/>
          <cell r="H659"/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/>
          <cell r="E661"/>
          <cell r="F661"/>
          <cell r="G661"/>
          <cell r="H661"/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/>
          <cell r="E662"/>
          <cell r="F662"/>
          <cell r="G662"/>
          <cell r="H662"/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/>
          <cell r="C667" t="str">
            <v>Depreciation table</v>
          </cell>
          <cell r="D667"/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/>
          <cell r="E670">
            <v>87765</v>
          </cell>
          <cell r="F670">
            <v>7</v>
          </cell>
          <cell r="G670">
            <v>0.14285714285714285</v>
          </cell>
          <cell r="H670"/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/>
          <cell r="E671">
            <v>29271.82</v>
          </cell>
          <cell r="F671">
            <v>7</v>
          </cell>
          <cell r="G671">
            <v>0.14285714285714285</v>
          </cell>
          <cell r="H671"/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/>
          <cell r="E672">
            <v>141258.21897315257</v>
          </cell>
          <cell r="F672">
            <v>7</v>
          </cell>
          <cell r="G672">
            <v>0.14285714285714285</v>
          </cell>
          <cell r="H672"/>
          <cell r="I672"/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/>
          <cell r="E673">
            <v>64207.074808130325</v>
          </cell>
          <cell r="F673">
            <v>7</v>
          </cell>
          <cell r="G673">
            <v>0.14285714285714285</v>
          </cell>
          <cell r="H673"/>
          <cell r="I673"/>
          <cell r="J673"/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/>
          <cell r="E674">
            <v>60918.66513425835</v>
          </cell>
          <cell r="F674">
            <v>7</v>
          </cell>
          <cell r="G674">
            <v>0.14285714285714285</v>
          </cell>
          <cell r="H674"/>
          <cell r="I674"/>
          <cell r="J674"/>
          <cell r="K674"/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/>
          <cell r="E675">
            <v>58988.831867430563</v>
          </cell>
          <cell r="F675">
            <v>7</v>
          </cell>
          <cell r="G675">
            <v>0.14285714285714285</v>
          </cell>
          <cell r="H675"/>
          <cell r="I675"/>
          <cell r="J675"/>
          <cell r="K675"/>
          <cell r="L675"/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/>
          <cell r="E676">
            <v>63900.991321105372</v>
          </cell>
          <cell r="F676">
            <v>7</v>
          </cell>
          <cell r="G676">
            <v>0.14285714285714285</v>
          </cell>
          <cell r="H676"/>
          <cell r="I676"/>
          <cell r="J676"/>
          <cell r="K676"/>
          <cell r="L676"/>
          <cell r="M676"/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/>
          <cell r="E677">
            <v>64540.887069877528</v>
          </cell>
          <cell r="F677">
            <v>7</v>
          </cell>
          <cell r="G677">
            <v>0.14285714285714285</v>
          </cell>
          <cell r="H677"/>
          <cell r="I677"/>
          <cell r="J677"/>
          <cell r="K677"/>
          <cell r="L677"/>
          <cell r="M677"/>
          <cell r="N677"/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/>
          <cell r="E678">
            <v>72418.611060308787</v>
          </cell>
          <cell r="F678">
            <v>7</v>
          </cell>
          <cell r="G678">
            <v>0.14285714285714285</v>
          </cell>
          <cell r="H678"/>
          <cell r="I678"/>
          <cell r="J678"/>
          <cell r="K678"/>
          <cell r="L678"/>
          <cell r="M678"/>
          <cell r="N678"/>
          <cell r="O678"/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/>
          <cell r="E679">
            <v>80250.462521174384</v>
          </cell>
          <cell r="F679">
            <v>7</v>
          </cell>
          <cell r="G679">
            <v>0.14285714285714285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/>
          <cell r="E680">
            <v>87211.896696431068</v>
          </cell>
          <cell r="F680">
            <v>7</v>
          </cell>
          <cell r="G680">
            <v>0.14285714285714285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/>
          <cell r="E681">
            <v>93419.099966950453</v>
          </cell>
          <cell r="F681">
            <v>7</v>
          </cell>
          <cell r="G681">
            <v>0.14285714285714285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>
            <v>13345.58570956435</v>
          </cell>
        </row>
        <row r="683">
          <cell r="C683" t="str">
            <v>Total depreciation</v>
          </cell>
          <cell r="D683"/>
          <cell r="E683"/>
          <cell r="F683"/>
          <cell r="G683"/>
          <cell r="H683"/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/>
          <cell r="C685" t="str">
            <v>BFR</v>
          </cell>
          <cell r="D685"/>
          <cell r="E685"/>
          <cell r="F685" t="str">
            <v>En cours de construction</v>
          </cell>
        </row>
        <row r="687">
          <cell r="C687" t="str">
            <v>Receivables</v>
          </cell>
          <cell r="D687"/>
          <cell r="E687"/>
          <cell r="F687"/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/>
          <cell r="E688"/>
          <cell r="F688"/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/>
          <cell r="E689"/>
          <cell r="F689"/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/>
          <cell r="E690"/>
          <cell r="F690"/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/>
          <cell r="E691"/>
          <cell r="F691"/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/>
          <cell r="E692"/>
          <cell r="F692"/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/>
          <cell r="E693"/>
          <cell r="F693"/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/>
          <cell r="E694"/>
          <cell r="F694"/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/>
          <cell r="E695"/>
          <cell r="F695"/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/>
          <cell r="E696"/>
          <cell r="F696"/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/>
          <cell r="E697"/>
          <cell r="F697"/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/>
          <cell r="E698"/>
          <cell r="F698"/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/>
          <cell r="E699"/>
          <cell r="F699"/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/>
          <cell r="E700"/>
          <cell r="F700"/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/>
          <cell r="E701"/>
          <cell r="F701"/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/>
          <cell r="E702"/>
          <cell r="F702"/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/>
          <cell r="E703"/>
          <cell r="F703"/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/>
          <cell r="E704"/>
          <cell r="F704"/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/>
          <cell r="E705"/>
          <cell r="F705"/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/>
          <cell r="C711" t="str">
            <v>Cash flow statement</v>
          </cell>
          <cell r="D711"/>
          <cell r="E711"/>
          <cell r="F711"/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/>
          <cell r="E714"/>
          <cell r="F714"/>
          <cell r="G714"/>
          <cell r="H714"/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/>
          <cell r="E715"/>
          <cell r="F715"/>
          <cell r="G715"/>
          <cell r="H715"/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/>
          <cell r="E717"/>
          <cell r="F717"/>
          <cell r="G717"/>
          <cell r="H717"/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/>
          <cell r="E718"/>
          <cell r="F718"/>
          <cell r="G718"/>
          <cell r="H718"/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/>
          <cell r="E719"/>
          <cell r="F719"/>
          <cell r="G719"/>
          <cell r="H719"/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/>
          <cell r="E720"/>
          <cell r="F720"/>
          <cell r="G720"/>
          <cell r="H720"/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/>
          <cell r="E721"/>
          <cell r="F721"/>
          <cell r="G721"/>
          <cell r="H721"/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/>
          <cell r="E722"/>
          <cell r="F722"/>
          <cell r="G722"/>
          <cell r="H722"/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/>
          <cell r="E723"/>
          <cell r="F723"/>
          <cell r="G723"/>
          <cell r="H723"/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/>
          <cell r="E724"/>
          <cell r="F724"/>
          <cell r="G724"/>
          <cell r="H724"/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/>
          <cell r="E725"/>
          <cell r="F725"/>
          <cell r="G725"/>
          <cell r="H725"/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/>
          <cell r="E727"/>
          <cell r="F727"/>
          <cell r="G727"/>
          <cell r="H727"/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/>
          <cell r="E729"/>
          <cell r="F729"/>
          <cell r="G729"/>
          <cell r="H729"/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/>
          <cell r="E731"/>
          <cell r="F731"/>
          <cell r="G731"/>
          <cell r="H731"/>
          <cell r="I731">
            <v>-16620</v>
          </cell>
        </row>
        <row r="732">
          <cell r="C732" t="str">
            <v>Prepayment</v>
          </cell>
          <cell r="D732"/>
          <cell r="E732"/>
          <cell r="F732"/>
          <cell r="G732"/>
          <cell r="H732"/>
          <cell r="I732">
            <v>-28299</v>
          </cell>
        </row>
        <row r="733">
          <cell r="C733" t="str">
            <v>Purchase of intangible assets</v>
          </cell>
          <cell r="D733"/>
          <cell r="E733"/>
          <cell r="F733"/>
          <cell r="G733"/>
          <cell r="H733"/>
          <cell r="I733">
            <v>0</v>
          </cell>
        </row>
        <row r="734">
          <cell r="C734" t="str">
            <v>Other</v>
          </cell>
          <cell r="D734"/>
          <cell r="E734"/>
          <cell r="F734"/>
          <cell r="G734"/>
          <cell r="H734"/>
          <cell r="I734">
            <v>-773</v>
          </cell>
        </row>
        <row r="736">
          <cell r="C736" t="str">
            <v>Total capex (non current assets)</v>
          </cell>
          <cell r="D736"/>
          <cell r="E736"/>
          <cell r="F736"/>
          <cell r="G736"/>
          <cell r="H736"/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/>
          <cell r="E738"/>
          <cell r="F738"/>
          <cell r="G738"/>
          <cell r="H738"/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/>
          <cell r="E739"/>
          <cell r="F739"/>
          <cell r="G739"/>
          <cell r="H739"/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/>
          <cell r="E741"/>
          <cell r="F741"/>
          <cell r="G741"/>
          <cell r="H741"/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/>
          <cell r="E742"/>
          <cell r="F742"/>
          <cell r="G742"/>
          <cell r="H742"/>
          <cell r="I742">
            <v>7225</v>
          </cell>
          <cell r="J742"/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/>
          <cell r="E743"/>
          <cell r="F743"/>
          <cell r="G743"/>
          <cell r="H743"/>
          <cell r="I743">
            <v>25</v>
          </cell>
          <cell r="J743"/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/>
          <cell r="E744"/>
          <cell r="F744"/>
          <cell r="G744"/>
          <cell r="H744"/>
          <cell r="I744">
            <v>-516.57839999999987</v>
          </cell>
          <cell r="J744"/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/>
          <cell r="E745"/>
          <cell r="F745"/>
          <cell r="G745"/>
          <cell r="H745"/>
          <cell r="I745">
            <v>897.85788999999932</v>
          </cell>
          <cell r="J745"/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/>
          <cell r="E747"/>
          <cell r="F747"/>
          <cell r="G747"/>
          <cell r="H747"/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/>
          <cell r="E749"/>
          <cell r="F749"/>
          <cell r="G749"/>
          <cell r="H749"/>
          <cell r="I749">
            <v>0</v>
          </cell>
          <cell r="J749"/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/>
          <cell r="E750"/>
          <cell r="F750"/>
          <cell r="G750"/>
          <cell r="H750"/>
          <cell r="I750">
            <v>-211</v>
          </cell>
          <cell r="J750"/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/>
          <cell r="E751"/>
          <cell r="F751"/>
          <cell r="G751"/>
          <cell r="H751"/>
          <cell r="I751">
            <v>0</v>
          </cell>
          <cell r="J751"/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/>
          <cell r="E752"/>
          <cell r="F752"/>
          <cell r="G752"/>
          <cell r="H752"/>
          <cell r="I752">
            <v>10681.3448000403</v>
          </cell>
          <cell r="J752"/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/>
          <cell r="E753"/>
          <cell r="F753"/>
          <cell r="G753"/>
          <cell r="H753"/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/>
          <cell r="E754"/>
          <cell r="F754"/>
          <cell r="G754"/>
          <cell r="H754"/>
          <cell r="I754">
            <v>0</v>
          </cell>
          <cell r="J754"/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/>
          <cell r="E755"/>
          <cell r="F755"/>
          <cell r="G755"/>
          <cell r="H755"/>
          <cell r="I755">
            <v>0</v>
          </cell>
          <cell r="J755"/>
          <cell r="K755">
            <v>0</v>
          </cell>
          <cell r="L755"/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/>
          <cell r="E756"/>
          <cell r="F756"/>
          <cell r="G756"/>
          <cell r="H756"/>
          <cell r="I756">
            <v>0</v>
          </cell>
          <cell r="J756"/>
          <cell r="K756">
            <v>0</v>
          </cell>
          <cell r="L756"/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/>
          <cell r="E757"/>
          <cell r="F757"/>
          <cell r="G757"/>
          <cell r="H757"/>
          <cell r="I757">
            <v>0</v>
          </cell>
          <cell r="J757"/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/>
          <cell r="E759"/>
          <cell r="F759"/>
          <cell r="G759"/>
          <cell r="H759"/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/>
          <cell r="E761"/>
          <cell r="F761"/>
          <cell r="G761"/>
          <cell r="H761"/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/>
          <cell r="E762"/>
          <cell r="F762"/>
          <cell r="G762"/>
          <cell r="H762"/>
          <cell r="I762"/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/>
          <cell r="E763"/>
          <cell r="F763"/>
          <cell r="G763"/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/>
          <cell r="E766"/>
          <cell r="F766"/>
          <cell r="G766"/>
          <cell r="H766"/>
          <cell r="I766"/>
          <cell r="J766"/>
          <cell r="K766"/>
          <cell r="L766">
            <v>0</v>
          </cell>
          <cell r="M766"/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/>
          <cell r="C771" t="str">
            <v>Balance sheet</v>
          </cell>
          <cell r="D771"/>
          <cell r="E771"/>
          <cell r="F771"/>
          <cell r="G771">
            <v>2006</v>
          </cell>
          <cell r="H771">
            <v>2007</v>
          </cell>
          <cell r="I771" t="str">
            <v>H1 2008</v>
          </cell>
          <cell r="J771"/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/>
          <cell r="E774"/>
          <cell r="F774"/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/>
          <cell r="E775"/>
          <cell r="F775"/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/>
          <cell r="E776"/>
          <cell r="F776"/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/>
          <cell r="E777"/>
          <cell r="F777"/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/>
          <cell r="E778"/>
          <cell r="F778"/>
          <cell r="G778">
            <v>86227</v>
          </cell>
          <cell r="H778">
            <v>150135</v>
          </cell>
          <cell r="I778">
            <v>191391</v>
          </cell>
          <cell r="J778"/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/>
          <cell r="E780"/>
          <cell r="F780"/>
          <cell r="G780">
            <v>1193</v>
          </cell>
          <cell r="H780">
            <v>3795</v>
          </cell>
          <cell r="I780">
            <v>4296</v>
          </cell>
          <cell r="J780"/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/>
          <cell r="E781"/>
          <cell r="F781"/>
          <cell r="G781">
            <v>1711</v>
          </cell>
          <cell r="H781">
            <v>2861</v>
          </cell>
          <cell r="I781">
            <v>2403</v>
          </cell>
          <cell r="J781"/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/>
          <cell r="E782"/>
          <cell r="F782"/>
          <cell r="G782">
            <v>3903</v>
          </cell>
          <cell r="H782">
            <v>4936</v>
          </cell>
          <cell r="I782">
            <v>4869</v>
          </cell>
          <cell r="J782"/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/>
          <cell r="E783"/>
          <cell r="F783"/>
          <cell r="G783">
            <v>-3404.09112</v>
          </cell>
          <cell r="H783">
            <v>-5536.0135499999997</v>
          </cell>
          <cell r="I783">
            <v>-6597.700290000008</v>
          </cell>
          <cell r="J783"/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/>
          <cell r="E784"/>
          <cell r="F784"/>
          <cell r="G784">
            <v>-2558</v>
          </cell>
          <cell r="H784">
            <v>-2920</v>
          </cell>
          <cell r="I784">
            <v>-2525</v>
          </cell>
          <cell r="J784"/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/>
          <cell r="E785"/>
          <cell r="F785"/>
          <cell r="G785">
            <v>-2179</v>
          </cell>
          <cell r="H785">
            <v>-3297</v>
          </cell>
          <cell r="I785">
            <v>-2909</v>
          </cell>
          <cell r="J785"/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/>
          <cell r="E786"/>
          <cell r="F786"/>
          <cell r="G786">
            <v>-46</v>
          </cell>
          <cell r="H786">
            <v>-740</v>
          </cell>
          <cell r="I786">
            <v>-4042</v>
          </cell>
          <cell r="J786"/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/>
          <cell r="E787"/>
          <cell r="F787"/>
          <cell r="G787">
            <v>-5</v>
          </cell>
          <cell r="H787">
            <v>-186</v>
          </cell>
          <cell r="I787">
            <v>-186</v>
          </cell>
          <cell r="J787"/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/>
          <cell r="E788"/>
          <cell r="F788"/>
          <cell r="G788">
            <v>-1385.09112</v>
          </cell>
          <cell r="H788">
            <v>-1087.0135499999997</v>
          </cell>
          <cell r="I788">
            <v>-4691.700290000008</v>
          </cell>
          <cell r="J788"/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/>
          <cell r="E790"/>
          <cell r="F790"/>
          <cell r="G790">
            <v>84841.908880000003</v>
          </cell>
          <cell r="H790">
            <v>149047.98645</v>
          </cell>
          <cell r="I790">
            <v>186699.29970999999</v>
          </cell>
          <cell r="J790"/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/>
          <cell r="E792"/>
          <cell r="F792"/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/>
          <cell r="E793"/>
          <cell r="F793"/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/>
          <cell r="E794"/>
          <cell r="F794"/>
          <cell r="G794">
            <v>15304</v>
          </cell>
          <cell r="H794">
            <v>12480</v>
          </cell>
          <cell r="I794">
            <v>13369</v>
          </cell>
          <cell r="J794"/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/>
          <cell r="E796"/>
          <cell r="F796"/>
          <cell r="G796"/>
          <cell r="H796"/>
          <cell r="I796"/>
          <cell r="J796"/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/>
          <cell r="E798"/>
          <cell r="F798"/>
          <cell r="G798" t="str">
            <v>na</v>
          </cell>
          <cell r="H798">
            <v>33271.6551999597</v>
          </cell>
          <cell r="I798">
            <v>43953</v>
          </cell>
          <cell r="J798"/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/>
          <cell r="E799"/>
          <cell r="F799"/>
          <cell r="G799" t="str">
            <v>na</v>
          </cell>
          <cell r="H799">
            <v>71913.3448000403</v>
          </cell>
          <cell r="I799">
            <v>95000</v>
          </cell>
          <cell r="J799"/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/>
          <cell r="E800"/>
          <cell r="F800"/>
          <cell r="G800">
            <v>0</v>
          </cell>
          <cell r="H800">
            <v>0</v>
          </cell>
          <cell r="I800">
            <v>0</v>
          </cell>
          <cell r="J800"/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/>
          <cell r="E801"/>
          <cell r="F801"/>
          <cell r="G801">
            <v>0</v>
          </cell>
          <cell r="H801">
            <v>0</v>
          </cell>
          <cell r="I801">
            <v>0</v>
          </cell>
          <cell r="J801"/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/>
          <cell r="E802"/>
          <cell r="F802"/>
          <cell r="G802">
            <v>0</v>
          </cell>
          <cell r="H802">
            <v>0</v>
          </cell>
          <cell r="I802">
            <v>0</v>
          </cell>
          <cell r="J802"/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/>
          <cell r="E803"/>
          <cell r="F803"/>
          <cell r="G803">
            <v>9647</v>
          </cell>
          <cell r="H803">
            <v>105185</v>
          </cell>
          <cell r="I803">
            <v>138953</v>
          </cell>
          <cell r="J803"/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/>
          <cell r="E804"/>
          <cell r="F804"/>
          <cell r="G804">
            <v>-3673</v>
          </cell>
          <cell r="H804">
            <v>-6151</v>
          </cell>
          <cell r="I804">
            <v>-11325</v>
          </cell>
          <cell r="J804"/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/>
          <cell r="E805"/>
          <cell r="F805"/>
          <cell r="G805">
            <v>5974</v>
          </cell>
          <cell r="H805">
            <v>99034</v>
          </cell>
          <cell r="I805">
            <v>127628</v>
          </cell>
          <cell r="J805"/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/>
          <cell r="E807"/>
          <cell r="F807"/>
          <cell r="G807">
            <v>62570</v>
          </cell>
          <cell r="H807">
            <v>21924</v>
          </cell>
          <cell r="I807">
            <v>22461</v>
          </cell>
          <cell r="J807"/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/>
          <cell r="E808"/>
          <cell r="F808"/>
          <cell r="G808">
            <v>0</v>
          </cell>
          <cell r="H808">
            <v>7286</v>
          </cell>
          <cell r="I808">
            <v>14511</v>
          </cell>
          <cell r="J808"/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/>
          <cell r="E809"/>
          <cell r="F809"/>
          <cell r="G809">
            <v>0</v>
          </cell>
          <cell r="H809">
            <v>2036</v>
          </cell>
          <cell r="I809">
            <v>2061</v>
          </cell>
          <cell r="J809"/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/>
          <cell r="E810"/>
          <cell r="F810"/>
          <cell r="G810">
            <v>689.27668000000006</v>
          </cell>
          <cell r="H810">
            <v>2132.2849999999999</v>
          </cell>
          <cell r="I810">
            <v>1615.7066</v>
          </cell>
          <cell r="J810"/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/>
          <cell r="E811"/>
          <cell r="F811"/>
          <cell r="G811">
            <v>304.44058000000001</v>
          </cell>
          <cell r="H811">
            <v>4155.7352200000005</v>
          </cell>
          <cell r="I811">
            <v>5053.5931099999998</v>
          </cell>
          <cell r="J811"/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/>
          <cell r="E812"/>
          <cell r="F812"/>
          <cell r="G812">
            <v>63563.717260000005</v>
          </cell>
          <cell r="H812">
            <v>37534.020220000006</v>
          </cell>
          <cell r="I812">
            <v>45702.299709999999</v>
          </cell>
          <cell r="J812"/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/>
          <cell r="E814"/>
          <cell r="F814"/>
          <cell r="G814">
            <v>84841.717260000005</v>
          </cell>
          <cell r="H814">
            <v>149048.02022000001</v>
          </cell>
          <cell r="I814">
            <v>186699.29970999999</v>
          </cell>
          <cell r="J814"/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/>
          <cell r="E815"/>
          <cell r="F815"/>
          <cell r="G815">
            <v>0.19161999999778345</v>
          </cell>
          <cell r="H815">
            <v>-3.3770000009099022E-2</v>
          </cell>
          <cell r="I815">
            <v>0</v>
          </cell>
          <cell r="J815"/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/>
          <cell r="E818"/>
          <cell r="F818"/>
          <cell r="G818">
            <v>2006</v>
          </cell>
          <cell r="H818">
            <v>2007</v>
          </cell>
          <cell r="I818">
            <v>39629</v>
          </cell>
          <cell r="J818"/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/>
          <cell r="E819"/>
          <cell r="F819"/>
          <cell r="G819">
            <v>689.27668000000006</v>
          </cell>
          <cell r="H819">
            <v>2132.2849999999999</v>
          </cell>
          <cell r="I819">
            <v>1615.7066</v>
          </cell>
          <cell r="J819"/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/>
          <cell r="E820"/>
          <cell r="F820"/>
          <cell r="G820">
            <v>304.44058000000001</v>
          </cell>
          <cell r="H820">
            <v>4155.7352200000005</v>
          </cell>
          <cell r="I820">
            <v>5053.5931099999998</v>
          </cell>
          <cell r="J820"/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/>
          <cell r="E821"/>
          <cell r="F821"/>
          <cell r="G821">
            <v>3536.6746699999999</v>
          </cell>
          <cell r="H821">
            <v>5485.7098599999999</v>
          </cell>
          <cell r="I821">
            <v>6678</v>
          </cell>
          <cell r="J821"/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/>
          <cell r="E822"/>
          <cell r="F822"/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/>
          <cell r="E823"/>
          <cell r="F823"/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/>
          <cell r="E824"/>
          <cell r="F824"/>
          <cell r="G824">
            <v>0</v>
          </cell>
          <cell r="H824">
            <v>0</v>
          </cell>
          <cell r="I824">
            <v>0</v>
          </cell>
          <cell r="J824"/>
          <cell r="K824"/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/>
          <cell r="E827"/>
          <cell r="F827"/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/>
          <cell r="E828"/>
          <cell r="F828"/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/>
          <cell r="E829"/>
          <cell r="F829"/>
          <cell r="G829">
            <v>0</v>
          </cell>
          <cell r="H829">
            <v>2036</v>
          </cell>
          <cell r="I829">
            <v>2061</v>
          </cell>
          <cell r="J829"/>
          <cell r="K829">
            <v>171419.33271890547</v>
          </cell>
        </row>
        <row r="830">
          <cell r="C830" t="str">
            <v>Payroll payables</v>
          </cell>
          <cell r="D830"/>
          <cell r="E830"/>
          <cell r="F830"/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/>
          <cell r="E831"/>
          <cell r="F831"/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/>
          <cell r="E832"/>
          <cell r="F832"/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/>
          <cell r="E833"/>
          <cell r="F833"/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/>
          <cell r="E834"/>
          <cell r="F834"/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/>
          <cell r="E840"/>
          <cell r="F840"/>
          <cell r="G840"/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/>
          <cell r="E841"/>
          <cell r="F841"/>
          <cell r="G841"/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/>
          <cell r="E842"/>
          <cell r="F842"/>
          <cell r="G842"/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/>
          <cell r="E843"/>
          <cell r="F843"/>
          <cell r="G843"/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/>
          <cell r="E844"/>
          <cell r="F844"/>
          <cell r="G844"/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/>
          <cell r="E845"/>
          <cell r="F845"/>
          <cell r="G845"/>
          <cell r="H845">
            <v>37534.020219999999</v>
          </cell>
          <cell r="I845">
            <v>45702.299709999999</v>
          </cell>
          <cell r="J845"/>
          <cell r="K845"/>
          <cell r="L845"/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/>
          <cell r="E851"/>
          <cell r="F851"/>
          <cell r="G851">
            <v>2006</v>
          </cell>
          <cell r="H851">
            <v>2007</v>
          </cell>
          <cell r="I851" t="str">
            <v>H1 2008</v>
          </cell>
          <cell r="J851"/>
          <cell r="K851"/>
          <cell r="L851"/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/>
          <cell r="E854"/>
          <cell r="F854"/>
          <cell r="G854"/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/>
          <cell r="E855"/>
          <cell r="F855"/>
          <cell r="G855"/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/>
          <cell r="E856"/>
          <cell r="F856"/>
          <cell r="G856"/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/>
          <cell r="E858"/>
          <cell r="F858"/>
          <cell r="G858"/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/>
          <cell r="E859"/>
          <cell r="F859"/>
          <cell r="G859"/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/>
          <cell r="E860"/>
          <cell r="F860"/>
          <cell r="G860"/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/>
          <cell r="E862"/>
          <cell r="F862"/>
          <cell r="G862"/>
          <cell r="H862">
            <v>62248</v>
          </cell>
          <cell r="I862">
            <v>28299</v>
          </cell>
        </row>
        <row r="865">
          <cell r="A865">
            <v>1</v>
          </cell>
          <cell r="B865"/>
          <cell r="C865" t="str">
            <v>Capex</v>
          </cell>
          <cell r="D865"/>
          <cell r="E865"/>
          <cell r="F865"/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/>
          <cell r="E868"/>
          <cell r="F868"/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/>
          <cell r="E869"/>
          <cell r="F869"/>
          <cell r="G869"/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/>
          <cell r="E870"/>
          <cell r="F870"/>
          <cell r="G870"/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/>
          <cell r="E871"/>
          <cell r="F871"/>
          <cell r="G871"/>
          <cell r="H871"/>
          <cell r="I871">
            <v>-0.77200000000000002</v>
          </cell>
        </row>
        <row r="872">
          <cell r="C872" t="str">
            <v>Capex - Prepayment</v>
          </cell>
          <cell r="D872"/>
          <cell r="E872"/>
          <cell r="F872"/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/>
          <cell r="E873"/>
          <cell r="F873"/>
          <cell r="G873"/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/>
          <cell r="E874"/>
          <cell r="F874"/>
          <cell r="G874"/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/>
          <cell r="E876"/>
          <cell r="F876"/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/>
          <cell r="C878" t="str">
            <v>Amortissements</v>
          </cell>
          <cell r="D878"/>
          <cell r="E878"/>
          <cell r="F878"/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/>
          <cell r="E881"/>
          <cell r="F881"/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/>
          <cell r="C884" t="str">
            <v>Eléments de bilan</v>
          </cell>
          <cell r="D884"/>
          <cell r="E884"/>
          <cell r="F884"/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/>
          <cell r="E887"/>
          <cell r="F887"/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/>
          <cell r="E888"/>
          <cell r="F888"/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/>
          <cell r="E889"/>
          <cell r="F889"/>
          <cell r="G889">
            <v>75.17</v>
          </cell>
          <cell r="H889">
            <v>76.83</v>
          </cell>
          <cell r="I889">
            <v>89.786999999999992</v>
          </cell>
          <cell r="J889"/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/>
          <cell r="E890"/>
          <cell r="F890"/>
          <cell r="G890">
            <v>0.122</v>
          </cell>
          <cell r="H890">
            <v>62.37</v>
          </cell>
          <cell r="I890">
            <v>90.668999999999997</v>
          </cell>
          <cell r="J890"/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/>
          <cell r="E891"/>
          <cell r="F891"/>
          <cell r="G891">
            <v>75.292000000000002</v>
          </cell>
          <cell r="H891">
            <v>139.19999999999999</v>
          </cell>
          <cell r="I891">
            <v>180.45599999999999</v>
          </cell>
          <cell r="J891"/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/>
          <cell r="E893"/>
          <cell r="F893"/>
          <cell r="G893">
            <v>51.634999999999998</v>
          </cell>
          <cell r="H893">
            <v>10.989000000000001</v>
          </cell>
          <cell r="I893">
            <v>11.526</v>
          </cell>
          <cell r="J893"/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/>
          <cell r="E894"/>
          <cell r="F894"/>
          <cell r="G894">
            <v>0</v>
          </cell>
          <cell r="H894">
            <v>7.2859999999999996</v>
          </cell>
          <cell r="I894">
            <v>14.510999999999999</v>
          </cell>
          <cell r="J894"/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/>
          <cell r="E895"/>
          <cell r="F895"/>
          <cell r="G895">
            <v>0</v>
          </cell>
          <cell r="H895">
            <v>2.036</v>
          </cell>
          <cell r="I895">
            <v>2.0609999999999999</v>
          </cell>
          <cell r="J895"/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/>
          <cell r="E896"/>
          <cell r="F896"/>
          <cell r="G896">
            <v>0.99371726000000016</v>
          </cell>
          <cell r="H896">
            <v>6.2880202199999999</v>
          </cell>
          <cell r="I896">
            <v>6.6692997099999989</v>
          </cell>
          <cell r="J896"/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/>
          <cell r="E897"/>
          <cell r="F897"/>
          <cell r="G897">
            <v>52.628717259999995</v>
          </cell>
          <cell r="H897">
            <v>26.59902022</v>
          </cell>
          <cell r="I897">
            <v>34.767299709999996</v>
          </cell>
          <cell r="J897"/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/>
          <cell r="E898"/>
          <cell r="F898"/>
          <cell r="G898" t="str">
            <v>na</v>
          </cell>
          <cell r="H898" t="str">
            <v>na</v>
          </cell>
          <cell r="I898">
            <v>10.934999999999999</v>
          </cell>
          <cell r="J898"/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/>
          <cell r="E899"/>
          <cell r="F899"/>
          <cell r="G899"/>
          <cell r="H899"/>
          <cell r="I899">
            <v>45.702299709999991</v>
          </cell>
          <cell r="J899"/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/>
          <cell r="E901"/>
          <cell r="F901"/>
          <cell r="G901"/>
          <cell r="H901" t="str">
            <v>na</v>
          </cell>
          <cell r="I901">
            <v>43.953000000000003</v>
          </cell>
          <cell r="J901"/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/>
          <cell r="E902"/>
          <cell r="F902"/>
          <cell r="G902"/>
          <cell r="H902" t="str">
            <v>na</v>
          </cell>
          <cell r="I902">
            <v>95</v>
          </cell>
          <cell r="J902"/>
          <cell r="K902">
            <v>105</v>
          </cell>
          <cell r="L902">
            <v>0</v>
          </cell>
        </row>
        <row r="903">
          <cell r="C903" t="str">
            <v>Other</v>
          </cell>
          <cell r="D903"/>
          <cell r="E903"/>
          <cell r="F903"/>
          <cell r="G903"/>
          <cell r="H903">
            <v>0</v>
          </cell>
          <cell r="I903">
            <v>0</v>
          </cell>
          <cell r="J903"/>
          <cell r="K903">
            <v>0</v>
          </cell>
          <cell r="L903">
            <v>105</v>
          </cell>
        </row>
        <row r="904">
          <cell r="C904" t="str">
            <v>Gross debt</v>
          </cell>
          <cell r="D904"/>
          <cell r="E904"/>
          <cell r="F904"/>
          <cell r="G904"/>
          <cell r="H904">
            <v>105.185</v>
          </cell>
          <cell r="I904">
            <v>138.953</v>
          </cell>
          <cell r="J904"/>
          <cell r="K904">
            <v>148.953</v>
          </cell>
          <cell r="L904">
            <v>105</v>
          </cell>
        </row>
        <row r="905">
          <cell r="C905" t="str">
            <v>- cash</v>
          </cell>
          <cell r="D905"/>
          <cell r="E905"/>
          <cell r="F905"/>
          <cell r="G905"/>
          <cell r="H905">
            <v>-6.1509999999999998</v>
          </cell>
          <cell r="I905">
            <v>-11.324999999999999</v>
          </cell>
          <cell r="J905"/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/>
          <cell r="E906"/>
          <cell r="F906"/>
          <cell r="G906"/>
          <cell r="H906">
            <v>99.034000000000006</v>
          </cell>
          <cell r="I906">
            <v>127.628</v>
          </cell>
          <cell r="J906"/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/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/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/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/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/>
          <cell r="E932"/>
          <cell r="F932"/>
          <cell r="G932"/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/>
          <cell r="E933"/>
          <cell r="F933"/>
          <cell r="G933"/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/>
          <cell r="E934"/>
          <cell r="F934"/>
          <cell r="G934"/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/>
          <cell r="E935"/>
          <cell r="F935"/>
          <cell r="G935"/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/>
          <cell r="E936"/>
          <cell r="F936"/>
          <cell r="G936"/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/>
          <cell r="E940"/>
          <cell r="F940"/>
          <cell r="G940"/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/>
          <cell r="E941"/>
          <cell r="F941"/>
          <cell r="G941"/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/>
          <cell r="E942"/>
          <cell r="F942"/>
          <cell r="G942"/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/>
          <cell r="E949"/>
          <cell r="F949"/>
          <cell r="G949"/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/>
          <cell r="E950"/>
          <cell r="F950"/>
          <cell r="G950"/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/>
          <cell r="E951"/>
          <cell r="F951"/>
          <cell r="G951"/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/>
          <cell r="E952"/>
          <cell r="F952"/>
          <cell r="G952"/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/>
          <cell r="E953"/>
          <cell r="F953"/>
          <cell r="G953"/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/>
          <cell r="E954"/>
          <cell r="F954"/>
          <cell r="G954"/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/>
          <cell r="E955"/>
          <cell r="F955"/>
          <cell r="G955"/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/>
          <cell r="E956"/>
          <cell r="F956"/>
          <cell r="G956"/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/>
          <cell r="E957"/>
          <cell r="F957"/>
          <cell r="G957"/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/>
          <cell r="E958"/>
          <cell r="F958"/>
          <cell r="G958"/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/>
          <cell r="E960"/>
          <cell r="F960"/>
          <cell r="G960"/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/>
          <cell r="E961"/>
          <cell r="F961"/>
          <cell r="G961"/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/>
          <cell r="E964"/>
          <cell r="F964"/>
          <cell r="G964"/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/>
          <cell r="E965"/>
          <cell r="F965"/>
          <cell r="G965"/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/>
          <cell r="E972"/>
          <cell r="F972"/>
          <cell r="G972"/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/>
          <cell r="E974"/>
          <cell r="F974"/>
          <cell r="G974"/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/>
          <cell r="E975"/>
          <cell r="F975"/>
          <cell r="G975"/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/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A6">
            <v>1</v>
          </cell>
          <cell r="B6"/>
          <cell r="C6"/>
          <cell r="D6"/>
          <cell r="E6"/>
          <cell r="F6"/>
          <cell r="G6">
            <v>2006</v>
          </cell>
          <cell r="H6">
            <v>2007</v>
          </cell>
          <cell r="I6">
            <v>2008</v>
          </cell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CAGR 08 - 18</v>
          </cell>
        </row>
        <row r="9">
          <cell r="D9" t="str">
            <v>Part de marché</v>
          </cell>
          <cell r="E9"/>
          <cell r="F9"/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/>
          <cell r="F10"/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/>
          <cell r="F11"/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/>
          <cell r="F12"/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/>
          <cell r="F13"/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/>
          <cell r="F14"/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/>
          <cell r="F15"/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/>
          <cell r="F16"/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/>
          <cell r="F18"/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/>
          <cell r="F19"/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/>
          <cell r="C23"/>
          <cell r="D23" t="str">
            <v>KUSD</v>
          </cell>
          <cell r="E23"/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 t="str">
            <v>CAGR 08 - 18</v>
          </cell>
        </row>
        <row r="26">
          <cell r="D26" t="str">
            <v>CA avant commissions</v>
          </cell>
          <cell r="E26"/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/>
          <cell r="F27" t="str">
            <v>NA</v>
          </cell>
          <cell r="G27" t="str">
            <v>NA</v>
          </cell>
          <cell r="H27">
            <v>0.2501053786741112</v>
          </cell>
          <cell r="I27"/>
          <cell r="J27">
            <v>0.52944680690609092</v>
          </cell>
        </row>
        <row r="28">
          <cell r="D28" t="str">
            <v>CA après commisions</v>
          </cell>
          <cell r="E28"/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/>
          <cell r="F29" t="str">
            <v>NA</v>
          </cell>
          <cell r="G29">
            <v>0.96453101321764501</v>
          </cell>
          <cell r="H29">
            <v>0.24750554132264302</v>
          </cell>
          <cell r="I29"/>
          <cell r="J29">
            <v>0.51480420205904709</v>
          </cell>
        </row>
        <row r="30">
          <cell r="D30" t="str">
            <v>EBITDA</v>
          </cell>
          <cell r="E30"/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/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/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/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/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/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/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/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/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/>
          <cell r="C46"/>
          <cell r="D46" t="str">
            <v>KUSD</v>
          </cell>
          <cell r="E46"/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CAGR 08 - 18</v>
          </cell>
        </row>
        <row r="49">
          <cell r="D49" t="str">
            <v>Actifs non courants</v>
          </cell>
          <cell r="E49"/>
          <cell r="F49"/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/>
          <cell r="F50"/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/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/>
          <cell r="F54"/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/>
          <cell r="F55"/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/>
          <cell r="F56"/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/>
          <cell r="F57"/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/>
          <cell r="F58"/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/>
          <cell r="F59"/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/>
          <cell r="F60"/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/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U6" t="str">
            <v>CAGR</v>
          </cell>
        </row>
        <row r="7">
          <cell r="A7">
            <v>1</v>
          </cell>
          <cell r="B7"/>
          <cell r="C7"/>
          <cell r="D7" t="str">
            <v>USDm</v>
          </cell>
          <cell r="E7"/>
          <cell r="F7"/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/>
          <cell r="U7" t="str">
            <v>07-18e</v>
          </cell>
        </row>
        <row r="10">
          <cell r="D10" t="str">
            <v>Normal units revenues</v>
          </cell>
          <cell r="E10"/>
          <cell r="F10"/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/>
          <cell r="U10">
            <v>0.24001437226963573</v>
          </cell>
        </row>
        <row r="11">
          <cell r="D11" t="str">
            <v>Interconnection revenues</v>
          </cell>
          <cell r="E11"/>
          <cell r="F11"/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/>
          <cell r="U11">
            <v>0.24909784251767664</v>
          </cell>
        </row>
        <row r="12">
          <cell r="D12" t="str">
            <v>Other</v>
          </cell>
          <cell r="E12"/>
          <cell r="F12"/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/>
          <cell r="U12">
            <v>-1.6073797649718613E-2</v>
          </cell>
        </row>
        <row r="13">
          <cell r="D13" t="str">
            <v>Roaming</v>
          </cell>
          <cell r="E13"/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/>
          <cell r="U13" t="str">
            <v>NA</v>
          </cell>
        </row>
        <row r="15">
          <cell r="D15" t="str">
            <v>Total revenues</v>
          </cell>
          <cell r="E15"/>
          <cell r="F15"/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/>
          <cell r="U15">
            <v>0.23123187792976019</v>
          </cell>
        </row>
        <row r="16">
          <cell r="D16" t="str">
            <v>Check</v>
          </cell>
          <cell r="E16"/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 t="str">
            <v>NA</v>
          </cell>
        </row>
        <row r="18">
          <cell r="D18" t="str">
            <v>- Interconnection costs</v>
          </cell>
          <cell r="E18"/>
          <cell r="F18"/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/>
          <cell r="U18">
            <v>0.15230410919151693</v>
          </cell>
        </row>
        <row r="19">
          <cell r="D19" t="str">
            <v>% revenues</v>
          </cell>
          <cell r="E19"/>
          <cell r="F19"/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/>
          <cell r="F20"/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/>
          <cell r="U20">
            <v>0.24346621369543575</v>
          </cell>
        </row>
        <row r="21">
          <cell r="D21" t="str">
            <v>% revenues</v>
          </cell>
          <cell r="E21"/>
          <cell r="F21"/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/>
          <cell r="F22"/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/>
          <cell r="U22">
            <v>6.3900313960321586E-2</v>
          </cell>
        </row>
        <row r="23">
          <cell r="D23" t="str">
            <v>% revenues</v>
          </cell>
          <cell r="E23"/>
          <cell r="F23"/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/>
          <cell r="F25"/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/>
          <cell r="U25">
            <v>0.16698260393784903</v>
          </cell>
        </row>
        <row r="26">
          <cell r="D26" t="str">
            <v>% revenues</v>
          </cell>
          <cell r="E26"/>
          <cell r="F26"/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/>
          <cell r="F28"/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/>
          <cell r="U28">
            <v>0.28268490748742314</v>
          </cell>
        </row>
        <row r="29">
          <cell r="D29" t="str">
            <v>% revenues</v>
          </cell>
          <cell r="E29"/>
          <cell r="F29"/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/>
          <cell r="F31"/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/>
          <cell r="U31">
            <v>0.2777567817663984</v>
          </cell>
        </row>
        <row r="32">
          <cell r="D32" t="str">
            <v>% revenues</v>
          </cell>
          <cell r="E32"/>
          <cell r="F32"/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/>
          <cell r="F33"/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/>
          <cell r="U33">
            <v>0.29518599643888854</v>
          </cell>
        </row>
        <row r="34">
          <cell r="D34" t="str">
            <v>% revenues</v>
          </cell>
          <cell r="E34"/>
          <cell r="F34"/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 t="str">
            <v xml:space="preserve"> </v>
          </cell>
          <cell r="F35"/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/>
          <cell r="U35">
            <v>0.21344917968120636</v>
          </cell>
        </row>
        <row r="36">
          <cell r="D36" t="str">
            <v>% revenues</v>
          </cell>
          <cell r="E36"/>
          <cell r="F36"/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/>
          <cell r="F37"/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/>
          <cell r="U37">
            <v>0.15292423319486681</v>
          </cell>
        </row>
        <row r="38">
          <cell r="D38" t="str">
            <v>% revenues</v>
          </cell>
          <cell r="E38"/>
          <cell r="F38"/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/>
          <cell r="F39" t="str">
            <v xml:space="preserve"> 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/>
          <cell r="U39">
            <v>0.12276166275324862</v>
          </cell>
        </row>
        <row r="40">
          <cell r="D40" t="str">
            <v>% revenues</v>
          </cell>
          <cell r="E40"/>
          <cell r="F40"/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/>
          <cell r="F41"/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/>
          <cell r="U41">
            <v>0.18598656246888323</v>
          </cell>
        </row>
        <row r="42">
          <cell r="D42" t="str">
            <v>% revenues</v>
          </cell>
          <cell r="E42"/>
          <cell r="F42"/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 t="str">
            <v xml:space="preserve"> </v>
          </cell>
          <cell r="F43"/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>
            <v>-1</v>
          </cell>
        </row>
        <row r="45">
          <cell r="D45" t="str">
            <v>- Opex</v>
          </cell>
          <cell r="E45"/>
          <cell r="F45"/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/>
          <cell r="U45">
            <v>0.19608986457446598</v>
          </cell>
        </row>
        <row r="46">
          <cell r="D46" t="str">
            <v>% revenues</v>
          </cell>
          <cell r="E46"/>
          <cell r="F46"/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/>
          <cell r="F48"/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/>
          <cell r="U48">
            <v>0.38812207612081084</v>
          </cell>
        </row>
        <row r="49">
          <cell r="D49" t="str">
            <v>% revenues</v>
          </cell>
          <cell r="E49"/>
          <cell r="F49"/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/>
          <cell r="F50"/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/>
          <cell r="F52"/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/>
          <cell r="U52">
            <v>0.24219259994123332</v>
          </cell>
        </row>
        <row r="54">
          <cell r="D54" t="str">
            <v>EBIT</v>
          </cell>
          <cell r="E54"/>
          <cell r="F54"/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/>
          <cell r="U54">
            <v>0.58544164253708053</v>
          </cell>
        </row>
        <row r="55">
          <cell r="D55" t="str">
            <v>% revenues</v>
          </cell>
          <cell r="E55"/>
          <cell r="F55"/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/>
          <cell r="F57"/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/>
          <cell r="U57">
            <v>-2.1222691209694995</v>
          </cell>
        </row>
        <row r="58">
          <cell r="D58" t="str">
            <v>- Income tax expense</v>
          </cell>
          <cell r="E58"/>
          <cell r="F58"/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/>
          <cell r="U58">
            <v>0.78209053931976946</v>
          </cell>
        </row>
        <row r="60">
          <cell r="D60" t="str">
            <v>Net income</v>
          </cell>
          <cell r="E60"/>
          <cell r="F60"/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/>
          <cell r="U60">
            <v>-2.4360872631027424</v>
          </cell>
        </row>
        <row r="61">
          <cell r="D61" t="str">
            <v>Check</v>
          </cell>
          <cell r="E61"/>
          <cell r="F61"/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/>
          <cell r="F63"/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/>
          <cell r="U63">
            <v>1.2327775773895544E-2</v>
          </cell>
        </row>
        <row r="67">
          <cell r="A67">
            <v>2</v>
          </cell>
          <cell r="B67"/>
          <cell r="C67"/>
          <cell r="D67" t="str">
            <v>Ratios d'endettement</v>
          </cell>
          <cell r="E67"/>
          <cell r="F67"/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/>
          <cell r="F70"/>
          <cell r="G70"/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/>
          <cell r="F71"/>
          <cell r="G71"/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/>
          <cell r="F72"/>
          <cell r="G72"/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/>
          <cell r="F73"/>
          <cell r="G73"/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/>
          <cell r="C75"/>
          <cell r="D75" t="str">
            <v>USDm</v>
          </cell>
          <cell r="E75"/>
          <cell r="F75"/>
          <cell r="G75"/>
          <cell r="H75"/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/>
          <cell r="F78"/>
          <cell r="G78"/>
          <cell r="H78"/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/>
          <cell r="F79"/>
          <cell r="G79"/>
          <cell r="H79"/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/>
          <cell r="F80"/>
          <cell r="G80"/>
          <cell r="H80"/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/>
          <cell r="F82"/>
          <cell r="G82"/>
          <cell r="H82"/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/>
          <cell r="F84"/>
          <cell r="G84"/>
          <cell r="H84"/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/>
          <cell r="F85"/>
          <cell r="G85"/>
          <cell r="H85"/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/>
          <cell r="F87"/>
          <cell r="G87"/>
          <cell r="H87"/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/>
          <cell r="F89"/>
          <cell r="G89"/>
          <cell r="H89"/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/>
          <cell r="F90"/>
          <cell r="G90"/>
          <cell r="H90"/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/>
          <cell r="F91"/>
          <cell r="G91"/>
          <cell r="H91"/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/>
          <cell r="F92"/>
          <cell r="G92"/>
          <cell r="H92"/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/>
          <cell r="F93"/>
          <cell r="G93"/>
          <cell r="H93"/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/>
          <cell r="F94"/>
          <cell r="G94"/>
          <cell r="H94"/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/>
          <cell r="F95"/>
          <cell r="G95"/>
          <cell r="H95"/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/>
          <cell r="F96"/>
          <cell r="G96"/>
          <cell r="H96"/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/>
          <cell r="F98"/>
          <cell r="G98"/>
          <cell r="H98"/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/>
          <cell r="F100"/>
          <cell r="G100"/>
          <cell r="H100"/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/>
          <cell r="F101"/>
          <cell r="G101"/>
          <cell r="H101"/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/>
          <cell r="F102"/>
          <cell r="G102"/>
          <cell r="H102"/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/>
          <cell r="C105"/>
          <cell r="D105" t="str">
            <v>USDm</v>
          </cell>
          <cell r="E105"/>
          <cell r="F105"/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/>
          <cell r="F108"/>
          <cell r="G108"/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/>
          <cell r="F109"/>
          <cell r="G109"/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/>
          <cell r="F111"/>
          <cell r="G111"/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/>
          <cell r="F113"/>
          <cell r="G113"/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/>
          <cell r="F114"/>
          <cell r="G114"/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/>
          <cell r="F115"/>
          <cell r="G115"/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/>
          <cell r="F116"/>
          <cell r="G116"/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/>
          <cell r="F117"/>
          <cell r="G117"/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/>
          <cell r="F118"/>
          <cell r="G118"/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/>
          <cell r="F119"/>
          <cell r="G119"/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/>
          <cell r="F120"/>
          <cell r="G120"/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/>
          <cell r="F121"/>
          <cell r="G121"/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/>
          <cell r="F123"/>
          <cell r="G123"/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/>
          <cell r="F124"/>
          <cell r="G124"/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/>
          <cell r="C130"/>
          <cell r="D130" t="str">
            <v>ROCE calculation</v>
          </cell>
          <cell r="E130"/>
          <cell r="F130"/>
          <cell r="G130"/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/>
          <cell r="F133"/>
          <cell r="G133"/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/>
          <cell r="F135"/>
          <cell r="G135"/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/>
          <cell r="F138"/>
          <cell r="G138"/>
          <cell r="H138"/>
          <cell r="I138"/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/>
          <cell r="U138">
            <v>157.38338402049112</v>
          </cell>
        </row>
        <row r="139">
          <cell r="D139" t="str">
            <v>@ 137 MUSD = valeur centrale DCF à 100%</v>
          </cell>
          <cell r="E139"/>
          <cell r="F139"/>
          <cell r="G139"/>
          <cell r="H139"/>
          <cell r="I139"/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/>
          <cell r="U139">
            <v>128.36807440059846</v>
          </cell>
        </row>
        <row r="140">
          <cell r="D140" t="str">
            <v>@ 111 MUSD = valeur basse DCF à 100%</v>
          </cell>
          <cell r="E140"/>
          <cell r="F140"/>
          <cell r="G140"/>
          <cell r="H140"/>
          <cell r="I140"/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/>
          <cell r="U140">
            <v>102.56193292709315</v>
          </cell>
        </row>
        <row r="142">
          <cell r="D142" t="str">
            <v>Capital employed including goodwill</v>
          </cell>
          <cell r="E142"/>
          <cell r="F142"/>
          <cell r="G142">
            <v>0</v>
          </cell>
        </row>
        <row r="143">
          <cell r="D143" t="str">
            <v>@ 166 MUSD = valeur haute DCF à 100%</v>
          </cell>
          <cell r="E143"/>
          <cell r="F143"/>
          <cell r="G143"/>
          <cell r="H143"/>
          <cell r="I143"/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/>
          <cell r="F144"/>
          <cell r="G144"/>
          <cell r="H144"/>
          <cell r="I144"/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/>
          <cell r="F145"/>
          <cell r="G145"/>
          <cell r="H145"/>
          <cell r="I145"/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/>
          <cell r="F147"/>
          <cell r="G147" t="e">
            <v>#DIV/0!</v>
          </cell>
        </row>
        <row r="148">
          <cell r="D148" t="str">
            <v>@ 166 MUSD = valeur haute DCF à 100%</v>
          </cell>
          <cell r="E148"/>
          <cell r="F148"/>
          <cell r="G148"/>
          <cell r="H148"/>
          <cell r="I148"/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/>
          <cell r="F149"/>
          <cell r="G149"/>
          <cell r="H149"/>
          <cell r="I149"/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/>
          <cell r="F150"/>
          <cell r="G150"/>
          <cell r="H150"/>
          <cell r="I150"/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/>
          <cell r="F152"/>
          <cell r="G152"/>
          <cell r="H152"/>
          <cell r="I152"/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/>
          <cell r="F159"/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/>
          <cell r="U159" t="str">
            <v>CAGR 08 - 18</v>
          </cell>
        </row>
        <row r="162">
          <cell r="D162" t="str">
            <v>Créances</v>
          </cell>
          <cell r="E162"/>
          <cell r="F162"/>
          <cell r="G162"/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/>
          <cell r="F163"/>
          <cell r="G163"/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/>
          <cell r="F164"/>
          <cell r="G164"/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/>
          <cell r="F165"/>
          <cell r="G165"/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/>
          <cell r="F166"/>
          <cell r="G166"/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/>
          <cell r="F167"/>
          <cell r="G167"/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/>
          <cell r="F168"/>
          <cell r="G168"/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/>
          <cell r="F169"/>
          <cell r="G169"/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/>
          <cell r="F170"/>
          <cell r="G170"/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/>
          <cell r="F171"/>
          <cell r="G171"/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/>
          <cell r="F172"/>
          <cell r="G172"/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/>
          <cell r="F173"/>
          <cell r="G173"/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/>
          <cell r="F174"/>
          <cell r="G174"/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/>
          <cell r="F175"/>
          <cell r="G175"/>
          <cell r="H175"/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/>
          <cell r="C4" t="str">
            <v>('000 USD - FYE 31/12)</v>
          </cell>
          <cell r="D4"/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/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/>
          <cell r="D8" t="str">
            <v>Key operational data</v>
          </cell>
        </row>
        <row r="10">
          <cell r="D10" t="str">
            <v>Number of subscribers (1)</v>
          </cell>
          <cell r="E10"/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/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/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/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/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/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/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/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/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/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/>
          <cell r="D31" t="str">
            <v>Balance sheet</v>
          </cell>
        </row>
        <row r="33">
          <cell r="D33" t="str">
            <v>Non current assets (2)</v>
          </cell>
          <cell r="E33"/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/>
          <cell r="K33"/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/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/>
          <cell r="K34"/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/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/>
          <cell r="K35"/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/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/>
          <cell r="K37"/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/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/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/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/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/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/>
          <cell r="K43"/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/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/>
          <cell r="K44"/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/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/>
          <cell r="K46"/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/>
          <cell r="C53"/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/>
          <cell r="D57" t="str">
            <v>Income statement</v>
          </cell>
        </row>
        <row r="60">
          <cell r="D60" t="str">
            <v>Number of subscibers (m)</v>
          </cell>
          <cell r="E60"/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/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/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/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/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/>
          <cell r="F66"/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/>
          <cell r="F68"/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/>
          <cell r="D71" t="str">
            <v>Cash flow statement</v>
          </cell>
        </row>
        <row r="73">
          <cell r="D73" t="str">
            <v>Net cash flow from operating activities</v>
          </cell>
          <cell r="E73"/>
          <cell r="F73"/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/>
          <cell r="F75"/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/>
          <cell r="F76"/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/>
          <cell r="F78"/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/>
          <cell r="F80"/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/>
          <cell r="F81"/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/>
          <cell r="F82"/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/>
          <cell r="F83"/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/>
          <cell r="F84"/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/>
          <cell r="F85"/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/>
          <cell r="F86"/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/>
          <cell r="F88"/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/>
          <cell r="F90"/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/>
          <cell r="F91"/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/>
          <cell r="D94" t="str">
            <v>Balance sheet</v>
          </cell>
        </row>
        <row r="95">
          <cell r="A95">
            <v>2</v>
          </cell>
          <cell r="B95"/>
          <cell r="C95"/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/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/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/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/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/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/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/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/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/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/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/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/>
          <cell r="D117" t="str">
            <v>Balance sheet</v>
          </cell>
        </row>
        <row r="118">
          <cell r="A118">
            <v>2</v>
          </cell>
          <cell r="B118"/>
          <cell r="C118"/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/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/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/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/>
          <cell r="S141"/>
          <cell r="T141"/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/>
          <cell r="T144"/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/>
          <cell r="T145"/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/>
          <cell r="T146"/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/>
          <cell r="T152"/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/>
          <cell r="S156"/>
          <cell r="T156"/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/>
          <cell r="T159"/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/>
          <cell r="T160"/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/>
          <cell r="T161"/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/>
          <cell r="T162"/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/>
          <cell r="T165"/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/>
          <cell r="C170" t="str">
            <v>(€ in millions - FYE 31/12)</v>
          </cell>
          <cell r="D170"/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/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/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/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/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/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/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/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/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/>
          <cell r="C189" t="str">
            <v>(€ in millions - FYE 31/12)</v>
          </cell>
          <cell r="D189"/>
          <cell r="E189">
            <v>2002</v>
          </cell>
          <cell r="F189">
            <v>2003</v>
          </cell>
          <cell r="G189">
            <v>2004</v>
          </cell>
          <cell r="H189"/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/>
          <cell r="E192">
            <v>1000</v>
          </cell>
          <cell r="F192">
            <v>1050</v>
          </cell>
          <cell r="G192">
            <v>1102.5</v>
          </cell>
          <cell r="H192"/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/>
          <cell r="E193">
            <v>0.05</v>
          </cell>
          <cell r="F193">
            <v>5.0000000000000044E-2</v>
          </cell>
          <cell r="G193">
            <v>5.0000000000000044E-2</v>
          </cell>
          <cell r="H193"/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/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/>
          <cell r="E196">
            <v>200</v>
          </cell>
          <cell r="F196">
            <v>225</v>
          </cell>
          <cell r="G196">
            <v>252.5</v>
          </cell>
          <cell r="H196"/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/>
          <cell r="E197">
            <v>0.2</v>
          </cell>
          <cell r="F197">
            <v>0.21428571428571427</v>
          </cell>
          <cell r="G197">
            <v>0.22902494331065759</v>
          </cell>
          <cell r="H197"/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/>
          <cell r="E198">
            <v>4</v>
          </cell>
          <cell r="F198">
            <v>3.5555555555555554</v>
          </cell>
          <cell r="G198">
            <v>3.1683168316831685</v>
          </cell>
          <cell r="H198"/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/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/>
          <cell r="E201">
            <v>125</v>
          </cell>
          <cell r="F201">
            <v>146.25</v>
          </cell>
          <cell r="G201">
            <v>169.8125</v>
          </cell>
          <cell r="H201"/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/>
          <cell r="E202">
            <v>0.125</v>
          </cell>
          <cell r="F202">
            <v>0.13928571428571429</v>
          </cell>
          <cell r="G202">
            <v>0.15402494331065761</v>
          </cell>
          <cell r="H202"/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/>
          <cell r="E204">
            <v>0.09</v>
          </cell>
          <cell r="F204">
            <v>0.1</v>
          </cell>
          <cell r="G204">
            <v>0.11</v>
          </cell>
          <cell r="H204"/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 refreshError="1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/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/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 refreshError="1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
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/>
          <cell r="F12" t="str">
            <v>15.2x 2008e EBITA based on recent transactions
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/>
          <cell r="F24" t="str">
            <v>2.1x 08e sales based on linear regression on Detection peers
Peers include: L3 Communications, Analogic, Cobham, Meggitt, American Science &amp; Engineering</v>
          </cell>
          <cell r="G24" t="str">
            <v>2.8x 08e sales based on linear regression on Medical peers
Peers include: Hospira, Respironics, Becton Dickinson, Smith &amp; Nephew, C R Bard, Medtronic</v>
          </cell>
          <cell r="H24" t="str">
            <v>- 1.91x 08e sales based on linear regression on john Crane peers
Peers include: Parket Hannifin, Flow Serve, Weir Group, Spirax-Sarco, Rotork
- 2.2x 08e sales based on linear regression on Interconnect peers
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/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/>
          <cell r="U5"/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/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/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/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/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/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/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/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/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 refreshError="1"/>
      <sheetData sheetId="6" refreshError="1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/>
          <cell r="K5" t="str">
            <v>EBITA 07e</v>
          </cell>
          <cell r="L5" t="str">
            <v>EBITA 08e</v>
          </cell>
          <cell r="M5" t="str">
            <v>EBITA 09e</v>
          </cell>
          <cell r="N5"/>
          <cell r="O5" t="str">
            <v>EV/Sales</v>
          </cell>
          <cell r="P5"/>
          <cell r="Q5"/>
          <cell r="R5"/>
          <cell r="S5" t="str">
            <v>EV/EBITA</v>
          </cell>
          <cell r="T5"/>
          <cell r="U5"/>
          <cell r="V5" t="str">
            <v>EV/EBITA 09e</v>
          </cell>
          <cell r="W5"/>
          <cell r="X5"/>
          <cell r="Y5"/>
          <cell r="Z5" t="str">
            <v>broker</v>
          </cell>
          <cell r="AA5"/>
          <cell r="AB5" t="str">
            <v>Implied valuation (£m)</v>
          </cell>
          <cell r="AC5"/>
          <cell r="AD5"/>
          <cell r="AE5"/>
          <cell r="AF5" t="str">
            <v>Value per share (pence)</v>
          </cell>
        </row>
        <row r="6">
          <cell r="D6" t="str">
            <v>YE 31/07</v>
          </cell>
          <cell r="E6"/>
          <cell r="F6"/>
          <cell r="G6"/>
          <cell r="H6"/>
          <cell r="I6" t="str">
            <v>£m</v>
          </cell>
          <cell r="J6"/>
          <cell r="K6"/>
          <cell r="L6"/>
          <cell r="M6" t="str">
            <v>£m</v>
          </cell>
          <cell r="N6"/>
          <cell r="O6">
            <v>2007</v>
          </cell>
          <cell r="P6">
            <v>2008</v>
          </cell>
          <cell r="Q6">
            <v>2009</v>
          </cell>
          <cell r="R6"/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/>
          <cell r="Z6" t="str">
            <v>valuation</v>
          </cell>
          <cell r="AA6"/>
          <cell r="AB6" t="str">
            <v>Min</v>
          </cell>
          <cell r="AC6" t="str">
            <v>Average</v>
          </cell>
          <cell r="AD6" t="str">
            <v>Max</v>
          </cell>
          <cell r="AE6"/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/>
          <cell r="F10"/>
          <cell r="G10">
            <v>438.4</v>
          </cell>
          <cell r="H10">
            <v>485.2</v>
          </cell>
          <cell r="I10">
            <v>526.4</v>
          </cell>
          <cell r="J10"/>
          <cell r="K10">
            <v>78.833333333333329</v>
          </cell>
          <cell r="L10">
            <v>85.333333333333329</v>
          </cell>
          <cell r="M10">
            <v>97</v>
          </cell>
          <cell r="N10"/>
          <cell r="O10">
            <v>2.7497685954444115</v>
          </cell>
          <cell r="P10">
            <v>2.4845394728829966</v>
          </cell>
          <cell r="Q10">
            <v>2.2900808363275647</v>
          </cell>
          <cell r="R10"/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/>
          <cell r="Z10">
            <v>1205.4985522428299</v>
          </cell>
          <cell r="AA10"/>
          <cell r="AB10">
            <v>1071.2637362637363</v>
          </cell>
          <cell r="AC10">
            <v>1205.4985522428299</v>
          </cell>
          <cell r="AD10">
            <v>1349.27</v>
          </cell>
          <cell r="AE10"/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/>
          <cell r="K12">
            <v>79</v>
          </cell>
          <cell r="L12">
            <v>85</v>
          </cell>
          <cell r="M12">
            <v>91</v>
          </cell>
          <cell r="N12"/>
          <cell r="O12">
            <v>2.2945205479452055</v>
          </cell>
          <cell r="P12">
            <v>2.1382978723404253</v>
          </cell>
          <cell r="Q12">
            <v>1.9783464566929134</v>
          </cell>
          <cell r="R12"/>
          <cell r="S12">
            <v>12.721518987341772</v>
          </cell>
          <cell r="T12">
            <v>11.823529411764707</v>
          </cell>
          <cell r="U12">
            <v>11.043956043956044</v>
          </cell>
          <cell r="V12"/>
          <cell r="W12"/>
          <cell r="X12"/>
          <cell r="Y12"/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/>
          <cell r="K13">
            <v>78</v>
          </cell>
          <cell r="L13">
            <v>85</v>
          </cell>
          <cell r="M13">
            <v>100</v>
          </cell>
          <cell r="N13"/>
          <cell r="O13">
            <v>3.1613636363636362</v>
          </cell>
          <cell r="P13">
            <v>2.8504098360655736</v>
          </cell>
          <cell r="Q13">
            <v>2.6245283018867926</v>
          </cell>
          <cell r="R13"/>
          <cell r="S13">
            <v>17.833333333333332</v>
          </cell>
          <cell r="T13">
            <v>16.36470588235294</v>
          </cell>
          <cell r="U13">
            <v>13.91</v>
          </cell>
          <cell r="V13"/>
          <cell r="W13"/>
          <cell r="X13"/>
          <cell r="Y13"/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/>
          <cell r="K15">
            <v>79</v>
          </cell>
          <cell r="L15">
            <v>82</v>
          </cell>
          <cell r="M15">
            <v>103</v>
          </cell>
          <cell r="N15"/>
          <cell r="O15">
            <v>2.993150684931507</v>
          </cell>
          <cell r="P15">
            <v>2.6167664670658684</v>
          </cell>
          <cell r="Q15">
            <v>2.3707052441229655</v>
          </cell>
          <cell r="R15"/>
          <cell r="S15">
            <v>16.594936708860761</v>
          </cell>
          <cell r="T15">
            <v>15.987804878048781</v>
          </cell>
          <cell r="U15">
            <v>12.728155339805825</v>
          </cell>
          <cell r="V15"/>
          <cell r="W15"/>
          <cell r="X15"/>
          <cell r="Y15"/>
          <cell r="Z15">
            <v>1311</v>
          </cell>
        </row>
        <row r="16">
          <cell r="E16" t="str">
            <v>UBS</v>
          </cell>
          <cell r="F16">
            <v>39352</v>
          </cell>
          <cell r="G16"/>
          <cell r="H16"/>
          <cell r="I16">
            <v>509</v>
          </cell>
          <cell r="J16"/>
          <cell r="K16">
            <v>79</v>
          </cell>
          <cell r="L16">
            <v>85</v>
          </cell>
          <cell r="M16">
            <v>93</v>
          </cell>
          <cell r="N16"/>
          <cell r="O16"/>
          <cell r="P16"/>
          <cell r="Q16">
            <v>2.3673870333988214</v>
          </cell>
          <cell r="R16"/>
          <cell r="S16">
            <v>15.253164556962025</v>
          </cell>
          <cell r="T16">
            <v>14.176470588235293</v>
          </cell>
          <cell r="U16">
            <v>12.956989247311828</v>
          </cell>
          <cell r="V16"/>
          <cell r="W16"/>
          <cell r="X16"/>
          <cell r="Y16"/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/>
          <cell r="J17"/>
          <cell r="K17">
            <v>79</v>
          </cell>
          <cell r="L17">
            <v>88</v>
          </cell>
          <cell r="M17"/>
          <cell r="N17"/>
          <cell r="O17">
            <v>2.5456621004566209</v>
          </cell>
          <cell r="P17">
            <v>2.2848360655737703</v>
          </cell>
          <cell r="Q17"/>
          <cell r="R17"/>
          <cell r="S17">
            <v>14.113924050632912</v>
          </cell>
          <cell r="T17">
            <v>12.670454545454545</v>
          </cell>
          <cell r="U17"/>
          <cell r="V17"/>
          <cell r="W17"/>
          <cell r="X17"/>
          <cell r="Y17"/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/>
          <cell r="K18">
            <v>79</v>
          </cell>
          <cell r="L18">
            <v>87</v>
          </cell>
          <cell r="M18">
            <v>98</v>
          </cell>
          <cell r="N18"/>
          <cell r="O18">
            <v>2.5730593607305936</v>
          </cell>
          <cell r="P18">
            <v>2.3528183716075155</v>
          </cell>
          <cell r="Q18">
            <v>2.1184210526315788</v>
          </cell>
          <cell r="R18"/>
          <cell r="S18">
            <v>14.265822784810126</v>
          </cell>
          <cell r="T18">
            <v>12.954022988505747</v>
          </cell>
          <cell r="U18">
            <v>11.5</v>
          </cell>
          <cell r="V18"/>
          <cell r="W18"/>
          <cell r="X18"/>
          <cell r="Y18"/>
          <cell r="Z18">
            <v>1127</v>
          </cell>
        </row>
        <row r="21">
          <cell r="D21" t="str">
            <v>Medical</v>
          </cell>
          <cell r="E21"/>
          <cell r="F21"/>
          <cell r="G21">
            <v>692.8</v>
          </cell>
          <cell r="H21">
            <v>725.6</v>
          </cell>
          <cell r="I21">
            <v>752.6</v>
          </cell>
          <cell r="J21"/>
          <cell r="K21">
            <v>127.16666666666667</v>
          </cell>
          <cell r="L21">
            <v>137.5</v>
          </cell>
          <cell r="M21">
            <v>147.19999999999999</v>
          </cell>
          <cell r="N21"/>
          <cell r="O21">
            <v>2.5013709568883522</v>
          </cell>
          <cell r="P21">
            <v>2.3882990613730022</v>
          </cell>
          <cell r="Q21">
            <v>2.3026173251823683</v>
          </cell>
          <cell r="R21"/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/>
          <cell r="Z21">
            <v>1732.9497989322504</v>
          </cell>
          <cell r="AA21"/>
          <cell r="AB21">
            <v>1602.7300699300699</v>
          </cell>
          <cell r="AC21">
            <v>1732.9497989322504</v>
          </cell>
          <cell r="AD21">
            <v>1916.6666666666665</v>
          </cell>
          <cell r="AE21"/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/>
          <cell r="K23">
            <v>127</v>
          </cell>
          <cell r="L23">
            <v>136</v>
          </cell>
          <cell r="M23">
            <v>145</v>
          </cell>
          <cell r="N23"/>
          <cell r="O23">
            <v>2.4761215629522431</v>
          </cell>
          <cell r="P23">
            <v>2.4098591549295776</v>
          </cell>
          <cell r="Q23">
            <v>2.299731182795699</v>
          </cell>
          <cell r="R23"/>
          <cell r="S23">
            <v>13.472440944881889</v>
          </cell>
          <cell r="T23">
            <v>12.580882352941176</v>
          </cell>
          <cell r="U23">
            <v>11.8</v>
          </cell>
          <cell r="V23"/>
          <cell r="W23"/>
          <cell r="X23"/>
          <cell r="Y23"/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/>
          <cell r="K24">
            <v>128</v>
          </cell>
          <cell r="L24">
            <v>140</v>
          </cell>
          <cell r="M24">
            <v>155</v>
          </cell>
          <cell r="N24"/>
          <cell r="O24">
            <v>2.6914285714285713</v>
          </cell>
          <cell r="P24">
            <v>2.5632653061224491</v>
          </cell>
          <cell r="Q24">
            <v>2.4153846153846152</v>
          </cell>
          <cell r="R24"/>
          <cell r="S24">
            <v>14.71875</v>
          </cell>
          <cell r="T24">
            <v>13.457142857142857</v>
          </cell>
          <cell r="U24">
            <v>12.154838709677419</v>
          </cell>
          <cell r="V24"/>
          <cell r="W24"/>
          <cell r="X24"/>
          <cell r="Y24"/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/>
          <cell r="K26">
            <v>127</v>
          </cell>
          <cell r="L26">
            <v>135</v>
          </cell>
          <cell r="M26">
            <v>143</v>
          </cell>
          <cell r="N26"/>
          <cell r="O26">
            <v>2.2532561505065125</v>
          </cell>
          <cell r="P26">
            <v>2.1776223776223778</v>
          </cell>
          <cell r="Q26">
            <v>2.0843373493975905</v>
          </cell>
          <cell r="R26"/>
          <cell r="S26">
            <v>12.259842519685039</v>
          </cell>
          <cell r="T26">
            <v>11.533333333333333</v>
          </cell>
          <cell r="U26">
            <v>10.888111888111888</v>
          </cell>
          <cell r="V26"/>
          <cell r="W26"/>
          <cell r="X26"/>
          <cell r="Y26"/>
          <cell r="Z26">
            <v>1557</v>
          </cell>
        </row>
        <row r="27">
          <cell r="E27" t="str">
            <v>UBS</v>
          </cell>
          <cell r="F27">
            <v>39352</v>
          </cell>
          <cell r="G27"/>
          <cell r="H27"/>
          <cell r="I27">
            <v>745</v>
          </cell>
          <cell r="J27"/>
          <cell r="K27">
            <v>127</v>
          </cell>
          <cell r="L27">
            <v>137</v>
          </cell>
          <cell r="M27">
            <v>144</v>
          </cell>
          <cell r="N27"/>
          <cell r="O27"/>
          <cell r="P27"/>
          <cell r="Q27">
            <v>2.5167785234899327</v>
          </cell>
          <cell r="R27"/>
          <cell r="S27">
            <v>14.763779527559056</v>
          </cell>
          <cell r="T27">
            <v>13.686131386861314</v>
          </cell>
          <cell r="U27">
            <v>13.020833333333334</v>
          </cell>
          <cell r="V27"/>
          <cell r="W27"/>
          <cell r="X27"/>
          <cell r="Y27"/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/>
          <cell r="J28"/>
          <cell r="K28">
            <v>127</v>
          </cell>
          <cell r="L28">
            <v>142</v>
          </cell>
          <cell r="M28"/>
          <cell r="N28"/>
          <cell r="O28">
            <v>3.2054992764109986</v>
          </cell>
          <cell r="P28">
            <v>2.92989417989418</v>
          </cell>
          <cell r="Q28"/>
          <cell r="R28"/>
          <cell r="S28">
            <v>17.440944881889763</v>
          </cell>
          <cell r="T28">
            <v>15.598591549295774</v>
          </cell>
          <cell r="U28"/>
          <cell r="V28"/>
          <cell r="W28"/>
          <cell r="X28"/>
          <cell r="Y28"/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/>
          <cell r="K29">
            <v>127</v>
          </cell>
          <cell r="L29">
            <v>135</v>
          </cell>
          <cell r="M29">
            <v>149</v>
          </cell>
          <cell r="N29"/>
          <cell r="O29">
            <v>2.3719247467438493</v>
          </cell>
          <cell r="P29">
            <v>2.3019662921348316</v>
          </cell>
          <cell r="Q29">
            <v>2.1941097724230256</v>
          </cell>
          <cell r="R29"/>
          <cell r="S29">
            <v>12.905511811023622</v>
          </cell>
          <cell r="T29">
            <v>12.140740740740741</v>
          </cell>
          <cell r="U29">
            <v>11</v>
          </cell>
          <cell r="V29"/>
          <cell r="W29"/>
          <cell r="X29"/>
          <cell r="Y29"/>
          <cell r="Z29">
            <v>1639</v>
          </cell>
        </row>
        <row r="31">
          <cell r="D31" t="str">
            <v>Specialty Engineering</v>
          </cell>
          <cell r="E31"/>
          <cell r="F31"/>
          <cell r="G31">
            <v>1031.5</v>
          </cell>
          <cell r="H31">
            <v>1078.8</v>
          </cell>
          <cell r="I31">
            <v>1151.2</v>
          </cell>
          <cell r="J31"/>
          <cell r="K31">
            <v>141</v>
          </cell>
          <cell r="L31">
            <v>156</v>
          </cell>
          <cell r="M31">
            <v>171.6</v>
          </cell>
          <cell r="N31"/>
          <cell r="O31">
            <v>1.8238573183379259</v>
          </cell>
          <cell r="P31">
            <v>1.7438902705465058</v>
          </cell>
          <cell r="Q31">
            <v>1.6342154481111626</v>
          </cell>
          <cell r="R31"/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/>
          <cell r="Z31">
            <v>1881.3088238655705</v>
          </cell>
          <cell r="AA31"/>
          <cell r="AB31">
            <v>1667.2673178673181</v>
          </cell>
          <cell r="AC31">
            <v>1881.3088238655705</v>
          </cell>
          <cell r="AD31">
            <v>2042.1292239972909</v>
          </cell>
          <cell r="AE31"/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/>
          <cell r="K33">
            <v>141</v>
          </cell>
          <cell r="L33">
            <v>154</v>
          </cell>
          <cell r="M33">
            <v>169</v>
          </cell>
          <cell r="N33"/>
          <cell r="O33">
            <v>1.6201550387596899</v>
          </cell>
          <cell r="P33">
            <v>1.5381784728610857</v>
          </cell>
          <cell r="Q33">
            <v>1.4666666666666666</v>
          </cell>
          <cell r="R33"/>
          <cell r="S33">
            <v>11.858156028368795</v>
          </cell>
          <cell r="T33">
            <v>10.857142857142858</v>
          </cell>
          <cell r="U33">
            <v>9.8934911242603558</v>
          </cell>
          <cell r="V33"/>
          <cell r="W33"/>
          <cell r="X33"/>
          <cell r="Y33"/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/>
          <cell r="K34">
            <v>140</v>
          </cell>
          <cell r="L34">
            <v>155</v>
          </cell>
          <cell r="M34">
            <v>165</v>
          </cell>
          <cell r="N34"/>
          <cell r="O34">
            <v>1.7990291262135922</v>
          </cell>
          <cell r="P34">
            <v>1.7868852459016393</v>
          </cell>
          <cell r="Q34">
            <v>1.7015610651974289</v>
          </cell>
          <cell r="R34"/>
          <cell r="S34">
            <v>13.235714285714286</v>
          </cell>
          <cell r="T34">
            <v>11.95483870967742</v>
          </cell>
          <cell r="U34">
            <v>11.2</v>
          </cell>
          <cell r="V34"/>
          <cell r="W34"/>
          <cell r="X34"/>
          <cell r="Y34"/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/>
          <cell r="K36">
            <v>141</v>
          </cell>
          <cell r="L36">
            <v>161</v>
          </cell>
          <cell r="M36">
            <v>179</v>
          </cell>
          <cell r="N36"/>
          <cell r="O36">
            <v>2.0193798449612403</v>
          </cell>
          <cell r="P36">
            <v>1.857397504456328</v>
          </cell>
          <cell r="Q36">
            <v>1.7265948632974317</v>
          </cell>
          <cell r="R36"/>
          <cell r="S36">
            <v>14.780141843971631</v>
          </cell>
          <cell r="T36">
            <v>12.944099378881987</v>
          </cell>
          <cell r="U36">
            <v>11.64245810055866</v>
          </cell>
          <cell r="V36"/>
          <cell r="W36"/>
          <cell r="X36"/>
          <cell r="Y36"/>
          <cell r="Z36">
            <v>2084</v>
          </cell>
        </row>
        <row r="37">
          <cell r="E37" t="str">
            <v>UBS</v>
          </cell>
          <cell r="F37">
            <v>39352</v>
          </cell>
          <cell r="G37"/>
          <cell r="H37"/>
          <cell r="I37">
            <v>1149</v>
          </cell>
          <cell r="J37"/>
          <cell r="K37">
            <v>142</v>
          </cell>
          <cell r="L37">
            <v>152</v>
          </cell>
          <cell r="M37">
            <v>166</v>
          </cell>
          <cell r="N37"/>
          <cell r="O37"/>
          <cell r="P37"/>
          <cell r="Q37">
            <v>1.649260226283725</v>
          </cell>
          <cell r="R37"/>
          <cell r="S37">
            <v>13.345070422535212</v>
          </cell>
          <cell r="T37">
            <v>12.467105263157896</v>
          </cell>
          <cell r="U37">
            <v>11.41566265060241</v>
          </cell>
          <cell r="V37"/>
          <cell r="W37"/>
          <cell r="X37"/>
          <cell r="Y37"/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/>
          <cell r="H38">
            <v>1060</v>
          </cell>
          <cell r="I38"/>
          <cell r="J38"/>
          <cell r="K38"/>
          <cell r="L38"/>
          <cell r="M38"/>
          <cell r="N38"/>
          <cell r="O38"/>
          <cell r="P38">
            <v>1.7028301886792452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/>
          <cell r="K39">
            <v>141</v>
          </cell>
          <cell r="L39">
            <v>158</v>
          </cell>
          <cell r="M39">
            <v>179</v>
          </cell>
          <cell r="N39"/>
          <cell r="O39">
            <v>1.7879677808008794</v>
          </cell>
          <cell r="P39">
            <v>1.6959400273773046</v>
          </cell>
          <cell r="Q39">
            <v>1.5757324934129013</v>
          </cell>
          <cell r="R39"/>
          <cell r="S39">
            <v>13.086402480755371</v>
          </cell>
          <cell r="T39">
            <v>11.67837183409182</v>
          </cell>
          <cell r="U39">
            <v>10.308283518360376</v>
          </cell>
          <cell r="V39"/>
          <cell r="W39"/>
          <cell r="X39"/>
          <cell r="Y39"/>
          <cell r="Z39">
            <v>1845.1827497865074</v>
          </cell>
        </row>
        <row r="42">
          <cell r="E42" t="str">
            <v>o.w. Interconnect</v>
          </cell>
          <cell r="F42"/>
          <cell r="G42">
            <v>262</v>
          </cell>
          <cell r="H42">
            <v>271</v>
          </cell>
          <cell r="I42">
            <v>273.5</v>
          </cell>
          <cell r="J42"/>
          <cell r="K42">
            <v>45</v>
          </cell>
          <cell r="L42">
            <v>47</v>
          </cell>
          <cell r="M42">
            <v>47.333333333333336</v>
          </cell>
          <cell r="N42"/>
          <cell r="O42">
            <v>2.1363777770084567</v>
          </cell>
          <cell r="P42">
            <v>2.0654279615358511</v>
          </cell>
          <cell r="Q42">
            <v>2.0465483640812274</v>
          </cell>
          <cell r="R42"/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/>
          <cell r="Z42">
            <v>559.73097757621565</v>
          </cell>
          <cell r="AA42"/>
          <cell r="AB42">
            <v>525.92592592592598</v>
          </cell>
          <cell r="AC42">
            <v>559.73097757621565</v>
          </cell>
          <cell r="AD42">
            <v>591.18367346938783</v>
          </cell>
          <cell r="AE42"/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/>
          <cell r="H44"/>
          <cell r="I44">
            <v>267</v>
          </cell>
          <cell r="J44"/>
          <cell r="K44"/>
          <cell r="L44"/>
          <cell r="M44">
            <v>45</v>
          </cell>
          <cell r="N44"/>
          <cell r="O44"/>
          <cell r="P44"/>
          <cell r="Q44">
            <v>1.8726591760299625</v>
          </cell>
          <cell r="R44"/>
          <cell r="S44"/>
          <cell r="T44"/>
          <cell r="U44">
            <v>11.111111111111111</v>
          </cell>
          <cell r="V44"/>
          <cell r="W44"/>
          <cell r="X44"/>
          <cell r="Y44"/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/>
          <cell r="H47"/>
          <cell r="I47"/>
          <cell r="J47"/>
          <cell r="K47"/>
          <cell r="L47"/>
          <cell r="M47">
            <v>49</v>
          </cell>
          <cell r="N47"/>
          <cell r="O47"/>
          <cell r="P47"/>
          <cell r="Q47"/>
          <cell r="R47"/>
          <cell r="S47"/>
          <cell r="T47"/>
          <cell r="U47">
            <v>12.489795918367347</v>
          </cell>
          <cell r="V47"/>
          <cell r="W47"/>
          <cell r="X47"/>
          <cell r="Y47"/>
          <cell r="Z47">
            <v>612</v>
          </cell>
        </row>
        <row r="48">
          <cell r="E48" t="str">
            <v>UBS</v>
          </cell>
          <cell r="F48">
            <v>39352</v>
          </cell>
          <cell r="G48"/>
          <cell r="H48"/>
          <cell r="I48">
            <v>280</v>
          </cell>
          <cell r="J48"/>
          <cell r="K48"/>
          <cell r="L48"/>
          <cell r="M48">
            <v>48</v>
          </cell>
          <cell r="N48"/>
          <cell r="O48"/>
          <cell r="P48"/>
          <cell r="Q48">
            <v>2.0357142857142856</v>
          </cell>
          <cell r="R48"/>
          <cell r="S48"/>
          <cell r="T48"/>
          <cell r="U48">
            <v>11.875</v>
          </cell>
          <cell r="V48"/>
          <cell r="W48"/>
          <cell r="X48"/>
          <cell r="Y48"/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/>
          <cell r="J49"/>
          <cell r="K49">
            <v>45</v>
          </cell>
          <cell r="L49">
            <v>47</v>
          </cell>
          <cell r="M49"/>
          <cell r="N49"/>
          <cell r="O49">
            <v>1.9656488549618321</v>
          </cell>
          <cell r="P49">
            <v>1.9003690036900369</v>
          </cell>
          <cell r="Q49"/>
          <cell r="R49"/>
          <cell r="S49">
            <v>11.444444444444445</v>
          </cell>
          <cell r="T49">
            <v>10.957446808510639</v>
          </cell>
          <cell r="U49"/>
          <cell r="V49"/>
          <cell r="W49"/>
          <cell r="X49"/>
          <cell r="Y49"/>
          <cell r="Z49">
            <v>515</v>
          </cell>
        </row>
        <row r="53">
          <cell r="E53" t="str">
            <v>o.w. John Crane</v>
          </cell>
          <cell r="F53"/>
          <cell r="G53">
            <v>532</v>
          </cell>
          <cell r="H53">
            <v>556</v>
          </cell>
          <cell r="I53">
            <v>608</v>
          </cell>
          <cell r="J53"/>
          <cell r="K53">
            <v>75</v>
          </cell>
          <cell r="L53">
            <v>82</v>
          </cell>
          <cell r="M53">
            <v>95</v>
          </cell>
          <cell r="N53"/>
          <cell r="O53">
            <v>1.9739213968753606</v>
          </cell>
          <cell r="P53">
            <v>1.8887161567224675</v>
          </cell>
          <cell r="Q53">
            <v>1.7271812222659406</v>
          </cell>
          <cell r="R53"/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/>
          <cell r="Z53">
            <v>1050.1261831376919</v>
          </cell>
          <cell r="AA53"/>
          <cell r="AB53">
            <v>898.84615384615381</v>
          </cell>
          <cell r="AC53">
            <v>1050.1261831376919</v>
          </cell>
          <cell r="AD53">
            <v>1154.9019607843136</v>
          </cell>
          <cell r="AE53"/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/>
          <cell r="H55"/>
          <cell r="I55">
            <v>604</v>
          </cell>
          <cell r="J55"/>
          <cell r="K55"/>
          <cell r="L55"/>
          <cell r="M55">
            <v>91</v>
          </cell>
          <cell r="N55"/>
          <cell r="O55"/>
          <cell r="P55"/>
          <cell r="Q55">
            <v>1.4254966887417218</v>
          </cell>
          <cell r="R55"/>
          <cell r="S55"/>
          <cell r="T55"/>
          <cell r="U55">
            <v>9.4615384615384617</v>
          </cell>
          <cell r="V55"/>
          <cell r="W55"/>
          <cell r="X55"/>
          <cell r="Y55"/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/>
          <cell r="H58"/>
          <cell r="I58"/>
          <cell r="J58"/>
          <cell r="K58"/>
          <cell r="L58"/>
          <cell r="M58">
            <v>102</v>
          </cell>
          <cell r="N58"/>
          <cell r="O58"/>
          <cell r="P58"/>
          <cell r="Q58"/>
          <cell r="R58"/>
          <cell r="S58"/>
          <cell r="T58"/>
          <cell r="U58">
            <v>12.156862745098039</v>
          </cell>
          <cell r="V58"/>
          <cell r="W58"/>
          <cell r="X58"/>
          <cell r="Y58"/>
          <cell r="Z58">
            <v>1240</v>
          </cell>
        </row>
        <row r="59">
          <cell r="E59" t="str">
            <v>UBS</v>
          </cell>
          <cell r="F59">
            <v>39352</v>
          </cell>
          <cell r="G59"/>
          <cell r="H59"/>
          <cell r="I59">
            <v>612</v>
          </cell>
          <cell r="J59"/>
          <cell r="K59"/>
          <cell r="L59"/>
          <cell r="M59">
            <v>92</v>
          </cell>
          <cell r="N59"/>
          <cell r="O59"/>
          <cell r="P59"/>
          <cell r="Q59">
            <v>1.7352941176470589</v>
          </cell>
          <cell r="R59"/>
          <cell r="S59"/>
          <cell r="T59"/>
          <cell r="U59">
            <v>11.543478260869565</v>
          </cell>
          <cell r="V59"/>
          <cell r="W59"/>
          <cell r="X59"/>
          <cell r="Y59"/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/>
          <cell r="J60"/>
          <cell r="K60">
            <v>75</v>
          </cell>
          <cell r="L60">
            <v>82</v>
          </cell>
          <cell r="M60"/>
          <cell r="N60"/>
          <cell r="O60">
            <v>1.9736842105263157</v>
          </cell>
          <cell r="P60">
            <v>1.8884892086330936</v>
          </cell>
          <cell r="Q60"/>
          <cell r="R60"/>
          <cell r="S60">
            <v>14</v>
          </cell>
          <cell r="T60">
            <v>12.804878048780488</v>
          </cell>
          <cell r="U60"/>
          <cell r="V60"/>
          <cell r="W60"/>
          <cell r="X60"/>
          <cell r="Y60"/>
          <cell r="Z60">
            <v>1050</v>
          </cell>
        </row>
        <row r="64">
          <cell r="E64" t="str">
            <v>o.w. Other Industrial assets</v>
          </cell>
          <cell r="F64"/>
          <cell r="G64">
            <v>237.5</v>
          </cell>
          <cell r="H64">
            <v>251.79999999999995</v>
          </cell>
          <cell r="I64">
            <v>269.70000000000005</v>
          </cell>
          <cell r="J64"/>
          <cell r="K64">
            <v>21</v>
          </cell>
          <cell r="L64">
            <v>27</v>
          </cell>
          <cell r="M64">
            <v>29.266666666666659</v>
          </cell>
          <cell r="N64"/>
          <cell r="O64"/>
          <cell r="P64">
            <v>1.078044730546716</v>
          </cell>
          <cell r="Q64">
            <v>1.0064948578111348</v>
          </cell>
          <cell r="R64"/>
          <cell r="S64"/>
          <cell r="T64"/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/>
          <cell r="Z64">
            <v>271.45166315166307</v>
          </cell>
          <cell r="AA64"/>
          <cell r="AB64">
            <v>242.49523809523805</v>
          </cell>
          <cell r="AC64">
            <v>271.45166315166307</v>
          </cell>
          <cell r="AD64">
            <v>296.04358974358968</v>
          </cell>
          <cell r="AE64"/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/>
          <cell r="H66"/>
          <cell r="I66">
            <v>269</v>
          </cell>
          <cell r="J66"/>
          <cell r="K66"/>
          <cell r="L66"/>
          <cell r="M66">
            <v>33</v>
          </cell>
          <cell r="N66"/>
          <cell r="O66"/>
          <cell r="P66"/>
          <cell r="Q66">
            <v>1.1561338289962826</v>
          </cell>
          <cell r="R66"/>
          <cell r="S66"/>
          <cell r="T66"/>
          <cell r="U66">
            <v>9.4242424242424239</v>
          </cell>
          <cell r="V66"/>
          <cell r="W66"/>
          <cell r="X66"/>
          <cell r="Y66"/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/>
          <cell r="H69"/>
          <cell r="I69"/>
          <cell r="J69"/>
          <cell r="K69"/>
          <cell r="L69"/>
          <cell r="M69">
            <v>28</v>
          </cell>
          <cell r="N69"/>
          <cell r="O69"/>
          <cell r="P69"/>
          <cell r="Q69"/>
          <cell r="R69"/>
          <cell r="S69"/>
          <cell r="T69"/>
          <cell r="U69">
            <v>8.2857142857142865</v>
          </cell>
          <cell r="V69"/>
          <cell r="W69"/>
          <cell r="X69"/>
          <cell r="Y69"/>
          <cell r="Z69">
            <v>232</v>
          </cell>
        </row>
        <row r="70">
          <cell r="E70" t="str">
            <v>UBS</v>
          </cell>
          <cell r="F70">
            <v>39352</v>
          </cell>
          <cell r="G70"/>
          <cell r="H70"/>
          <cell r="I70">
            <v>257</v>
          </cell>
          <cell r="J70"/>
          <cell r="K70"/>
          <cell r="L70"/>
          <cell r="M70">
            <v>26</v>
          </cell>
          <cell r="N70"/>
          <cell r="O70"/>
          <cell r="P70"/>
          <cell r="Q70">
            <v>1.0233463035019454</v>
          </cell>
          <cell r="R70"/>
          <cell r="S70"/>
          <cell r="T70"/>
          <cell r="U70">
            <v>10.115384615384615</v>
          </cell>
          <cell r="V70"/>
          <cell r="W70"/>
          <cell r="X70"/>
          <cell r="Y70"/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/>
          <cell r="H71">
            <v>233</v>
          </cell>
          <cell r="I71"/>
          <cell r="J71"/>
          <cell r="K71"/>
          <cell r="L71"/>
          <cell r="M71"/>
          <cell r="N71"/>
          <cell r="O71"/>
          <cell r="P71">
            <v>1.0300429184549356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>
            <v>240</v>
          </cell>
        </row>
        <row r="77">
          <cell r="D77" t="str">
            <v>Total Firm Value</v>
          </cell>
          <cell r="E77"/>
          <cell r="F77"/>
          <cell r="G77">
            <v>2162.6999999999998</v>
          </cell>
          <cell r="H77">
            <v>2289.6</v>
          </cell>
          <cell r="I77">
            <v>2430.1999999999998</v>
          </cell>
          <cell r="J77"/>
          <cell r="K77">
            <v>347</v>
          </cell>
          <cell r="L77">
            <v>378.83333333333331</v>
          </cell>
          <cell r="M77">
            <v>415.79999999999995</v>
          </cell>
          <cell r="N77"/>
          <cell r="O77"/>
          <cell r="P77"/>
          <cell r="Q77"/>
          <cell r="R77"/>
          <cell r="S77"/>
          <cell r="T77"/>
          <cell r="U77"/>
          <cell r="V77">
            <v>10.440743444110449</v>
          </cell>
          <cell r="W77">
            <v>11.591527597500365</v>
          </cell>
          <cell r="X77">
            <v>12.765911232958052</v>
          </cell>
          <cell r="Y77"/>
          <cell r="Z77">
            <v>4819.7571750406514</v>
          </cell>
          <cell r="AA77"/>
          <cell r="AB77">
            <v>4341.2611240611241</v>
          </cell>
          <cell r="AC77">
            <v>4819.7571750406514</v>
          </cell>
          <cell r="AD77">
            <v>5308.0658906639574</v>
          </cell>
          <cell r="AE77"/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>
            <v>-588</v>
          </cell>
          <cell r="AA80"/>
          <cell r="AB80">
            <v>-588</v>
          </cell>
          <cell r="AC80">
            <v>-588</v>
          </cell>
          <cell r="AD80">
            <v>-588</v>
          </cell>
          <cell r="AE80"/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>
            <v>215.78400000000002</v>
          </cell>
          <cell r="AC81">
            <v>215.78400000000002</v>
          </cell>
          <cell r="AD81">
            <v>215.78400000000002</v>
          </cell>
          <cell r="AE81"/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>
            <v>12</v>
          </cell>
          <cell r="AC82">
            <v>12</v>
          </cell>
          <cell r="AD82">
            <v>12</v>
          </cell>
          <cell r="AE82"/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>
            <v>-100.9061234839</v>
          </cell>
          <cell r="AC83">
            <v>-100.9061234839</v>
          </cell>
          <cell r="AD83">
            <v>-100.9061234839</v>
          </cell>
          <cell r="AE83"/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>
            <v>4231.7571750406514</v>
          </cell>
          <cell r="AA86"/>
          <cell r="AB86">
            <v>3880.1390005772241</v>
          </cell>
          <cell r="AC86">
            <v>4358.635051556751</v>
          </cell>
          <cell r="AD86">
            <v>4846.943767180057</v>
          </cell>
          <cell r="AE86"/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>
            <v>0</v>
          </cell>
          <cell r="AA92"/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 t="str">
            <v xml:space="preserve">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  <sheetName val="batiment"/>
      <sheetName val="sheet1"/>
      <sheetName val="R.Entreprises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/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/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/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/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/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/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/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/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/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/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SC - Marke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SC - Marke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fs Internet"/>
      <sheetName val="CA Internet"/>
      <sheetName val="Objectif Data"/>
      <sheetName val="CA data"/>
      <sheetName val="Charts"/>
      <sheetName val="FX Rates"/>
      <sheetName val="Cur Q v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S1" t="str">
            <v>Cumul</v>
          </cell>
          <cell r="V1" t="str">
            <v>MAJ</v>
          </cell>
          <cell r="Y1" t="str">
            <v>SIMULATIONS</v>
          </cell>
          <cell r="AD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Réel 2000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V2" t="str">
            <v>=ok oct</v>
          </cell>
          <cell r="Y2" t="str">
            <v>VARIABLES</v>
          </cell>
          <cell r="AD2" t="str">
            <v>janv-dec</v>
          </cell>
        </row>
        <row r="3">
          <cell r="Y3" t="str">
            <v>debut</v>
          </cell>
          <cell r="AD3" t="str">
            <v>f</v>
          </cell>
        </row>
        <row r="4">
          <cell r="A4" t="str">
            <v>SFR (Chiffres internes)</v>
          </cell>
          <cell r="Y4" t="str">
            <v>fin</v>
          </cell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S342">
            <v>6138794580.0087299</v>
          </cell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S354">
            <v>6138794580.0087299</v>
          </cell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S360">
            <v>6293503505.8944912</v>
          </cell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V428" t="str">
            <v>ok cb dec avec retraitement retroactif TA</v>
          </cell>
          <cell r="X428">
            <v>0</v>
          </cell>
          <cell r="Y428">
            <v>0</v>
          </cell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V429" t="str">
            <v>ok cb dec avec retraitement retroactif TA</v>
          </cell>
          <cell r="X429">
            <v>0</v>
          </cell>
          <cell r="Y429">
            <v>0</v>
          </cell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AD754">
            <v>0</v>
          </cell>
          <cell r="AE754">
            <v>0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ltat net PG"/>
      <sheetName val="Résultat net part du groupe"/>
    </sheetNames>
    <definedNames>
      <definedName name="Tx_intérêt_par_an"/>
    </defined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ltat net PG"/>
      <sheetName val="Résultat net part du groupe"/>
    </sheetNames>
    <definedNames>
      <definedName name="Tx_intérêt_par_an"/>
    </defined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Liquidity"/>
      <sheetName val="FX Rates"/>
      <sheetName val="Daily Z10"/>
      <sheetName val="RMD Carré Rouge"/>
      <sheetName val="RMD"/>
      <sheetName val="Indicateur Financiers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  <sheetName val="cur q v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  <sheetName val="_ref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  <sheetName val="Parc_prepaid_1_mois"/>
      <sheetName val="Produits_voix_en_fin_de_vie"/>
      <sheetName val="P&amp;l_global_détaillé_"/>
      <sheetName val="IAM_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Parc_prepaid_1_mois1"/>
      <sheetName val="Produits_voix_en_fin_de_vie1"/>
      <sheetName val="P&amp;l_global_détaillé_1"/>
      <sheetName val="IAM_1"/>
      <sheetName val="SAPBEXqueriesDefunct"/>
      <sheetName val="SAPBEXfiltersDefunct"/>
      <sheetName val="BExRepositorySheet"/>
      <sheetName val="TITRE"/>
      <sheetName val="TITRE 1"/>
      <sheetName val="TITRE 2"/>
      <sheetName val="Synthèse"/>
      <sheetName val="P&amp;L (MAD)"/>
      <sheetName val="MCF (MAD)"/>
      <sheetName val="P&amp;L ajusté "/>
      <sheetName val="P&amp;L hors impact IFRS "/>
      <sheetName val="CFFO ET DETTE NETTE ajusté"/>
      <sheetName val="CFFO Hors impact IFRS "/>
      <sheetName val="TBG_Q1"/>
      <sheetName val="IAM Synthese"/>
      <sheetName val="IAM Cash flow"/>
      <sheetName val="DGM Synthese"/>
      <sheetName val="DGFI Synthese"/>
      <sheetName val="CA DGFI"/>
      <sheetName val="Marge brute DGM"/>
      <sheetName val="Marge Brute DGFI"/>
      <sheetName val="IAM OPEX"/>
      <sheetName val="Opex DG"/>
      <sheetName val="PassageEbitda àEFO"/>
      <sheetName val="IAM Capex"/>
      <sheetName val="TITRE 4"/>
      <sheetName val="CAPEX DGRS"/>
      <sheetName val="Synthèse DR"/>
      <sheetName val="IAM P&amp;L"/>
      <sheetName val="Param"/>
      <sheetName val="OPEX"/>
      <sheetName val="P&amp;L"/>
      <sheetName val="OPEXREG"/>
      <sheetName val="CAPEX PRS"/>
      <sheetName val="CAPEX"/>
      <sheetName val="SourceF"/>
      <sheetName val="StatutF"/>
      <sheetName val="CUMULF"/>
      <sheetName val="AcTUF"/>
      <sheetName val="QUARF"/>
      <sheetName val="Marge Totale"/>
      <sheetName val="Trafic"/>
      <sheetName val="Parcs"/>
      <sheetName val="Entrant"/>
      <sheetName val="Sortant"/>
      <sheetName val="Source"/>
      <sheetName val="Statut"/>
      <sheetName val="ACTUM"/>
      <sheetName val="QUARM"/>
      <sheetName val="CUMUL2"/>
      <sheetName val="CUMUL"/>
      <sheetName val="Revenus MOBILE"/>
      <sheetName val="Mobile Parc Clients"/>
      <sheetName val="Mobile Marge Brute"/>
      <sheetName val="Trafic interconnexion"/>
      <sheetName val="QUARTC"/>
      <sheetName val="ACTUC"/>
      <sheetName val="SourceC"/>
      <sheetName val="CUMULC"/>
      <sheetName val="Indicateurs Cles Trafic"/>
      <sheetName val="SOURCEM2"/>
      <sheetName val="Indicateurs ARPU et Usage"/>
      <sheetName val="Px mn"/>
      <sheetName val="Subventions_DATA"/>
      <sheetName val="Trafic International"/>
      <sheetName val="SAC SRC (2)"/>
      <sheetName val="Subvention TBG"/>
      <sheetName val="FILIALE"/>
      <sheetName val="FILQUAR"/>
      <sheetName val="SourceF2"/>
      <sheetName val="CUMULF2"/>
      <sheetName val="SourceF3"/>
      <sheetName val="CumulF3"/>
      <sheetName val="SourceF4"/>
      <sheetName val="CumulF4"/>
      <sheetName val="SourceM3"/>
      <sheetName val="CumulM3"/>
      <sheetName val="SourceM4"/>
      <sheetName val="CumulM4"/>
      <sheetName val="SourceC2"/>
      <sheetName val="CumulC2"/>
      <sheetName val="FILIALE2"/>
      <sheetName val="csv"/>
      <sheetName val="Applied Discounts"/>
      <sheetName val="RECAP_CA_PREPAYE_GLOBAL_8"/>
      <sheetName val="CAprépayéGLOBAL_8"/>
      <sheetName val="RECAP_RECHARGES8"/>
      <sheetName val="RECAP_POCHETTES8"/>
      <sheetName val="prépayéPOCHETTE__8"/>
      <sheetName val="PRP_3G8"/>
      <sheetName val="NA_internet_hd_prp8"/>
      <sheetName val="graph_prépayé_global8"/>
      <sheetName val="graph__pochette8"/>
      <sheetName val="Graph_recharge8"/>
      <sheetName val="RECAP_PREPAYE8"/>
      <sheetName val="Taux_d'identi_global_8"/>
      <sheetName val="RECAP_dr_fixe8"/>
      <sheetName val="RECAP_dr_fixe_(2)8"/>
      <sheetName val="GRAP_FIXE_POST8"/>
      <sheetName val="internet_Mobile8"/>
      <sheetName val="POSTPAYE_3G8"/>
      <sheetName val="POSTPAYE_3G_(2)8"/>
      <sheetName val="NA_internet_hd_pop8"/>
      <sheetName val="RES_internet_hd_pop_8"/>
      <sheetName val="RECAP_8"/>
      <sheetName val="RECAP_fixe8"/>
      <sheetName val="NA_GP8"/>
      <sheetName val="RES_GP8"/>
      <sheetName val="RES_PROF8"/>
      <sheetName val="O-V_ACTIF8"/>
      <sheetName val="O-V_PASSIF8"/>
      <sheetName val="A_I_A8"/>
      <sheetName val="Tab_nouveau_reporting8"/>
      <sheetName val="Indicateur_Financiers4"/>
      <sheetName val="P&amp;L_conso4"/>
      <sheetName val="Opex_Consolidés4"/>
      <sheetName val="CA_Mobile4"/>
      <sheetName val="Marge_Mobile4"/>
      <sheetName val="P&amp;L_Mobile4"/>
      <sheetName val="Cash_conso4"/>
      <sheetName val="Capex_Consolidés4"/>
      <sheetName val="Parc_Mobile4"/>
      <sheetName val="Trafic_mobile4"/>
      <sheetName val="Indicateurs_Mobile4"/>
      <sheetName val="Parc_fixe4"/>
      <sheetName val="Parc_Internet4"/>
      <sheetName val="CA_Fixe4"/>
      <sheetName val="Marge_Fixe4"/>
      <sheetName val="P&amp;L-_Fixe4"/>
      <sheetName val="Trafic_Fixe4"/>
      <sheetName val="Indicateurs_Fixe_&amp;_internet4"/>
      <sheetName val="Réalisé_de_trésorerie4"/>
      <sheetName val="Détail_projets_Capex4"/>
      <sheetName val="SHL_et_management_fees4"/>
      <sheetName val="NRI_20154"/>
      <sheetName val="RH_et_QS4"/>
      <sheetName val="BA_clients_opérateurs4"/>
      <sheetName val="Activité_Inter_moblile_20164"/>
      <sheetName val="Activité_Inter_moblile_20174"/>
      <sheetName val="poids_off_net4"/>
      <sheetName val="Poids_trafic4"/>
      <sheetName val="LISTES_SITE8"/>
      <sheetName val="TABLE_SITE8"/>
      <sheetName val="CCS7_Signalling_MTP3"/>
      <sheetName val="Softswitch_Translations3"/>
      <sheetName val="4_spots3"/>
      <sheetName val="3-2honoraires_Com3"/>
      <sheetName val="3-1honoraires_SE3"/>
      <sheetName val="recap_produits3"/>
      <sheetName val="Recap_rubriques3"/>
      <sheetName val="Comm_Janvier3"/>
      <sheetName val="RECAP_INVEST_AU_31-12-20193"/>
    </sheetNames>
    <sheetDataSet>
      <sheetData sheetId="0" refreshError="1">
        <row r="8">
          <cell r="E8">
            <v>36056</v>
          </cell>
        </row>
        <row r="17">
          <cell r="B17">
            <v>0</v>
          </cell>
          <cell r="E17">
            <v>0</v>
          </cell>
        </row>
        <row r="18">
          <cell r="E18">
            <v>0</v>
          </cell>
        </row>
        <row r="19">
          <cell r="B19">
            <v>0</v>
          </cell>
          <cell r="H19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</row>
        <row r="26">
          <cell r="E26">
            <v>0</v>
          </cell>
        </row>
        <row r="30">
          <cell r="B30">
            <v>3851303.45</v>
          </cell>
          <cell r="E30">
            <v>-3584089.2480000057</v>
          </cell>
          <cell r="H30">
            <v>520574.26</v>
          </cell>
        </row>
        <row r="49">
          <cell r="B49">
            <v>-370971.08</v>
          </cell>
          <cell r="E49">
            <v>2501.12</v>
          </cell>
        </row>
        <row r="50">
          <cell r="B50">
            <v>6487.64</v>
          </cell>
          <cell r="E50">
            <v>792809.7</v>
          </cell>
        </row>
        <row r="51">
          <cell r="B51">
            <v>10801.97</v>
          </cell>
          <cell r="E51">
            <v>181219.04</v>
          </cell>
        </row>
        <row r="52">
          <cell r="B52">
            <v>-93184.23</v>
          </cell>
          <cell r="E52">
            <v>123416.96000000001</v>
          </cell>
        </row>
        <row r="53">
          <cell r="B53">
            <v>-263.14999999999998</v>
          </cell>
          <cell r="E53">
            <v>141779.04</v>
          </cell>
        </row>
        <row r="54">
          <cell r="B54">
            <v>-60581.919999999998</v>
          </cell>
          <cell r="E54">
            <v>492371.93</v>
          </cell>
        </row>
        <row r="55">
          <cell r="B55">
            <v>4988877.13</v>
          </cell>
          <cell r="E55">
            <v>6609.87</v>
          </cell>
        </row>
        <row r="56">
          <cell r="B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0</v>
          </cell>
        </row>
      </sheetData>
      <sheetData sheetId="7">
        <row r="8">
          <cell r="E8">
            <v>0</v>
          </cell>
        </row>
      </sheetData>
      <sheetData sheetId="8">
        <row r="8">
          <cell r="E8">
            <v>0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7">
          <cell r="B17">
            <v>1860</v>
          </cell>
        </row>
      </sheetData>
      <sheetData sheetId="53" refreshError="1"/>
      <sheetData sheetId="54" refreshError="1"/>
      <sheetData sheetId="55">
        <row r="17">
          <cell r="B17">
            <v>1860</v>
          </cell>
        </row>
      </sheetData>
      <sheetData sheetId="56" refreshError="1"/>
      <sheetData sheetId="57">
        <row r="17">
          <cell r="B17">
            <v>1860</v>
          </cell>
        </row>
      </sheetData>
      <sheetData sheetId="58"/>
      <sheetData sheetId="59">
        <row r="8">
          <cell r="E8">
            <v>36056</v>
          </cell>
        </row>
      </sheetData>
      <sheetData sheetId="60">
        <row r="8">
          <cell r="E8">
            <v>36056</v>
          </cell>
        </row>
      </sheetData>
      <sheetData sheetId="61"/>
      <sheetData sheetId="62">
        <row r="8">
          <cell r="E8">
            <v>0</v>
          </cell>
        </row>
      </sheetData>
      <sheetData sheetId="63"/>
      <sheetData sheetId="64">
        <row r="8">
          <cell r="E8">
            <v>0</v>
          </cell>
        </row>
      </sheetData>
      <sheetData sheetId="65">
        <row r="8">
          <cell r="E8">
            <v>0</v>
          </cell>
        </row>
      </sheetData>
      <sheetData sheetId="66">
        <row r="8">
          <cell r="E8">
            <v>0</v>
          </cell>
        </row>
      </sheetData>
      <sheetData sheetId="67">
        <row r="8">
          <cell r="E8">
            <v>0</v>
          </cell>
        </row>
      </sheetData>
      <sheetData sheetId="68">
        <row r="8">
          <cell r="E8">
            <v>0</v>
          </cell>
        </row>
      </sheetData>
      <sheetData sheetId="69">
        <row r="8">
          <cell r="E8">
            <v>0</v>
          </cell>
        </row>
      </sheetData>
      <sheetData sheetId="70">
        <row r="8">
          <cell r="E8">
            <v>0</v>
          </cell>
        </row>
      </sheetData>
      <sheetData sheetId="71">
        <row r="8">
          <cell r="E8">
            <v>0</v>
          </cell>
        </row>
      </sheetData>
      <sheetData sheetId="72">
        <row r="8">
          <cell r="E8">
            <v>0</v>
          </cell>
        </row>
      </sheetData>
      <sheetData sheetId="73">
        <row r="8">
          <cell r="E8">
            <v>0</v>
          </cell>
        </row>
      </sheetData>
      <sheetData sheetId="74"/>
      <sheetData sheetId="75"/>
      <sheetData sheetId="76"/>
      <sheetData sheetId="77"/>
      <sheetData sheetId="78">
        <row r="17">
          <cell r="B17">
            <v>1860</v>
          </cell>
        </row>
      </sheetData>
      <sheetData sheetId="79">
        <row r="17">
          <cell r="B17">
            <v>1860</v>
          </cell>
        </row>
      </sheetData>
      <sheetData sheetId="80">
        <row r="17">
          <cell r="B17">
            <v>1860</v>
          </cell>
        </row>
      </sheetData>
      <sheetData sheetId="81">
        <row r="17">
          <cell r="B17">
            <v>1860</v>
          </cell>
        </row>
      </sheetData>
      <sheetData sheetId="82">
        <row r="17">
          <cell r="B17">
            <v>1860</v>
          </cell>
        </row>
      </sheetData>
      <sheetData sheetId="83">
        <row r="17">
          <cell r="B17">
            <v>1860</v>
          </cell>
        </row>
      </sheetData>
      <sheetData sheetId="84">
        <row r="17">
          <cell r="B17">
            <v>1860</v>
          </cell>
        </row>
      </sheetData>
      <sheetData sheetId="85">
        <row r="17">
          <cell r="B17">
            <v>1860</v>
          </cell>
        </row>
      </sheetData>
      <sheetData sheetId="86">
        <row r="8">
          <cell r="E8">
            <v>36056</v>
          </cell>
        </row>
      </sheetData>
      <sheetData sheetId="87"/>
      <sheetData sheetId="88">
        <row r="8">
          <cell r="E8">
            <v>0</v>
          </cell>
        </row>
      </sheetData>
      <sheetData sheetId="89"/>
      <sheetData sheetId="90">
        <row r="8">
          <cell r="E8">
            <v>0</v>
          </cell>
        </row>
      </sheetData>
      <sheetData sheetId="91">
        <row r="8">
          <cell r="E8">
            <v>0</v>
          </cell>
        </row>
      </sheetData>
      <sheetData sheetId="92">
        <row r="8">
          <cell r="E8">
            <v>0</v>
          </cell>
        </row>
      </sheetData>
      <sheetData sheetId="93">
        <row r="8">
          <cell r="E8">
            <v>0</v>
          </cell>
        </row>
      </sheetData>
      <sheetData sheetId="94">
        <row r="8">
          <cell r="E8">
            <v>0</v>
          </cell>
        </row>
      </sheetData>
      <sheetData sheetId="95">
        <row r="8">
          <cell r="E8">
            <v>0</v>
          </cell>
        </row>
      </sheetData>
      <sheetData sheetId="96">
        <row r="8">
          <cell r="E8">
            <v>0</v>
          </cell>
        </row>
      </sheetData>
      <sheetData sheetId="97">
        <row r="8">
          <cell r="E8">
            <v>0</v>
          </cell>
        </row>
      </sheetData>
      <sheetData sheetId="98">
        <row r="8">
          <cell r="E8">
            <v>0</v>
          </cell>
        </row>
      </sheetData>
      <sheetData sheetId="99">
        <row r="8">
          <cell r="E8">
            <v>0</v>
          </cell>
        </row>
      </sheetData>
      <sheetData sheetId="100">
        <row r="8">
          <cell r="E8">
            <v>0</v>
          </cell>
        </row>
      </sheetData>
      <sheetData sheetId="101">
        <row r="8">
          <cell r="E8">
            <v>0</v>
          </cell>
        </row>
      </sheetData>
      <sheetData sheetId="102"/>
      <sheetData sheetId="103"/>
      <sheetData sheetId="104">
        <row r="17">
          <cell r="B17">
            <v>1860</v>
          </cell>
        </row>
      </sheetData>
      <sheetData sheetId="105">
        <row r="17">
          <cell r="B17">
            <v>1860</v>
          </cell>
        </row>
      </sheetData>
      <sheetData sheetId="106">
        <row r="17">
          <cell r="B17">
            <v>1860</v>
          </cell>
        </row>
      </sheetData>
      <sheetData sheetId="107">
        <row r="17">
          <cell r="B17">
            <v>1860</v>
          </cell>
        </row>
      </sheetData>
      <sheetData sheetId="108">
        <row r="17">
          <cell r="B17">
            <v>1860</v>
          </cell>
        </row>
      </sheetData>
      <sheetData sheetId="109">
        <row r="17">
          <cell r="B17">
            <v>1860</v>
          </cell>
        </row>
      </sheetData>
      <sheetData sheetId="110"/>
      <sheetData sheetId="111">
        <row r="17">
          <cell r="B17">
            <v>1860</v>
          </cell>
        </row>
      </sheetData>
      <sheetData sheetId="112"/>
      <sheetData sheetId="113"/>
      <sheetData sheetId="114" refreshError="1"/>
      <sheetData sheetId="115" refreshError="1"/>
      <sheetData sheetId="116">
        <row r="17">
          <cell r="B17">
            <v>1860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8">
          <cell r="E8">
            <v>0</v>
          </cell>
        </row>
      </sheetData>
      <sheetData sheetId="123">
        <row r="8">
          <cell r="E8">
            <v>0</v>
          </cell>
        </row>
      </sheetData>
      <sheetData sheetId="124">
        <row r="8">
          <cell r="E8">
            <v>0</v>
          </cell>
        </row>
      </sheetData>
      <sheetData sheetId="125">
        <row r="8">
          <cell r="E8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7">
          <cell r="B17">
            <v>1860</v>
          </cell>
        </row>
      </sheetData>
      <sheetData sheetId="142">
        <row r="17">
          <cell r="B17">
            <v>1860</v>
          </cell>
        </row>
      </sheetData>
      <sheetData sheetId="143">
        <row r="17">
          <cell r="B17">
            <v>1860</v>
          </cell>
        </row>
      </sheetData>
      <sheetData sheetId="144">
        <row r="17">
          <cell r="B17">
            <v>1860</v>
          </cell>
        </row>
      </sheetData>
      <sheetData sheetId="145">
        <row r="17">
          <cell r="B17">
            <v>1860</v>
          </cell>
        </row>
      </sheetData>
      <sheetData sheetId="146">
        <row r="17">
          <cell r="B17">
            <v>1860</v>
          </cell>
        </row>
      </sheetData>
      <sheetData sheetId="147">
        <row r="17">
          <cell r="B17">
            <v>1860</v>
          </cell>
        </row>
      </sheetData>
      <sheetData sheetId="148"/>
      <sheetData sheetId="149"/>
      <sheetData sheetId="150">
        <row r="8">
          <cell r="E8">
            <v>0</v>
          </cell>
        </row>
      </sheetData>
      <sheetData sheetId="151">
        <row r="8">
          <cell r="E8">
            <v>0</v>
          </cell>
        </row>
      </sheetData>
      <sheetData sheetId="152">
        <row r="8">
          <cell r="E8">
            <v>0</v>
          </cell>
        </row>
      </sheetData>
      <sheetData sheetId="153">
        <row r="8">
          <cell r="E8">
            <v>0</v>
          </cell>
        </row>
      </sheetData>
      <sheetData sheetId="154">
        <row r="8">
          <cell r="E8">
            <v>0</v>
          </cell>
        </row>
      </sheetData>
      <sheetData sheetId="155">
        <row r="8">
          <cell r="E8">
            <v>0</v>
          </cell>
        </row>
      </sheetData>
      <sheetData sheetId="156">
        <row r="8">
          <cell r="E8">
            <v>0</v>
          </cell>
        </row>
      </sheetData>
      <sheetData sheetId="157">
        <row r="8">
          <cell r="E8">
            <v>0</v>
          </cell>
        </row>
      </sheetData>
      <sheetData sheetId="158">
        <row r="41">
          <cell r="H41">
            <v>0</v>
          </cell>
        </row>
      </sheetData>
      <sheetData sheetId="159">
        <row r="41">
          <cell r="H41">
            <v>0</v>
          </cell>
        </row>
      </sheetData>
      <sheetData sheetId="160">
        <row r="41">
          <cell r="H41">
            <v>0</v>
          </cell>
        </row>
      </sheetData>
      <sheetData sheetId="161">
        <row r="8">
          <cell r="E8">
            <v>0</v>
          </cell>
        </row>
      </sheetData>
      <sheetData sheetId="162">
        <row r="8">
          <cell r="E8">
            <v>0</v>
          </cell>
        </row>
      </sheetData>
      <sheetData sheetId="163">
        <row r="8">
          <cell r="E8">
            <v>0</v>
          </cell>
        </row>
      </sheetData>
      <sheetData sheetId="164">
        <row r="8">
          <cell r="E8">
            <v>0</v>
          </cell>
        </row>
      </sheetData>
      <sheetData sheetId="165">
        <row r="8">
          <cell r="E8">
            <v>0</v>
          </cell>
        </row>
      </sheetData>
      <sheetData sheetId="166">
        <row r="8">
          <cell r="E8">
            <v>0</v>
          </cell>
        </row>
      </sheetData>
      <sheetData sheetId="167">
        <row r="8">
          <cell r="E8">
            <v>0</v>
          </cell>
        </row>
      </sheetData>
      <sheetData sheetId="168">
        <row r="8">
          <cell r="E8">
            <v>0</v>
          </cell>
        </row>
      </sheetData>
      <sheetData sheetId="169">
        <row r="8">
          <cell r="E8">
            <v>0</v>
          </cell>
        </row>
      </sheetData>
      <sheetData sheetId="170">
        <row r="8">
          <cell r="E8">
            <v>0</v>
          </cell>
        </row>
      </sheetData>
      <sheetData sheetId="171">
        <row r="17">
          <cell r="B17">
            <v>1860</v>
          </cell>
        </row>
      </sheetData>
      <sheetData sheetId="172">
        <row r="17">
          <cell r="B17">
            <v>1860</v>
          </cell>
        </row>
      </sheetData>
      <sheetData sheetId="173">
        <row r="17">
          <cell r="B17">
            <v>1860</v>
          </cell>
        </row>
      </sheetData>
      <sheetData sheetId="174">
        <row r="17">
          <cell r="B17">
            <v>1860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7">
          <cell r="B17">
            <v>1860</v>
          </cell>
        </row>
      </sheetData>
      <sheetData sheetId="187">
        <row r="17">
          <cell r="B17">
            <v>1860</v>
          </cell>
        </row>
      </sheetData>
      <sheetData sheetId="188">
        <row r="17">
          <cell r="B17">
            <v>1860</v>
          </cell>
        </row>
      </sheetData>
      <sheetData sheetId="189">
        <row r="17">
          <cell r="B17">
            <v>1860</v>
          </cell>
        </row>
      </sheetData>
      <sheetData sheetId="190">
        <row r="17">
          <cell r="B17">
            <v>1860</v>
          </cell>
        </row>
      </sheetData>
      <sheetData sheetId="191">
        <row r="17">
          <cell r="B17">
            <v>1860</v>
          </cell>
        </row>
      </sheetData>
      <sheetData sheetId="192">
        <row r="17">
          <cell r="B17">
            <v>1860</v>
          </cell>
        </row>
      </sheetData>
      <sheetData sheetId="193"/>
      <sheetData sheetId="194"/>
      <sheetData sheetId="195">
        <row r="8">
          <cell r="E8">
            <v>0</v>
          </cell>
        </row>
      </sheetData>
      <sheetData sheetId="196">
        <row r="8">
          <cell r="E8">
            <v>0</v>
          </cell>
        </row>
      </sheetData>
      <sheetData sheetId="197">
        <row r="8">
          <cell r="E8">
            <v>0</v>
          </cell>
        </row>
      </sheetData>
      <sheetData sheetId="198">
        <row r="8">
          <cell r="E8">
            <v>0</v>
          </cell>
        </row>
      </sheetData>
      <sheetData sheetId="199">
        <row r="8">
          <cell r="E8">
            <v>0</v>
          </cell>
        </row>
      </sheetData>
      <sheetData sheetId="200">
        <row r="8">
          <cell r="E8">
            <v>0</v>
          </cell>
        </row>
      </sheetData>
      <sheetData sheetId="201">
        <row r="8">
          <cell r="E8">
            <v>0</v>
          </cell>
        </row>
      </sheetData>
      <sheetData sheetId="202">
        <row r="8">
          <cell r="E8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1">
          <cell r="H41">
            <v>0</v>
          </cell>
        </row>
      </sheetData>
      <sheetData sheetId="212">
        <row r="41">
          <cell r="H41">
            <v>0</v>
          </cell>
        </row>
      </sheetData>
      <sheetData sheetId="213">
        <row r="17">
          <cell r="B17">
            <v>1860</v>
          </cell>
        </row>
      </sheetData>
      <sheetData sheetId="214">
        <row r="17">
          <cell r="B17">
            <v>1860</v>
          </cell>
        </row>
      </sheetData>
      <sheetData sheetId="215">
        <row r="17">
          <cell r="B17">
            <v>1860</v>
          </cell>
        </row>
      </sheetData>
      <sheetData sheetId="216">
        <row r="17">
          <cell r="B17">
            <v>1860</v>
          </cell>
        </row>
      </sheetData>
      <sheetData sheetId="217" refreshError="1"/>
      <sheetData sheetId="218">
        <row r="8">
          <cell r="E8">
            <v>0</v>
          </cell>
        </row>
      </sheetData>
      <sheetData sheetId="219">
        <row r="8">
          <cell r="E8">
            <v>0</v>
          </cell>
        </row>
      </sheetData>
      <sheetData sheetId="220">
        <row r="8">
          <cell r="E8">
            <v>0</v>
          </cell>
        </row>
      </sheetData>
      <sheetData sheetId="221">
        <row r="8">
          <cell r="E8">
            <v>0</v>
          </cell>
        </row>
      </sheetData>
      <sheetData sheetId="222">
        <row r="8">
          <cell r="E8">
            <v>0</v>
          </cell>
        </row>
      </sheetData>
      <sheetData sheetId="223">
        <row r="8">
          <cell r="E8">
            <v>0</v>
          </cell>
        </row>
      </sheetData>
      <sheetData sheetId="224">
        <row r="8">
          <cell r="E8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17">
          <cell r="B17">
            <v>1860</v>
          </cell>
        </row>
      </sheetData>
      <sheetData sheetId="244">
        <row r="17">
          <cell r="B17">
            <v>1860</v>
          </cell>
        </row>
      </sheetData>
      <sheetData sheetId="245">
        <row r="17">
          <cell r="B17">
            <v>1860</v>
          </cell>
        </row>
      </sheetData>
      <sheetData sheetId="246">
        <row r="17">
          <cell r="B17">
            <v>1860</v>
          </cell>
        </row>
      </sheetData>
      <sheetData sheetId="247"/>
      <sheetData sheetId="248"/>
      <sheetData sheetId="249"/>
      <sheetData sheetId="250"/>
      <sheetData sheetId="251"/>
      <sheetData sheetId="252">
        <row r="8">
          <cell r="E8">
            <v>0</v>
          </cell>
        </row>
      </sheetData>
      <sheetData sheetId="253">
        <row r="8">
          <cell r="E8">
            <v>0</v>
          </cell>
        </row>
      </sheetData>
      <sheetData sheetId="254">
        <row r="8">
          <cell r="E8">
            <v>0</v>
          </cell>
        </row>
      </sheetData>
      <sheetData sheetId="255">
        <row r="8">
          <cell r="E8">
            <v>0</v>
          </cell>
        </row>
      </sheetData>
      <sheetData sheetId="256">
        <row r="8">
          <cell r="E8">
            <v>0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7">
          <cell r="B17">
            <v>1860</v>
          </cell>
        </row>
      </sheetData>
      <sheetData sheetId="271">
        <row r="17">
          <cell r="B17">
            <v>1860</v>
          </cell>
        </row>
      </sheetData>
      <sheetData sheetId="272">
        <row r="17">
          <cell r="B17">
            <v>1860</v>
          </cell>
        </row>
      </sheetData>
      <sheetData sheetId="273">
        <row r="17">
          <cell r="B17">
            <v>1860</v>
          </cell>
        </row>
      </sheetData>
      <sheetData sheetId="274">
        <row r="41">
          <cell r="H41">
            <v>0</v>
          </cell>
        </row>
      </sheetData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8">
          <cell r="E8" t="str">
            <v>Réel 2013</v>
          </cell>
        </row>
      </sheetData>
      <sheetData sheetId="290"/>
      <sheetData sheetId="291" refreshError="1"/>
      <sheetData sheetId="292" refreshError="1"/>
      <sheetData sheetId="293">
        <row r="8">
          <cell r="E8" t="str">
            <v>EL KELAA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8">
          <cell r="E8">
            <v>0</v>
          </cell>
        </row>
      </sheetData>
      <sheetData sheetId="312">
        <row r="8">
          <cell r="E8">
            <v>0</v>
          </cell>
        </row>
      </sheetData>
      <sheetData sheetId="313">
        <row r="8">
          <cell r="E8">
            <v>0</v>
          </cell>
        </row>
      </sheetData>
      <sheetData sheetId="314">
        <row r="8">
          <cell r="E8">
            <v>0</v>
          </cell>
        </row>
      </sheetData>
      <sheetData sheetId="315">
        <row r="8">
          <cell r="E8">
            <v>0</v>
          </cell>
        </row>
      </sheetData>
      <sheetData sheetId="316">
        <row r="8">
          <cell r="E8">
            <v>0</v>
          </cell>
        </row>
      </sheetData>
      <sheetData sheetId="317">
        <row r="8">
          <cell r="E8">
            <v>0</v>
          </cell>
        </row>
      </sheetData>
      <sheetData sheetId="318">
        <row r="8">
          <cell r="E8">
            <v>0</v>
          </cell>
        </row>
      </sheetData>
      <sheetData sheetId="319">
        <row r="8">
          <cell r="E8">
            <v>0</v>
          </cell>
        </row>
      </sheetData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7">
          <cell r="B17">
            <v>1860</v>
          </cell>
        </row>
      </sheetData>
      <sheetData sheetId="340">
        <row r="17">
          <cell r="B17">
            <v>1860</v>
          </cell>
        </row>
      </sheetData>
      <sheetData sheetId="341">
        <row r="17">
          <cell r="B17">
            <v>1860</v>
          </cell>
        </row>
      </sheetData>
      <sheetData sheetId="342"/>
      <sheetData sheetId="343">
        <row r="8">
          <cell r="E8">
            <v>0</v>
          </cell>
        </row>
      </sheetData>
      <sheetData sheetId="344">
        <row r="8">
          <cell r="E8">
            <v>0</v>
          </cell>
        </row>
      </sheetData>
      <sheetData sheetId="345">
        <row r="8">
          <cell r="E8">
            <v>0</v>
          </cell>
        </row>
      </sheetData>
      <sheetData sheetId="346">
        <row r="8">
          <cell r="E8">
            <v>0</v>
          </cell>
        </row>
      </sheetData>
      <sheetData sheetId="347">
        <row r="8">
          <cell r="E8">
            <v>0</v>
          </cell>
        </row>
      </sheetData>
      <sheetData sheetId="348">
        <row r="8">
          <cell r="E8">
            <v>0</v>
          </cell>
        </row>
      </sheetData>
      <sheetData sheetId="349">
        <row r="8">
          <cell r="E8">
            <v>0</v>
          </cell>
        </row>
      </sheetData>
      <sheetData sheetId="350">
        <row r="8">
          <cell r="E8">
            <v>0</v>
          </cell>
        </row>
      </sheetData>
      <sheetData sheetId="351">
        <row r="8">
          <cell r="E8">
            <v>0</v>
          </cell>
        </row>
      </sheetData>
      <sheetData sheetId="352">
        <row r="8">
          <cell r="E8">
            <v>0</v>
          </cell>
        </row>
      </sheetData>
      <sheetData sheetId="353">
        <row r="8">
          <cell r="E8">
            <v>0</v>
          </cell>
        </row>
      </sheetData>
      <sheetData sheetId="354">
        <row r="8">
          <cell r="E8">
            <v>0</v>
          </cell>
        </row>
      </sheetData>
      <sheetData sheetId="355">
        <row r="8">
          <cell r="E8">
            <v>0</v>
          </cell>
        </row>
      </sheetData>
      <sheetData sheetId="356">
        <row r="8">
          <cell r="E8">
            <v>0</v>
          </cell>
        </row>
      </sheetData>
      <sheetData sheetId="357"/>
      <sheetData sheetId="358"/>
      <sheetData sheetId="359">
        <row r="17">
          <cell r="B17">
            <v>1860</v>
          </cell>
        </row>
      </sheetData>
      <sheetData sheetId="360">
        <row r="17">
          <cell r="B17">
            <v>1860</v>
          </cell>
        </row>
      </sheetData>
      <sheetData sheetId="361">
        <row r="17">
          <cell r="B17">
            <v>1860</v>
          </cell>
        </row>
      </sheetData>
      <sheetData sheetId="362">
        <row r="17">
          <cell r="B17">
            <v>1860</v>
          </cell>
        </row>
      </sheetData>
      <sheetData sheetId="363">
        <row r="17">
          <cell r="B17">
            <v>1860</v>
          </cell>
        </row>
      </sheetData>
      <sheetData sheetId="364">
        <row r="17">
          <cell r="B17">
            <v>1860</v>
          </cell>
        </row>
      </sheetData>
      <sheetData sheetId="365">
        <row r="17">
          <cell r="B17">
            <v>1860</v>
          </cell>
        </row>
      </sheetData>
      <sheetData sheetId="366">
        <row r="17">
          <cell r="B17">
            <v>1860</v>
          </cell>
        </row>
      </sheetData>
      <sheetData sheetId="367">
        <row r="17">
          <cell r="B17">
            <v>1860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>
        <row r="8">
          <cell r="E8" t="str">
            <v>Réel 2013</v>
          </cell>
        </row>
      </sheetData>
      <sheetData sheetId="378"/>
      <sheetData sheetId="379" refreshError="1"/>
      <sheetData sheetId="380"/>
      <sheetData sheetId="381">
        <row r="8">
          <cell r="E8">
            <v>0</v>
          </cell>
        </row>
      </sheetData>
      <sheetData sheetId="382">
        <row r="8">
          <cell r="E8">
            <v>0</v>
          </cell>
        </row>
      </sheetData>
      <sheetData sheetId="383">
        <row r="8">
          <cell r="E8">
            <v>0</v>
          </cell>
        </row>
      </sheetData>
      <sheetData sheetId="384">
        <row r="8">
          <cell r="E8">
            <v>0</v>
          </cell>
        </row>
      </sheetData>
      <sheetData sheetId="385">
        <row r="8">
          <cell r="E8">
            <v>0</v>
          </cell>
        </row>
      </sheetData>
      <sheetData sheetId="386">
        <row r="8">
          <cell r="E8">
            <v>0</v>
          </cell>
        </row>
      </sheetData>
      <sheetData sheetId="387">
        <row r="8">
          <cell r="E8">
            <v>0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17">
          <cell r="B17">
            <v>1860</v>
          </cell>
        </row>
      </sheetData>
      <sheetData sheetId="410"/>
      <sheetData sheetId="411"/>
      <sheetData sheetId="412"/>
      <sheetData sheetId="413"/>
      <sheetData sheetId="414">
        <row r="8">
          <cell r="E8">
            <v>0</v>
          </cell>
        </row>
      </sheetData>
      <sheetData sheetId="415"/>
      <sheetData sheetId="416">
        <row r="8">
          <cell r="E8">
            <v>0</v>
          </cell>
        </row>
      </sheetData>
      <sheetData sheetId="417">
        <row r="8">
          <cell r="E8">
            <v>0</v>
          </cell>
        </row>
      </sheetData>
      <sheetData sheetId="418">
        <row r="8">
          <cell r="E8">
            <v>0</v>
          </cell>
        </row>
      </sheetData>
      <sheetData sheetId="419"/>
      <sheetData sheetId="420">
        <row r="8">
          <cell r="E8">
            <v>0</v>
          </cell>
        </row>
      </sheetData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>
        <row r="17">
          <cell r="B17">
            <v>1860</v>
          </cell>
        </row>
      </sheetData>
      <sheetData sheetId="431">
        <row r="17">
          <cell r="B17">
            <v>1860</v>
          </cell>
        </row>
      </sheetData>
      <sheetData sheetId="432">
        <row r="17">
          <cell r="B17">
            <v>1860</v>
          </cell>
        </row>
      </sheetData>
      <sheetData sheetId="433">
        <row r="17">
          <cell r="B17">
            <v>1860</v>
          </cell>
        </row>
      </sheetData>
      <sheetData sheetId="434"/>
      <sheetData sheetId="435">
        <row r="17">
          <cell r="B17">
            <v>1860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8">
          <cell r="E8">
            <v>0</v>
          </cell>
        </row>
      </sheetData>
      <sheetData sheetId="450">
        <row r="8">
          <cell r="E8">
            <v>0</v>
          </cell>
        </row>
      </sheetData>
      <sheetData sheetId="451">
        <row r="8">
          <cell r="E8">
            <v>0</v>
          </cell>
        </row>
      </sheetData>
      <sheetData sheetId="452">
        <row r="8">
          <cell r="E8">
            <v>0</v>
          </cell>
        </row>
      </sheetData>
      <sheetData sheetId="453">
        <row r="8">
          <cell r="E8">
            <v>0</v>
          </cell>
        </row>
      </sheetData>
      <sheetData sheetId="454">
        <row r="8">
          <cell r="E8">
            <v>0</v>
          </cell>
        </row>
      </sheetData>
      <sheetData sheetId="455">
        <row r="8">
          <cell r="E8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17">
          <cell r="B17">
            <v>1860</v>
          </cell>
        </row>
      </sheetData>
      <sheetData sheetId="478"/>
      <sheetData sheetId="479"/>
      <sheetData sheetId="480"/>
      <sheetData sheetId="481"/>
      <sheetData sheetId="482">
        <row r="8">
          <cell r="E8">
            <v>0</v>
          </cell>
        </row>
      </sheetData>
      <sheetData sheetId="483"/>
      <sheetData sheetId="484">
        <row r="8">
          <cell r="E8">
            <v>0</v>
          </cell>
        </row>
      </sheetData>
      <sheetData sheetId="485">
        <row r="8">
          <cell r="E8">
            <v>0</v>
          </cell>
        </row>
      </sheetData>
      <sheetData sheetId="486">
        <row r="8">
          <cell r="E8">
            <v>0</v>
          </cell>
        </row>
      </sheetData>
      <sheetData sheetId="487"/>
      <sheetData sheetId="488">
        <row r="8">
          <cell r="E8">
            <v>0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17">
          <cell r="B17">
            <v>1860</v>
          </cell>
        </row>
      </sheetData>
      <sheetData sheetId="499">
        <row r="17">
          <cell r="B17">
            <v>1860</v>
          </cell>
        </row>
      </sheetData>
      <sheetData sheetId="500">
        <row r="17">
          <cell r="B17">
            <v>1860</v>
          </cell>
        </row>
      </sheetData>
      <sheetData sheetId="501">
        <row r="17">
          <cell r="B17">
            <v>1860</v>
          </cell>
        </row>
      </sheetData>
      <sheetData sheetId="502"/>
      <sheetData sheetId="503">
        <row r="17">
          <cell r="B17">
            <v>1860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8">
          <cell r="E8" t="str">
            <v>Milliers</v>
          </cell>
        </row>
      </sheetData>
      <sheetData sheetId="523"/>
      <sheetData sheetId="524">
        <row r="8">
          <cell r="E8">
            <v>0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>
        <row r="8">
          <cell r="E8"/>
        </row>
      </sheetData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>
        <row r="8">
          <cell r="E8">
            <v>0</v>
          </cell>
        </row>
      </sheetData>
      <sheetData sheetId="633">
        <row r="8">
          <cell r="E8">
            <v>0</v>
          </cell>
        </row>
      </sheetData>
      <sheetData sheetId="634">
        <row r="8">
          <cell r="E8">
            <v>0</v>
          </cell>
        </row>
      </sheetData>
      <sheetData sheetId="635">
        <row r="8">
          <cell r="E8">
            <v>0</v>
          </cell>
        </row>
      </sheetData>
      <sheetData sheetId="636">
        <row r="8">
          <cell r="E8">
            <v>0</v>
          </cell>
        </row>
      </sheetData>
      <sheetData sheetId="637">
        <row r="8">
          <cell r="E8">
            <v>0</v>
          </cell>
        </row>
      </sheetData>
      <sheetData sheetId="638">
        <row r="8">
          <cell r="E8">
            <v>0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>
        <row r="17">
          <cell r="B17">
            <v>1860</v>
          </cell>
        </row>
      </sheetData>
      <sheetData sheetId="661"/>
      <sheetData sheetId="662"/>
      <sheetData sheetId="663">
        <row r="8">
          <cell r="E8">
            <v>0</v>
          </cell>
        </row>
      </sheetData>
      <sheetData sheetId="664"/>
      <sheetData sheetId="665">
        <row r="8">
          <cell r="E8">
            <v>0</v>
          </cell>
        </row>
      </sheetData>
      <sheetData sheetId="666">
        <row r="8">
          <cell r="E8">
            <v>0</v>
          </cell>
        </row>
      </sheetData>
      <sheetData sheetId="667">
        <row r="8">
          <cell r="E8">
            <v>0</v>
          </cell>
        </row>
      </sheetData>
      <sheetData sheetId="668">
        <row r="8">
          <cell r="E8">
            <v>0</v>
          </cell>
        </row>
      </sheetData>
      <sheetData sheetId="669">
        <row r="8">
          <cell r="E8">
            <v>0</v>
          </cell>
        </row>
      </sheetData>
      <sheetData sheetId="670">
        <row r="8">
          <cell r="E8">
            <v>0</v>
          </cell>
        </row>
      </sheetData>
      <sheetData sheetId="671">
        <row r="8">
          <cell r="E8">
            <v>0</v>
          </cell>
        </row>
      </sheetData>
      <sheetData sheetId="672">
        <row r="8">
          <cell r="E8">
            <v>0</v>
          </cell>
        </row>
      </sheetData>
      <sheetData sheetId="673">
        <row r="8">
          <cell r="E8">
            <v>0</v>
          </cell>
        </row>
      </sheetData>
      <sheetData sheetId="674">
        <row r="8">
          <cell r="E8">
            <v>0</v>
          </cell>
        </row>
      </sheetData>
      <sheetData sheetId="675">
        <row r="8">
          <cell r="E8">
            <v>0</v>
          </cell>
        </row>
      </sheetData>
      <sheetData sheetId="676">
        <row r="8">
          <cell r="E8">
            <v>0</v>
          </cell>
        </row>
      </sheetData>
      <sheetData sheetId="677"/>
      <sheetData sheetId="678"/>
      <sheetData sheetId="679">
        <row r="17">
          <cell r="B17">
            <v>1860</v>
          </cell>
        </row>
      </sheetData>
      <sheetData sheetId="680">
        <row r="17">
          <cell r="B17">
            <v>1860</v>
          </cell>
        </row>
      </sheetData>
      <sheetData sheetId="681">
        <row r="17">
          <cell r="B17">
            <v>1860</v>
          </cell>
        </row>
      </sheetData>
      <sheetData sheetId="682">
        <row r="17">
          <cell r="B17">
            <v>1860</v>
          </cell>
        </row>
      </sheetData>
      <sheetData sheetId="683">
        <row r="17">
          <cell r="B17">
            <v>1860</v>
          </cell>
        </row>
      </sheetData>
      <sheetData sheetId="684">
        <row r="17">
          <cell r="B17">
            <v>1860</v>
          </cell>
        </row>
      </sheetData>
      <sheetData sheetId="685"/>
      <sheetData sheetId="686">
        <row r="17">
          <cell r="B17">
            <v>1860</v>
          </cell>
        </row>
      </sheetData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>
        <row r="8">
          <cell r="E8" t="str">
            <v>Réel 2013</v>
          </cell>
        </row>
      </sheetData>
      <sheetData sheetId="698"/>
      <sheetData sheetId="699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>
            <v>0</v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_ana_réalisé"/>
      <sheetName val="répart.selon parc"/>
      <sheetName val="clés de répartition"/>
      <sheetName val="Répar Rev.intercomp"/>
      <sheetName val="NMT &amp; RAKKAS"/>
      <sheetName val="Revenus hors intercomp."/>
    </sheetNames>
    <sheetDataSet>
      <sheetData sheetId="0" refreshError="1"/>
      <sheetData sheetId="1" refreshError="1"/>
      <sheetData sheetId="2"/>
      <sheetData sheetId="3"/>
      <sheetData sheetId="4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  <sheetName val="Projections"/>
      <sheetName val="Banques"/>
      <sheetName val="Key historical financials"/>
      <sheetName val="OUTPUT"/>
      <sheetName val="PRODUIT PAR DRT"/>
      <sheetName val="Monthly Report - by Tier"/>
      <sheetName val="Sitios"/>
      <sheetName val="Valid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  <sheetName val="synthgraph DCF"/>
      <sheetName val="dct_titu98+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INTERCONNEXION CHARG NOV"/>
      <sheetName val="Red PQ"/>
      <sheetName val="Red Régul+SU"/>
      <sheetName val="BG EstiméFév"/>
      <sheetName val="BG Estimé"/>
      <sheetName val="BG"/>
      <sheetName val="TABLEAU DE PASSAGE"/>
      <sheetName val="Revenu Mobile"/>
      <sheetName val="Marge Brute Mobile"/>
      <sheetName val="Opex Mobile"/>
      <sheetName val="P&amp;L Mobile"/>
      <sheetName val="CAPEX MOBILE 09"/>
      <sheetName val="Capex Mobile1"/>
      <sheetName val="Parc Mobile"/>
      <sheetName val="Parc GFU"/>
      <sheetName val="Ind clés Rev"/>
      <sheetName val="prix Mn"/>
      <sheetName val="Ind clés trafic"/>
      <sheetName val="Ind Tech"/>
      <sheetName val="Kits et packs"/>
      <sheetName val="Feuil1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C4" t="str">
            <v>COMPTE</v>
          </cell>
          <cell r="D4" t="str">
            <v>LIBELLE</v>
          </cell>
          <cell r="E4" t="str">
            <v>MONTANT - 2005</v>
          </cell>
          <cell r="F4" t="str">
            <v>MONTANT - 2006</v>
          </cell>
          <cell r="G4" t="str">
            <v>MONTANT - 2007</v>
          </cell>
          <cell r="H4" t="str">
            <v>MONTANT - 2008</v>
          </cell>
          <cell r="I4" t="str">
            <v>CODE</v>
          </cell>
          <cell r="J4" t="str">
            <v>GRD MASSE</v>
          </cell>
          <cell r="K4" t="str">
            <v>Fin Décembre 2008</v>
          </cell>
          <cell r="L4">
            <v>39814</v>
          </cell>
          <cell r="M4">
            <v>39845</v>
          </cell>
          <cell r="N4">
            <v>39873</v>
          </cell>
          <cell r="O4">
            <v>39904</v>
          </cell>
          <cell r="P4">
            <v>39934</v>
          </cell>
          <cell r="Q4">
            <v>39965</v>
          </cell>
          <cell r="R4">
            <v>39995</v>
          </cell>
          <cell r="S4">
            <v>40026</v>
          </cell>
          <cell r="T4">
            <v>40057</v>
          </cell>
          <cell r="U4">
            <v>40087</v>
          </cell>
          <cell r="V4">
            <v>40118</v>
          </cell>
          <cell r="W4">
            <v>40148</v>
          </cell>
          <cell r="X4" t="str">
            <v xml:space="preserve">CUMUL </v>
          </cell>
        </row>
        <row r="6">
          <cell r="C6">
            <v>70111000</v>
          </cell>
          <cell r="D6" t="str">
            <v>VENTE A TERME C.</v>
          </cell>
          <cell r="E6">
            <v>14173352980</v>
          </cell>
          <cell r="G6">
            <v>0</v>
          </cell>
          <cell r="H6">
            <v>0</v>
          </cell>
          <cell r="I6" t="str">
            <v>Prépayé Sortant</v>
          </cell>
          <cell r="J6" t="str">
            <v>Revenu Sortant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C7">
            <v>70111100</v>
          </cell>
          <cell r="D7" t="str">
            <v>VENTES AGENCES TELMOB</v>
          </cell>
          <cell r="E7">
            <v>903857516</v>
          </cell>
          <cell r="G7">
            <v>0</v>
          </cell>
          <cell r="H7">
            <v>0</v>
          </cell>
          <cell r="I7" t="str">
            <v>Prépayé Sortant</v>
          </cell>
          <cell r="J7" t="str">
            <v>Revenu Sortant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C8">
            <v>70112000</v>
          </cell>
          <cell r="D8" t="str">
            <v>VENTES AU COMPT DISTRIBUTEUR</v>
          </cell>
          <cell r="E8">
            <v>154016407</v>
          </cell>
          <cell r="F8">
            <v>19520298647</v>
          </cell>
          <cell r="G8">
            <v>22420289121</v>
          </cell>
          <cell r="H8">
            <v>22623074302</v>
          </cell>
          <cell r="I8" t="str">
            <v>Prépayé Sortant</v>
          </cell>
          <cell r="J8" t="str">
            <v>Revenu Sortant</v>
          </cell>
          <cell r="K8">
            <v>22623074302</v>
          </cell>
          <cell r="L8">
            <v>1966754821.5</v>
          </cell>
          <cell r="M8">
            <v>1926788355.1000004</v>
          </cell>
          <cell r="N8">
            <v>2171723766.3999996</v>
          </cell>
          <cell r="O8">
            <v>2229967754.0999999</v>
          </cell>
          <cell r="P8">
            <v>1994685880.8999996</v>
          </cell>
          <cell r="Q8">
            <v>2045483548</v>
          </cell>
          <cell r="R8">
            <v>2198138112</v>
          </cell>
          <cell r="S8">
            <v>2405074261</v>
          </cell>
          <cell r="T8">
            <v>1689395897</v>
          </cell>
          <cell r="U8">
            <v>2356152330</v>
          </cell>
          <cell r="V8">
            <v>2125996483</v>
          </cell>
          <cell r="W8">
            <v>2810601543</v>
          </cell>
          <cell r="X8">
            <v>25920762752</v>
          </cell>
        </row>
        <row r="9">
          <cell r="C9">
            <v>70112470</v>
          </cell>
          <cell r="D9" t="str">
            <v>PRODUITS CONSTA</v>
          </cell>
          <cell r="E9">
            <v>-359388975</v>
          </cell>
          <cell r="F9">
            <v>-270966347</v>
          </cell>
          <cell r="G9">
            <v>-233402249</v>
          </cell>
          <cell r="H9">
            <v>-88480106</v>
          </cell>
          <cell r="I9" t="str">
            <v>Prépayé Sortant</v>
          </cell>
          <cell r="J9" t="str">
            <v>Revenu Sortant</v>
          </cell>
          <cell r="K9">
            <v>-88480106</v>
          </cell>
          <cell r="L9">
            <v>19153180</v>
          </cell>
          <cell r="M9">
            <v>0</v>
          </cell>
          <cell r="N9">
            <v>-219064779</v>
          </cell>
          <cell r="O9">
            <v>0</v>
          </cell>
          <cell r="P9">
            <v>-373845855</v>
          </cell>
          <cell r="Q9">
            <v>204989840</v>
          </cell>
          <cell r="R9">
            <v>-206855957</v>
          </cell>
          <cell r="S9">
            <v>-200000000</v>
          </cell>
          <cell r="T9">
            <v>329431588</v>
          </cell>
          <cell r="U9">
            <v>0</v>
          </cell>
          <cell r="V9">
            <v>-239386444</v>
          </cell>
          <cell r="W9">
            <v>-943078708</v>
          </cell>
          <cell r="X9">
            <v>-1628657135</v>
          </cell>
        </row>
        <row r="10">
          <cell r="C10">
            <v>70113000</v>
          </cell>
          <cell r="D10" t="str">
            <v>VENTES AU COMPT DETAILLANTS</v>
          </cell>
          <cell r="E10">
            <v>406086185</v>
          </cell>
          <cell r="F10">
            <v>132403883</v>
          </cell>
          <cell r="G10">
            <v>139607301</v>
          </cell>
          <cell r="H10">
            <v>128131492</v>
          </cell>
          <cell r="I10" t="str">
            <v>Prépayé Sortant</v>
          </cell>
          <cell r="J10" t="str">
            <v>Revenu Sortant</v>
          </cell>
          <cell r="K10">
            <v>128131492</v>
          </cell>
          <cell r="L10">
            <v>12304122.479999999</v>
          </cell>
          <cell r="M10">
            <v>12816538.58</v>
          </cell>
          <cell r="N10">
            <v>-12301211.059999999</v>
          </cell>
          <cell r="O10">
            <v>11979503.819999998</v>
          </cell>
          <cell r="P10">
            <v>3776308.18</v>
          </cell>
          <cell r="Q10">
            <v>0</v>
          </cell>
          <cell r="R10">
            <v>14797273</v>
          </cell>
          <cell r="S10">
            <v>14615158</v>
          </cell>
          <cell r="T10">
            <v>-15338748</v>
          </cell>
          <cell r="U10">
            <v>17008981</v>
          </cell>
          <cell r="V10">
            <v>-17008981</v>
          </cell>
          <cell r="W10">
            <v>0</v>
          </cell>
          <cell r="X10">
            <v>42648945</v>
          </cell>
        </row>
        <row r="11">
          <cell r="C11">
            <v>70114000</v>
          </cell>
          <cell r="D11" t="str">
            <v>VENTE AU COMPT CONSOMMATEURS</v>
          </cell>
          <cell r="E11">
            <v>20925531</v>
          </cell>
          <cell r="F11">
            <v>32502908</v>
          </cell>
          <cell r="G11">
            <v>42981797</v>
          </cell>
          <cell r="H11">
            <v>56623746</v>
          </cell>
          <cell r="I11" t="str">
            <v>Prépayé Sortant</v>
          </cell>
          <cell r="J11" t="str">
            <v>Revenu Sortant</v>
          </cell>
          <cell r="K11">
            <v>56623746</v>
          </cell>
          <cell r="L11">
            <v>3602337</v>
          </cell>
          <cell r="M11">
            <v>9033241</v>
          </cell>
          <cell r="N11">
            <v>66327574</v>
          </cell>
          <cell r="O11">
            <v>9559152</v>
          </cell>
          <cell r="P11">
            <v>44704560</v>
          </cell>
          <cell r="Q11">
            <v>22083328</v>
          </cell>
          <cell r="R11">
            <v>16254412.666666985</v>
          </cell>
          <cell r="S11">
            <v>14314974</v>
          </cell>
          <cell r="T11">
            <v>40790580.333333015</v>
          </cell>
          <cell r="U11">
            <v>16017446</v>
          </cell>
          <cell r="V11">
            <v>55099584</v>
          </cell>
          <cell r="W11">
            <v>36398977</v>
          </cell>
          <cell r="X11">
            <v>334186166</v>
          </cell>
        </row>
        <row r="12">
          <cell r="C12">
            <v>70115000</v>
          </cell>
          <cell r="D12" t="str">
            <v>VENTE AGENCE ONATEL</v>
          </cell>
          <cell r="F12">
            <v>723507636</v>
          </cell>
          <cell r="G12">
            <v>2631508786</v>
          </cell>
          <cell r="H12">
            <v>10910972816</v>
          </cell>
          <cell r="I12" t="str">
            <v>Prépayé Sortant</v>
          </cell>
          <cell r="J12" t="str">
            <v>Revenu Sortant</v>
          </cell>
          <cell r="K12">
            <v>10910972816</v>
          </cell>
          <cell r="L12">
            <v>1411935078</v>
          </cell>
          <cell r="M12">
            <v>1390212493</v>
          </cell>
          <cell r="N12">
            <v>1603995552</v>
          </cell>
          <cell r="O12">
            <v>1790961380</v>
          </cell>
          <cell r="P12">
            <v>1716160124</v>
          </cell>
          <cell r="Q12">
            <v>1672879988</v>
          </cell>
          <cell r="R12">
            <v>1688589159</v>
          </cell>
          <cell r="S12">
            <v>1628157847</v>
          </cell>
          <cell r="T12">
            <v>1675000067</v>
          </cell>
          <cell r="U12">
            <v>1763931813</v>
          </cell>
          <cell r="V12">
            <v>1677130795</v>
          </cell>
          <cell r="W12">
            <v>2749607875</v>
          </cell>
          <cell r="X12">
            <v>20768562171</v>
          </cell>
        </row>
        <row r="13">
          <cell r="C13">
            <v>70116000</v>
          </cell>
          <cell r="D13" t="str">
            <v>VENTE DE CARTES ELECTRONIQUES</v>
          </cell>
          <cell r="H13">
            <v>292211693</v>
          </cell>
          <cell r="I13" t="str">
            <v>Prépayé Sortant</v>
          </cell>
          <cell r="J13" t="str">
            <v>Revenu Sortant</v>
          </cell>
          <cell r="K13">
            <v>292211693</v>
          </cell>
          <cell r="L13">
            <v>0</v>
          </cell>
          <cell r="M13">
            <v>61357626</v>
          </cell>
          <cell r="N13">
            <v>71350848</v>
          </cell>
          <cell r="O13">
            <v>0</v>
          </cell>
          <cell r="P13">
            <v>84849150</v>
          </cell>
          <cell r="Q13">
            <v>83152542</v>
          </cell>
          <cell r="R13">
            <v>50118361</v>
          </cell>
          <cell r="S13">
            <v>0</v>
          </cell>
          <cell r="T13">
            <v>56351131</v>
          </cell>
          <cell r="U13">
            <v>0</v>
          </cell>
          <cell r="V13">
            <v>79637289</v>
          </cell>
          <cell r="W13">
            <v>19525423</v>
          </cell>
          <cell r="X13">
            <v>506342370</v>
          </cell>
        </row>
        <row r="14">
          <cell r="C14">
            <v>70121000</v>
          </cell>
          <cell r="D14" t="str">
            <v>VENTE PACKS TELMOB</v>
          </cell>
          <cell r="F14">
            <v>150420446</v>
          </cell>
          <cell r="G14">
            <v>156381189</v>
          </cell>
          <cell r="H14">
            <v>61875558</v>
          </cell>
          <cell r="I14" t="str">
            <v>Terminaux &amp; Kits prépayés</v>
          </cell>
          <cell r="J14" t="str">
            <v>Revenu non récurrent</v>
          </cell>
          <cell r="K14">
            <v>61875558</v>
          </cell>
          <cell r="L14">
            <v>1651526</v>
          </cell>
          <cell r="M14">
            <v>7805726.7419354841</v>
          </cell>
          <cell r="N14">
            <v>9917029.2580645159</v>
          </cell>
          <cell r="O14">
            <v>3520022</v>
          </cell>
          <cell r="P14">
            <v>3356934</v>
          </cell>
          <cell r="Q14">
            <v>3463053</v>
          </cell>
          <cell r="R14">
            <v>4952381.833333333</v>
          </cell>
          <cell r="S14">
            <v>4952381.833333334</v>
          </cell>
          <cell r="T14">
            <v>-4900690.6666666716</v>
          </cell>
          <cell r="U14">
            <v>0</v>
          </cell>
          <cell r="V14">
            <v>3355631</v>
          </cell>
          <cell r="W14">
            <v>3096599</v>
          </cell>
          <cell r="X14">
            <v>41170594</v>
          </cell>
        </row>
        <row r="15">
          <cell r="C15">
            <v>70122000</v>
          </cell>
          <cell r="D15" t="str">
            <v>VENTE PACKS ONATEL</v>
          </cell>
          <cell r="F15">
            <v>159624601</v>
          </cell>
          <cell r="G15">
            <v>127914269</v>
          </cell>
          <cell r="H15">
            <v>57833611</v>
          </cell>
          <cell r="I15" t="str">
            <v>Terminaux &amp; Kits prépayés</v>
          </cell>
          <cell r="J15" t="str">
            <v>Revenu non récurrent</v>
          </cell>
          <cell r="K15">
            <v>57833611</v>
          </cell>
          <cell r="L15">
            <v>1156262</v>
          </cell>
          <cell r="M15">
            <v>708676.6129032257</v>
          </cell>
          <cell r="N15">
            <v>5777723.3870967738</v>
          </cell>
          <cell r="O15">
            <v>0</v>
          </cell>
          <cell r="P15">
            <v>13697381</v>
          </cell>
          <cell r="Q15">
            <v>1665384</v>
          </cell>
          <cell r="R15">
            <v>3834237.8333333335</v>
          </cell>
          <cell r="S15">
            <v>3834237.833333333</v>
          </cell>
          <cell r="T15">
            <v>-5499773.6666666642</v>
          </cell>
          <cell r="U15">
            <v>722900.66666666733</v>
          </cell>
          <cell r="V15">
            <v>4204923.3333333321</v>
          </cell>
          <cell r="W15">
            <v>2720760</v>
          </cell>
          <cell r="X15">
            <v>32822713</v>
          </cell>
        </row>
        <row r="16">
          <cell r="C16">
            <v>70131000</v>
          </cell>
          <cell r="D16" t="str">
            <v>VENTE KITS DE CO TELMOB</v>
          </cell>
          <cell r="F16">
            <v>197785824</v>
          </cell>
          <cell r="G16">
            <v>264860352</v>
          </cell>
          <cell r="H16">
            <v>191890420</v>
          </cell>
          <cell r="I16" t="str">
            <v>Terminaux &amp; Kits prépayés</v>
          </cell>
          <cell r="J16" t="str">
            <v>Revenu non récurrent</v>
          </cell>
          <cell r="K16">
            <v>191890420</v>
          </cell>
          <cell r="L16">
            <v>22027966</v>
          </cell>
          <cell r="M16">
            <v>1029740.9623635709</v>
          </cell>
          <cell r="N16">
            <v>17923489.037636429</v>
          </cell>
          <cell r="O16">
            <v>15770158</v>
          </cell>
          <cell r="P16">
            <v>17659144</v>
          </cell>
          <cell r="Q16">
            <v>14757109</v>
          </cell>
          <cell r="R16">
            <v>14861267.833333334</v>
          </cell>
          <cell r="S16">
            <v>14861267.833333332</v>
          </cell>
          <cell r="T16">
            <v>32796555.333333343</v>
          </cell>
          <cell r="U16">
            <v>20839697.000000004</v>
          </cell>
          <cell r="V16">
            <v>14779248</v>
          </cell>
          <cell r="W16">
            <v>21258695</v>
          </cell>
          <cell r="X16">
            <v>208564338</v>
          </cell>
        </row>
        <row r="17">
          <cell r="C17">
            <v>70132000</v>
          </cell>
          <cell r="D17" t="str">
            <v>VENTE KITS DE CO ONATEL</v>
          </cell>
          <cell r="F17">
            <v>12712</v>
          </cell>
          <cell r="G17">
            <v>1761018</v>
          </cell>
          <cell r="H17">
            <v>184688167</v>
          </cell>
          <cell r="I17" t="str">
            <v>Terminaux &amp; Kits prépayés</v>
          </cell>
          <cell r="J17" t="str">
            <v>Revenu non récurrent</v>
          </cell>
          <cell r="K17">
            <v>184688167</v>
          </cell>
          <cell r="L17">
            <v>22191514</v>
          </cell>
          <cell r="M17">
            <v>23109673.408749133</v>
          </cell>
          <cell r="N17">
            <v>11186063.591250867</v>
          </cell>
          <cell r="O17">
            <v>0</v>
          </cell>
          <cell r="P17">
            <v>76461471</v>
          </cell>
          <cell r="Q17">
            <v>22195465</v>
          </cell>
          <cell r="R17">
            <v>25857364.5</v>
          </cell>
          <cell r="S17">
            <v>0</v>
          </cell>
          <cell r="T17">
            <v>65610529.5</v>
          </cell>
          <cell r="U17">
            <v>30489298</v>
          </cell>
          <cell r="V17">
            <v>16851819</v>
          </cell>
          <cell r="W17">
            <v>47519132</v>
          </cell>
          <cell r="X17">
            <v>341472330</v>
          </cell>
        </row>
        <row r="18">
          <cell r="C18">
            <v>70141000</v>
          </cell>
          <cell r="D18" t="str">
            <v>VENTE D'APPAREIL ET ACCESSOIRES GSM TELMOB</v>
          </cell>
          <cell r="F18">
            <v>11066918</v>
          </cell>
          <cell r="G18">
            <v>2491125</v>
          </cell>
          <cell r="H18">
            <v>3889838</v>
          </cell>
          <cell r="I18" t="str">
            <v>Terminaux &amp; Kits prépayés</v>
          </cell>
          <cell r="J18" t="str">
            <v>Revenu non récurrent</v>
          </cell>
          <cell r="K18">
            <v>3889838</v>
          </cell>
          <cell r="L18">
            <v>0</v>
          </cell>
          <cell r="M18">
            <v>5847</v>
          </cell>
          <cell r="N18">
            <v>32372</v>
          </cell>
          <cell r="O18">
            <v>14831</v>
          </cell>
          <cell r="P18">
            <v>10400</v>
          </cell>
          <cell r="Q18">
            <v>0</v>
          </cell>
          <cell r="R18">
            <v>12690</v>
          </cell>
          <cell r="S18">
            <v>0</v>
          </cell>
          <cell r="T18">
            <v>120191</v>
          </cell>
          <cell r="U18">
            <v>0</v>
          </cell>
          <cell r="V18">
            <v>7941393</v>
          </cell>
          <cell r="W18">
            <v>4475626</v>
          </cell>
          <cell r="X18">
            <v>12613350</v>
          </cell>
        </row>
        <row r="19">
          <cell r="C19">
            <v>70142000</v>
          </cell>
          <cell r="D19" t="str">
            <v>VENTE D'APPAREIL ET ACCESSOIRES GSM ONATEL</v>
          </cell>
          <cell r="F19">
            <v>4374142</v>
          </cell>
          <cell r="G19">
            <v>15159266</v>
          </cell>
          <cell r="H19">
            <v>9518704</v>
          </cell>
          <cell r="I19" t="str">
            <v>Terminaux &amp; Kits prépayés</v>
          </cell>
          <cell r="J19" t="str">
            <v>Revenu non récurrent</v>
          </cell>
          <cell r="K19">
            <v>9518704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2">
          <cell r="D22" t="str">
            <v>TOTAL 701</v>
          </cell>
          <cell r="E22">
            <v>15298849644</v>
          </cell>
          <cell r="F22">
            <v>20661031370</v>
          </cell>
          <cell r="G22">
            <v>25569551975</v>
          </cell>
          <cell r="H22">
            <v>34432230241</v>
          </cell>
          <cell r="K22">
            <v>34432230241</v>
          </cell>
          <cell r="L22">
            <v>3460776806.98</v>
          </cell>
          <cell r="M22">
            <v>3432867918.4059515</v>
          </cell>
          <cell r="N22">
            <v>3726868427.6140485</v>
          </cell>
          <cell r="O22">
            <v>4061772800.9200001</v>
          </cell>
          <cell r="P22">
            <v>3581515498.0799999</v>
          </cell>
          <cell r="Q22">
            <v>4070670257</v>
          </cell>
          <cell r="R22">
            <v>3810559302.6666675</v>
          </cell>
          <cell r="S22">
            <v>3885810127.5000005</v>
          </cell>
          <cell r="T22">
            <v>3863757326.8333335</v>
          </cell>
          <cell r="U22">
            <v>4205162465.6666665</v>
          </cell>
          <cell r="V22">
            <v>3728601740.3333335</v>
          </cell>
          <cell r="W22">
            <v>4752125922</v>
          </cell>
          <cell r="X22">
            <v>46580488594</v>
          </cell>
        </row>
        <row r="23">
          <cell r="C23">
            <v>70611100</v>
          </cell>
          <cell r="D23" t="str">
            <v>POS PAÏD CONSOM TAXABLE</v>
          </cell>
          <cell r="E23">
            <v>3300630068</v>
          </cell>
          <cell r="F23">
            <v>3187643889</v>
          </cell>
          <cell r="G23">
            <v>3347120457</v>
          </cell>
          <cell r="H23">
            <v>2320990188</v>
          </cell>
          <cell r="I23" t="str">
            <v>postpayé Trafic Sortant</v>
          </cell>
          <cell r="J23" t="str">
            <v>Revenu Sortant</v>
          </cell>
          <cell r="K23">
            <v>2320990188</v>
          </cell>
          <cell r="L23">
            <v>299787919</v>
          </cell>
          <cell r="M23">
            <v>234562236</v>
          </cell>
          <cell r="N23">
            <v>274105434</v>
          </cell>
          <cell r="O23">
            <v>289469253</v>
          </cell>
          <cell r="P23">
            <v>258942178</v>
          </cell>
          <cell r="Q23">
            <v>272114702</v>
          </cell>
          <cell r="R23">
            <v>276254405</v>
          </cell>
          <cell r="S23">
            <v>253193173</v>
          </cell>
          <cell r="T23">
            <v>269330324</v>
          </cell>
          <cell r="U23">
            <v>269196953</v>
          </cell>
          <cell r="V23">
            <v>392279367</v>
          </cell>
          <cell r="W23">
            <v>173152502</v>
          </cell>
          <cell r="X23">
            <v>3262388446</v>
          </cell>
        </row>
        <row r="24">
          <cell r="C24">
            <v>70611200</v>
          </cell>
          <cell r="D24" t="str">
            <v>POST PAÏD REDEV TAXABLE</v>
          </cell>
          <cell r="E24">
            <v>1120935727</v>
          </cell>
          <cell r="F24">
            <v>575768592</v>
          </cell>
          <cell r="G24">
            <v>405571952</v>
          </cell>
          <cell r="H24">
            <v>494562448</v>
          </cell>
          <cell r="I24" t="str">
            <v>Postpayé Rédevance</v>
          </cell>
          <cell r="J24" t="str">
            <v>Revenu Sortant</v>
          </cell>
          <cell r="K24">
            <v>494562448</v>
          </cell>
          <cell r="L24">
            <v>44865159</v>
          </cell>
          <cell r="M24">
            <v>44999144</v>
          </cell>
          <cell r="N24">
            <v>42155042</v>
          </cell>
          <cell r="O24">
            <v>44574852</v>
          </cell>
          <cell r="P24">
            <v>44207168</v>
          </cell>
          <cell r="Q24">
            <v>45766368</v>
          </cell>
          <cell r="R24">
            <v>47163185</v>
          </cell>
          <cell r="S24">
            <v>47852602</v>
          </cell>
          <cell r="T24">
            <v>45486491</v>
          </cell>
          <cell r="U24">
            <v>45486491</v>
          </cell>
          <cell r="V24">
            <v>60538699</v>
          </cell>
          <cell r="W24">
            <v>54546157</v>
          </cell>
          <cell r="X24">
            <v>567641358</v>
          </cell>
        </row>
        <row r="25">
          <cell r="C25">
            <v>70611300</v>
          </cell>
          <cell r="D25" t="str">
            <v>GFU REDEVANCE TAXABLE</v>
          </cell>
          <cell r="F25">
            <v>1438158422</v>
          </cell>
          <cell r="G25">
            <v>2318559873</v>
          </cell>
          <cell r="H25">
            <v>3018844431</v>
          </cell>
          <cell r="I25" t="str">
            <v>Postpayé Rédevance</v>
          </cell>
          <cell r="J25" t="str">
            <v>Revenu Sortant</v>
          </cell>
          <cell r="K25">
            <v>3018844431</v>
          </cell>
          <cell r="L25">
            <v>274669464</v>
          </cell>
          <cell r="M25">
            <v>274134254</v>
          </cell>
          <cell r="N25">
            <v>273550602</v>
          </cell>
          <cell r="O25">
            <v>338286656</v>
          </cell>
          <cell r="P25">
            <v>330486708</v>
          </cell>
          <cell r="Q25">
            <v>322401028</v>
          </cell>
          <cell r="R25">
            <v>318957844</v>
          </cell>
          <cell r="S25">
            <v>314918204</v>
          </cell>
          <cell r="T25">
            <v>315694832</v>
          </cell>
          <cell r="U25">
            <v>312839580</v>
          </cell>
          <cell r="V25">
            <v>201695303</v>
          </cell>
          <cell r="W25">
            <v>447399080</v>
          </cell>
          <cell r="X25">
            <v>3725033555</v>
          </cell>
        </row>
        <row r="26">
          <cell r="C26">
            <v>70611400</v>
          </cell>
          <cell r="D26" t="str">
            <v>POST PAÏD CONSO EXONERE</v>
          </cell>
          <cell r="E26">
            <v>86619887</v>
          </cell>
          <cell r="F26">
            <v>241446503</v>
          </cell>
          <cell r="G26">
            <v>161880354</v>
          </cell>
          <cell r="H26">
            <v>124497694</v>
          </cell>
          <cell r="I26" t="str">
            <v>postpayé Trafic Sortant</v>
          </cell>
          <cell r="J26" t="str">
            <v>Revenu Sortant</v>
          </cell>
          <cell r="K26">
            <v>124497694</v>
          </cell>
          <cell r="L26">
            <v>11905347</v>
          </cell>
          <cell r="M26">
            <v>11261346</v>
          </cell>
          <cell r="N26">
            <v>13346052</v>
          </cell>
          <cell r="O26">
            <v>15154782</v>
          </cell>
          <cell r="P26">
            <v>18114796</v>
          </cell>
          <cell r="Q26">
            <v>17699818</v>
          </cell>
          <cell r="R26">
            <v>14741844</v>
          </cell>
          <cell r="S26">
            <v>11753866</v>
          </cell>
          <cell r="T26">
            <v>20765117</v>
          </cell>
          <cell r="U26">
            <v>14297160</v>
          </cell>
          <cell r="V26">
            <v>28813381</v>
          </cell>
          <cell r="W26">
            <v>16050378</v>
          </cell>
          <cell r="X26">
            <v>193903887</v>
          </cell>
        </row>
        <row r="27">
          <cell r="C27">
            <v>70611500</v>
          </cell>
          <cell r="D27" t="str">
            <v>POST PAÏD REDEV EXONERE</v>
          </cell>
          <cell r="E27">
            <v>14792443</v>
          </cell>
          <cell r="F27">
            <v>13465533</v>
          </cell>
          <cell r="G27">
            <v>15682276</v>
          </cell>
          <cell r="H27">
            <v>19587236</v>
          </cell>
          <cell r="I27" t="str">
            <v>Postpayé Rédevance</v>
          </cell>
          <cell r="J27" t="str">
            <v>Revenu Sortant</v>
          </cell>
          <cell r="K27">
            <v>19587236</v>
          </cell>
          <cell r="L27">
            <v>2396362</v>
          </cell>
          <cell r="M27">
            <v>2366138</v>
          </cell>
          <cell r="N27">
            <v>2337997</v>
          </cell>
          <cell r="O27">
            <v>2549117</v>
          </cell>
          <cell r="P27">
            <v>2295160</v>
          </cell>
          <cell r="Q27">
            <v>2393975</v>
          </cell>
          <cell r="R27">
            <v>2288614</v>
          </cell>
          <cell r="S27">
            <v>2294597</v>
          </cell>
          <cell r="T27">
            <v>2264938</v>
          </cell>
          <cell r="U27">
            <v>2264938</v>
          </cell>
          <cell r="V27">
            <v>-2264938</v>
          </cell>
          <cell r="W27">
            <v>0</v>
          </cell>
          <cell r="X27">
            <v>21186898</v>
          </cell>
        </row>
        <row r="28">
          <cell r="C28">
            <v>70611600</v>
          </cell>
          <cell r="D28" t="str">
            <v>GFU REDEVANCE EXONERE</v>
          </cell>
          <cell r="F28">
            <v>15657154</v>
          </cell>
          <cell r="G28">
            <v>21202450</v>
          </cell>
          <cell r="H28">
            <v>35279808</v>
          </cell>
          <cell r="I28" t="str">
            <v>Postpayé Rédevance</v>
          </cell>
          <cell r="J28" t="str">
            <v>Revenu Sortant</v>
          </cell>
          <cell r="K28">
            <v>35279808</v>
          </cell>
          <cell r="L28">
            <v>3569666</v>
          </cell>
          <cell r="M28">
            <v>3555258</v>
          </cell>
          <cell r="N28">
            <v>3565014</v>
          </cell>
          <cell r="O28">
            <v>4092854</v>
          </cell>
          <cell r="P28">
            <v>4195392</v>
          </cell>
          <cell r="Q28">
            <v>4041168</v>
          </cell>
          <cell r="R28">
            <v>4119552</v>
          </cell>
          <cell r="S28">
            <v>4173360</v>
          </cell>
          <cell r="T28">
            <v>4173360</v>
          </cell>
          <cell r="U28">
            <v>4173360</v>
          </cell>
          <cell r="V28">
            <v>-4173360</v>
          </cell>
          <cell r="W28">
            <v>0</v>
          </cell>
          <cell r="X28">
            <v>35485624</v>
          </cell>
        </row>
        <row r="29">
          <cell r="C29">
            <v>70621100</v>
          </cell>
          <cell r="D29" t="str">
            <v>ROAMING</v>
          </cell>
          <cell r="E29">
            <v>45543097</v>
          </cell>
          <cell r="F29">
            <v>361045470</v>
          </cell>
          <cell r="G29">
            <v>377852058</v>
          </cell>
          <cell r="H29">
            <v>358418252</v>
          </cell>
          <cell r="I29" t="str">
            <v>Roaming</v>
          </cell>
          <cell r="J29" t="str">
            <v>Roaming</v>
          </cell>
          <cell r="K29">
            <v>358418252</v>
          </cell>
          <cell r="L29">
            <v>-15265377.585482165</v>
          </cell>
          <cell r="M29">
            <v>102990000.94817998</v>
          </cell>
          <cell r="N29">
            <v>144946611.63730219</v>
          </cell>
          <cell r="O29">
            <v>59228545</v>
          </cell>
          <cell r="P29">
            <v>61881635</v>
          </cell>
          <cell r="Q29">
            <v>164909087</v>
          </cell>
          <cell r="R29">
            <v>86448417</v>
          </cell>
          <cell r="S29">
            <v>118721427.07889223</v>
          </cell>
          <cell r="T29">
            <v>64007212.921107769</v>
          </cell>
          <cell r="U29">
            <v>43636101</v>
          </cell>
          <cell r="V29">
            <v>117305315</v>
          </cell>
          <cell r="W29">
            <v>72709458</v>
          </cell>
          <cell r="X29">
            <v>1021518433</v>
          </cell>
        </row>
        <row r="30">
          <cell r="C30">
            <v>70631200</v>
          </cell>
          <cell r="D30" t="str">
            <v>TRAVAUX TELEPH CHANGEM SIM</v>
          </cell>
          <cell r="E30">
            <v>117043659</v>
          </cell>
          <cell r="F30">
            <v>92274091</v>
          </cell>
          <cell r="G30">
            <v>97677635</v>
          </cell>
          <cell r="H30">
            <v>79971112</v>
          </cell>
          <cell r="I30" t="str">
            <v>Terminaux &amp; Kits prépayés</v>
          </cell>
          <cell r="J30" t="str">
            <v>Revenu non récurrent</v>
          </cell>
          <cell r="K30">
            <v>79971112</v>
          </cell>
          <cell r="L30">
            <v>5686180</v>
          </cell>
          <cell r="M30">
            <v>1036838</v>
          </cell>
          <cell r="N30">
            <v>13222492</v>
          </cell>
          <cell r="O30">
            <v>3854559</v>
          </cell>
          <cell r="P30">
            <v>8347771</v>
          </cell>
          <cell r="Q30">
            <v>6044857</v>
          </cell>
          <cell r="R30">
            <v>6365449.5</v>
          </cell>
          <cell r="S30">
            <v>0</v>
          </cell>
          <cell r="T30">
            <v>5975805.5</v>
          </cell>
          <cell r="U30">
            <v>0</v>
          </cell>
          <cell r="V30">
            <v>8550114</v>
          </cell>
          <cell r="W30">
            <v>3428393</v>
          </cell>
          <cell r="X30">
            <v>62512459</v>
          </cell>
        </row>
        <row r="31">
          <cell r="C31">
            <v>70631300</v>
          </cell>
          <cell r="D31" t="str">
            <v>RETARD ET RETAB</v>
          </cell>
          <cell r="E31">
            <v>2147077</v>
          </cell>
          <cell r="F31">
            <v>7767073</v>
          </cell>
          <cell r="G31">
            <v>6936886</v>
          </cell>
          <cell r="H31">
            <v>4967470</v>
          </cell>
          <cell r="I31" t="str">
            <v>Postpayé Rédevance</v>
          </cell>
          <cell r="J31" t="str">
            <v>Revenu Sortant</v>
          </cell>
          <cell r="K31">
            <v>4967470</v>
          </cell>
          <cell r="L31">
            <v>1021626</v>
          </cell>
          <cell r="M31">
            <v>-823935</v>
          </cell>
          <cell r="N31">
            <v>606904</v>
          </cell>
          <cell r="O31">
            <v>1604312</v>
          </cell>
          <cell r="P31">
            <v>-662118</v>
          </cell>
          <cell r="Q31">
            <v>434096</v>
          </cell>
          <cell r="R31">
            <v>363480.83333333331</v>
          </cell>
          <cell r="S31">
            <v>0</v>
          </cell>
          <cell r="T31">
            <v>1191973.1666666665</v>
          </cell>
          <cell r="U31">
            <v>0</v>
          </cell>
          <cell r="V31">
            <v>2582202</v>
          </cell>
          <cell r="W31">
            <v>1492944</v>
          </cell>
          <cell r="X31">
            <v>7811485</v>
          </cell>
        </row>
        <row r="32">
          <cell r="C32">
            <v>70631400</v>
          </cell>
          <cell r="D32" t="str">
            <v>DETAIL DE COMM</v>
          </cell>
          <cell r="F32">
            <v>8407952</v>
          </cell>
          <cell r="G32">
            <v>9300939</v>
          </cell>
          <cell r="H32">
            <v>8130900</v>
          </cell>
          <cell r="I32" t="str">
            <v>Postpayé Rédevance</v>
          </cell>
          <cell r="J32" t="str">
            <v>Revenu Sortant</v>
          </cell>
          <cell r="K32">
            <v>8130900</v>
          </cell>
          <cell r="L32">
            <v>0</v>
          </cell>
          <cell r="M32">
            <v>865144</v>
          </cell>
          <cell r="N32">
            <v>1024068</v>
          </cell>
          <cell r="O32">
            <v>0</v>
          </cell>
          <cell r="P32">
            <v>1167578</v>
          </cell>
          <cell r="Q32">
            <v>480973</v>
          </cell>
          <cell r="R32">
            <v>589627.16666666663</v>
          </cell>
          <cell r="S32">
            <v>0</v>
          </cell>
          <cell r="T32">
            <v>63945.833333333489</v>
          </cell>
          <cell r="U32">
            <v>0</v>
          </cell>
          <cell r="V32">
            <v>1115168</v>
          </cell>
          <cell r="W32">
            <v>863032</v>
          </cell>
          <cell r="X32">
            <v>6169536</v>
          </cell>
        </row>
        <row r="33">
          <cell r="C33">
            <v>70631500</v>
          </cell>
          <cell r="D33" t="str">
            <v>TRAVAUX DE CESSION</v>
          </cell>
          <cell r="F33">
            <v>770848</v>
          </cell>
          <cell r="G33">
            <v>609468</v>
          </cell>
          <cell r="H33">
            <v>335520</v>
          </cell>
          <cell r="I33" t="str">
            <v>Postpayé Rédevance</v>
          </cell>
          <cell r="J33" t="str">
            <v>Revenu Sortant</v>
          </cell>
          <cell r="K33">
            <v>335520</v>
          </cell>
          <cell r="L33">
            <v>0</v>
          </cell>
          <cell r="M33">
            <v>26576</v>
          </cell>
          <cell r="N33">
            <v>36779</v>
          </cell>
          <cell r="O33">
            <v>0</v>
          </cell>
          <cell r="P33">
            <v>35128</v>
          </cell>
          <cell r="Q33">
            <v>0</v>
          </cell>
          <cell r="R33">
            <v>19696.599999999999</v>
          </cell>
          <cell r="S33">
            <v>0</v>
          </cell>
          <cell r="T33">
            <v>-4249.6000000000058</v>
          </cell>
          <cell r="U33">
            <v>0</v>
          </cell>
          <cell r="V33">
            <v>25847</v>
          </cell>
          <cell r="W33">
            <v>0</v>
          </cell>
          <cell r="X33">
            <v>139777</v>
          </cell>
        </row>
        <row r="34">
          <cell r="C34">
            <v>70631600</v>
          </cell>
          <cell r="D34" t="str">
            <v>GFU TEMPORAIRE</v>
          </cell>
          <cell r="F34">
            <v>142373</v>
          </cell>
          <cell r="G34">
            <v>0</v>
          </cell>
          <cell r="H34">
            <v>0</v>
          </cell>
          <cell r="I34" t="str">
            <v>Postpayé Rédevance</v>
          </cell>
          <cell r="J34" t="str">
            <v>Revenu Sortant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C35">
            <v>70641100</v>
          </cell>
          <cell r="D35" t="str">
            <v>INTERCONNEXION ONATEL</v>
          </cell>
          <cell r="E35">
            <v>4217498880</v>
          </cell>
          <cell r="F35">
            <v>4075299050</v>
          </cell>
          <cell r="G35">
            <v>4582479537</v>
          </cell>
          <cell r="H35">
            <v>4402575450</v>
          </cell>
          <cell r="I35" t="str">
            <v>interco</v>
          </cell>
          <cell r="J35" t="str">
            <v>Revenu Entrant</v>
          </cell>
          <cell r="K35">
            <v>4402575450</v>
          </cell>
          <cell r="L35">
            <v>453214350</v>
          </cell>
          <cell r="M35">
            <v>409354900</v>
          </cell>
          <cell r="N35">
            <v>502103100</v>
          </cell>
          <cell r="O35">
            <v>550447700</v>
          </cell>
          <cell r="P35">
            <v>473573850</v>
          </cell>
          <cell r="Q35">
            <v>335749800</v>
          </cell>
          <cell r="R35">
            <v>344539400</v>
          </cell>
          <cell r="S35">
            <v>349437050</v>
          </cell>
          <cell r="T35">
            <v>505243745</v>
          </cell>
          <cell r="U35">
            <v>299556390</v>
          </cell>
          <cell r="V35">
            <v>280568795</v>
          </cell>
          <cell r="W35">
            <v>686507750</v>
          </cell>
          <cell r="X35">
            <v>5190296830</v>
          </cell>
        </row>
        <row r="36">
          <cell r="C36">
            <v>70641200</v>
          </cell>
          <cell r="D36" t="str">
            <v>INTERCONNEXION CELTEL</v>
          </cell>
          <cell r="E36">
            <v>815024130</v>
          </cell>
          <cell r="F36">
            <v>1028851925</v>
          </cell>
          <cell r="G36">
            <v>1449166529</v>
          </cell>
          <cell r="H36">
            <v>1520650770</v>
          </cell>
          <cell r="I36" t="str">
            <v>interco</v>
          </cell>
          <cell r="J36" t="str">
            <v>Revenu Entrant</v>
          </cell>
          <cell r="K36">
            <v>1520650770</v>
          </cell>
          <cell r="L36">
            <v>127019015</v>
          </cell>
          <cell r="M36">
            <v>112322255</v>
          </cell>
          <cell r="N36">
            <v>82381365</v>
          </cell>
          <cell r="O36">
            <v>154484195</v>
          </cell>
          <cell r="P36">
            <v>129765630</v>
          </cell>
          <cell r="Q36">
            <v>97070585</v>
          </cell>
          <cell r="R36">
            <v>325383485</v>
          </cell>
          <cell r="S36">
            <v>94251655</v>
          </cell>
          <cell r="T36">
            <v>229183715</v>
          </cell>
          <cell r="U36">
            <v>113641830</v>
          </cell>
          <cell r="V36">
            <v>242968125</v>
          </cell>
          <cell r="W36">
            <v>126814465</v>
          </cell>
          <cell r="X36">
            <v>1835286320</v>
          </cell>
        </row>
        <row r="37">
          <cell r="C37">
            <v>70641300</v>
          </cell>
          <cell r="D37" t="str">
            <v>INTERCONNEXION TELECEL</v>
          </cell>
          <cell r="E37">
            <v>298798110</v>
          </cell>
          <cell r="F37">
            <v>369221140</v>
          </cell>
          <cell r="G37">
            <v>1027788525</v>
          </cell>
          <cell r="H37">
            <v>1444668445</v>
          </cell>
          <cell r="I37" t="str">
            <v>interco</v>
          </cell>
          <cell r="J37" t="str">
            <v>Revenu Entrant</v>
          </cell>
          <cell r="K37">
            <v>1444668445</v>
          </cell>
          <cell r="L37">
            <v>129558005</v>
          </cell>
          <cell r="M37">
            <v>113753330</v>
          </cell>
          <cell r="N37">
            <v>223597930</v>
          </cell>
          <cell r="O37">
            <v>47177275</v>
          </cell>
          <cell r="P37">
            <v>257235815</v>
          </cell>
          <cell r="Q37">
            <v>170027615</v>
          </cell>
          <cell r="R37">
            <v>156201595</v>
          </cell>
          <cell r="S37">
            <v>148604940</v>
          </cell>
          <cell r="T37">
            <v>133299785</v>
          </cell>
          <cell r="U37">
            <v>108274740</v>
          </cell>
          <cell r="V37">
            <v>159888565</v>
          </cell>
          <cell r="W37">
            <v>172376135</v>
          </cell>
          <cell r="X37">
            <v>1819995730</v>
          </cell>
        </row>
        <row r="38">
          <cell r="C38">
            <v>70651100</v>
          </cell>
          <cell r="D38" t="str">
            <v>LOCATIONS ET CO - ONATEL</v>
          </cell>
          <cell r="F38">
            <v>92957927</v>
          </cell>
          <cell r="G38">
            <v>153411686</v>
          </cell>
          <cell r="H38">
            <v>179415852</v>
          </cell>
          <cell r="I38" t="str">
            <v>colocation</v>
          </cell>
          <cell r="J38" t="str">
            <v>Revenu Entrant</v>
          </cell>
          <cell r="K38">
            <v>179415852</v>
          </cell>
          <cell r="L38">
            <v>26680380</v>
          </cell>
          <cell r="M38">
            <v>28655380</v>
          </cell>
          <cell r="N38">
            <v>56473625</v>
          </cell>
          <cell r="O38">
            <v>31204695</v>
          </cell>
          <cell r="P38">
            <v>13009395</v>
          </cell>
          <cell r="Q38">
            <v>31204695</v>
          </cell>
          <cell r="R38">
            <v>31204695</v>
          </cell>
          <cell r="S38">
            <v>31204695</v>
          </cell>
          <cell r="T38">
            <v>31204695</v>
          </cell>
          <cell r="U38">
            <v>31204695</v>
          </cell>
          <cell r="V38">
            <v>30359695</v>
          </cell>
          <cell r="W38">
            <v>31204695</v>
          </cell>
          <cell r="X38">
            <v>373611340</v>
          </cell>
        </row>
        <row r="39">
          <cell r="C39">
            <v>70651300</v>
          </cell>
          <cell r="D39" t="str">
            <v>LOCATIONS ET CO - TELECEL</v>
          </cell>
          <cell r="E39">
            <v>50981280</v>
          </cell>
          <cell r="F39">
            <v>50544454</v>
          </cell>
          <cell r="G39">
            <v>88735111</v>
          </cell>
          <cell r="H39">
            <v>86275388</v>
          </cell>
          <cell r="I39" t="str">
            <v>colocation</v>
          </cell>
          <cell r="J39" t="str">
            <v>Revenu Entrant</v>
          </cell>
          <cell r="K39">
            <v>86275388</v>
          </cell>
          <cell r="L39">
            <v>5476074</v>
          </cell>
          <cell r="M39">
            <v>5476074</v>
          </cell>
          <cell r="N39">
            <v>5476074</v>
          </cell>
          <cell r="O39">
            <v>5476074</v>
          </cell>
          <cell r="P39">
            <v>7829481</v>
          </cell>
          <cell r="Q39">
            <v>7796995</v>
          </cell>
          <cell r="R39">
            <v>6255128.666666667</v>
          </cell>
          <cell r="S39">
            <v>6920422</v>
          </cell>
          <cell r="T39">
            <v>7109395.3333333358</v>
          </cell>
          <cell r="U39">
            <v>6761648.6666666679</v>
          </cell>
          <cell r="V39">
            <v>4352877.3333333284</v>
          </cell>
          <cell r="W39">
            <v>5382263</v>
          </cell>
          <cell r="X39">
            <v>74312507</v>
          </cell>
        </row>
        <row r="42">
          <cell r="D42" t="str">
            <v>TOTAL 706</v>
          </cell>
          <cell r="E42">
            <v>10070014358</v>
          </cell>
          <cell r="F42">
            <v>11559422396</v>
          </cell>
          <cell r="G42">
            <v>14063975736</v>
          </cell>
          <cell r="H42">
            <v>14099170964</v>
          </cell>
          <cell r="K42">
            <v>14099170964</v>
          </cell>
          <cell r="L42">
            <v>1370584169.4145179</v>
          </cell>
          <cell r="M42">
            <v>1344534938.94818</v>
          </cell>
          <cell r="N42">
            <v>1638929089.6373022</v>
          </cell>
          <cell r="O42">
            <v>1547604869</v>
          </cell>
          <cell r="P42">
            <v>1610425567</v>
          </cell>
          <cell r="Q42">
            <v>1478135762</v>
          </cell>
          <cell r="R42">
            <v>1620896418.7666667</v>
          </cell>
          <cell r="S42">
            <v>1383325991.0788922</v>
          </cell>
          <cell r="T42">
            <v>1634991085.1544411</v>
          </cell>
          <cell r="U42">
            <v>1251333886.6666667</v>
          </cell>
          <cell r="V42">
            <v>1524605155.3333333</v>
          </cell>
          <cell r="W42">
            <v>1791927252</v>
          </cell>
          <cell r="X42">
            <v>18197294185</v>
          </cell>
        </row>
        <row r="43">
          <cell r="C43">
            <v>70720000</v>
          </cell>
          <cell r="D43" t="str">
            <v>COMMISSIONS ET COURTAGE</v>
          </cell>
          <cell r="H43">
            <v>29901693</v>
          </cell>
          <cell r="I43" t="str">
            <v>CA-autre produits</v>
          </cell>
          <cell r="J43" t="str">
            <v>Revenu non récurrent</v>
          </cell>
          <cell r="K43">
            <v>29901693</v>
          </cell>
          <cell r="L43">
            <v>1935677</v>
          </cell>
          <cell r="M43">
            <v>0</v>
          </cell>
          <cell r="N43">
            <v>20560452</v>
          </cell>
          <cell r="O43">
            <v>0</v>
          </cell>
          <cell r="P43">
            <v>17857874</v>
          </cell>
          <cell r="Q43">
            <v>8698992</v>
          </cell>
          <cell r="R43">
            <v>8175499.166666667</v>
          </cell>
          <cell r="S43">
            <v>0</v>
          </cell>
          <cell r="T43">
            <v>13898464.833333336</v>
          </cell>
          <cell r="U43">
            <v>7357988.0000000009</v>
          </cell>
          <cell r="V43">
            <v>6261451</v>
          </cell>
          <cell r="W43">
            <v>8768785</v>
          </cell>
          <cell r="X43">
            <v>93515183</v>
          </cell>
        </row>
        <row r="44">
          <cell r="L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L45">
            <v>0</v>
          </cell>
          <cell r="X45">
            <v>0</v>
          </cell>
        </row>
        <row r="46">
          <cell r="D46" t="str">
            <v>TOTAL 707</v>
          </cell>
          <cell r="E46">
            <v>0</v>
          </cell>
          <cell r="F46">
            <v>0</v>
          </cell>
          <cell r="G46">
            <v>0</v>
          </cell>
          <cell r="H46">
            <v>29901693</v>
          </cell>
          <cell r="K46">
            <v>29901693</v>
          </cell>
          <cell r="L46">
            <v>1935677</v>
          </cell>
          <cell r="M46">
            <v>0</v>
          </cell>
          <cell r="N46">
            <v>20560452</v>
          </cell>
          <cell r="O46">
            <v>0</v>
          </cell>
          <cell r="P46">
            <v>17857874</v>
          </cell>
          <cell r="Q46">
            <v>8698992</v>
          </cell>
          <cell r="R46">
            <v>8175499.166666667</v>
          </cell>
          <cell r="S46">
            <v>0</v>
          </cell>
          <cell r="T46">
            <v>13898464.833333336</v>
          </cell>
          <cell r="U46">
            <v>7357988.0000000009</v>
          </cell>
          <cell r="V46">
            <v>6261451</v>
          </cell>
          <cell r="W46">
            <v>8768785</v>
          </cell>
          <cell r="X46">
            <v>93515183</v>
          </cell>
        </row>
        <row r="47">
          <cell r="D47" t="str">
            <v>TOTAL 70    -     CHIFFRE D'AFFAIRES</v>
          </cell>
          <cell r="E47">
            <v>25368864002</v>
          </cell>
          <cell r="F47">
            <v>32220453766</v>
          </cell>
          <cell r="G47">
            <v>39633527711</v>
          </cell>
          <cell r="H47">
            <v>48561302898</v>
          </cell>
          <cell r="K47">
            <v>48561302898</v>
          </cell>
          <cell r="L47">
            <v>4833296653.3945179</v>
          </cell>
          <cell r="M47">
            <v>4777402857.3541317</v>
          </cell>
          <cell r="N47">
            <v>5386357969.2513504</v>
          </cell>
          <cell r="O47">
            <v>5609377669.9200001</v>
          </cell>
          <cell r="P47">
            <v>5209798939.0799999</v>
          </cell>
          <cell r="Q47">
            <v>5557505011</v>
          </cell>
          <cell r="R47">
            <v>5439631220.6000013</v>
          </cell>
          <cell r="S47">
            <v>5269136118.5788927</v>
          </cell>
          <cell r="T47">
            <v>5512646876.8211079</v>
          </cell>
          <cell r="U47">
            <v>5463854340.333333</v>
          </cell>
          <cell r="V47">
            <v>5259468346.666667</v>
          </cell>
          <cell r="W47">
            <v>6552821959</v>
          </cell>
          <cell r="X47">
            <v>64871297962</v>
          </cell>
        </row>
        <row r="49">
          <cell r="C49" t="str">
            <v>75850000 A</v>
          </cell>
          <cell r="D49" t="str">
            <v>PRODUITS DIVERS</v>
          </cell>
          <cell r="E49">
            <v>321948677</v>
          </cell>
          <cell r="F49">
            <v>196738867</v>
          </cell>
          <cell r="G49">
            <v>60459994</v>
          </cell>
          <cell r="H49">
            <v>160929014</v>
          </cell>
          <cell r="I49" t="str">
            <v>FG</v>
          </cell>
          <cell r="J49" t="str">
            <v>Opex4</v>
          </cell>
          <cell r="K49">
            <v>160929014</v>
          </cell>
          <cell r="L49">
            <v>0</v>
          </cell>
          <cell r="M49">
            <v>1</v>
          </cell>
          <cell r="N49">
            <v>791401</v>
          </cell>
          <cell r="O49">
            <v>0</v>
          </cell>
          <cell r="P49">
            <v>5773757</v>
          </cell>
          <cell r="Q49">
            <v>25542567</v>
          </cell>
          <cell r="R49">
            <v>2648214</v>
          </cell>
          <cell r="S49">
            <v>0</v>
          </cell>
          <cell r="T49">
            <v>34356226</v>
          </cell>
          <cell r="U49">
            <v>0</v>
          </cell>
          <cell r="V49">
            <v>50449</v>
          </cell>
          <cell r="W49">
            <v>2425338</v>
          </cell>
          <cell r="X49">
            <v>71587953</v>
          </cell>
        </row>
        <row r="50">
          <cell r="C50" t="str">
            <v>75850000 B</v>
          </cell>
          <cell r="D50" t="str">
            <v>PRODUITS DIVERS</v>
          </cell>
          <cell r="E50">
            <v>321948677</v>
          </cell>
          <cell r="F50">
            <v>196738867</v>
          </cell>
          <cell r="G50">
            <v>60459994</v>
          </cell>
          <cell r="H50">
            <v>160929014</v>
          </cell>
          <cell r="I50" t="str">
            <v>CA-autre produits</v>
          </cell>
          <cell r="J50" t="str">
            <v>Revenu non récurrent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C51">
            <v>75860000</v>
          </cell>
          <cell r="D51" t="str">
            <v>PENALITE DE RETARD SUR MARCHE</v>
          </cell>
          <cell r="H51">
            <v>179283606</v>
          </cell>
          <cell r="I51" t="str">
            <v>CREANCE</v>
          </cell>
          <cell r="J51" t="str">
            <v>Opex7</v>
          </cell>
          <cell r="K51">
            <v>179283606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3">
          <cell r="D53" t="str">
            <v>TOTAL 758</v>
          </cell>
          <cell r="E53">
            <v>643897354</v>
          </cell>
          <cell r="F53">
            <v>393477734</v>
          </cell>
          <cell r="G53">
            <v>120919988</v>
          </cell>
          <cell r="H53">
            <v>501141634</v>
          </cell>
          <cell r="K53">
            <v>340212620</v>
          </cell>
          <cell r="L53">
            <v>0</v>
          </cell>
          <cell r="M53">
            <v>1</v>
          </cell>
          <cell r="N53">
            <v>791401</v>
          </cell>
          <cell r="O53">
            <v>0</v>
          </cell>
          <cell r="P53">
            <v>5773757</v>
          </cell>
          <cell r="Q53">
            <v>25542567</v>
          </cell>
          <cell r="R53">
            <v>2648214</v>
          </cell>
          <cell r="S53">
            <v>0</v>
          </cell>
          <cell r="T53">
            <v>34356226</v>
          </cell>
          <cell r="U53">
            <v>0</v>
          </cell>
          <cell r="V53">
            <v>50449</v>
          </cell>
          <cell r="W53">
            <v>2425338</v>
          </cell>
          <cell r="X53">
            <v>71587953</v>
          </cell>
        </row>
        <row r="55">
          <cell r="C55">
            <v>75900000</v>
          </cell>
          <cell r="D55" t="str">
            <v>REPRISE SUR PROV CREANCE</v>
          </cell>
          <cell r="E55">
            <v>154167989</v>
          </cell>
          <cell r="F55">
            <v>127652244</v>
          </cell>
          <cell r="G55">
            <v>451610469</v>
          </cell>
          <cell r="H55">
            <v>1235418675</v>
          </cell>
          <cell r="I55" t="str">
            <v>CREANCE</v>
          </cell>
          <cell r="J55" t="str">
            <v>Opex7</v>
          </cell>
          <cell r="K55">
            <v>1235418675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4930072</v>
          </cell>
          <cell r="R55">
            <v>0</v>
          </cell>
          <cell r="S55">
            <v>0</v>
          </cell>
          <cell r="T55">
            <v>287331414</v>
          </cell>
          <cell r="U55">
            <v>0</v>
          </cell>
          <cell r="V55">
            <v>-292261486</v>
          </cell>
          <cell r="W55">
            <v>281523187</v>
          </cell>
          <cell r="X55">
            <v>281523187</v>
          </cell>
        </row>
        <row r="56">
          <cell r="C56">
            <v>75930000</v>
          </cell>
          <cell r="D56" t="str">
            <v>REPRISE SUR PROV STOCK</v>
          </cell>
          <cell r="F56">
            <v>45704976</v>
          </cell>
          <cell r="G56">
            <v>257692479</v>
          </cell>
          <cell r="H56">
            <v>342756144</v>
          </cell>
          <cell r="I56" t="str">
            <v>Coût des terminaux</v>
          </cell>
          <cell r="J56" t="str">
            <v>CV</v>
          </cell>
          <cell r="K56">
            <v>342756144</v>
          </cell>
          <cell r="L56">
            <v>0</v>
          </cell>
          <cell r="M56">
            <v>0</v>
          </cell>
          <cell r="N56">
            <v>576207893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576207893</v>
          </cell>
        </row>
        <row r="57">
          <cell r="C57">
            <v>75950000</v>
          </cell>
          <cell r="D57" t="str">
            <v>REPRISE DE CHARGEE PROVISIONNEES SUR PERSONNEL</v>
          </cell>
          <cell r="H57">
            <v>83366476</v>
          </cell>
          <cell r="I57" t="str">
            <v>PERS</v>
          </cell>
          <cell r="J57" t="str">
            <v>Opex1</v>
          </cell>
          <cell r="K57">
            <v>83366476</v>
          </cell>
          <cell r="L57">
            <v>0</v>
          </cell>
          <cell r="M57">
            <v>0</v>
          </cell>
          <cell r="N57">
            <v>41752212</v>
          </cell>
          <cell r="O57">
            <v>0</v>
          </cell>
          <cell r="P57">
            <v>-9450000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-32302212</v>
          </cell>
          <cell r="X57">
            <v>0</v>
          </cell>
        </row>
        <row r="60">
          <cell r="D60" t="str">
            <v>TOTAL 759</v>
          </cell>
          <cell r="E60">
            <v>154167989</v>
          </cell>
          <cell r="F60">
            <v>173357220</v>
          </cell>
          <cell r="G60">
            <v>709302948</v>
          </cell>
          <cell r="H60">
            <v>1661541295</v>
          </cell>
          <cell r="K60">
            <v>1661541295</v>
          </cell>
          <cell r="L60">
            <v>0</v>
          </cell>
          <cell r="M60">
            <v>0</v>
          </cell>
          <cell r="N60">
            <v>617960105</v>
          </cell>
          <cell r="O60">
            <v>0</v>
          </cell>
          <cell r="P60">
            <v>-9450000</v>
          </cell>
          <cell r="Q60">
            <v>4930072</v>
          </cell>
          <cell r="R60">
            <v>0</v>
          </cell>
          <cell r="S60">
            <v>0</v>
          </cell>
          <cell r="T60">
            <v>287331414</v>
          </cell>
          <cell r="U60">
            <v>0</v>
          </cell>
          <cell r="V60">
            <v>-292261486</v>
          </cell>
          <cell r="W60">
            <v>249220975</v>
          </cell>
          <cell r="X60">
            <v>857731080</v>
          </cell>
        </row>
        <row r="61">
          <cell r="D61" t="str">
            <v>TOTAL 75</v>
          </cell>
          <cell r="E61">
            <v>798065343</v>
          </cell>
          <cell r="F61">
            <v>566834954</v>
          </cell>
          <cell r="G61">
            <v>830222936</v>
          </cell>
          <cell r="H61">
            <v>2162682929</v>
          </cell>
          <cell r="K61">
            <v>2001753915</v>
          </cell>
          <cell r="L61">
            <v>0</v>
          </cell>
          <cell r="M61">
            <v>1</v>
          </cell>
          <cell r="N61">
            <v>618751506</v>
          </cell>
          <cell r="O61">
            <v>0</v>
          </cell>
          <cell r="P61">
            <v>-3676243</v>
          </cell>
          <cell r="Q61">
            <v>30472639</v>
          </cell>
          <cell r="R61">
            <v>2648214</v>
          </cell>
          <cell r="S61">
            <v>0</v>
          </cell>
          <cell r="T61">
            <v>321687640</v>
          </cell>
          <cell r="U61">
            <v>0</v>
          </cell>
          <cell r="V61">
            <v>-292211037</v>
          </cell>
          <cell r="W61">
            <v>251646313</v>
          </cell>
          <cell r="X61">
            <v>929319033</v>
          </cell>
        </row>
        <row r="63">
          <cell r="C63">
            <v>77310000</v>
          </cell>
          <cell r="D63" t="str">
            <v>ESCOMPTE OBTENUS</v>
          </cell>
          <cell r="G63">
            <v>33306250</v>
          </cell>
          <cell r="H63">
            <v>2492161</v>
          </cell>
          <cell r="I63" t="str">
            <v>Prod Fi</v>
          </cell>
          <cell r="J63" t="str">
            <v>Résultat Financier</v>
          </cell>
          <cell r="K63">
            <v>2492161</v>
          </cell>
          <cell r="L63">
            <v>598694</v>
          </cell>
          <cell r="M63">
            <v>-598694</v>
          </cell>
          <cell r="N63">
            <v>730463</v>
          </cell>
          <cell r="O63">
            <v>0</v>
          </cell>
          <cell r="P63">
            <v>0</v>
          </cell>
          <cell r="Q63">
            <v>40949</v>
          </cell>
          <cell r="R63">
            <v>80800</v>
          </cell>
          <cell r="S63">
            <v>0</v>
          </cell>
          <cell r="T63">
            <v>281746</v>
          </cell>
          <cell r="U63">
            <v>0</v>
          </cell>
          <cell r="V63">
            <v>620222</v>
          </cell>
          <cell r="W63">
            <v>0</v>
          </cell>
          <cell r="X63">
            <v>1754180</v>
          </cell>
        </row>
        <row r="64">
          <cell r="C64">
            <v>77820000</v>
          </cell>
          <cell r="D64" t="str">
            <v>GAIN SUR OPERATION FIANCIERE</v>
          </cell>
          <cell r="H64">
            <v>3045565</v>
          </cell>
          <cell r="I64" t="str">
            <v>Prod Fi</v>
          </cell>
          <cell r="J64" t="str">
            <v>Résultat Financier</v>
          </cell>
          <cell r="K64">
            <v>3045565</v>
          </cell>
          <cell r="L64">
            <v>3045565</v>
          </cell>
          <cell r="M64">
            <v>-3045565</v>
          </cell>
          <cell r="N64">
            <v>3511009</v>
          </cell>
          <cell r="O64">
            <v>0</v>
          </cell>
          <cell r="P64">
            <v>0</v>
          </cell>
          <cell r="Q64">
            <v>3528542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7039551</v>
          </cell>
        </row>
        <row r="65">
          <cell r="C65">
            <v>77521000</v>
          </cell>
          <cell r="D65" t="str">
            <v>INTERET DAT</v>
          </cell>
          <cell r="E65">
            <v>745863</v>
          </cell>
          <cell r="F65">
            <v>25877482</v>
          </cell>
          <cell r="G65">
            <v>31846957</v>
          </cell>
          <cell r="H65">
            <v>7993870</v>
          </cell>
          <cell r="I65" t="str">
            <v>Prod Fi</v>
          </cell>
          <cell r="J65" t="str">
            <v>Résultat Financier</v>
          </cell>
          <cell r="K65">
            <v>7993870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C66">
            <v>77610000</v>
          </cell>
          <cell r="D66" t="str">
            <v>GAIN DE CHANGE</v>
          </cell>
          <cell r="E66">
            <v>2505114</v>
          </cell>
          <cell r="F66">
            <v>329271</v>
          </cell>
          <cell r="G66">
            <v>38091368</v>
          </cell>
          <cell r="H66">
            <v>133029213</v>
          </cell>
          <cell r="I66" t="str">
            <v>Prod Fi</v>
          </cell>
          <cell r="J66" t="str">
            <v>Résultat Financier</v>
          </cell>
          <cell r="K66">
            <v>133029213</v>
          </cell>
          <cell r="L66">
            <v>-1310279</v>
          </cell>
          <cell r="M66">
            <v>1310279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1540000</v>
          </cell>
          <cell r="U66">
            <v>0</v>
          </cell>
          <cell r="V66">
            <v>0</v>
          </cell>
          <cell r="W66">
            <v>-1000500</v>
          </cell>
          <cell r="X66">
            <v>539500</v>
          </cell>
        </row>
        <row r="67">
          <cell r="C67">
            <v>77970000</v>
          </cell>
          <cell r="D67" t="str">
            <v>REPRISE DE CHARGES PROVISIONNEES FINANCIERES/BANQUE</v>
          </cell>
          <cell r="I67" t="str">
            <v>Prod Fi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61521165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61521165</v>
          </cell>
        </row>
        <row r="69">
          <cell r="D69" t="str">
            <v>TOTAL 77</v>
          </cell>
          <cell r="E69">
            <v>3250977</v>
          </cell>
          <cell r="F69">
            <v>26206753</v>
          </cell>
          <cell r="G69">
            <v>103244575</v>
          </cell>
          <cell r="H69">
            <v>146560809</v>
          </cell>
          <cell r="K69">
            <v>146560809</v>
          </cell>
          <cell r="L69">
            <v>2333980</v>
          </cell>
          <cell r="M69">
            <v>-2333980</v>
          </cell>
          <cell r="N69">
            <v>4241472</v>
          </cell>
          <cell r="O69">
            <v>0</v>
          </cell>
          <cell r="P69">
            <v>61521165</v>
          </cell>
          <cell r="Q69">
            <v>3569491</v>
          </cell>
          <cell r="R69">
            <v>80800</v>
          </cell>
          <cell r="S69">
            <v>0</v>
          </cell>
          <cell r="T69">
            <v>1821746</v>
          </cell>
          <cell r="U69">
            <v>0</v>
          </cell>
          <cell r="V69">
            <v>620222</v>
          </cell>
          <cell r="W69">
            <v>-1000500</v>
          </cell>
          <cell r="X69">
            <v>70854396</v>
          </cell>
        </row>
        <row r="71">
          <cell r="C71">
            <v>78100000</v>
          </cell>
          <cell r="D71" t="str">
            <v>TRANSFERTS DE CHARGE</v>
          </cell>
          <cell r="E71">
            <v>112438158</v>
          </cell>
          <cell r="F71">
            <v>156492242</v>
          </cell>
          <cell r="G71">
            <v>166012040</v>
          </cell>
          <cell r="H71">
            <v>175933992</v>
          </cell>
          <cell r="I71" t="str">
            <v>FG</v>
          </cell>
          <cell r="J71" t="str">
            <v>Opex4</v>
          </cell>
          <cell r="K71">
            <v>175933992</v>
          </cell>
          <cell r="L71">
            <v>29872803</v>
          </cell>
          <cell r="M71">
            <v>1609048</v>
          </cell>
          <cell r="N71">
            <v>16309282</v>
          </cell>
          <cell r="O71">
            <v>0</v>
          </cell>
          <cell r="P71">
            <v>33082705</v>
          </cell>
          <cell r="Q71">
            <v>15649101</v>
          </cell>
          <cell r="R71">
            <v>0</v>
          </cell>
          <cell r="S71">
            <v>0</v>
          </cell>
          <cell r="T71">
            <v>31827014</v>
          </cell>
          <cell r="U71">
            <v>0</v>
          </cell>
          <cell r="V71">
            <v>47189501</v>
          </cell>
          <cell r="W71">
            <v>15949559</v>
          </cell>
          <cell r="X71">
            <v>191489013</v>
          </cell>
        </row>
        <row r="72">
          <cell r="C72">
            <v>78110000</v>
          </cell>
          <cell r="D72" t="str">
            <v xml:space="preserve">TRANSFERTS DE CHARGE </v>
          </cell>
          <cell r="I72" t="str">
            <v>Pers</v>
          </cell>
          <cell r="N72">
            <v>8481139</v>
          </cell>
          <cell r="O72">
            <v>0</v>
          </cell>
          <cell r="P72">
            <v>0</v>
          </cell>
          <cell r="Q72">
            <v>14543784</v>
          </cell>
          <cell r="R72">
            <v>0</v>
          </cell>
          <cell r="S72">
            <v>0</v>
          </cell>
          <cell r="T72">
            <v>-23024923</v>
          </cell>
          <cell r="U72">
            <v>0</v>
          </cell>
          <cell r="V72">
            <v>0</v>
          </cell>
          <cell r="W72">
            <v>41634575</v>
          </cell>
          <cell r="X72">
            <v>41634575</v>
          </cell>
        </row>
        <row r="74">
          <cell r="D74" t="str">
            <v>TOTAL 78</v>
          </cell>
          <cell r="E74">
            <v>112438158</v>
          </cell>
          <cell r="F74">
            <v>156492242</v>
          </cell>
          <cell r="G74">
            <v>166012040</v>
          </cell>
          <cell r="H74">
            <v>175933992</v>
          </cell>
          <cell r="K74">
            <v>175933992</v>
          </cell>
          <cell r="L74">
            <v>29872803</v>
          </cell>
          <cell r="M74">
            <v>1609048</v>
          </cell>
          <cell r="N74">
            <v>24790421</v>
          </cell>
          <cell r="O74">
            <v>0</v>
          </cell>
          <cell r="P74">
            <v>33082705</v>
          </cell>
          <cell r="Q74">
            <v>30192885</v>
          </cell>
          <cell r="R74">
            <v>0</v>
          </cell>
          <cell r="S74">
            <v>0</v>
          </cell>
          <cell r="T74">
            <v>8802091</v>
          </cell>
          <cell r="U74">
            <v>0</v>
          </cell>
          <cell r="V74">
            <v>47189501</v>
          </cell>
          <cell r="W74">
            <v>57584134</v>
          </cell>
          <cell r="X74">
            <v>233123588</v>
          </cell>
        </row>
        <row r="75">
          <cell r="D75" t="str">
            <v>TOTAL PRODUITS</v>
          </cell>
          <cell r="E75">
            <v>26282618480</v>
          </cell>
          <cell r="F75">
            <v>32969987715</v>
          </cell>
          <cell r="G75">
            <v>40733007262</v>
          </cell>
          <cell r="H75">
            <v>51046480628</v>
          </cell>
          <cell r="K75">
            <v>50885551614</v>
          </cell>
          <cell r="L75">
            <v>4865503436.3945179</v>
          </cell>
          <cell r="M75">
            <v>4776677926.3541317</v>
          </cell>
          <cell r="N75">
            <v>6034141368.2513504</v>
          </cell>
          <cell r="O75">
            <v>5609377669.9200001</v>
          </cell>
          <cell r="P75">
            <v>5300726566.0799999</v>
          </cell>
          <cell r="Q75">
            <v>5621740026</v>
          </cell>
          <cell r="R75">
            <v>5442360234.6000013</v>
          </cell>
          <cell r="S75">
            <v>5269136118.5788927</v>
          </cell>
          <cell r="T75">
            <v>5844958353.8211079</v>
          </cell>
          <cell r="U75">
            <v>5463854340.333333</v>
          </cell>
          <cell r="V75">
            <v>5015067032.666667</v>
          </cell>
          <cell r="W75">
            <v>6861051906</v>
          </cell>
          <cell r="X75">
            <v>66104594979</v>
          </cell>
        </row>
        <row r="77">
          <cell r="D77" t="str">
            <v>CHARGES</v>
          </cell>
        </row>
        <row r="79">
          <cell r="C79">
            <v>60100000</v>
          </cell>
          <cell r="D79" t="str">
            <v>REPRISES STOCKS ONATEL</v>
          </cell>
          <cell r="F79">
            <v>45551932</v>
          </cell>
          <cell r="G79">
            <v>0</v>
          </cell>
          <cell r="H79">
            <v>0</v>
          </cell>
          <cell r="I79" t="str">
            <v>Coût des terminaux</v>
          </cell>
          <cell r="J79" t="str">
            <v>CV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C80">
            <v>60111000</v>
          </cell>
          <cell r="D80" t="str">
            <v xml:space="preserve">ACHAT TERMINAUX </v>
          </cell>
          <cell r="F80">
            <v>618053100</v>
          </cell>
          <cell r="G80">
            <v>37543500</v>
          </cell>
          <cell r="H80">
            <v>121535864</v>
          </cell>
          <cell r="I80" t="str">
            <v>Coût des terminaux</v>
          </cell>
          <cell r="J80" t="str">
            <v>CV</v>
          </cell>
          <cell r="K80">
            <v>121535864</v>
          </cell>
          <cell r="L80">
            <v>10127988.666666666</v>
          </cell>
          <cell r="M80">
            <v>47641524.333333336</v>
          </cell>
          <cell r="N80">
            <v>11840000</v>
          </cell>
          <cell r="O80">
            <v>0</v>
          </cell>
          <cell r="P80">
            <v>0</v>
          </cell>
          <cell r="Q80">
            <v>12187642</v>
          </cell>
          <cell r="R80">
            <v>13632859.166666666</v>
          </cell>
          <cell r="S80">
            <v>0</v>
          </cell>
          <cell r="T80">
            <v>15260890.833333328</v>
          </cell>
          <cell r="U80">
            <v>0</v>
          </cell>
          <cell r="V80">
            <v>122637500</v>
          </cell>
          <cell r="W80">
            <v>48750600</v>
          </cell>
          <cell r="X80">
            <v>282079005</v>
          </cell>
        </row>
        <row r="81">
          <cell r="C81">
            <v>60112000</v>
          </cell>
          <cell r="D81" t="str">
            <v>ACHATS ACCESSOI</v>
          </cell>
          <cell r="F81">
            <v>122080000</v>
          </cell>
          <cell r="G81">
            <v>0</v>
          </cell>
          <cell r="H81">
            <v>0</v>
          </cell>
          <cell r="I81" t="str">
            <v>Coût des terminaux</v>
          </cell>
          <cell r="J81" t="str">
            <v>CV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C82">
            <v>60113000</v>
          </cell>
          <cell r="D82" t="str">
            <v>ACHAT TERMINAUX GSM HORS UEMOA</v>
          </cell>
          <cell r="I82" t="str">
            <v>Coût des terminaux</v>
          </cell>
          <cell r="J82" t="str">
            <v>CV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83460480</v>
          </cell>
          <cell r="X82">
            <v>83460480</v>
          </cell>
        </row>
        <row r="83">
          <cell r="C83">
            <v>60121000</v>
          </cell>
          <cell r="D83" t="str">
            <v>ACHATS CARTES N</v>
          </cell>
          <cell r="E83">
            <v>544970333</v>
          </cell>
          <cell r="F83">
            <v>1108469995</v>
          </cell>
          <cell r="G83">
            <v>1009094507</v>
          </cell>
          <cell r="H83">
            <v>804838243</v>
          </cell>
          <cell r="I83" t="str">
            <v>Coût des terminaux</v>
          </cell>
          <cell r="J83" t="str">
            <v>CV</v>
          </cell>
          <cell r="K83">
            <v>804838243</v>
          </cell>
          <cell r="L83">
            <v>67069853.583333336</v>
          </cell>
          <cell r="M83">
            <v>8244505.4166666642</v>
          </cell>
          <cell r="N83">
            <v>150089576</v>
          </cell>
          <cell r="O83">
            <v>110011860</v>
          </cell>
          <cell r="P83">
            <v>268134232</v>
          </cell>
          <cell r="Q83">
            <v>-20561981</v>
          </cell>
          <cell r="R83">
            <v>113617000</v>
          </cell>
          <cell r="S83">
            <v>119441898</v>
          </cell>
          <cell r="T83">
            <v>93808411</v>
          </cell>
          <cell r="U83">
            <v>87767047</v>
          </cell>
          <cell r="V83">
            <v>71519635</v>
          </cell>
          <cell r="W83">
            <v>-2000000</v>
          </cell>
          <cell r="X83">
            <v>1067142037</v>
          </cell>
        </row>
        <row r="84">
          <cell r="C84">
            <v>60122000</v>
          </cell>
          <cell r="D84" t="str">
            <v>ACHATS CARTES SI</v>
          </cell>
          <cell r="E84">
            <v>201509990</v>
          </cell>
          <cell r="F84">
            <v>161995141</v>
          </cell>
          <cell r="G84">
            <v>293236699</v>
          </cell>
          <cell r="H84">
            <v>780588831</v>
          </cell>
          <cell r="I84" t="str">
            <v>Coût des terminaux</v>
          </cell>
          <cell r="J84" t="str">
            <v>CV</v>
          </cell>
          <cell r="K84">
            <v>780588831</v>
          </cell>
          <cell r="L84">
            <v>65049069.25</v>
          </cell>
          <cell r="M84">
            <v>65049068.75</v>
          </cell>
          <cell r="N84">
            <v>-130098138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118072260</v>
          </cell>
          <cell r="U84">
            <v>88554195</v>
          </cell>
          <cell r="V84">
            <v>29518065</v>
          </cell>
          <cell r="W84">
            <v>0</v>
          </cell>
          <cell r="X84">
            <v>236144520</v>
          </cell>
        </row>
        <row r="85">
          <cell r="C85">
            <v>60124000</v>
          </cell>
          <cell r="D85" t="str">
            <v>ACHATS TERMINA</v>
          </cell>
          <cell r="E85">
            <v>840085429</v>
          </cell>
          <cell r="F85">
            <v>311993</v>
          </cell>
          <cell r="G85">
            <v>0</v>
          </cell>
          <cell r="H85">
            <v>0</v>
          </cell>
          <cell r="I85" t="str">
            <v>Coût des terminaux</v>
          </cell>
          <cell r="J85" t="str">
            <v>CV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C86">
            <v>60124600</v>
          </cell>
          <cell r="D86" t="str">
            <v>DROIT DE DOUANE</v>
          </cell>
          <cell r="E86">
            <v>186664014</v>
          </cell>
          <cell r="F86">
            <v>329749217</v>
          </cell>
          <cell r="G86">
            <v>464681882</v>
          </cell>
          <cell r="H86">
            <v>497091411</v>
          </cell>
          <cell r="I86" t="str">
            <v>Coût des terminaux</v>
          </cell>
          <cell r="J86" t="str">
            <v>CV</v>
          </cell>
          <cell r="K86">
            <v>497091411</v>
          </cell>
          <cell r="L86">
            <v>41424284.25</v>
          </cell>
          <cell r="M86">
            <v>5215719.75</v>
          </cell>
          <cell r="N86">
            <v>139751343</v>
          </cell>
          <cell r="O86">
            <v>49268619</v>
          </cell>
          <cell r="P86">
            <v>93476062</v>
          </cell>
          <cell r="Q86">
            <v>27404026</v>
          </cell>
          <cell r="R86">
            <v>59423342.333333336</v>
          </cell>
          <cell r="S86">
            <v>6220532.6666666865</v>
          </cell>
          <cell r="T86">
            <v>194286044</v>
          </cell>
          <cell r="U86">
            <v>1003373</v>
          </cell>
          <cell r="V86">
            <v>48868287</v>
          </cell>
          <cell r="W86">
            <v>93793862</v>
          </cell>
          <cell r="X86">
            <v>760135495</v>
          </cell>
        </row>
        <row r="87">
          <cell r="C87">
            <v>60125000</v>
          </cell>
          <cell r="D87" t="str">
            <v>ACHATS TERMINAUX GSM SIMPLES P</v>
          </cell>
          <cell r="I87" t="str">
            <v>Coût des terminaux</v>
          </cell>
          <cell r="J87" t="str">
            <v>CV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127400000</v>
          </cell>
          <cell r="W87">
            <v>-127400000</v>
          </cell>
          <cell r="X87">
            <v>0</v>
          </cell>
        </row>
        <row r="88">
          <cell r="C88">
            <v>60126000</v>
          </cell>
          <cell r="D88" t="str">
            <v>ACHATS ACCESSOI</v>
          </cell>
          <cell r="E88">
            <v>70254925</v>
          </cell>
          <cell r="F88">
            <v>68315785</v>
          </cell>
          <cell r="G88">
            <v>0</v>
          </cell>
          <cell r="H88">
            <v>0</v>
          </cell>
          <cell r="I88" t="str">
            <v>Coût des terminaux</v>
          </cell>
          <cell r="J88" t="str">
            <v>CV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127400000</v>
          </cell>
          <cell r="U88">
            <v>0</v>
          </cell>
          <cell r="V88">
            <v>-127400000</v>
          </cell>
          <cell r="W88">
            <v>0</v>
          </cell>
          <cell r="X88">
            <v>0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</row>
        <row r="90">
          <cell r="L90">
            <v>0</v>
          </cell>
        </row>
        <row r="91">
          <cell r="D91" t="str">
            <v>TOTAL RC   601</v>
          </cell>
          <cell r="E91">
            <v>1843484691</v>
          </cell>
          <cell r="F91">
            <v>2454527163</v>
          </cell>
          <cell r="G91">
            <v>1804556588</v>
          </cell>
          <cell r="H91">
            <v>2204054349</v>
          </cell>
          <cell r="K91">
            <v>2204054349</v>
          </cell>
          <cell r="L91">
            <v>183671195.75</v>
          </cell>
          <cell r="M91">
            <v>126150818.25</v>
          </cell>
          <cell r="N91">
            <v>171582781</v>
          </cell>
          <cell r="O91">
            <v>159280479</v>
          </cell>
          <cell r="P91">
            <v>361610294</v>
          </cell>
          <cell r="Q91">
            <v>19029687</v>
          </cell>
          <cell r="R91">
            <v>186673201.5</v>
          </cell>
          <cell r="S91">
            <v>125662430.66666669</v>
          </cell>
          <cell r="T91">
            <v>548827605.83333325</v>
          </cell>
          <cell r="U91">
            <v>177324615</v>
          </cell>
          <cell r="V91">
            <v>272543487</v>
          </cell>
          <cell r="W91">
            <v>96604942</v>
          </cell>
          <cell r="X91">
            <v>2428961537</v>
          </cell>
        </row>
        <row r="92">
          <cell r="L92">
            <v>0</v>
          </cell>
        </row>
        <row r="93">
          <cell r="C93">
            <v>60311000</v>
          </cell>
          <cell r="D93" t="str">
            <v>VARIATIONS DE ST</v>
          </cell>
          <cell r="E93">
            <v>-305469874</v>
          </cell>
          <cell r="F93">
            <v>-757743058</v>
          </cell>
          <cell r="G93">
            <v>199973309</v>
          </cell>
          <cell r="H93">
            <v>-463102237</v>
          </cell>
          <cell r="I93" t="str">
            <v>Coût des terminaux</v>
          </cell>
          <cell r="J93" t="str">
            <v>CV</v>
          </cell>
          <cell r="K93">
            <v>-463102237</v>
          </cell>
          <cell r="L93">
            <v>-38591853.083333336</v>
          </cell>
          <cell r="M93">
            <v>38591853.083333336</v>
          </cell>
          <cell r="N93">
            <v>411726776</v>
          </cell>
          <cell r="O93">
            <v>0</v>
          </cell>
          <cell r="P93">
            <v>0</v>
          </cell>
          <cell r="Q93">
            <v>-214594006</v>
          </cell>
          <cell r="R93">
            <v>0</v>
          </cell>
          <cell r="S93">
            <v>0</v>
          </cell>
          <cell r="T93">
            <v>-379324247</v>
          </cell>
          <cell r="U93">
            <v>0</v>
          </cell>
          <cell r="V93">
            <v>0</v>
          </cell>
          <cell r="W93">
            <v>-382562979</v>
          </cell>
          <cell r="X93">
            <v>-564754456</v>
          </cell>
        </row>
        <row r="94">
          <cell r="C94">
            <v>60312000</v>
          </cell>
          <cell r="D94" t="str">
            <v>VARIATIONS DE STOCK ACHATS HORS UEMOA (Carte Nanan)</v>
          </cell>
          <cell r="I94" t="str">
            <v>Coût des terminaux</v>
          </cell>
          <cell r="N94">
            <v>212530068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212530068</v>
          </cell>
        </row>
        <row r="95">
          <cell r="C95">
            <v>60320000</v>
          </cell>
          <cell r="D95" t="str">
            <v>VARIAT° STOCK FO</v>
          </cell>
          <cell r="E95">
            <v>-7411691</v>
          </cell>
          <cell r="F95">
            <v>-1906570</v>
          </cell>
          <cell r="G95">
            <v>-5567672</v>
          </cell>
          <cell r="H95">
            <v>3101177</v>
          </cell>
          <cell r="I95" t="str">
            <v>FG</v>
          </cell>
          <cell r="J95" t="str">
            <v>Opex4</v>
          </cell>
          <cell r="K95">
            <v>3101177</v>
          </cell>
          <cell r="L95">
            <v>258431.41666666666</v>
          </cell>
          <cell r="M95">
            <v>-258431.41666666666</v>
          </cell>
          <cell r="N95">
            <v>0</v>
          </cell>
          <cell r="O95">
            <v>0</v>
          </cell>
          <cell r="P95">
            <v>0</v>
          </cell>
          <cell r="Q95">
            <v>21608506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21608506</v>
          </cell>
        </row>
        <row r="96">
          <cell r="L96">
            <v>0</v>
          </cell>
        </row>
        <row r="97">
          <cell r="D97" t="str">
            <v>TOTAL    603</v>
          </cell>
          <cell r="E97">
            <v>-312881565</v>
          </cell>
          <cell r="F97">
            <v>-759649628</v>
          </cell>
          <cell r="G97">
            <v>194405637</v>
          </cell>
          <cell r="H97">
            <v>-460001060</v>
          </cell>
          <cell r="K97">
            <v>-460001060</v>
          </cell>
          <cell r="L97">
            <v>-38333421.666666672</v>
          </cell>
          <cell r="M97">
            <v>38333421.666666672</v>
          </cell>
          <cell r="N97">
            <v>624256844</v>
          </cell>
          <cell r="O97">
            <v>0</v>
          </cell>
          <cell r="P97">
            <v>0</v>
          </cell>
          <cell r="Q97">
            <v>-192985500</v>
          </cell>
          <cell r="R97">
            <v>0</v>
          </cell>
          <cell r="S97">
            <v>0</v>
          </cell>
          <cell r="T97">
            <v>-379324247</v>
          </cell>
          <cell r="U97">
            <v>0</v>
          </cell>
          <cell r="V97">
            <v>0</v>
          </cell>
          <cell r="W97">
            <v>-382562979</v>
          </cell>
          <cell r="X97">
            <v>-330615882</v>
          </cell>
        </row>
        <row r="99">
          <cell r="C99">
            <v>60480000</v>
          </cell>
          <cell r="D99" t="str">
            <v>FOURNIT. CONSOMM.INFORMAT. STO</v>
          </cell>
          <cell r="I99" t="str">
            <v>FG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637000</v>
          </cell>
          <cell r="Q99">
            <v>320000</v>
          </cell>
          <cell r="R99">
            <v>0</v>
          </cell>
          <cell r="S99">
            <v>485500</v>
          </cell>
          <cell r="T99">
            <v>642500</v>
          </cell>
          <cell r="U99">
            <v>1354000</v>
          </cell>
          <cell r="V99">
            <v>1802000</v>
          </cell>
          <cell r="W99">
            <v>2315115</v>
          </cell>
          <cell r="X99">
            <v>7556115</v>
          </cell>
        </row>
        <row r="101">
          <cell r="D101" t="str">
            <v>TOTAL    604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637000</v>
          </cell>
          <cell r="Q101">
            <v>320000</v>
          </cell>
          <cell r="R101">
            <v>0</v>
          </cell>
          <cell r="S101">
            <v>485500</v>
          </cell>
          <cell r="T101">
            <v>642500</v>
          </cell>
          <cell r="U101">
            <v>1354000</v>
          </cell>
          <cell r="V101">
            <v>1802000</v>
          </cell>
          <cell r="W101">
            <v>2315115</v>
          </cell>
          <cell r="X101">
            <v>7556115</v>
          </cell>
        </row>
        <row r="103">
          <cell r="C103">
            <v>60510000</v>
          </cell>
          <cell r="D103" t="str">
            <v>EAU</v>
          </cell>
          <cell r="E103">
            <v>1472887</v>
          </cell>
          <cell r="F103">
            <v>2863319</v>
          </cell>
          <cell r="G103">
            <v>5008192</v>
          </cell>
          <cell r="H103">
            <v>6040828</v>
          </cell>
          <cell r="I103" t="str">
            <v>FG</v>
          </cell>
          <cell r="J103" t="str">
            <v>Opex4</v>
          </cell>
          <cell r="K103">
            <v>6040828</v>
          </cell>
          <cell r="L103">
            <v>503402.33333333331</v>
          </cell>
          <cell r="M103">
            <v>503402</v>
          </cell>
          <cell r="N103">
            <v>980025.66666666674</v>
          </cell>
          <cell r="O103">
            <v>986242</v>
          </cell>
          <cell r="P103">
            <v>743268</v>
          </cell>
          <cell r="Q103">
            <v>-336506</v>
          </cell>
          <cell r="R103">
            <v>504792</v>
          </cell>
          <cell r="S103">
            <v>979876</v>
          </cell>
          <cell r="T103">
            <v>-303446</v>
          </cell>
          <cell r="U103">
            <v>27596</v>
          </cell>
          <cell r="V103">
            <v>737898</v>
          </cell>
          <cell r="W103">
            <v>100093</v>
          </cell>
          <cell r="X103">
            <v>5426643</v>
          </cell>
        </row>
        <row r="104">
          <cell r="C104">
            <v>60520000</v>
          </cell>
          <cell r="D104" t="str">
            <v>ELECTRICITE</v>
          </cell>
          <cell r="E104">
            <v>114576339</v>
          </cell>
          <cell r="F104">
            <v>138318990</v>
          </cell>
          <cell r="G104">
            <v>145991917</v>
          </cell>
          <cell r="H104">
            <v>235084810</v>
          </cell>
          <cell r="I104" t="str">
            <v>FG</v>
          </cell>
          <cell r="J104" t="str">
            <v>Opex4</v>
          </cell>
          <cell r="K104">
            <v>235084810</v>
          </cell>
          <cell r="L104">
            <v>19590400.833333332</v>
          </cell>
          <cell r="M104">
            <v>20623711.166666668</v>
          </cell>
          <cell r="N104">
            <v>21785888</v>
          </cell>
          <cell r="O104">
            <v>38594357</v>
          </cell>
          <cell r="P104">
            <v>25148589.25</v>
          </cell>
          <cell r="Q104">
            <v>1799147.75</v>
          </cell>
          <cell r="R104">
            <v>24552587</v>
          </cell>
          <cell r="S104">
            <v>23063936</v>
          </cell>
          <cell r="T104">
            <v>27057873</v>
          </cell>
          <cell r="U104">
            <v>23723453</v>
          </cell>
          <cell r="V104">
            <v>15603021</v>
          </cell>
          <cell r="W104">
            <v>19749331</v>
          </cell>
          <cell r="X104">
            <v>261292295</v>
          </cell>
        </row>
        <row r="105">
          <cell r="C105">
            <v>60525000</v>
          </cell>
          <cell r="D105" t="str">
            <v>CARBURANT ET LUBR</v>
          </cell>
          <cell r="E105">
            <v>21253938</v>
          </cell>
          <cell r="F105">
            <v>83487444</v>
          </cell>
          <cell r="G105">
            <v>150099064</v>
          </cell>
          <cell r="H105">
            <v>799346180</v>
          </cell>
          <cell r="I105" t="str">
            <v>MR</v>
          </cell>
          <cell r="J105" t="str">
            <v>Opex3</v>
          </cell>
          <cell r="K105">
            <v>799346180</v>
          </cell>
          <cell r="L105">
            <v>56612181.666666664</v>
          </cell>
          <cell r="M105">
            <v>257374821.33333334</v>
          </cell>
          <cell r="N105">
            <v>95039402</v>
          </cell>
          <cell r="O105">
            <v>136342135</v>
          </cell>
          <cell r="P105">
            <v>136342135</v>
          </cell>
          <cell r="Q105">
            <v>-129122391</v>
          </cell>
          <cell r="R105">
            <v>81138080</v>
          </cell>
          <cell r="S105">
            <v>116999424</v>
          </cell>
          <cell r="T105">
            <v>170217640</v>
          </cell>
          <cell r="U105">
            <v>122785048</v>
          </cell>
          <cell r="V105">
            <v>155286198</v>
          </cell>
          <cell r="W105">
            <v>26675747</v>
          </cell>
          <cell r="X105">
            <v>1225690421</v>
          </cell>
        </row>
        <row r="106">
          <cell r="C106">
            <v>60530000</v>
          </cell>
          <cell r="D106" t="str">
            <v>GAZ</v>
          </cell>
          <cell r="E106">
            <v>6080</v>
          </cell>
          <cell r="G106">
            <v>0</v>
          </cell>
          <cell r="H106">
            <v>0</v>
          </cell>
          <cell r="I106" t="str">
            <v>FG</v>
          </cell>
          <cell r="J106" t="str">
            <v>Opex4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C107">
            <v>60540000</v>
          </cell>
          <cell r="D107" t="str">
            <v>PRODUITS D'ENTR</v>
          </cell>
          <cell r="E107">
            <v>6000</v>
          </cell>
          <cell r="F107">
            <v>306800</v>
          </cell>
          <cell r="G107">
            <v>0</v>
          </cell>
          <cell r="H107">
            <v>0</v>
          </cell>
          <cell r="I107" t="str">
            <v>FG</v>
          </cell>
          <cell r="J107" t="str">
            <v>Opex4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C108">
            <v>60550000</v>
          </cell>
          <cell r="D108" t="str">
            <v>FOURNITURES DE BUREAU</v>
          </cell>
          <cell r="E108">
            <v>39561353</v>
          </cell>
          <cell r="F108">
            <v>42517932</v>
          </cell>
          <cell r="G108">
            <v>47864938</v>
          </cell>
          <cell r="H108">
            <v>50633443</v>
          </cell>
          <cell r="I108" t="str">
            <v>FG</v>
          </cell>
          <cell r="J108" t="str">
            <v>Opex4</v>
          </cell>
          <cell r="K108">
            <v>50633443</v>
          </cell>
          <cell r="L108">
            <v>4219453.583333333</v>
          </cell>
          <cell r="M108">
            <v>4219454.416666667</v>
          </cell>
          <cell r="N108">
            <v>7277838</v>
          </cell>
          <cell r="O108">
            <v>417210</v>
          </cell>
          <cell r="P108">
            <v>1194550</v>
          </cell>
          <cell r="Q108">
            <v>953840</v>
          </cell>
          <cell r="R108">
            <v>15144450</v>
          </cell>
          <cell r="S108">
            <v>673450</v>
          </cell>
          <cell r="T108">
            <v>5365850</v>
          </cell>
          <cell r="U108">
            <v>0</v>
          </cell>
          <cell r="V108">
            <v>2867950</v>
          </cell>
          <cell r="W108">
            <v>36679876</v>
          </cell>
          <cell r="X108">
            <v>79013922</v>
          </cell>
        </row>
        <row r="109">
          <cell r="C109">
            <v>60560000</v>
          </cell>
          <cell r="D109" t="str">
            <v>PETIT MATERIEL ET OUTILLAGE</v>
          </cell>
          <cell r="E109">
            <v>7398531</v>
          </cell>
          <cell r="F109">
            <v>43985464</v>
          </cell>
          <cell r="G109">
            <v>21644078</v>
          </cell>
          <cell r="H109">
            <v>18891998</v>
          </cell>
          <cell r="I109" t="str">
            <v>FG</v>
          </cell>
          <cell r="J109" t="str">
            <v>Opex4</v>
          </cell>
          <cell r="K109">
            <v>18891998</v>
          </cell>
          <cell r="L109">
            <v>1574333.1666666667</v>
          </cell>
          <cell r="M109">
            <v>-1386833.1666666667</v>
          </cell>
          <cell r="N109">
            <v>97410</v>
          </cell>
          <cell r="O109">
            <v>0</v>
          </cell>
          <cell r="P109">
            <v>-1367884</v>
          </cell>
          <cell r="Q109">
            <v>2213780</v>
          </cell>
          <cell r="R109">
            <v>4146680</v>
          </cell>
          <cell r="S109">
            <v>264320</v>
          </cell>
          <cell r="T109">
            <v>6626022</v>
          </cell>
          <cell r="U109">
            <v>1560000</v>
          </cell>
          <cell r="V109">
            <v>10276161</v>
          </cell>
          <cell r="W109">
            <v>8450000</v>
          </cell>
          <cell r="X109">
            <v>32453989</v>
          </cell>
        </row>
        <row r="110">
          <cell r="C110">
            <v>60570000</v>
          </cell>
          <cell r="D110" t="str">
            <v>ETUDES ET PRESTA</v>
          </cell>
          <cell r="E110">
            <v>2815200</v>
          </cell>
          <cell r="F110">
            <v>1105478</v>
          </cell>
          <cell r="G110">
            <v>356700</v>
          </cell>
          <cell r="H110">
            <v>22192865</v>
          </cell>
          <cell r="I110" t="str">
            <v>FG</v>
          </cell>
          <cell r="J110" t="str">
            <v>Opex4</v>
          </cell>
          <cell r="K110">
            <v>22192865</v>
          </cell>
          <cell r="L110">
            <v>1849405.4166666667</v>
          </cell>
          <cell r="M110">
            <v>-0.41666666674427688</v>
          </cell>
          <cell r="N110">
            <v>-1840262</v>
          </cell>
          <cell r="O110">
            <v>0</v>
          </cell>
          <cell r="P110">
            <v>-1347000</v>
          </cell>
          <cell r="Q110">
            <v>2925714</v>
          </cell>
          <cell r="R110">
            <v>0</v>
          </cell>
          <cell r="S110">
            <v>0</v>
          </cell>
          <cell r="T110">
            <v>-1462857</v>
          </cell>
          <cell r="U110">
            <v>0</v>
          </cell>
          <cell r="V110">
            <v>600000</v>
          </cell>
          <cell r="W110">
            <v>-600000</v>
          </cell>
          <cell r="X110">
            <v>125000</v>
          </cell>
        </row>
        <row r="111">
          <cell r="C111">
            <v>60571000</v>
          </cell>
          <cell r="D111" t="str">
            <v>INTERCONNEXION ONATEL</v>
          </cell>
          <cell r="E111">
            <v>2165507629</v>
          </cell>
          <cell r="F111">
            <v>1745952965</v>
          </cell>
          <cell r="G111">
            <v>1930438064</v>
          </cell>
          <cell r="H111">
            <v>2552520930</v>
          </cell>
          <cell r="I111" t="str">
            <v>Interco Chge</v>
          </cell>
          <cell r="J111" t="str">
            <v>CV</v>
          </cell>
          <cell r="K111">
            <v>2552520930</v>
          </cell>
          <cell r="L111">
            <v>306387405</v>
          </cell>
          <cell r="M111">
            <v>276596183</v>
          </cell>
          <cell r="N111">
            <v>355257934</v>
          </cell>
          <cell r="O111">
            <v>336524405</v>
          </cell>
          <cell r="P111">
            <v>294596578</v>
          </cell>
          <cell r="Q111">
            <v>355569167</v>
          </cell>
          <cell r="R111">
            <v>377400839</v>
          </cell>
          <cell r="S111">
            <v>260143790</v>
          </cell>
          <cell r="T111">
            <v>-30074148</v>
          </cell>
          <cell r="U111">
            <v>276306440.98050177</v>
          </cell>
          <cell r="V111">
            <v>231423633.01949835</v>
          </cell>
          <cell r="W111">
            <v>303755983</v>
          </cell>
          <cell r="X111">
            <v>3343888210</v>
          </cell>
        </row>
        <row r="112">
          <cell r="C112">
            <v>60571100</v>
          </cell>
          <cell r="D112" t="str">
            <v>LIAISON SPECIALI</v>
          </cell>
          <cell r="E112">
            <v>690369976</v>
          </cell>
          <cell r="F112">
            <v>778600000</v>
          </cell>
          <cell r="G112">
            <v>756746390</v>
          </cell>
          <cell r="H112">
            <v>1184631616</v>
          </cell>
          <cell r="I112" t="str">
            <v>MR</v>
          </cell>
          <cell r="J112" t="str">
            <v>Opex3</v>
          </cell>
          <cell r="K112">
            <v>1184631616</v>
          </cell>
          <cell r="L112">
            <v>137743516</v>
          </cell>
          <cell r="M112">
            <v>109676516</v>
          </cell>
          <cell r="N112">
            <v>176686659</v>
          </cell>
          <cell r="O112">
            <v>141368897</v>
          </cell>
          <cell r="P112">
            <v>141368897</v>
          </cell>
          <cell r="Q112">
            <v>164222146</v>
          </cell>
          <cell r="R112">
            <v>108986646.66666666</v>
          </cell>
          <cell r="S112">
            <v>164222146</v>
          </cell>
          <cell r="T112">
            <v>219457645.33333349</v>
          </cell>
          <cell r="U112">
            <v>164222146.00000003</v>
          </cell>
          <cell r="V112">
            <v>164222146</v>
          </cell>
          <cell r="W112">
            <v>278488391</v>
          </cell>
          <cell r="X112">
            <v>1970665752</v>
          </cell>
        </row>
        <row r="113">
          <cell r="C113">
            <v>60571200</v>
          </cell>
          <cell r="D113" t="str">
            <v>INTERCONNEXION COLOCATION ONATEL</v>
          </cell>
          <cell r="F113">
            <v>320415820</v>
          </cell>
          <cell r="G113">
            <v>577712094</v>
          </cell>
          <cell r="H113">
            <v>733512849</v>
          </cell>
          <cell r="I113" t="str">
            <v>MR</v>
          </cell>
          <cell r="J113" t="str">
            <v>Opex3</v>
          </cell>
          <cell r="K113">
            <v>733512849</v>
          </cell>
          <cell r="L113">
            <v>59682435</v>
          </cell>
          <cell r="M113">
            <v>59682435</v>
          </cell>
          <cell r="N113">
            <v>63809076</v>
          </cell>
          <cell r="O113">
            <v>26318237</v>
          </cell>
          <cell r="P113">
            <v>35903593</v>
          </cell>
          <cell r="Q113">
            <v>212935444</v>
          </cell>
          <cell r="R113">
            <v>91719091.333333328</v>
          </cell>
          <cell r="S113">
            <v>26318237</v>
          </cell>
          <cell r="T113">
            <v>119715425.66666663</v>
          </cell>
          <cell r="U113">
            <v>79250917.999999985</v>
          </cell>
          <cell r="V113">
            <v>71568048</v>
          </cell>
          <cell r="W113">
            <v>88397044</v>
          </cell>
          <cell r="X113">
            <v>935299984</v>
          </cell>
        </row>
        <row r="114">
          <cell r="C114">
            <v>60572000</v>
          </cell>
          <cell r="D114" t="str">
            <v>NTERCONNEXION CELTEL</v>
          </cell>
          <cell r="E114">
            <v>1322476290</v>
          </cell>
          <cell r="F114">
            <v>1590276600</v>
          </cell>
          <cell r="G114">
            <v>2294308030</v>
          </cell>
          <cell r="H114">
            <v>2216671565</v>
          </cell>
          <cell r="I114" t="str">
            <v>Interco Chge</v>
          </cell>
          <cell r="J114" t="str">
            <v>CV</v>
          </cell>
          <cell r="K114">
            <v>2216671565</v>
          </cell>
          <cell r="L114">
            <v>231702140</v>
          </cell>
          <cell r="M114">
            <v>199095055</v>
          </cell>
          <cell r="N114">
            <v>255118003</v>
          </cell>
          <cell r="O114">
            <v>237234490</v>
          </cell>
          <cell r="P114">
            <v>180852660</v>
          </cell>
          <cell r="Q114">
            <v>206653835</v>
          </cell>
          <cell r="R114">
            <v>206184320</v>
          </cell>
          <cell r="S114">
            <v>226809455</v>
          </cell>
          <cell r="T114">
            <v>208875455</v>
          </cell>
          <cell r="U114">
            <v>154657578.78988409</v>
          </cell>
          <cell r="V114">
            <v>118963271.21011591</v>
          </cell>
          <cell r="W114">
            <v>154431435</v>
          </cell>
          <cell r="X114">
            <v>2380577698</v>
          </cell>
        </row>
        <row r="115">
          <cell r="C115">
            <v>60573000</v>
          </cell>
          <cell r="D115" t="str">
            <v>INTERCONNEXION TELECEL</v>
          </cell>
          <cell r="E115">
            <v>376260055</v>
          </cell>
          <cell r="F115">
            <v>337153140</v>
          </cell>
          <cell r="G115">
            <v>539175865</v>
          </cell>
          <cell r="H115">
            <v>744551185</v>
          </cell>
          <cell r="I115" t="str">
            <v>Interco Chge</v>
          </cell>
          <cell r="J115" t="str">
            <v>CV</v>
          </cell>
          <cell r="K115">
            <v>744551185</v>
          </cell>
          <cell r="L115">
            <v>79794230</v>
          </cell>
          <cell r="M115">
            <v>75758480</v>
          </cell>
          <cell r="N115">
            <v>157028660</v>
          </cell>
          <cell r="O115">
            <v>98053945</v>
          </cell>
          <cell r="P115">
            <v>86591095</v>
          </cell>
          <cell r="Q115">
            <v>87370725</v>
          </cell>
          <cell r="R115">
            <v>88573970</v>
          </cell>
          <cell r="S115">
            <v>116272405</v>
          </cell>
          <cell r="T115">
            <v>103331445</v>
          </cell>
          <cell r="U115">
            <v>64703561.210115895</v>
          </cell>
          <cell r="V115">
            <v>83025133.78988409</v>
          </cell>
          <cell r="W115">
            <v>84907125</v>
          </cell>
          <cell r="X115">
            <v>1125410775</v>
          </cell>
        </row>
        <row r="116">
          <cell r="C116">
            <v>60573100</v>
          </cell>
          <cell r="D116" t="str">
            <v>INTERCO LOCA &amp; COLOCATION TELECEL</v>
          </cell>
          <cell r="F116">
            <v>34278176</v>
          </cell>
          <cell r="G116">
            <v>185053120</v>
          </cell>
          <cell r="H116">
            <v>243770928</v>
          </cell>
          <cell r="I116" t="str">
            <v>MR</v>
          </cell>
          <cell r="J116" t="str">
            <v>Opex3</v>
          </cell>
          <cell r="K116">
            <v>243770928</v>
          </cell>
          <cell r="L116">
            <v>20205312</v>
          </cell>
          <cell r="M116">
            <v>43096642</v>
          </cell>
          <cell r="N116">
            <v>2686018</v>
          </cell>
          <cell r="O116">
            <v>20205312</v>
          </cell>
          <cell r="P116">
            <v>28407366</v>
          </cell>
          <cell r="Q116">
            <v>40410624</v>
          </cell>
          <cell r="R116">
            <v>29674434</v>
          </cell>
          <cell r="S116">
            <v>20205312</v>
          </cell>
          <cell r="T116">
            <v>24936436</v>
          </cell>
          <cell r="U116">
            <v>24938727.333333332</v>
          </cell>
          <cell r="V116">
            <v>24204106.666666657</v>
          </cell>
          <cell r="W116">
            <v>24571417</v>
          </cell>
          <cell r="X116">
            <v>303541707</v>
          </cell>
        </row>
        <row r="117">
          <cell r="C117">
            <v>60575000</v>
          </cell>
          <cell r="D117" t="str">
            <v>INTERCONNEXION AFRICOM</v>
          </cell>
          <cell r="F117">
            <v>32497228</v>
          </cell>
          <cell r="G117">
            <v>64205225</v>
          </cell>
          <cell r="H117">
            <v>226516574</v>
          </cell>
          <cell r="I117" t="str">
            <v>Revenu Sortant</v>
          </cell>
          <cell r="J117" t="str">
            <v>Revenu Sortant</v>
          </cell>
          <cell r="K117">
            <v>226516574</v>
          </cell>
          <cell r="L117">
            <v>36675644</v>
          </cell>
          <cell r="M117">
            <v>0</v>
          </cell>
          <cell r="N117">
            <v>-26073448</v>
          </cell>
          <cell r="O117">
            <v>3534065.3333333335</v>
          </cell>
          <cell r="P117">
            <v>-16872588.333333336</v>
          </cell>
          <cell r="Q117">
            <v>31262574</v>
          </cell>
          <cell r="R117">
            <v>5974683.666666667</v>
          </cell>
          <cell r="S117">
            <v>15000000</v>
          </cell>
          <cell r="T117">
            <v>10000000</v>
          </cell>
          <cell r="U117">
            <v>0</v>
          </cell>
          <cell r="V117">
            <v>-10404372.666666664</v>
          </cell>
          <cell r="W117">
            <v>9448457</v>
          </cell>
          <cell r="X117">
            <v>58545015</v>
          </cell>
        </row>
        <row r="118">
          <cell r="C118">
            <v>60580000</v>
          </cell>
          <cell r="D118" t="str">
            <v>TRAVAUX  PETITS MATERIEL ET EQUIPEMENT</v>
          </cell>
          <cell r="E118">
            <v>6529491</v>
          </cell>
          <cell r="F118">
            <v>39760720</v>
          </cell>
          <cell r="G118">
            <v>654530</v>
          </cell>
          <cell r="H118">
            <v>1184675</v>
          </cell>
          <cell r="I118" t="str">
            <v>FG</v>
          </cell>
          <cell r="J118" t="str">
            <v>Opex4</v>
          </cell>
          <cell r="K118">
            <v>1184675</v>
          </cell>
          <cell r="L118">
            <v>98722.916666666672</v>
          </cell>
          <cell r="M118">
            <v>40777.083333333328</v>
          </cell>
          <cell r="N118">
            <v>0</v>
          </cell>
          <cell r="O118">
            <v>0</v>
          </cell>
          <cell r="P118">
            <v>-556000</v>
          </cell>
          <cell r="Q118">
            <v>661625</v>
          </cell>
          <cell r="R118">
            <v>93313</v>
          </cell>
          <cell r="S118">
            <v>139500</v>
          </cell>
          <cell r="T118">
            <v>50000</v>
          </cell>
          <cell r="U118">
            <v>46354</v>
          </cell>
          <cell r="V118">
            <v>127391</v>
          </cell>
          <cell r="W118">
            <v>0</v>
          </cell>
          <cell r="X118">
            <v>701683</v>
          </cell>
        </row>
        <row r="119">
          <cell r="G119">
            <v>0</v>
          </cell>
          <cell r="X119">
            <v>0</v>
          </cell>
        </row>
        <row r="120">
          <cell r="G120">
            <v>0</v>
          </cell>
          <cell r="X120">
            <v>0</v>
          </cell>
        </row>
        <row r="121">
          <cell r="G121">
            <v>0</v>
          </cell>
          <cell r="X121">
            <v>0</v>
          </cell>
        </row>
        <row r="122">
          <cell r="G122">
            <v>0</v>
          </cell>
          <cell r="X122">
            <v>0</v>
          </cell>
        </row>
        <row r="123">
          <cell r="G123">
            <v>0</v>
          </cell>
          <cell r="X123">
            <v>0</v>
          </cell>
        </row>
        <row r="124">
          <cell r="G124">
            <v>0</v>
          </cell>
          <cell r="X124">
            <v>0</v>
          </cell>
        </row>
        <row r="125">
          <cell r="G125">
            <v>0</v>
          </cell>
          <cell r="X125">
            <v>0</v>
          </cell>
        </row>
        <row r="126">
          <cell r="G126">
            <v>0</v>
          </cell>
          <cell r="X126">
            <v>0</v>
          </cell>
        </row>
        <row r="127">
          <cell r="D127" t="str">
            <v>TOTAL RE   605</v>
          </cell>
          <cell r="E127">
            <v>4748233769</v>
          </cell>
          <cell r="F127">
            <v>5191520076</v>
          </cell>
          <cell r="G127">
            <v>6719258207</v>
          </cell>
          <cell r="H127">
            <v>9035550446</v>
          </cell>
          <cell r="K127">
            <v>9035550446</v>
          </cell>
          <cell r="L127">
            <v>956638581.91666663</v>
          </cell>
          <cell r="M127">
            <v>1045280643.4166666</v>
          </cell>
          <cell r="N127">
            <v>1107853203.6666667</v>
          </cell>
          <cell r="O127">
            <v>1039579295.3333334</v>
          </cell>
          <cell r="P127">
            <v>911005258.91666663</v>
          </cell>
          <cell r="Q127">
            <v>977519724.75</v>
          </cell>
          <cell r="R127">
            <v>1034093886.6666666</v>
          </cell>
          <cell r="S127">
            <v>971091851</v>
          </cell>
          <cell r="T127">
            <v>863793341.00000012</v>
          </cell>
          <cell r="U127">
            <v>912221823.31383514</v>
          </cell>
          <cell r="V127">
            <v>868500585.01949835</v>
          </cell>
          <cell r="W127">
            <v>1035054899</v>
          </cell>
          <cell r="X127">
            <v>11722633094</v>
          </cell>
        </row>
        <row r="128">
          <cell r="C128">
            <v>60810000</v>
          </cell>
          <cell r="D128" t="str">
            <v>EMBALLAGE PER</v>
          </cell>
          <cell r="E128">
            <v>2155500</v>
          </cell>
          <cell r="G128">
            <v>0</v>
          </cell>
          <cell r="H128">
            <v>0</v>
          </cell>
          <cell r="I128" t="str">
            <v>Coût des terminaux</v>
          </cell>
          <cell r="J128" t="str">
            <v>CV</v>
          </cell>
          <cell r="K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</row>
        <row r="130">
          <cell r="D130" t="str">
            <v>TOTAL COMPTE 60</v>
          </cell>
          <cell r="E130">
            <v>6280992395</v>
          </cell>
          <cell r="F130">
            <v>6886397611</v>
          </cell>
          <cell r="G130">
            <v>8718220432</v>
          </cell>
          <cell r="H130">
            <v>10779603735</v>
          </cell>
          <cell r="K130">
            <v>10779603735</v>
          </cell>
          <cell r="L130">
            <v>1101976356</v>
          </cell>
          <cell r="M130">
            <v>1209764883.3333333</v>
          </cell>
          <cell r="N130">
            <v>1903692828.6666667</v>
          </cell>
          <cell r="O130">
            <v>1198859774.3333335</v>
          </cell>
          <cell r="P130">
            <v>1273252552.9166665</v>
          </cell>
          <cell r="Q130">
            <v>803883911.75</v>
          </cell>
          <cell r="R130">
            <v>1220767088.1666665</v>
          </cell>
          <cell r="S130">
            <v>1097239781.6666667</v>
          </cell>
          <cell r="T130">
            <v>1033939199.8333334</v>
          </cell>
          <cell r="U130">
            <v>1090900438.3138351</v>
          </cell>
          <cell r="V130">
            <v>1142846072.0194983</v>
          </cell>
          <cell r="W130">
            <v>751411977</v>
          </cell>
          <cell r="X130">
            <v>13828534864</v>
          </cell>
        </row>
        <row r="132">
          <cell r="C132">
            <v>61100000</v>
          </cell>
          <cell r="D132" t="str">
            <v>TRANSPORTS SUR ACHAT</v>
          </cell>
          <cell r="E132">
            <v>616046</v>
          </cell>
          <cell r="F132">
            <v>1631632</v>
          </cell>
          <cell r="G132">
            <v>3079577</v>
          </cell>
          <cell r="H132">
            <v>192073565</v>
          </cell>
          <cell r="I132" t="str">
            <v>Coût des terminaux</v>
          </cell>
          <cell r="J132" t="str">
            <v>CV</v>
          </cell>
          <cell r="K132">
            <v>192073565</v>
          </cell>
          <cell r="L132">
            <v>16006130.416666666</v>
          </cell>
          <cell r="M132">
            <v>5654133.583333334</v>
          </cell>
          <cell r="N132">
            <v>44160155</v>
          </cell>
          <cell r="O132">
            <v>0</v>
          </cell>
          <cell r="P132">
            <v>211671754</v>
          </cell>
          <cell r="Q132">
            <v>46621818</v>
          </cell>
          <cell r="R132">
            <v>64822798.200000003</v>
          </cell>
          <cell r="S132">
            <v>14581615.800000012</v>
          </cell>
          <cell r="T132">
            <v>0</v>
          </cell>
          <cell r="U132">
            <v>0</v>
          </cell>
          <cell r="V132">
            <v>36855472</v>
          </cell>
          <cell r="W132">
            <v>-29805104</v>
          </cell>
          <cell r="X132">
            <v>410568773</v>
          </cell>
        </row>
        <row r="133">
          <cell r="C133">
            <v>61400000</v>
          </cell>
          <cell r="D133" t="str">
            <v xml:space="preserve">TRANSPORTS DU PERSONNEL </v>
          </cell>
          <cell r="E133">
            <v>119000</v>
          </cell>
          <cell r="F133">
            <v>115960</v>
          </cell>
          <cell r="G133">
            <v>0</v>
          </cell>
          <cell r="H133">
            <v>0</v>
          </cell>
          <cell r="I133" t="str">
            <v>FG</v>
          </cell>
          <cell r="J133" t="str">
            <v>Opex4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C134">
            <v>61600000</v>
          </cell>
          <cell r="D134" t="str">
            <v>TRANSPORTS DE PLIS</v>
          </cell>
          <cell r="E134">
            <v>3671104</v>
          </cell>
          <cell r="F134">
            <v>3059014</v>
          </cell>
          <cell r="G134">
            <v>11440271</v>
          </cell>
          <cell r="H134">
            <v>9666383</v>
          </cell>
          <cell r="I134" t="str">
            <v>FG</v>
          </cell>
          <cell r="J134" t="str">
            <v>Opex4</v>
          </cell>
          <cell r="K134">
            <v>9666383</v>
          </cell>
          <cell r="L134">
            <v>805531.91666666663</v>
          </cell>
          <cell r="M134">
            <v>-72401.916666666628</v>
          </cell>
          <cell r="N134">
            <v>868266</v>
          </cell>
          <cell r="O134">
            <v>0</v>
          </cell>
          <cell r="P134">
            <v>1475660</v>
          </cell>
          <cell r="Q134">
            <v>0</v>
          </cell>
          <cell r="R134">
            <v>620210</v>
          </cell>
          <cell r="S134">
            <v>733510</v>
          </cell>
          <cell r="T134">
            <v>654515</v>
          </cell>
          <cell r="U134">
            <v>614550</v>
          </cell>
          <cell r="V134">
            <v>128906</v>
          </cell>
          <cell r="W134">
            <v>1316060</v>
          </cell>
          <cell r="X134">
            <v>7144807</v>
          </cell>
        </row>
        <row r="135">
          <cell r="C135">
            <v>61810000</v>
          </cell>
          <cell r="D135" t="str">
            <v>VOYAGES ET DEPLACEMENT</v>
          </cell>
          <cell r="E135">
            <v>17553100</v>
          </cell>
          <cell r="F135">
            <v>33263380</v>
          </cell>
          <cell r="G135">
            <v>1526700</v>
          </cell>
          <cell r="H135">
            <v>1339000</v>
          </cell>
          <cell r="I135" t="str">
            <v>FG</v>
          </cell>
          <cell r="J135" t="str">
            <v>Opex4</v>
          </cell>
          <cell r="K135">
            <v>1339000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C136">
            <v>61820000</v>
          </cell>
          <cell r="D136" t="str">
            <v>TRANSPORTS ENTRE ENTREPRISE</v>
          </cell>
          <cell r="E136">
            <v>5649745</v>
          </cell>
          <cell r="F136">
            <v>24987122</v>
          </cell>
          <cell r="G136">
            <v>5063400</v>
          </cell>
          <cell r="H136">
            <v>2500000</v>
          </cell>
          <cell r="I136" t="str">
            <v>MR</v>
          </cell>
          <cell r="J136" t="str">
            <v>Opex3</v>
          </cell>
          <cell r="K136">
            <v>2500000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2100000</v>
          </cell>
          <cell r="W136">
            <v>0</v>
          </cell>
          <cell r="X136">
            <v>2100000</v>
          </cell>
        </row>
        <row r="139">
          <cell r="D139" t="str">
            <v>TOTAL RI  61</v>
          </cell>
          <cell r="E139">
            <v>27608995</v>
          </cell>
          <cell r="F139">
            <v>63057108</v>
          </cell>
          <cell r="G139">
            <v>21109948</v>
          </cell>
          <cell r="H139">
            <v>205578948</v>
          </cell>
          <cell r="K139">
            <v>205578948</v>
          </cell>
          <cell r="L139">
            <v>16811662.333333332</v>
          </cell>
          <cell r="M139">
            <v>5581731.666666667</v>
          </cell>
          <cell r="N139">
            <v>45028421</v>
          </cell>
          <cell r="O139">
            <v>0</v>
          </cell>
          <cell r="P139">
            <v>213147414</v>
          </cell>
          <cell r="Q139">
            <v>46621818</v>
          </cell>
          <cell r="R139">
            <v>65443008.200000003</v>
          </cell>
          <cell r="S139">
            <v>15315125.800000012</v>
          </cell>
          <cell r="T139">
            <v>654515</v>
          </cell>
          <cell r="U139">
            <v>614550</v>
          </cell>
          <cell r="V139">
            <v>39084378</v>
          </cell>
          <cell r="W139">
            <v>-28489044</v>
          </cell>
          <cell r="X139">
            <v>419813580</v>
          </cell>
        </row>
        <row r="141">
          <cell r="C141">
            <v>62210000</v>
          </cell>
          <cell r="D141" t="str">
            <v>LOCATION DE TERRAIN</v>
          </cell>
          <cell r="G141">
            <v>2375000</v>
          </cell>
          <cell r="H141">
            <v>16600000</v>
          </cell>
          <cell r="I141" t="str">
            <v>FG</v>
          </cell>
          <cell r="J141" t="str">
            <v>Opex4</v>
          </cell>
          <cell r="K141">
            <v>16600000</v>
          </cell>
          <cell r="L141">
            <v>1383333.3333333333</v>
          </cell>
          <cell r="M141">
            <v>1383333</v>
          </cell>
          <cell r="N141">
            <v>-2466666.333333333</v>
          </cell>
          <cell r="O141">
            <v>0</v>
          </cell>
          <cell r="P141">
            <v>200000</v>
          </cell>
          <cell r="Q141">
            <v>550000</v>
          </cell>
          <cell r="R141">
            <v>250000</v>
          </cell>
          <cell r="S141">
            <v>5408333</v>
          </cell>
          <cell r="T141">
            <v>-291667</v>
          </cell>
          <cell r="U141">
            <v>0</v>
          </cell>
          <cell r="V141">
            <v>200000</v>
          </cell>
          <cell r="W141">
            <v>-791667</v>
          </cell>
          <cell r="X141">
            <v>5824999</v>
          </cell>
        </row>
        <row r="142">
          <cell r="C142">
            <v>62220000</v>
          </cell>
          <cell r="D142" t="str">
            <v>LOCATIONS BATIM</v>
          </cell>
          <cell r="E142">
            <v>90643519</v>
          </cell>
          <cell r="F142">
            <v>98736064</v>
          </cell>
          <cell r="G142">
            <v>117190746</v>
          </cell>
          <cell r="H142">
            <v>124113904</v>
          </cell>
          <cell r="I142" t="str">
            <v>FG</v>
          </cell>
          <cell r="J142" t="str">
            <v>Opex4</v>
          </cell>
          <cell r="K142">
            <v>124113904</v>
          </cell>
          <cell r="L142">
            <v>10342825.333333334</v>
          </cell>
          <cell r="M142">
            <v>10342852.000000002</v>
          </cell>
          <cell r="N142">
            <v>17804322.666666664</v>
          </cell>
          <cell r="O142">
            <v>10000000</v>
          </cell>
          <cell r="P142">
            <v>12122500</v>
          </cell>
          <cell r="Q142">
            <v>16217500</v>
          </cell>
          <cell r="R142">
            <v>12805000</v>
          </cell>
          <cell r="S142">
            <v>7805000</v>
          </cell>
          <cell r="T142">
            <v>22853220</v>
          </cell>
          <cell r="U142">
            <v>9487740</v>
          </cell>
          <cell r="V142">
            <v>5000000</v>
          </cell>
          <cell r="W142">
            <v>24186260</v>
          </cell>
          <cell r="X142">
            <v>158967220</v>
          </cell>
        </row>
        <row r="143">
          <cell r="C143">
            <v>62221000</v>
          </cell>
          <cell r="D143" t="str">
            <v>FRAIS DE LOCATION D'ESPACE</v>
          </cell>
          <cell r="E143">
            <v>22162080</v>
          </cell>
          <cell r="F143">
            <v>155795658</v>
          </cell>
          <cell r="G143">
            <v>348409944</v>
          </cell>
          <cell r="H143">
            <v>745306085</v>
          </cell>
          <cell r="I143" t="str">
            <v>COM</v>
          </cell>
          <cell r="J143" t="str">
            <v>Opex2</v>
          </cell>
          <cell r="K143">
            <v>745306085</v>
          </cell>
          <cell r="L143">
            <v>42108840.416666664</v>
          </cell>
          <cell r="M143">
            <v>21146659.583333336</v>
          </cell>
          <cell r="N143">
            <v>-3579834</v>
          </cell>
          <cell r="O143">
            <v>98822000</v>
          </cell>
          <cell r="P143">
            <v>60707725</v>
          </cell>
          <cell r="Q143">
            <v>79963012</v>
          </cell>
          <cell r="R143">
            <v>46557500</v>
          </cell>
          <cell r="S143">
            <v>55075009</v>
          </cell>
          <cell r="T143">
            <v>70648870</v>
          </cell>
          <cell r="U143">
            <v>49750925</v>
          </cell>
          <cell r="V143">
            <v>97928671</v>
          </cell>
          <cell r="W143">
            <v>59157584</v>
          </cell>
          <cell r="X143">
            <v>678286962</v>
          </cell>
        </row>
        <row r="144">
          <cell r="C144">
            <v>62230000</v>
          </cell>
          <cell r="D144" t="str">
            <v>LOCATIONS MATETERIEL ET OUTILLAGE</v>
          </cell>
          <cell r="E144">
            <v>5400478</v>
          </cell>
          <cell r="F144">
            <v>94929367</v>
          </cell>
          <cell r="G144">
            <v>492500</v>
          </cell>
          <cell r="H144">
            <v>925000</v>
          </cell>
          <cell r="I144" t="str">
            <v>MR</v>
          </cell>
          <cell r="J144" t="str">
            <v>Opex3</v>
          </cell>
          <cell r="K144">
            <v>925000</v>
          </cell>
          <cell r="L144">
            <v>77083.333333333328</v>
          </cell>
          <cell r="M144">
            <v>72916.666666666672</v>
          </cell>
          <cell r="N144">
            <v>750000</v>
          </cell>
          <cell r="O144">
            <v>112500</v>
          </cell>
          <cell r="P144">
            <v>1962750</v>
          </cell>
          <cell r="Q144">
            <v>575000</v>
          </cell>
          <cell r="R144">
            <v>0.33333333337213844</v>
          </cell>
          <cell r="S144">
            <v>49999.666666666511</v>
          </cell>
          <cell r="T144">
            <v>125000</v>
          </cell>
          <cell r="U144">
            <v>0</v>
          </cell>
          <cell r="V144">
            <v>13119140</v>
          </cell>
          <cell r="W144">
            <v>0</v>
          </cell>
          <cell r="X144">
            <v>16844390</v>
          </cell>
        </row>
        <row r="146">
          <cell r="D146" t="str">
            <v>TOTAL RJ   622</v>
          </cell>
          <cell r="E146">
            <v>118206077</v>
          </cell>
          <cell r="F146">
            <v>349461089</v>
          </cell>
          <cell r="G146">
            <v>468468190</v>
          </cell>
          <cell r="H146">
            <v>886944989</v>
          </cell>
          <cell r="K146">
            <v>886944989</v>
          </cell>
          <cell r="L146">
            <v>53912082.416666664</v>
          </cell>
          <cell r="M146">
            <v>32945761.250000004</v>
          </cell>
          <cell r="N146">
            <v>12507822.333333332</v>
          </cell>
          <cell r="O146">
            <v>108934500</v>
          </cell>
          <cell r="P146">
            <v>74992975</v>
          </cell>
          <cell r="Q146">
            <v>97305512</v>
          </cell>
          <cell r="R146">
            <v>59612500.333333336</v>
          </cell>
          <cell r="S146">
            <v>68338341.666666672</v>
          </cell>
          <cell r="T146">
            <v>93335423</v>
          </cell>
          <cell r="U146">
            <v>59238665</v>
          </cell>
          <cell r="V146">
            <v>116247811</v>
          </cell>
          <cell r="W146">
            <v>82552177</v>
          </cell>
          <cell r="X146">
            <v>859923571</v>
          </cell>
        </row>
        <row r="148">
          <cell r="C148">
            <v>62410000</v>
          </cell>
          <cell r="D148" t="str">
            <v>ERT  CONSTRUCTIO</v>
          </cell>
          <cell r="E148">
            <v>11787492</v>
          </cell>
          <cell r="F148">
            <v>2693191</v>
          </cell>
          <cell r="G148">
            <v>0</v>
          </cell>
          <cell r="H148">
            <v>1800000</v>
          </cell>
          <cell r="I148" t="str">
            <v>MR</v>
          </cell>
          <cell r="J148" t="str">
            <v>Opex3</v>
          </cell>
          <cell r="K148">
            <v>1800000</v>
          </cell>
          <cell r="L148">
            <v>150000</v>
          </cell>
          <cell r="M148">
            <v>-150000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C149">
            <v>62420000</v>
          </cell>
          <cell r="D149" t="str">
            <v>ER BIENS MATERIEL ET MOBILIER</v>
          </cell>
          <cell r="E149">
            <v>26501795</v>
          </cell>
          <cell r="F149">
            <v>48423595</v>
          </cell>
          <cell r="G149">
            <v>89557450</v>
          </cell>
          <cell r="H149">
            <v>136627771</v>
          </cell>
          <cell r="I149" t="str">
            <v>FG</v>
          </cell>
          <cell r="J149" t="str">
            <v>Opex4</v>
          </cell>
          <cell r="K149">
            <v>136627771</v>
          </cell>
          <cell r="L149">
            <v>11385647.583333334</v>
          </cell>
          <cell r="M149">
            <v>8585480.416666666</v>
          </cell>
          <cell r="N149">
            <v>-10538199</v>
          </cell>
          <cell r="O149">
            <v>8067675</v>
          </cell>
          <cell r="P149">
            <v>66358506</v>
          </cell>
          <cell r="Q149">
            <v>31527014</v>
          </cell>
          <cell r="R149">
            <v>28090226</v>
          </cell>
          <cell r="S149">
            <v>59416591</v>
          </cell>
          <cell r="T149">
            <v>76029180</v>
          </cell>
          <cell r="U149">
            <v>29511999</v>
          </cell>
          <cell r="V149">
            <v>50081500</v>
          </cell>
          <cell r="W149">
            <v>54284921</v>
          </cell>
          <cell r="X149">
            <v>412800541</v>
          </cell>
        </row>
        <row r="150">
          <cell r="C150">
            <v>62421200</v>
          </cell>
          <cell r="G150">
            <v>0</v>
          </cell>
          <cell r="H150">
            <v>0</v>
          </cell>
          <cell r="I150" t="str">
            <v>FG</v>
          </cell>
          <cell r="J150" t="str">
            <v>Opex4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C151">
            <v>62430000</v>
          </cell>
          <cell r="D151" t="str">
            <v>MAINTENANCE COMMUTATION ENERGIE</v>
          </cell>
          <cell r="E151">
            <v>728586861</v>
          </cell>
          <cell r="F151">
            <v>572586001</v>
          </cell>
          <cell r="G151">
            <v>495194289</v>
          </cell>
          <cell r="H151">
            <v>232837461</v>
          </cell>
          <cell r="I151" t="str">
            <v>MR</v>
          </cell>
          <cell r="J151" t="str">
            <v>Opex3</v>
          </cell>
          <cell r="K151">
            <v>232837461</v>
          </cell>
          <cell r="L151">
            <v>19403121.75</v>
          </cell>
          <cell r="M151">
            <v>19403122</v>
          </cell>
          <cell r="N151">
            <v>-8392698.75</v>
          </cell>
          <cell r="O151">
            <v>10137848.333333334</v>
          </cell>
          <cell r="P151">
            <v>10137848.333333334</v>
          </cell>
          <cell r="Q151">
            <v>55601853.333333328</v>
          </cell>
          <cell r="R151">
            <v>10244359.666666668</v>
          </cell>
          <cell r="S151">
            <v>5242785.3333333284</v>
          </cell>
          <cell r="T151">
            <v>55893265</v>
          </cell>
          <cell r="U151">
            <v>23793470</v>
          </cell>
          <cell r="V151">
            <v>15861466</v>
          </cell>
          <cell r="W151">
            <v>19827468</v>
          </cell>
          <cell r="X151">
            <v>237153909</v>
          </cell>
        </row>
        <row r="152">
          <cell r="C152">
            <v>62433200</v>
          </cell>
          <cell r="G152">
            <v>0</v>
          </cell>
          <cell r="H152">
            <v>0</v>
          </cell>
          <cell r="I152" t="str">
            <v>MR</v>
          </cell>
          <cell r="J152" t="str">
            <v>Opex3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C153">
            <v>62441200</v>
          </cell>
          <cell r="G153">
            <v>0</v>
          </cell>
          <cell r="H153">
            <v>0</v>
          </cell>
          <cell r="I153" t="str">
            <v>MR</v>
          </cell>
          <cell r="J153" t="str">
            <v>Opex3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C154">
            <v>62443000</v>
          </cell>
          <cell r="D154" t="str">
            <v>maintenance froid et energie</v>
          </cell>
          <cell r="G154">
            <v>0</v>
          </cell>
          <cell r="H154">
            <v>0</v>
          </cell>
          <cell r="I154" t="str">
            <v>MR</v>
          </cell>
          <cell r="J154" t="str">
            <v>Opex3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</row>
        <row r="156">
          <cell r="D156" t="str">
            <v>TOTAL RJ   624</v>
          </cell>
          <cell r="E156">
            <v>766876148</v>
          </cell>
          <cell r="F156">
            <v>623702787</v>
          </cell>
          <cell r="G156">
            <v>584751739</v>
          </cell>
          <cell r="H156">
            <v>371265232</v>
          </cell>
          <cell r="K156">
            <v>371265232</v>
          </cell>
          <cell r="L156">
            <v>30938769.333333336</v>
          </cell>
          <cell r="M156">
            <v>27838602.416666664</v>
          </cell>
          <cell r="N156">
            <v>-18930897.75</v>
          </cell>
          <cell r="O156">
            <v>18205523.333333336</v>
          </cell>
          <cell r="P156">
            <v>76496354.333333328</v>
          </cell>
          <cell r="Q156">
            <v>87128867.333333328</v>
          </cell>
          <cell r="R156">
            <v>38334585.666666672</v>
          </cell>
          <cell r="S156">
            <v>64659376.333333328</v>
          </cell>
          <cell r="T156">
            <v>131922445</v>
          </cell>
          <cell r="U156">
            <v>53305469</v>
          </cell>
          <cell r="V156">
            <v>65942966</v>
          </cell>
          <cell r="W156">
            <v>74112389</v>
          </cell>
          <cell r="X156">
            <v>649954450</v>
          </cell>
        </row>
        <row r="157">
          <cell r="C157">
            <v>62510000</v>
          </cell>
          <cell r="D157" t="str">
            <v>ASSURANCE MULTI RISQUES</v>
          </cell>
          <cell r="E157">
            <v>24645609</v>
          </cell>
          <cell r="F157">
            <v>27792664</v>
          </cell>
          <cell r="G157">
            <v>27767664</v>
          </cell>
          <cell r="H157">
            <v>25731796</v>
          </cell>
          <cell r="I157" t="str">
            <v>FG</v>
          </cell>
          <cell r="J157" t="str">
            <v>Opex4</v>
          </cell>
          <cell r="K157">
            <v>25731796</v>
          </cell>
          <cell r="L157">
            <v>2144316.3333333335</v>
          </cell>
          <cell r="M157">
            <v>2144316</v>
          </cell>
          <cell r="N157">
            <v>1711367.666666666</v>
          </cell>
          <cell r="O157">
            <v>2000000</v>
          </cell>
          <cell r="P157">
            <v>2000000</v>
          </cell>
          <cell r="Q157">
            <v>14281000</v>
          </cell>
          <cell r="R157">
            <v>0</v>
          </cell>
          <cell r="S157">
            <v>3468714.2857142859</v>
          </cell>
          <cell r="T157">
            <v>-3468714.2857142873</v>
          </cell>
          <cell r="U157">
            <v>0</v>
          </cell>
          <cell r="V157">
            <v>0</v>
          </cell>
          <cell r="W157">
            <v>0</v>
          </cell>
          <cell r="X157">
            <v>24281000</v>
          </cell>
        </row>
        <row r="158">
          <cell r="C158">
            <v>62513300</v>
          </cell>
          <cell r="G158">
            <v>0</v>
          </cell>
          <cell r="H158">
            <v>0</v>
          </cell>
          <cell r="I158" t="str">
            <v>FG</v>
          </cell>
          <cell r="J158" t="str">
            <v>Opex4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</row>
        <row r="159">
          <cell r="C159">
            <v>62515200</v>
          </cell>
          <cell r="G159">
            <v>0</v>
          </cell>
          <cell r="H159">
            <v>0</v>
          </cell>
          <cell r="I159" t="str">
            <v>FG</v>
          </cell>
          <cell r="J159" t="str">
            <v>Opex4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</row>
        <row r="160">
          <cell r="C160">
            <v>62520000</v>
          </cell>
          <cell r="D160" t="str">
            <v>ASSURANCE MATERIEL DE TRANSPORT</v>
          </cell>
          <cell r="E160">
            <v>2782708</v>
          </cell>
          <cell r="F160">
            <v>3457777</v>
          </cell>
          <cell r="G160">
            <v>20288556</v>
          </cell>
          <cell r="H160">
            <v>6825356</v>
          </cell>
          <cell r="I160" t="str">
            <v>FG</v>
          </cell>
          <cell r="J160" t="str">
            <v>Opex4</v>
          </cell>
          <cell r="K160">
            <v>6825356</v>
          </cell>
          <cell r="L160">
            <v>568779.66666666663</v>
          </cell>
          <cell r="M160">
            <v>568780</v>
          </cell>
          <cell r="N160">
            <v>146870.33333333349</v>
          </cell>
          <cell r="O160">
            <v>428143.33333333331</v>
          </cell>
          <cell r="P160">
            <v>428143.33333333331</v>
          </cell>
          <cell r="Q160">
            <v>4281430.333333334</v>
          </cell>
          <cell r="R160">
            <v>0</v>
          </cell>
          <cell r="S160">
            <v>917449.57142857148</v>
          </cell>
          <cell r="T160">
            <v>-3486308.5714285718</v>
          </cell>
          <cell r="U160">
            <v>0</v>
          </cell>
          <cell r="V160">
            <v>856286</v>
          </cell>
          <cell r="W160">
            <v>584269</v>
          </cell>
          <cell r="X160">
            <v>5293843</v>
          </cell>
        </row>
        <row r="161">
          <cell r="C161">
            <v>62560000</v>
          </cell>
          <cell r="D161" t="str">
            <v>ASSURANCE TRANSPORT SUR ACHAT</v>
          </cell>
          <cell r="E161">
            <v>6836339</v>
          </cell>
          <cell r="F161">
            <v>10888603</v>
          </cell>
          <cell r="G161">
            <v>9838803</v>
          </cell>
          <cell r="H161">
            <v>2167309</v>
          </cell>
          <cell r="I161" t="str">
            <v>FG</v>
          </cell>
          <cell r="J161" t="str">
            <v>Opex4</v>
          </cell>
          <cell r="K161">
            <v>2167309</v>
          </cell>
          <cell r="L161">
            <v>180609.08333333334</v>
          </cell>
          <cell r="M161">
            <v>954473.91666666663</v>
          </cell>
          <cell r="N161">
            <v>70728</v>
          </cell>
          <cell r="O161">
            <v>0</v>
          </cell>
          <cell r="P161">
            <v>399525</v>
          </cell>
          <cell r="Q161">
            <v>872664</v>
          </cell>
          <cell r="R161">
            <v>215112</v>
          </cell>
          <cell r="S161">
            <v>384730.28571428574</v>
          </cell>
          <cell r="T161">
            <v>362102.71428571409</v>
          </cell>
          <cell r="U161">
            <v>0</v>
          </cell>
          <cell r="V161">
            <v>797398</v>
          </cell>
          <cell r="W161">
            <v>358648</v>
          </cell>
          <cell r="X161">
            <v>4595991</v>
          </cell>
        </row>
        <row r="162">
          <cell r="C162">
            <v>62580000</v>
          </cell>
          <cell r="D162" t="str">
            <v>ASSURANCE INCENDIE</v>
          </cell>
          <cell r="I162" t="str">
            <v>FG</v>
          </cell>
          <cell r="K162">
            <v>70250</v>
          </cell>
          <cell r="N162">
            <v>70250</v>
          </cell>
          <cell r="O162">
            <v>0</v>
          </cell>
          <cell r="P162">
            <v>-70250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</row>
        <row r="164">
          <cell r="D164" t="str">
            <v>TOTAL RJ   625</v>
          </cell>
          <cell r="E164">
            <v>34264656</v>
          </cell>
          <cell r="F164">
            <v>42139044</v>
          </cell>
          <cell r="G164">
            <v>57895023</v>
          </cell>
          <cell r="H164">
            <v>34724461</v>
          </cell>
          <cell r="K164">
            <v>34794711</v>
          </cell>
          <cell r="L164">
            <v>2893705.0833333335</v>
          </cell>
          <cell r="M164">
            <v>3667569.9166666665</v>
          </cell>
          <cell r="N164">
            <v>1999215.9999999995</v>
          </cell>
          <cell r="O164">
            <v>2428143.3333333335</v>
          </cell>
          <cell r="P164">
            <v>2757418.3333333335</v>
          </cell>
          <cell r="Q164">
            <v>19435094.333333336</v>
          </cell>
          <cell r="R164">
            <v>215112</v>
          </cell>
          <cell r="S164">
            <v>4770894.1428571427</v>
          </cell>
          <cell r="T164">
            <v>-6592920.1428571455</v>
          </cell>
          <cell r="U164">
            <v>0</v>
          </cell>
          <cell r="V164">
            <v>1653684</v>
          </cell>
          <cell r="W164">
            <v>942917</v>
          </cell>
          <cell r="X164">
            <v>34170834</v>
          </cell>
        </row>
        <row r="166">
          <cell r="C166">
            <v>62620000</v>
          </cell>
          <cell r="D166" t="str">
            <v>PHOTOCOPIE</v>
          </cell>
          <cell r="E166">
            <v>353225</v>
          </cell>
          <cell r="F166">
            <v>222755</v>
          </cell>
          <cell r="G166">
            <v>1000</v>
          </cell>
          <cell r="H166">
            <v>1091400</v>
          </cell>
          <cell r="I166" t="str">
            <v>FG</v>
          </cell>
          <cell r="J166" t="str">
            <v>Opex4</v>
          </cell>
          <cell r="K166">
            <v>1091400</v>
          </cell>
          <cell r="L166">
            <v>90950</v>
          </cell>
          <cell r="M166">
            <v>-90950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</row>
        <row r="167">
          <cell r="C167">
            <v>62650000</v>
          </cell>
          <cell r="D167" t="str">
            <v>DOCUMENTATION GENERAL ET ABONNEMENT</v>
          </cell>
          <cell r="E167">
            <v>1958595</v>
          </cell>
          <cell r="F167">
            <v>1173470</v>
          </cell>
          <cell r="G167">
            <v>24627</v>
          </cell>
          <cell r="H167">
            <v>0</v>
          </cell>
          <cell r="I167" t="str">
            <v>FG</v>
          </cell>
          <cell r="J167" t="str">
            <v>Opex4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149012</v>
          </cell>
          <cell r="Q167">
            <v>0</v>
          </cell>
          <cell r="R167">
            <v>0</v>
          </cell>
          <cell r="S167">
            <v>0</v>
          </cell>
          <cell r="T167">
            <v>-120000</v>
          </cell>
          <cell r="U167">
            <v>0</v>
          </cell>
          <cell r="V167">
            <v>0</v>
          </cell>
          <cell r="W167">
            <v>14160</v>
          </cell>
          <cell r="X167">
            <v>43172</v>
          </cell>
        </row>
        <row r="168">
          <cell r="C168">
            <v>62660000</v>
          </cell>
          <cell r="D168" t="str">
            <v>DOCUMENTATION TECHNIQUE</v>
          </cell>
          <cell r="F168">
            <v>268945</v>
          </cell>
          <cell r="G168">
            <v>315500</v>
          </cell>
          <cell r="H168">
            <v>0</v>
          </cell>
          <cell r="I168" t="str">
            <v>FG</v>
          </cell>
          <cell r="J168" t="str">
            <v>Opex4</v>
          </cell>
          <cell r="K168">
            <v>0</v>
          </cell>
          <cell r="L168">
            <v>0</v>
          </cell>
          <cell r="M168">
            <v>0</v>
          </cell>
          <cell r="N168">
            <v>120000</v>
          </cell>
          <cell r="O168">
            <v>0</v>
          </cell>
          <cell r="P168">
            <v>-120000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C169">
            <v>62667000</v>
          </cell>
          <cell r="D169" t="str">
            <v>ABONNEMENT</v>
          </cell>
          <cell r="E169">
            <v>257678</v>
          </cell>
          <cell r="F169">
            <v>3225922</v>
          </cell>
          <cell r="G169">
            <v>1080380</v>
          </cell>
          <cell r="H169">
            <v>0</v>
          </cell>
          <cell r="I169" t="str">
            <v>FG</v>
          </cell>
          <cell r="J169" t="str">
            <v>Opex4</v>
          </cell>
          <cell r="K169">
            <v>0</v>
          </cell>
          <cell r="L169">
            <v>0</v>
          </cell>
          <cell r="M169">
            <v>0</v>
          </cell>
          <cell r="N169">
            <v>292500</v>
          </cell>
          <cell r="O169">
            <v>0</v>
          </cell>
          <cell r="P169">
            <v>195000</v>
          </cell>
          <cell r="Q169">
            <v>97500</v>
          </cell>
          <cell r="R169">
            <v>0</v>
          </cell>
          <cell r="S169">
            <v>0</v>
          </cell>
          <cell r="T169">
            <v>292500</v>
          </cell>
          <cell r="U169">
            <v>0</v>
          </cell>
          <cell r="V169">
            <v>0</v>
          </cell>
          <cell r="W169">
            <v>292500</v>
          </cell>
          <cell r="X169">
            <v>1170000</v>
          </cell>
        </row>
        <row r="171">
          <cell r="D171" t="str">
            <v>TOTAL RJ   626</v>
          </cell>
          <cell r="E171">
            <v>2569498</v>
          </cell>
          <cell r="F171">
            <v>4891092</v>
          </cell>
          <cell r="G171">
            <v>1421507</v>
          </cell>
          <cell r="H171">
            <v>1091400</v>
          </cell>
          <cell r="K171">
            <v>1091400</v>
          </cell>
          <cell r="L171">
            <v>90950</v>
          </cell>
          <cell r="M171">
            <v>-90950</v>
          </cell>
          <cell r="N171">
            <v>412500</v>
          </cell>
          <cell r="O171">
            <v>0</v>
          </cell>
          <cell r="P171">
            <v>224012</v>
          </cell>
          <cell r="Q171">
            <v>97500</v>
          </cell>
          <cell r="R171">
            <v>0</v>
          </cell>
          <cell r="S171">
            <v>0</v>
          </cell>
          <cell r="T171">
            <v>172500</v>
          </cell>
          <cell r="U171">
            <v>0</v>
          </cell>
          <cell r="V171">
            <v>0</v>
          </cell>
          <cell r="W171">
            <v>306660</v>
          </cell>
          <cell r="X171">
            <v>1213172</v>
          </cell>
        </row>
        <row r="173">
          <cell r="C173">
            <v>62710000</v>
          </cell>
          <cell r="D173" t="str">
            <v>ANNONCES ET INS</v>
          </cell>
          <cell r="E173">
            <v>150483463</v>
          </cell>
          <cell r="F173">
            <v>270426739</v>
          </cell>
          <cell r="G173">
            <v>259304514</v>
          </cell>
          <cell r="H173">
            <v>518903926</v>
          </cell>
          <cell r="I173" t="str">
            <v>COM</v>
          </cell>
          <cell r="J173" t="str">
            <v>Opex2</v>
          </cell>
          <cell r="K173">
            <v>518903926</v>
          </cell>
          <cell r="L173">
            <v>23241993.833333336</v>
          </cell>
          <cell r="M173">
            <v>17420106.166666664</v>
          </cell>
          <cell r="N173">
            <v>-33445183</v>
          </cell>
          <cell r="O173">
            <v>72786303</v>
          </cell>
          <cell r="P173">
            <v>54853151</v>
          </cell>
          <cell r="Q173">
            <v>-5911848</v>
          </cell>
          <cell r="R173">
            <v>30063300</v>
          </cell>
          <cell r="S173">
            <v>25878500</v>
          </cell>
          <cell r="T173">
            <v>-52389839</v>
          </cell>
          <cell r="U173">
            <v>4464140</v>
          </cell>
          <cell r="V173">
            <v>15920330</v>
          </cell>
          <cell r="W173">
            <v>136185673</v>
          </cell>
          <cell r="X173">
            <v>289066627</v>
          </cell>
        </row>
        <row r="174">
          <cell r="C174">
            <v>62712200</v>
          </cell>
          <cell r="G174">
            <v>0</v>
          </cell>
          <cell r="H174">
            <v>0</v>
          </cell>
          <cell r="I174" t="str">
            <v>COM</v>
          </cell>
          <cell r="J174" t="str">
            <v>Opex2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C175">
            <v>62720000</v>
          </cell>
          <cell r="D175" t="str">
            <v>CATALOGUES ET IMPRIMES PUBLICITAIRE</v>
          </cell>
          <cell r="E175">
            <v>282624880</v>
          </cell>
          <cell r="F175">
            <v>110609800</v>
          </cell>
          <cell r="G175">
            <v>35845360</v>
          </cell>
          <cell r="H175">
            <v>333679065</v>
          </cell>
          <cell r="I175" t="str">
            <v>COM</v>
          </cell>
          <cell r="J175" t="str">
            <v>Opex2</v>
          </cell>
          <cell r="K175">
            <v>333679065</v>
          </cell>
          <cell r="L175">
            <v>27806588.75</v>
          </cell>
          <cell r="M175">
            <v>27806589.25</v>
          </cell>
          <cell r="N175">
            <v>-39466180</v>
          </cell>
          <cell r="O175">
            <v>2500000</v>
          </cell>
          <cell r="P175">
            <v>-12359248</v>
          </cell>
          <cell r="Q175">
            <v>15668800</v>
          </cell>
          <cell r="R175">
            <v>9268500</v>
          </cell>
          <cell r="S175">
            <v>19344110</v>
          </cell>
          <cell r="T175">
            <v>2559181</v>
          </cell>
          <cell r="U175">
            <v>732500</v>
          </cell>
          <cell r="V175">
            <v>-11536381</v>
          </cell>
          <cell r="W175">
            <v>-5362500</v>
          </cell>
          <cell r="X175">
            <v>36961960</v>
          </cell>
        </row>
        <row r="176">
          <cell r="C176">
            <v>62730000</v>
          </cell>
          <cell r="D176" t="str">
            <v>ECHANTILLONS</v>
          </cell>
          <cell r="E176">
            <v>100000</v>
          </cell>
          <cell r="G176">
            <v>0</v>
          </cell>
          <cell r="H176">
            <v>0</v>
          </cell>
          <cell r="I176" t="str">
            <v>COM</v>
          </cell>
          <cell r="J176" t="str">
            <v>Opex2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C177">
            <v>62740000</v>
          </cell>
          <cell r="D177" t="str">
            <v>FOIRES ET EXPOSIT</v>
          </cell>
          <cell r="E177">
            <v>1596500</v>
          </cell>
          <cell r="F177">
            <v>75000</v>
          </cell>
          <cell r="G177">
            <v>0</v>
          </cell>
          <cell r="H177">
            <v>0</v>
          </cell>
          <cell r="I177" t="str">
            <v>COM</v>
          </cell>
          <cell r="J177" t="str">
            <v>Opex2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889200</v>
          </cell>
          <cell r="W177">
            <v>889200</v>
          </cell>
          <cell r="X177">
            <v>1778400</v>
          </cell>
        </row>
        <row r="178">
          <cell r="C178">
            <v>62750000</v>
          </cell>
          <cell r="D178" t="str">
            <v>PUBLICATIONS</v>
          </cell>
          <cell r="E178">
            <v>56651746</v>
          </cell>
          <cell r="F178">
            <v>8400000</v>
          </cell>
          <cell r="G178">
            <v>6104000</v>
          </cell>
          <cell r="H178">
            <v>816644</v>
          </cell>
          <cell r="I178" t="str">
            <v>COM</v>
          </cell>
          <cell r="J178" t="str">
            <v>Opex2</v>
          </cell>
          <cell r="K178">
            <v>816644</v>
          </cell>
          <cell r="L178">
            <v>68053.666666666672</v>
          </cell>
          <cell r="M178">
            <v>-68053.666666666672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</row>
        <row r="179">
          <cell r="C179">
            <v>62752000</v>
          </cell>
          <cell r="D179" t="str">
            <v>DONS</v>
          </cell>
          <cell r="E179">
            <v>76793619</v>
          </cell>
          <cell r="F179">
            <v>33238788</v>
          </cell>
          <cell r="G179">
            <v>25306979</v>
          </cell>
          <cell r="H179">
            <v>0</v>
          </cell>
          <cell r="I179" t="str">
            <v>COM</v>
          </cell>
          <cell r="J179" t="str">
            <v>Opex2</v>
          </cell>
          <cell r="K179">
            <v>0</v>
          </cell>
          <cell r="L179">
            <v>0</v>
          </cell>
          <cell r="M179">
            <v>0</v>
          </cell>
          <cell r="N179">
            <v>500000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250000</v>
          </cell>
          <cell r="W179">
            <v>0</v>
          </cell>
          <cell r="X179">
            <v>750000</v>
          </cell>
        </row>
        <row r="180">
          <cell r="C180">
            <v>62755000</v>
          </cell>
          <cell r="D180" t="str">
            <v>SPONSORING</v>
          </cell>
          <cell r="E180">
            <v>50593000</v>
          </cell>
          <cell r="F180">
            <v>154209925</v>
          </cell>
          <cell r="G180">
            <v>54818728</v>
          </cell>
          <cell r="H180">
            <v>5500000</v>
          </cell>
          <cell r="I180" t="str">
            <v>COM</v>
          </cell>
          <cell r="J180" t="str">
            <v>Opex2</v>
          </cell>
          <cell r="K180">
            <v>5500000</v>
          </cell>
          <cell r="L180">
            <v>458333.33333333331</v>
          </cell>
          <cell r="M180">
            <v>-458333.33333333331</v>
          </cell>
          <cell r="N180">
            <v>3300000</v>
          </cell>
          <cell r="O180">
            <v>23132000</v>
          </cell>
          <cell r="P180">
            <v>500000</v>
          </cell>
          <cell r="Q180">
            <v>2000000</v>
          </cell>
          <cell r="R180">
            <v>3544000</v>
          </cell>
          <cell r="S180">
            <v>0</v>
          </cell>
          <cell r="T180">
            <v>-3544000</v>
          </cell>
          <cell r="U180">
            <v>500000</v>
          </cell>
          <cell r="V180">
            <v>0</v>
          </cell>
          <cell r="W180">
            <v>300000</v>
          </cell>
          <cell r="X180">
            <v>29732000</v>
          </cell>
        </row>
        <row r="181">
          <cell r="C181">
            <v>62760000</v>
          </cell>
          <cell r="D181" t="str">
            <v>CADEAUX A LA CL</v>
          </cell>
          <cell r="E181">
            <v>72780000</v>
          </cell>
          <cell r="F181">
            <v>76042200</v>
          </cell>
          <cell r="G181">
            <v>2459441</v>
          </cell>
          <cell r="H181">
            <v>27153713</v>
          </cell>
          <cell r="I181" t="str">
            <v>COM</v>
          </cell>
          <cell r="J181" t="str">
            <v>Opex2</v>
          </cell>
          <cell r="K181">
            <v>27153713</v>
          </cell>
          <cell r="L181">
            <v>2262809.4166666665</v>
          </cell>
          <cell r="M181">
            <v>11229690.583333334</v>
          </cell>
          <cell r="N181">
            <v>0</v>
          </cell>
          <cell r="O181">
            <v>0</v>
          </cell>
          <cell r="P181">
            <v>6457500</v>
          </cell>
          <cell r="Q181">
            <v>30679053</v>
          </cell>
          <cell r="R181">
            <v>5378851</v>
          </cell>
          <cell r="S181">
            <v>2921149</v>
          </cell>
          <cell r="T181">
            <v>3822187</v>
          </cell>
          <cell r="U181">
            <v>54073350</v>
          </cell>
          <cell r="V181">
            <v>-66511653</v>
          </cell>
          <cell r="W181">
            <v>23161831</v>
          </cell>
          <cell r="X181">
            <v>73474768</v>
          </cell>
        </row>
        <row r="182">
          <cell r="C182">
            <v>62761000</v>
          </cell>
          <cell r="D182" t="str">
            <v>CADEAUX DE FIN</v>
          </cell>
          <cell r="E182">
            <v>125212700</v>
          </cell>
          <cell r="F182">
            <v>39820200</v>
          </cell>
          <cell r="G182">
            <v>0</v>
          </cell>
          <cell r="H182">
            <v>0</v>
          </cell>
          <cell r="I182" t="str">
            <v>COM</v>
          </cell>
          <cell r="J182" t="str">
            <v>Opex2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9630000</v>
          </cell>
          <cell r="X182">
            <v>9630000</v>
          </cell>
        </row>
        <row r="183">
          <cell r="C183">
            <v>62762000</v>
          </cell>
          <cell r="D183" t="str">
            <v>SEMAINE COM. ET PROMO COMMERCIALE</v>
          </cell>
          <cell r="E183">
            <v>30173490</v>
          </cell>
          <cell r="F183">
            <v>18412554</v>
          </cell>
          <cell r="G183">
            <v>11514000</v>
          </cell>
          <cell r="H183">
            <v>8115657</v>
          </cell>
          <cell r="I183" t="str">
            <v>COM</v>
          </cell>
          <cell r="J183" t="str">
            <v>Opex2</v>
          </cell>
          <cell r="K183">
            <v>8115657</v>
          </cell>
          <cell r="L183">
            <v>676304.75</v>
          </cell>
          <cell r="M183">
            <v>-301304.75</v>
          </cell>
          <cell r="N183">
            <v>375000</v>
          </cell>
          <cell r="O183">
            <v>110000</v>
          </cell>
          <cell r="P183">
            <v>-173000</v>
          </cell>
          <cell r="Q183">
            <v>53500</v>
          </cell>
          <cell r="R183">
            <v>123416.66666666667</v>
          </cell>
          <cell r="S183">
            <v>26583.333333333372</v>
          </cell>
          <cell r="T183">
            <v>15000</v>
          </cell>
          <cell r="U183">
            <v>0</v>
          </cell>
          <cell r="V183">
            <v>1715000</v>
          </cell>
          <cell r="W183">
            <v>3034856</v>
          </cell>
          <cell r="X183">
            <v>5655356</v>
          </cell>
        </row>
        <row r="184">
          <cell r="C184">
            <v>62770000</v>
          </cell>
          <cell r="D184" t="str">
            <v>FRAIS DE COLLOQ (HS et spéciales)</v>
          </cell>
          <cell r="E184">
            <v>4643000</v>
          </cell>
          <cell r="F184">
            <v>486000</v>
          </cell>
          <cell r="G184">
            <v>200000</v>
          </cell>
          <cell r="H184">
            <v>0</v>
          </cell>
          <cell r="I184" t="str">
            <v>COM</v>
          </cell>
          <cell r="J184" t="str">
            <v>Opex2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</row>
        <row r="185">
          <cell r="C185">
            <v>62780000</v>
          </cell>
          <cell r="D185" t="str">
            <v>RELATIONS PUBLICITAIRES</v>
          </cell>
          <cell r="E185">
            <v>76281015</v>
          </cell>
          <cell r="F185">
            <v>217196309</v>
          </cell>
          <cell r="G185">
            <v>335759395</v>
          </cell>
          <cell r="H185">
            <v>113250661</v>
          </cell>
          <cell r="I185" t="str">
            <v>COM</v>
          </cell>
          <cell r="J185" t="str">
            <v>Opex2</v>
          </cell>
          <cell r="K185">
            <v>113250661</v>
          </cell>
          <cell r="L185">
            <v>9437555.083333334</v>
          </cell>
          <cell r="M185">
            <v>-2310655.083333334</v>
          </cell>
          <cell r="N185">
            <v>59674513</v>
          </cell>
          <cell r="O185">
            <v>1052800</v>
          </cell>
          <cell r="P185">
            <v>9239603</v>
          </cell>
          <cell r="Q185">
            <v>-30371403</v>
          </cell>
          <cell r="R185">
            <v>2425750.833333333</v>
          </cell>
          <cell r="S185">
            <v>0</v>
          </cell>
          <cell r="T185">
            <v>-43803.833333335817</v>
          </cell>
          <cell r="U185">
            <v>0</v>
          </cell>
          <cell r="V185">
            <v>30359062</v>
          </cell>
          <cell r="W185">
            <v>-12156868</v>
          </cell>
          <cell r="X185">
            <v>67306554</v>
          </cell>
        </row>
        <row r="186">
          <cell r="C186">
            <v>62790000</v>
          </cell>
          <cell r="D186" t="str">
            <v>Branding</v>
          </cell>
          <cell r="G186">
            <v>0</v>
          </cell>
          <cell r="H186">
            <v>0</v>
          </cell>
          <cell r="I186" t="str">
            <v>COM</v>
          </cell>
          <cell r="J186" t="str">
            <v>Opex2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9">
          <cell r="D189" t="str">
            <v>TOTAL RJ   627</v>
          </cell>
          <cell r="E189">
            <v>927933413</v>
          </cell>
          <cell r="F189">
            <v>928917515</v>
          </cell>
          <cell r="G189">
            <v>731312417</v>
          </cell>
          <cell r="H189">
            <v>1007419666</v>
          </cell>
          <cell r="K189">
            <v>1007419666</v>
          </cell>
          <cell r="L189">
            <v>63951638.833333336</v>
          </cell>
          <cell r="M189">
            <v>53318039.166666664</v>
          </cell>
          <cell r="N189">
            <v>-9061850</v>
          </cell>
          <cell r="O189">
            <v>99581103</v>
          </cell>
          <cell r="P189">
            <v>58518006</v>
          </cell>
          <cell r="Q189">
            <v>12118102</v>
          </cell>
          <cell r="R189">
            <v>50803818.5</v>
          </cell>
          <cell r="S189">
            <v>48170342.333333336</v>
          </cell>
          <cell r="T189">
            <v>-49581274.833333336</v>
          </cell>
          <cell r="U189">
            <v>59769990</v>
          </cell>
          <cell r="V189">
            <v>-28914442</v>
          </cell>
          <cell r="W189">
            <v>155682192</v>
          </cell>
          <cell r="X189">
            <v>514355665</v>
          </cell>
        </row>
        <row r="191">
          <cell r="C191">
            <v>62811000</v>
          </cell>
          <cell r="D191" t="str">
            <v>TELEPHONNE LIGNE FIXE</v>
          </cell>
          <cell r="E191">
            <v>63684580</v>
          </cell>
          <cell r="F191">
            <v>65049990</v>
          </cell>
          <cell r="G191">
            <v>77413512</v>
          </cell>
          <cell r="H191">
            <v>81822270</v>
          </cell>
          <cell r="I191" t="str">
            <v>FG</v>
          </cell>
          <cell r="J191" t="str">
            <v>Opex4</v>
          </cell>
          <cell r="K191">
            <v>81822270</v>
          </cell>
          <cell r="L191">
            <v>5839850</v>
          </cell>
          <cell r="M191">
            <v>4058200</v>
          </cell>
          <cell r="N191">
            <v>4048661</v>
          </cell>
          <cell r="O191">
            <v>4648903.666666667</v>
          </cell>
          <cell r="P191">
            <v>-1652755.6666666679</v>
          </cell>
          <cell r="Q191">
            <v>7717568</v>
          </cell>
          <cell r="R191">
            <v>0</v>
          </cell>
          <cell r="S191">
            <v>3901830</v>
          </cell>
          <cell r="T191">
            <v>7724835</v>
          </cell>
          <cell r="U191">
            <v>3875555</v>
          </cell>
          <cell r="V191">
            <v>64537</v>
          </cell>
          <cell r="W191">
            <v>7930381</v>
          </cell>
          <cell r="X191">
            <v>48157565</v>
          </cell>
        </row>
        <row r="192">
          <cell r="C192">
            <v>62812100</v>
          </cell>
          <cell r="D192" t="str">
            <v>POST PAID</v>
          </cell>
          <cell r="E192">
            <v>64269639</v>
          </cell>
          <cell r="F192">
            <v>113407524</v>
          </cell>
          <cell r="G192">
            <v>128420115</v>
          </cell>
          <cell r="H192">
            <v>156636802</v>
          </cell>
          <cell r="I192" t="str">
            <v>FG</v>
          </cell>
          <cell r="J192" t="str">
            <v>Opex4</v>
          </cell>
          <cell r="K192">
            <v>156636802</v>
          </cell>
          <cell r="L192">
            <v>15700691</v>
          </cell>
          <cell r="M192">
            <v>14739938</v>
          </cell>
          <cell r="N192">
            <v>15786764</v>
          </cell>
          <cell r="O192">
            <v>15856117</v>
          </cell>
          <cell r="P192">
            <v>15717332</v>
          </cell>
          <cell r="Q192">
            <v>14900013</v>
          </cell>
          <cell r="R192">
            <v>0</v>
          </cell>
          <cell r="S192">
            <v>15624126</v>
          </cell>
          <cell r="T192">
            <v>14704712</v>
          </cell>
          <cell r="U192">
            <v>10109612.666666666</v>
          </cell>
          <cell r="V192">
            <v>34835378.333333328</v>
          </cell>
          <cell r="W192">
            <v>15203225</v>
          </cell>
          <cell r="X192">
            <v>183177909</v>
          </cell>
        </row>
        <row r="193">
          <cell r="C193">
            <v>62812200</v>
          </cell>
          <cell r="D193" t="str">
            <v>GFU</v>
          </cell>
          <cell r="E193">
            <v>3844512</v>
          </cell>
          <cell r="F193">
            <v>5114774</v>
          </cell>
          <cell r="G193">
            <v>6403706</v>
          </cell>
          <cell r="H193">
            <v>6403706</v>
          </cell>
          <cell r="I193" t="str">
            <v>FG</v>
          </cell>
          <cell r="J193" t="str">
            <v>Opex4</v>
          </cell>
          <cell r="K193">
            <v>6403706</v>
          </cell>
          <cell r="L193">
            <v>518704</v>
          </cell>
          <cell r="M193">
            <v>522518</v>
          </cell>
          <cell r="N193">
            <v>522518</v>
          </cell>
          <cell r="O193">
            <v>754660</v>
          </cell>
          <cell r="P193">
            <v>754596</v>
          </cell>
          <cell r="Q193">
            <v>749088</v>
          </cell>
          <cell r="R193">
            <v>0</v>
          </cell>
          <cell r="S193">
            <v>749088</v>
          </cell>
          <cell r="T193">
            <v>749088</v>
          </cell>
          <cell r="U193">
            <v>749088</v>
          </cell>
          <cell r="V193">
            <v>1495422</v>
          </cell>
          <cell r="W193">
            <v>746334</v>
          </cell>
          <cell r="X193">
            <v>8311104</v>
          </cell>
        </row>
        <row r="194">
          <cell r="C194">
            <v>62812300</v>
          </cell>
          <cell r="D194" t="str">
            <v>PREPAYE</v>
          </cell>
          <cell r="E194">
            <v>1636695</v>
          </cell>
          <cell r="F194">
            <v>2000</v>
          </cell>
          <cell r="G194">
            <v>2000</v>
          </cell>
          <cell r="H194">
            <v>0</v>
          </cell>
          <cell r="I194" t="str">
            <v>FG</v>
          </cell>
          <cell r="J194" t="str">
            <v>Opex4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C195">
            <v>62812400</v>
          </cell>
          <cell r="D195" t="str">
            <v>APPAREILS CELLU</v>
          </cell>
          <cell r="E195">
            <v>405932</v>
          </cell>
          <cell r="F195">
            <v>12017756</v>
          </cell>
          <cell r="G195">
            <v>19971506</v>
          </cell>
          <cell r="H195">
            <v>0</v>
          </cell>
          <cell r="I195" t="str">
            <v>FG</v>
          </cell>
          <cell r="J195" t="str">
            <v>Opex4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</row>
        <row r="196">
          <cell r="C196">
            <v>62820000</v>
          </cell>
          <cell r="D196" t="str">
            <v>FRAIS DE TELEX</v>
          </cell>
          <cell r="E196">
            <v>490500</v>
          </cell>
          <cell r="G196">
            <v>0</v>
          </cell>
          <cell r="H196">
            <v>0</v>
          </cell>
          <cell r="I196" t="str">
            <v>FG</v>
          </cell>
          <cell r="J196" t="str">
            <v>Opex4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C197">
            <v>62825000</v>
          </cell>
          <cell r="D197" t="str">
            <v>FRAIS DE REPARAT</v>
          </cell>
          <cell r="E197">
            <v>147500</v>
          </cell>
          <cell r="F197">
            <v>375900</v>
          </cell>
          <cell r="G197">
            <v>171900</v>
          </cell>
          <cell r="H197">
            <v>0</v>
          </cell>
          <cell r="I197" t="str">
            <v>FG</v>
          </cell>
          <cell r="J197" t="str">
            <v>Opex4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C198">
            <v>62830000</v>
          </cell>
          <cell r="D198" t="str">
            <v>TELECOPIE</v>
          </cell>
          <cell r="E198">
            <v>4200</v>
          </cell>
          <cell r="G198">
            <v>0</v>
          </cell>
          <cell r="H198">
            <v>0</v>
          </cell>
          <cell r="I198" t="str">
            <v>FG</v>
          </cell>
          <cell r="J198" t="str">
            <v>Opex4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</row>
        <row r="201">
          <cell r="D201" t="str">
            <v>TOTAL RJ   628</v>
          </cell>
          <cell r="E201">
            <v>134483558</v>
          </cell>
          <cell r="F201">
            <v>195967944</v>
          </cell>
          <cell r="G201">
            <v>232382739</v>
          </cell>
          <cell r="H201">
            <v>244862778</v>
          </cell>
          <cell r="K201">
            <v>244862778</v>
          </cell>
          <cell r="L201">
            <v>22059245</v>
          </cell>
          <cell r="M201">
            <v>19320656</v>
          </cell>
          <cell r="N201">
            <v>20357943</v>
          </cell>
          <cell r="O201">
            <v>21259680.666666668</v>
          </cell>
          <cell r="P201">
            <v>14819172.333333332</v>
          </cell>
          <cell r="Q201">
            <v>23366669</v>
          </cell>
          <cell r="R201">
            <v>0</v>
          </cell>
          <cell r="S201">
            <v>20275044</v>
          </cell>
          <cell r="T201">
            <v>23178635</v>
          </cell>
          <cell r="U201">
            <v>14734255.666666666</v>
          </cell>
          <cell r="V201">
            <v>36395337.333333328</v>
          </cell>
          <cell r="W201">
            <v>23879940</v>
          </cell>
          <cell r="X201">
            <v>239646578</v>
          </cell>
        </row>
        <row r="202">
          <cell r="D202" t="str">
            <v>TOTAL COMPTE 62</v>
          </cell>
          <cell r="E202">
            <v>1984333350</v>
          </cell>
          <cell r="F202">
            <v>2145079471</v>
          </cell>
          <cell r="G202">
            <v>2076231615</v>
          </cell>
          <cell r="H202">
            <v>2546308526</v>
          </cell>
          <cell r="K202">
            <v>2546378776</v>
          </cell>
          <cell r="L202">
            <v>173846390.66666666</v>
          </cell>
          <cell r="M202">
            <v>136999678.75</v>
          </cell>
          <cell r="N202">
            <v>7284733.5833333321</v>
          </cell>
          <cell r="O202">
            <v>250408950.33333334</v>
          </cell>
          <cell r="P202">
            <v>227807938</v>
          </cell>
          <cell r="Q202">
            <v>239451744.66666666</v>
          </cell>
          <cell r="R202">
            <v>148966016.5</v>
          </cell>
          <cell r="S202">
            <v>206213998.47619048</v>
          </cell>
          <cell r="T202">
            <v>192434808.02380952</v>
          </cell>
          <cell r="U202">
            <v>187048379.66666666</v>
          </cell>
          <cell r="V202">
            <v>191325356.33333331</v>
          </cell>
          <cell r="W202">
            <v>337476275</v>
          </cell>
          <cell r="X202">
            <v>2299264270</v>
          </cell>
        </row>
        <row r="204">
          <cell r="C204">
            <v>63121000</v>
          </cell>
          <cell r="D204" t="str">
            <v>FRAIS DE BANQUE</v>
          </cell>
          <cell r="E204">
            <v>20068030</v>
          </cell>
          <cell r="F204">
            <v>41825819</v>
          </cell>
          <cell r="G204">
            <v>29738576</v>
          </cell>
          <cell r="H204">
            <v>47062084</v>
          </cell>
          <cell r="I204" t="str">
            <v>FG</v>
          </cell>
          <cell r="J204" t="str">
            <v>Opex4</v>
          </cell>
          <cell r="K204">
            <v>47062084</v>
          </cell>
          <cell r="L204">
            <v>3921840.3333333335</v>
          </cell>
          <cell r="M204">
            <v>-3947065.3333333335</v>
          </cell>
          <cell r="N204">
            <v>14633586</v>
          </cell>
          <cell r="O204">
            <v>5293034</v>
          </cell>
          <cell r="P204">
            <v>6788998</v>
          </cell>
          <cell r="Q204">
            <v>11971604</v>
          </cell>
          <cell r="R204">
            <v>0</v>
          </cell>
          <cell r="S204">
            <v>2450325</v>
          </cell>
          <cell r="T204">
            <v>29255508</v>
          </cell>
          <cell r="U204">
            <v>2037859</v>
          </cell>
          <cell r="V204">
            <v>7590331</v>
          </cell>
          <cell r="W204">
            <v>6942630</v>
          </cell>
          <cell r="X204">
            <v>86938650</v>
          </cell>
        </row>
        <row r="205">
          <cell r="C205">
            <v>63122000</v>
          </cell>
          <cell r="D205" t="str">
            <v>COMMISIONS SUR</v>
          </cell>
          <cell r="E205">
            <v>1055167</v>
          </cell>
          <cell r="G205">
            <v>0</v>
          </cell>
          <cell r="H205">
            <v>0</v>
          </cell>
          <cell r="I205" t="str">
            <v>FG</v>
          </cell>
          <cell r="J205" t="str">
            <v>Opex4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</row>
        <row r="208">
          <cell r="D208" t="str">
            <v>TOTAL RJ   631</v>
          </cell>
          <cell r="E208">
            <v>21123197</v>
          </cell>
          <cell r="F208">
            <v>41825819</v>
          </cell>
          <cell r="G208">
            <v>29738576</v>
          </cell>
          <cell r="H208">
            <v>47062084</v>
          </cell>
          <cell r="K208">
            <v>47062084</v>
          </cell>
          <cell r="L208">
            <v>3921840.3333333335</v>
          </cell>
          <cell r="M208">
            <v>-3947065.3333333335</v>
          </cell>
          <cell r="N208">
            <v>14633586</v>
          </cell>
          <cell r="O208">
            <v>5293034</v>
          </cell>
          <cell r="P208">
            <v>6788998</v>
          </cell>
          <cell r="Q208">
            <v>11971604</v>
          </cell>
          <cell r="R208">
            <v>0</v>
          </cell>
          <cell r="S208">
            <v>2450325</v>
          </cell>
          <cell r="T208">
            <v>29255508</v>
          </cell>
          <cell r="U208">
            <v>2037859</v>
          </cell>
          <cell r="V208">
            <v>7590331</v>
          </cell>
          <cell r="W208">
            <v>6942630</v>
          </cell>
          <cell r="X208">
            <v>86938650</v>
          </cell>
        </row>
        <row r="210">
          <cell r="C210">
            <v>63210000</v>
          </cell>
          <cell r="D210" t="str">
            <v>COMMISIONS SUR ACHAT</v>
          </cell>
          <cell r="G210">
            <v>1566107</v>
          </cell>
          <cell r="H210">
            <v>5950</v>
          </cell>
          <cell r="I210" t="str">
            <v>FG</v>
          </cell>
          <cell r="J210" t="str">
            <v>Opex4</v>
          </cell>
          <cell r="K210">
            <v>5950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C211">
            <v>63220000</v>
          </cell>
          <cell r="D211" t="str">
            <v>COMMISIONS SUR VENTES</v>
          </cell>
          <cell r="E211">
            <v>25515</v>
          </cell>
          <cell r="F211">
            <v>181500</v>
          </cell>
          <cell r="G211">
            <v>0</v>
          </cell>
          <cell r="H211">
            <v>0</v>
          </cell>
          <cell r="I211" t="str">
            <v>Commission revendeur</v>
          </cell>
          <cell r="J211" t="str">
            <v>CV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626297421</v>
          </cell>
          <cell r="P211">
            <v>3280535</v>
          </cell>
          <cell r="Q211">
            <v>347332668</v>
          </cell>
          <cell r="R211">
            <v>245182075</v>
          </cell>
          <cell r="S211">
            <v>163199208.48333335</v>
          </cell>
          <cell r="T211">
            <v>100396688.51666665</v>
          </cell>
          <cell r="U211">
            <v>179514401.16666669</v>
          </cell>
          <cell r="V211">
            <v>-1110532.1666667461</v>
          </cell>
          <cell r="W211">
            <v>451187224</v>
          </cell>
          <cell r="X211">
            <v>2115279689</v>
          </cell>
        </row>
        <row r="212">
          <cell r="C212" t="str">
            <v>63225000 A</v>
          </cell>
          <cell r="D212" t="str">
            <v>FRAIS DE SIEGE</v>
          </cell>
          <cell r="F212">
            <v>140036954</v>
          </cell>
          <cell r="G212">
            <v>538707059</v>
          </cell>
          <cell r="H212">
            <v>1358768417</v>
          </cell>
          <cell r="I212" t="str">
            <v>FG</v>
          </cell>
          <cell r="J212" t="str">
            <v>Opex4</v>
          </cell>
          <cell r="K212">
            <v>237735171</v>
          </cell>
          <cell r="L212">
            <v>22098750</v>
          </cell>
          <cell r="M212">
            <v>1772356</v>
          </cell>
          <cell r="N212">
            <v>42418115</v>
          </cell>
          <cell r="O212">
            <v>22096407</v>
          </cell>
          <cell r="P212">
            <v>22096407</v>
          </cell>
          <cell r="Q212">
            <v>115709552</v>
          </cell>
          <cell r="R212">
            <v>0</v>
          </cell>
          <cell r="S212">
            <v>88866666</v>
          </cell>
          <cell r="T212">
            <v>69080222</v>
          </cell>
          <cell r="U212">
            <v>82648962.666666657</v>
          </cell>
          <cell r="V212">
            <v>-74083760.666666627</v>
          </cell>
          <cell r="W212">
            <v>-102774112</v>
          </cell>
          <cell r="X212">
            <v>289929565</v>
          </cell>
        </row>
        <row r="213">
          <cell r="C213" t="str">
            <v>63225000 B</v>
          </cell>
          <cell r="D213" t="str">
            <v>FRAIS DE SIEGE</v>
          </cell>
          <cell r="E213">
            <v>300449238</v>
          </cell>
          <cell r="F213">
            <v>140036954</v>
          </cell>
          <cell r="G213">
            <v>538707059</v>
          </cell>
          <cell r="H213">
            <v>1358768417</v>
          </cell>
          <cell r="I213" t="str">
            <v>Commission revendeur</v>
          </cell>
          <cell r="J213" t="str">
            <v>CV</v>
          </cell>
          <cell r="K213">
            <v>1121033246</v>
          </cell>
          <cell r="L213">
            <v>143172133</v>
          </cell>
          <cell r="M213">
            <v>143673653.15959537</v>
          </cell>
          <cell r="N213">
            <v>160355496.84040463</v>
          </cell>
          <cell r="O213">
            <v>-447201283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C214">
            <v>63230000</v>
          </cell>
          <cell r="D214" t="str">
            <v>REMUNERATIONS</v>
          </cell>
          <cell r="E214">
            <v>121765388</v>
          </cell>
          <cell r="F214">
            <v>103513280</v>
          </cell>
          <cell r="G214">
            <v>112660057</v>
          </cell>
          <cell r="H214">
            <v>43239534</v>
          </cell>
          <cell r="I214" t="str">
            <v>FG</v>
          </cell>
          <cell r="J214" t="str">
            <v>Opex4</v>
          </cell>
          <cell r="K214">
            <v>43239534</v>
          </cell>
          <cell r="L214">
            <v>3603294.5</v>
          </cell>
          <cell r="M214">
            <v>3603295.5</v>
          </cell>
          <cell r="N214">
            <v>28832432</v>
          </cell>
          <cell r="O214">
            <v>20210474</v>
          </cell>
          <cell r="P214">
            <v>7787042</v>
          </cell>
          <cell r="Q214">
            <v>6341195</v>
          </cell>
          <cell r="R214">
            <v>0</v>
          </cell>
          <cell r="S214">
            <v>4478401</v>
          </cell>
          <cell r="T214">
            <v>11124413</v>
          </cell>
          <cell r="U214">
            <v>907269</v>
          </cell>
          <cell r="V214">
            <v>8007700</v>
          </cell>
          <cell r="W214">
            <v>8020010</v>
          </cell>
          <cell r="X214">
            <v>102915526</v>
          </cell>
        </row>
        <row r="215">
          <cell r="C215">
            <v>63240000</v>
          </cell>
          <cell r="D215" t="str">
            <v>HONORAIRES</v>
          </cell>
          <cell r="E215">
            <v>156583823</v>
          </cell>
          <cell r="F215">
            <v>578137194</v>
          </cell>
          <cell r="G215">
            <v>97842012</v>
          </cell>
          <cell r="H215">
            <v>143578962</v>
          </cell>
          <cell r="I215" t="str">
            <v>FG</v>
          </cell>
          <cell r="J215" t="str">
            <v>Opex4</v>
          </cell>
          <cell r="K215">
            <v>143578962</v>
          </cell>
          <cell r="L215">
            <v>11964913.5</v>
          </cell>
          <cell r="M215">
            <v>9035086.5</v>
          </cell>
          <cell r="N215">
            <v>84528239</v>
          </cell>
          <cell r="O215">
            <v>35176079.666666664</v>
          </cell>
          <cell r="P215">
            <v>35176079.666666664</v>
          </cell>
          <cell r="Q215">
            <v>-95773009.333333313</v>
          </cell>
          <cell r="R215">
            <v>0</v>
          </cell>
          <cell r="S215">
            <v>26525793</v>
          </cell>
          <cell r="T215">
            <v>192019717</v>
          </cell>
          <cell r="U215">
            <v>27848503.333333328</v>
          </cell>
          <cell r="V215">
            <v>-10422003.333333313</v>
          </cell>
          <cell r="W215">
            <v>64898925</v>
          </cell>
          <cell r="X215">
            <v>380978324</v>
          </cell>
        </row>
        <row r="216">
          <cell r="C216">
            <v>63241000</v>
          </cell>
          <cell r="D216" t="str">
            <v>ASSISTANCE TECH</v>
          </cell>
          <cell r="E216">
            <v>3425000</v>
          </cell>
          <cell r="F216">
            <v>606334417</v>
          </cell>
          <cell r="G216">
            <v>964348635</v>
          </cell>
          <cell r="H216">
            <v>618511553</v>
          </cell>
          <cell r="I216" t="str">
            <v>MR</v>
          </cell>
          <cell r="J216" t="str">
            <v>Opex3</v>
          </cell>
          <cell r="K216">
            <v>618511553</v>
          </cell>
          <cell r="L216">
            <v>31542629.416666664</v>
          </cell>
          <cell r="M216">
            <v>20029145.583333336</v>
          </cell>
          <cell r="N216">
            <v>96018550</v>
          </cell>
          <cell r="O216">
            <v>49196775</v>
          </cell>
          <cell r="P216">
            <v>-15303477</v>
          </cell>
          <cell r="Q216">
            <v>149965025</v>
          </cell>
          <cell r="R216">
            <v>0.3333333358168602</v>
          </cell>
          <cell r="S216">
            <v>51571774.666666687</v>
          </cell>
          <cell r="T216">
            <v>80259401</v>
          </cell>
          <cell r="U216">
            <v>43943725.333333343</v>
          </cell>
          <cell r="V216">
            <v>79983285.666666627</v>
          </cell>
          <cell r="W216">
            <v>32645959</v>
          </cell>
          <cell r="X216">
            <v>619852794</v>
          </cell>
        </row>
        <row r="217">
          <cell r="C217">
            <v>63242200</v>
          </cell>
          <cell r="G217">
            <v>0</v>
          </cell>
          <cell r="H217">
            <v>0</v>
          </cell>
          <cell r="I217" t="str">
            <v>FG</v>
          </cell>
          <cell r="J217" t="str">
            <v>Opex4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C218">
            <v>63250000</v>
          </cell>
          <cell r="D218" t="str">
            <v>FRAIS D'ACTE ET DE CONTENTIEUX</v>
          </cell>
          <cell r="G218">
            <v>0</v>
          </cell>
          <cell r="H218">
            <v>313475</v>
          </cell>
          <cell r="I218" t="str">
            <v>FG</v>
          </cell>
          <cell r="J218" t="str">
            <v>Opex4</v>
          </cell>
          <cell r="K218">
            <v>313475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</row>
        <row r="221">
          <cell r="D221" t="str">
            <v>TOTAL RJ   632</v>
          </cell>
          <cell r="E221">
            <v>582248964</v>
          </cell>
          <cell r="F221">
            <v>1568240299</v>
          </cell>
          <cell r="G221">
            <v>2253830929</v>
          </cell>
          <cell r="H221">
            <v>3523186308</v>
          </cell>
          <cell r="K221">
            <v>2164417891</v>
          </cell>
          <cell r="L221">
            <v>212381720.41666666</v>
          </cell>
          <cell r="M221">
            <v>178113536.74292871</v>
          </cell>
          <cell r="N221">
            <v>412152832.84040463</v>
          </cell>
          <cell r="O221">
            <v>305775873.66666663</v>
          </cell>
          <cell r="P221">
            <v>53036586.666666657</v>
          </cell>
          <cell r="Q221">
            <v>523575430.66666669</v>
          </cell>
          <cell r="R221">
            <v>245182075.33333334</v>
          </cell>
          <cell r="S221">
            <v>334641843.15000004</v>
          </cell>
          <cell r="T221">
            <v>452880441.51666665</v>
          </cell>
          <cell r="U221">
            <v>334862861.5</v>
          </cell>
          <cell r="V221">
            <v>2374689.4999999404</v>
          </cell>
          <cell r="W221">
            <v>453978006</v>
          </cell>
          <cell r="X221">
            <v>3508955898</v>
          </cell>
        </row>
        <row r="223">
          <cell r="C223">
            <v>63310000</v>
          </cell>
          <cell r="D223" t="str">
            <v>FRAIS DE FORMATI</v>
          </cell>
          <cell r="E223">
            <v>24010147</v>
          </cell>
          <cell r="F223">
            <v>34098530</v>
          </cell>
          <cell r="G223">
            <v>1696000</v>
          </cell>
          <cell r="H223">
            <v>0</v>
          </cell>
          <cell r="I223" t="str">
            <v>PERS</v>
          </cell>
          <cell r="J223" t="str">
            <v>Opex1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6">
          <cell r="D226" t="str">
            <v>TOTAL RJ   633</v>
          </cell>
          <cell r="E226">
            <v>24010147</v>
          </cell>
          <cell r="F226">
            <v>34098530</v>
          </cell>
          <cell r="G226">
            <v>1696000</v>
          </cell>
          <cell r="H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</row>
        <row r="228">
          <cell r="C228">
            <v>63420000</v>
          </cell>
          <cell r="D228" t="str">
            <v>POSTE ET BP</v>
          </cell>
          <cell r="E228">
            <v>208500</v>
          </cell>
          <cell r="F228">
            <v>100000</v>
          </cell>
          <cell r="G228">
            <v>200000</v>
          </cell>
          <cell r="H228">
            <v>0</v>
          </cell>
          <cell r="I228" t="str">
            <v>FG</v>
          </cell>
          <cell r="J228" t="str">
            <v>Opex4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</row>
        <row r="229">
          <cell r="C229">
            <v>63423000</v>
          </cell>
          <cell r="D229" t="str">
            <v>REDEVANCES CONCESSION -NILCOM</v>
          </cell>
          <cell r="E229">
            <v>36131844</v>
          </cell>
          <cell r="G229">
            <v>0</v>
          </cell>
          <cell r="H229">
            <v>0</v>
          </cell>
          <cell r="I229" t="str">
            <v>FG</v>
          </cell>
          <cell r="J229" t="str">
            <v>Opex4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C230">
            <v>63440000</v>
          </cell>
          <cell r="D230" t="str">
            <v>REDEVANCES MARQUES BBDA-MOBILE SERVICES</v>
          </cell>
          <cell r="E230">
            <v>2000000</v>
          </cell>
          <cell r="F230">
            <v>3252979</v>
          </cell>
          <cell r="G230">
            <v>13451164</v>
          </cell>
          <cell r="H230">
            <v>43752290</v>
          </cell>
          <cell r="I230" t="str">
            <v>FG</v>
          </cell>
          <cell r="J230" t="str">
            <v>Opex4</v>
          </cell>
          <cell r="K230">
            <v>43752290</v>
          </cell>
          <cell r="L230">
            <v>3646024.1666666665</v>
          </cell>
          <cell r="M230">
            <v>3646023.8333333335</v>
          </cell>
          <cell r="N230">
            <v>-4292048</v>
          </cell>
          <cell r="O230">
            <v>1648537</v>
          </cell>
          <cell r="P230">
            <v>1162134.25</v>
          </cell>
          <cell r="Q230">
            <v>-4162134.25</v>
          </cell>
          <cell r="R230">
            <v>835731</v>
          </cell>
          <cell r="S230">
            <v>180580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2664848</v>
          </cell>
        </row>
        <row r="231">
          <cell r="C231">
            <v>63444000</v>
          </cell>
          <cell r="D231" t="str">
            <v>REDEVANCES ART</v>
          </cell>
          <cell r="E231">
            <v>1075300286</v>
          </cell>
          <cell r="F231">
            <v>1248227779</v>
          </cell>
          <cell r="G231">
            <v>1050798043</v>
          </cell>
          <cell r="H231">
            <v>1467359482</v>
          </cell>
          <cell r="I231" t="str">
            <v>ART</v>
          </cell>
          <cell r="J231" t="str">
            <v>Opex6</v>
          </cell>
          <cell r="K231">
            <v>1467359482</v>
          </cell>
          <cell r="L231">
            <v>137594000</v>
          </cell>
          <cell r="M231">
            <v>57520912.425391138</v>
          </cell>
          <cell r="N231">
            <v>75906863.574608862</v>
          </cell>
          <cell r="O231">
            <v>312400992.42824119</v>
          </cell>
          <cell r="P231">
            <v>-43537776.428241253</v>
          </cell>
          <cell r="Q231">
            <v>107551573</v>
          </cell>
          <cell r="R231">
            <v>107906094.16666667</v>
          </cell>
          <cell r="S231">
            <v>246417703.17159379</v>
          </cell>
          <cell r="T231">
            <v>69744865.661739588</v>
          </cell>
          <cell r="U231">
            <v>278520550</v>
          </cell>
          <cell r="V231">
            <v>124984248</v>
          </cell>
          <cell r="W231">
            <v>148487306</v>
          </cell>
          <cell r="X231">
            <v>1623497332</v>
          </cell>
        </row>
        <row r="232">
          <cell r="C232">
            <v>63444100</v>
          </cell>
          <cell r="D232" t="str">
            <v>REDEVANCE RAD</v>
          </cell>
          <cell r="G232">
            <v>29500000</v>
          </cell>
          <cell r="H232">
            <v>27824999</v>
          </cell>
          <cell r="I232" t="str">
            <v>ART</v>
          </cell>
          <cell r="J232" t="str">
            <v>Opex6</v>
          </cell>
          <cell r="K232">
            <v>27824999</v>
          </cell>
          <cell r="L232">
            <v>2318749.9166666665</v>
          </cell>
          <cell r="M232">
            <v>2318750.0833333335</v>
          </cell>
          <cell r="N232">
            <v>-4637500</v>
          </cell>
          <cell r="O232">
            <v>38900000</v>
          </cell>
          <cell r="P232">
            <v>34000000</v>
          </cell>
          <cell r="Q232">
            <v>3800000</v>
          </cell>
          <cell r="R232">
            <v>269438</v>
          </cell>
          <cell r="S232">
            <v>0</v>
          </cell>
          <cell r="T232">
            <v>11130562</v>
          </cell>
          <cell r="U232">
            <v>5700000</v>
          </cell>
          <cell r="V232">
            <v>1900000</v>
          </cell>
          <cell r="W232">
            <v>3800000</v>
          </cell>
          <cell r="X232">
            <v>99500000</v>
          </cell>
        </row>
        <row r="233">
          <cell r="C233">
            <v>63444200</v>
          </cell>
          <cell r="D233" t="str">
            <v>REDEVANCE FRE</v>
          </cell>
          <cell r="G233">
            <v>28500000</v>
          </cell>
          <cell r="H233">
            <v>44933334</v>
          </cell>
          <cell r="I233" t="str">
            <v>ART</v>
          </cell>
          <cell r="J233" t="str">
            <v>Opex6</v>
          </cell>
          <cell r="K233">
            <v>44933334</v>
          </cell>
          <cell r="L233">
            <v>3744444.5</v>
          </cell>
          <cell r="M233">
            <v>3744445.5</v>
          </cell>
          <cell r="N233">
            <v>-93851682</v>
          </cell>
          <cell r="O233">
            <v>86362792</v>
          </cell>
          <cell r="P233">
            <v>34383333</v>
          </cell>
          <cell r="Q233">
            <v>4416667</v>
          </cell>
          <cell r="R233">
            <v>0</v>
          </cell>
          <cell r="S233">
            <v>0</v>
          </cell>
          <cell r="T233">
            <v>13250000</v>
          </cell>
          <cell r="U233">
            <v>4416666.666666667</v>
          </cell>
          <cell r="V233">
            <v>4416666.3333333358</v>
          </cell>
          <cell r="W233">
            <v>4416667</v>
          </cell>
          <cell r="X233">
            <v>65300000</v>
          </cell>
        </row>
        <row r="234">
          <cell r="C234">
            <v>63444300</v>
          </cell>
          <cell r="D234" t="str">
            <v>REDEVANCES P.Q</v>
          </cell>
          <cell r="I234" t="str">
            <v>ART</v>
          </cell>
          <cell r="L234">
            <v>0</v>
          </cell>
          <cell r="M234">
            <v>0</v>
          </cell>
          <cell r="N234">
            <v>203808332</v>
          </cell>
          <cell r="O234">
            <v>-195150000</v>
          </cell>
          <cell r="P234">
            <v>67936110.666666672</v>
          </cell>
          <cell r="Q234">
            <v>419483307.33333331</v>
          </cell>
          <cell r="R234">
            <v>0</v>
          </cell>
          <cell r="S234">
            <v>0</v>
          </cell>
          <cell r="T234">
            <v>57970617</v>
          </cell>
          <cell r="U234">
            <v>19323539</v>
          </cell>
          <cell r="V234">
            <v>12256875</v>
          </cell>
          <cell r="W234">
            <v>65190213</v>
          </cell>
          <cell r="X234">
            <v>650818994</v>
          </cell>
        </row>
        <row r="235">
          <cell r="C235">
            <v>63444500</v>
          </cell>
          <cell r="D235" t="str">
            <v>TAXE D REGULATION</v>
          </cell>
          <cell r="H235">
            <v>0</v>
          </cell>
          <cell r="I235" t="str">
            <v>ART</v>
          </cell>
          <cell r="J235" t="str">
            <v>Opex6</v>
          </cell>
          <cell r="K235">
            <v>0</v>
          </cell>
          <cell r="L235">
            <v>42830327.649508148</v>
          </cell>
          <cell r="M235">
            <v>42830328.350491852</v>
          </cell>
          <cell r="N235">
            <v>-76493690</v>
          </cell>
          <cell r="O235">
            <v>-9166966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C236">
            <v>63445000</v>
          </cell>
          <cell r="D236" t="str">
            <v>REDEVANCES CHAMBRE DE COMPASSATION</v>
          </cell>
          <cell r="E236">
            <v>103681079</v>
          </cell>
          <cell r="F236">
            <v>47625418</v>
          </cell>
          <cell r="G236">
            <v>50621688</v>
          </cell>
          <cell r="H236">
            <v>57470967</v>
          </cell>
          <cell r="I236" t="str">
            <v>FG</v>
          </cell>
          <cell r="J236" t="str">
            <v>Opex4</v>
          </cell>
          <cell r="K236">
            <v>57470967</v>
          </cell>
          <cell r="L236">
            <v>4789247.25</v>
          </cell>
          <cell r="M236">
            <v>4789247.25</v>
          </cell>
          <cell r="N236">
            <v>-9578494.5</v>
          </cell>
          <cell r="O236">
            <v>9166966</v>
          </cell>
          <cell r="P236">
            <v>7729174</v>
          </cell>
          <cell r="Q236">
            <v>14836613</v>
          </cell>
          <cell r="R236">
            <v>8281509</v>
          </cell>
          <cell r="S236">
            <v>11968474</v>
          </cell>
          <cell r="T236">
            <v>8884433</v>
          </cell>
          <cell r="U236">
            <v>5988428</v>
          </cell>
          <cell r="V236">
            <v>11872614</v>
          </cell>
          <cell r="W236">
            <v>5936307</v>
          </cell>
          <cell r="X236">
            <v>84664518</v>
          </cell>
        </row>
        <row r="237">
          <cell r="C237">
            <v>63447000</v>
          </cell>
          <cell r="D237" t="str">
            <v>REDEVANCES ROAMING-MOBILE SCE</v>
          </cell>
          <cell r="F237">
            <v>481587656</v>
          </cell>
          <cell r="G237">
            <v>711043290</v>
          </cell>
          <cell r="H237">
            <v>2511392709</v>
          </cell>
          <cell r="I237" t="str">
            <v>Roaming out</v>
          </cell>
          <cell r="J237" t="str">
            <v>CV</v>
          </cell>
          <cell r="K237">
            <v>2511392709</v>
          </cell>
          <cell r="L237">
            <v>62959592.018968157</v>
          </cell>
          <cell r="M237">
            <v>628018321.98103189</v>
          </cell>
          <cell r="N237">
            <v>-203480777</v>
          </cell>
          <cell r="O237">
            <v>99960499.529546574</v>
          </cell>
          <cell r="P237">
            <v>185363223.47045338</v>
          </cell>
          <cell r="Q237">
            <v>-31154493</v>
          </cell>
          <cell r="R237">
            <v>123611061.16666667</v>
          </cell>
          <cell r="S237">
            <v>80433414.695315957</v>
          </cell>
          <cell r="T237">
            <v>57473860.138017416</v>
          </cell>
          <cell r="U237">
            <v>81649392.732231185</v>
          </cell>
          <cell r="V237">
            <v>37501795.26776886</v>
          </cell>
          <cell r="W237">
            <v>71926689</v>
          </cell>
          <cell r="X237">
            <v>1194262580</v>
          </cell>
        </row>
        <row r="240">
          <cell r="D240" t="str">
            <v>TOTAL RJ   634</v>
          </cell>
          <cell r="E240">
            <v>1217321709</v>
          </cell>
          <cell r="F240">
            <v>1780793832</v>
          </cell>
          <cell r="G240">
            <v>1884114185</v>
          </cell>
          <cell r="H240">
            <v>4152733781</v>
          </cell>
          <cell r="K240">
            <v>4152733781</v>
          </cell>
          <cell r="L240">
            <v>257882385.50180963</v>
          </cell>
          <cell r="M240">
            <v>742868029.4235816</v>
          </cell>
          <cell r="N240">
            <v>-112618995.92539114</v>
          </cell>
          <cell r="O240">
            <v>344122820.95778775</v>
          </cell>
          <cell r="P240">
            <v>287036198.95887882</v>
          </cell>
          <cell r="Q240">
            <v>514771533.08333325</v>
          </cell>
          <cell r="R240">
            <v>240903833.33333334</v>
          </cell>
          <cell r="S240">
            <v>339000171.86690974</v>
          </cell>
          <cell r="T240">
            <v>218454337.799757</v>
          </cell>
          <cell r="U240">
            <v>395598576.39889789</v>
          </cell>
          <cell r="V240">
            <v>192932198.6011022</v>
          </cell>
          <cell r="W240">
            <v>299757182</v>
          </cell>
          <cell r="X240">
            <v>3720708272</v>
          </cell>
        </row>
        <row r="242">
          <cell r="C242">
            <v>63580000</v>
          </cell>
          <cell r="D242" t="str">
            <v>CONTRIBUTIONS ET CONCOURS DIVERS</v>
          </cell>
          <cell r="E242">
            <v>25191725</v>
          </cell>
          <cell r="G242">
            <v>5518847</v>
          </cell>
          <cell r="H242">
            <v>1344712</v>
          </cell>
          <cell r="I242" t="str">
            <v>FG</v>
          </cell>
          <cell r="J242" t="str">
            <v>Opex4</v>
          </cell>
          <cell r="K242">
            <v>1344712</v>
          </cell>
          <cell r="L242">
            <v>0</v>
          </cell>
          <cell r="M242">
            <v>4034135</v>
          </cell>
          <cell r="N242">
            <v>1344712</v>
          </cell>
          <cell r="O242">
            <v>0</v>
          </cell>
          <cell r="P242">
            <v>897757</v>
          </cell>
          <cell r="Q242">
            <v>598879</v>
          </cell>
          <cell r="R242">
            <v>0</v>
          </cell>
          <cell r="S242">
            <v>775000</v>
          </cell>
          <cell r="T242">
            <v>1398936</v>
          </cell>
          <cell r="U242">
            <v>0</v>
          </cell>
          <cell r="V242">
            <v>897758</v>
          </cell>
          <cell r="W242">
            <v>207946</v>
          </cell>
          <cell r="X242">
            <v>10155123</v>
          </cell>
        </row>
        <row r="245">
          <cell r="D245" t="str">
            <v>TOTAL RJ   635</v>
          </cell>
          <cell r="E245">
            <v>25191725</v>
          </cell>
          <cell r="F245">
            <v>0</v>
          </cell>
          <cell r="G245">
            <v>5518847</v>
          </cell>
          <cell r="H245">
            <v>1344712</v>
          </cell>
          <cell r="K245">
            <v>1344712</v>
          </cell>
          <cell r="L245">
            <v>0</v>
          </cell>
          <cell r="M245">
            <v>4034135</v>
          </cell>
          <cell r="N245">
            <v>1344712</v>
          </cell>
          <cell r="O245">
            <v>0</v>
          </cell>
          <cell r="P245">
            <v>897757</v>
          </cell>
          <cell r="Q245">
            <v>598879</v>
          </cell>
          <cell r="R245">
            <v>0</v>
          </cell>
          <cell r="S245">
            <v>775000</v>
          </cell>
          <cell r="T245">
            <v>1398936</v>
          </cell>
          <cell r="U245">
            <v>0</v>
          </cell>
          <cell r="V245">
            <v>897758</v>
          </cell>
          <cell r="W245">
            <v>207946</v>
          </cell>
          <cell r="X245">
            <v>10155123</v>
          </cell>
        </row>
        <row r="247">
          <cell r="C247">
            <v>63710000</v>
          </cell>
          <cell r="D247" t="str">
            <v>PERSONNEL INTER</v>
          </cell>
          <cell r="F247">
            <v>60000</v>
          </cell>
          <cell r="G247">
            <v>0</v>
          </cell>
          <cell r="H247">
            <v>0</v>
          </cell>
          <cell r="I247" t="str">
            <v>PERS</v>
          </cell>
          <cell r="J247" t="str">
            <v>Opex1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C248">
            <v>63711000</v>
          </cell>
          <cell r="D248" t="str">
            <v>FORMATION DU PE</v>
          </cell>
          <cell r="E248">
            <v>43839982</v>
          </cell>
          <cell r="F248">
            <v>43862322</v>
          </cell>
          <cell r="G248">
            <v>0</v>
          </cell>
          <cell r="H248">
            <v>0</v>
          </cell>
          <cell r="I248" t="str">
            <v>PERS</v>
          </cell>
          <cell r="J248" t="str">
            <v>Opex1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289800</v>
          </cell>
          <cell r="X248">
            <v>289800</v>
          </cell>
        </row>
        <row r="249">
          <cell r="C249">
            <v>63711200</v>
          </cell>
          <cell r="G249">
            <v>0</v>
          </cell>
          <cell r="H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C250">
            <v>63730000</v>
          </cell>
          <cell r="D250" t="str">
            <v>PERSONNEL OCCA</v>
          </cell>
          <cell r="E250">
            <v>4340680</v>
          </cell>
          <cell r="F250">
            <v>196164</v>
          </cell>
          <cell r="G250">
            <v>0</v>
          </cell>
          <cell r="H250">
            <v>0</v>
          </cell>
          <cell r="I250" t="str">
            <v>PERS</v>
          </cell>
          <cell r="J250" t="str">
            <v>Opex1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C251">
            <v>63740000</v>
          </cell>
          <cell r="D251" t="str">
            <v>FRAIS DE GARDIEN</v>
          </cell>
          <cell r="E251">
            <v>32007924</v>
          </cell>
          <cell r="F251">
            <v>39268260</v>
          </cell>
          <cell r="G251">
            <v>41114180</v>
          </cell>
          <cell r="H251">
            <v>61890498</v>
          </cell>
          <cell r="I251" t="str">
            <v>FG</v>
          </cell>
          <cell r="J251" t="str">
            <v>Opex4</v>
          </cell>
          <cell r="K251">
            <v>61890498</v>
          </cell>
          <cell r="L251">
            <v>5157541.5</v>
          </cell>
          <cell r="M251">
            <v>2167558.5</v>
          </cell>
          <cell r="N251">
            <v>12383600</v>
          </cell>
          <cell r="O251">
            <v>21491548</v>
          </cell>
          <cell r="P251">
            <v>3357900</v>
          </cell>
          <cell r="Q251">
            <v>22809767</v>
          </cell>
          <cell r="R251">
            <v>0</v>
          </cell>
          <cell r="S251">
            <v>24471488</v>
          </cell>
          <cell r="T251">
            <v>20505934</v>
          </cell>
          <cell r="U251">
            <v>15428150</v>
          </cell>
          <cell r="V251">
            <v>30633916</v>
          </cell>
          <cell r="W251">
            <v>34305600</v>
          </cell>
          <cell r="X251">
            <v>192713003</v>
          </cell>
        </row>
        <row r="252">
          <cell r="C252">
            <v>63750000</v>
          </cell>
          <cell r="D252" t="str">
            <v>FRAIS DE PARKING</v>
          </cell>
          <cell r="E252">
            <v>800</v>
          </cell>
          <cell r="F252">
            <v>28450</v>
          </cell>
          <cell r="G252">
            <v>3050</v>
          </cell>
          <cell r="H252">
            <v>0</v>
          </cell>
          <cell r="I252" t="str">
            <v>FG</v>
          </cell>
          <cell r="J252" t="str">
            <v>Opex4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5">
          <cell r="D255" t="str">
            <v>TOTAL RJ   637</v>
          </cell>
          <cell r="E255">
            <v>80189386</v>
          </cell>
          <cell r="F255">
            <v>83415196</v>
          </cell>
          <cell r="G255">
            <v>41117230</v>
          </cell>
          <cell r="H255">
            <v>61890498</v>
          </cell>
          <cell r="K255">
            <v>61890498</v>
          </cell>
          <cell r="L255">
            <v>5157541.5</v>
          </cell>
          <cell r="M255">
            <v>2167558.5</v>
          </cell>
          <cell r="N255">
            <v>12383600</v>
          </cell>
          <cell r="O255">
            <v>21491548</v>
          </cell>
          <cell r="P255">
            <v>3357900</v>
          </cell>
          <cell r="Q255">
            <v>22809767</v>
          </cell>
          <cell r="R255">
            <v>0</v>
          </cell>
          <cell r="S255">
            <v>24471488</v>
          </cell>
          <cell r="T255">
            <v>20505934</v>
          </cell>
          <cell r="U255">
            <v>15428150</v>
          </cell>
          <cell r="V255">
            <v>30633916</v>
          </cell>
          <cell r="W255">
            <v>34595400</v>
          </cell>
          <cell r="X255">
            <v>193002803</v>
          </cell>
        </row>
        <row r="257">
          <cell r="C257">
            <v>63825000</v>
          </cell>
          <cell r="D257" t="str">
            <v>MANUTENTION</v>
          </cell>
          <cell r="E257">
            <v>1303900</v>
          </cell>
          <cell r="F257">
            <v>2408650</v>
          </cell>
          <cell r="G257">
            <v>26662597</v>
          </cell>
          <cell r="H257">
            <v>5964422</v>
          </cell>
          <cell r="I257" t="str">
            <v>FG</v>
          </cell>
          <cell r="J257" t="str">
            <v>Opex4</v>
          </cell>
          <cell r="K257">
            <v>5964422</v>
          </cell>
          <cell r="L257">
            <v>497035.16666666669</v>
          </cell>
          <cell r="M257">
            <v>-235375.16666666669</v>
          </cell>
          <cell r="N257">
            <v>0</v>
          </cell>
          <cell r="O257">
            <v>-221660</v>
          </cell>
          <cell r="P257">
            <v>0</v>
          </cell>
          <cell r="Q257">
            <v>0</v>
          </cell>
          <cell r="R257">
            <v>0</v>
          </cell>
          <cell r="S257">
            <v>320000</v>
          </cell>
          <cell r="T257">
            <v>11150</v>
          </cell>
          <cell r="U257">
            <v>0</v>
          </cell>
          <cell r="V257">
            <v>0</v>
          </cell>
          <cell r="W257">
            <v>2164596</v>
          </cell>
          <cell r="X257">
            <v>2535746</v>
          </cell>
        </row>
        <row r="258">
          <cell r="C258">
            <v>63830000</v>
          </cell>
          <cell r="D258" t="str">
            <v>RECEPTION</v>
          </cell>
          <cell r="E258">
            <v>12089672</v>
          </cell>
          <cell r="F258">
            <v>92000</v>
          </cell>
          <cell r="G258">
            <v>718000</v>
          </cell>
          <cell r="H258">
            <v>1793541</v>
          </cell>
          <cell r="I258" t="str">
            <v>FG</v>
          </cell>
          <cell r="J258" t="str">
            <v>Opex4</v>
          </cell>
          <cell r="K258">
            <v>1793541</v>
          </cell>
          <cell r="L258">
            <v>149461.75</v>
          </cell>
          <cell r="M258">
            <v>-149461.75</v>
          </cell>
          <cell r="N258">
            <v>0</v>
          </cell>
          <cell r="O258">
            <v>0</v>
          </cell>
          <cell r="P258">
            <v>5405040</v>
          </cell>
          <cell r="Q258">
            <v>0</v>
          </cell>
          <cell r="R258">
            <v>0</v>
          </cell>
          <cell r="S258">
            <v>0</v>
          </cell>
          <cell r="T258">
            <v>-1780040</v>
          </cell>
          <cell r="U258">
            <v>0</v>
          </cell>
          <cell r="V258">
            <v>0</v>
          </cell>
          <cell r="W258">
            <v>0</v>
          </cell>
          <cell r="X258">
            <v>3625000</v>
          </cell>
        </row>
        <row r="259">
          <cell r="C259">
            <v>63840000</v>
          </cell>
          <cell r="D259" t="str">
            <v>MISSION</v>
          </cell>
          <cell r="E259">
            <v>58209439</v>
          </cell>
          <cell r="F259">
            <v>65407582</v>
          </cell>
          <cell r="G259">
            <v>17056400</v>
          </cell>
          <cell r="H259">
            <v>27692012</v>
          </cell>
          <cell r="I259" t="str">
            <v>PERS</v>
          </cell>
          <cell r="J259" t="str">
            <v>Opex1</v>
          </cell>
          <cell r="K259">
            <v>27692012</v>
          </cell>
          <cell r="L259">
            <v>2307667.6666666665</v>
          </cell>
          <cell r="M259">
            <v>-1548667.6666666665</v>
          </cell>
          <cell r="N259">
            <v>1644000</v>
          </cell>
          <cell r="O259">
            <v>3078000</v>
          </cell>
          <cell r="P259">
            <v>3120000</v>
          </cell>
          <cell r="Q259">
            <v>4587250</v>
          </cell>
          <cell r="R259">
            <v>2198041.6666666665</v>
          </cell>
          <cell r="S259">
            <v>0</v>
          </cell>
          <cell r="T259">
            <v>2520458.333333334</v>
          </cell>
          <cell r="U259">
            <v>775000</v>
          </cell>
          <cell r="V259">
            <v>2732500</v>
          </cell>
          <cell r="W259">
            <v>3081250</v>
          </cell>
          <cell r="X259">
            <v>24495500</v>
          </cell>
        </row>
        <row r="260">
          <cell r="C260">
            <v>63850000</v>
          </cell>
          <cell r="D260" t="str">
            <v>HOTEL ET RESTAU</v>
          </cell>
          <cell r="E260">
            <v>15700331</v>
          </cell>
          <cell r="F260">
            <v>23807133</v>
          </cell>
          <cell r="G260">
            <v>22237252</v>
          </cell>
          <cell r="H260">
            <v>12217221</v>
          </cell>
          <cell r="I260" t="str">
            <v>FG</v>
          </cell>
          <cell r="J260" t="str">
            <v>Opex4</v>
          </cell>
          <cell r="K260">
            <v>12217221</v>
          </cell>
          <cell r="L260">
            <v>1018101.75</v>
          </cell>
          <cell r="M260">
            <v>-1018101.75</v>
          </cell>
          <cell r="N260">
            <v>3212974</v>
          </cell>
          <cell r="O260">
            <v>3503010</v>
          </cell>
          <cell r="P260">
            <v>1063220</v>
          </cell>
          <cell r="Q260">
            <v>1312000</v>
          </cell>
          <cell r="R260">
            <v>0</v>
          </cell>
          <cell r="S260">
            <v>720810</v>
          </cell>
          <cell r="T260">
            <v>8288628</v>
          </cell>
          <cell r="U260">
            <v>1312000</v>
          </cell>
          <cell r="V260">
            <v>3344805</v>
          </cell>
          <cell r="W260">
            <v>2977486</v>
          </cell>
          <cell r="X260">
            <v>25734933</v>
          </cell>
        </row>
        <row r="261">
          <cell r="G261">
            <v>0</v>
          </cell>
          <cell r="X261">
            <v>0</v>
          </cell>
        </row>
        <row r="262">
          <cell r="G262">
            <v>0</v>
          </cell>
          <cell r="X262">
            <v>0</v>
          </cell>
        </row>
        <row r="263">
          <cell r="G263">
            <v>0</v>
          </cell>
          <cell r="X263">
            <v>0</v>
          </cell>
        </row>
        <row r="264">
          <cell r="D264" t="str">
            <v>TOTAL RJ   638</v>
          </cell>
          <cell r="E264">
            <v>87303342</v>
          </cell>
          <cell r="F264">
            <v>91715365</v>
          </cell>
          <cell r="G264">
            <v>66674249</v>
          </cell>
          <cell r="H264">
            <v>47667196</v>
          </cell>
          <cell r="K264">
            <v>47667196</v>
          </cell>
          <cell r="L264">
            <v>3972266.333333333</v>
          </cell>
          <cell r="M264">
            <v>-2951606.333333333</v>
          </cell>
          <cell r="N264">
            <v>4856974</v>
          </cell>
          <cell r="O264">
            <v>6359350</v>
          </cell>
          <cell r="P264">
            <v>9588260</v>
          </cell>
          <cell r="Q264">
            <v>5899250</v>
          </cell>
          <cell r="R264">
            <v>2198041.6666666665</v>
          </cell>
          <cell r="S264">
            <v>1040810</v>
          </cell>
          <cell r="T264">
            <v>9040196.333333334</v>
          </cell>
          <cell r="U264">
            <v>2087000</v>
          </cell>
          <cell r="V264">
            <v>6077305</v>
          </cell>
          <cell r="W264">
            <v>8223332</v>
          </cell>
          <cell r="X264">
            <v>56391179</v>
          </cell>
        </row>
        <row r="265">
          <cell r="D265" t="str">
            <v>TOTAL COMPTE 63</v>
          </cell>
          <cell r="E265">
            <v>2000000</v>
          </cell>
          <cell r="F265">
            <v>3252979</v>
          </cell>
          <cell r="G265">
            <v>8718220432</v>
          </cell>
          <cell r="H265">
            <v>10779603735</v>
          </cell>
          <cell r="K265">
            <v>6475116162</v>
          </cell>
          <cell r="L265">
            <v>483315754.08514291</v>
          </cell>
          <cell r="M265">
            <v>920284587.9998436</v>
          </cell>
          <cell r="N265">
            <v>332752708.91501349</v>
          </cell>
          <cell r="O265">
            <v>683042626.62445438</v>
          </cell>
          <cell r="P265">
            <v>360705700.6255455</v>
          </cell>
          <cell r="Q265">
            <v>1079626463.75</v>
          </cell>
          <cell r="R265">
            <v>488283950.33333337</v>
          </cell>
          <cell r="S265">
            <v>702379638.01690984</v>
          </cell>
          <cell r="T265">
            <v>731535353.64975703</v>
          </cell>
          <cell r="U265">
            <v>750014446.89889789</v>
          </cell>
          <cell r="V265">
            <v>240506198.10110214</v>
          </cell>
          <cell r="W265">
            <v>803704496</v>
          </cell>
          <cell r="X265">
            <v>7576151925</v>
          </cell>
        </row>
        <row r="267">
          <cell r="C267">
            <v>64120000</v>
          </cell>
          <cell r="D267" t="str">
            <v>PATENTE</v>
          </cell>
          <cell r="E267">
            <v>43887</v>
          </cell>
          <cell r="F267">
            <v>7114633</v>
          </cell>
          <cell r="G267">
            <v>0</v>
          </cell>
          <cell r="H267">
            <v>0</v>
          </cell>
          <cell r="I267" t="str">
            <v>TAX</v>
          </cell>
          <cell r="J267" t="str">
            <v>Opex5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62989000</v>
          </cell>
          <cell r="U267">
            <v>0</v>
          </cell>
          <cell r="V267">
            <v>0</v>
          </cell>
          <cell r="W267">
            <v>77011000</v>
          </cell>
          <cell r="X267">
            <v>140000000</v>
          </cell>
        </row>
        <row r="270">
          <cell r="D270" t="str">
            <v>TOTAL RK   641</v>
          </cell>
          <cell r="E270">
            <v>43887</v>
          </cell>
          <cell r="F270">
            <v>7114633</v>
          </cell>
          <cell r="G270">
            <v>0</v>
          </cell>
          <cell r="H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62989000</v>
          </cell>
          <cell r="U270">
            <v>0</v>
          </cell>
          <cell r="V270">
            <v>0</v>
          </cell>
          <cell r="W270">
            <v>77011000</v>
          </cell>
          <cell r="X270">
            <v>140000000</v>
          </cell>
        </row>
        <row r="272">
          <cell r="C272">
            <v>64610000</v>
          </cell>
          <cell r="D272" t="str">
            <v>DROITS DE MUTATI</v>
          </cell>
          <cell r="F272">
            <v>15200</v>
          </cell>
          <cell r="G272">
            <v>0</v>
          </cell>
          <cell r="H272">
            <v>0</v>
          </cell>
          <cell r="I272" t="str">
            <v>TAX</v>
          </cell>
          <cell r="J272" t="str">
            <v>Opex5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</row>
        <row r="273">
          <cell r="C273">
            <v>64621000</v>
          </cell>
          <cell r="D273" t="str">
            <v>DROITS DE TIMBRE</v>
          </cell>
          <cell r="E273">
            <v>308553</v>
          </cell>
          <cell r="F273">
            <v>325118</v>
          </cell>
          <cell r="G273">
            <v>213230</v>
          </cell>
          <cell r="H273">
            <v>82000</v>
          </cell>
          <cell r="I273" t="str">
            <v>TAX</v>
          </cell>
          <cell r="J273" t="str">
            <v>Opex5</v>
          </cell>
          <cell r="K273">
            <v>82000</v>
          </cell>
          <cell r="L273">
            <v>6833.333333333333</v>
          </cell>
          <cell r="M273">
            <v>32006436.666666668</v>
          </cell>
          <cell r="N273">
            <v>209910</v>
          </cell>
          <cell r="O273">
            <v>298050</v>
          </cell>
          <cell r="P273">
            <v>258560</v>
          </cell>
          <cell r="Q273">
            <v>-32779190</v>
          </cell>
          <cell r="R273">
            <v>100</v>
          </cell>
          <cell r="S273">
            <v>0</v>
          </cell>
          <cell r="T273">
            <v>7100</v>
          </cell>
          <cell r="U273">
            <v>262250</v>
          </cell>
          <cell r="V273">
            <v>400</v>
          </cell>
          <cell r="W273">
            <v>0</v>
          </cell>
          <cell r="X273">
            <v>270450</v>
          </cell>
        </row>
        <row r="274">
          <cell r="C274">
            <v>64622000</v>
          </cell>
          <cell r="D274" t="str">
            <v>DROITS D'ENREGIS</v>
          </cell>
          <cell r="E274">
            <v>1895720</v>
          </cell>
          <cell r="F274">
            <v>13265450</v>
          </cell>
          <cell r="G274">
            <v>6430790</v>
          </cell>
          <cell r="H274">
            <v>9893006</v>
          </cell>
          <cell r="I274" t="str">
            <v>TAX</v>
          </cell>
          <cell r="J274" t="str">
            <v>Opex5</v>
          </cell>
          <cell r="K274">
            <v>9893006</v>
          </cell>
          <cell r="L274">
            <v>824417.16666666663</v>
          </cell>
          <cell r="M274">
            <v>-812417.16666666663</v>
          </cell>
          <cell r="N274">
            <v>4784833</v>
          </cell>
          <cell r="O274">
            <v>900000</v>
          </cell>
          <cell r="P274">
            <v>3489022</v>
          </cell>
          <cell r="Q274">
            <v>6241754</v>
          </cell>
          <cell r="R274">
            <v>2571268.1666666665</v>
          </cell>
          <cell r="S274">
            <v>0</v>
          </cell>
          <cell r="T274">
            <v>5239761.8333333321</v>
          </cell>
          <cell r="U274">
            <v>2603676.666666666</v>
          </cell>
          <cell r="V274">
            <v>-452993.66666666418</v>
          </cell>
          <cell r="W274">
            <v>2357816</v>
          </cell>
          <cell r="X274">
            <v>27747138</v>
          </cell>
        </row>
        <row r="275">
          <cell r="C275">
            <v>64641000</v>
          </cell>
          <cell r="D275" t="str">
            <v>TAXES ROUTIERES</v>
          </cell>
          <cell r="E275">
            <v>125900</v>
          </cell>
          <cell r="F275">
            <v>198000</v>
          </cell>
          <cell r="G275">
            <v>206000</v>
          </cell>
          <cell r="H275">
            <v>68700</v>
          </cell>
          <cell r="I275" t="str">
            <v>TAX</v>
          </cell>
          <cell r="J275" t="str">
            <v>Opex5</v>
          </cell>
          <cell r="K275">
            <v>68700</v>
          </cell>
          <cell r="L275">
            <v>5725</v>
          </cell>
          <cell r="M275">
            <v>-5725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</row>
        <row r="276">
          <cell r="C276">
            <v>64642000</v>
          </cell>
          <cell r="D276" t="str">
            <v>VISITE TECHNIQUE</v>
          </cell>
          <cell r="F276">
            <v>42500</v>
          </cell>
          <cell r="G276">
            <v>191050</v>
          </cell>
          <cell r="H276">
            <v>10500</v>
          </cell>
          <cell r="I276" t="str">
            <v>FG</v>
          </cell>
          <cell r="J276" t="str">
            <v>Opex4</v>
          </cell>
          <cell r="K276">
            <v>10500</v>
          </cell>
          <cell r="L276">
            <v>0</v>
          </cell>
          <cell r="M276">
            <v>0</v>
          </cell>
          <cell r="N276">
            <v>39500</v>
          </cell>
          <cell r="O276">
            <v>26500</v>
          </cell>
          <cell r="P276">
            <v>18500</v>
          </cell>
          <cell r="Q276">
            <v>26500</v>
          </cell>
          <cell r="R276">
            <v>0</v>
          </cell>
          <cell r="S276">
            <v>21000</v>
          </cell>
          <cell r="T276">
            <v>52500</v>
          </cell>
          <cell r="U276">
            <v>0</v>
          </cell>
          <cell r="V276">
            <v>0</v>
          </cell>
          <cell r="W276">
            <v>0</v>
          </cell>
          <cell r="X276">
            <v>184500</v>
          </cell>
        </row>
        <row r="279">
          <cell r="D279" t="str">
            <v>TOTAL RK   646</v>
          </cell>
          <cell r="E279">
            <v>2330173</v>
          </cell>
          <cell r="F279">
            <v>13846268</v>
          </cell>
          <cell r="G279">
            <v>7041070</v>
          </cell>
          <cell r="H279">
            <v>10054206</v>
          </cell>
          <cell r="K279">
            <v>10054206</v>
          </cell>
          <cell r="L279">
            <v>836975.5</v>
          </cell>
          <cell r="M279">
            <v>31188294.5</v>
          </cell>
          <cell r="N279">
            <v>5034243</v>
          </cell>
          <cell r="O279">
            <v>1224550</v>
          </cell>
          <cell r="P279">
            <v>3766082</v>
          </cell>
          <cell r="Q279">
            <v>-26510936</v>
          </cell>
          <cell r="R279">
            <v>2571368.1666666665</v>
          </cell>
          <cell r="S279">
            <v>21000</v>
          </cell>
          <cell r="T279">
            <v>5299361.8333333321</v>
          </cell>
          <cell r="U279">
            <v>2865926.666666666</v>
          </cell>
          <cell r="V279">
            <v>-452593.66666666418</v>
          </cell>
          <cell r="W279">
            <v>2357816</v>
          </cell>
          <cell r="X279">
            <v>28202088</v>
          </cell>
        </row>
        <row r="281">
          <cell r="C281">
            <v>64710000</v>
          </cell>
          <cell r="D281" t="str">
            <v>REDRESSEMENT FI</v>
          </cell>
          <cell r="E281">
            <v>968813</v>
          </cell>
          <cell r="F281">
            <v>5000000</v>
          </cell>
          <cell r="G281">
            <v>0</v>
          </cell>
          <cell r="H281">
            <v>0</v>
          </cell>
          <cell r="I281" t="str">
            <v>TAX</v>
          </cell>
          <cell r="J281" t="str">
            <v>Opex5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80000000</v>
          </cell>
          <cell r="X281">
            <v>80000000</v>
          </cell>
        </row>
        <row r="282">
          <cell r="C282">
            <v>64720000</v>
          </cell>
          <cell r="D282" t="str">
            <v>AMENDES ET PEN</v>
          </cell>
          <cell r="E282">
            <v>50017500</v>
          </cell>
          <cell r="F282">
            <v>5500000</v>
          </cell>
          <cell r="G282">
            <v>10000000</v>
          </cell>
          <cell r="H282">
            <v>545921957</v>
          </cell>
          <cell r="I282" t="str">
            <v>TAX</v>
          </cell>
          <cell r="J282" t="str">
            <v>Opex5</v>
          </cell>
          <cell r="K282">
            <v>545921957</v>
          </cell>
          <cell r="L282">
            <v>0</v>
          </cell>
          <cell r="M282">
            <v>21020050</v>
          </cell>
          <cell r="N282">
            <v>0</v>
          </cell>
          <cell r="O282">
            <v>300000</v>
          </cell>
          <cell r="P282">
            <v>20000000</v>
          </cell>
          <cell r="Q282">
            <v>-17086218</v>
          </cell>
          <cell r="R282">
            <v>4038972</v>
          </cell>
          <cell r="S282">
            <v>0</v>
          </cell>
          <cell r="T282">
            <v>-3455639</v>
          </cell>
          <cell r="U282">
            <v>20000</v>
          </cell>
          <cell r="V282">
            <v>0</v>
          </cell>
          <cell r="W282">
            <v>5182788</v>
          </cell>
          <cell r="X282">
            <v>30019953</v>
          </cell>
        </row>
        <row r="285">
          <cell r="D285" t="str">
            <v>TOTAL RK   647</v>
          </cell>
          <cell r="E285">
            <v>50986313</v>
          </cell>
          <cell r="F285">
            <v>10500000</v>
          </cell>
          <cell r="G285">
            <v>10000000</v>
          </cell>
          <cell r="H285">
            <v>545921957</v>
          </cell>
          <cell r="K285">
            <v>545921957</v>
          </cell>
          <cell r="L285">
            <v>0</v>
          </cell>
          <cell r="M285">
            <v>21020050</v>
          </cell>
          <cell r="N285">
            <v>0</v>
          </cell>
          <cell r="O285">
            <v>300000</v>
          </cell>
          <cell r="P285">
            <v>20000000</v>
          </cell>
          <cell r="Q285">
            <v>-17086218</v>
          </cell>
          <cell r="R285">
            <v>4038972</v>
          </cell>
          <cell r="S285">
            <v>0</v>
          </cell>
          <cell r="T285">
            <v>-3455639</v>
          </cell>
          <cell r="U285">
            <v>20000</v>
          </cell>
          <cell r="V285">
            <v>0</v>
          </cell>
          <cell r="W285">
            <v>85182788</v>
          </cell>
          <cell r="X285">
            <v>110019953</v>
          </cell>
        </row>
        <row r="287">
          <cell r="C287">
            <v>64800000</v>
          </cell>
          <cell r="D287" t="str">
            <v>AUTRES IMPOTS ET TAXES</v>
          </cell>
          <cell r="E287">
            <v>100000</v>
          </cell>
          <cell r="F287">
            <v>3219500</v>
          </cell>
          <cell r="G287">
            <v>11039198</v>
          </cell>
          <cell r="H287">
            <v>67759208</v>
          </cell>
          <cell r="I287" t="str">
            <v>TAX</v>
          </cell>
          <cell r="J287" t="str">
            <v>Opex5</v>
          </cell>
          <cell r="K287">
            <v>67759208</v>
          </cell>
          <cell r="L287">
            <v>5646600.666666667</v>
          </cell>
          <cell r="M287">
            <v>-3784920.666666667</v>
          </cell>
          <cell r="N287">
            <v>4016146</v>
          </cell>
          <cell r="O287">
            <v>1557604</v>
          </cell>
          <cell r="P287">
            <v>10165100</v>
          </cell>
          <cell r="Q287">
            <v>4000</v>
          </cell>
          <cell r="R287">
            <v>2934088.3333333335</v>
          </cell>
          <cell r="S287">
            <v>0</v>
          </cell>
          <cell r="T287">
            <v>-2931488.3333333321</v>
          </cell>
          <cell r="U287">
            <v>0</v>
          </cell>
          <cell r="V287">
            <v>6377625</v>
          </cell>
          <cell r="W287">
            <v>2321334</v>
          </cell>
          <cell r="X287">
            <v>26306089</v>
          </cell>
        </row>
        <row r="288">
          <cell r="C288">
            <v>64820000</v>
          </cell>
          <cell r="D288" t="str">
            <v>AUTRES AMENDES</v>
          </cell>
          <cell r="E288">
            <v>1774276</v>
          </cell>
          <cell r="F288">
            <v>1421202</v>
          </cell>
          <cell r="G288">
            <v>0</v>
          </cell>
          <cell r="H288">
            <v>0</v>
          </cell>
          <cell r="I288" t="str">
            <v>TAX</v>
          </cell>
          <cell r="J288" t="str">
            <v>Opex5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</row>
        <row r="291">
          <cell r="D291" t="str">
            <v>TOTAL RK   648</v>
          </cell>
          <cell r="E291">
            <v>1874276</v>
          </cell>
          <cell r="F291">
            <v>4640702</v>
          </cell>
          <cell r="G291">
            <v>11039198</v>
          </cell>
          <cell r="H291">
            <v>67759208</v>
          </cell>
          <cell r="K291">
            <v>67759208</v>
          </cell>
          <cell r="L291">
            <v>5646600.666666667</v>
          </cell>
          <cell r="M291">
            <v>-3784920.666666667</v>
          </cell>
          <cell r="N291">
            <v>4016146</v>
          </cell>
          <cell r="O291">
            <v>1557604</v>
          </cell>
          <cell r="P291">
            <v>10165100</v>
          </cell>
          <cell r="Q291">
            <v>4000</v>
          </cell>
          <cell r="R291">
            <v>2934088.3333333335</v>
          </cell>
          <cell r="S291">
            <v>0</v>
          </cell>
          <cell r="T291">
            <v>-2931488.3333333321</v>
          </cell>
          <cell r="U291">
            <v>0</v>
          </cell>
          <cell r="V291">
            <v>6377625</v>
          </cell>
          <cell r="W291">
            <v>2321334</v>
          </cell>
          <cell r="X291">
            <v>26306089</v>
          </cell>
        </row>
        <row r="292">
          <cell r="D292" t="str">
            <v>TOTAL RK  64</v>
          </cell>
          <cell r="E292">
            <v>55234649</v>
          </cell>
          <cell r="F292">
            <v>36101603</v>
          </cell>
          <cell r="G292">
            <v>28080268</v>
          </cell>
          <cell r="H292">
            <v>623735371</v>
          </cell>
          <cell r="K292">
            <v>623735371</v>
          </cell>
          <cell r="L292">
            <v>6483576.166666667</v>
          </cell>
          <cell r="M292">
            <v>48423423.833333336</v>
          </cell>
          <cell r="N292">
            <v>9050389</v>
          </cell>
          <cell r="O292">
            <v>3082154</v>
          </cell>
          <cell r="P292">
            <v>33931182</v>
          </cell>
          <cell r="Q292">
            <v>-43593154</v>
          </cell>
          <cell r="R292">
            <v>9544428.5</v>
          </cell>
          <cell r="S292">
            <v>21000</v>
          </cell>
          <cell r="T292">
            <v>61901234.5</v>
          </cell>
          <cell r="U292">
            <v>2885926.666666666</v>
          </cell>
          <cell r="V292">
            <v>5925031.3333333358</v>
          </cell>
          <cell r="W292">
            <v>166872938</v>
          </cell>
          <cell r="X292">
            <v>304528130</v>
          </cell>
        </row>
        <row r="294">
          <cell r="C294">
            <v>65100000</v>
          </cell>
          <cell r="D294" t="str">
            <v>PERTES SUR STOCK</v>
          </cell>
          <cell r="E294">
            <v>48330950</v>
          </cell>
          <cell r="G294">
            <v>0</v>
          </cell>
          <cell r="H294">
            <v>0</v>
          </cell>
          <cell r="I294" t="str">
            <v>Coût des terminaux</v>
          </cell>
          <cell r="J294" t="str">
            <v>CV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</row>
        <row r="297">
          <cell r="D297" t="str">
            <v>TOTAL RL   651</v>
          </cell>
          <cell r="E297">
            <v>48330950</v>
          </cell>
          <cell r="F297">
            <v>0</v>
          </cell>
          <cell r="G297">
            <v>0</v>
          </cell>
          <cell r="H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</row>
        <row r="299">
          <cell r="C299">
            <v>65810000</v>
          </cell>
          <cell r="D299" t="str">
            <v>JETONS DE PRESEN</v>
          </cell>
          <cell r="F299">
            <v>5475000</v>
          </cell>
          <cell r="G299">
            <v>7000000</v>
          </cell>
          <cell r="H299">
            <v>7000000</v>
          </cell>
          <cell r="I299" t="str">
            <v>FG</v>
          </cell>
          <cell r="J299" t="str">
            <v>Opex4</v>
          </cell>
          <cell r="K299">
            <v>7000000</v>
          </cell>
          <cell r="L299">
            <v>583333.33333333337</v>
          </cell>
          <cell r="M299">
            <v>-583333.33333333337</v>
          </cell>
          <cell r="N299">
            <v>1750000</v>
          </cell>
          <cell r="O299">
            <v>0</v>
          </cell>
          <cell r="P299">
            <v>0</v>
          </cell>
          <cell r="Q299">
            <v>1750000</v>
          </cell>
          <cell r="R299">
            <v>0</v>
          </cell>
          <cell r="S299">
            <v>1750000</v>
          </cell>
          <cell r="T299">
            <v>0</v>
          </cell>
          <cell r="U299">
            <v>0</v>
          </cell>
          <cell r="V299">
            <v>1166667</v>
          </cell>
          <cell r="W299">
            <v>583333</v>
          </cell>
          <cell r="X299">
            <v>7000000</v>
          </cell>
        </row>
        <row r="300">
          <cell r="C300">
            <v>65830000</v>
          </cell>
          <cell r="D300" t="str">
            <v>MECENAT</v>
          </cell>
          <cell r="F300">
            <v>1000000</v>
          </cell>
          <cell r="G300">
            <v>0</v>
          </cell>
          <cell r="H300">
            <v>0</v>
          </cell>
          <cell r="I300" t="str">
            <v>COM</v>
          </cell>
          <cell r="J300" t="str">
            <v>Opex2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</row>
        <row r="301">
          <cell r="C301">
            <v>65844000</v>
          </cell>
          <cell r="D301" t="str">
            <v>TVA NON DEDUCTIBLE</v>
          </cell>
          <cell r="E301">
            <v>21754460</v>
          </cell>
          <cell r="G301">
            <v>0</v>
          </cell>
          <cell r="H301">
            <v>0</v>
          </cell>
          <cell r="I301" t="str">
            <v>TAX</v>
          </cell>
          <cell r="J301" t="str">
            <v>Opex5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</row>
        <row r="302">
          <cell r="C302">
            <v>65850000</v>
          </cell>
          <cell r="D302" t="str">
            <v>CHARGES ET PERT</v>
          </cell>
          <cell r="E302">
            <v>194737614</v>
          </cell>
          <cell r="F302">
            <v>509454316</v>
          </cell>
          <cell r="G302">
            <v>2641785</v>
          </cell>
          <cell r="H302">
            <v>22037975</v>
          </cell>
          <cell r="I302" t="str">
            <v>FG</v>
          </cell>
          <cell r="J302" t="str">
            <v>Opex4</v>
          </cell>
          <cell r="K302">
            <v>22037975</v>
          </cell>
          <cell r="L302">
            <v>0</v>
          </cell>
          <cell r="M302">
            <v>45970321</v>
          </cell>
          <cell r="N302">
            <v>28007</v>
          </cell>
          <cell r="O302">
            <v>16007</v>
          </cell>
          <cell r="P302">
            <v>15</v>
          </cell>
          <cell r="Q302">
            <v>8505</v>
          </cell>
          <cell r="R302">
            <v>0</v>
          </cell>
          <cell r="S302">
            <v>63148512</v>
          </cell>
          <cell r="T302">
            <v>113262</v>
          </cell>
          <cell r="U302">
            <v>3</v>
          </cell>
          <cell r="V302">
            <v>5</v>
          </cell>
          <cell r="W302">
            <v>214002843</v>
          </cell>
          <cell r="X302">
            <v>323287480</v>
          </cell>
        </row>
        <row r="305">
          <cell r="D305" t="str">
            <v>TOTAL RL   658</v>
          </cell>
          <cell r="E305">
            <v>216492074</v>
          </cell>
          <cell r="F305">
            <v>515929316</v>
          </cell>
          <cell r="G305">
            <v>9641785</v>
          </cell>
          <cell r="H305">
            <v>29037975</v>
          </cell>
          <cell r="K305">
            <v>29037975</v>
          </cell>
          <cell r="L305">
            <v>583333.33333333337</v>
          </cell>
          <cell r="M305">
            <v>45386987.666666664</v>
          </cell>
          <cell r="N305">
            <v>1778007</v>
          </cell>
          <cell r="O305">
            <v>16007</v>
          </cell>
          <cell r="P305">
            <v>15</v>
          </cell>
          <cell r="Q305">
            <v>1758505</v>
          </cell>
          <cell r="R305">
            <v>0</v>
          </cell>
          <cell r="S305">
            <v>64898512</v>
          </cell>
          <cell r="T305">
            <v>113262</v>
          </cell>
          <cell r="U305">
            <v>3</v>
          </cell>
          <cell r="V305">
            <v>1166672</v>
          </cell>
          <cell r="W305">
            <v>214586176</v>
          </cell>
          <cell r="X305">
            <v>330287480</v>
          </cell>
        </row>
        <row r="307">
          <cell r="C307">
            <v>65930000</v>
          </cell>
          <cell r="D307" t="str">
            <v>PROV POUR DEPRE STOCK</v>
          </cell>
          <cell r="E307">
            <v>45704976</v>
          </cell>
          <cell r="F307">
            <v>257692479</v>
          </cell>
          <cell r="G307">
            <v>342756144</v>
          </cell>
          <cell r="H307">
            <v>576207892</v>
          </cell>
          <cell r="I307" t="str">
            <v>Coût des terminaux</v>
          </cell>
          <cell r="J307" t="str">
            <v>CV</v>
          </cell>
          <cell r="K307">
            <v>576207892</v>
          </cell>
          <cell r="L307">
            <v>48017324.333333336</v>
          </cell>
          <cell r="M307">
            <v>-48017324.333333336</v>
          </cell>
          <cell r="N307">
            <v>192961160</v>
          </cell>
          <cell r="O307">
            <v>0</v>
          </cell>
          <cell r="P307">
            <v>0</v>
          </cell>
          <cell r="Q307">
            <v>11183571</v>
          </cell>
          <cell r="R307">
            <v>34024121.833333336</v>
          </cell>
          <cell r="S307">
            <v>0</v>
          </cell>
          <cell r="T307">
            <v>26253517.166666657</v>
          </cell>
          <cell r="U307">
            <v>29380263.333333332</v>
          </cell>
          <cell r="V307">
            <v>194954048.66666698</v>
          </cell>
          <cell r="W307">
            <v>30939120.999999702</v>
          </cell>
          <cell r="X307">
            <v>519695803</v>
          </cell>
        </row>
        <row r="308">
          <cell r="C308">
            <v>65940000</v>
          </cell>
          <cell r="D308" t="str">
            <v>PROVISIONS POUR FOURNISSEURS DEBITEURS</v>
          </cell>
          <cell r="G308">
            <v>766859498</v>
          </cell>
          <cell r="H308">
            <v>0</v>
          </cell>
          <cell r="I308" t="str">
            <v>CREANCE</v>
          </cell>
          <cell r="J308" t="str">
            <v>Opex7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</row>
        <row r="309">
          <cell r="C309">
            <v>65941000</v>
          </cell>
          <cell r="D309" t="str">
            <v>PROVISIONS POUR CLIENT</v>
          </cell>
          <cell r="E309">
            <v>458018267</v>
          </cell>
          <cell r="F309">
            <v>730226751</v>
          </cell>
          <cell r="G309">
            <v>566662129</v>
          </cell>
          <cell r="H309">
            <v>832173447</v>
          </cell>
          <cell r="I309" t="str">
            <v>CREANCE</v>
          </cell>
          <cell r="J309" t="str">
            <v>Opex7</v>
          </cell>
          <cell r="K309">
            <v>832173447</v>
          </cell>
          <cell r="L309">
            <v>69347787.25</v>
          </cell>
          <cell r="M309">
            <v>69347786.75</v>
          </cell>
          <cell r="N309">
            <v>-62621170</v>
          </cell>
          <cell r="O309">
            <v>25358134.666666668</v>
          </cell>
          <cell r="P309">
            <v>-25358134.666666672</v>
          </cell>
          <cell r="Q309">
            <v>60679737</v>
          </cell>
          <cell r="R309">
            <v>22792356.833333332</v>
          </cell>
          <cell r="S309">
            <v>22792356.833333332</v>
          </cell>
          <cell r="T309">
            <v>290213280.33333331</v>
          </cell>
          <cell r="U309">
            <v>52505792.777777776</v>
          </cell>
          <cell r="V309">
            <v>-291057927.77777779</v>
          </cell>
          <cell r="W309">
            <v>252331165</v>
          </cell>
          <cell r="X309">
            <v>486331165</v>
          </cell>
        </row>
        <row r="310">
          <cell r="C310">
            <v>65950000</v>
          </cell>
          <cell r="D310" t="str">
            <v>CHARGES PROVISIONEES SUR DETOURNEMENT PERSONNEL</v>
          </cell>
          <cell r="G310">
            <v>0</v>
          </cell>
          <cell r="H310">
            <v>305524</v>
          </cell>
          <cell r="I310" t="str">
            <v>FG</v>
          </cell>
          <cell r="J310" t="str">
            <v>Opex4</v>
          </cell>
          <cell r="K310">
            <v>305524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</row>
        <row r="313">
          <cell r="D313" t="str">
            <v>TOTAL RL   659</v>
          </cell>
          <cell r="E313">
            <v>503723243</v>
          </cell>
          <cell r="F313">
            <v>987919230</v>
          </cell>
          <cell r="G313">
            <v>1676277771</v>
          </cell>
          <cell r="H313">
            <v>1408686863</v>
          </cell>
          <cell r="K313">
            <v>1408686863</v>
          </cell>
          <cell r="L313">
            <v>117365111.58333334</v>
          </cell>
          <cell r="M313">
            <v>21330462.416666664</v>
          </cell>
          <cell r="N313">
            <v>130339990</v>
          </cell>
          <cell r="O313">
            <v>25358134.666666668</v>
          </cell>
          <cell r="P313">
            <v>-25358134.666666672</v>
          </cell>
          <cell r="Q313">
            <v>71863308</v>
          </cell>
          <cell r="R313">
            <v>56816478.666666672</v>
          </cell>
          <cell r="S313">
            <v>22792356.833333332</v>
          </cell>
          <cell r="T313">
            <v>316466797.5</v>
          </cell>
          <cell r="U313">
            <v>81886056.111111104</v>
          </cell>
          <cell r="V313">
            <v>-96103879.111110806</v>
          </cell>
          <cell r="W313">
            <v>283270285.9999997</v>
          </cell>
          <cell r="X313">
            <v>1006026968</v>
          </cell>
        </row>
        <row r="314">
          <cell r="D314" t="str">
            <v>TOTAL RL   65</v>
          </cell>
          <cell r="E314">
            <v>768546267</v>
          </cell>
          <cell r="F314">
            <v>1503848546</v>
          </cell>
          <cell r="G314">
            <v>1685919556</v>
          </cell>
          <cell r="H314">
            <v>1437724838</v>
          </cell>
          <cell r="K314">
            <v>1437724838</v>
          </cell>
          <cell r="L314">
            <v>117948444.91666667</v>
          </cell>
          <cell r="M314">
            <v>66717450.083333328</v>
          </cell>
          <cell r="N314">
            <v>132117997</v>
          </cell>
          <cell r="O314">
            <v>25374141.666666668</v>
          </cell>
          <cell r="P314">
            <v>-25358119.666666672</v>
          </cell>
          <cell r="Q314">
            <v>73621813</v>
          </cell>
          <cell r="R314">
            <v>56816478.666666672</v>
          </cell>
          <cell r="S314">
            <v>87690868.833333328</v>
          </cell>
          <cell r="T314">
            <v>316580059.5</v>
          </cell>
          <cell r="U314">
            <v>81886059.111111104</v>
          </cell>
          <cell r="V314">
            <v>-94937207.111110806</v>
          </cell>
          <cell r="W314">
            <v>497856461.9999997</v>
          </cell>
          <cell r="X314">
            <v>1336314448</v>
          </cell>
        </row>
        <row r="316">
          <cell r="C316">
            <v>66111000</v>
          </cell>
          <cell r="D316" t="str">
            <v>SALAIRES DE BASE</v>
          </cell>
          <cell r="E316">
            <v>221258019</v>
          </cell>
          <cell r="F316">
            <v>292186357</v>
          </cell>
          <cell r="G316">
            <v>531709090</v>
          </cell>
          <cell r="H316">
            <v>544426107</v>
          </cell>
          <cell r="I316" t="str">
            <v>PERS</v>
          </cell>
          <cell r="J316" t="str">
            <v>Opex1</v>
          </cell>
          <cell r="K316">
            <v>544426107</v>
          </cell>
          <cell r="L316">
            <v>25426019</v>
          </cell>
          <cell r="M316">
            <v>72176738</v>
          </cell>
          <cell r="N316">
            <v>41521522</v>
          </cell>
          <cell r="O316">
            <v>55331856</v>
          </cell>
          <cell r="P316">
            <v>46105751</v>
          </cell>
          <cell r="Q316">
            <v>236554161</v>
          </cell>
          <cell r="R316">
            <v>79519341.166666672</v>
          </cell>
          <cell r="S316">
            <v>79519341.166666672</v>
          </cell>
          <cell r="T316">
            <v>130773046.66666675</v>
          </cell>
          <cell r="U316">
            <v>96603909.666666701</v>
          </cell>
          <cell r="V316">
            <v>-57370294.666666746</v>
          </cell>
          <cell r="W316">
            <v>-111072864</v>
          </cell>
          <cell r="X316">
            <v>695088527</v>
          </cell>
        </row>
        <row r="317">
          <cell r="C317">
            <v>66111100</v>
          </cell>
          <cell r="D317" t="str">
            <v>SALAIRES DE BASE ENQUÊTE RH</v>
          </cell>
          <cell r="E317">
            <v>213000</v>
          </cell>
          <cell r="G317">
            <v>0</v>
          </cell>
          <cell r="H317">
            <v>208839332</v>
          </cell>
          <cell r="I317" t="str">
            <v>PERS</v>
          </cell>
          <cell r="J317" t="str">
            <v>Opex1</v>
          </cell>
          <cell r="K317">
            <v>208839332</v>
          </cell>
          <cell r="M317">
            <v>17403277.666666668</v>
          </cell>
          <cell r="N317">
            <v>84196634.333333328</v>
          </cell>
          <cell r="O317">
            <v>33866637.333333336</v>
          </cell>
          <cell r="P317">
            <v>108392920.66666666</v>
          </cell>
          <cell r="Q317">
            <v>-142259558</v>
          </cell>
          <cell r="R317">
            <v>20319982.399999999</v>
          </cell>
          <cell r="S317">
            <v>20319982.399999999</v>
          </cell>
          <cell r="T317">
            <v>-40639964.800000012</v>
          </cell>
          <cell r="U317">
            <v>0</v>
          </cell>
          <cell r="V317">
            <v>147226171</v>
          </cell>
          <cell r="W317">
            <v>258799173</v>
          </cell>
          <cell r="X317">
            <v>507625256</v>
          </cell>
        </row>
        <row r="318">
          <cell r="C318">
            <v>66112000</v>
          </cell>
          <cell r="D318" t="str">
            <v>HEURES SUPLEMENTAIRES</v>
          </cell>
          <cell r="E318">
            <v>8430284</v>
          </cell>
          <cell r="F318">
            <v>2740311</v>
          </cell>
          <cell r="G318">
            <v>12592201</v>
          </cell>
          <cell r="H318">
            <v>0</v>
          </cell>
          <cell r="I318" t="str">
            <v>PERS</v>
          </cell>
          <cell r="J318" t="str">
            <v>Opex1</v>
          </cell>
          <cell r="K318">
            <v>0</v>
          </cell>
          <cell r="L318">
            <v>5342005</v>
          </cell>
          <cell r="M318">
            <v>-5342005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</row>
        <row r="319">
          <cell r="C319">
            <v>66122000</v>
          </cell>
          <cell r="D319" t="str">
            <v>GRATIFICATIONS</v>
          </cell>
          <cell r="E319">
            <v>50507160</v>
          </cell>
          <cell r="F319">
            <v>50507160</v>
          </cell>
          <cell r="G319">
            <v>44288799</v>
          </cell>
          <cell r="H319">
            <v>62025178</v>
          </cell>
          <cell r="I319" t="str">
            <v>PERS</v>
          </cell>
          <cell r="J319" t="str">
            <v>Opex1</v>
          </cell>
          <cell r="K319">
            <v>62025178</v>
          </cell>
          <cell r="L319">
            <v>5168764.833333333</v>
          </cell>
          <cell r="M319">
            <v>5168764.833333333</v>
          </cell>
          <cell r="N319">
            <v>19027014.333333336</v>
          </cell>
          <cell r="O319">
            <v>9788181.333333334</v>
          </cell>
          <cell r="P319">
            <v>10000000</v>
          </cell>
          <cell r="Q319">
            <v>23608582.666666664</v>
          </cell>
          <cell r="R319">
            <v>12126884.666666666</v>
          </cell>
          <cell r="S319">
            <v>12126884.666666666</v>
          </cell>
          <cell r="T319">
            <v>-3536717.3333333433</v>
          </cell>
          <cell r="U319">
            <v>6905683.9999999963</v>
          </cell>
          <cell r="V319">
            <v>2000000</v>
          </cell>
          <cell r="W319">
            <v>12345060</v>
          </cell>
          <cell r="X319">
            <v>114729104</v>
          </cell>
        </row>
        <row r="320">
          <cell r="C320">
            <v>66123000</v>
          </cell>
          <cell r="D320" t="str">
            <v>TREIZIEME MOIS</v>
          </cell>
          <cell r="G320">
            <v>0</v>
          </cell>
          <cell r="H320">
            <v>0</v>
          </cell>
          <cell r="I320" t="str">
            <v>PERS</v>
          </cell>
          <cell r="J320" t="str">
            <v>Opex1</v>
          </cell>
          <cell r="K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17294985</v>
          </cell>
          <cell r="R320">
            <v>3458997</v>
          </cell>
          <cell r="S320">
            <v>3458997</v>
          </cell>
          <cell r="T320">
            <v>1729498</v>
          </cell>
          <cell r="U320">
            <v>2882497.3333333335</v>
          </cell>
          <cell r="V320">
            <v>15000000</v>
          </cell>
          <cell r="W320">
            <v>-20344217.333333328</v>
          </cell>
          <cell r="X320">
            <v>23480757</v>
          </cell>
        </row>
        <row r="321">
          <cell r="C321">
            <v>66127000</v>
          </cell>
          <cell r="D321" t="str">
            <v>PROVISIONS POUR R</v>
          </cell>
          <cell r="E321">
            <v>2385000</v>
          </cell>
          <cell r="F321">
            <v>4010000</v>
          </cell>
          <cell r="G321">
            <v>0</v>
          </cell>
          <cell r="H321">
            <v>0</v>
          </cell>
          <cell r="I321" t="str">
            <v>PERS</v>
          </cell>
          <cell r="J321" t="str">
            <v>Opex1</v>
          </cell>
          <cell r="K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</row>
        <row r="322">
          <cell r="C322">
            <v>66130000</v>
          </cell>
          <cell r="D322" t="str">
            <v>CONGE PAYE</v>
          </cell>
          <cell r="F322">
            <v>35324457</v>
          </cell>
          <cell r="G322">
            <v>48042019</v>
          </cell>
          <cell r="H322">
            <v>32302212</v>
          </cell>
          <cell r="I322" t="str">
            <v>PERS</v>
          </cell>
          <cell r="J322" t="str">
            <v>Opex1</v>
          </cell>
          <cell r="K322">
            <v>32302212</v>
          </cell>
          <cell r="L322">
            <v>2691851</v>
          </cell>
          <cell r="M322">
            <v>2691851</v>
          </cell>
          <cell r="N322">
            <v>18793013</v>
          </cell>
          <cell r="O322">
            <v>0</v>
          </cell>
          <cell r="P322">
            <v>15303534</v>
          </cell>
          <cell r="Q322">
            <v>-2549802</v>
          </cell>
          <cell r="R322">
            <v>6155074.5</v>
          </cell>
          <cell r="S322">
            <v>6155074.5</v>
          </cell>
          <cell r="T322">
            <v>-926884</v>
          </cell>
          <cell r="U322">
            <v>3794421.6666666665</v>
          </cell>
          <cell r="V322">
            <v>0</v>
          </cell>
          <cell r="W322">
            <v>-34626291.666666664</v>
          </cell>
          <cell r="X322">
            <v>17481842</v>
          </cell>
        </row>
        <row r="323">
          <cell r="C323">
            <v>66135000</v>
          </cell>
          <cell r="D323" t="str">
            <v>OCCASIONNEL</v>
          </cell>
          <cell r="E323">
            <v>8370186</v>
          </cell>
          <cell r="F323">
            <v>3000001</v>
          </cell>
          <cell r="G323">
            <v>0</v>
          </cell>
          <cell r="H323">
            <v>3215975</v>
          </cell>
          <cell r="I323" t="str">
            <v>PERS</v>
          </cell>
          <cell r="J323" t="str">
            <v>Opex1</v>
          </cell>
          <cell r="K323">
            <v>3215975</v>
          </cell>
          <cell r="L323">
            <v>267997.91666666669</v>
          </cell>
          <cell r="M323">
            <v>-267997.91666666669</v>
          </cell>
          <cell r="N323">
            <v>0</v>
          </cell>
          <cell r="O323">
            <v>140114</v>
          </cell>
          <cell r="P323">
            <v>169400</v>
          </cell>
          <cell r="Q323">
            <v>6947396</v>
          </cell>
          <cell r="R323">
            <v>199400</v>
          </cell>
          <cell r="S323">
            <v>199400</v>
          </cell>
          <cell r="T323">
            <v>361415</v>
          </cell>
          <cell r="U323">
            <v>23100</v>
          </cell>
          <cell r="V323">
            <v>646967</v>
          </cell>
          <cell r="W323">
            <v>301155</v>
          </cell>
          <cell r="X323">
            <v>8988347</v>
          </cell>
        </row>
        <row r="324">
          <cell r="C324">
            <v>66151000</v>
          </cell>
          <cell r="D324" t="str">
            <v>INDEMNITES CAPITAL DECES</v>
          </cell>
          <cell r="E324">
            <v>1256600</v>
          </cell>
          <cell r="G324">
            <v>0</v>
          </cell>
          <cell r="H324">
            <v>2205744</v>
          </cell>
          <cell r="I324" t="str">
            <v>PERS</v>
          </cell>
          <cell r="J324" t="str">
            <v>Opex1</v>
          </cell>
          <cell r="K324">
            <v>2205744</v>
          </cell>
          <cell r="L324">
            <v>183812</v>
          </cell>
          <cell r="M324">
            <v>-183812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</row>
        <row r="327">
          <cell r="D327" t="str">
            <v>TOTAL RP   661</v>
          </cell>
          <cell r="E327">
            <v>292420249</v>
          </cell>
          <cell r="F327">
            <v>387768286</v>
          </cell>
          <cell r="G327">
            <v>636632109</v>
          </cell>
          <cell r="H327">
            <v>853014548</v>
          </cell>
          <cell r="K327">
            <v>853014548</v>
          </cell>
          <cell r="L327">
            <v>39080449.75</v>
          </cell>
          <cell r="M327">
            <v>91646816.583333328</v>
          </cell>
          <cell r="N327">
            <v>163538183.66666666</v>
          </cell>
          <cell r="O327">
            <v>99126788.666666672</v>
          </cell>
          <cell r="P327">
            <v>179971605.66666666</v>
          </cell>
          <cell r="Q327">
            <v>139595764.66666666</v>
          </cell>
          <cell r="R327">
            <v>121779679.73333333</v>
          </cell>
          <cell r="S327">
            <v>121779679.73333333</v>
          </cell>
          <cell r="T327">
            <v>87760393.533333391</v>
          </cell>
          <cell r="U327">
            <v>110209612.6666667</v>
          </cell>
          <cell r="V327">
            <v>107502843.33333325</v>
          </cell>
          <cell r="W327">
            <v>105402015.00000003</v>
          </cell>
          <cell r="X327">
            <v>1367393833</v>
          </cell>
        </row>
        <row r="329">
          <cell r="C329">
            <v>66311000</v>
          </cell>
          <cell r="D329" t="str">
            <v>INDEMNITE DE L</v>
          </cell>
          <cell r="E329">
            <v>25381222</v>
          </cell>
          <cell r="G329">
            <v>0</v>
          </cell>
          <cell r="H329">
            <v>0</v>
          </cell>
          <cell r="I329" t="str">
            <v>PERS</v>
          </cell>
          <cell r="J329" t="str">
            <v>Opex1</v>
          </cell>
          <cell r="K329">
            <v>0</v>
          </cell>
          <cell r="L329">
            <v>9066000</v>
          </cell>
          <cell r="M329">
            <v>-9066000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</row>
        <row r="330">
          <cell r="C330">
            <v>66312000</v>
          </cell>
          <cell r="D330" t="str">
            <v>INDEMNITES DE RE</v>
          </cell>
          <cell r="E330">
            <v>41610886</v>
          </cell>
          <cell r="F330">
            <v>105730142</v>
          </cell>
          <cell r="G330">
            <v>0</v>
          </cell>
          <cell r="H330">
            <v>0</v>
          </cell>
          <cell r="I330" t="str">
            <v>PERS</v>
          </cell>
          <cell r="J330" t="str">
            <v>Opex1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</row>
        <row r="331">
          <cell r="C331">
            <v>66313000</v>
          </cell>
          <cell r="D331" t="str">
            <v>INDEMNITES DE C</v>
          </cell>
          <cell r="E331">
            <v>855000</v>
          </cell>
          <cell r="F331">
            <v>250000</v>
          </cell>
          <cell r="G331">
            <v>0</v>
          </cell>
          <cell r="H331">
            <v>0</v>
          </cell>
          <cell r="I331" t="str">
            <v>PERS</v>
          </cell>
          <cell r="J331" t="str">
            <v>Opex1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</row>
        <row r="332">
          <cell r="C332">
            <v>66314000</v>
          </cell>
          <cell r="D332" t="str">
            <v>INDEMNITES DE G</v>
          </cell>
          <cell r="E332">
            <v>900000</v>
          </cell>
          <cell r="G332">
            <v>0</v>
          </cell>
          <cell r="H332">
            <v>0</v>
          </cell>
          <cell r="I332" t="str">
            <v>PERS</v>
          </cell>
          <cell r="J332" t="str">
            <v>Opex1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</row>
        <row r="333">
          <cell r="C333">
            <v>66315000</v>
          </cell>
          <cell r="D333" t="str">
            <v>INDEMNITES DE TR</v>
          </cell>
          <cell r="E333">
            <v>15501670</v>
          </cell>
          <cell r="G333">
            <v>0</v>
          </cell>
          <cell r="H333">
            <v>0</v>
          </cell>
          <cell r="I333" t="str">
            <v>PERS</v>
          </cell>
          <cell r="J333" t="str">
            <v>Opex1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</row>
        <row r="334">
          <cell r="C334">
            <v>66317000</v>
          </cell>
          <cell r="D334" t="str">
            <v>INDEMNITE DE STA</v>
          </cell>
          <cell r="E334">
            <v>214655</v>
          </cell>
          <cell r="G334">
            <v>0</v>
          </cell>
          <cell r="H334">
            <v>0</v>
          </cell>
          <cell r="I334" t="str">
            <v>PERS</v>
          </cell>
          <cell r="J334" t="str">
            <v>Opex1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</row>
        <row r="337">
          <cell r="D337" t="str">
            <v>TOTAL RP   663</v>
          </cell>
          <cell r="E337">
            <v>84463433</v>
          </cell>
          <cell r="F337">
            <v>105980142</v>
          </cell>
          <cell r="G337">
            <v>0</v>
          </cell>
          <cell r="H337">
            <v>0</v>
          </cell>
          <cell r="K337">
            <v>0</v>
          </cell>
          <cell r="L337">
            <v>9066000</v>
          </cell>
          <cell r="M337">
            <v>-9066000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</row>
        <row r="339">
          <cell r="C339">
            <v>66411000</v>
          </cell>
          <cell r="D339" t="str">
            <v>CHARGES SOCIALE</v>
          </cell>
          <cell r="E339">
            <v>38136559</v>
          </cell>
          <cell r="F339">
            <v>54486935</v>
          </cell>
          <cell r="G339">
            <v>0</v>
          </cell>
          <cell r="H339">
            <v>0</v>
          </cell>
          <cell r="I339" t="str">
            <v>PERS</v>
          </cell>
          <cell r="J339" t="str">
            <v>Opex1</v>
          </cell>
          <cell r="K339">
            <v>0</v>
          </cell>
          <cell r="L339">
            <v>5870955</v>
          </cell>
          <cell r="M339">
            <v>-5870955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</row>
        <row r="340">
          <cell r="C340">
            <v>66412000</v>
          </cell>
          <cell r="D340" t="str">
            <v>CHARGES SOCIALE</v>
          </cell>
          <cell r="E340">
            <v>4359089</v>
          </cell>
          <cell r="G340">
            <v>0</v>
          </cell>
          <cell r="H340">
            <v>0</v>
          </cell>
          <cell r="I340" t="str">
            <v>PERS</v>
          </cell>
          <cell r="J340" t="str">
            <v>Opex1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</row>
        <row r="343">
          <cell r="D343" t="str">
            <v>TOTAL RP   664</v>
          </cell>
          <cell r="E343">
            <v>42495648</v>
          </cell>
          <cell r="F343">
            <v>54486935</v>
          </cell>
          <cell r="G343">
            <v>0</v>
          </cell>
          <cell r="H343">
            <v>0</v>
          </cell>
          <cell r="K343">
            <v>0</v>
          </cell>
          <cell r="L343">
            <v>5870955</v>
          </cell>
          <cell r="M343">
            <v>-5870955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</row>
        <row r="345">
          <cell r="C345">
            <v>66830000</v>
          </cell>
          <cell r="D345" t="str">
            <v>COTISATION ŒUVRES SOCIALES</v>
          </cell>
          <cell r="E345">
            <v>104000</v>
          </cell>
          <cell r="F345">
            <v>20986759</v>
          </cell>
          <cell r="G345">
            <v>0</v>
          </cell>
          <cell r="H345">
            <v>267624</v>
          </cell>
          <cell r="I345" t="str">
            <v>PERS</v>
          </cell>
          <cell r="J345" t="str">
            <v>Opex1</v>
          </cell>
          <cell r="K345">
            <v>267624</v>
          </cell>
          <cell r="L345">
            <v>22302</v>
          </cell>
          <cell r="M345">
            <v>-22302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</row>
        <row r="346">
          <cell r="C346">
            <v>66841000</v>
          </cell>
          <cell r="D346" t="str">
            <v>MEDECINE DU TRAVAIL</v>
          </cell>
          <cell r="E346">
            <v>404630</v>
          </cell>
          <cell r="G346">
            <v>885430</v>
          </cell>
          <cell r="H346">
            <v>464990</v>
          </cell>
          <cell r="I346" t="str">
            <v>PERS</v>
          </cell>
          <cell r="J346" t="str">
            <v>Opex1</v>
          </cell>
          <cell r="K346">
            <v>464990</v>
          </cell>
          <cell r="L346">
            <v>38749.166666666664</v>
          </cell>
          <cell r="M346">
            <v>-38749.166666666664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</row>
        <row r="347">
          <cell r="C347">
            <v>66842000</v>
          </cell>
          <cell r="D347" t="str">
            <v>PHARMACIE</v>
          </cell>
          <cell r="E347">
            <v>8565547</v>
          </cell>
          <cell r="F347">
            <v>20347002</v>
          </cell>
          <cell r="G347">
            <v>22317925</v>
          </cell>
          <cell r="H347">
            <v>27789948</v>
          </cell>
          <cell r="I347" t="str">
            <v>PERS</v>
          </cell>
          <cell r="J347" t="str">
            <v>Opex1</v>
          </cell>
          <cell r="K347">
            <v>27789948</v>
          </cell>
          <cell r="L347">
            <v>2315829</v>
          </cell>
          <cell r="M347">
            <v>1449685</v>
          </cell>
          <cell r="N347">
            <v>3245952</v>
          </cell>
          <cell r="O347">
            <v>3239994</v>
          </cell>
          <cell r="P347">
            <v>2454758</v>
          </cell>
          <cell r="Q347">
            <v>3391368</v>
          </cell>
          <cell r="R347">
            <v>2691775</v>
          </cell>
          <cell r="S347">
            <v>2422248</v>
          </cell>
          <cell r="T347">
            <v>926977</v>
          </cell>
          <cell r="U347">
            <v>2088366</v>
          </cell>
          <cell r="V347">
            <v>1031994</v>
          </cell>
          <cell r="W347">
            <v>1704774</v>
          </cell>
          <cell r="X347">
            <v>26963720</v>
          </cell>
        </row>
        <row r="348">
          <cell r="C348">
            <v>66843000</v>
          </cell>
          <cell r="D348" t="str">
            <v>PRISE EN CHARGE</v>
          </cell>
          <cell r="E348">
            <v>4317216</v>
          </cell>
          <cell r="F348">
            <v>10517029</v>
          </cell>
          <cell r="G348">
            <v>12891456</v>
          </cell>
          <cell r="H348">
            <v>24067018</v>
          </cell>
          <cell r="I348" t="str">
            <v>PERS</v>
          </cell>
          <cell r="J348" t="str">
            <v>Opex1</v>
          </cell>
          <cell r="K348">
            <v>24067018</v>
          </cell>
          <cell r="L348">
            <v>2005584.8333333333</v>
          </cell>
          <cell r="M348">
            <v>27972.166666666744</v>
          </cell>
          <cell r="N348">
            <v>1428957</v>
          </cell>
          <cell r="O348">
            <v>149515</v>
          </cell>
          <cell r="P348">
            <v>3450032</v>
          </cell>
          <cell r="Q348">
            <v>1463005</v>
          </cell>
          <cell r="R348">
            <v>688130</v>
          </cell>
          <cell r="S348">
            <v>5722280</v>
          </cell>
          <cell r="T348">
            <v>822638</v>
          </cell>
          <cell r="U348">
            <v>713390</v>
          </cell>
          <cell r="V348">
            <v>562576</v>
          </cell>
          <cell r="W348">
            <v>3154801</v>
          </cell>
          <cell r="X348">
            <v>20188881</v>
          </cell>
        </row>
        <row r="351">
          <cell r="D351" t="str">
            <v>TOTAL RP   668</v>
          </cell>
          <cell r="E351">
            <v>13391393</v>
          </cell>
          <cell r="F351">
            <v>51850790</v>
          </cell>
          <cell r="G351">
            <v>36094811</v>
          </cell>
          <cell r="H351">
            <v>52589580</v>
          </cell>
          <cell r="K351">
            <v>52589580</v>
          </cell>
          <cell r="L351">
            <v>4382465</v>
          </cell>
          <cell r="M351">
            <v>1416606</v>
          </cell>
          <cell r="N351">
            <v>4674909</v>
          </cell>
          <cell r="O351">
            <v>3389509</v>
          </cell>
          <cell r="P351">
            <v>5904790</v>
          </cell>
          <cell r="Q351">
            <v>4854373</v>
          </cell>
          <cell r="R351">
            <v>3379905</v>
          </cell>
          <cell r="S351">
            <v>8144528</v>
          </cell>
          <cell r="T351">
            <v>1749615</v>
          </cell>
          <cell r="U351">
            <v>2801756</v>
          </cell>
          <cell r="V351">
            <v>1594570</v>
          </cell>
          <cell r="W351">
            <v>4859575</v>
          </cell>
          <cell r="X351">
            <v>47152601</v>
          </cell>
        </row>
        <row r="352">
          <cell r="D352" t="str">
            <v>TOTAL RP   66</v>
          </cell>
          <cell r="E352">
            <v>432770723</v>
          </cell>
          <cell r="F352">
            <v>600086153</v>
          </cell>
          <cell r="G352">
            <v>672726920</v>
          </cell>
          <cell r="H352">
            <v>905604128</v>
          </cell>
          <cell r="K352">
            <v>905604128</v>
          </cell>
          <cell r="L352">
            <v>58399869.75</v>
          </cell>
          <cell r="M352">
            <v>78126467.583333328</v>
          </cell>
          <cell r="N352">
            <v>168213092.66666666</v>
          </cell>
          <cell r="O352">
            <v>102516297.66666667</v>
          </cell>
          <cell r="P352">
            <v>185876395.66666666</v>
          </cell>
          <cell r="Q352">
            <v>144450137.66666666</v>
          </cell>
          <cell r="R352">
            <v>125159584.73333333</v>
          </cell>
          <cell r="S352">
            <v>129924207.73333333</v>
          </cell>
          <cell r="T352">
            <v>89510008.533333391</v>
          </cell>
          <cell r="U352">
            <v>113011368.6666667</v>
          </cell>
          <cell r="V352">
            <v>109097413.33333325</v>
          </cell>
          <cell r="W352">
            <v>110261590.00000003</v>
          </cell>
          <cell r="X352">
            <v>1414546434</v>
          </cell>
        </row>
        <row r="354">
          <cell r="C354">
            <v>67110000</v>
          </cell>
          <cell r="D354" t="str">
            <v>INTERET SUR EMPRUNT OBLIGATAIRE</v>
          </cell>
          <cell r="F354">
            <v>76500000</v>
          </cell>
          <cell r="G354">
            <v>153000000</v>
          </cell>
          <cell r="H354">
            <v>150933903</v>
          </cell>
          <cell r="I354" t="str">
            <v>CHFI</v>
          </cell>
          <cell r="J354" t="str">
            <v>Résultat Financier</v>
          </cell>
          <cell r="K354">
            <v>150933903</v>
          </cell>
          <cell r="L354">
            <v>12577825.25</v>
          </cell>
          <cell r="M354">
            <v>12577825.25</v>
          </cell>
          <cell r="N354">
            <v>8922640.5</v>
          </cell>
          <cell r="O354">
            <v>0</v>
          </cell>
          <cell r="P354">
            <v>21405242</v>
          </cell>
          <cell r="Q354">
            <v>10527168</v>
          </cell>
          <cell r="R354">
            <v>11001783.5</v>
          </cell>
          <cell r="S354">
            <v>11001783.5</v>
          </cell>
          <cell r="T354">
            <v>7741922</v>
          </cell>
          <cell r="U354">
            <v>9915163</v>
          </cell>
          <cell r="V354">
            <v>8329634</v>
          </cell>
          <cell r="W354">
            <v>9271946</v>
          </cell>
          <cell r="X354">
            <v>123272933</v>
          </cell>
        </row>
        <row r="355">
          <cell r="C355">
            <v>67121000</v>
          </cell>
          <cell r="D355" t="str">
            <v>INTERETS SUR EMPRUNT BIB</v>
          </cell>
          <cell r="I355" t="str">
            <v>CHFI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22456176</v>
          </cell>
          <cell r="Q355">
            <v>0</v>
          </cell>
          <cell r="R355">
            <v>7485392</v>
          </cell>
          <cell r="S355">
            <v>7485392</v>
          </cell>
          <cell r="T355">
            <v>-14970784</v>
          </cell>
          <cell r="U355">
            <v>0</v>
          </cell>
          <cell r="V355">
            <v>0</v>
          </cell>
          <cell r="W355">
            <v>0</v>
          </cell>
          <cell r="X355">
            <v>22456176</v>
          </cell>
        </row>
        <row r="356">
          <cell r="C356">
            <v>67123000</v>
          </cell>
          <cell r="D356" t="str">
            <v>INTERET SUR EMPRUNT BICIA B</v>
          </cell>
          <cell r="H356">
            <v>37244231</v>
          </cell>
          <cell r="I356" t="str">
            <v>CHFI</v>
          </cell>
          <cell r="J356" t="str">
            <v>Résultat Financier</v>
          </cell>
          <cell r="K356">
            <v>37244231</v>
          </cell>
          <cell r="L356">
            <v>3103685.9166666665</v>
          </cell>
          <cell r="M356">
            <v>3103685.9166666665</v>
          </cell>
          <cell r="N356">
            <v>25498397.166666668</v>
          </cell>
          <cell r="O356">
            <v>0</v>
          </cell>
          <cell r="P356">
            <v>21350000</v>
          </cell>
          <cell r="Q356">
            <v>10500000</v>
          </cell>
          <cell r="R356">
            <v>10592628.166666666</v>
          </cell>
          <cell r="S356">
            <v>10592628.166666666</v>
          </cell>
          <cell r="T356">
            <v>10664743.666666657</v>
          </cell>
          <cell r="U356">
            <v>10616666.666666662</v>
          </cell>
          <cell r="V356">
            <v>11055867.333333343</v>
          </cell>
          <cell r="W356">
            <v>10850000</v>
          </cell>
          <cell r="X356">
            <v>127928303</v>
          </cell>
        </row>
        <row r="357">
          <cell r="C357">
            <v>67124000</v>
          </cell>
          <cell r="D357" t="str">
            <v>INTERET SUR EMPRUNT ECOBANK</v>
          </cell>
          <cell r="I357" t="str">
            <v>CHFI</v>
          </cell>
          <cell r="J357" t="str">
            <v>Résultat Financier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16677</v>
          </cell>
          <cell r="W357">
            <v>0</v>
          </cell>
          <cell r="X357">
            <v>16677</v>
          </cell>
        </row>
        <row r="359">
          <cell r="D359" t="str">
            <v>TOTAL SA   671</v>
          </cell>
          <cell r="E359">
            <v>0</v>
          </cell>
          <cell r="F359">
            <v>76500000</v>
          </cell>
          <cell r="G359">
            <v>153000000</v>
          </cell>
          <cell r="H359">
            <v>188178134</v>
          </cell>
          <cell r="K359">
            <v>188178134</v>
          </cell>
          <cell r="L359">
            <v>15681511.166666666</v>
          </cell>
          <cell r="M359">
            <v>15681511.166666666</v>
          </cell>
          <cell r="N359">
            <v>34421037.666666672</v>
          </cell>
          <cell r="O359">
            <v>0</v>
          </cell>
          <cell r="P359">
            <v>65211418</v>
          </cell>
          <cell r="Q359">
            <v>21027168</v>
          </cell>
          <cell r="R359">
            <v>29079803.666666664</v>
          </cell>
          <cell r="S359">
            <v>29079803.666666664</v>
          </cell>
          <cell r="T359">
            <v>3435881.6666666567</v>
          </cell>
          <cell r="U359">
            <v>20531829.666666664</v>
          </cell>
          <cell r="V359">
            <v>19402178.333333343</v>
          </cell>
          <cell r="W359">
            <v>20121946</v>
          </cell>
          <cell r="X359">
            <v>273674089</v>
          </cell>
        </row>
        <row r="362">
          <cell r="C362">
            <v>67347100</v>
          </cell>
          <cell r="D362" t="str">
            <v>INTERET SUR EMPRUNT LICENCE</v>
          </cell>
          <cell r="E362">
            <v>170043156</v>
          </cell>
          <cell r="F362">
            <v>102709906</v>
          </cell>
          <cell r="G362">
            <v>72414808</v>
          </cell>
          <cell r="H362">
            <v>42156538</v>
          </cell>
          <cell r="I362" t="str">
            <v>CHFI</v>
          </cell>
          <cell r="J362" t="str">
            <v>Résultat Financier</v>
          </cell>
          <cell r="K362">
            <v>42156538</v>
          </cell>
          <cell r="L362">
            <v>3513044.8333333335</v>
          </cell>
          <cell r="M362">
            <v>3513044.8333333335</v>
          </cell>
          <cell r="N362">
            <v>-319902.66666666698</v>
          </cell>
          <cell r="O362">
            <v>2235395.6666666665</v>
          </cell>
          <cell r="P362">
            <v>-264631.66666666605</v>
          </cell>
          <cell r="Q362">
            <v>969228</v>
          </cell>
          <cell r="R362">
            <v>1607696.5</v>
          </cell>
          <cell r="S362">
            <v>1607696.5</v>
          </cell>
          <cell r="T362">
            <v>-243094</v>
          </cell>
          <cell r="U362">
            <v>0</v>
          </cell>
          <cell r="V362">
            <v>0</v>
          </cell>
          <cell r="W362">
            <v>0</v>
          </cell>
          <cell r="X362">
            <v>12618478</v>
          </cell>
        </row>
        <row r="363">
          <cell r="C363">
            <v>67347200</v>
          </cell>
          <cell r="D363" t="str">
            <v>INTERET SUR EMPR</v>
          </cell>
          <cell r="E363">
            <v>154229166</v>
          </cell>
          <cell r="F363">
            <v>56083334</v>
          </cell>
          <cell r="G363">
            <v>0</v>
          </cell>
          <cell r="H363">
            <v>0</v>
          </cell>
          <cell r="I363" t="str">
            <v>CHFI</v>
          </cell>
          <cell r="J363" t="str">
            <v>Résultat Financier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C364">
            <v>67347300</v>
          </cell>
          <cell r="D364" t="str">
            <v>INTERET SUR EMPRUNT 4 MILLARD</v>
          </cell>
          <cell r="F364">
            <v>421166666</v>
          </cell>
          <cell r="G364">
            <v>266000001</v>
          </cell>
          <cell r="H364">
            <v>229425000</v>
          </cell>
          <cell r="I364" t="str">
            <v>CHFI</v>
          </cell>
          <cell r="J364" t="str">
            <v>Résultat Financier</v>
          </cell>
          <cell r="K364">
            <v>229425000</v>
          </cell>
          <cell r="L364">
            <v>19118750</v>
          </cell>
          <cell r="M364">
            <v>19118750</v>
          </cell>
          <cell r="N364">
            <v>11637500</v>
          </cell>
          <cell r="O364">
            <v>16625000</v>
          </cell>
          <cell r="P364">
            <v>14408333</v>
          </cell>
          <cell r="Q364">
            <v>11083333</v>
          </cell>
          <cell r="R364">
            <v>15331944.333333334</v>
          </cell>
          <cell r="S364">
            <v>15331944.333333334</v>
          </cell>
          <cell r="T364">
            <v>3325000.3333333433</v>
          </cell>
          <cell r="U364">
            <v>11329629.666666672</v>
          </cell>
          <cell r="V364">
            <v>11206481.333333313</v>
          </cell>
          <cell r="W364">
            <v>11452778</v>
          </cell>
          <cell r="X364">
            <v>159969444</v>
          </cell>
        </row>
        <row r="367">
          <cell r="D367" t="str">
            <v>TOTAL SA   673</v>
          </cell>
          <cell r="E367">
            <v>324272322</v>
          </cell>
          <cell r="F367">
            <v>579959906</v>
          </cell>
          <cell r="G367">
            <v>338414809</v>
          </cell>
          <cell r="H367">
            <v>271581538</v>
          </cell>
          <cell r="K367">
            <v>271581538</v>
          </cell>
          <cell r="L367">
            <v>22631794.833333332</v>
          </cell>
          <cell r="M367">
            <v>22631794.833333332</v>
          </cell>
          <cell r="N367">
            <v>11317597.333333332</v>
          </cell>
          <cell r="O367">
            <v>18860395.666666668</v>
          </cell>
          <cell r="P367">
            <v>14143701.333333334</v>
          </cell>
          <cell r="Q367">
            <v>12052561</v>
          </cell>
          <cell r="R367">
            <v>16939640.833333336</v>
          </cell>
          <cell r="S367">
            <v>16939640.833333336</v>
          </cell>
          <cell r="T367">
            <v>3081906.3333333433</v>
          </cell>
          <cell r="U367">
            <v>11329629.666666672</v>
          </cell>
          <cell r="V367">
            <v>11206481.333333313</v>
          </cell>
          <cell r="W367">
            <v>11452778</v>
          </cell>
          <cell r="X367">
            <v>172587922</v>
          </cell>
        </row>
        <row r="369">
          <cell r="C369">
            <v>67410000</v>
          </cell>
          <cell r="D369" t="str">
            <v>INTERET SUR AVANCE RECU ET DEPÔT CREDITEUR</v>
          </cell>
          <cell r="E369">
            <v>227910013</v>
          </cell>
          <cell r="F369">
            <v>72252631</v>
          </cell>
          <cell r="G369">
            <v>0</v>
          </cell>
          <cell r="H369">
            <v>8237500</v>
          </cell>
          <cell r="I369" t="str">
            <v>CHFI</v>
          </cell>
          <cell r="J369" t="str">
            <v>Résultat Financier</v>
          </cell>
          <cell r="K369">
            <v>8237500</v>
          </cell>
          <cell r="L369">
            <v>686458.33333333337</v>
          </cell>
          <cell r="M369">
            <v>686458.33333333337</v>
          </cell>
          <cell r="N369">
            <v>16950129.333333332</v>
          </cell>
          <cell r="O369">
            <v>7529628</v>
          </cell>
          <cell r="P369">
            <v>9208333</v>
          </cell>
          <cell r="Q369">
            <v>16400053</v>
          </cell>
          <cell r="R369">
            <v>8576843.333333334</v>
          </cell>
          <cell r="S369">
            <v>8576843.333333334</v>
          </cell>
          <cell r="T369">
            <v>83879202.333333328</v>
          </cell>
          <cell r="U369">
            <v>33677629.666666664</v>
          </cell>
          <cell r="V369">
            <v>-12904909.666666657</v>
          </cell>
          <cell r="W369">
            <v>75279091</v>
          </cell>
          <cell r="X369">
            <v>248545760</v>
          </cell>
        </row>
        <row r="370">
          <cell r="C370">
            <v>67451000</v>
          </cell>
          <cell r="D370" t="str">
            <v>AGIOS BIB</v>
          </cell>
          <cell r="E370">
            <v>7491990</v>
          </cell>
          <cell r="F370">
            <v>8708741</v>
          </cell>
          <cell r="G370">
            <v>11021409</v>
          </cell>
          <cell r="H370">
            <v>11527035</v>
          </cell>
          <cell r="I370" t="str">
            <v>CHFI</v>
          </cell>
          <cell r="J370" t="str">
            <v>Résultat Financier</v>
          </cell>
          <cell r="K370">
            <v>11527035</v>
          </cell>
          <cell r="L370">
            <v>960586.25</v>
          </cell>
          <cell r="M370">
            <v>960586.25</v>
          </cell>
          <cell r="N370">
            <v>414168.5</v>
          </cell>
          <cell r="O370">
            <v>1987719</v>
          </cell>
          <cell r="P370">
            <v>0</v>
          </cell>
          <cell r="Q370">
            <v>374803</v>
          </cell>
          <cell r="R370">
            <v>782977.16666666663</v>
          </cell>
          <cell r="S370">
            <v>782977.16666666663</v>
          </cell>
          <cell r="T370">
            <v>-1565954.333333334</v>
          </cell>
          <cell r="U370">
            <v>0</v>
          </cell>
          <cell r="V370">
            <v>-356239</v>
          </cell>
          <cell r="W370">
            <v>0</v>
          </cell>
          <cell r="X370">
            <v>4341624</v>
          </cell>
        </row>
        <row r="371">
          <cell r="C371">
            <v>67452000</v>
          </cell>
          <cell r="D371" t="str">
            <v>AGIOS SGBB</v>
          </cell>
          <cell r="E371">
            <v>2645380</v>
          </cell>
          <cell r="F371">
            <v>1049700</v>
          </cell>
          <cell r="G371">
            <v>159071</v>
          </cell>
          <cell r="H371">
            <v>166351</v>
          </cell>
          <cell r="I371" t="str">
            <v>CHFI</v>
          </cell>
          <cell r="J371" t="str">
            <v>Résultat Financier</v>
          </cell>
          <cell r="K371">
            <v>166351</v>
          </cell>
          <cell r="L371">
            <v>13862.583333333334</v>
          </cell>
          <cell r="M371">
            <v>13862.583333333334</v>
          </cell>
          <cell r="N371">
            <v>-27725.166666666668</v>
          </cell>
          <cell r="O371">
            <v>30344</v>
          </cell>
          <cell r="P371">
            <v>0</v>
          </cell>
          <cell r="Q371">
            <v>364171</v>
          </cell>
          <cell r="R371">
            <v>65752.5</v>
          </cell>
          <cell r="S371">
            <v>65752.5</v>
          </cell>
          <cell r="T371">
            <v>115163</v>
          </cell>
          <cell r="U371">
            <v>0</v>
          </cell>
          <cell r="V371">
            <v>14984</v>
          </cell>
          <cell r="W371">
            <v>0</v>
          </cell>
          <cell r="X371">
            <v>656167</v>
          </cell>
        </row>
        <row r="372">
          <cell r="C372">
            <v>67453000</v>
          </cell>
          <cell r="D372" t="str">
            <v>AGIOS BICIA B</v>
          </cell>
          <cell r="E372">
            <v>2026775</v>
          </cell>
          <cell r="F372">
            <v>1648784</v>
          </cell>
          <cell r="G372">
            <v>5459428</v>
          </cell>
          <cell r="H372">
            <v>7432268</v>
          </cell>
          <cell r="I372" t="str">
            <v>CHFI</v>
          </cell>
          <cell r="J372" t="str">
            <v>Résultat Financier</v>
          </cell>
          <cell r="K372">
            <v>7432268</v>
          </cell>
          <cell r="L372">
            <v>619355.66666666663</v>
          </cell>
          <cell r="M372">
            <v>619355.66666666663</v>
          </cell>
          <cell r="N372">
            <v>-1238711.3333333333</v>
          </cell>
          <cell r="O372">
            <v>234276</v>
          </cell>
          <cell r="P372">
            <v>0</v>
          </cell>
          <cell r="Q372">
            <v>152522</v>
          </cell>
          <cell r="R372">
            <v>64466.333333333336</v>
          </cell>
          <cell r="S372">
            <v>64466.333333333336</v>
          </cell>
          <cell r="T372">
            <v>5929.3333333333721</v>
          </cell>
          <cell r="U372">
            <v>0</v>
          </cell>
          <cell r="V372">
            <v>-71234</v>
          </cell>
          <cell r="W372">
            <v>0</v>
          </cell>
          <cell r="X372">
            <v>450426</v>
          </cell>
        </row>
        <row r="373">
          <cell r="C373">
            <v>67454000</v>
          </cell>
          <cell r="D373" t="str">
            <v>AGIOS ECOBANK</v>
          </cell>
          <cell r="E373">
            <v>104315</v>
          </cell>
          <cell r="G373">
            <v>0</v>
          </cell>
          <cell r="H373">
            <v>0</v>
          </cell>
          <cell r="I373" t="str">
            <v>CHFI</v>
          </cell>
          <cell r="J373" t="str">
            <v>Résultat Financier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252562</v>
          </cell>
          <cell r="P373">
            <v>106957</v>
          </cell>
          <cell r="Q373">
            <v>143345</v>
          </cell>
          <cell r="R373">
            <v>83810.666666666672</v>
          </cell>
          <cell r="S373">
            <v>83810.666666666672</v>
          </cell>
          <cell r="T373">
            <v>-166365.33333333326</v>
          </cell>
          <cell r="U373">
            <v>0</v>
          </cell>
          <cell r="V373">
            <v>302141</v>
          </cell>
          <cell r="W373">
            <v>55074</v>
          </cell>
          <cell r="X373">
            <v>861335</v>
          </cell>
        </row>
        <row r="374">
          <cell r="C374">
            <v>67455000</v>
          </cell>
          <cell r="D374" t="str">
            <v>AGIOS BCB</v>
          </cell>
          <cell r="F374">
            <v>5855341</v>
          </cell>
          <cell r="G374">
            <v>5684631</v>
          </cell>
          <cell r="H374">
            <v>1820932</v>
          </cell>
          <cell r="I374" t="str">
            <v>CHFI</v>
          </cell>
          <cell r="J374" t="str">
            <v>Résultat Financier</v>
          </cell>
          <cell r="K374">
            <v>1820932</v>
          </cell>
          <cell r="L374">
            <v>151744.33333333334</v>
          </cell>
          <cell r="M374">
            <v>151744.33333333334</v>
          </cell>
          <cell r="N374">
            <v>-303488.66666666669</v>
          </cell>
          <cell r="O374">
            <v>128255</v>
          </cell>
          <cell r="P374">
            <v>212984</v>
          </cell>
          <cell r="Q374">
            <v>101328</v>
          </cell>
          <cell r="R374">
            <v>73761.166666666672</v>
          </cell>
          <cell r="S374">
            <v>73761.166666666672</v>
          </cell>
          <cell r="T374">
            <v>-147522.33333333337</v>
          </cell>
          <cell r="U374">
            <v>0</v>
          </cell>
          <cell r="V374">
            <v>0</v>
          </cell>
          <cell r="W374">
            <v>0</v>
          </cell>
          <cell r="X374">
            <v>442567</v>
          </cell>
        </row>
        <row r="375">
          <cell r="C375">
            <v>67456000</v>
          </cell>
          <cell r="D375" t="str">
            <v>AGIO CCP</v>
          </cell>
          <cell r="G375">
            <v>22125</v>
          </cell>
          <cell r="H375">
            <v>14750</v>
          </cell>
          <cell r="I375" t="str">
            <v>CHFI</v>
          </cell>
          <cell r="J375" t="str">
            <v>Résultat Financier</v>
          </cell>
          <cell r="K375">
            <v>14750</v>
          </cell>
          <cell r="L375">
            <v>1229.1666666666667</v>
          </cell>
          <cell r="M375">
            <v>1229.1666666666667</v>
          </cell>
          <cell r="N375">
            <v>-2458.3333333333335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487115</v>
          </cell>
          <cell r="U375">
            <v>0</v>
          </cell>
          <cell r="V375">
            <v>0</v>
          </cell>
          <cell r="W375">
            <v>686565</v>
          </cell>
          <cell r="X375">
            <v>1173680</v>
          </cell>
        </row>
        <row r="376">
          <cell r="C376">
            <v>67480000</v>
          </cell>
          <cell r="D376" t="str">
            <v>INTERET SUR DETTE</v>
          </cell>
          <cell r="F376">
            <v>2125235</v>
          </cell>
          <cell r="G376">
            <v>1312500</v>
          </cell>
          <cell r="H376">
            <v>9856250</v>
          </cell>
          <cell r="I376" t="str">
            <v>CHFI</v>
          </cell>
          <cell r="J376" t="str">
            <v>Résultat Financier</v>
          </cell>
          <cell r="K376">
            <v>9856250</v>
          </cell>
          <cell r="L376">
            <v>821354.16666666663</v>
          </cell>
          <cell r="M376">
            <v>821354.16666666663</v>
          </cell>
          <cell r="N376">
            <v>1169791.6666666667</v>
          </cell>
          <cell r="O376">
            <v>0</v>
          </cell>
          <cell r="P376">
            <v>1906250</v>
          </cell>
          <cell r="Q376">
            <v>17414214</v>
          </cell>
          <cell r="R376">
            <v>3688827.3333333335</v>
          </cell>
          <cell r="S376">
            <v>3688827.3333333335</v>
          </cell>
          <cell r="T376">
            <v>-7377654.6666666642</v>
          </cell>
          <cell r="U376">
            <v>0</v>
          </cell>
          <cell r="V376">
            <v>0</v>
          </cell>
          <cell r="W376">
            <v>0</v>
          </cell>
          <cell r="X376">
            <v>22132964</v>
          </cell>
        </row>
        <row r="379">
          <cell r="D379" t="str">
            <v>TOTAL SA   674</v>
          </cell>
          <cell r="E379">
            <v>240178473</v>
          </cell>
          <cell r="F379">
            <v>91640432</v>
          </cell>
          <cell r="G379">
            <v>23659164</v>
          </cell>
          <cell r="H379">
            <v>39055086</v>
          </cell>
          <cell r="K379">
            <v>39055086</v>
          </cell>
          <cell r="L379">
            <v>3254590.5</v>
          </cell>
          <cell r="M379">
            <v>3254590.5</v>
          </cell>
          <cell r="N379">
            <v>16961705.999999996</v>
          </cell>
          <cell r="O379">
            <v>10162784</v>
          </cell>
          <cell r="P379">
            <v>11434524</v>
          </cell>
          <cell r="Q379">
            <v>34950436</v>
          </cell>
          <cell r="R379">
            <v>13336438.5</v>
          </cell>
          <cell r="S379">
            <v>13336438.5</v>
          </cell>
          <cell r="T379">
            <v>75229913</v>
          </cell>
          <cell r="U379">
            <v>33677629.666666664</v>
          </cell>
          <cell r="V379">
            <v>-13015257.666666657</v>
          </cell>
          <cell r="W379">
            <v>76020730</v>
          </cell>
          <cell r="X379">
            <v>278604523</v>
          </cell>
        </row>
        <row r="381">
          <cell r="C381">
            <v>67610000</v>
          </cell>
          <cell r="D381" t="str">
            <v>PERTES DE CHANGE</v>
          </cell>
          <cell r="H381">
            <v>13364339</v>
          </cell>
          <cell r="I381" t="str">
            <v>CHFI</v>
          </cell>
          <cell r="J381" t="str">
            <v>Résultat Financier</v>
          </cell>
          <cell r="K381">
            <v>13364339</v>
          </cell>
          <cell r="L381">
            <v>1113694.9166666667</v>
          </cell>
          <cell r="M381">
            <v>-1113694.9166666667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1073319</v>
          </cell>
          <cell r="U381">
            <v>0</v>
          </cell>
          <cell r="V381">
            <v>0</v>
          </cell>
          <cell r="W381">
            <v>8270220</v>
          </cell>
          <cell r="X381">
            <v>9343539</v>
          </cell>
        </row>
        <row r="384">
          <cell r="D384" t="str">
            <v>TOTAL SA   676</v>
          </cell>
          <cell r="E384">
            <v>0</v>
          </cell>
          <cell r="F384">
            <v>0</v>
          </cell>
          <cell r="G384">
            <v>0</v>
          </cell>
          <cell r="H384">
            <v>13364339</v>
          </cell>
          <cell r="K384">
            <v>13364339</v>
          </cell>
          <cell r="L384">
            <v>1113694.9166666667</v>
          </cell>
          <cell r="M384">
            <v>-1113694.9166666667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1073319</v>
          </cell>
          <cell r="U384">
            <v>0</v>
          </cell>
          <cell r="V384">
            <v>0</v>
          </cell>
          <cell r="W384">
            <v>8270220</v>
          </cell>
          <cell r="X384">
            <v>9343539</v>
          </cell>
        </row>
        <row r="386">
          <cell r="C386">
            <v>67960000</v>
          </cell>
          <cell r="D386" t="str">
            <v>CHARGES PROVISIONEES SUR CAISSE</v>
          </cell>
          <cell r="E386">
            <v>1176629</v>
          </cell>
          <cell r="F386">
            <v>93069370</v>
          </cell>
          <cell r="G386">
            <v>121342</v>
          </cell>
          <cell r="H386">
            <v>39068075</v>
          </cell>
          <cell r="I386" t="str">
            <v>CHFI</v>
          </cell>
          <cell r="J386" t="str">
            <v>Résultat Financier</v>
          </cell>
          <cell r="K386">
            <v>39068075</v>
          </cell>
          <cell r="L386">
            <v>3255672.9166666665</v>
          </cell>
          <cell r="M386">
            <v>-3255672.9166666665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</row>
        <row r="387">
          <cell r="C387">
            <v>67970000</v>
          </cell>
          <cell r="D387" t="str">
            <v>CHARGES PROVISIONNEES FINANCIERES SUR BANQUES</v>
          </cell>
          <cell r="I387" t="str">
            <v>CHFI</v>
          </cell>
          <cell r="J387" t="str">
            <v>Résultat Financier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12643833</v>
          </cell>
          <cell r="W387">
            <v>0</v>
          </cell>
          <cell r="X387">
            <v>12643833</v>
          </cell>
        </row>
        <row r="389">
          <cell r="D389" t="str">
            <v>TOTAL SC   679</v>
          </cell>
          <cell r="E389">
            <v>1176629</v>
          </cell>
          <cell r="F389">
            <v>93069370</v>
          </cell>
          <cell r="G389">
            <v>121342</v>
          </cell>
          <cell r="H389">
            <v>39068075</v>
          </cell>
          <cell r="K389">
            <v>39068075</v>
          </cell>
          <cell r="L389">
            <v>3255672.9166666665</v>
          </cell>
          <cell r="M389">
            <v>-3255672.9166666665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12643833</v>
          </cell>
          <cell r="W389">
            <v>0</v>
          </cell>
          <cell r="X389">
            <v>12643833</v>
          </cell>
        </row>
        <row r="390">
          <cell r="D390" t="str">
            <v>TOTAL SA  67</v>
          </cell>
          <cell r="E390">
            <v>565627424</v>
          </cell>
          <cell r="F390">
            <v>841169708</v>
          </cell>
          <cell r="G390">
            <v>515195315</v>
          </cell>
          <cell r="H390">
            <v>551247172</v>
          </cell>
          <cell r="K390">
            <v>551247172</v>
          </cell>
          <cell r="L390">
            <v>45937264.333333328</v>
          </cell>
          <cell r="M390">
            <v>37198528.666666672</v>
          </cell>
          <cell r="N390">
            <v>62700341</v>
          </cell>
          <cell r="O390">
            <v>29023179.666666668</v>
          </cell>
          <cell r="P390">
            <v>90789643.333333328</v>
          </cell>
          <cell r="Q390">
            <v>68030165</v>
          </cell>
          <cell r="R390">
            <v>59355883</v>
          </cell>
          <cell r="S390">
            <v>59355883</v>
          </cell>
          <cell r="T390">
            <v>82821020</v>
          </cell>
          <cell r="U390">
            <v>65539089</v>
          </cell>
          <cell r="V390">
            <v>30237235</v>
          </cell>
          <cell r="W390">
            <v>115865674</v>
          </cell>
          <cell r="X390">
            <v>746853906</v>
          </cell>
        </row>
        <row r="392">
          <cell r="C392">
            <v>68120000</v>
          </cell>
          <cell r="D392" t="str">
            <v>DOTATION AUX AMORT IMMO INCORPORELLES</v>
          </cell>
          <cell r="E392">
            <v>1244823076</v>
          </cell>
          <cell r="F392">
            <v>1480770498</v>
          </cell>
          <cell r="G392">
            <v>1275156410</v>
          </cell>
          <cell r="H392">
            <v>2087168907</v>
          </cell>
          <cell r="I392" t="str">
            <v>Amort</v>
          </cell>
          <cell r="J392" t="str">
            <v>Dotation aux amort</v>
          </cell>
          <cell r="K392">
            <v>2087168907</v>
          </cell>
          <cell r="L392">
            <v>148595267</v>
          </cell>
          <cell r="M392">
            <v>148595267</v>
          </cell>
          <cell r="N392">
            <v>148595267</v>
          </cell>
          <cell r="O392">
            <v>150000000</v>
          </cell>
          <cell r="P392">
            <v>200000000</v>
          </cell>
          <cell r="Q392">
            <v>381708303</v>
          </cell>
          <cell r="R392">
            <v>396249017.33333302</v>
          </cell>
          <cell r="S392">
            <v>290854151.5</v>
          </cell>
          <cell r="T392">
            <v>-65530066.833333015</v>
          </cell>
          <cell r="U392">
            <v>207191034</v>
          </cell>
          <cell r="V392">
            <v>207191034</v>
          </cell>
          <cell r="W392">
            <v>132009350</v>
          </cell>
          <cell r="X392">
            <v>2345458624</v>
          </cell>
        </row>
        <row r="393">
          <cell r="C393">
            <v>68130000</v>
          </cell>
          <cell r="D393" t="str">
            <v>DOTATION AMORT IMMO CORPORELLES</v>
          </cell>
          <cell r="E393">
            <v>6197567925</v>
          </cell>
          <cell r="F393">
            <v>7090149228</v>
          </cell>
          <cell r="G393">
            <v>7851120034</v>
          </cell>
          <cell r="H393">
            <v>10116549632</v>
          </cell>
          <cell r="I393" t="str">
            <v>Amort</v>
          </cell>
          <cell r="J393" t="str">
            <v>Dotation aux amort</v>
          </cell>
          <cell r="K393">
            <v>10116549632</v>
          </cell>
          <cell r="L393">
            <v>1007415177</v>
          </cell>
          <cell r="M393">
            <v>1007415177</v>
          </cell>
          <cell r="N393">
            <v>309773312</v>
          </cell>
          <cell r="O393">
            <v>929841466.39999998</v>
          </cell>
          <cell r="P393">
            <v>900000000</v>
          </cell>
          <cell r="Q393">
            <v>664549432.5999999</v>
          </cell>
          <cell r="R393">
            <v>1003165760.83333</v>
          </cell>
          <cell r="S393">
            <v>1003165760.83333</v>
          </cell>
          <cell r="T393">
            <v>122591437.33333969</v>
          </cell>
          <cell r="U393">
            <v>709640986.33333325</v>
          </cell>
          <cell r="V393">
            <v>709640986.33333325</v>
          </cell>
          <cell r="W393">
            <v>545554201.33333397</v>
          </cell>
          <cell r="X393">
            <v>8912753698</v>
          </cell>
        </row>
        <row r="396">
          <cell r="D396" t="str">
            <v>TOTAL RS   681</v>
          </cell>
          <cell r="E396">
            <v>7442391001</v>
          </cell>
          <cell r="F396">
            <v>8570919726</v>
          </cell>
          <cell r="G396">
            <v>9126276444</v>
          </cell>
          <cell r="H396">
            <v>12203718539</v>
          </cell>
          <cell r="K396">
            <v>12203718539</v>
          </cell>
          <cell r="L396">
            <v>1156010444</v>
          </cell>
          <cell r="M396">
            <v>1156010444</v>
          </cell>
          <cell r="N396">
            <v>458368579</v>
          </cell>
          <cell r="O396">
            <v>1079841466.4000001</v>
          </cell>
          <cell r="P396">
            <v>1100000000</v>
          </cell>
          <cell r="Q396">
            <v>1046257735.5999999</v>
          </cell>
          <cell r="R396">
            <v>1399414778.1666632</v>
          </cell>
          <cell r="S396">
            <v>1294019912.3333302</v>
          </cell>
          <cell r="T396">
            <v>57061370.500006676</v>
          </cell>
          <cell r="U396">
            <v>916832020.33333325</v>
          </cell>
          <cell r="V396">
            <v>916832020.33333325</v>
          </cell>
          <cell r="W396">
            <v>677563551.33333397</v>
          </cell>
          <cell r="X396">
            <v>11258212322</v>
          </cell>
        </row>
        <row r="398">
          <cell r="C398">
            <v>69140000</v>
          </cell>
          <cell r="D398" t="str">
            <v>DOTATION AUX PROV DES IMMOBILISATIONS</v>
          </cell>
          <cell r="G398">
            <v>981630000</v>
          </cell>
          <cell r="H398">
            <v>0</v>
          </cell>
          <cell r="I398" t="str">
            <v>Amort</v>
          </cell>
          <cell r="J398" t="str">
            <v>Dotation aux amort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2067531741</v>
          </cell>
          <cell r="X398">
            <v>2067531741</v>
          </cell>
        </row>
        <row r="399">
          <cell r="C399">
            <v>69611000</v>
          </cell>
          <cell r="D399" t="str">
            <v>PROVITION POUR RETRAITES AGENTS</v>
          </cell>
          <cell r="E399">
            <v>11745655</v>
          </cell>
          <cell r="F399">
            <v>21577051</v>
          </cell>
          <cell r="G399">
            <v>1100006</v>
          </cell>
          <cell r="H399">
            <v>-16068388</v>
          </cell>
          <cell r="I399" t="str">
            <v>Amort</v>
          </cell>
          <cell r="J399" t="str">
            <v>Dotation aux amort</v>
          </cell>
          <cell r="K399">
            <v>-16068388</v>
          </cell>
          <cell r="L399">
            <v>0</v>
          </cell>
          <cell r="M399">
            <v>0</v>
          </cell>
          <cell r="N399">
            <v>0</v>
          </cell>
          <cell r="O399">
            <v>5750000</v>
          </cell>
          <cell r="P399">
            <v>0</v>
          </cell>
          <cell r="Q399">
            <v>5750000</v>
          </cell>
          <cell r="R399">
            <v>1916666.6666666667</v>
          </cell>
          <cell r="S399">
            <v>1916666.6666666667</v>
          </cell>
          <cell r="T399">
            <v>-21442072.333333332</v>
          </cell>
          <cell r="U399">
            <v>12217478</v>
          </cell>
          <cell r="V399">
            <v>-509062</v>
          </cell>
          <cell r="W399">
            <v>13927391</v>
          </cell>
          <cell r="X399">
            <v>19527068</v>
          </cell>
        </row>
        <row r="400">
          <cell r="C400">
            <v>69710000</v>
          </cell>
          <cell r="D400" t="str">
            <v>DOTAT AUX PROVIS FINANCIERS POUR RISQUES RT CHARGES</v>
          </cell>
          <cell r="I400" t="str">
            <v>Amort</v>
          </cell>
          <cell r="J400" t="str">
            <v>Dotation aux amort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447279000</v>
          </cell>
          <cell r="X400">
            <v>447279000</v>
          </cell>
        </row>
        <row r="402">
          <cell r="D402" t="str">
            <v>TOTAL RS   69</v>
          </cell>
          <cell r="E402">
            <v>11745655</v>
          </cell>
          <cell r="F402">
            <v>21577051</v>
          </cell>
          <cell r="G402">
            <v>982730006</v>
          </cell>
          <cell r="H402">
            <v>-16068388</v>
          </cell>
          <cell r="K402">
            <v>-16068388</v>
          </cell>
          <cell r="L402">
            <v>0</v>
          </cell>
          <cell r="M402">
            <v>0</v>
          </cell>
          <cell r="N402">
            <v>0</v>
          </cell>
          <cell r="O402">
            <v>5750000</v>
          </cell>
          <cell r="P402">
            <v>0</v>
          </cell>
          <cell r="Q402">
            <v>5750000</v>
          </cell>
          <cell r="R402">
            <v>1916666.6666666667</v>
          </cell>
          <cell r="S402">
            <v>1916666.6666666667</v>
          </cell>
          <cell r="T402">
            <v>-21442072.333333332</v>
          </cell>
          <cell r="U402">
            <v>12217478</v>
          </cell>
          <cell r="V402">
            <v>-509062</v>
          </cell>
          <cell r="W402">
            <v>2528738132</v>
          </cell>
          <cell r="X402">
            <v>2534337809</v>
          </cell>
        </row>
        <row r="403">
          <cell r="D403" t="str">
            <v>TOTAL RS 68-69</v>
          </cell>
          <cell r="E403">
            <v>7454136656</v>
          </cell>
          <cell r="F403">
            <v>8592496777</v>
          </cell>
          <cell r="G403">
            <v>10109006450</v>
          </cell>
          <cell r="H403">
            <v>12187650151</v>
          </cell>
          <cell r="K403">
            <v>12187650151</v>
          </cell>
          <cell r="L403">
            <v>1156010444</v>
          </cell>
          <cell r="M403">
            <v>1156010444</v>
          </cell>
          <cell r="N403">
            <v>458368579</v>
          </cell>
          <cell r="O403">
            <v>1085591466.4000001</v>
          </cell>
          <cell r="P403">
            <v>1100000000</v>
          </cell>
          <cell r="Q403">
            <v>1052007735.5999999</v>
          </cell>
          <cell r="R403">
            <v>1401331444.8333299</v>
          </cell>
          <cell r="S403">
            <v>1295936578.9999969</v>
          </cell>
          <cell r="T403">
            <v>35619298.166673347</v>
          </cell>
          <cell r="U403">
            <v>929049498.33333325</v>
          </cell>
          <cell r="V403">
            <v>916322958.33333325</v>
          </cell>
          <cell r="W403">
            <v>3206301683.333334</v>
          </cell>
          <cell r="X403">
            <v>13792550131</v>
          </cell>
        </row>
        <row r="405">
          <cell r="C405">
            <v>89110000</v>
          </cell>
          <cell r="D405" t="str">
            <v>IMPOT SUR LE BENEFICE EXERCEES DANS L'ETAT</v>
          </cell>
          <cell r="I405" t="str">
            <v>IS</v>
          </cell>
          <cell r="J405" t="str">
            <v>IS</v>
          </cell>
          <cell r="T405">
            <v>741320455.1842618</v>
          </cell>
          <cell r="X405">
            <v>741320455.1842618</v>
          </cell>
        </row>
        <row r="407"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741320455.1842618</v>
          </cell>
          <cell r="U407">
            <v>0</v>
          </cell>
          <cell r="V407">
            <v>0</v>
          </cell>
          <cell r="W407">
            <v>0</v>
          </cell>
          <cell r="X407">
            <v>741320455.1842618</v>
          </cell>
        </row>
        <row r="408">
          <cell r="D408" t="str">
            <v>TOTAL 89</v>
          </cell>
        </row>
        <row r="409">
          <cell r="D409" t="str">
            <v>TOTAL CHARGES</v>
          </cell>
          <cell r="E409">
            <v>17571250459</v>
          </cell>
          <cell r="F409">
            <v>20671489956</v>
          </cell>
          <cell r="G409">
            <v>32544710936</v>
          </cell>
          <cell r="H409">
            <v>40017056604</v>
          </cell>
          <cell r="K409">
            <v>35712639281</v>
          </cell>
          <cell r="L409">
            <v>3160729762.2518096</v>
          </cell>
          <cell r="M409">
            <v>3659107195.9165106</v>
          </cell>
          <cell r="N409">
            <v>3119209090.8316798</v>
          </cell>
          <cell r="O409">
            <v>3377898590.6911206</v>
          </cell>
          <cell r="P409">
            <v>3460152706.8755455</v>
          </cell>
          <cell r="Q409">
            <v>3464100635.4333334</v>
          </cell>
          <cell r="R409">
            <v>3575667882.9333296</v>
          </cell>
          <cell r="S409">
            <v>3594077082.5264301</v>
          </cell>
          <cell r="T409">
            <v>3286315952.3911681</v>
          </cell>
          <cell r="U409">
            <v>3220949756.6571779</v>
          </cell>
          <cell r="V409">
            <v>2580407435.3428226</v>
          </cell>
          <cell r="W409">
            <v>5961262051.333334</v>
          </cell>
          <cell r="X409">
            <v>42459878143.184265</v>
          </cell>
        </row>
        <row r="411">
          <cell r="D411" t="str">
            <v>RESULTAT NET</v>
          </cell>
          <cell r="E411">
            <v>8711368021</v>
          </cell>
          <cell r="F411">
            <v>12298497759</v>
          </cell>
          <cell r="G411">
            <v>8188296326</v>
          </cell>
          <cell r="H411">
            <v>11029424024</v>
          </cell>
          <cell r="K411">
            <v>15172912333</v>
          </cell>
          <cell r="L411">
            <v>1704773674.1427083</v>
          </cell>
          <cell r="M411">
            <v>1117570730.4376211</v>
          </cell>
          <cell r="N411">
            <v>2914932277.4196706</v>
          </cell>
          <cell r="O411">
            <v>2231479079.2288795</v>
          </cell>
          <cell r="P411">
            <v>1840573859.2044544</v>
          </cell>
          <cell r="Q411">
            <v>2157639390.5666666</v>
          </cell>
          <cell r="R411">
            <v>1866692351.6666718</v>
          </cell>
          <cell r="S411">
            <v>1675059036.0524626</v>
          </cell>
          <cell r="T411">
            <v>2558642401.4299397</v>
          </cell>
          <cell r="U411">
            <v>2242904583.6761551</v>
          </cell>
          <cell r="V411">
            <v>2434659597.3238444</v>
          </cell>
          <cell r="W411">
            <v>899789854.66666603</v>
          </cell>
          <cell r="X411">
            <v>23644716835.815735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TIMATES"/>
      <sheetName val="BOX OFFICE"/>
      <sheetName val="BG"/>
      <sheetName val="H"/>
      <sheetName val="decis14a3_bk"/>
      <sheetName val="Revenus hors intercomp."/>
      <sheetName val="BOX_OFFICE"/>
      <sheetName val="Revenus_hors_intercomp_"/>
      <sheetName val="BOX_OFFICE1"/>
      <sheetName val="Revenus_hors_intercomp_1"/>
    </sheetNames>
    <sheetDataSet>
      <sheetData sheetId="0" refreshError="1">
        <row r="1">
          <cell r="A1" t="str">
            <v>BASE CASE</v>
          </cell>
          <cell r="B1" t="str">
            <v>ULTIMATES</v>
          </cell>
          <cell r="C1" t="str">
            <v>BASE CASE</v>
          </cell>
          <cell r="D1" t="str">
            <v>EBITDA INFO</v>
          </cell>
          <cell r="E1" t="str">
            <v>BASE CASE</v>
          </cell>
          <cell r="F1" t="str">
            <v>EBITDA INFO</v>
          </cell>
          <cell r="G1" t="str">
            <v>BASE CASE</v>
          </cell>
          <cell r="H1" t="str">
            <v>EBITDA INFO</v>
          </cell>
          <cell r="AR1" t="str">
            <v>BASE CASE</v>
          </cell>
          <cell r="AS1" t="str">
            <v>EBITDA INFO</v>
          </cell>
        </row>
        <row r="2">
          <cell r="F2" t="str">
            <v>R E V E N U E S</v>
          </cell>
          <cell r="G2" t="str">
            <v>C O S T S</v>
          </cell>
          <cell r="H2" t="str">
            <v>C O S T S</v>
          </cell>
          <cell r="I2" t="str">
            <v>C O S T S</v>
          </cell>
          <cell r="X2" t="str">
            <v>C O S T S</v>
          </cell>
        </row>
        <row r="3">
          <cell r="F3" t="str">
            <v>Theatrical</v>
          </cell>
          <cell r="G3" t="str">
            <v>Non Theatrical</v>
          </cell>
          <cell r="H3" t="str">
            <v>Video</v>
          </cell>
          <cell r="I3" t="str">
            <v>Non Theatrical</v>
          </cell>
          <cell r="J3" t="str">
            <v>Television</v>
          </cell>
          <cell r="K3" t="str">
            <v>Prints</v>
          </cell>
          <cell r="L3" t="str">
            <v>Video</v>
          </cell>
          <cell r="M3" t="str">
            <v>Domestic Video Costs</v>
          </cell>
          <cell r="N3" t="str">
            <v>Domestic Pay TV</v>
          </cell>
          <cell r="O3" t="str">
            <v>Television</v>
          </cell>
          <cell r="P3" t="str">
            <v>Prints</v>
          </cell>
          <cell r="Q3" t="str">
            <v>Advertising</v>
          </cell>
          <cell r="R3" t="str">
            <v>Domestic Video Costs</v>
          </cell>
          <cell r="S3" t="str">
            <v>Television</v>
          </cell>
          <cell r="T3" t="str">
            <v>Prints</v>
          </cell>
          <cell r="U3" t="str">
            <v>Advertising</v>
          </cell>
          <cell r="V3" t="str">
            <v>Domestic Video Costs</v>
          </cell>
          <cell r="W3" t="str">
            <v>Foreign Video Costs</v>
          </cell>
          <cell r="Z3" t="str">
            <v>Prints</v>
          </cell>
          <cell r="AB3" t="str">
            <v>Advertising</v>
          </cell>
          <cell r="AG3" t="str">
            <v>Domestic Video Costs</v>
          </cell>
          <cell r="AI3" t="str">
            <v>Foreign Video Costs</v>
          </cell>
        </row>
        <row r="4">
          <cell r="A4" t="str">
            <v>RELEASE</v>
          </cell>
          <cell r="B4" t="str">
            <v>Picture Number</v>
          </cell>
          <cell r="C4" t="str">
            <v>Release Date</v>
          </cell>
          <cell r="D4" t="str">
            <v>Genre</v>
          </cell>
          <cell r="E4" t="str">
            <v>Budget Type</v>
          </cell>
          <cell r="F4" t="str">
            <v>US    Theatrical</v>
          </cell>
          <cell r="G4" t="str">
            <v>Canada</v>
          </cell>
          <cell r="H4" t="str">
            <v>Foreign Theatrical</v>
          </cell>
          <cell r="I4" t="str">
            <v>16  mm</v>
          </cell>
          <cell r="J4" t="str">
            <v>Airlines</v>
          </cell>
          <cell r="K4" t="str">
            <v>Military</v>
          </cell>
          <cell r="L4" t="str">
            <v>Domestic</v>
          </cell>
          <cell r="M4" t="str">
            <v>Foreign</v>
          </cell>
          <cell r="N4" t="str">
            <v>Encore</v>
          </cell>
          <cell r="O4" t="str">
            <v>Canada</v>
          </cell>
          <cell r="P4" t="str">
            <v>PPV</v>
          </cell>
          <cell r="Q4" t="str">
            <v>Misc.</v>
          </cell>
          <cell r="R4" t="str">
            <v>Foreign Pay TV</v>
          </cell>
          <cell r="S4" t="str">
            <v>Network</v>
          </cell>
          <cell r="T4" t="str">
            <v>Domestic Syndication</v>
          </cell>
          <cell r="U4" t="str">
            <v>Foreign Syndication</v>
          </cell>
          <cell r="V4" t="str">
            <v>Merch</v>
          </cell>
          <cell r="W4" t="str">
            <v>Total Revenues</v>
          </cell>
          <cell r="X4" t="str">
            <v>Direct Costs</v>
          </cell>
          <cell r="Y4" t="str">
            <v>Overhead Costs</v>
          </cell>
          <cell r="Z4" t="str">
            <v>Domestic</v>
          </cell>
          <cell r="AA4" t="str">
            <v>Foreign</v>
          </cell>
          <cell r="AB4" t="str">
            <v>Domestic Media</v>
          </cell>
          <cell r="AC4" t="str">
            <v>Domestic Basics</v>
          </cell>
          <cell r="AD4" t="str">
            <v>Foreign</v>
          </cell>
          <cell r="AE4" t="str">
            <v>Participations</v>
          </cell>
          <cell r="AF4" t="str">
            <v>Residuals</v>
          </cell>
          <cell r="AG4" t="str">
            <v>Direct Costs</v>
          </cell>
          <cell r="AH4" t="str">
            <v>Advertising Costs</v>
          </cell>
          <cell r="AI4" t="str">
            <v>Direct Costs</v>
          </cell>
          <cell r="AJ4" t="str">
            <v>Advertising Costs</v>
          </cell>
          <cell r="AK4" t="str">
            <v>Other</v>
          </cell>
          <cell r="AL4" t="str">
            <v>Total Costs</v>
          </cell>
          <cell r="AM4" t="str">
            <v>Contribution to Margin This WKSHT</v>
          </cell>
          <cell r="AN4" t="str">
            <v>Contribution to Margin From SXS</v>
          </cell>
          <cell r="AO4" t="str">
            <v>Difference</v>
          </cell>
          <cell r="AP4" t="str">
            <v>CURRENT QTR REVENUE</v>
          </cell>
          <cell r="AQ4" t="str">
            <v>OLD HISTORICAL CTM %</v>
          </cell>
          <cell r="AR4" t="str">
            <v>OLD HISTORICAL CTM</v>
          </cell>
          <cell r="AS4" t="str">
            <v>CURRENT QTR REVENUE</v>
          </cell>
          <cell r="AT4" t="str">
            <v>OLD HISTORICAL CTM %</v>
          </cell>
          <cell r="AU4" t="str">
            <v>OLD HISTORICAL CTM</v>
          </cell>
          <cell r="AV4" t="str">
            <v>NEW HISTORICAL CTM</v>
          </cell>
          <cell r="AW4" t="str">
            <v>Domestic  Theatrical</v>
          </cell>
          <cell r="AX4" t="str">
            <v>Foreign Theatrical</v>
          </cell>
          <cell r="AY4" t="str">
            <v>Domestic Video</v>
          </cell>
          <cell r="AZ4" t="str">
            <v>Foreign Video</v>
          </cell>
          <cell r="BA4" t="str">
            <v>TOTAL</v>
          </cell>
          <cell r="BB4" t="str">
            <v>NET CTM W/ ADVERTISING</v>
          </cell>
          <cell r="BC4" t="str">
            <v>ADD: P/A BENEFITS</v>
          </cell>
          <cell r="BD4" t="str">
            <v>NET EXTERNAL EBITDA</v>
          </cell>
          <cell r="BE4" t="str">
            <v>AD POLICY EFFECT</v>
          </cell>
          <cell r="BF4" t="str">
            <v>CITIBANK SMOOTHING</v>
          </cell>
        </row>
        <row r="5">
          <cell r="A5">
            <v>1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O5">
            <v>15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  <cell r="U5">
            <v>21</v>
          </cell>
          <cell r="V5">
            <v>22</v>
          </cell>
          <cell r="W5">
            <v>23</v>
          </cell>
          <cell r="X5">
            <v>24</v>
          </cell>
          <cell r="Y5">
            <v>25</v>
          </cell>
          <cell r="Z5">
            <v>26</v>
          </cell>
          <cell r="AA5">
            <v>27</v>
          </cell>
          <cell r="AB5">
            <v>28</v>
          </cell>
          <cell r="AC5">
            <v>29</v>
          </cell>
          <cell r="AD5">
            <v>30</v>
          </cell>
          <cell r="AE5">
            <v>31</v>
          </cell>
          <cell r="AF5">
            <v>32</v>
          </cell>
          <cell r="AG5">
            <v>33</v>
          </cell>
          <cell r="AH5">
            <v>34</v>
          </cell>
          <cell r="AI5">
            <v>35</v>
          </cell>
          <cell r="AJ5">
            <v>36</v>
          </cell>
          <cell r="AK5">
            <v>37</v>
          </cell>
          <cell r="AL5">
            <v>38</v>
          </cell>
          <cell r="AM5">
            <v>39</v>
          </cell>
          <cell r="AN5">
            <v>40</v>
          </cell>
          <cell r="AO5">
            <v>41</v>
          </cell>
          <cell r="AP5">
            <v>42</v>
          </cell>
          <cell r="AQ5">
            <v>43</v>
          </cell>
          <cell r="AR5">
            <v>44</v>
          </cell>
          <cell r="AS5">
            <v>45</v>
          </cell>
          <cell r="AT5">
            <v>46</v>
          </cell>
          <cell r="AU5">
            <v>47</v>
          </cell>
          <cell r="AV5">
            <v>48</v>
          </cell>
          <cell r="AW5">
            <v>49</v>
          </cell>
          <cell r="AX5">
            <v>50</v>
          </cell>
          <cell r="AY5">
            <v>51</v>
          </cell>
          <cell r="AZ5">
            <v>52</v>
          </cell>
          <cell r="BA5">
            <v>53</v>
          </cell>
          <cell r="BB5">
            <v>54</v>
          </cell>
          <cell r="BC5">
            <v>55</v>
          </cell>
          <cell r="BD5">
            <v>56</v>
          </cell>
          <cell r="BE5">
            <v>57</v>
          </cell>
          <cell r="BF5">
            <v>58</v>
          </cell>
        </row>
        <row r="7">
          <cell r="AR7" t="str">
            <v>12 MONTHS TOTAL</v>
          </cell>
        </row>
        <row r="8">
          <cell r="A8" t="str">
            <v>SMALL SOLDIERS</v>
          </cell>
          <cell r="B8" t="str">
            <v>02204</v>
          </cell>
          <cell r="C8" t="str">
            <v>07/10/98</v>
          </cell>
          <cell r="D8" t="str">
            <v>Child Fantasy</v>
          </cell>
          <cell r="E8" t="str">
            <v>Portfolio Plus</v>
          </cell>
          <cell r="F8">
            <v>0</v>
          </cell>
          <cell r="G8">
            <v>0</v>
          </cell>
          <cell r="H8">
            <v>37500</v>
          </cell>
          <cell r="I8">
            <v>0</v>
          </cell>
          <cell r="J8">
            <v>300</v>
          </cell>
          <cell r="K8">
            <v>0</v>
          </cell>
          <cell r="L8">
            <v>0</v>
          </cell>
          <cell r="M8">
            <v>36500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7200</v>
          </cell>
          <cell r="S8">
            <v>0</v>
          </cell>
          <cell r="T8">
            <v>0</v>
          </cell>
          <cell r="U8">
            <v>11000</v>
          </cell>
          <cell r="V8">
            <v>0</v>
          </cell>
          <cell r="W8">
            <v>92500</v>
          </cell>
          <cell r="X8">
            <v>32500</v>
          </cell>
          <cell r="Y8">
            <v>4900</v>
          </cell>
          <cell r="Z8">
            <v>0</v>
          </cell>
          <cell r="AA8">
            <v>4300</v>
          </cell>
          <cell r="AB8">
            <v>0</v>
          </cell>
          <cell r="AC8">
            <v>0</v>
          </cell>
          <cell r="AD8">
            <v>17100</v>
          </cell>
          <cell r="AE8">
            <v>-11600</v>
          </cell>
          <cell r="AF8">
            <v>3700</v>
          </cell>
          <cell r="AG8">
            <v>0</v>
          </cell>
          <cell r="AH8">
            <v>0</v>
          </cell>
          <cell r="AI8">
            <v>7400</v>
          </cell>
          <cell r="AJ8">
            <v>6800</v>
          </cell>
          <cell r="AK8">
            <v>2000</v>
          </cell>
          <cell r="AL8">
            <v>67100</v>
          </cell>
          <cell r="AM8">
            <v>25400</v>
          </cell>
          <cell r="AN8">
            <v>25400</v>
          </cell>
          <cell r="AO8">
            <v>0</v>
          </cell>
          <cell r="AP8" t="str">
            <v>SMALL SOLDIERS</v>
          </cell>
          <cell r="AQ8">
            <v>50900</v>
          </cell>
          <cell r="AR8" t="str">
            <v>SMALL SOLDIERS</v>
          </cell>
          <cell r="AS8">
            <v>50900</v>
          </cell>
          <cell r="AT8">
            <v>0.27457364341085272</v>
          </cell>
          <cell r="AU8">
            <v>13977</v>
          </cell>
          <cell r="AV8">
            <v>27128</v>
          </cell>
          <cell r="AW8">
            <v>0</v>
          </cell>
          <cell r="AX8">
            <v>17100</v>
          </cell>
          <cell r="AY8">
            <v>0</v>
          </cell>
          <cell r="AZ8">
            <v>2422</v>
          </cell>
          <cell r="BA8">
            <v>19522</v>
          </cell>
          <cell r="BB8">
            <v>7606</v>
          </cell>
          <cell r="BC8">
            <v>0</v>
          </cell>
          <cell r="BD8">
            <v>7606</v>
          </cell>
          <cell r="BE8">
            <v>-6371</v>
          </cell>
          <cell r="BF8">
            <v>0</v>
          </cell>
        </row>
        <row r="9">
          <cell r="A9" t="str">
            <v>BASEKETBALL</v>
          </cell>
          <cell r="B9" t="str">
            <v>09810</v>
          </cell>
          <cell r="C9" t="str">
            <v>07/31/98</v>
          </cell>
          <cell r="D9" t="str">
            <v>Comedy</v>
          </cell>
          <cell r="E9" t="str">
            <v>Portfolio</v>
          </cell>
          <cell r="F9">
            <v>17900</v>
          </cell>
          <cell r="G9">
            <v>1300</v>
          </cell>
          <cell r="H9">
            <v>5000</v>
          </cell>
          <cell r="I9">
            <v>100</v>
          </cell>
          <cell r="J9">
            <v>500</v>
          </cell>
          <cell r="K9">
            <v>200</v>
          </cell>
          <cell r="L9">
            <v>22600</v>
          </cell>
          <cell r="M9">
            <v>6700</v>
          </cell>
          <cell r="N9">
            <v>6700</v>
          </cell>
          <cell r="O9">
            <v>200</v>
          </cell>
          <cell r="P9">
            <v>1400</v>
          </cell>
          <cell r="Q9">
            <v>500</v>
          </cell>
          <cell r="R9">
            <v>5200</v>
          </cell>
          <cell r="S9">
            <v>5000</v>
          </cell>
          <cell r="T9">
            <v>1500</v>
          </cell>
          <cell r="U9">
            <v>4000</v>
          </cell>
          <cell r="V9">
            <v>0</v>
          </cell>
          <cell r="W9">
            <v>78800</v>
          </cell>
          <cell r="X9">
            <v>25100</v>
          </cell>
          <cell r="Y9">
            <v>3800</v>
          </cell>
          <cell r="Z9">
            <v>2300</v>
          </cell>
          <cell r="AA9">
            <v>1300</v>
          </cell>
          <cell r="AB9">
            <v>15000</v>
          </cell>
          <cell r="AC9">
            <v>5500</v>
          </cell>
          <cell r="AD9">
            <v>2300</v>
          </cell>
          <cell r="AE9">
            <v>6800</v>
          </cell>
          <cell r="AF9">
            <v>4400</v>
          </cell>
          <cell r="AG9">
            <v>1100</v>
          </cell>
          <cell r="AH9">
            <v>3000</v>
          </cell>
          <cell r="AI9">
            <v>1000</v>
          </cell>
          <cell r="AJ9">
            <v>1000</v>
          </cell>
          <cell r="AK9">
            <v>700</v>
          </cell>
          <cell r="AL9">
            <v>73300</v>
          </cell>
          <cell r="AM9">
            <v>5500</v>
          </cell>
          <cell r="AN9">
            <v>5500</v>
          </cell>
          <cell r="AO9">
            <v>0</v>
          </cell>
          <cell r="AP9" t="str">
            <v>BASEKETBALL</v>
          </cell>
          <cell r="AQ9">
            <v>43800</v>
          </cell>
          <cell r="AR9" t="str">
            <v>BASEKETBALL</v>
          </cell>
          <cell r="AS9">
            <v>43800</v>
          </cell>
          <cell r="AT9">
            <v>7.0000000000000007E-2</v>
          </cell>
          <cell r="AU9">
            <v>3057</v>
          </cell>
          <cell r="AV9">
            <v>17954</v>
          </cell>
          <cell r="AW9">
            <v>20500</v>
          </cell>
          <cell r="AX9">
            <v>0</v>
          </cell>
          <cell r="AY9">
            <v>2920</v>
          </cell>
          <cell r="AZ9">
            <v>0</v>
          </cell>
          <cell r="BA9">
            <v>23420</v>
          </cell>
          <cell r="BB9">
            <v>-5466</v>
          </cell>
          <cell r="BC9">
            <v>0</v>
          </cell>
          <cell r="BD9">
            <v>-5466</v>
          </cell>
          <cell r="BE9">
            <v>-8523</v>
          </cell>
          <cell r="BF9">
            <v>0</v>
          </cell>
        </row>
        <row r="10">
          <cell r="A10" t="str">
            <v>VIRUS</v>
          </cell>
          <cell r="B10" t="str">
            <v>09811</v>
          </cell>
          <cell r="C10" t="str">
            <v>08/14/98</v>
          </cell>
          <cell r="D10" t="str">
            <v>SciFi / Thriller</v>
          </cell>
          <cell r="E10" t="str">
            <v>Portfolio Plus</v>
          </cell>
          <cell r="F10">
            <v>7900</v>
          </cell>
          <cell r="G10">
            <v>600</v>
          </cell>
          <cell r="H10">
            <v>1300</v>
          </cell>
          <cell r="I10">
            <v>100</v>
          </cell>
          <cell r="J10">
            <v>300</v>
          </cell>
          <cell r="K10">
            <v>100</v>
          </cell>
          <cell r="L10">
            <v>17500</v>
          </cell>
          <cell r="M10">
            <v>1700</v>
          </cell>
          <cell r="N10">
            <v>3600</v>
          </cell>
          <cell r="O10">
            <v>200</v>
          </cell>
          <cell r="P10">
            <v>1000</v>
          </cell>
          <cell r="Q10">
            <v>0</v>
          </cell>
          <cell r="R10">
            <v>0</v>
          </cell>
          <cell r="S10">
            <v>0</v>
          </cell>
          <cell r="T10">
            <v>600</v>
          </cell>
          <cell r="U10">
            <v>0</v>
          </cell>
          <cell r="V10">
            <v>0</v>
          </cell>
          <cell r="W10">
            <v>34900</v>
          </cell>
          <cell r="X10">
            <v>37600</v>
          </cell>
          <cell r="Y10">
            <v>14400</v>
          </cell>
          <cell r="Z10">
            <v>3600</v>
          </cell>
          <cell r="AA10">
            <v>200</v>
          </cell>
          <cell r="AB10">
            <v>12300</v>
          </cell>
          <cell r="AC10">
            <v>5000</v>
          </cell>
          <cell r="AD10">
            <v>600</v>
          </cell>
          <cell r="AE10">
            <v>11400</v>
          </cell>
          <cell r="AF10">
            <v>1000</v>
          </cell>
          <cell r="AG10">
            <v>900</v>
          </cell>
          <cell r="AH10">
            <v>2600</v>
          </cell>
          <cell r="AI10">
            <v>300</v>
          </cell>
          <cell r="AJ10">
            <v>200</v>
          </cell>
          <cell r="AK10">
            <v>600</v>
          </cell>
          <cell r="AL10">
            <v>90700</v>
          </cell>
          <cell r="AM10">
            <v>-55800</v>
          </cell>
          <cell r="AN10">
            <v>-55800</v>
          </cell>
          <cell r="AO10">
            <v>0</v>
          </cell>
          <cell r="AP10" t="str">
            <v>VIRUS</v>
          </cell>
          <cell r="AQ10">
            <v>27200</v>
          </cell>
          <cell r="AR10" t="str">
            <v>VIRUS</v>
          </cell>
          <cell r="AS10">
            <v>27200</v>
          </cell>
          <cell r="AT10">
            <v>0</v>
          </cell>
          <cell r="AU10">
            <v>-55800</v>
          </cell>
          <cell r="AV10">
            <v>-35100</v>
          </cell>
          <cell r="AW10">
            <v>17300</v>
          </cell>
          <cell r="AX10">
            <v>600</v>
          </cell>
          <cell r="AY10">
            <v>2139</v>
          </cell>
          <cell r="AZ10">
            <v>200</v>
          </cell>
          <cell r="BA10">
            <v>20239</v>
          </cell>
          <cell r="BB10">
            <v>-55339</v>
          </cell>
          <cell r="BC10">
            <v>0</v>
          </cell>
          <cell r="BD10">
            <v>-55339</v>
          </cell>
          <cell r="BE10">
            <v>461</v>
          </cell>
          <cell r="BF10">
            <v>7744</v>
          </cell>
        </row>
        <row r="11">
          <cell r="A11" t="str">
            <v>ONE TRUE THING</v>
          </cell>
          <cell r="B11" t="str">
            <v>03948</v>
          </cell>
          <cell r="C11" t="str">
            <v>09/18/98</v>
          </cell>
          <cell r="D11" t="str">
            <v>Melodrama</v>
          </cell>
          <cell r="E11" t="str">
            <v>Portfolio</v>
          </cell>
          <cell r="F11">
            <v>9500</v>
          </cell>
          <cell r="G11">
            <v>700</v>
          </cell>
          <cell r="H11">
            <v>7400</v>
          </cell>
          <cell r="I11">
            <v>100</v>
          </cell>
          <cell r="J11">
            <v>500</v>
          </cell>
          <cell r="K11">
            <v>200</v>
          </cell>
          <cell r="L11">
            <v>14900</v>
          </cell>
          <cell r="M11">
            <v>8900</v>
          </cell>
          <cell r="N11">
            <v>4200</v>
          </cell>
          <cell r="O11">
            <v>200</v>
          </cell>
          <cell r="P11">
            <v>1000</v>
          </cell>
          <cell r="Q11">
            <v>500</v>
          </cell>
          <cell r="R11">
            <v>5200</v>
          </cell>
          <cell r="S11">
            <v>3000</v>
          </cell>
          <cell r="T11">
            <v>1500</v>
          </cell>
          <cell r="U11">
            <v>4000</v>
          </cell>
          <cell r="V11">
            <v>0</v>
          </cell>
          <cell r="W11">
            <v>61800</v>
          </cell>
          <cell r="X11">
            <v>32900</v>
          </cell>
          <cell r="Y11">
            <v>5000</v>
          </cell>
          <cell r="Z11">
            <v>1800</v>
          </cell>
          <cell r="AA11">
            <v>1200</v>
          </cell>
          <cell r="AB11">
            <v>12000</v>
          </cell>
          <cell r="AC11">
            <v>3800</v>
          </cell>
          <cell r="AD11">
            <v>4000</v>
          </cell>
          <cell r="AE11">
            <v>0</v>
          </cell>
          <cell r="AF11">
            <v>2100</v>
          </cell>
          <cell r="AG11">
            <v>700</v>
          </cell>
          <cell r="AH11">
            <v>2100</v>
          </cell>
          <cell r="AI11">
            <v>1400</v>
          </cell>
          <cell r="AJ11">
            <v>1300</v>
          </cell>
          <cell r="AK11">
            <v>800</v>
          </cell>
          <cell r="AL11">
            <v>69100</v>
          </cell>
          <cell r="AM11">
            <v>-7300</v>
          </cell>
          <cell r="AN11">
            <v>-7300</v>
          </cell>
          <cell r="AO11">
            <v>0</v>
          </cell>
          <cell r="AP11" t="str">
            <v>ONE TRUE THING</v>
          </cell>
          <cell r="AQ11">
            <v>43100</v>
          </cell>
          <cell r="AR11" t="str">
            <v>ONE TRUE THING</v>
          </cell>
          <cell r="AS11">
            <v>43100</v>
          </cell>
          <cell r="AT11">
            <v>0</v>
          </cell>
          <cell r="AU11">
            <v>-7300</v>
          </cell>
          <cell r="AV11">
            <v>11089</v>
          </cell>
          <cell r="AW11">
            <v>15800</v>
          </cell>
          <cell r="AX11">
            <v>4000</v>
          </cell>
          <cell r="AY11">
            <v>2100</v>
          </cell>
          <cell r="AZ11">
            <v>1300</v>
          </cell>
          <cell r="BA11">
            <v>23200</v>
          </cell>
          <cell r="BB11">
            <v>-12111</v>
          </cell>
          <cell r="BC11">
            <v>0</v>
          </cell>
          <cell r="BD11">
            <v>-12111</v>
          </cell>
          <cell r="BE11">
            <v>-4811</v>
          </cell>
          <cell r="BF11">
            <v>0</v>
          </cell>
        </row>
        <row r="12">
          <cell r="A12" t="str">
            <v>ROCKET BOYS</v>
          </cell>
          <cell r="B12" t="str">
            <v>03961</v>
          </cell>
          <cell r="C12" t="str">
            <v>10/02/98</v>
          </cell>
          <cell r="D12" t="str">
            <v>Drama</v>
          </cell>
          <cell r="E12" t="str">
            <v>Portfolio</v>
          </cell>
          <cell r="F12">
            <v>13200</v>
          </cell>
          <cell r="G12">
            <v>1000</v>
          </cell>
          <cell r="H12">
            <v>15000</v>
          </cell>
          <cell r="I12">
            <v>100</v>
          </cell>
          <cell r="J12">
            <v>500</v>
          </cell>
          <cell r="K12">
            <v>200</v>
          </cell>
          <cell r="L12">
            <v>18400</v>
          </cell>
          <cell r="M12">
            <v>14400</v>
          </cell>
          <cell r="N12">
            <v>5300</v>
          </cell>
          <cell r="O12">
            <v>200</v>
          </cell>
          <cell r="P12">
            <v>1000</v>
          </cell>
          <cell r="Q12">
            <v>800</v>
          </cell>
          <cell r="R12">
            <v>5600</v>
          </cell>
          <cell r="S12">
            <v>3000</v>
          </cell>
          <cell r="T12">
            <v>1500</v>
          </cell>
          <cell r="U12">
            <v>6000</v>
          </cell>
          <cell r="V12">
            <v>0</v>
          </cell>
          <cell r="W12">
            <v>86200</v>
          </cell>
          <cell r="X12">
            <v>25300</v>
          </cell>
          <cell r="Y12">
            <v>3800</v>
          </cell>
          <cell r="Z12">
            <v>2000</v>
          </cell>
          <cell r="AA12">
            <v>2100</v>
          </cell>
          <cell r="AB12">
            <v>12500</v>
          </cell>
          <cell r="AC12">
            <v>4200</v>
          </cell>
          <cell r="AD12">
            <v>7500</v>
          </cell>
          <cell r="AE12">
            <v>1000</v>
          </cell>
          <cell r="AF12">
            <v>2600</v>
          </cell>
          <cell r="AG12">
            <v>900</v>
          </cell>
          <cell r="AH12">
            <v>2500</v>
          </cell>
          <cell r="AI12">
            <v>3300</v>
          </cell>
          <cell r="AJ12">
            <v>3000</v>
          </cell>
          <cell r="AK12">
            <v>1100</v>
          </cell>
          <cell r="AL12">
            <v>71800</v>
          </cell>
          <cell r="AM12">
            <v>14400</v>
          </cell>
          <cell r="AN12">
            <v>14400</v>
          </cell>
          <cell r="AO12">
            <v>0</v>
          </cell>
          <cell r="AP12" t="str">
            <v>ROCKET BOYS</v>
          </cell>
          <cell r="AQ12">
            <v>48600</v>
          </cell>
          <cell r="AR12" t="str">
            <v>ROCKET BOYS</v>
          </cell>
          <cell r="AS12">
            <v>48600</v>
          </cell>
          <cell r="AT12">
            <v>0.16666666666666666</v>
          </cell>
          <cell r="AU12">
            <v>8119</v>
          </cell>
          <cell r="AV12">
            <v>24864</v>
          </cell>
          <cell r="AW12">
            <v>16700</v>
          </cell>
          <cell r="AX12">
            <v>7500</v>
          </cell>
          <cell r="AY12">
            <v>2500</v>
          </cell>
          <cell r="AZ12">
            <v>0</v>
          </cell>
          <cell r="BA12">
            <v>26700</v>
          </cell>
          <cell r="BB12">
            <v>-1836</v>
          </cell>
          <cell r="BC12">
            <v>0</v>
          </cell>
          <cell r="BD12">
            <v>-1836</v>
          </cell>
          <cell r="BE12">
            <v>-9955</v>
          </cell>
          <cell r="BF12">
            <v>0</v>
          </cell>
        </row>
        <row r="13">
          <cell r="A13" t="str">
            <v>BRIDE OF CHUCKY</v>
          </cell>
          <cell r="B13" t="str">
            <v>03963</v>
          </cell>
          <cell r="C13" t="str">
            <v>10/23/98</v>
          </cell>
          <cell r="D13" t="str">
            <v>Black Comedy / Horror</v>
          </cell>
          <cell r="E13" t="str">
            <v>Portfolio</v>
          </cell>
          <cell r="F13">
            <v>9000</v>
          </cell>
          <cell r="G13">
            <v>700</v>
          </cell>
          <cell r="H13">
            <v>0</v>
          </cell>
          <cell r="I13">
            <v>100</v>
          </cell>
          <cell r="J13">
            <v>100</v>
          </cell>
          <cell r="K13">
            <v>100</v>
          </cell>
          <cell r="L13">
            <v>14100</v>
          </cell>
          <cell r="M13">
            <v>0</v>
          </cell>
          <cell r="N13">
            <v>4000</v>
          </cell>
          <cell r="O13">
            <v>200</v>
          </cell>
          <cell r="P13">
            <v>1000</v>
          </cell>
          <cell r="Q13">
            <v>100</v>
          </cell>
          <cell r="R13">
            <v>0</v>
          </cell>
          <cell r="S13">
            <v>3000</v>
          </cell>
          <cell r="T13">
            <v>1500</v>
          </cell>
          <cell r="U13">
            <v>0</v>
          </cell>
          <cell r="V13">
            <v>0</v>
          </cell>
          <cell r="W13">
            <v>33900</v>
          </cell>
          <cell r="X13">
            <v>10200</v>
          </cell>
          <cell r="Y13">
            <v>3100</v>
          </cell>
          <cell r="Z13">
            <v>1800</v>
          </cell>
          <cell r="AA13">
            <v>0</v>
          </cell>
          <cell r="AB13">
            <v>11000</v>
          </cell>
          <cell r="AC13">
            <v>4500</v>
          </cell>
          <cell r="AD13">
            <v>0</v>
          </cell>
          <cell r="AE13">
            <v>900</v>
          </cell>
          <cell r="AF13">
            <v>900</v>
          </cell>
          <cell r="AG13">
            <v>700</v>
          </cell>
          <cell r="AH13">
            <v>2100</v>
          </cell>
          <cell r="AI13">
            <v>0</v>
          </cell>
          <cell r="AJ13">
            <v>0</v>
          </cell>
          <cell r="AK13">
            <v>500</v>
          </cell>
          <cell r="AL13">
            <v>35700</v>
          </cell>
          <cell r="AM13">
            <v>-1800</v>
          </cell>
          <cell r="AN13">
            <v>-1800</v>
          </cell>
          <cell r="AO13">
            <v>0</v>
          </cell>
          <cell r="AP13" t="str">
            <v>BRIDE OF CHUCKY</v>
          </cell>
          <cell r="AQ13">
            <v>20100</v>
          </cell>
          <cell r="AR13" t="str">
            <v>BRIDE OF CHUCKY</v>
          </cell>
          <cell r="AS13">
            <v>20100</v>
          </cell>
          <cell r="AT13">
            <v>0</v>
          </cell>
          <cell r="AU13">
            <v>-1800</v>
          </cell>
          <cell r="AV13">
            <v>9368</v>
          </cell>
          <cell r="AW13">
            <v>15500</v>
          </cell>
          <cell r="AX13">
            <v>0</v>
          </cell>
          <cell r="AY13">
            <v>1549</v>
          </cell>
          <cell r="AZ13">
            <v>0</v>
          </cell>
          <cell r="BA13">
            <v>17049</v>
          </cell>
          <cell r="BB13">
            <v>-7681</v>
          </cell>
          <cell r="BC13">
            <v>0</v>
          </cell>
          <cell r="BD13">
            <v>-7681</v>
          </cell>
          <cell r="BE13">
            <v>-5881</v>
          </cell>
          <cell r="BF13">
            <v>0</v>
          </cell>
        </row>
        <row r="14">
          <cell r="A14" t="str">
            <v>MEET JOE BLACK</v>
          </cell>
          <cell r="B14" t="str">
            <v>03898</v>
          </cell>
          <cell r="C14" t="str">
            <v>11/13/98</v>
          </cell>
          <cell r="D14" t="str">
            <v>Drama / Fantasy / Romance</v>
          </cell>
          <cell r="E14" t="str">
            <v>Blue Chip</v>
          </cell>
          <cell r="F14">
            <v>45100</v>
          </cell>
          <cell r="G14">
            <v>3400</v>
          </cell>
          <cell r="H14">
            <v>75000</v>
          </cell>
          <cell r="I14">
            <v>200</v>
          </cell>
          <cell r="J14">
            <v>1000</v>
          </cell>
          <cell r="K14">
            <v>300</v>
          </cell>
          <cell r="L14">
            <v>40200</v>
          </cell>
          <cell r="M14">
            <v>40000</v>
          </cell>
          <cell r="N14">
            <v>10000</v>
          </cell>
          <cell r="O14">
            <v>400</v>
          </cell>
          <cell r="P14">
            <v>2400</v>
          </cell>
          <cell r="Q14">
            <v>400</v>
          </cell>
          <cell r="R14">
            <v>12000</v>
          </cell>
          <cell r="S14">
            <v>9000</v>
          </cell>
          <cell r="T14">
            <v>5000</v>
          </cell>
          <cell r="U14">
            <v>16000</v>
          </cell>
          <cell r="V14">
            <v>0</v>
          </cell>
          <cell r="W14">
            <v>260400</v>
          </cell>
          <cell r="X14">
            <v>96800</v>
          </cell>
          <cell r="Y14">
            <v>16100</v>
          </cell>
          <cell r="Z14">
            <v>4000</v>
          </cell>
          <cell r="AA14">
            <v>7000</v>
          </cell>
          <cell r="AB14">
            <v>25000</v>
          </cell>
          <cell r="AC14">
            <v>7500</v>
          </cell>
          <cell r="AD14">
            <v>23000</v>
          </cell>
          <cell r="AE14">
            <v>24600</v>
          </cell>
          <cell r="AF14">
            <v>7700</v>
          </cell>
          <cell r="AG14">
            <v>1600</v>
          </cell>
          <cell r="AH14">
            <v>4600</v>
          </cell>
          <cell r="AI14">
            <v>7100</v>
          </cell>
          <cell r="AJ14">
            <v>6500</v>
          </cell>
          <cell r="AK14">
            <v>3500</v>
          </cell>
          <cell r="AL14">
            <v>235000</v>
          </cell>
          <cell r="AM14">
            <v>25400</v>
          </cell>
          <cell r="AN14">
            <v>25400</v>
          </cell>
          <cell r="AO14">
            <v>0</v>
          </cell>
          <cell r="AP14" t="str">
            <v>MEET JOE BLACK</v>
          </cell>
          <cell r="AQ14">
            <v>168900</v>
          </cell>
          <cell r="AR14" t="str">
            <v>MEET JOE BLACK</v>
          </cell>
          <cell r="AS14">
            <v>168900</v>
          </cell>
          <cell r="AT14">
            <v>9.7555555555555562E-2</v>
          </cell>
          <cell r="AU14">
            <v>16475</v>
          </cell>
          <cell r="AV14">
            <v>59673</v>
          </cell>
          <cell r="AW14">
            <v>32500</v>
          </cell>
          <cell r="AX14">
            <v>23000</v>
          </cell>
          <cell r="AY14">
            <v>3959</v>
          </cell>
          <cell r="AZ14">
            <v>1430</v>
          </cell>
          <cell r="BA14">
            <v>60889</v>
          </cell>
          <cell r="BB14">
            <v>-1216</v>
          </cell>
          <cell r="BC14">
            <v>0</v>
          </cell>
          <cell r="BD14">
            <v>-1216</v>
          </cell>
          <cell r="BE14">
            <v>-17691</v>
          </cell>
          <cell r="BF14">
            <v>0</v>
          </cell>
        </row>
        <row r="15">
          <cell r="A15" t="str">
            <v>BABE PIG IN THE CITY</v>
          </cell>
          <cell r="B15" t="str">
            <v>03894</v>
          </cell>
          <cell r="C15" t="str">
            <v>11/25/98</v>
          </cell>
          <cell r="D15" t="str">
            <v>Family</v>
          </cell>
          <cell r="E15" t="str">
            <v>CBAM</v>
          </cell>
          <cell r="F15">
            <v>40500</v>
          </cell>
          <cell r="G15">
            <v>3100</v>
          </cell>
          <cell r="H15">
            <v>67500</v>
          </cell>
          <cell r="I15">
            <v>200</v>
          </cell>
          <cell r="J15">
            <v>1000</v>
          </cell>
          <cell r="K15">
            <v>200</v>
          </cell>
          <cell r="L15">
            <v>149000</v>
          </cell>
          <cell r="M15">
            <v>97000</v>
          </cell>
          <cell r="N15">
            <v>9700</v>
          </cell>
          <cell r="O15">
            <v>400</v>
          </cell>
          <cell r="P15">
            <v>2400</v>
          </cell>
          <cell r="Q15">
            <v>-200</v>
          </cell>
          <cell r="R15">
            <v>14700</v>
          </cell>
          <cell r="S15">
            <v>7000</v>
          </cell>
          <cell r="T15">
            <v>5000</v>
          </cell>
          <cell r="U15">
            <v>14000</v>
          </cell>
          <cell r="V15">
            <v>9400</v>
          </cell>
          <cell r="W15">
            <v>420900</v>
          </cell>
          <cell r="X15">
            <v>83300</v>
          </cell>
          <cell r="Y15">
            <v>13300</v>
          </cell>
          <cell r="Z15">
            <v>4000</v>
          </cell>
          <cell r="AA15">
            <v>6500</v>
          </cell>
          <cell r="AB15">
            <v>26000</v>
          </cell>
          <cell r="AC15">
            <v>8500</v>
          </cell>
          <cell r="AD15">
            <v>21200</v>
          </cell>
          <cell r="AE15">
            <v>41000</v>
          </cell>
          <cell r="AF15">
            <v>600</v>
          </cell>
          <cell r="AG15">
            <v>27900</v>
          </cell>
          <cell r="AH15">
            <v>31400</v>
          </cell>
          <cell r="AI15">
            <v>21900</v>
          </cell>
          <cell r="AJ15">
            <v>20200</v>
          </cell>
          <cell r="AK15">
            <v>3200</v>
          </cell>
          <cell r="AL15">
            <v>309000</v>
          </cell>
          <cell r="AM15">
            <v>111900</v>
          </cell>
          <cell r="AN15">
            <v>111900</v>
          </cell>
          <cell r="AO15">
            <v>0</v>
          </cell>
          <cell r="AP15" t="str">
            <v>BABE PIG IN THE CITY</v>
          </cell>
          <cell r="AQ15">
            <v>263500</v>
          </cell>
          <cell r="AR15" t="str">
            <v>BABE PIG IN THE CITY</v>
          </cell>
          <cell r="AS15">
            <v>263500</v>
          </cell>
          <cell r="AT15">
            <v>0.26593749999999999</v>
          </cell>
          <cell r="AU15">
            <v>70054</v>
          </cell>
          <cell r="AV15">
            <v>137228</v>
          </cell>
          <cell r="AW15">
            <v>34500</v>
          </cell>
          <cell r="AX15">
            <v>21200</v>
          </cell>
          <cell r="AY15">
            <v>30072</v>
          </cell>
          <cell r="AZ15">
            <v>375</v>
          </cell>
          <cell r="BA15">
            <v>86147</v>
          </cell>
          <cell r="BB15">
            <v>51081</v>
          </cell>
          <cell r="BC15">
            <v>0</v>
          </cell>
          <cell r="BD15">
            <v>51081</v>
          </cell>
          <cell r="BE15">
            <v>-18973</v>
          </cell>
          <cell r="BF15">
            <v>0</v>
          </cell>
        </row>
        <row r="16">
          <cell r="A16" t="str">
            <v>PATCH ADAMS</v>
          </cell>
          <cell r="B16" t="str">
            <v>03951</v>
          </cell>
          <cell r="C16" t="str">
            <v>12/25/98</v>
          </cell>
          <cell r="D16" t="str">
            <v>Comedy</v>
          </cell>
          <cell r="E16" t="str">
            <v>Blue Chip</v>
          </cell>
          <cell r="F16">
            <v>45100</v>
          </cell>
          <cell r="G16">
            <v>3400</v>
          </cell>
          <cell r="H16">
            <v>37500</v>
          </cell>
          <cell r="I16">
            <v>200</v>
          </cell>
          <cell r="J16">
            <v>1000</v>
          </cell>
          <cell r="K16">
            <v>300</v>
          </cell>
          <cell r="L16">
            <v>38700</v>
          </cell>
          <cell r="M16">
            <v>28000</v>
          </cell>
          <cell r="N16">
            <v>10000</v>
          </cell>
          <cell r="O16">
            <v>400</v>
          </cell>
          <cell r="P16">
            <v>2400</v>
          </cell>
          <cell r="Q16">
            <v>0</v>
          </cell>
          <cell r="R16">
            <v>7200</v>
          </cell>
          <cell r="S16">
            <v>10000</v>
          </cell>
          <cell r="T16">
            <v>5000</v>
          </cell>
          <cell r="U16">
            <v>11000</v>
          </cell>
          <cell r="V16">
            <v>0</v>
          </cell>
          <cell r="W16">
            <v>200200</v>
          </cell>
          <cell r="X16">
            <v>72400</v>
          </cell>
          <cell r="Y16">
            <v>10900</v>
          </cell>
          <cell r="Z16">
            <v>4300</v>
          </cell>
          <cell r="AA16">
            <v>5000</v>
          </cell>
          <cell r="AB16">
            <v>25000</v>
          </cell>
          <cell r="AC16">
            <v>7800</v>
          </cell>
          <cell r="AD16">
            <v>11300</v>
          </cell>
          <cell r="AE16">
            <v>9800</v>
          </cell>
          <cell r="AF16">
            <v>8900</v>
          </cell>
          <cell r="AG16">
            <v>1700</v>
          </cell>
          <cell r="AH16">
            <v>5000</v>
          </cell>
          <cell r="AI16">
            <v>4500</v>
          </cell>
          <cell r="AJ16">
            <v>4100</v>
          </cell>
          <cell r="AK16">
            <v>2000</v>
          </cell>
          <cell r="AL16">
            <v>172700</v>
          </cell>
          <cell r="AM16">
            <v>27500</v>
          </cell>
          <cell r="AN16">
            <v>27500</v>
          </cell>
          <cell r="AO16">
            <v>0</v>
          </cell>
          <cell r="AP16" t="str">
            <v>PATCH ADAMS</v>
          </cell>
          <cell r="AQ16">
            <v>120400</v>
          </cell>
          <cell r="AR16" t="str">
            <v>PATCH ADAMS</v>
          </cell>
          <cell r="AS16">
            <v>120400</v>
          </cell>
          <cell r="AT16">
            <v>0.13734597156398104</v>
          </cell>
          <cell r="AU16">
            <v>16538</v>
          </cell>
          <cell r="AV16">
            <v>48533</v>
          </cell>
          <cell r="AW16">
            <v>32800</v>
          </cell>
          <cell r="AX16">
            <v>10577</v>
          </cell>
          <cell r="AY16">
            <v>4496</v>
          </cell>
          <cell r="AZ16">
            <v>0</v>
          </cell>
          <cell r="BA16">
            <v>47873</v>
          </cell>
          <cell r="BB16">
            <v>660</v>
          </cell>
          <cell r="BC16">
            <v>0</v>
          </cell>
          <cell r="BD16">
            <v>660</v>
          </cell>
          <cell r="BE16">
            <v>-15878</v>
          </cell>
          <cell r="BF16">
            <v>0</v>
          </cell>
        </row>
        <row r="17">
          <cell r="A17" t="str">
            <v>SNOW FALLING ON CEDARS</v>
          </cell>
          <cell r="B17" t="str">
            <v>03946</v>
          </cell>
          <cell r="C17" t="str">
            <v>01/08/99</v>
          </cell>
          <cell r="D17" t="str">
            <v>Drama</v>
          </cell>
          <cell r="E17" t="str">
            <v>Portfolio Plus</v>
          </cell>
          <cell r="F17">
            <v>17900</v>
          </cell>
          <cell r="G17">
            <v>1400</v>
          </cell>
          <cell r="H17">
            <v>20000</v>
          </cell>
          <cell r="I17">
            <v>100</v>
          </cell>
          <cell r="J17">
            <v>500</v>
          </cell>
          <cell r="K17">
            <v>100</v>
          </cell>
          <cell r="L17">
            <v>22600</v>
          </cell>
          <cell r="M17">
            <v>17900</v>
          </cell>
          <cell r="N17">
            <v>6700</v>
          </cell>
          <cell r="O17">
            <v>200</v>
          </cell>
          <cell r="P17">
            <v>1400</v>
          </cell>
          <cell r="Q17">
            <v>200</v>
          </cell>
          <cell r="R17">
            <v>6100</v>
          </cell>
          <cell r="S17">
            <v>5000</v>
          </cell>
          <cell r="T17">
            <v>1500</v>
          </cell>
          <cell r="U17">
            <v>8000</v>
          </cell>
          <cell r="V17">
            <v>0</v>
          </cell>
          <cell r="W17">
            <v>109600</v>
          </cell>
          <cell r="X17">
            <v>44700</v>
          </cell>
          <cell r="Y17">
            <v>6700</v>
          </cell>
          <cell r="Z17">
            <v>2600</v>
          </cell>
          <cell r="AA17">
            <v>2800</v>
          </cell>
          <cell r="AB17">
            <v>15000</v>
          </cell>
          <cell r="AC17">
            <v>5000</v>
          </cell>
          <cell r="AD17">
            <v>7500</v>
          </cell>
          <cell r="AE17">
            <v>0</v>
          </cell>
          <cell r="AF17">
            <v>4000</v>
          </cell>
          <cell r="AG17">
            <v>1000</v>
          </cell>
          <cell r="AH17">
            <v>3000</v>
          </cell>
          <cell r="AI17">
            <v>2800</v>
          </cell>
          <cell r="AJ17">
            <v>2600</v>
          </cell>
          <cell r="AK17">
            <v>1300</v>
          </cell>
          <cell r="AL17">
            <v>99000</v>
          </cell>
          <cell r="AM17">
            <v>10600</v>
          </cell>
          <cell r="AN17">
            <v>10600</v>
          </cell>
          <cell r="AO17">
            <v>0</v>
          </cell>
          <cell r="AP17" t="str">
            <v>SNOW FALLING ON CEDARS</v>
          </cell>
          <cell r="AQ17">
            <v>60400</v>
          </cell>
          <cell r="AR17" t="str">
            <v>SNOW FALLING ON CEDARS</v>
          </cell>
          <cell r="AS17">
            <v>60400</v>
          </cell>
          <cell r="AT17">
            <v>9.6739926739926735E-2</v>
          </cell>
          <cell r="AU17">
            <v>5842</v>
          </cell>
          <cell r="AV17">
            <v>24083</v>
          </cell>
          <cell r="AW17">
            <v>20000</v>
          </cell>
          <cell r="AX17">
            <v>7013</v>
          </cell>
          <cell r="AY17">
            <v>2920</v>
          </cell>
          <cell r="AZ17">
            <v>0</v>
          </cell>
          <cell r="BA17">
            <v>29933</v>
          </cell>
          <cell r="BB17">
            <v>-5850</v>
          </cell>
          <cell r="BC17">
            <v>0</v>
          </cell>
          <cell r="BD17">
            <v>-5850</v>
          </cell>
          <cell r="BE17">
            <v>-11692</v>
          </cell>
          <cell r="BF17">
            <v>0</v>
          </cell>
        </row>
        <row r="18">
          <cell r="A18" t="str">
            <v>NEW JERSEY TURNPIKES</v>
          </cell>
          <cell r="B18" t="str">
            <v>03967</v>
          </cell>
          <cell r="C18" t="str">
            <v>05/01/99</v>
          </cell>
          <cell r="D18" t="str">
            <v>Comedy</v>
          </cell>
          <cell r="E18" t="str">
            <v>Portfolio</v>
          </cell>
          <cell r="F18">
            <v>7000</v>
          </cell>
          <cell r="G18">
            <v>500</v>
          </cell>
          <cell r="H18">
            <v>0</v>
          </cell>
          <cell r="I18">
            <v>100</v>
          </cell>
          <cell r="J18">
            <v>300</v>
          </cell>
          <cell r="K18">
            <v>100</v>
          </cell>
          <cell r="L18">
            <v>12400</v>
          </cell>
          <cell r="M18">
            <v>0</v>
          </cell>
          <cell r="N18">
            <v>3300</v>
          </cell>
          <cell r="O18">
            <v>200</v>
          </cell>
          <cell r="P18">
            <v>1000</v>
          </cell>
          <cell r="Q18">
            <v>-200</v>
          </cell>
          <cell r="R18">
            <v>0</v>
          </cell>
          <cell r="S18">
            <v>1800</v>
          </cell>
          <cell r="T18">
            <v>1100</v>
          </cell>
          <cell r="U18">
            <v>0</v>
          </cell>
          <cell r="V18">
            <v>0</v>
          </cell>
          <cell r="W18">
            <v>27600</v>
          </cell>
          <cell r="X18">
            <v>5200</v>
          </cell>
          <cell r="Y18">
            <v>1600</v>
          </cell>
          <cell r="Z18">
            <v>1700</v>
          </cell>
          <cell r="AA18">
            <v>0</v>
          </cell>
          <cell r="AB18">
            <v>10000</v>
          </cell>
          <cell r="AC18">
            <v>3500</v>
          </cell>
          <cell r="AD18">
            <v>0</v>
          </cell>
          <cell r="AE18">
            <v>0</v>
          </cell>
          <cell r="AF18">
            <v>800</v>
          </cell>
          <cell r="AG18">
            <v>600</v>
          </cell>
          <cell r="AH18">
            <v>1900</v>
          </cell>
          <cell r="AI18">
            <v>0</v>
          </cell>
          <cell r="AJ18">
            <v>0</v>
          </cell>
          <cell r="AK18">
            <v>500</v>
          </cell>
          <cell r="AL18">
            <v>25800</v>
          </cell>
          <cell r="AM18">
            <v>1800</v>
          </cell>
          <cell r="AN18">
            <v>1800</v>
          </cell>
          <cell r="AO18">
            <v>0</v>
          </cell>
          <cell r="AP18" t="str">
            <v>NEW JERSEY TURNPIKES</v>
          </cell>
          <cell r="AQ18">
            <v>7100</v>
          </cell>
          <cell r="AR18" t="str">
            <v>NEW JERSEY TURNPIKES</v>
          </cell>
          <cell r="AS18">
            <v>7100</v>
          </cell>
          <cell r="AT18">
            <v>6.5211267605633796E-2</v>
          </cell>
          <cell r="AU18">
            <v>463</v>
          </cell>
          <cell r="AV18">
            <v>4425</v>
          </cell>
          <cell r="AW18">
            <v>12780</v>
          </cell>
          <cell r="AX18">
            <v>0</v>
          </cell>
          <cell r="AY18">
            <v>0</v>
          </cell>
          <cell r="AZ18">
            <v>0</v>
          </cell>
          <cell r="BA18">
            <v>12780</v>
          </cell>
          <cell r="BB18">
            <v>-8355</v>
          </cell>
          <cell r="BC18">
            <v>0</v>
          </cell>
          <cell r="BD18">
            <v>-8355</v>
          </cell>
          <cell r="BE18">
            <v>-8818</v>
          </cell>
          <cell r="BF18">
            <v>0</v>
          </cell>
        </row>
        <row r="19">
          <cell r="A19" t="str">
            <v>LIFE</v>
          </cell>
          <cell r="B19" t="str">
            <v>03950</v>
          </cell>
          <cell r="C19" t="str">
            <v>02/12/99</v>
          </cell>
          <cell r="D19" t="str">
            <v>Comedy / Drama</v>
          </cell>
          <cell r="E19" t="str">
            <v>Blue Chip</v>
          </cell>
          <cell r="F19">
            <v>33600</v>
          </cell>
          <cell r="G19">
            <v>2500</v>
          </cell>
          <cell r="H19">
            <v>33800</v>
          </cell>
          <cell r="I19">
            <v>200</v>
          </cell>
          <cell r="J19">
            <v>1000</v>
          </cell>
          <cell r="K19">
            <v>200</v>
          </cell>
          <cell r="L19">
            <v>32300</v>
          </cell>
          <cell r="M19">
            <v>26100</v>
          </cell>
          <cell r="N19">
            <v>9100</v>
          </cell>
          <cell r="O19">
            <v>200</v>
          </cell>
          <cell r="P19">
            <v>2400</v>
          </cell>
          <cell r="Q19">
            <v>-400</v>
          </cell>
          <cell r="R19">
            <v>6900</v>
          </cell>
          <cell r="S19">
            <v>7000</v>
          </cell>
          <cell r="T19">
            <v>3000</v>
          </cell>
          <cell r="U19">
            <v>8000</v>
          </cell>
          <cell r="V19">
            <v>0</v>
          </cell>
          <cell r="W19">
            <v>165900</v>
          </cell>
          <cell r="X19">
            <v>67900</v>
          </cell>
          <cell r="Y19">
            <v>10200</v>
          </cell>
          <cell r="Z19">
            <v>3700</v>
          </cell>
          <cell r="AA19">
            <v>4300</v>
          </cell>
          <cell r="AB19">
            <v>20000</v>
          </cell>
          <cell r="AC19">
            <v>7500</v>
          </cell>
          <cell r="AD19">
            <v>12700</v>
          </cell>
          <cell r="AE19">
            <v>5700</v>
          </cell>
          <cell r="AF19">
            <v>7200</v>
          </cell>
          <cell r="AG19">
            <v>1500</v>
          </cell>
          <cell r="AH19">
            <v>4100</v>
          </cell>
          <cell r="AI19">
            <v>4100</v>
          </cell>
          <cell r="AJ19">
            <v>3800</v>
          </cell>
          <cell r="AK19">
            <v>1900</v>
          </cell>
          <cell r="AL19">
            <v>154600</v>
          </cell>
          <cell r="AM19">
            <v>11300</v>
          </cell>
          <cell r="AN19">
            <v>11300</v>
          </cell>
          <cell r="AO19">
            <v>0</v>
          </cell>
          <cell r="AP19" t="str">
            <v>LIFE</v>
          </cell>
          <cell r="AQ19">
            <v>69500</v>
          </cell>
          <cell r="AR19" t="str">
            <v>LIFE</v>
          </cell>
          <cell r="AS19">
            <v>69500</v>
          </cell>
          <cell r="AT19">
            <v>6.8126984126984133E-2</v>
          </cell>
          <cell r="AU19">
            <v>4734</v>
          </cell>
          <cell r="AV19">
            <v>24884</v>
          </cell>
          <cell r="AW19">
            <v>27500</v>
          </cell>
          <cell r="AX19">
            <v>12550</v>
          </cell>
          <cell r="AY19">
            <v>0</v>
          </cell>
          <cell r="AZ19">
            <v>0</v>
          </cell>
          <cell r="BA19">
            <v>40050</v>
          </cell>
          <cell r="BB19">
            <v>-15166</v>
          </cell>
          <cell r="BC19">
            <v>0</v>
          </cell>
          <cell r="BD19">
            <v>-15166</v>
          </cell>
          <cell r="BE19">
            <v>-19900</v>
          </cell>
          <cell r="BF19">
            <v>0</v>
          </cell>
        </row>
        <row r="20">
          <cell r="A20" t="str">
            <v>TO LIVE ON</v>
          </cell>
          <cell r="B20" t="str">
            <v>03949</v>
          </cell>
          <cell r="C20" t="str">
            <v>02/19/99</v>
          </cell>
          <cell r="D20" t="str">
            <v>Drama</v>
          </cell>
          <cell r="E20" t="str">
            <v>Portfolio</v>
          </cell>
          <cell r="F20">
            <v>11000</v>
          </cell>
          <cell r="G20">
            <v>800</v>
          </cell>
          <cell r="H20">
            <v>0</v>
          </cell>
          <cell r="I20">
            <v>100</v>
          </cell>
          <cell r="J20">
            <v>500</v>
          </cell>
          <cell r="K20">
            <v>100</v>
          </cell>
          <cell r="L20">
            <v>10900</v>
          </cell>
          <cell r="M20">
            <v>0</v>
          </cell>
          <cell r="N20">
            <v>4700</v>
          </cell>
          <cell r="O20">
            <v>200</v>
          </cell>
          <cell r="P20">
            <v>1000</v>
          </cell>
          <cell r="Q20">
            <v>200</v>
          </cell>
          <cell r="R20">
            <v>0</v>
          </cell>
          <cell r="S20">
            <v>3000</v>
          </cell>
          <cell r="T20">
            <v>1500</v>
          </cell>
          <cell r="U20">
            <v>0</v>
          </cell>
          <cell r="V20">
            <v>0</v>
          </cell>
          <cell r="W20">
            <v>34000</v>
          </cell>
          <cell r="X20">
            <v>13100</v>
          </cell>
          <cell r="Y20">
            <v>4900</v>
          </cell>
          <cell r="Z20">
            <v>2000</v>
          </cell>
          <cell r="AA20">
            <v>0</v>
          </cell>
          <cell r="AB20">
            <v>13000</v>
          </cell>
          <cell r="AC20">
            <v>4000</v>
          </cell>
          <cell r="AD20">
            <v>0</v>
          </cell>
          <cell r="AE20">
            <v>100</v>
          </cell>
          <cell r="AF20">
            <v>1200</v>
          </cell>
          <cell r="AG20">
            <v>900</v>
          </cell>
          <cell r="AH20">
            <v>2400</v>
          </cell>
          <cell r="AI20">
            <v>0</v>
          </cell>
          <cell r="AJ20">
            <v>0</v>
          </cell>
          <cell r="AK20">
            <v>500</v>
          </cell>
          <cell r="AL20">
            <v>42100</v>
          </cell>
          <cell r="AM20">
            <v>-8100</v>
          </cell>
          <cell r="AN20">
            <v>-8100</v>
          </cell>
          <cell r="AO20">
            <v>0</v>
          </cell>
          <cell r="AP20" t="str">
            <v>TO LIVE ON</v>
          </cell>
          <cell r="AQ20">
            <v>11800</v>
          </cell>
          <cell r="AR20" t="str">
            <v>TO LIVE ON</v>
          </cell>
          <cell r="AS20">
            <v>11800</v>
          </cell>
          <cell r="AT20">
            <v>0</v>
          </cell>
          <cell r="AU20">
            <v>-8100</v>
          </cell>
          <cell r="AV20">
            <v>3922</v>
          </cell>
          <cell r="AW20">
            <v>17000</v>
          </cell>
          <cell r="AX20">
            <v>0</v>
          </cell>
          <cell r="AY20">
            <v>0</v>
          </cell>
          <cell r="AZ20">
            <v>0</v>
          </cell>
          <cell r="BA20">
            <v>17000</v>
          </cell>
          <cell r="BB20">
            <v>-13078</v>
          </cell>
          <cell r="BC20">
            <v>0</v>
          </cell>
          <cell r="BD20">
            <v>-13078</v>
          </cell>
          <cell r="BE20">
            <v>-4978</v>
          </cell>
          <cell r="BF20">
            <v>0</v>
          </cell>
        </row>
        <row r="21">
          <cell r="A21" t="str">
            <v>ED TV</v>
          </cell>
          <cell r="B21" t="str">
            <v>03954</v>
          </cell>
          <cell r="C21" t="str">
            <v>03/05/99</v>
          </cell>
          <cell r="D21" t="str">
            <v>Comedy / Romance</v>
          </cell>
          <cell r="E21" t="str">
            <v>Blue Chip</v>
          </cell>
          <cell r="F21">
            <v>33600</v>
          </cell>
          <cell r="G21">
            <v>2500</v>
          </cell>
          <cell r="H21">
            <v>28100</v>
          </cell>
          <cell r="I21">
            <v>200</v>
          </cell>
          <cell r="J21">
            <v>1000</v>
          </cell>
          <cell r="K21">
            <v>200</v>
          </cell>
          <cell r="L21">
            <v>30400</v>
          </cell>
          <cell r="M21">
            <v>23000</v>
          </cell>
          <cell r="N21">
            <v>9100</v>
          </cell>
          <cell r="O21">
            <v>200</v>
          </cell>
          <cell r="P21">
            <v>2400</v>
          </cell>
          <cell r="Q21">
            <v>-400</v>
          </cell>
          <cell r="R21">
            <v>6800</v>
          </cell>
          <cell r="S21">
            <v>7000</v>
          </cell>
          <cell r="T21">
            <v>3000</v>
          </cell>
          <cell r="U21">
            <v>8000</v>
          </cell>
          <cell r="V21">
            <v>0</v>
          </cell>
          <cell r="W21">
            <v>155100</v>
          </cell>
          <cell r="X21">
            <v>65900</v>
          </cell>
          <cell r="Y21">
            <v>9900</v>
          </cell>
          <cell r="Z21">
            <v>4200</v>
          </cell>
          <cell r="AA21">
            <v>4300</v>
          </cell>
          <cell r="AB21">
            <v>20000</v>
          </cell>
          <cell r="AC21">
            <v>7500</v>
          </cell>
          <cell r="AD21">
            <v>9800</v>
          </cell>
          <cell r="AE21">
            <v>5600</v>
          </cell>
          <cell r="AF21">
            <v>7000</v>
          </cell>
          <cell r="AG21">
            <v>1400</v>
          </cell>
          <cell r="AH21">
            <v>3900</v>
          </cell>
          <cell r="AI21">
            <v>4500</v>
          </cell>
          <cell r="AJ21">
            <v>4100</v>
          </cell>
          <cell r="AK21">
            <v>1600</v>
          </cell>
          <cell r="AL21">
            <v>149700</v>
          </cell>
          <cell r="AM21">
            <v>5400</v>
          </cell>
          <cell r="AN21">
            <v>5400</v>
          </cell>
          <cell r="AO21">
            <v>0</v>
          </cell>
          <cell r="AP21" t="str">
            <v>ED TV</v>
          </cell>
          <cell r="AQ21">
            <v>58100</v>
          </cell>
          <cell r="AR21" t="str">
            <v>ED TV</v>
          </cell>
          <cell r="AS21">
            <v>58100</v>
          </cell>
          <cell r="AT21">
            <v>3.481967213114754E-2</v>
          </cell>
          <cell r="AU21">
            <v>2023</v>
          </cell>
          <cell r="AV21">
            <v>18992</v>
          </cell>
          <cell r="AW21">
            <v>27500</v>
          </cell>
          <cell r="AX21">
            <v>7673</v>
          </cell>
          <cell r="AY21">
            <v>0</v>
          </cell>
          <cell r="AZ21">
            <v>0</v>
          </cell>
          <cell r="BA21">
            <v>35173</v>
          </cell>
          <cell r="BB21">
            <v>-16181</v>
          </cell>
          <cell r="BC21">
            <v>0</v>
          </cell>
          <cell r="BD21">
            <v>-16181</v>
          </cell>
          <cell r="BE21">
            <v>-18204</v>
          </cell>
          <cell r="BF21">
            <v>0</v>
          </cell>
        </row>
        <row r="22">
          <cell r="A22" t="str">
            <v>EAST GRAND RAPIDS HIGH</v>
          </cell>
          <cell r="B22" t="str">
            <v>0XXXX</v>
          </cell>
          <cell r="C22" t="str">
            <v>03/99</v>
          </cell>
          <cell r="D22" t="str">
            <v>Family</v>
          </cell>
          <cell r="E22" t="str">
            <v>Tbd/Portfolio</v>
          </cell>
          <cell r="F22">
            <v>8800</v>
          </cell>
          <cell r="G22">
            <v>700</v>
          </cell>
          <cell r="H22">
            <v>300</v>
          </cell>
          <cell r="I22">
            <v>100</v>
          </cell>
          <cell r="J22">
            <v>300</v>
          </cell>
          <cell r="K22">
            <v>100</v>
          </cell>
          <cell r="L22">
            <v>15100</v>
          </cell>
          <cell r="M22">
            <v>2300</v>
          </cell>
          <cell r="N22">
            <v>3900</v>
          </cell>
          <cell r="O22">
            <v>200</v>
          </cell>
          <cell r="P22">
            <v>1000</v>
          </cell>
          <cell r="Q22">
            <v>100</v>
          </cell>
          <cell r="R22">
            <v>1700</v>
          </cell>
          <cell r="S22">
            <v>0</v>
          </cell>
          <cell r="T22">
            <v>1300</v>
          </cell>
          <cell r="U22">
            <v>1600</v>
          </cell>
          <cell r="V22">
            <v>0</v>
          </cell>
          <cell r="W22">
            <v>37500</v>
          </cell>
          <cell r="X22">
            <v>10700</v>
          </cell>
          <cell r="Y22">
            <v>1800</v>
          </cell>
          <cell r="Z22">
            <v>1800</v>
          </cell>
          <cell r="AA22">
            <v>200</v>
          </cell>
          <cell r="AB22">
            <v>10500</v>
          </cell>
          <cell r="AC22">
            <v>2600</v>
          </cell>
          <cell r="AD22">
            <v>300</v>
          </cell>
          <cell r="AE22">
            <v>0</v>
          </cell>
          <cell r="AF22">
            <v>2000</v>
          </cell>
          <cell r="AG22">
            <v>1300</v>
          </cell>
          <cell r="AH22">
            <v>1500</v>
          </cell>
          <cell r="AI22">
            <v>400</v>
          </cell>
          <cell r="AJ22">
            <v>400</v>
          </cell>
          <cell r="AK22">
            <v>500</v>
          </cell>
          <cell r="AL22">
            <v>34000</v>
          </cell>
          <cell r="AM22">
            <v>3500</v>
          </cell>
          <cell r="AN22">
            <v>3500</v>
          </cell>
          <cell r="AO22">
            <v>0</v>
          </cell>
          <cell r="AP22" t="str">
            <v>EAST GRAND RAPIDS HIGH</v>
          </cell>
          <cell r="AQ22">
            <v>9600</v>
          </cell>
          <cell r="AR22" t="str">
            <v>EAST GRAND RAPIDS HIGH</v>
          </cell>
          <cell r="AS22">
            <v>9600</v>
          </cell>
          <cell r="AT22">
            <v>9.35E-2</v>
          </cell>
          <cell r="AU22">
            <v>896</v>
          </cell>
          <cell r="AV22">
            <v>4813</v>
          </cell>
          <cell r="AW22">
            <v>13100</v>
          </cell>
          <cell r="AX22">
            <v>100</v>
          </cell>
          <cell r="AY22">
            <v>0</v>
          </cell>
          <cell r="AZ22">
            <v>0</v>
          </cell>
          <cell r="BA22">
            <v>13200</v>
          </cell>
          <cell r="BB22">
            <v>-8387</v>
          </cell>
          <cell r="BC22">
            <v>0</v>
          </cell>
          <cell r="BD22">
            <v>-8387</v>
          </cell>
          <cell r="BE22">
            <v>-9283</v>
          </cell>
          <cell r="BF22">
            <v>0</v>
          </cell>
        </row>
        <row r="23">
          <cell r="A23" t="str">
            <v>ISN`T SHE GREAT</v>
          </cell>
          <cell r="B23" t="str">
            <v>03964</v>
          </cell>
          <cell r="C23" t="str">
            <v>04/16/99</v>
          </cell>
          <cell r="D23" t="str">
            <v>Comedy / Drama</v>
          </cell>
          <cell r="E23" t="str">
            <v>Portfolio Plus</v>
          </cell>
          <cell r="F23">
            <v>14200</v>
          </cell>
          <cell r="G23">
            <v>1100</v>
          </cell>
          <cell r="H23">
            <v>1000</v>
          </cell>
          <cell r="I23">
            <v>100</v>
          </cell>
          <cell r="J23">
            <v>500</v>
          </cell>
          <cell r="K23">
            <v>100</v>
          </cell>
          <cell r="L23">
            <v>19200</v>
          </cell>
          <cell r="M23">
            <v>1300</v>
          </cell>
          <cell r="N23">
            <v>5600</v>
          </cell>
          <cell r="O23">
            <v>200</v>
          </cell>
          <cell r="P23">
            <v>1000</v>
          </cell>
          <cell r="Q23">
            <v>800</v>
          </cell>
          <cell r="R23">
            <v>0</v>
          </cell>
          <cell r="S23">
            <v>3000</v>
          </cell>
          <cell r="T23">
            <v>1500</v>
          </cell>
          <cell r="U23">
            <v>0</v>
          </cell>
          <cell r="V23">
            <v>0</v>
          </cell>
          <cell r="W23">
            <v>49600</v>
          </cell>
          <cell r="X23">
            <v>16100</v>
          </cell>
          <cell r="Y23">
            <v>5600</v>
          </cell>
          <cell r="Z23">
            <v>2700</v>
          </cell>
          <cell r="AA23">
            <v>200</v>
          </cell>
          <cell r="AB23">
            <v>15000</v>
          </cell>
          <cell r="AC23">
            <v>4500</v>
          </cell>
          <cell r="AD23">
            <v>500</v>
          </cell>
          <cell r="AE23">
            <v>0</v>
          </cell>
          <cell r="AF23">
            <v>1500</v>
          </cell>
          <cell r="AG23">
            <v>900</v>
          </cell>
          <cell r="AH23">
            <v>2700</v>
          </cell>
          <cell r="AI23">
            <v>200</v>
          </cell>
          <cell r="AJ23">
            <v>200</v>
          </cell>
          <cell r="AK23">
            <v>500</v>
          </cell>
          <cell r="AL23">
            <v>50600</v>
          </cell>
          <cell r="AM23">
            <v>-1000</v>
          </cell>
          <cell r="AN23">
            <v>-1000</v>
          </cell>
          <cell r="AO23">
            <v>0</v>
          </cell>
          <cell r="AP23" t="str">
            <v>ISN`T SHE GREAT</v>
          </cell>
          <cell r="AQ23">
            <v>14900</v>
          </cell>
          <cell r="AR23" t="str">
            <v>ISN`T SHE GREAT</v>
          </cell>
          <cell r="AS23">
            <v>14900</v>
          </cell>
          <cell r="AT23">
            <v>-6.7114093959731544E-2</v>
          </cell>
          <cell r="AU23">
            <v>-1000</v>
          </cell>
          <cell r="AV23">
            <v>6579</v>
          </cell>
          <cell r="AW23">
            <v>18481</v>
          </cell>
          <cell r="AX23">
            <v>200</v>
          </cell>
          <cell r="AY23">
            <v>0</v>
          </cell>
          <cell r="AZ23">
            <v>0</v>
          </cell>
          <cell r="BA23">
            <v>18681</v>
          </cell>
          <cell r="BB23">
            <v>-12102</v>
          </cell>
          <cell r="BC23">
            <v>0</v>
          </cell>
          <cell r="BD23">
            <v>-12102</v>
          </cell>
          <cell r="BE23">
            <v>-11102</v>
          </cell>
          <cell r="BF23">
            <v>0</v>
          </cell>
        </row>
        <row r="24">
          <cell r="A24" t="str">
            <v>THE MUMMY</v>
          </cell>
          <cell r="B24" t="str">
            <v>0XXXX</v>
          </cell>
          <cell r="C24" t="str">
            <v>06/99</v>
          </cell>
          <cell r="D24" t="str">
            <v>Action</v>
          </cell>
          <cell r="E24" t="str">
            <v>CBAM</v>
          </cell>
          <cell r="F24">
            <v>40500</v>
          </cell>
          <cell r="G24">
            <v>3100</v>
          </cell>
          <cell r="H24">
            <v>45000</v>
          </cell>
          <cell r="I24">
            <v>200</v>
          </cell>
          <cell r="J24">
            <v>1000</v>
          </cell>
          <cell r="K24">
            <v>200</v>
          </cell>
          <cell r="L24">
            <v>36200</v>
          </cell>
          <cell r="M24">
            <v>31300</v>
          </cell>
          <cell r="N24">
            <v>9700</v>
          </cell>
          <cell r="O24">
            <v>400</v>
          </cell>
          <cell r="P24">
            <v>2400</v>
          </cell>
          <cell r="Q24">
            <v>-200</v>
          </cell>
          <cell r="R24">
            <v>9900</v>
          </cell>
          <cell r="S24">
            <v>8200</v>
          </cell>
          <cell r="T24">
            <v>4200</v>
          </cell>
          <cell r="U24">
            <v>12600</v>
          </cell>
          <cell r="V24">
            <v>5000</v>
          </cell>
          <cell r="W24">
            <v>209700</v>
          </cell>
          <cell r="X24">
            <v>81500</v>
          </cell>
          <cell r="Y24">
            <v>12200</v>
          </cell>
          <cell r="Z24">
            <v>3600</v>
          </cell>
          <cell r="AA24">
            <v>4700</v>
          </cell>
          <cell r="AB24">
            <v>25000</v>
          </cell>
          <cell r="AC24">
            <v>8500</v>
          </cell>
          <cell r="AD24">
            <v>13900</v>
          </cell>
          <cell r="AE24">
            <v>1300</v>
          </cell>
          <cell r="AF24">
            <v>2500</v>
          </cell>
          <cell r="AG24">
            <v>1600</v>
          </cell>
          <cell r="AH24">
            <v>4700</v>
          </cell>
          <cell r="AI24">
            <v>5700</v>
          </cell>
          <cell r="AJ24">
            <v>5300</v>
          </cell>
          <cell r="AK24">
            <v>2700</v>
          </cell>
          <cell r="AL24">
            <v>173200</v>
          </cell>
          <cell r="AM24">
            <v>36500</v>
          </cell>
          <cell r="AN24">
            <v>36500</v>
          </cell>
          <cell r="AO24">
            <v>0</v>
          </cell>
          <cell r="AP24" t="str">
            <v>THE MUMMY</v>
          </cell>
          <cell r="AQ24">
            <v>40700</v>
          </cell>
          <cell r="AR24" t="str">
            <v>THE MUMMY</v>
          </cell>
          <cell r="AS24">
            <v>40700</v>
          </cell>
          <cell r="AT24">
            <v>0.17405405405405405</v>
          </cell>
          <cell r="AU24">
            <v>7084</v>
          </cell>
          <cell r="AV24">
            <v>18225</v>
          </cell>
          <cell r="AW24">
            <v>29504</v>
          </cell>
          <cell r="AX24">
            <v>710</v>
          </cell>
          <cell r="AY24">
            <v>0</v>
          </cell>
          <cell r="AZ24">
            <v>0</v>
          </cell>
          <cell r="BA24">
            <v>30214</v>
          </cell>
          <cell r="BB24">
            <v>-11989</v>
          </cell>
          <cell r="BC24">
            <v>0</v>
          </cell>
          <cell r="BD24">
            <v>-11989</v>
          </cell>
          <cell r="BE24">
            <v>-19073</v>
          </cell>
          <cell r="BF24">
            <v>0</v>
          </cell>
        </row>
        <row r="25">
          <cell r="A25" t="str">
            <v>FOR LOVE OF THE GAME</v>
          </cell>
          <cell r="B25" t="str">
            <v>0XXXX</v>
          </cell>
          <cell r="C25" t="str">
            <v>06/18/99</v>
          </cell>
          <cell r="D25" t="str">
            <v>Drama</v>
          </cell>
          <cell r="E25" t="str">
            <v>External / Blue Chip</v>
          </cell>
          <cell r="F25">
            <v>26900</v>
          </cell>
          <cell r="G25">
            <v>2000</v>
          </cell>
          <cell r="H25">
            <v>0</v>
          </cell>
          <cell r="I25">
            <v>200</v>
          </cell>
          <cell r="J25">
            <v>700</v>
          </cell>
          <cell r="K25">
            <v>200</v>
          </cell>
          <cell r="L25">
            <v>33500</v>
          </cell>
          <cell r="M25">
            <v>0</v>
          </cell>
          <cell r="N25">
            <v>8400</v>
          </cell>
          <cell r="O25">
            <v>200</v>
          </cell>
          <cell r="P25">
            <v>2400</v>
          </cell>
          <cell r="Q25">
            <v>-2500</v>
          </cell>
          <cell r="R25">
            <v>0</v>
          </cell>
          <cell r="S25">
            <v>6800</v>
          </cell>
          <cell r="T25">
            <v>2600</v>
          </cell>
          <cell r="U25">
            <v>0</v>
          </cell>
          <cell r="V25">
            <v>0</v>
          </cell>
          <cell r="W25">
            <v>81400</v>
          </cell>
          <cell r="X25">
            <v>32000</v>
          </cell>
          <cell r="Y25">
            <v>4800</v>
          </cell>
          <cell r="Z25">
            <v>4100</v>
          </cell>
          <cell r="AA25">
            <v>0</v>
          </cell>
          <cell r="AB25">
            <v>20100</v>
          </cell>
          <cell r="AC25">
            <v>6800</v>
          </cell>
          <cell r="AD25">
            <v>0</v>
          </cell>
          <cell r="AE25">
            <v>0</v>
          </cell>
          <cell r="AF25">
            <v>3800</v>
          </cell>
          <cell r="AG25">
            <v>1800</v>
          </cell>
          <cell r="AH25">
            <v>5200</v>
          </cell>
          <cell r="AI25">
            <v>0</v>
          </cell>
          <cell r="AJ25">
            <v>0</v>
          </cell>
          <cell r="AK25">
            <v>500</v>
          </cell>
          <cell r="AL25">
            <v>79100</v>
          </cell>
          <cell r="AM25">
            <v>2300</v>
          </cell>
          <cell r="AN25">
            <v>2300</v>
          </cell>
          <cell r="AO25">
            <v>0</v>
          </cell>
          <cell r="AP25" t="str">
            <v>FOR LOVE OF THE GAME</v>
          </cell>
          <cell r="AQ25">
            <v>25700</v>
          </cell>
          <cell r="AR25" t="str">
            <v>FOR LOVE OF THE GAME</v>
          </cell>
          <cell r="AS25">
            <v>25700</v>
          </cell>
          <cell r="AT25">
            <v>2.8249027237354087E-2</v>
          </cell>
          <cell r="AU25">
            <v>726</v>
          </cell>
          <cell r="AV25">
            <v>10861</v>
          </cell>
          <cell r="AW25">
            <v>23921</v>
          </cell>
          <cell r="AX25">
            <v>0</v>
          </cell>
          <cell r="AY25">
            <v>0</v>
          </cell>
          <cell r="AZ25">
            <v>0</v>
          </cell>
          <cell r="BA25">
            <v>23921</v>
          </cell>
          <cell r="BB25">
            <v>-13060</v>
          </cell>
          <cell r="BC25">
            <v>0</v>
          </cell>
          <cell r="BD25">
            <v>-13060</v>
          </cell>
          <cell r="BE25">
            <v>-13786</v>
          </cell>
          <cell r="BF25">
            <v>0</v>
          </cell>
        </row>
        <row r="26">
          <cell r="A26" t="str">
            <v>PSYCHO</v>
          </cell>
          <cell r="B26" t="str">
            <v>0XXXX</v>
          </cell>
          <cell r="C26" t="str">
            <v>12/04/98</v>
          </cell>
          <cell r="D26" t="str">
            <v>Horror</v>
          </cell>
          <cell r="E26" t="str">
            <v>Portfolio</v>
          </cell>
          <cell r="F26">
            <v>13300</v>
          </cell>
          <cell r="G26">
            <v>1000</v>
          </cell>
          <cell r="H26">
            <v>9800</v>
          </cell>
          <cell r="I26">
            <v>100</v>
          </cell>
          <cell r="J26">
            <v>500</v>
          </cell>
          <cell r="K26">
            <v>100</v>
          </cell>
          <cell r="L26">
            <v>16600</v>
          </cell>
          <cell r="M26">
            <v>7700</v>
          </cell>
          <cell r="N26">
            <v>5400</v>
          </cell>
          <cell r="O26">
            <v>200</v>
          </cell>
          <cell r="P26">
            <v>1000</v>
          </cell>
          <cell r="Q26">
            <v>500</v>
          </cell>
          <cell r="R26">
            <v>4300</v>
          </cell>
          <cell r="S26">
            <v>3100</v>
          </cell>
          <cell r="T26">
            <v>1700</v>
          </cell>
          <cell r="U26">
            <v>3600</v>
          </cell>
          <cell r="V26">
            <v>0</v>
          </cell>
          <cell r="W26">
            <v>68900</v>
          </cell>
          <cell r="X26">
            <v>30000</v>
          </cell>
          <cell r="Y26">
            <v>4500</v>
          </cell>
          <cell r="Z26">
            <v>2200</v>
          </cell>
          <cell r="AA26">
            <v>2300</v>
          </cell>
          <cell r="AB26">
            <v>12000</v>
          </cell>
          <cell r="AC26">
            <v>4000</v>
          </cell>
          <cell r="AD26">
            <v>5400</v>
          </cell>
          <cell r="AE26">
            <v>0</v>
          </cell>
          <cell r="AF26">
            <v>3600</v>
          </cell>
          <cell r="AG26">
            <v>800</v>
          </cell>
          <cell r="AH26">
            <v>2300</v>
          </cell>
          <cell r="AI26">
            <v>1300</v>
          </cell>
          <cell r="AJ26">
            <v>1200</v>
          </cell>
          <cell r="AK26">
            <v>900</v>
          </cell>
          <cell r="AL26">
            <v>70500</v>
          </cell>
          <cell r="AM26">
            <v>-1600</v>
          </cell>
          <cell r="AN26">
            <v>-1600</v>
          </cell>
          <cell r="AO26">
            <v>0</v>
          </cell>
          <cell r="AP26" t="str">
            <v>PSYCHO</v>
          </cell>
          <cell r="AQ26">
            <v>23100</v>
          </cell>
          <cell r="AR26" t="str">
            <v>PSYCHO</v>
          </cell>
          <cell r="AS26">
            <v>23100</v>
          </cell>
          <cell r="AT26">
            <v>0</v>
          </cell>
          <cell r="AU26">
            <v>-1600</v>
          </cell>
          <cell r="AV26">
            <v>7812</v>
          </cell>
          <cell r="AW26">
            <v>16000</v>
          </cell>
          <cell r="AX26">
            <v>4849</v>
          </cell>
          <cell r="AY26">
            <v>0</v>
          </cell>
          <cell r="AZ26">
            <v>0</v>
          </cell>
          <cell r="BA26">
            <v>20849</v>
          </cell>
          <cell r="BB26">
            <v>-13037</v>
          </cell>
          <cell r="BC26">
            <v>0</v>
          </cell>
          <cell r="BD26">
            <v>-13037</v>
          </cell>
          <cell r="BE26">
            <v>-11437</v>
          </cell>
          <cell r="BF26">
            <v>0</v>
          </cell>
        </row>
        <row r="27">
          <cell r="A27" t="str">
            <v>TBD 18</v>
          </cell>
          <cell r="B27" t="str">
            <v>0XXXX</v>
          </cell>
          <cell r="C27" t="str">
            <v>05/14/99</v>
          </cell>
          <cell r="D27" t="str">
            <v>Comedy</v>
          </cell>
          <cell r="E27" t="str">
            <v>Portfolio</v>
          </cell>
          <cell r="F27">
            <v>16100</v>
          </cell>
          <cell r="G27">
            <v>1200</v>
          </cell>
          <cell r="H27">
            <v>11700</v>
          </cell>
          <cell r="I27">
            <v>100</v>
          </cell>
          <cell r="J27">
            <v>500</v>
          </cell>
          <cell r="K27">
            <v>100</v>
          </cell>
          <cell r="L27">
            <v>18400</v>
          </cell>
          <cell r="M27">
            <v>8300</v>
          </cell>
          <cell r="N27">
            <v>6200</v>
          </cell>
          <cell r="O27">
            <v>200</v>
          </cell>
          <cell r="P27">
            <v>1400</v>
          </cell>
          <cell r="Q27">
            <v>300</v>
          </cell>
          <cell r="R27">
            <v>4700</v>
          </cell>
          <cell r="S27">
            <v>3600</v>
          </cell>
          <cell r="T27">
            <v>1900</v>
          </cell>
          <cell r="U27">
            <v>3800</v>
          </cell>
          <cell r="V27">
            <v>0</v>
          </cell>
          <cell r="W27">
            <v>78500</v>
          </cell>
          <cell r="X27">
            <v>30000</v>
          </cell>
          <cell r="Y27">
            <v>4500</v>
          </cell>
          <cell r="Z27">
            <v>2300</v>
          </cell>
          <cell r="AA27">
            <v>2600</v>
          </cell>
          <cell r="AB27">
            <v>15000</v>
          </cell>
          <cell r="AC27">
            <v>5000</v>
          </cell>
          <cell r="AD27">
            <v>6200</v>
          </cell>
          <cell r="AE27">
            <v>0</v>
          </cell>
          <cell r="AF27">
            <v>4000</v>
          </cell>
          <cell r="AG27">
            <v>900</v>
          </cell>
          <cell r="AH27">
            <v>2600</v>
          </cell>
          <cell r="AI27">
            <v>1400</v>
          </cell>
          <cell r="AJ27">
            <v>1300</v>
          </cell>
          <cell r="AK27">
            <v>1000</v>
          </cell>
          <cell r="AL27">
            <v>76800</v>
          </cell>
          <cell r="AM27">
            <v>1700</v>
          </cell>
          <cell r="AN27">
            <v>1700</v>
          </cell>
          <cell r="AO27">
            <v>0</v>
          </cell>
          <cell r="AP27" t="str">
            <v>TBD 18</v>
          </cell>
          <cell r="AQ27">
            <v>20500</v>
          </cell>
          <cell r="AR27" t="str">
            <v>TBD 18</v>
          </cell>
          <cell r="AS27">
            <v>20500</v>
          </cell>
          <cell r="AT27">
            <v>2.1658536585365852E-2</v>
          </cell>
          <cell r="AU27">
            <v>444</v>
          </cell>
          <cell r="AV27">
            <v>8304</v>
          </cell>
          <cell r="AW27">
            <v>19075</v>
          </cell>
          <cell r="AX27">
            <v>2120</v>
          </cell>
          <cell r="AY27">
            <v>0</v>
          </cell>
          <cell r="AZ27">
            <v>0</v>
          </cell>
          <cell r="BA27">
            <v>21195</v>
          </cell>
          <cell r="BB27">
            <v>-12891</v>
          </cell>
          <cell r="BC27">
            <v>0</v>
          </cell>
          <cell r="BD27">
            <v>-12891</v>
          </cell>
          <cell r="BE27">
            <v>-13335</v>
          </cell>
          <cell r="BF27">
            <v>0</v>
          </cell>
        </row>
        <row r="28">
          <cell r="AR28" t="str">
            <v>Film Title # 21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</row>
        <row r="29">
          <cell r="AR29" t="str">
            <v>Film Title # 22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</row>
        <row r="39">
          <cell r="A39" t="str">
            <v>GRAND TOTAL</v>
          </cell>
          <cell r="B39">
            <v>411100</v>
          </cell>
          <cell r="C39">
            <v>31000</v>
          </cell>
          <cell r="D39">
            <v>395900</v>
          </cell>
          <cell r="E39">
            <v>2600</v>
          </cell>
          <cell r="F39">
            <v>411100</v>
          </cell>
          <cell r="G39">
            <v>31000</v>
          </cell>
          <cell r="H39">
            <v>395900</v>
          </cell>
          <cell r="I39">
            <v>2600</v>
          </cell>
          <cell r="J39">
            <v>12000</v>
          </cell>
          <cell r="K39">
            <v>3100</v>
          </cell>
          <cell r="L39">
            <v>563000</v>
          </cell>
          <cell r="M39">
            <v>351100</v>
          </cell>
          <cell r="N39">
            <v>125600</v>
          </cell>
          <cell r="O39">
            <v>4600</v>
          </cell>
          <cell r="P39">
            <v>30000</v>
          </cell>
          <cell r="Q39">
            <v>500</v>
          </cell>
          <cell r="R39">
            <v>97500</v>
          </cell>
          <cell r="S39">
            <v>88500</v>
          </cell>
          <cell r="T39">
            <v>44900</v>
          </cell>
          <cell r="U39">
            <v>111600</v>
          </cell>
          <cell r="V39">
            <v>14400</v>
          </cell>
          <cell r="W39">
            <v>2287400</v>
          </cell>
          <cell r="X39">
            <v>813200</v>
          </cell>
          <cell r="Y39">
            <v>142000</v>
          </cell>
          <cell r="Z39">
            <v>54700</v>
          </cell>
          <cell r="AA39">
            <v>49000</v>
          </cell>
          <cell r="AB39">
            <v>314400</v>
          </cell>
          <cell r="AC39">
            <v>105700</v>
          </cell>
          <cell r="AD39">
            <v>143300</v>
          </cell>
          <cell r="AE39">
            <v>96600</v>
          </cell>
          <cell r="AF39">
            <v>69500</v>
          </cell>
          <cell r="AG39">
            <v>48200</v>
          </cell>
          <cell r="AH39">
            <v>87600</v>
          </cell>
          <cell r="AI39">
            <v>67300</v>
          </cell>
          <cell r="AJ39">
            <v>62000</v>
          </cell>
          <cell r="AK39">
            <v>26300</v>
          </cell>
          <cell r="AL39">
            <v>2079800</v>
          </cell>
          <cell r="AM39">
            <v>207600</v>
          </cell>
          <cell r="AN39">
            <v>207600</v>
          </cell>
          <cell r="AO39">
            <v>0</v>
          </cell>
          <cell r="AP39">
            <v>433637</v>
          </cell>
          <cell r="AQ39">
            <v>410461</v>
          </cell>
          <cell r="AR39" t="str">
            <v>TOTALS</v>
          </cell>
          <cell r="AS39">
            <v>1127900</v>
          </cell>
          <cell r="AT39">
            <v>1.5273247117177906</v>
          </cell>
          <cell r="AU39">
            <v>74832</v>
          </cell>
          <cell r="AV39">
            <v>433637</v>
          </cell>
          <cell r="AW39">
            <v>410461</v>
          </cell>
          <cell r="AX39">
            <v>119192</v>
          </cell>
          <cell r="AY39">
            <v>52655</v>
          </cell>
          <cell r="AZ39">
            <v>5727</v>
          </cell>
          <cell r="BA39">
            <v>588035</v>
          </cell>
          <cell r="BB39">
            <v>-154398</v>
          </cell>
          <cell r="BC39">
            <v>0</v>
          </cell>
          <cell r="BD39">
            <v>-154398</v>
          </cell>
          <cell r="BE39">
            <v>-229230</v>
          </cell>
          <cell r="BF39">
            <v>7744</v>
          </cell>
        </row>
        <row r="51">
          <cell r="A51" t="str">
            <v>RESERVE CASE</v>
          </cell>
          <cell r="B51" t="str">
            <v>ULTIMATES</v>
          </cell>
          <cell r="C51" t="str">
            <v>RESERVE CASE</v>
          </cell>
          <cell r="D51" t="str">
            <v>EBITDA INFO</v>
          </cell>
          <cell r="E51" t="str">
            <v>RESERVE CASE</v>
          </cell>
          <cell r="F51" t="str">
            <v>EBITDA INFO</v>
          </cell>
          <cell r="G51" t="str">
            <v>RESERVE CASE</v>
          </cell>
          <cell r="H51" t="str">
            <v>EBITDA INFO</v>
          </cell>
          <cell r="AR51" t="str">
            <v>RESERVE CASE</v>
          </cell>
          <cell r="AS51" t="str">
            <v>EBITDA INFO</v>
          </cell>
        </row>
        <row r="52">
          <cell r="F52" t="str">
            <v>R E V E N U E S</v>
          </cell>
          <cell r="G52" t="str">
            <v>C O S T S</v>
          </cell>
          <cell r="H52" t="str">
            <v>C O S T S</v>
          </cell>
          <cell r="I52" t="str">
            <v>C O S T S</v>
          </cell>
          <cell r="X52" t="str">
            <v>C O S T S</v>
          </cell>
        </row>
        <row r="53">
          <cell r="F53" t="str">
            <v>Theatrical</v>
          </cell>
          <cell r="G53" t="str">
            <v>Non Theatrical</v>
          </cell>
          <cell r="H53" t="str">
            <v>Video</v>
          </cell>
          <cell r="I53" t="str">
            <v>Non Theatrical</v>
          </cell>
          <cell r="J53" t="str">
            <v>Television</v>
          </cell>
          <cell r="K53" t="str">
            <v>Prints</v>
          </cell>
          <cell r="L53" t="str">
            <v>Video</v>
          </cell>
          <cell r="M53" t="str">
            <v>Domestic Video Costs</v>
          </cell>
          <cell r="N53" t="str">
            <v>Domestic Pay TV</v>
          </cell>
          <cell r="O53" t="str">
            <v>Television</v>
          </cell>
          <cell r="P53" t="str">
            <v>Prints</v>
          </cell>
          <cell r="Q53" t="str">
            <v>Advertising</v>
          </cell>
          <cell r="R53" t="str">
            <v>Domestic Video Costs</v>
          </cell>
          <cell r="S53" t="str">
            <v>Television</v>
          </cell>
          <cell r="T53" t="str">
            <v>Prints</v>
          </cell>
          <cell r="U53" t="str">
            <v>Advertising</v>
          </cell>
          <cell r="V53" t="str">
            <v>Domestic Video Costs</v>
          </cell>
          <cell r="W53" t="str">
            <v>Foreign Video Costs</v>
          </cell>
          <cell r="Z53" t="str">
            <v>Prints</v>
          </cell>
          <cell r="AB53" t="str">
            <v>Advertising</v>
          </cell>
          <cell r="AG53" t="str">
            <v>Domestic Video Costs</v>
          </cell>
          <cell r="AI53" t="str">
            <v>Foreign Video Costs</v>
          </cell>
        </row>
        <row r="54">
          <cell r="A54" t="str">
            <v>RELEASE</v>
          </cell>
          <cell r="B54" t="str">
            <v>Picture Number</v>
          </cell>
          <cell r="C54" t="str">
            <v>Release Date</v>
          </cell>
          <cell r="D54" t="str">
            <v>Genre</v>
          </cell>
          <cell r="E54" t="str">
            <v>Budget Type</v>
          </cell>
          <cell r="F54" t="str">
            <v>US    Theatrical</v>
          </cell>
          <cell r="G54" t="str">
            <v>Canada</v>
          </cell>
          <cell r="H54" t="str">
            <v>Foreign Theatrical</v>
          </cell>
          <cell r="I54" t="str">
            <v>16  mm</v>
          </cell>
          <cell r="J54" t="str">
            <v>Airlines</v>
          </cell>
          <cell r="K54" t="str">
            <v>Military</v>
          </cell>
          <cell r="L54" t="str">
            <v>Domestic</v>
          </cell>
          <cell r="M54" t="str">
            <v>Foreign</v>
          </cell>
          <cell r="N54" t="str">
            <v>Encore</v>
          </cell>
          <cell r="O54" t="str">
            <v>Canada</v>
          </cell>
          <cell r="P54" t="str">
            <v>PPV</v>
          </cell>
          <cell r="Q54" t="str">
            <v>Misc.</v>
          </cell>
          <cell r="R54" t="str">
            <v>Foreign Pay TV</v>
          </cell>
          <cell r="S54" t="str">
            <v>Network</v>
          </cell>
          <cell r="T54" t="str">
            <v>Domestic Syndication</v>
          </cell>
          <cell r="U54" t="str">
            <v>Foreign Syndication</v>
          </cell>
          <cell r="V54" t="str">
            <v>Merch</v>
          </cell>
          <cell r="W54" t="str">
            <v>Total Revenues</v>
          </cell>
          <cell r="X54" t="str">
            <v>Direct Costs</v>
          </cell>
          <cell r="Y54" t="str">
            <v>Overhead Costs</v>
          </cell>
          <cell r="Z54" t="str">
            <v>Domestic</v>
          </cell>
          <cell r="AA54" t="str">
            <v>Foreign</v>
          </cell>
          <cell r="AB54" t="str">
            <v>Domestic Media</v>
          </cell>
          <cell r="AC54" t="str">
            <v>Domestic Basics</v>
          </cell>
          <cell r="AD54" t="str">
            <v>Foreign</v>
          </cell>
          <cell r="AE54" t="str">
            <v>Participations</v>
          </cell>
          <cell r="AF54" t="str">
            <v>Residuals</v>
          </cell>
          <cell r="AG54" t="str">
            <v>Direct Costs</v>
          </cell>
          <cell r="AH54" t="str">
            <v>Advertising Costs</v>
          </cell>
          <cell r="AI54" t="str">
            <v>Direct Costs</v>
          </cell>
          <cell r="AJ54" t="str">
            <v>Advertising Costs</v>
          </cell>
          <cell r="AK54" t="str">
            <v>Other</v>
          </cell>
          <cell r="AL54" t="str">
            <v>Total Costs</v>
          </cell>
          <cell r="AM54" t="str">
            <v>Contribution to Margin This WKSHT</v>
          </cell>
          <cell r="AN54" t="str">
            <v>Contribution to Margin From SXS</v>
          </cell>
          <cell r="AO54" t="str">
            <v>Difference</v>
          </cell>
          <cell r="AP54" t="str">
            <v>CURRENT QTR REVENUE</v>
          </cell>
          <cell r="AQ54" t="str">
            <v>OLD HISTORICAL CTM %</v>
          </cell>
          <cell r="AR54" t="str">
            <v>OLD HISTORICAL CTM</v>
          </cell>
          <cell r="AS54" t="str">
            <v>CURRENT QTR REVENUE</v>
          </cell>
          <cell r="AT54" t="str">
            <v>OLD HISTORICAL CTM %</v>
          </cell>
          <cell r="AU54" t="str">
            <v>OLD HISTORICAL CTM</v>
          </cell>
          <cell r="AV54" t="str">
            <v>NEW HISTORICAL CTM</v>
          </cell>
          <cell r="AW54" t="str">
            <v>Domestic  Theatrical</v>
          </cell>
          <cell r="AX54" t="str">
            <v>Foreign Theatrical</v>
          </cell>
          <cell r="AY54" t="str">
            <v>Domestic Video</v>
          </cell>
          <cell r="AZ54" t="str">
            <v>Foreign Video</v>
          </cell>
          <cell r="BA54" t="str">
            <v>TOTAL</v>
          </cell>
          <cell r="BB54" t="str">
            <v>NET CTM W/ ADVERTISING</v>
          </cell>
          <cell r="BC54" t="str">
            <v>ADD: P/A BENEFITS</v>
          </cell>
          <cell r="BD54" t="str">
            <v>NET EXTERNAL EBITDA</v>
          </cell>
          <cell r="BE54" t="str">
            <v>AD POLICY EFFECT</v>
          </cell>
          <cell r="BF54" t="str">
            <v>CITIBANK SMOOTHING</v>
          </cell>
        </row>
        <row r="55">
          <cell r="A55">
            <v>1</v>
          </cell>
          <cell r="B55">
            <v>2</v>
          </cell>
          <cell r="C55">
            <v>3</v>
          </cell>
          <cell r="D55">
            <v>4</v>
          </cell>
          <cell r="E55">
            <v>5</v>
          </cell>
          <cell r="F55">
            <v>6</v>
          </cell>
          <cell r="G55">
            <v>7</v>
          </cell>
          <cell r="H55">
            <v>8</v>
          </cell>
          <cell r="I55">
            <v>9</v>
          </cell>
          <cell r="J55">
            <v>10</v>
          </cell>
          <cell r="K55">
            <v>11</v>
          </cell>
          <cell r="L55">
            <v>12</v>
          </cell>
          <cell r="M55">
            <v>13</v>
          </cell>
          <cell r="N55">
            <v>14</v>
          </cell>
          <cell r="O55">
            <v>15</v>
          </cell>
          <cell r="P55">
            <v>16</v>
          </cell>
          <cell r="Q55">
            <v>17</v>
          </cell>
          <cell r="R55">
            <v>18</v>
          </cell>
          <cell r="S55">
            <v>19</v>
          </cell>
          <cell r="T55">
            <v>20</v>
          </cell>
          <cell r="U55">
            <v>21</v>
          </cell>
          <cell r="V55">
            <v>22</v>
          </cell>
          <cell r="W55">
            <v>23</v>
          </cell>
          <cell r="X55">
            <v>24</v>
          </cell>
          <cell r="Y55">
            <v>25</v>
          </cell>
          <cell r="Z55">
            <v>26</v>
          </cell>
          <cell r="AA55">
            <v>27</v>
          </cell>
          <cell r="AB55">
            <v>28</v>
          </cell>
          <cell r="AC55">
            <v>29</v>
          </cell>
          <cell r="AD55">
            <v>30</v>
          </cell>
          <cell r="AE55">
            <v>31</v>
          </cell>
          <cell r="AF55">
            <v>32</v>
          </cell>
          <cell r="AG55">
            <v>33</v>
          </cell>
          <cell r="AH55">
            <v>34</v>
          </cell>
          <cell r="AI55">
            <v>35</v>
          </cell>
          <cell r="AJ55">
            <v>36</v>
          </cell>
          <cell r="AK55">
            <v>37</v>
          </cell>
          <cell r="AL55">
            <v>38</v>
          </cell>
          <cell r="AM55">
            <v>39</v>
          </cell>
          <cell r="AN55">
            <v>40</v>
          </cell>
          <cell r="AO55">
            <v>41</v>
          </cell>
          <cell r="AP55">
            <v>42</v>
          </cell>
          <cell r="AQ55">
            <v>43</v>
          </cell>
          <cell r="AR55">
            <v>44</v>
          </cell>
          <cell r="AS55">
            <v>45</v>
          </cell>
          <cell r="AT55">
            <v>46</v>
          </cell>
          <cell r="AU55">
            <v>47</v>
          </cell>
          <cell r="AV55">
            <v>48</v>
          </cell>
          <cell r="AW55">
            <v>49</v>
          </cell>
          <cell r="AX55">
            <v>50</v>
          </cell>
          <cell r="AY55">
            <v>51</v>
          </cell>
          <cell r="AZ55">
            <v>52</v>
          </cell>
          <cell r="BA55">
            <v>53</v>
          </cell>
          <cell r="BB55">
            <v>54</v>
          </cell>
          <cell r="BC55">
            <v>55</v>
          </cell>
          <cell r="BD55">
            <v>56</v>
          </cell>
          <cell r="BE55">
            <v>57</v>
          </cell>
          <cell r="BF55">
            <v>58</v>
          </cell>
        </row>
        <row r="57">
          <cell r="AR57" t="str">
            <v>12 MONTHS TOTAL</v>
          </cell>
        </row>
        <row r="58">
          <cell r="A58" t="str">
            <v>SMALL SOLDIERS</v>
          </cell>
          <cell r="B58" t="str">
            <v>02204</v>
          </cell>
          <cell r="C58" t="str">
            <v>07/10/98</v>
          </cell>
          <cell r="D58" t="str">
            <v>Child Fantasy</v>
          </cell>
          <cell r="E58" t="str">
            <v>Portfolio Plus</v>
          </cell>
          <cell r="F58">
            <v>0</v>
          </cell>
          <cell r="G58">
            <v>0</v>
          </cell>
          <cell r="H58">
            <v>37500</v>
          </cell>
          <cell r="I58">
            <v>0</v>
          </cell>
          <cell r="J58">
            <v>300</v>
          </cell>
          <cell r="K58">
            <v>0</v>
          </cell>
          <cell r="L58">
            <v>0</v>
          </cell>
          <cell r="M58">
            <v>36500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7200</v>
          </cell>
          <cell r="S58">
            <v>0</v>
          </cell>
          <cell r="T58">
            <v>0</v>
          </cell>
          <cell r="U58">
            <v>11000</v>
          </cell>
          <cell r="V58">
            <v>0</v>
          </cell>
          <cell r="W58">
            <v>92500</v>
          </cell>
          <cell r="X58">
            <v>32500</v>
          </cell>
          <cell r="Y58">
            <v>4900</v>
          </cell>
          <cell r="Z58">
            <v>0</v>
          </cell>
          <cell r="AA58">
            <v>4300</v>
          </cell>
          <cell r="AB58">
            <v>0</v>
          </cell>
          <cell r="AC58">
            <v>0</v>
          </cell>
          <cell r="AD58">
            <v>17100</v>
          </cell>
          <cell r="AE58">
            <v>-11600</v>
          </cell>
          <cell r="AF58">
            <v>3700</v>
          </cell>
          <cell r="AG58">
            <v>0</v>
          </cell>
          <cell r="AH58">
            <v>0</v>
          </cell>
          <cell r="AI58">
            <v>7400</v>
          </cell>
          <cell r="AJ58">
            <v>6800</v>
          </cell>
          <cell r="AK58">
            <v>2000</v>
          </cell>
          <cell r="AL58">
            <v>67100</v>
          </cell>
          <cell r="AM58">
            <v>25400</v>
          </cell>
          <cell r="AN58">
            <v>25400</v>
          </cell>
          <cell r="AO58">
            <v>0</v>
          </cell>
          <cell r="AP58" t="str">
            <v>SMALL SOLDIERS</v>
          </cell>
          <cell r="AQ58">
            <v>50900</v>
          </cell>
          <cell r="AR58" t="str">
            <v>SMALL SOLDIERS</v>
          </cell>
          <cell r="AS58">
            <v>50900</v>
          </cell>
          <cell r="AT58">
            <v>0.27457364341085272</v>
          </cell>
          <cell r="AU58">
            <v>13977</v>
          </cell>
          <cell r="AV58">
            <v>27128</v>
          </cell>
          <cell r="AW58">
            <v>0</v>
          </cell>
          <cell r="AX58">
            <v>17100</v>
          </cell>
          <cell r="AY58">
            <v>0</v>
          </cell>
          <cell r="AZ58">
            <v>2422</v>
          </cell>
          <cell r="BA58">
            <v>19522</v>
          </cell>
          <cell r="BB58">
            <v>7606</v>
          </cell>
          <cell r="BC58">
            <v>0</v>
          </cell>
          <cell r="BD58">
            <v>7606</v>
          </cell>
          <cell r="BE58">
            <v>-6371</v>
          </cell>
          <cell r="BF58">
            <v>0</v>
          </cell>
        </row>
        <row r="59">
          <cell r="A59" t="str">
            <v>BASEKETBALL</v>
          </cell>
          <cell r="B59" t="str">
            <v>09810</v>
          </cell>
          <cell r="C59" t="str">
            <v>07/31/98</v>
          </cell>
          <cell r="D59" t="str">
            <v>Comedy</v>
          </cell>
          <cell r="E59" t="str">
            <v>Portfolio</v>
          </cell>
          <cell r="F59">
            <v>17900</v>
          </cell>
          <cell r="G59">
            <v>1300</v>
          </cell>
          <cell r="H59">
            <v>5000</v>
          </cell>
          <cell r="I59">
            <v>100</v>
          </cell>
          <cell r="J59">
            <v>500</v>
          </cell>
          <cell r="K59">
            <v>200</v>
          </cell>
          <cell r="L59">
            <v>22600</v>
          </cell>
          <cell r="M59">
            <v>6700</v>
          </cell>
          <cell r="N59">
            <v>6700</v>
          </cell>
          <cell r="O59">
            <v>200</v>
          </cell>
          <cell r="P59">
            <v>1400</v>
          </cell>
          <cell r="Q59">
            <v>500</v>
          </cell>
          <cell r="R59">
            <v>5200</v>
          </cell>
          <cell r="S59">
            <v>5000</v>
          </cell>
          <cell r="T59">
            <v>1500</v>
          </cell>
          <cell r="U59">
            <v>4000</v>
          </cell>
          <cell r="V59">
            <v>0</v>
          </cell>
          <cell r="W59">
            <v>78800</v>
          </cell>
          <cell r="X59">
            <v>25100</v>
          </cell>
          <cell r="Y59">
            <v>3800</v>
          </cell>
          <cell r="Z59">
            <v>2300</v>
          </cell>
          <cell r="AA59">
            <v>1300</v>
          </cell>
          <cell r="AB59">
            <v>15000</v>
          </cell>
          <cell r="AC59">
            <v>5500</v>
          </cell>
          <cell r="AD59">
            <v>2300</v>
          </cell>
          <cell r="AE59">
            <v>6800</v>
          </cell>
          <cell r="AF59">
            <v>4400</v>
          </cell>
          <cell r="AG59">
            <v>1100</v>
          </cell>
          <cell r="AH59">
            <v>3000</v>
          </cell>
          <cell r="AI59">
            <v>1000</v>
          </cell>
          <cell r="AJ59">
            <v>1000</v>
          </cell>
          <cell r="AK59">
            <v>700</v>
          </cell>
          <cell r="AL59">
            <v>73300</v>
          </cell>
          <cell r="AM59">
            <v>5500</v>
          </cell>
          <cell r="AN59">
            <v>5500</v>
          </cell>
          <cell r="AO59">
            <v>0</v>
          </cell>
          <cell r="AP59" t="str">
            <v>BASEKETBALL</v>
          </cell>
          <cell r="AQ59">
            <v>43800</v>
          </cell>
          <cell r="AR59" t="str">
            <v>BASEKETBALL</v>
          </cell>
          <cell r="AS59">
            <v>43800</v>
          </cell>
          <cell r="AT59">
            <v>7.0000000000000007E-2</v>
          </cell>
          <cell r="AU59">
            <v>3057</v>
          </cell>
          <cell r="AV59">
            <v>17954</v>
          </cell>
          <cell r="AW59">
            <v>20500</v>
          </cell>
          <cell r="AX59">
            <v>0</v>
          </cell>
          <cell r="AY59">
            <v>2920</v>
          </cell>
          <cell r="AZ59">
            <v>0</v>
          </cell>
          <cell r="BA59">
            <v>23420</v>
          </cell>
          <cell r="BB59">
            <v>-5466</v>
          </cell>
          <cell r="BC59">
            <v>0</v>
          </cell>
          <cell r="BD59">
            <v>-5466</v>
          </cell>
          <cell r="BE59">
            <v>-8523</v>
          </cell>
          <cell r="BF59">
            <v>0</v>
          </cell>
        </row>
        <row r="60">
          <cell r="A60" t="str">
            <v>VIRUS</v>
          </cell>
          <cell r="B60" t="str">
            <v>09811</v>
          </cell>
          <cell r="C60" t="str">
            <v>08/14/98</v>
          </cell>
          <cell r="D60" t="str">
            <v>SciFi / Thriller</v>
          </cell>
          <cell r="E60" t="str">
            <v>Portfolio Plus</v>
          </cell>
          <cell r="F60">
            <v>7900</v>
          </cell>
          <cell r="G60">
            <v>600</v>
          </cell>
          <cell r="H60">
            <v>1300</v>
          </cell>
          <cell r="I60">
            <v>100</v>
          </cell>
          <cell r="J60">
            <v>300</v>
          </cell>
          <cell r="K60">
            <v>100</v>
          </cell>
          <cell r="L60">
            <v>17500</v>
          </cell>
          <cell r="M60">
            <v>1700</v>
          </cell>
          <cell r="N60">
            <v>3600</v>
          </cell>
          <cell r="O60">
            <v>200</v>
          </cell>
          <cell r="P60">
            <v>1000</v>
          </cell>
          <cell r="Q60">
            <v>0</v>
          </cell>
          <cell r="R60">
            <v>0</v>
          </cell>
          <cell r="S60">
            <v>0</v>
          </cell>
          <cell r="T60">
            <v>600</v>
          </cell>
          <cell r="U60">
            <v>0</v>
          </cell>
          <cell r="V60">
            <v>0</v>
          </cell>
          <cell r="W60">
            <v>34900</v>
          </cell>
          <cell r="X60">
            <v>37600</v>
          </cell>
          <cell r="Y60">
            <v>14400</v>
          </cell>
          <cell r="Z60">
            <v>3600</v>
          </cell>
          <cell r="AA60">
            <v>200</v>
          </cell>
          <cell r="AB60">
            <v>12300</v>
          </cell>
          <cell r="AC60">
            <v>5000</v>
          </cell>
          <cell r="AD60">
            <v>600</v>
          </cell>
          <cell r="AE60">
            <v>11400</v>
          </cell>
          <cell r="AF60">
            <v>1000</v>
          </cell>
          <cell r="AG60">
            <v>900</v>
          </cell>
          <cell r="AH60">
            <v>2600</v>
          </cell>
          <cell r="AI60">
            <v>300</v>
          </cell>
          <cell r="AJ60">
            <v>200</v>
          </cell>
          <cell r="AK60">
            <v>600</v>
          </cell>
          <cell r="AL60">
            <v>90700</v>
          </cell>
          <cell r="AM60">
            <v>-55800</v>
          </cell>
          <cell r="AN60">
            <v>-55800</v>
          </cell>
          <cell r="AO60">
            <v>0</v>
          </cell>
          <cell r="AP60" t="str">
            <v>VIRUS</v>
          </cell>
          <cell r="AQ60">
            <v>27200</v>
          </cell>
          <cell r="AR60" t="str">
            <v>VIRUS</v>
          </cell>
          <cell r="AS60">
            <v>27200</v>
          </cell>
          <cell r="AT60">
            <v>0</v>
          </cell>
          <cell r="AU60">
            <v>-55800</v>
          </cell>
          <cell r="AV60">
            <v>-35100</v>
          </cell>
          <cell r="AW60">
            <v>17300</v>
          </cell>
          <cell r="AX60">
            <v>600</v>
          </cell>
          <cell r="AY60">
            <v>2139</v>
          </cell>
          <cell r="AZ60">
            <v>200</v>
          </cell>
          <cell r="BA60">
            <v>20239</v>
          </cell>
          <cell r="BB60">
            <v>-55339</v>
          </cell>
          <cell r="BC60">
            <v>0</v>
          </cell>
          <cell r="BD60">
            <v>-55339</v>
          </cell>
          <cell r="BE60">
            <v>461</v>
          </cell>
          <cell r="BF60">
            <v>7744</v>
          </cell>
        </row>
        <row r="61">
          <cell r="A61" t="str">
            <v>ONE TRUE THING</v>
          </cell>
          <cell r="B61" t="str">
            <v>03948</v>
          </cell>
          <cell r="C61" t="str">
            <v>09/18/98</v>
          </cell>
          <cell r="D61" t="str">
            <v>Melodrama</v>
          </cell>
          <cell r="E61" t="str">
            <v>Portfolio</v>
          </cell>
          <cell r="F61">
            <v>9500</v>
          </cell>
          <cell r="G61">
            <v>700</v>
          </cell>
          <cell r="H61">
            <v>7400</v>
          </cell>
          <cell r="I61">
            <v>100</v>
          </cell>
          <cell r="J61">
            <v>500</v>
          </cell>
          <cell r="K61">
            <v>200</v>
          </cell>
          <cell r="L61">
            <v>14900</v>
          </cell>
          <cell r="M61">
            <v>8900</v>
          </cell>
          <cell r="N61">
            <v>4200</v>
          </cell>
          <cell r="O61">
            <v>200</v>
          </cell>
          <cell r="P61">
            <v>1000</v>
          </cell>
          <cell r="Q61">
            <v>500</v>
          </cell>
          <cell r="R61">
            <v>5200</v>
          </cell>
          <cell r="S61">
            <v>3000</v>
          </cell>
          <cell r="T61">
            <v>1500</v>
          </cell>
          <cell r="U61">
            <v>4000</v>
          </cell>
          <cell r="V61">
            <v>0</v>
          </cell>
          <cell r="W61">
            <v>61800</v>
          </cell>
          <cell r="X61">
            <v>32900</v>
          </cell>
          <cell r="Y61">
            <v>5000</v>
          </cell>
          <cell r="Z61">
            <v>1800</v>
          </cell>
          <cell r="AA61">
            <v>1200</v>
          </cell>
          <cell r="AB61">
            <v>12000</v>
          </cell>
          <cell r="AC61">
            <v>3800</v>
          </cell>
          <cell r="AD61">
            <v>4000</v>
          </cell>
          <cell r="AE61">
            <v>0</v>
          </cell>
          <cell r="AF61">
            <v>2100</v>
          </cell>
          <cell r="AG61">
            <v>700</v>
          </cell>
          <cell r="AH61">
            <v>2100</v>
          </cell>
          <cell r="AI61">
            <v>1400</v>
          </cell>
          <cell r="AJ61">
            <v>1300</v>
          </cell>
          <cell r="AK61">
            <v>800</v>
          </cell>
          <cell r="AL61">
            <v>69100</v>
          </cell>
          <cell r="AM61">
            <v>-7300</v>
          </cell>
          <cell r="AN61">
            <v>-7300</v>
          </cell>
          <cell r="AO61">
            <v>0</v>
          </cell>
          <cell r="AP61" t="str">
            <v>ONE TRUE THING</v>
          </cell>
          <cell r="AQ61">
            <v>43100</v>
          </cell>
          <cell r="AR61" t="str">
            <v>ONE TRUE THING</v>
          </cell>
          <cell r="AS61">
            <v>43100</v>
          </cell>
          <cell r="AT61">
            <v>0</v>
          </cell>
          <cell r="AU61">
            <v>-7300</v>
          </cell>
          <cell r="AV61">
            <v>11089</v>
          </cell>
          <cell r="AW61">
            <v>15800</v>
          </cell>
          <cell r="AX61">
            <v>4000</v>
          </cell>
          <cell r="AY61">
            <v>2100</v>
          </cell>
          <cell r="AZ61">
            <v>1300</v>
          </cell>
          <cell r="BA61">
            <v>23200</v>
          </cell>
          <cell r="BB61">
            <v>-12111</v>
          </cell>
          <cell r="BC61">
            <v>0</v>
          </cell>
          <cell r="BD61">
            <v>-12111</v>
          </cell>
          <cell r="BE61">
            <v>-4811</v>
          </cell>
          <cell r="BF61">
            <v>0</v>
          </cell>
        </row>
        <row r="62">
          <cell r="A62" t="str">
            <v>ROCKET BOYS</v>
          </cell>
          <cell r="B62" t="str">
            <v>03961</v>
          </cell>
          <cell r="C62" t="str">
            <v>10/02/98</v>
          </cell>
          <cell r="D62" t="str">
            <v>Drama</v>
          </cell>
          <cell r="E62" t="str">
            <v>Portfolio</v>
          </cell>
          <cell r="F62">
            <v>4200</v>
          </cell>
          <cell r="G62">
            <v>300</v>
          </cell>
          <cell r="H62">
            <v>5000</v>
          </cell>
          <cell r="I62">
            <v>100</v>
          </cell>
          <cell r="J62">
            <v>300</v>
          </cell>
          <cell r="K62">
            <v>100</v>
          </cell>
          <cell r="L62">
            <v>9900</v>
          </cell>
          <cell r="M62">
            <v>6700</v>
          </cell>
          <cell r="N62">
            <v>2100</v>
          </cell>
          <cell r="O62">
            <v>200</v>
          </cell>
          <cell r="P62">
            <v>0</v>
          </cell>
          <cell r="Q62">
            <v>700</v>
          </cell>
          <cell r="R62">
            <v>5200</v>
          </cell>
          <cell r="S62">
            <v>0</v>
          </cell>
          <cell r="T62">
            <v>600</v>
          </cell>
          <cell r="U62">
            <v>4000</v>
          </cell>
          <cell r="V62">
            <v>0</v>
          </cell>
          <cell r="W62">
            <v>39400</v>
          </cell>
          <cell r="X62">
            <v>24300</v>
          </cell>
          <cell r="Y62">
            <v>3700</v>
          </cell>
          <cell r="Z62">
            <v>1500</v>
          </cell>
          <cell r="AA62">
            <v>1400</v>
          </cell>
          <cell r="AB62">
            <v>11000</v>
          </cell>
          <cell r="AC62">
            <v>4200</v>
          </cell>
          <cell r="AD62">
            <v>3800</v>
          </cell>
          <cell r="AE62">
            <v>0</v>
          </cell>
          <cell r="AF62">
            <v>1400</v>
          </cell>
          <cell r="AG62">
            <v>500</v>
          </cell>
          <cell r="AH62">
            <v>1600</v>
          </cell>
          <cell r="AI62">
            <v>1700</v>
          </cell>
          <cell r="AJ62">
            <v>1100</v>
          </cell>
          <cell r="AK62">
            <v>700</v>
          </cell>
          <cell r="AL62">
            <v>56900</v>
          </cell>
          <cell r="AM62">
            <v>-17500</v>
          </cell>
          <cell r="AN62">
            <v>-17500</v>
          </cell>
          <cell r="AO62">
            <v>0</v>
          </cell>
          <cell r="AP62" t="str">
            <v>ROCKET BOYS</v>
          </cell>
          <cell r="AQ62">
            <v>20100</v>
          </cell>
          <cell r="AR62" t="str">
            <v>ROCKET BOYS</v>
          </cell>
          <cell r="AS62">
            <v>20100</v>
          </cell>
          <cell r="AT62">
            <v>0</v>
          </cell>
          <cell r="AU62">
            <v>-17500</v>
          </cell>
          <cell r="AV62">
            <v>2143</v>
          </cell>
          <cell r="AW62">
            <v>15200</v>
          </cell>
          <cell r="AX62">
            <v>3800</v>
          </cell>
          <cell r="AY62">
            <v>1600</v>
          </cell>
          <cell r="AZ62">
            <v>0</v>
          </cell>
          <cell r="BA62">
            <v>20600</v>
          </cell>
          <cell r="BB62">
            <v>-18457</v>
          </cell>
          <cell r="BC62">
            <v>0</v>
          </cell>
          <cell r="BD62">
            <v>-18457</v>
          </cell>
          <cell r="BE62">
            <v>-957</v>
          </cell>
          <cell r="BF62">
            <v>0</v>
          </cell>
        </row>
        <row r="63">
          <cell r="A63" t="str">
            <v>BRIDE OF CHUCKY</v>
          </cell>
          <cell r="B63" t="str">
            <v>03963</v>
          </cell>
          <cell r="C63" t="str">
            <v>10/23/98</v>
          </cell>
          <cell r="D63" t="str">
            <v>Black Comedy / Horror</v>
          </cell>
          <cell r="E63" t="str">
            <v>Portfolio</v>
          </cell>
          <cell r="F63">
            <v>9000</v>
          </cell>
          <cell r="G63">
            <v>700</v>
          </cell>
          <cell r="H63">
            <v>0</v>
          </cell>
          <cell r="I63">
            <v>100</v>
          </cell>
          <cell r="J63">
            <v>100</v>
          </cell>
          <cell r="K63">
            <v>100</v>
          </cell>
          <cell r="L63">
            <v>14100</v>
          </cell>
          <cell r="M63">
            <v>0</v>
          </cell>
          <cell r="N63">
            <v>4000</v>
          </cell>
          <cell r="O63">
            <v>200</v>
          </cell>
          <cell r="P63">
            <v>1000</v>
          </cell>
          <cell r="Q63">
            <v>100</v>
          </cell>
          <cell r="R63">
            <v>0</v>
          </cell>
          <cell r="S63">
            <v>3000</v>
          </cell>
          <cell r="T63">
            <v>1500</v>
          </cell>
          <cell r="U63">
            <v>0</v>
          </cell>
          <cell r="V63">
            <v>0</v>
          </cell>
          <cell r="W63">
            <v>33900</v>
          </cell>
          <cell r="X63">
            <v>10200</v>
          </cell>
          <cell r="Y63">
            <v>3100</v>
          </cell>
          <cell r="Z63">
            <v>1800</v>
          </cell>
          <cell r="AA63">
            <v>0</v>
          </cell>
          <cell r="AB63">
            <v>11000</v>
          </cell>
          <cell r="AC63">
            <v>4500</v>
          </cell>
          <cell r="AD63">
            <v>0</v>
          </cell>
          <cell r="AE63">
            <v>900</v>
          </cell>
          <cell r="AF63">
            <v>900</v>
          </cell>
          <cell r="AG63">
            <v>700</v>
          </cell>
          <cell r="AH63">
            <v>2100</v>
          </cell>
          <cell r="AI63">
            <v>0</v>
          </cell>
          <cell r="AJ63">
            <v>0</v>
          </cell>
          <cell r="AK63">
            <v>500</v>
          </cell>
          <cell r="AL63">
            <v>35700</v>
          </cell>
          <cell r="AM63">
            <v>-1800</v>
          </cell>
          <cell r="AN63">
            <v>-1800</v>
          </cell>
          <cell r="AO63">
            <v>0</v>
          </cell>
          <cell r="AP63" t="str">
            <v>BRIDE OF CHUCKY</v>
          </cell>
          <cell r="AQ63">
            <v>20100</v>
          </cell>
          <cell r="AR63" t="str">
            <v>BRIDE OF CHUCKY</v>
          </cell>
          <cell r="AS63">
            <v>20100</v>
          </cell>
          <cell r="AT63">
            <v>0</v>
          </cell>
          <cell r="AU63">
            <v>-1800</v>
          </cell>
          <cell r="AV63">
            <v>9368</v>
          </cell>
          <cell r="AW63">
            <v>15500</v>
          </cell>
          <cell r="AX63">
            <v>0</v>
          </cell>
          <cell r="AY63">
            <v>1549</v>
          </cell>
          <cell r="AZ63">
            <v>0</v>
          </cell>
          <cell r="BA63">
            <v>17049</v>
          </cell>
          <cell r="BB63">
            <v>-7681</v>
          </cell>
          <cell r="BC63">
            <v>0</v>
          </cell>
          <cell r="BD63">
            <v>-7681</v>
          </cell>
          <cell r="BE63">
            <v>-5881</v>
          </cell>
          <cell r="BF63">
            <v>0</v>
          </cell>
        </row>
        <row r="64">
          <cell r="A64" t="str">
            <v>MEET JOE BLACK</v>
          </cell>
          <cell r="B64" t="str">
            <v>03898</v>
          </cell>
          <cell r="C64" t="str">
            <v>11/13/98</v>
          </cell>
          <cell r="D64" t="str">
            <v>Drama / Fantasy / Romance</v>
          </cell>
          <cell r="E64" t="str">
            <v>Blue Chip</v>
          </cell>
          <cell r="F64">
            <v>45100</v>
          </cell>
          <cell r="G64">
            <v>3400</v>
          </cell>
          <cell r="H64">
            <v>75000</v>
          </cell>
          <cell r="I64">
            <v>200</v>
          </cell>
          <cell r="J64">
            <v>1000</v>
          </cell>
          <cell r="K64">
            <v>300</v>
          </cell>
          <cell r="L64">
            <v>40200</v>
          </cell>
          <cell r="M64">
            <v>40000</v>
          </cell>
          <cell r="N64">
            <v>10000</v>
          </cell>
          <cell r="O64">
            <v>400</v>
          </cell>
          <cell r="P64">
            <v>2400</v>
          </cell>
          <cell r="Q64">
            <v>400</v>
          </cell>
          <cell r="R64">
            <v>12000</v>
          </cell>
          <cell r="S64">
            <v>9000</v>
          </cell>
          <cell r="T64">
            <v>5000</v>
          </cell>
          <cell r="U64">
            <v>16000</v>
          </cell>
          <cell r="V64">
            <v>0</v>
          </cell>
          <cell r="W64">
            <v>260400</v>
          </cell>
          <cell r="X64">
            <v>96800</v>
          </cell>
          <cell r="Y64">
            <v>16100</v>
          </cell>
          <cell r="Z64">
            <v>4000</v>
          </cell>
          <cell r="AA64">
            <v>7000</v>
          </cell>
          <cell r="AB64">
            <v>25000</v>
          </cell>
          <cell r="AC64">
            <v>7500</v>
          </cell>
          <cell r="AD64">
            <v>23000</v>
          </cell>
          <cell r="AE64">
            <v>24600</v>
          </cell>
          <cell r="AF64">
            <v>7700</v>
          </cell>
          <cell r="AG64">
            <v>1600</v>
          </cell>
          <cell r="AH64">
            <v>4600</v>
          </cell>
          <cell r="AI64">
            <v>7100</v>
          </cell>
          <cell r="AJ64">
            <v>6500</v>
          </cell>
          <cell r="AK64">
            <v>3500</v>
          </cell>
          <cell r="AL64">
            <v>235000</v>
          </cell>
          <cell r="AM64">
            <v>25400</v>
          </cell>
          <cell r="AN64">
            <v>25400</v>
          </cell>
          <cell r="AO64">
            <v>0</v>
          </cell>
          <cell r="AP64" t="str">
            <v>MEET JOE BLACK</v>
          </cell>
          <cell r="AQ64">
            <v>168900</v>
          </cell>
          <cell r="AR64" t="str">
            <v>MEET JOE BLACK</v>
          </cell>
          <cell r="AS64">
            <v>168900</v>
          </cell>
          <cell r="AT64">
            <v>9.7555555555555562E-2</v>
          </cell>
          <cell r="AU64">
            <v>16475</v>
          </cell>
          <cell r="AV64">
            <v>59673</v>
          </cell>
          <cell r="AW64">
            <v>32500</v>
          </cell>
          <cell r="AX64">
            <v>23000</v>
          </cell>
          <cell r="AY64">
            <v>3959</v>
          </cell>
          <cell r="AZ64">
            <v>1430</v>
          </cell>
          <cell r="BA64">
            <v>60889</v>
          </cell>
          <cell r="BB64">
            <v>-1216</v>
          </cell>
          <cell r="BC64">
            <v>0</v>
          </cell>
          <cell r="BD64">
            <v>-1216</v>
          </cell>
          <cell r="BE64">
            <v>-17691</v>
          </cell>
          <cell r="BF64">
            <v>0</v>
          </cell>
        </row>
        <row r="65">
          <cell r="A65" t="str">
            <v>BABE PIG IN THE CITY</v>
          </cell>
          <cell r="B65" t="str">
            <v>03894</v>
          </cell>
          <cell r="C65" t="str">
            <v>11/25/98</v>
          </cell>
          <cell r="D65" t="str">
            <v>Family</v>
          </cell>
          <cell r="E65" t="str">
            <v>CBAM</v>
          </cell>
          <cell r="F65">
            <v>40500</v>
          </cell>
          <cell r="G65">
            <v>3100</v>
          </cell>
          <cell r="H65">
            <v>67500</v>
          </cell>
          <cell r="I65">
            <v>200</v>
          </cell>
          <cell r="J65">
            <v>1000</v>
          </cell>
          <cell r="K65">
            <v>200</v>
          </cell>
          <cell r="L65">
            <v>149000</v>
          </cell>
          <cell r="M65">
            <v>97000</v>
          </cell>
          <cell r="N65">
            <v>9700</v>
          </cell>
          <cell r="O65">
            <v>400</v>
          </cell>
          <cell r="P65">
            <v>2400</v>
          </cell>
          <cell r="Q65">
            <v>-200</v>
          </cell>
          <cell r="R65">
            <v>14700</v>
          </cell>
          <cell r="S65">
            <v>7000</v>
          </cell>
          <cell r="T65">
            <v>5000</v>
          </cell>
          <cell r="U65">
            <v>14000</v>
          </cell>
          <cell r="V65">
            <v>9400</v>
          </cell>
          <cell r="W65">
            <v>420900</v>
          </cell>
          <cell r="X65">
            <v>83300</v>
          </cell>
          <cell r="Y65">
            <v>13300</v>
          </cell>
          <cell r="Z65">
            <v>4000</v>
          </cell>
          <cell r="AA65">
            <v>6500</v>
          </cell>
          <cell r="AB65">
            <v>26000</v>
          </cell>
          <cell r="AC65">
            <v>8500</v>
          </cell>
          <cell r="AD65">
            <v>21200</v>
          </cell>
          <cell r="AE65">
            <v>41000</v>
          </cell>
          <cell r="AF65">
            <v>600</v>
          </cell>
          <cell r="AG65">
            <v>27900</v>
          </cell>
          <cell r="AH65">
            <v>31400</v>
          </cell>
          <cell r="AI65">
            <v>21900</v>
          </cell>
          <cell r="AJ65">
            <v>20200</v>
          </cell>
          <cell r="AK65">
            <v>3200</v>
          </cell>
          <cell r="AL65">
            <v>309000</v>
          </cell>
          <cell r="AM65">
            <v>111900</v>
          </cell>
          <cell r="AN65">
            <v>111900</v>
          </cell>
          <cell r="AO65">
            <v>0</v>
          </cell>
          <cell r="AP65" t="str">
            <v>BABE PIG IN THE CITY</v>
          </cell>
          <cell r="AQ65">
            <v>263500</v>
          </cell>
          <cell r="AR65" t="str">
            <v>BABE PIG IN THE CITY</v>
          </cell>
          <cell r="AS65">
            <v>263500</v>
          </cell>
          <cell r="AT65">
            <v>0.26593749999999999</v>
          </cell>
          <cell r="AU65">
            <v>70054</v>
          </cell>
          <cell r="AV65">
            <v>137228</v>
          </cell>
          <cell r="AW65">
            <v>34500</v>
          </cell>
          <cell r="AX65">
            <v>21200</v>
          </cell>
          <cell r="AY65">
            <v>30072</v>
          </cell>
          <cell r="AZ65">
            <v>375</v>
          </cell>
          <cell r="BA65">
            <v>86147</v>
          </cell>
          <cell r="BB65">
            <v>51081</v>
          </cell>
          <cell r="BC65">
            <v>0</v>
          </cell>
          <cell r="BD65">
            <v>51081</v>
          </cell>
          <cell r="BE65">
            <v>-18973</v>
          </cell>
          <cell r="BF65">
            <v>0</v>
          </cell>
        </row>
        <row r="66">
          <cell r="A66" t="str">
            <v>PATCH ADAMS</v>
          </cell>
          <cell r="B66" t="str">
            <v>03951</v>
          </cell>
          <cell r="C66" t="str">
            <v>12/25/98</v>
          </cell>
          <cell r="D66" t="str">
            <v>Comedy</v>
          </cell>
          <cell r="E66" t="str">
            <v>Blue Chip</v>
          </cell>
          <cell r="F66">
            <v>45100</v>
          </cell>
          <cell r="G66">
            <v>3400</v>
          </cell>
          <cell r="H66">
            <v>37500</v>
          </cell>
          <cell r="I66">
            <v>200</v>
          </cell>
          <cell r="J66">
            <v>1000</v>
          </cell>
          <cell r="K66">
            <v>300</v>
          </cell>
          <cell r="L66">
            <v>38700</v>
          </cell>
          <cell r="M66">
            <v>28000</v>
          </cell>
          <cell r="N66">
            <v>10000</v>
          </cell>
          <cell r="O66">
            <v>400</v>
          </cell>
          <cell r="P66">
            <v>2400</v>
          </cell>
          <cell r="Q66">
            <v>0</v>
          </cell>
          <cell r="R66">
            <v>7200</v>
          </cell>
          <cell r="S66">
            <v>10000</v>
          </cell>
          <cell r="T66">
            <v>5000</v>
          </cell>
          <cell r="U66">
            <v>11000</v>
          </cell>
          <cell r="V66">
            <v>0</v>
          </cell>
          <cell r="W66">
            <v>200200</v>
          </cell>
          <cell r="X66">
            <v>72400</v>
          </cell>
          <cell r="Y66">
            <v>10900</v>
          </cell>
          <cell r="Z66">
            <v>4300</v>
          </cell>
          <cell r="AA66">
            <v>5000</v>
          </cell>
          <cell r="AB66">
            <v>25000</v>
          </cell>
          <cell r="AC66">
            <v>7800</v>
          </cell>
          <cell r="AD66">
            <v>11300</v>
          </cell>
          <cell r="AE66">
            <v>9800</v>
          </cell>
          <cell r="AF66">
            <v>8900</v>
          </cell>
          <cell r="AG66">
            <v>1700</v>
          </cell>
          <cell r="AH66">
            <v>5000</v>
          </cell>
          <cell r="AI66">
            <v>4500</v>
          </cell>
          <cell r="AJ66">
            <v>4100</v>
          </cell>
          <cell r="AK66">
            <v>2000</v>
          </cell>
          <cell r="AL66">
            <v>172700</v>
          </cell>
          <cell r="AM66">
            <v>27500</v>
          </cell>
          <cell r="AN66">
            <v>27500</v>
          </cell>
          <cell r="AO66">
            <v>0</v>
          </cell>
          <cell r="AP66" t="str">
            <v>PATCH ADAMS</v>
          </cell>
          <cell r="AQ66">
            <v>120400</v>
          </cell>
          <cell r="AR66" t="str">
            <v>PATCH ADAMS</v>
          </cell>
          <cell r="AS66">
            <v>120400</v>
          </cell>
          <cell r="AT66">
            <v>0.13734597156398104</v>
          </cell>
          <cell r="AU66">
            <v>16538</v>
          </cell>
          <cell r="AV66">
            <v>48533</v>
          </cell>
          <cell r="AW66">
            <v>32800</v>
          </cell>
          <cell r="AX66">
            <v>10577</v>
          </cell>
          <cell r="AY66">
            <v>4496</v>
          </cell>
          <cell r="AZ66">
            <v>0</v>
          </cell>
          <cell r="BA66">
            <v>47873</v>
          </cell>
          <cell r="BB66">
            <v>660</v>
          </cell>
          <cell r="BC66">
            <v>0</v>
          </cell>
          <cell r="BD66">
            <v>660</v>
          </cell>
          <cell r="BE66">
            <v>-15878</v>
          </cell>
          <cell r="BF66">
            <v>0</v>
          </cell>
        </row>
        <row r="67">
          <cell r="A67" t="str">
            <v>SNOW FALLING ON CEDARS</v>
          </cell>
          <cell r="B67" t="str">
            <v>03946</v>
          </cell>
          <cell r="C67" t="str">
            <v>01/08/99</v>
          </cell>
          <cell r="D67" t="str">
            <v>Drama</v>
          </cell>
          <cell r="E67" t="str">
            <v>Portfolio Plus</v>
          </cell>
          <cell r="F67">
            <v>17900</v>
          </cell>
          <cell r="G67">
            <v>1400</v>
          </cell>
          <cell r="H67">
            <v>20000</v>
          </cell>
          <cell r="I67">
            <v>100</v>
          </cell>
          <cell r="J67">
            <v>500</v>
          </cell>
          <cell r="K67">
            <v>100</v>
          </cell>
          <cell r="L67">
            <v>22600</v>
          </cell>
          <cell r="M67">
            <v>17900</v>
          </cell>
          <cell r="N67">
            <v>6700</v>
          </cell>
          <cell r="O67">
            <v>200</v>
          </cell>
          <cell r="P67">
            <v>1400</v>
          </cell>
          <cell r="Q67">
            <v>200</v>
          </cell>
          <cell r="R67">
            <v>6100</v>
          </cell>
          <cell r="S67">
            <v>5000</v>
          </cell>
          <cell r="T67">
            <v>1500</v>
          </cell>
          <cell r="U67">
            <v>8000</v>
          </cell>
          <cell r="V67">
            <v>0</v>
          </cell>
          <cell r="W67">
            <v>109600</v>
          </cell>
          <cell r="X67">
            <v>44700</v>
          </cell>
          <cell r="Y67">
            <v>6700</v>
          </cell>
          <cell r="Z67">
            <v>2600</v>
          </cell>
          <cell r="AA67">
            <v>2800</v>
          </cell>
          <cell r="AB67">
            <v>15000</v>
          </cell>
          <cell r="AC67">
            <v>5000</v>
          </cell>
          <cell r="AD67">
            <v>7500</v>
          </cell>
          <cell r="AE67">
            <v>0</v>
          </cell>
          <cell r="AF67">
            <v>4000</v>
          </cell>
          <cell r="AG67">
            <v>1000</v>
          </cell>
          <cell r="AH67">
            <v>3000</v>
          </cell>
          <cell r="AI67">
            <v>2800</v>
          </cell>
          <cell r="AJ67">
            <v>2600</v>
          </cell>
          <cell r="AK67">
            <v>1300</v>
          </cell>
          <cell r="AL67">
            <v>99000</v>
          </cell>
          <cell r="AM67">
            <v>10600</v>
          </cell>
          <cell r="AN67">
            <v>10600</v>
          </cell>
          <cell r="AO67">
            <v>0</v>
          </cell>
          <cell r="AP67" t="str">
            <v>SNOW FALLING ON CEDARS</v>
          </cell>
          <cell r="AQ67">
            <v>60400</v>
          </cell>
          <cell r="AR67" t="str">
            <v>SNOW FALLING ON CEDARS</v>
          </cell>
          <cell r="AS67">
            <v>60400</v>
          </cell>
          <cell r="AT67">
            <v>9.6739926739926735E-2</v>
          </cell>
          <cell r="AU67">
            <v>5842</v>
          </cell>
          <cell r="AV67">
            <v>24083</v>
          </cell>
          <cell r="AW67">
            <v>20000</v>
          </cell>
          <cell r="AX67">
            <v>7013</v>
          </cell>
          <cell r="AY67">
            <v>2920</v>
          </cell>
          <cell r="AZ67">
            <v>0</v>
          </cell>
          <cell r="BA67">
            <v>29933</v>
          </cell>
          <cell r="BB67">
            <v>-5850</v>
          </cell>
          <cell r="BC67">
            <v>0</v>
          </cell>
          <cell r="BD67">
            <v>-5850</v>
          </cell>
          <cell r="BE67">
            <v>-11692</v>
          </cell>
          <cell r="BF67">
            <v>0</v>
          </cell>
        </row>
        <row r="68">
          <cell r="A68" t="str">
            <v>NEW JERSEY TURNPIKES</v>
          </cell>
          <cell r="B68" t="str">
            <v>03967</v>
          </cell>
          <cell r="C68" t="str">
            <v>05/01/99</v>
          </cell>
          <cell r="D68" t="str">
            <v>Comedy</v>
          </cell>
          <cell r="E68" t="str">
            <v>Portfolio</v>
          </cell>
          <cell r="F68">
            <v>7000</v>
          </cell>
          <cell r="G68">
            <v>500</v>
          </cell>
          <cell r="H68">
            <v>0</v>
          </cell>
          <cell r="I68">
            <v>100</v>
          </cell>
          <cell r="J68">
            <v>300</v>
          </cell>
          <cell r="K68">
            <v>100</v>
          </cell>
          <cell r="L68">
            <v>12400</v>
          </cell>
          <cell r="M68">
            <v>0</v>
          </cell>
          <cell r="N68">
            <v>3300</v>
          </cell>
          <cell r="O68">
            <v>200</v>
          </cell>
          <cell r="P68">
            <v>1000</v>
          </cell>
          <cell r="Q68">
            <v>-200</v>
          </cell>
          <cell r="R68">
            <v>0</v>
          </cell>
          <cell r="S68">
            <v>1800</v>
          </cell>
          <cell r="T68">
            <v>1100</v>
          </cell>
          <cell r="U68">
            <v>0</v>
          </cell>
          <cell r="V68">
            <v>0</v>
          </cell>
          <cell r="W68">
            <v>27600</v>
          </cell>
          <cell r="X68">
            <v>5200</v>
          </cell>
          <cell r="Y68">
            <v>1600</v>
          </cell>
          <cell r="Z68">
            <v>1700</v>
          </cell>
          <cell r="AA68">
            <v>0</v>
          </cell>
          <cell r="AB68">
            <v>10000</v>
          </cell>
          <cell r="AC68">
            <v>3500</v>
          </cell>
          <cell r="AD68">
            <v>0</v>
          </cell>
          <cell r="AE68">
            <v>0</v>
          </cell>
          <cell r="AF68">
            <v>800</v>
          </cell>
          <cell r="AG68">
            <v>600</v>
          </cell>
          <cell r="AH68">
            <v>1900</v>
          </cell>
          <cell r="AI68">
            <v>0</v>
          </cell>
          <cell r="AJ68">
            <v>0</v>
          </cell>
          <cell r="AK68">
            <v>500</v>
          </cell>
          <cell r="AL68">
            <v>25800</v>
          </cell>
          <cell r="AM68">
            <v>1800</v>
          </cell>
          <cell r="AN68">
            <v>1800</v>
          </cell>
          <cell r="AO68">
            <v>0</v>
          </cell>
          <cell r="AP68" t="str">
            <v>NEW JERSEY TURNPIKES</v>
          </cell>
          <cell r="AQ68">
            <v>7100</v>
          </cell>
          <cell r="AR68" t="str">
            <v>NEW JERSEY TURNPIKES</v>
          </cell>
          <cell r="AS68">
            <v>7100</v>
          </cell>
          <cell r="AT68">
            <v>6.5211267605633796E-2</v>
          </cell>
          <cell r="AU68">
            <v>463</v>
          </cell>
          <cell r="AV68">
            <v>4425</v>
          </cell>
          <cell r="AW68">
            <v>12780</v>
          </cell>
          <cell r="AX68">
            <v>0</v>
          </cell>
          <cell r="AY68">
            <v>0</v>
          </cell>
          <cell r="AZ68">
            <v>0</v>
          </cell>
          <cell r="BA68">
            <v>12780</v>
          </cell>
          <cell r="BB68">
            <v>-8355</v>
          </cell>
          <cell r="BC68">
            <v>0</v>
          </cell>
          <cell r="BD68">
            <v>-8355</v>
          </cell>
          <cell r="BE68">
            <v>-8818</v>
          </cell>
          <cell r="BF68">
            <v>0</v>
          </cell>
        </row>
        <row r="69">
          <cell r="A69" t="str">
            <v>LIFE</v>
          </cell>
          <cell r="B69" t="str">
            <v>03950</v>
          </cell>
          <cell r="C69" t="str">
            <v>02/12/99</v>
          </cell>
          <cell r="D69" t="str">
            <v>Comedy / Drama</v>
          </cell>
          <cell r="E69" t="str">
            <v>Blue Chip</v>
          </cell>
          <cell r="F69">
            <v>17900</v>
          </cell>
          <cell r="G69">
            <v>1400</v>
          </cell>
          <cell r="H69">
            <v>18000</v>
          </cell>
          <cell r="I69">
            <v>100</v>
          </cell>
          <cell r="J69">
            <v>500</v>
          </cell>
          <cell r="K69">
            <v>100</v>
          </cell>
          <cell r="L69">
            <v>22600</v>
          </cell>
          <cell r="M69">
            <v>16600</v>
          </cell>
          <cell r="N69">
            <v>6700</v>
          </cell>
          <cell r="O69">
            <v>200</v>
          </cell>
          <cell r="P69">
            <v>1400</v>
          </cell>
          <cell r="Q69">
            <v>500</v>
          </cell>
          <cell r="R69">
            <v>5600</v>
          </cell>
          <cell r="S69">
            <v>5000</v>
          </cell>
          <cell r="T69">
            <v>1500</v>
          </cell>
          <cell r="U69">
            <v>6000</v>
          </cell>
          <cell r="V69">
            <v>0</v>
          </cell>
          <cell r="W69">
            <v>104100</v>
          </cell>
          <cell r="X69">
            <v>68400</v>
          </cell>
          <cell r="Y69">
            <v>10300</v>
          </cell>
          <cell r="Z69">
            <v>3400</v>
          </cell>
          <cell r="AA69">
            <v>2600</v>
          </cell>
          <cell r="AB69">
            <v>17500</v>
          </cell>
          <cell r="AC69">
            <v>7500</v>
          </cell>
          <cell r="AD69">
            <v>8100</v>
          </cell>
          <cell r="AE69">
            <v>1700</v>
          </cell>
          <cell r="AF69">
            <v>5200</v>
          </cell>
          <cell r="AG69">
            <v>1000</v>
          </cell>
          <cell r="AH69">
            <v>2900</v>
          </cell>
          <cell r="AI69">
            <v>3000</v>
          </cell>
          <cell r="AJ69">
            <v>2000</v>
          </cell>
          <cell r="AK69">
            <v>1200</v>
          </cell>
          <cell r="AL69">
            <v>134800</v>
          </cell>
          <cell r="AM69">
            <v>-30700</v>
          </cell>
          <cell r="AN69">
            <v>-30700</v>
          </cell>
          <cell r="AO69">
            <v>0</v>
          </cell>
          <cell r="AP69" t="str">
            <v>LIFE</v>
          </cell>
          <cell r="AQ69">
            <v>37100</v>
          </cell>
          <cell r="AR69" t="str">
            <v>LIFE</v>
          </cell>
          <cell r="AS69">
            <v>37100</v>
          </cell>
          <cell r="AT69">
            <v>0</v>
          </cell>
          <cell r="AU69">
            <v>-30700</v>
          </cell>
          <cell r="AV69">
            <v>2602</v>
          </cell>
          <cell r="AW69">
            <v>25000</v>
          </cell>
          <cell r="AX69">
            <v>8010</v>
          </cell>
          <cell r="AY69">
            <v>0</v>
          </cell>
          <cell r="AZ69">
            <v>0</v>
          </cell>
          <cell r="BA69">
            <v>33010</v>
          </cell>
          <cell r="BB69">
            <v>-30408</v>
          </cell>
          <cell r="BC69">
            <v>0</v>
          </cell>
          <cell r="BD69">
            <v>-30408</v>
          </cell>
          <cell r="BE69">
            <v>292</v>
          </cell>
          <cell r="BF69">
            <v>0</v>
          </cell>
        </row>
        <row r="70">
          <cell r="A70" t="str">
            <v>TO LIVE ON</v>
          </cell>
          <cell r="B70" t="str">
            <v>03949</v>
          </cell>
          <cell r="C70" t="str">
            <v>02/19/99</v>
          </cell>
          <cell r="D70" t="str">
            <v>Drama</v>
          </cell>
          <cell r="E70" t="str">
            <v>Portfolio</v>
          </cell>
          <cell r="F70">
            <v>11000</v>
          </cell>
          <cell r="G70">
            <v>800</v>
          </cell>
          <cell r="H70">
            <v>0</v>
          </cell>
          <cell r="I70">
            <v>100</v>
          </cell>
          <cell r="J70">
            <v>500</v>
          </cell>
          <cell r="K70">
            <v>100</v>
          </cell>
          <cell r="L70">
            <v>10900</v>
          </cell>
          <cell r="M70">
            <v>0</v>
          </cell>
          <cell r="N70">
            <v>4700</v>
          </cell>
          <cell r="O70">
            <v>200</v>
          </cell>
          <cell r="P70">
            <v>1000</v>
          </cell>
          <cell r="Q70">
            <v>200</v>
          </cell>
          <cell r="R70">
            <v>0</v>
          </cell>
          <cell r="S70">
            <v>3000</v>
          </cell>
          <cell r="T70">
            <v>1500</v>
          </cell>
          <cell r="U70">
            <v>0</v>
          </cell>
          <cell r="V70">
            <v>0</v>
          </cell>
          <cell r="W70">
            <v>34000</v>
          </cell>
          <cell r="X70">
            <v>13100</v>
          </cell>
          <cell r="Y70">
            <v>4900</v>
          </cell>
          <cell r="Z70">
            <v>2000</v>
          </cell>
          <cell r="AA70">
            <v>0</v>
          </cell>
          <cell r="AB70">
            <v>13000</v>
          </cell>
          <cell r="AC70">
            <v>4000</v>
          </cell>
          <cell r="AD70">
            <v>0</v>
          </cell>
          <cell r="AE70">
            <v>100</v>
          </cell>
          <cell r="AF70">
            <v>1200</v>
          </cell>
          <cell r="AG70">
            <v>900</v>
          </cell>
          <cell r="AH70">
            <v>2400</v>
          </cell>
          <cell r="AI70">
            <v>0</v>
          </cell>
          <cell r="AJ70">
            <v>0</v>
          </cell>
          <cell r="AK70">
            <v>500</v>
          </cell>
          <cell r="AL70">
            <v>42100</v>
          </cell>
          <cell r="AM70">
            <v>-8100</v>
          </cell>
          <cell r="AN70">
            <v>-8100</v>
          </cell>
          <cell r="AO70">
            <v>0</v>
          </cell>
          <cell r="AP70" t="str">
            <v>TO LIVE ON</v>
          </cell>
          <cell r="AQ70">
            <v>11800</v>
          </cell>
          <cell r="AR70" t="str">
            <v>TO LIVE ON</v>
          </cell>
          <cell r="AS70">
            <v>11800</v>
          </cell>
          <cell r="AT70">
            <v>0</v>
          </cell>
          <cell r="AU70">
            <v>-8100</v>
          </cell>
          <cell r="AV70">
            <v>3922</v>
          </cell>
          <cell r="AW70">
            <v>17000</v>
          </cell>
          <cell r="AX70">
            <v>0</v>
          </cell>
          <cell r="AY70">
            <v>0</v>
          </cell>
          <cell r="AZ70">
            <v>0</v>
          </cell>
          <cell r="BA70">
            <v>17000</v>
          </cell>
          <cell r="BB70">
            <v>-13078</v>
          </cell>
          <cell r="BC70">
            <v>0</v>
          </cell>
          <cell r="BD70">
            <v>-13078</v>
          </cell>
          <cell r="BE70">
            <v>-4978</v>
          </cell>
          <cell r="BF70">
            <v>0</v>
          </cell>
        </row>
        <row r="71">
          <cell r="A71" t="str">
            <v>ED TV</v>
          </cell>
          <cell r="B71" t="str">
            <v>03954</v>
          </cell>
          <cell r="C71" t="str">
            <v>03/05/99</v>
          </cell>
          <cell r="D71" t="str">
            <v>Comedy / Romance</v>
          </cell>
          <cell r="E71" t="str">
            <v>Blue Chip</v>
          </cell>
          <cell r="F71">
            <v>17900</v>
          </cell>
          <cell r="G71">
            <v>1400</v>
          </cell>
          <cell r="H71">
            <v>15000</v>
          </cell>
          <cell r="I71">
            <v>100</v>
          </cell>
          <cell r="J71">
            <v>500</v>
          </cell>
          <cell r="K71">
            <v>100</v>
          </cell>
          <cell r="L71">
            <v>21900</v>
          </cell>
          <cell r="M71">
            <v>15200</v>
          </cell>
          <cell r="N71">
            <v>6700</v>
          </cell>
          <cell r="O71">
            <v>200</v>
          </cell>
          <cell r="P71">
            <v>1400</v>
          </cell>
          <cell r="Q71">
            <v>200</v>
          </cell>
          <cell r="R71">
            <v>5600</v>
          </cell>
          <cell r="S71">
            <v>5000</v>
          </cell>
          <cell r="T71">
            <v>1500</v>
          </cell>
          <cell r="U71">
            <v>6000</v>
          </cell>
          <cell r="V71">
            <v>0</v>
          </cell>
          <cell r="W71">
            <v>98700</v>
          </cell>
          <cell r="X71">
            <v>65400</v>
          </cell>
          <cell r="Y71">
            <v>9800</v>
          </cell>
          <cell r="Z71">
            <v>3500</v>
          </cell>
          <cell r="AA71">
            <v>2700</v>
          </cell>
          <cell r="AB71">
            <v>17000</v>
          </cell>
          <cell r="AC71">
            <v>7500</v>
          </cell>
          <cell r="AD71">
            <v>6000</v>
          </cell>
          <cell r="AE71">
            <v>1500</v>
          </cell>
          <cell r="AF71">
            <v>5000</v>
          </cell>
          <cell r="AG71">
            <v>1000</v>
          </cell>
          <cell r="AH71">
            <v>2800</v>
          </cell>
          <cell r="AI71">
            <v>3400</v>
          </cell>
          <cell r="AJ71">
            <v>2300</v>
          </cell>
          <cell r="AK71">
            <v>1100</v>
          </cell>
          <cell r="AL71">
            <v>129000</v>
          </cell>
          <cell r="AM71">
            <v>-30300</v>
          </cell>
          <cell r="AN71">
            <v>-30300</v>
          </cell>
          <cell r="AO71">
            <v>0</v>
          </cell>
          <cell r="AP71" t="str">
            <v>ED TV</v>
          </cell>
          <cell r="AQ71">
            <v>31000</v>
          </cell>
          <cell r="AR71" t="str">
            <v>ED TV</v>
          </cell>
          <cell r="AS71">
            <v>31000</v>
          </cell>
          <cell r="AT71">
            <v>0</v>
          </cell>
          <cell r="AU71">
            <v>-30300</v>
          </cell>
          <cell r="AV71">
            <v>1665</v>
          </cell>
          <cell r="AW71">
            <v>24500</v>
          </cell>
          <cell r="AX71">
            <v>4680</v>
          </cell>
          <cell r="AY71">
            <v>0</v>
          </cell>
          <cell r="AZ71">
            <v>0</v>
          </cell>
          <cell r="BA71">
            <v>29180</v>
          </cell>
          <cell r="BB71">
            <v>-27515</v>
          </cell>
          <cell r="BC71">
            <v>0</v>
          </cell>
          <cell r="BD71">
            <v>-27515</v>
          </cell>
          <cell r="BE71">
            <v>2785</v>
          </cell>
          <cell r="BF71">
            <v>0</v>
          </cell>
        </row>
        <row r="72">
          <cell r="A72" t="str">
            <v>EAST GRAND RAPIDS HIGH</v>
          </cell>
          <cell r="B72" t="str">
            <v>0XXXX</v>
          </cell>
          <cell r="C72" t="str">
            <v>03/99</v>
          </cell>
          <cell r="D72" t="str">
            <v>Family</v>
          </cell>
          <cell r="E72" t="str">
            <v>Tbd/Portfolio</v>
          </cell>
          <cell r="F72">
            <v>8800</v>
          </cell>
          <cell r="G72">
            <v>700</v>
          </cell>
          <cell r="H72">
            <v>300</v>
          </cell>
          <cell r="I72">
            <v>100</v>
          </cell>
          <cell r="J72">
            <v>300</v>
          </cell>
          <cell r="K72">
            <v>100</v>
          </cell>
          <cell r="L72">
            <v>15100</v>
          </cell>
          <cell r="M72">
            <v>2300</v>
          </cell>
          <cell r="N72">
            <v>3900</v>
          </cell>
          <cell r="O72">
            <v>200</v>
          </cell>
          <cell r="P72">
            <v>1000</v>
          </cell>
          <cell r="Q72">
            <v>100</v>
          </cell>
          <cell r="R72">
            <v>1700</v>
          </cell>
          <cell r="S72">
            <v>0</v>
          </cell>
          <cell r="T72">
            <v>1300</v>
          </cell>
          <cell r="U72">
            <v>1600</v>
          </cell>
          <cell r="V72">
            <v>0</v>
          </cell>
          <cell r="W72">
            <v>37500</v>
          </cell>
          <cell r="X72">
            <v>10700</v>
          </cell>
          <cell r="Y72">
            <v>1800</v>
          </cell>
          <cell r="Z72">
            <v>1800</v>
          </cell>
          <cell r="AA72">
            <v>200</v>
          </cell>
          <cell r="AB72">
            <v>10500</v>
          </cell>
          <cell r="AC72">
            <v>2600</v>
          </cell>
          <cell r="AD72">
            <v>300</v>
          </cell>
          <cell r="AE72">
            <v>0</v>
          </cell>
          <cell r="AF72">
            <v>2000</v>
          </cell>
          <cell r="AG72">
            <v>1300</v>
          </cell>
          <cell r="AH72">
            <v>1500</v>
          </cell>
          <cell r="AI72">
            <v>400</v>
          </cell>
          <cell r="AJ72">
            <v>400</v>
          </cell>
          <cell r="AK72">
            <v>500</v>
          </cell>
          <cell r="AL72">
            <v>34000</v>
          </cell>
          <cell r="AM72">
            <v>3500</v>
          </cell>
          <cell r="AN72">
            <v>3500</v>
          </cell>
          <cell r="AO72">
            <v>0</v>
          </cell>
          <cell r="AP72" t="str">
            <v>EAST GRAND RAPIDS HIGH</v>
          </cell>
          <cell r="AQ72">
            <v>9600</v>
          </cell>
          <cell r="AR72" t="str">
            <v>EAST GRAND RAPIDS HIGH</v>
          </cell>
          <cell r="AS72">
            <v>9600</v>
          </cell>
          <cell r="AT72">
            <v>9.35E-2</v>
          </cell>
          <cell r="AU72">
            <v>896</v>
          </cell>
          <cell r="AV72">
            <v>4813</v>
          </cell>
          <cell r="AW72">
            <v>13100</v>
          </cell>
          <cell r="AX72">
            <v>100</v>
          </cell>
          <cell r="AY72">
            <v>0</v>
          </cell>
          <cell r="AZ72">
            <v>0</v>
          </cell>
          <cell r="BA72">
            <v>13200</v>
          </cell>
          <cell r="BB72">
            <v>-8387</v>
          </cell>
          <cell r="BC72">
            <v>0</v>
          </cell>
          <cell r="BD72">
            <v>-8387</v>
          </cell>
          <cell r="BE72">
            <v>-9283</v>
          </cell>
          <cell r="BF72">
            <v>0</v>
          </cell>
        </row>
        <row r="73">
          <cell r="A73" t="str">
            <v>ISN`T SHE GREAT</v>
          </cell>
          <cell r="B73" t="str">
            <v>03964</v>
          </cell>
          <cell r="C73" t="str">
            <v>04/16/99</v>
          </cell>
          <cell r="D73" t="str">
            <v>Comedy / Drama</v>
          </cell>
          <cell r="E73" t="str">
            <v>Portfolio Plus</v>
          </cell>
          <cell r="F73">
            <v>14200</v>
          </cell>
          <cell r="G73">
            <v>1100</v>
          </cell>
          <cell r="H73">
            <v>1000</v>
          </cell>
          <cell r="I73">
            <v>100</v>
          </cell>
          <cell r="J73">
            <v>500</v>
          </cell>
          <cell r="K73">
            <v>100</v>
          </cell>
          <cell r="L73">
            <v>19200</v>
          </cell>
          <cell r="M73">
            <v>1300</v>
          </cell>
          <cell r="N73">
            <v>5600</v>
          </cell>
          <cell r="O73">
            <v>200</v>
          </cell>
          <cell r="P73">
            <v>1000</v>
          </cell>
          <cell r="Q73">
            <v>800</v>
          </cell>
          <cell r="R73">
            <v>0</v>
          </cell>
          <cell r="S73">
            <v>3000</v>
          </cell>
          <cell r="T73">
            <v>1500</v>
          </cell>
          <cell r="U73">
            <v>0</v>
          </cell>
          <cell r="V73">
            <v>0</v>
          </cell>
          <cell r="W73">
            <v>49600</v>
          </cell>
          <cell r="X73">
            <v>16100</v>
          </cell>
          <cell r="Y73">
            <v>5600</v>
          </cell>
          <cell r="Z73">
            <v>2700</v>
          </cell>
          <cell r="AA73">
            <v>200</v>
          </cell>
          <cell r="AB73">
            <v>15000</v>
          </cell>
          <cell r="AC73">
            <v>4500</v>
          </cell>
          <cell r="AD73">
            <v>500</v>
          </cell>
          <cell r="AE73">
            <v>0</v>
          </cell>
          <cell r="AF73">
            <v>1500</v>
          </cell>
          <cell r="AG73">
            <v>900</v>
          </cell>
          <cell r="AH73">
            <v>2700</v>
          </cell>
          <cell r="AI73">
            <v>200</v>
          </cell>
          <cell r="AJ73">
            <v>200</v>
          </cell>
          <cell r="AK73">
            <v>500</v>
          </cell>
          <cell r="AL73">
            <v>50600</v>
          </cell>
          <cell r="AM73">
            <v>-1000</v>
          </cell>
          <cell r="AN73">
            <v>-1000</v>
          </cell>
          <cell r="AO73">
            <v>0</v>
          </cell>
          <cell r="AP73" t="str">
            <v>ISN`T SHE GREAT</v>
          </cell>
          <cell r="AQ73">
            <v>14900</v>
          </cell>
          <cell r="AR73" t="str">
            <v>ISN`T SHE GREAT</v>
          </cell>
          <cell r="AS73">
            <v>14900</v>
          </cell>
          <cell r="AT73">
            <v>-6.7114093959731544E-2</v>
          </cell>
          <cell r="AU73">
            <v>-1000</v>
          </cell>
          <cell r="AV73">
            <v>6579</v>
          </cell>
          <cell r="AW73">
            <v>18481</v>
          </cell>
          <cell r="AX73">
            <v>200</v>
          </cell>
          <cell r="AY73">
            <v>0</v>
          </cell>
          <cell r="AZ73">
            <v>0</v>
          </cell>
          <cell r="BA73">
            <v>18681</v>
          </cell>
          <cell r="BB73">
            <v>-12102</v>
          </cell>
          <cell r="BC73">
            <v>0</v>
          </cell>
          <cell r="BD73">
            <v>-12102</v>
          </cell>
          <cell r="BE73">
            <v>-11102</v>
          </cell>
          <cell r="BF73">
            <v>0</v>
          </cell>
        </row>
        <row r="74">
          <cell r="A74" t="str">
            <v>THE MUMMY</v>
          </cell>
          <cell r="B74" t="str">
            <v>0XXXX</v>
          </cell>
          <cell r="C74" t="str">
            <v>06/99</v>
          </cell>
          <cell r="D74" t="str">
            <v>Action</v>
          </cell>
          <cell r="E74" t="str">
            <v>CBAM</v>
          </cell>
          <cell r="F74">
            <v>40500</v>
          </cell>
          <cell r="G74">
            <v>3100</v>
          </cell>
          <cell r="H74">
            <v>45000</v>
          </cell>
          <cell r="I74">
            <v>200</v>
          </cell>
          <cell r="J74">
            <v>1000</v>
          </cell>
          <cell r="K74">
            <v>200</v>
          </cell>
          <cell r="L74">
            <v>36200</v>
          </cell>
          <cell r="M74">
            <v>31300</v>
          </cell>
          <cell r="N74">
            <v>9700</v>
          </cell>
          <cell r="O74">
            <v>400</v>
          </cell>
          <cell r="P74">
            <v>2400</v>
          </cell>
          <cell r="Q74">
            <v>-200</v>
          </cell>
          <cell r="R74">
            <v>9900</v>
          </cell>
          <cell r="S74">
            <v>8200</v>
          </cell>
          <cell r="T74">
            <v>4200</v>
          </cell>
          <cell r="U74">
            <v>12600</v>
          </cell>
          <cell r="V74">
            <v>5000</v>
          </cell>
          <cell r="W74">
            <v>209700</v>
          </cell>
          <cell r="X74">
            <v>81500</v>
          </cell>
          <cell r="Y74">
            <v>12200</v>
          </cell>
          <cell r="Z74">
            <v>3600</v>
          </cell>
          <cell r="AA74">
            <v>4700</v>
          </cell>
          <cell r="AB74">
            <v>25000</v>
          </cell>
          <cell r="AC74">
            <v>8500</v>
          </cell>
          <cell r="AD74">
            <v>13900</v>
          </cell>
          <cell r="AE74">
            <v>1300</v>
          </cell>
          <cell r="AF74">
            <v>2500</v>
          </cell>
          <cell r="AG74">
            <v>1600</v>
          </cell>
          <cell r="AH74">
            <v>4700</v>
          </cell>
          <cell r="AI74">
            <v>5700</v>
          </cell>
          <cell r="AJ74">
            <v>5300</v>
          </cell>
          <cell r="AK74">
            <v>2700</v>
          </cell>
          <cell r="AL74">
            <v>173200</v>
          </cell>
          <cell r="AM74">
            <v>36500</v>
          </cell>
          <cell r="AN74">
            <v>36500</v>
          </cell>
          <cell r="AO74">
            <v>0</v>
          </cell>
          <cell r="AP74" t="str">
            <v>THE MUMMY</v>
          </cell>
          <cell r="AQ74">
            <v>40700</v>
          </cell>
          <cell r="AR74" t="str">
            <v>THE MUMMY</v>
          </cell>
          <cell r="AS74">
            <v>40700</v>
          </cell>
          <cell r="AT74">
            <v>0.17405405405405405</v>
          </cell>
          <cell r="AU74">
            <v>7084</v>
          </cell>
          <cell r="AV74">
            <v>18225</v>
          </cell>
          <cell r="AW74">
            <v>29504</v>
          </cell>
          <cell r="AX74">
            <v>710</v>
          </cell>
          <cell r="AY74">
            <v>0</v>
          </cell>
          <cell r="AZ74">
            <v>0</v>
          </cell>
          <cell r="BA74">
            <v>30214</v>
          </cell>
          <cell r="BB74">
            <v>-11989</v>
          </cell>
          <cell r="BC74">
            <v>0</v>
          </cell>
          <cell r="BD74">
            <v>-11989</v>
          </cell>
          <cell r="BE74">
            <v>-19073</v>
          </cell>
          <cell r="BF74">
            <v>0</v>
          </cell>
        </row>
        <row r="75">
          <cell r="A75" t="str">
            <v>FOR LOVE OF THE GAME</v>
          </cell>
          <cell r="B75" t="str">
            <v>0XXXX</v>
          </cell>
          <cell r="C75" t="str">
            <v>06/18/99</v>
          </cell>
          <cell r="D75" t="str">
            <v>Drama</v>
          </cell>
          <cell r="E75" t="str">
            <v>External / Blue Chip</v>
          </cell>
          <cell r="F75">
            <v>26900</v>
          </cell>
          <cell r="G75">
            <v>2000</v>
          </cell>
          <cell r="H75">
            <v>0</v>
          </cell>
          <cell r="I75">
            <v>200</v>
          </cell>
          <cell r="J75">
            <v>700</v>
          </cell>
          <cell r="K75">
            <v>200</v>
          </cell>
          <cell r="L75">
            <v>33500</v>
          </cell>
          <cell r="M75">
            <v>0</v>
          </cell>
          <cell r="N75">
            <v>8400</v>
          </cell>
          <cell r="O75">
            <v>200</v>
          </cell>
          <cell r="P75">
            <v>2400</v>
          </cell>
          <cell r="Q75">
            <v>-2500</v>
          </cell>
          <cell r="R75">
            <v>0</v>
          </cell>
          <cell r="S75">
            <v>6800</v>
          </cell>
          <cell r="T75">
            <v>2600</v>
          </cell>
          <cell r="U75">
            <v>0</v>
          </cell>
          <cell r="V75">
            <v>0</v>
          </cell>
          <cell r="W75">
            <v>81400</v>
          </cell>
          <cell r="X75">
            <v>32000</v>
          </cell>
          <cell r="Y75">
            <v>4800</v>
          </cell>
          <cell r="Z75">
            <v>4100</v>
          </cell>
          <cell r="AA75">
            <v>0</v>
          </cell>
          <cell r="AB75">
            <v>20100</v>
          </cell>
          <cell r="AC75">
            <v>6800</v>
          </cell>
          <cell r="AD75">
            <v>0</v>
          </cell>
          <cell r="AE75">
            <v>0</v>
          </cell>
          <cell r="AF75">
            <v>3800</v>
          </cell>
          <cell r="AG75">
            <v>1800</v>
          </cell>
          <cell r="AH75">
            <v>5200</v>
          </cell>
          <cell r="AI75">
            <v>0</v>
          </cell>
          <cell r="AJ75">
            <v>0</v>
          </cell>
          <cell r="AK75">
            <v>500</v>
          </cell>
          <cell r="AL75">
            <v>79100</v>
          </cell>
          <cell r="AM75">
            <v>2300</v>
          </cell>
          <cell r="AN75">
            <v>2300</v>
          </cell>
          <cell r="AO75">
            <v>0</v>
          </cell>
          <cell r="AP75" t="str">
            <v>FOR LOVE OF THE GAME</v>
          </cell>
          <cell r="AQ75">
            <v>25700</v>
          </cell>
          <cell r="AR75" t="str">
            <v>FOR LOVE OF THE GAME</v>
          </cell>
          <cell r="AS75">
            <v>25700</v>
          </cell>
          <cell r="AT75">
            <v>2.8249027237354087E-2</v>
          </cell>
          <cell r="AU75">
            <v>726</v>
          </cell>
          <cell r="AV75">
            <v>10861</v>
          </cell>
          <cell r="AW75">
            <v>23921</v>
          </cell>
          <cell r="AX75">
            <v>0</v>
          </cell>
          <cell r="AY75">
            <v>0</v>
          </cell>
          <cell r="AZ75">
            <v>0</v>
          </cell>
          <cell r="BA75">
            <v>23921</v>
          </cell>
          <cell r="BB75">
            <v>-13060</v>
          </cell>
          <cell r="BC75">
            <v>0</v>
          </cell>
          <cell r="BD75">
            <v>-13060</v>
          </cell>
          <cell r="BE75">
            <v>-13786</v>
          </cell>
          <cell r="BF75">
            <v>0</v>
          </cell>
        </row>
        <row r="76">
          <cell r="A76" t="str">
            <v>PSYCHO</v>
          </cell>
          <cell r="B76" t="str">
            <v>0XXXX</v>
          </cell>
          <cell r="C76" t="str">
            <v>12/04/98</v>
          </cell>
          <cell r="D76" t="str">
            <v>Horror</v>
          </cell>
          <cell r="E76" t="str">
            <v>Portfolio</v>
          </cell>
          <cell r="F76">
            <v>13300</v>
          </cell>
          <cell r="G76">
            <v>1000</v>
          </cell>
          <cell r="H76">
            <v>9800</v>
          </cell>
          <cell r="I76">
            <v>100</v>
          </cell>
          <cell r="J76">
            <v>500</v>
          </cell>
          <cell r="K76">
            <v>100</v>
          </cell>
          <cell r="L76">
            <v>16600</v>
          </cell>
          <cell r="M76">
            <v>7700</v>
          </cell>
          <cell r="N76">
            <v>5400</v>
          </cell>
          <cell r="O76">
            <v>200</v>
          </cell>
          <cell r="P76">
            <v>1000</v>
          </cell>
          <cell r="Q76">
            <v>500</v>
          </cell>
          <cell r="R76">
            <v>4300</v>
          </cell>
          <cell r="S76">
            <v>3100</v>
          </cell>
          <cell r="T76">
            <v>1700</v>
          </cell>
          <cell r="U76">
            <v>3600</v>
          </cell>
          <cell r="V76">
            <v>0</v>
          </cell>
          <cell r="W76">
            <v>68900</v>
          </cell>
          <cell r="X76">
            <v>30000</v>
          </cell>
          <cell r="Y76">
            <v>4500</v>
          </cell>
          <cell r="Z76">
            <v>2200</v>
          </cell>
          <cell r="AA76">
            <v>2300</v>
          </cell>
          <cell r="AB76">
            <v>12000</v>
          </cell>
          <cell r="AC76">
            <v>4000</v>
          </cell>
          <cell r="AD76">
            <v>5400</v>
          </cell>
          <cell r="AE76">
            <v>0</v>
          </cell>
          <cell r="AF76">
            <v>3600</v>
          </cell>
          <cell r="AG76">
            <v>800</v>
          </cell>
          <cell r="AH76">
            <v>2300</v>
          </cell>
          <cell r="AI76">
            <v>1300</v>
          </cell>
          <cell r="AJ76">
            <v>1200</v>
          </cell>
          <cell r="AK76">
            <v>900</v>
          </cell>
          <cell r="AL76">
            <v>70500</v>
          </cell>
          <cell r="AM76">
            <v>-1600</v>
          </cell>
          <cell r="AN76">
            <v>-1600</v>
          </cell>
          <cell r="AO76">
            <v>0</v>
          </cell>
          <cell r="AP76" t="str">
            <v>PSYCHO</v>
          </cell>
          <cell r="AQ76">
            <v>23100</v>
          </cell>
          <cell r="AR76" t="str">
            <v>PSYCHO</v>
          </cell>
          <cell r="AS76">
            <v>23100</v>
          </cell>
          <cell r="AT76">
            <v>0</v>
          </cell>
          <cell r="AU76">
            <v>-1600</v>
          </cell>
          <cell r="AV76">
            <v>7812</v>
          </cell>
          <cell r="AW76">
            <v>16000</v>
          </cell>
          <cell r="AX76">
            <v>4849</v>
          </cell>
          <cell r="AY76">
            <v>0</v>
          </cell>
          <cell r="AZ76">
            <v>0</v>
          </cell>
          <cell r="BA76">
            <v>20849</v>
          </cell>
          <cell r="BB76">
            <v>-13037</v>
          </cell>
          <cell r="BC76">
            <v>0</v>
          </cell>
          <cell r="BD76">
            <v>-13037</v>
          </cell>
          <cell r="BE76">
            <v>-11437</v>
          </cell>
          <cell r="BF76">
            <v>0</v>
          </cell>
        </row>
        <row r="77">
          <cell r="A77" t="str">
            <v>TBD 18</v>
          </cell>
          <cell r="B77" t="str">
            <v>0XXXX</v>
          </cell>
          <cell r="C77" t="str">
            <v>05/14/99</v>
          </cell>
          <cell r="D77" t="str">
            <v>Comedy</v>
          </cell>
          <cell r="E77" t="str">
            <v>Portfolio</v>
          </cell>
          <cell r="F77">
            <v>16100</v>
          </cell>
          <cell r="G77">
            <v>1200</v>
          </cell>
          <cell r="H77">
            <v>11700</v>
          </cell>
          <cell r="I77">
            <v>100</v>
          </cell>
          <cell r="J77">
            <v>500</v>
          </cell>
          <cell r="K77">
            <v>100</v>
          </cell>
          <cell r="L77">
            <v>18400</v>
          </cell>
          <cell r="M77">
            <v>8300</v>
          </cell>
          <cell r="N77">
            <v>6200</v>
          </cell>
          <cell r="O77">
            <v>200</v>
          </cell>
          <cell r="P77">
            <v>1400</v>
          </cell>
          <cell r="Q77">
            <v>300</v>
          </cell>
          <cell r="R77">
            <v>4700</v>
          </cell>
          <cell r="S77">
            <v>3600</v>
          </cell>
          <cell r="T77">
            <v>1900</v>
          </cell>
          <cell r="U77">
            <v>3800</v>
          </cell>
          <cell r="V77">
            <v>0</v>
          </cell>
          <cell r="W77">
            <v>78500</v>
          </cell>
          <cell r="X77">
            <v>30000</v>
          </cell>
          <cell r="Y77">
            <v>4500</v>
          </cell>
          <cell r="Z77">
            <v>2300</v>
          </cell>
          <cell r="AA77">
            <v>2600</v>
          </cell>
          <cell r="AB77">
            <v>15000</v>
          </cell>
          <cell r="AC77">
            <v>5000</v>
          </cell>
          <cell r="AD77">
            <v>6200</v>
          </cell>
          <cell r="AE77">
            <v>0</v>
          </cell>
          <cell r="AF77">
            <v>4000</v>
          </cell>
          <cell r="AG77">
            <v>900</v>
          </cell>
          <cell r="AH77">
            <v>2600</v>
          </cell>
          <cell r="AI77">
            <v>1400</v>
          </cell>
          <cell r="AJ77">
            <v>1300</v>
          </cell>
          <cell r="AK77">
            <v>1000</v>
          </cell>
          <cell r="AL77">
            <v>76800</v>
          </cell>
          <cell r="AM77">
            <v>1700</v>
          </cell>
          <cell r="AN77">
            <v>1700</v>
          </cell>
          <cell r="AO77">
            <v>0</v>
          </cell>
          <cell r="AP77" t="str">
            <v>TBD 18</v>
          </cell>
          <cell r="AQ77">
            <v>20500</v>
          </cell>
          <cell r="AR77" t="str">
            <v>TBD 18</v>
          </cell>
          <cell r="AS77">
            <v>20500</v>
          </cell>
          <cell r="AT77">
            <v>2.1658536585365852E-2</v>
          </cell>
          <cell r="AU77">
            <v>444</v>
          </cell>
          <cell r="AV77">
            <v>8304</v>
          </cell>
          <cell r="AW77">
            <v>19075</v>
          </cell>
          <cell r="AX77">
            <v>2120</v>
          </cell>
          <cell r="AY77">
            <v>0</v>
          </cell>
          <cell r="AZ77">
            <v>0</v>
          </cell>
          <cell r="BA77">
            <v>21195</v>
          </cell>
          <cell r="BB77">
            <v>-12891</v>
          </cell>
          <cell r="BC77">
            <v>0</v>
          </cell>
          <cell r="BD77">
            <v>-12891</v>
          </cell>
          <cell r="BE77">
            <v>-13335</v>
          </cell>
          <cell r="BF77">
            <v>0</v>
          </cell>
        </row>
        <row r="78">
          <cell r="AR78" t="str">
            <v>Film Title # 21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</row>
        <row r="79">
          <cell r="AR79" t="str">
            <v>Film Title # 22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</row>
        <row r="89">
          <cell r="A89" t="str">
            <v>GRAND TOTAL</v>
          </cell>
          <cell r="B89">
            <v>411100</v>
          </cell>
          <cell r="C89">
            <v>31000</v>
          </cell>
          <cell r="D89">
            <v>395900</v>
          </cell>
          <cell r="E89">
            <v>2600</v>
          </cell>
          <cell r="F89">
            <v>411100</v>
          </cell>
          <cell r="G89">
            <v>31000</v>
          </cell>
          <cell r="H89">
            <v>395900</v>
          </cell>
          <cell r="I89">
            <v>2600</v>
          </cell>
          <cell r="J89">
            <v>12000</v>
          </cell>
          <cell r="K89">
            <v>3100</v>
          </cell>
          <cell r="L89">
            <v>563000</v>
          </cell>
          <cell r="M89">
            <v>351100</v>
          </cell>
          <cell r="N89">
            <v>125600</v>
          </cell>
          <cell r="O89">
            <v>4600</v>
          </cell>
          <cell r="P89">
            <v>30000</v>
          </cell>
          <cell r="Q89">
            <v>500</v>
          </cell>
          <cell r="R89">
            <v>97500</v>
          </cell>
          <cell r="S89">
            <v>88500</v>
          </cell>
          <cell r="T89">
            <v>44900</v>
          </cell>
          <cell r="U89">
            <v>111600</v>
          </cell>
          <cell r="V89">
            <v>14400</v>
          </cell>
          <cell r="W89">
            <v>2287400</v>
          </cell>
          <cell r="X89">
            <v>813200</v>
          </cell>
          <cell r="Y89">
            <v>142000</v>
          </cell>
          <cell r="Z89">
            <v>54700</v>
          </cell>
          <cell r="AA89">
            <v>49000</v>
          </cell>
          <cell r="AB89">
            <v>314400</v>
          </cell>
          <cell r="AC89">
            <v>105700</v>
          </cell>
          <cell r="AD89">
            <v>143300</v>
          </cell>
          <cell r="AE89">
            <v>96600</v>
          </cell>
          <cell r="AF89">
            <v>69500</v>
          </cell>
          <cell r="AG89">
            <v>48200</v>
          </cell>
          <cell r="AH89">
            <v>87600</v>
          </cell>
          <cell r="AI89">
            <v>67300</v>
          </cell>
          <cell r="AJ89">
            <v>62000</v>
          </cell>
          <cell r="AK89">
            <v>26300</v>
          </cell>
          <cell r="AL89">
            <v>2079800</v>
          </cell>
          <cell r="AM89">
            <v>207600</v>
          </cell>
          <cell r="AN89">
            <v>207600</v>
          </cell>
          <cell r="AO89">
            <v>0</v>
          </cell>
          <cell r="AP89">
            <v>433637</v>
          </cell>
          <cell r="AQ89">
            <v>410461</v>
          </cell>
          <cell r="AR89" t="str">
            <v>TOTALS</v>
          </cell>
          <cell r="AS89">
            <v>1127900</v>
          </cell>
          <cell r="AT89">
            <v>1.5273247117177906</v>
          </cell>
          <cell r="AU89">
            <v>74832</v>
          </cell>
          <cell r="AV89">
            <v>433637</v>
          </cell>
          <cell r="AW89">
            <v>410461</v>
          </cell>
          <cell r="AX89">
            <v>119192</v>
          </cell>
          <cell r="AY89">
            <v>52655</v>
          </cell>
          <cell r="AZ89">
            <v>5727</v>
          </cell>
          <cell r="BA89">
            <v>588035</v>
          </cell>
          <cell r="BB89">
            <v>-154398</v>
          </cell>
          <cell r="BC89">
            <v>0</v>
          </cell>
          <cell r="BD89">
            <v>-154398</v>
          </cell>
          <cell r="BE89">
            <v>-229230</v>
          </cell>
          <cell r="BF89">
            <v>7744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  <sheetName val="a.i.a"/>
      <sheetName val="Récap_Vir98_DRT17"/>
      <sheetName val="Revenus_hors_intercomp_30"/>
      <sheetName val="Tab_nouveau_reporting14"/>
      <sheetName val="Revenus_hors_intercomp_31"/>
      <sheetName val="PRV01PL37_514"/>
      <sheetName val="_B13"/>
      <sheetName val="Capex_Tanger13"/>
      <sheetName val="GCB_activités13"/>
      <sheetName val="Récap_Vir98_DRT16"/>
      <sheetName val="Revenus_hors_intercomp_28"/>
      <sheetName val="Tab_nouveau_reporting13"/>
      <sheetName val="Revenus_hors_intercomp_29"/>
      <sheetName val="PRV01PL37_513"/>
      <sheetName val="_B12"/>
      <sheetName val="Capex_Tanger12"/>
      <sheetName val="GCB_activités12"/>
      <sheetName val="Récap_Vir98_DRT13"/>
      <sheetName val="Revenus_hors_intercomp_22"/>
      <sheetName val="Tab_nouveau_reporting10"/>
      <sheetName val="Revenus_hors_intercomp_23"/>
      <sheetName val="PRV01PL37_510"/>
      <sheetName val="_B9"/>
      <sheetName val="Capex_Tanger9"/>
      <sheetName val="GCB_activités9"/>
      <sheetName val="Récap_Vir98_DRT14"/>
      <sheetName val="Revenus_hors_intercomp_24"/>
      <sheetName val="Tab_nouveau_reporting11"/>
      <sheetName val="Revenus_hors_intercomp_25"/>
      <sheetName val="PRV01PL37_511"/>
      <sheetName val="_B10"/>
      <sheetName val="Capex_Tanger10"/>
      <sheetName val="GCB_activités10"/>
      <sheetName val="Récap_Vir98_DRT15"/>
      <sheetName val="Revenus_hors_intercomp_26"/>
      <sheetName val="Tab_nouveau_reporting12"/>
      <sheetName val="Revenus_hors_intercomp_27"/>
      <sheetName val="PRV01PL37_512"/>
      <sheetName val="_B11"/>
      <sheetName val="Capex_Tanger11"/>
      <sheetName val="GCB_activités11"/>
      <sheetName val="Récap_Vir98_DRT18"/>
      <sheetName val="Revenus_hors_intercomp_32"/>
      <sheetName val="Tab_nouveau_reporting15"/>
      <sheetName val="Revenus_hors_intercomp_33"/>
      <sheetName val="PRV01PL37_515"/>
      <sheetName val="_B14"/>
      <sheetName val="Capex_Tanger14"/>
      <sheetName val="GCB_activités14"/>
      <sheetName val="Récap_Vir98_DRT19"/>
      <sheetName val="Revenus_hors_intercomp_34"/>
      <sheetName val="Tab_nouveau_reporting16"/>
      <sheetName val="Revenus_hors_intercomp_35"/>
      <sheetName val="PRV01PL37_516"/>
      <sheetName val="_B15"/>
      <sheetName val="Capex_Tanger15"/>
      <sheetName val="GCB_activités15"/>
      <sheetName val="Récap_Vir98_DRT20"/>
      <sheetName val="Revenus_hors_intercomp_36"/>
      <sheetName val="Tab_nouveau_reporting17"/>
      <sheetName val="Revenus_hors_intercomp_37"/>
      <sheetName val="PRV01PL37_517"/>
      <sheetName val="_B16"/>
      <sheetName val="Capex_Tanger16"/>
      <sheetName val="GCB_activités16"/>
      <sheetName val="A3_&amp;_B22_DC"/>
      <sheetName val="Table_des_échéances"/>
      <sheetName val="Récap_Vir98_DRT21"/>
      <sheetName val="Revenus_hors_intercomp_38"/>
      <sheetName val="Tab_nouveau_reporting18"/>
      <sheetName val="Revenus_hors_intercomp_39"/>
      <sheetName val="PRV01PL37_518"/>
      <sheetName val="_B17"/>
      <sheetName val="Capex_Tanger17"/>
      <sheetName val="GCB_activités17"/>
      <sheetName val="A3_&amp;_B22_DC1"/>
      <sheetName val="Table_des_échéances1"/>
      <sheetName val="Récap_Vir98_DRT22"/>
      <sheetName val="Revenus_hors_intercomp_40"/>
      <sheetName val="Tab_nouveau_reporting19"/>
      <sheetName val="Revenus_hors_intercomp_41"/>
      <sheetName val="PRV01PL37_519"/>
      <sheetName val="_B18"/>
      <sheetName val="Capex_Tanger18"/>
      <sheetName val="GCB_activités18"/>
      <sheetName val="A3_&amp;_B22_DC2"/>
      <sheetName val="Table_des_échéances2"/>
      <sheetName val="Récap_Vir98_DRT23"/>
      <sheetName val="Revenus_hors_intercomp_42"/>
      <sheetName val="Tab_nouveau_reporting20"/>
      <sheetName val="Revenus_hors_intercomp_43"/>
      <sheetName val="PRV01PL37_520"/>
      <sheetName val="_B19"/>
      <sheetName val="Capex_Tanger19"/>
      <sheetName val="GCB_activités19"/>
      <sheetName val="A3_&amp;_B22_DC3"/>
      <sheetName val="Table_des_échéances3"/>
      <sheetName val="Récap_Vir98_DRT24"/>
      <sheetName val="Revenus_hors_intercomp_44"/>
      <sheetName val="Tab_nouveau_reporting21"/>
      <sheetName val="Revenus_hors_intercomp_45"/>
      <sheetName val="PRV01PL37_521"/>
      <sheetName val="_B20"/>
      <sheetName val="Capex_Tanger20"/>
      <sheetName val="GCB_activités20"/>
      <sheetName val="A3_&amp;_B22_DC4"/>
      <sheetName val="Table_des_échéances4"/>
      <sheetName val="Récap_Vir98_DRT25"/>
      <sheetName val="Revenus_hors_intercomp_46"/>
      <sheetName val="Tab_nouveau_reporting22"/>
      <sheetName val="Revenus_hors_intercomp_47"/>
      <sheetName val="PRV01PL37_522"/>
      <sheetName val="_B21"/>
      <sheetName val="Capex_Tanger21"/>
      <sheetName val="GCB_activités21"/>
      <sheetName val="A3_&amp;_B22_DC5"/>
      <sheetName val="Table_des_échéances5"/>
      <sheetName val="Récap_Vir98_DRT26"/>
      <sheetName val="Revenus_hors_intercomp_48"/>
      <sheetName val="Tab_nouveau_reporting23"/>
      <sheetName val="Revenus_hors_intercomp_49"/>
      <sheetName val="PRV01PL37_523"/>
      <sheetName val="_B22"/>
      <sheetName val="Capex_Tanger22"/>
      <sheetName val="GCB_activités22"/>
      <sheetName val="A3_&amp;_B22_DC6"/>
      <sheetName val="Table_des_échéances6"/>
      <sheetName val="NWEXT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 OFFICE"/>
      <sheetName val="Sheet1"/>
      <sheetName val="ULTIMATES"/>
      <sheetName val="BATIMENT"/>
      <sheetName val="Vir94"/>
      <sheetName val="Market value"/>
      <sheetName val="BOX_OFFICE"/>
      <sheetName val="BOX_OFFICE1"/>
      <sheetName val="Market_value"/>
    </sheetNames>
    <sheetDataSet>
      <sheetData sheetId="0" refreshError="1">
        <row r="8">
          <cell r="A8" t="str">
            <v>AMERICAN PIE</v>
          </cell>
          <cell r="B8">
            <v>36350</v>
          </cell>
          <cell r="C8">
            <v>102000</v>
          </cell>
          <cell r="D8">
            <v>0.46986538461538463</v>
          </cell>
          <cell r="E8">
            <v>34000</v>
          </cell>
          <cell r="F8">
            <v>0.34</v>
          </cell>
          <cell r="G8">
            <v>0</v>
          </cell>
          <cell r="H8">
            <v>48866</v>
          </cell>
          <cell r="I8">
            <v>11700</v>
          </cell>
          <cell r="J8">
            <v>0</v>
          </cell>
          <cell r="K8" t="str">
            <v>NF</v>
          </cell>
          <cell r="L8">
            <v>36636</v>
          </cell>
          <cell r="M8" t="str">
            <v>changed foreign ret rate</v>
          </cell>
        </row>
        <row r="9">
          <cell r="A9" t="str">
            <v>MYSTERY MEN</v>
          </cell>
          <cell r="B9">
            <v>36378</v>
          </cell>
          <cell r="C9">
            <v>30000</v>
          </cell>
          <cell r="D9">
            <v>0.46933333333333332</v>
          </cell>
          <cell r="E9">
            <v>3200</v>
          </cell>
          <cell r="F9">
            <v>0.421875</v>
          </cell>
          <cell r="G9">
            <v>0</v>
          </cell>
          <cell r="H9">
            <v>14077</v>
          </cell>
          <cell r="I9">
            <v>1350</v>
          </cell>
          <cell r="J9">
            <v>0</v>
          </cell>
          <cell r="K9" t="str">
            <v>NF</v>
          </cell>
          <cell r="L9" t="str">
            <v>3/14</v>
          </cell>
        </row>
        <row r="10">
          <cell r="A10" t="str">
            <v>BOWFINGER</v>
          </cell>
          <cell r="B10">
            <v>36385</v>
          </cell>
          <cell r="C10">
            <v>67000</v>
          </cell>
          <cell r="D10">
            <v>0.49</v>
          </cell>
          <cell r="E10">
            <v>29800</v>
          </cell>
          <cell r="F10">
            <v>0.4195583596214511</v>
          </cell>
          <cell r="G10">
            <v>0</v>
          </cell>
          <cell r="H10">
            <v>32173</v>
          </cell>
          <cell r="I10">
            <v>12500</v>
          </cell>
          <cell r="J10">
            <v>0</v>
          </cell>
          <cell r="K10" t="str">
            <v>AH</v>
          </cell>
          <cell r="L10">
            <v>36614</v>
          </cell>
          <cell r="M10" t="str">
            <v>changed DBO &amp; FBO</v>
          </cell>
        </row>
        <row r="11">
          <cell r="A11" t="str">
            <v>DUDLEY DO RIGHT</v>
          </cell>
          <cell r="B11">
            <v>36399</v>
          </cell>
          <cell r="C11">
            <v>10000</v>
          </cell>
          <cell r="D11">
            <v>0.41239999999999999</v>
          </cell>
          <cell r="E11">
            <v>700</v>
          </cell>
          <cell r="F11">
            <v>0.39</v>
          </cell>
          <cell r="G11">
            <v>0</v>
          </cell>
          <cell r="H11">
            <v>4127</v>
          </cell>
          <cell r="I11">
            <v>275</v>
          </cell>
          <cell r="J11">
            <v>0</v>
          </cell>
          <cell r="K11" t="str">
            <v>NF</v>
          </cell>
          <cell r="L11">
            <v>36636</v>
          </cell>
          <cell r="M11" t="str">
            <v>changed foreign ret rate</v>
          </cell>
        </row>
        <row r="12">
          <cell r="A12" t="str">
            <v>FOR LOVE OF THE GAME</v>
          </cell>
          <cell r="B12">
            <v>36420</v>
          </cell>
          <cell r="C12">
            <v>35000</v>
          </cell>
          <cell r="D12">
            <v>0.52077142857142855</v>
          </cell>
          <cell r="E12">
            <v>18300</v>
          </cell>
          <cell r="F12">
            <v>0.42076502732240439</v>
          </cell>
          <cell r="G12">
            <v>0</v>
          </cell>
          <cell r="H12">
            <v>18313</v>
          </cell>
          <cell r="I12">
            <v>7700</v>
          </cell>
          <cell r="J12">
            <v>0</v>
          </cell>
          <cell r="K12" t="str">
            <v>NF</v>
          </cell>
          <cell r="L12">
            <v>36608</v>
          </cell>
          <cell r="M12" t="str">
            <v>changed ret rate</v>
          </cell>
        </row>
        <row r="13">
          <cell r="A13" t="str">
            <v>BEST MAN</v>
          </cell>
          <cell r="B13">
            <v>36455</v>
          </cell>
          <cell r="C13">
            <v>34000</v>
          </cell>
          <cell r="D13">
            <v>0.47018018018018021</v>
          </cell>
          <cell r="E13">
            <v>1700</v>
          </cell>
          <cell r="F13">
            <v>0.41666666666666669</v>
          </cell>
          <cell r="G13">
            <v>0</v>
          </cell>
          <cell r="H13">
            <v>15817</v>
          </cell>
          <cell r="I13">
            <v>700</v>
          </cell>
          <cell r="J13">
            <v>0</v>
          </cell>
          <cell r="K13" t="str">
            <v>AH</v>
          </cell>
          <cell r="L13" t="str">
            <v>3/22</v>
          </cell>
          <cell r="M13" t="str">
            <v>changed DBO &amp; FBO</v>
          </cell>
        </row>
        <row r="14">
          <cell r="A14" t="str">
            <v>BONE COLLECTOR, THE</v>
          </cell>
          <cell r="B14">
            <v>36469</v>
          </cell>
          <cell r="C14">
            <v>67000</v>
          </cell>
          <cell r="D14">
            <v>0.45373134328358211</v>
          </cell>
          <cell r="E14">
            <v>65000</v>
          </cell>
          <cell r="F14">
            <v>0</v>
          </cell>
          <cell r="G14">
            <v>0</v>
          </cell>
          <cell r="H14">
            <v>30621</v>
          </cell>
          <cell r="I14">
            <v>0</v>
          </cell>
          <cell r="J14">
            <v>0</v>
          </cell>
          <cell r="K14" t="str">
            <v>NF</v>
          </cell>
          <cell r="L14">
            <v>36608</v>
          </cell>
          <cell r="M14" t="str">
            <v>changed ret rate &amp; linked jv</v>
          </cell>
        </row>
        <row r="15">
          <cell r="A15" t="str">
            <v>RIDE WITH THE DEVIL</v>
          </cell>
          <cell r="B15">
            <v>36488</v>
          </cell>
          <cell r="C15">
            <v>600</v>
          </cell>
          <cell r="D15">
            <v>0.33333333333333331</v>
          </cell>
          <cell r="E15" t="str">
            <v>sold</v>
          </cell>
          <cell r="F15">
            <v>0</v>
          </cell>
          <cell r="G15">
            <v>0</v>
          </cell>
          <cell r="H15">
            <v>200</v>
          </cell>
          <cell r="I15">
            <v>0</v>
          </cell>
          <cell r="J15">
            <v>0</v>
          </cell>
          <cell r="K15" t="str">
            <v>NF</v>
          </cell>
          <cell r="L15">
            <v>36608</v>
          </cell>
          <cell r="M15" t="str">
            <v>changed ret rate</v>
          </cell>
        </row>
        <row r="16">
          <cell r="A16" t="str">
            <v>END OF DAYS</v>
          </cell>
          <cell r="B16">
            <v>36488</v>
          </cell>
          <cell r="C16">
            <v>67000</v>
          </cell>
          <cell r="D16">
            <v>0.52813432835820895</v>
          </cell>
          <cell r="E16">
            <v>126000</v>
          </cell>
          <cell r="F16">
            <v>0</v>
          </cell>
          <cell r="G16">
            <v>0</v>
          </cell>
          <cell r="H16">
            <v>35385</v>
          </cell>
          <cell r="I16">
            <v>0</v>
          </cell>
          <cell r="J16">
            <v>0</v>
          </cell>
          <cell r="K16" t="str">
            <v>NF</v>
          </cell>
          <cell r="L16">
            <v>36617</v>
          </cell>
          <cell r="M16" t="str">
            <v>changed ret rate</v>
          </cell>
        </row>
        <row r="17">
          <cell r="A17" t="str">
            <v>MAN ON THE MOON</v>
          </cell>
          <cell r="B17">
            <v>36516</v>
          </cell>
          <cell r="C17">
            <v>35000</v>
          </cell>
          <cell r="D17">
            <v>0.52571428571428569</v>
          </cell>
          <cell r="E17">
            <v>2300</v>
          </cell>
          <cell r="F17">
            <v>0.34782608695652173</v>
          </cell>
          <cell r="G17">
            <v>0</v>
          </cell>
          <cell r="H17">
            <v>18257</v>
          </cell>
          <cell r="I17">
            <v>800</v>
          </cell>
          <cell r="J17">
            <v>0</v>
          </cell>
          <cell r="K17" t="str">
            <v>NF</v>
          </cell>
          <cell r="L17">
            <v>36636</v>
          </cell>
          <cell r="M17" t="str">
            <v>changed foreign ret rate</v>
          </cell>
        </row>
        <row r="18">
          <cell r="A18" t="str">
            <v>SNOW FALLING ON CEDARS</v>
          </cell>
          <cell r="B18">
            <v>36516</v>
          </cell>
          <cell r="C18">
            <v>14000</v>
          </cell>
          <cell r="D18">
            <v>0.46092857142857141</v>
          </cell>
          <cell r="E18">
            <v>12300</v>
          </cell>
          <cell r="F18">
            <v>0.4065040650406504</v>
          </cell>
          <cell r="G18">
            <v>0</v>
          </cell>
          <cell r="H18">
            <v>6453</v>
          </cell>
          <cell r="I18">
            <v>5000</v>
          </cell>
          <cell r="J18">
            <v>0</v>
          </cell>
          <cell r="K18" t="str">
            <v>NF</v>
          </cell>
          <cell r="L18">
            <v>36617</v>
          </cell>
          <cell r="M18" t="str">
            <v>changed ret rate</v>
          </cell>
        </row>
        <row r="19">
          <cell r="A19" t="str">
            <v>HURRICANE, THE</v>
          </cell>
          <cell r="B19">
            <v>36523</v>
          </cell>
          <cell r="C19">
            <v>51000</v>
          </cell>
          <cell r="D19">
            <v>0.45025999999999999</v>
          </cell>
          <cell r="E19">
            <v>24000</v>
          </cell>
          <cell r="F19">
            <v>0</v>
          </cell>
          <cell r="G19">
            <v>0</v>
          </cell>
          <cell r="H19">
            <v>22813</v>
          </cell>
          <cell r="I19">
            <v>0</v>
          </cell>
          <cell r="J19">
            <v>0</v>
          </cell>
          <cell r="K19" t="str">
            <v>NF</v>
          </cell>
          <cell r="L19">
            <v>36636</v>
          </cell>
          <cell r="M19" t="str">
            <v>changed DBO to match MMBR</v>
          </cell>
        </row>
        <row r="20">
          <cell r="A20" t="str">
            <v>ISN`T SHE GREAT</v>
          </cell>
          <cell r="B20">
            <v>36553</v>
          </cell>
          <cell r="C20">
            <v>3500</v>
          </cell>
          <cell r="D20">
            <v>0.37542857142857144</v>
          </cell>
          <cell r="E20">
            <v>300</v>
          </cell>
          <cell r="F20">
            <v>0.33333333333333331</v>
          </cell>
          <cell r="G20">
            <v>0</v>
          </cell>
          <cell r="H20">
            <v>1314</v>
          </cell>
          <cell r="I20">
            <v>100</v>
          </cell>
          <cell r="J20">
            <v>0</v>
          </cell>
          <cell r="K20" t="str">
            <v>NF</v>
          </cell>
          <cell r="L20">
            <v>36636</v>
          </cell>
          <cell r="M20" t="str">
            <v>changed foreign ret rate</v>
          </cell>
        </row>
        <row r="21">
          <cell r="A21" t="str">
            <v>BROCKOVICH</v>
          </cell>
          <cell r="B21">
            <v>36602</v>
          </cell>
          <cell r="C21">
            <v>125000</v>
          </cell>
          <cell r="D21">
            <v>0.5</v>
          </cell>
          <cell r="E21">
            <v>83600</v>
          </cell>
          <cell r="F21">
            <v>0</v>
          </cell>
          <cell r="G21">
            <v>0</v>
          </cell>
          <cell r="H21">
            <v>62500</v>
          </cell>
          <cell r="I21">
            <v>0</v>
          </cell>
          <cell r="J21">
            <v>0</v>
          </cell>
          <cell r="K21" t="str">
            <v>NF</v>
          </cell>
          <cell r="L21">
            <v>36613</v>
          </cell>
          <cell r="M21" t="str">
            <v>changed retention rate</v>
          </cell>
        </row>
        <row r="22">
          <cell r="A22" t="str">
            <v>SKULLS</v>
          </cell>
          <cell r="B22">
            <v>36616</v>
          </cell>
          <cell r="C22">
            <v>33000</v>
          </cell>
          <cell r="D22">
            <v>0.45</v>
          </cell>
          <cell r="E22">
            <v>3000</v>
          </cell>
          <cell r="F22">
            <v>0.33333333333333331</v>
          </cell>
          <cell r="G22">
            <v>0</v>
          </cell>
          <cell r="H22">
            <v>14850</v>
          </cell>
          <cell r="I22">
            <v>1000</v>
          </cell>
          <cell r="J22">
            <v>0</v>
          </cell>
          <cell r="K22" t="str">
            <v>NF</v>
          </cell>
          <cell r="L22">
            <v>36637</v>
          </cell>
          <cell r="M22" t="str">
            <v>changed dom retention rate</v>
          </cell>
        </row>
        <row r="23">
          <cell r="A23" t="str">
            <v>U-571</v>
          </cell>
          <cell r="B23">
            <v>36637</v>
          </cell>
          <cell r="C23">
            <v>60000</v>
          </cell>
          <cell r="D23">
            <v>0.47</v>
          </cell>
          <cell r="E23">
            <v>21400</v>
          </cell>
          <cell r="F23">
            <v>0.42</v>
          </cell>
          <cell r="G23">
            <v>0</v>
          </cell>
          <cell r="H23">
            <v>28200</v>
          </cell>
          <cell r="I23">
            <v>9000</v>
          </cell>
          <cell r="J23">
            <v>0</v>
          </cell>
          <cell r="K23" t="str">
            <v>NF</v>
          </cell>
          <cell r="L23">
            <v>36636</v>
          </cell>
          <cell r="M23" t="str">
            <v>Changed foreign box office</v>
          </cell>
        </row>
        <row r="24">
          <cell r="A24" t="str">
            <v>FLINTSTONES VIVA ROCK VEGAS</v>
          </cell>
          <cell r="B24">
            <v>36644</v>
          </cell>
          <cell r="C24">
            <v>60000</v>
          </cell>
          <cell r="D24">
            <v>0.47</v>
          </cell>
          <cell r="E24">
            <v>70000</v>
          </cell>
          <cell r="F24">
            <v>0.42</v>
          </cell>
          <cell r="G24">
            <v>0</v>
          </cell>
          <cell r="H24">
            <v>28200</v>
          </cell>
          <cell r="I24">
            <v>29400</v>
          </cell>
          <cell r="J24">
            <v>0</v>
          </cell>
          <cell r="K24" t="str">
            <v>NF</v>
          </cell>
          <cell r="L24" t="str">
            <v>3/14</v>
          </cell>
          <cell r="M24" t="str">
            <v>Changed DBO</v>
          </cell>
        </row>
        <row r="25">
          <cell r="A25" t="str">
            <v>GLADIATOR</v>
          </cell>
          <cell r="B25">
            <v>36651</v>
          </cell>
          <cell r="C25">
            <v>140000</v>
          </cell>
          <cell r="D25">
            <v>0.5</v>
          </cell>
          <cell r="E25">
            <v>175000</v>
          </cell>
          <cell r="F25">
            <v>0.42</v>
          </cell>
          <cell r="G25">
            <v>0</v>
          </cell>
          <cell r="H25">
            <v>0</v>
          </cell>
          <cell r="I25">
            <v>73500</v>
          </cell>
          <cell r="J25">
            <v>0</v>
          </cell>
          <cell r="K25" t="str">
            <v>NF</v>
          </cell>
          <cell r="L25" t="str">
            <v>3/14</v>
          </cell>
          <cell r="M25" t="str">
            <v>linked sing pots to jv ult</v>
          </cell>
        </row>
        <row r="26">
          <cell r="A26" t="str">
            <v>SCREWED</v>
          </cell>
          <cell r="B26">
            <v>36658</v>
          </cell>
          <cell r="C26">
            <v>15000</v>
          </cell>
          <cell r="D26">
            <v>0.4</v>
          </cell>
          <cell r="E26">
            <v>2400</v>
          </cell>
          <cell r="F26">
            <v>0.41666666666666669</v>
          </cell>
          <cell r="G26">
            <v>0</v>
          </cell>
          <cell r="H26">
            <v>6000</v>
          </cell>
          <cell r="I26">
            <v>1000</v>
          </cell>
          <cell r="J26">
            <v>0</v>
          </cell>
          <cell r="K26" t="str">
            <v>NF</v>
          </cell>
          <cell r="L26">
            <v>36613</v>
          </cell>
          <cell r="M26" t="str">
            <v>changed dom retention rate</v>
          </cell>
        </row>
        <row r="27">
          <cell r="A27" t="str">
            <v>ROCKY &amp; BULLWINKLE</v>
          </cell>
          <cell r="B27">
            <v>36707</v>
          </cell>
          <cell r="C27">
            <v>50000</v>
          </cell>
          <cell r="D27">
            <v>0.47</v>
          </cell>
          <cell r="E27">
            <v>29500</v>
          </cell>
          <cell r="F27">
            <v>0.42</v>
          </cell>
          <cell r="G27">
            <v>0</v>
          </cell>
          <cell r="H27">
            <v>23500</v>
          </cell>
          <cell r="I27">
            <v>12300</v>
          </cell>
          <cell r="J27">
            <v>0</v>
          </cell>
          <cell r="K27" t="str">
            <v>NF</v>
          </cell>
          <cell r="L27">
            <v>36636</v>
          </cell>
          <cell r="M27" t="str">
            <v>Changed foreign box office</v>
          </cell>
        </row>
        <row r="30">
          <cell r="A30" t="str">
            <v>POLYGRAM 2000 SLATE</v>
          </cell>
        </row>
        <row r="31">
          <cell r="A31" t="str">
            <v>ARLINGTON ROAD</v>
          </cell>
          <cell r="B31">
            <v>36294</v>
          </cell>
          <cell r="C31" t="str">
            <v>sold</v>
          </cell>
          <cell r="D31">
            <v>0</v>
          </cell>
          <cell r="E31">
            <v>8900</v>
          </cell>
          <cell r="F31">
            <v>0.42067415730337077</v>
          </cell>
          <cell r="G31">
            <v>0</v>
          </cell>
          <cell r="H31">
            <v>0</v>
          </cell>
          <cell r="I31">
            <v>3760</v>
          </cell>
          <cell r="J31">
            <v>0</v>
          </cell>
          <cell r="K31" t="str">
            <v>NF</v>
          </cell>
          <cell r="L31" t="str">
            <v>3/14</v>
          </cell>
        </row>
        <row r="32">
          <cell r="A32" t="str">
            <v>MICKEY BLUE EYES</v>
          </cell>
          <cell r="B32">
            <v>36392</v>
          </cell>
          <cell r="C32">
            <v>33000</v>
          </cell>
          <cell r="D32">
            <v>0</v>
          </cell>
          <cell r="E32">
            <v>26000</v>
          </cell>
          <cell r="F32">
            <v>0.36280769230769233</v>
          </cell>
          <cell r="G32">
            <v>0</v>
          </cell>
          <cell r="H32">
            <v>0</v>
          </cell>
          <cell r="I32">
            <v>9433</v>
          </cell>
          <cell r="J32">
            <v>0</v>
          </cell>
          <cell r="K32" t="str">
            <v>NF</v>
          </cell>
          <cell r="L32">
            <v>36636</v>
          </cell>
          <cell r="M32" t="str">
            <v>changed foreign ret rate</v>
          </cell>
        </row>
        <row r="33">
          <cell r="A33" t="str">
            <v>PLUNKETT &amp; MACLEANE</v>
          </cell>
          <cell r="B33">
            <v>36434</v>
          </cell>
          <cell r="C33">
            <v>400</v>
          </cell>
          <cell r="D33">
            <v>0.41249999999999998</v>
          </cell>
          <cell r="E33">
            <v>4500</v>
          </cell>
          <cell r="F33">
            <v>0.42222222222222222</v>
          </cell>
          <cell r="G33">
            <v>0</v>
          </cell>
          <cell r="H33">
            <v>165</v>
          </cell>
          <cell r="I33">
            <v>1900</v>
          </cell>
          <cell r="J33">
            <v>0</v>
          </cell>
          <cell r="K33" t="str">
            <v>NF</v>
          </cell>
          <cell r="L33" t="str">
            <v>3/14</v>
          </cell>
          <cell r="M33" t="str">
            <v>Updated DBO/RRATE to Rob's estimates</v>
          </cell>
        </row>
        <row r="34">
          <cell r="A34" t="str">
            <v>THE STORY OF US</v>
          </cell>
          <cell r="B34">
            <v>36448</v>
          </cell>
          <cell r="C34">
            <v>27000</v>
          </cell>
          <cell r="D34">
            <v>0.49629629629629629</v>
          </cell>
          <cell r="E34">
            <v>1800</v>
          </cell>
          <cell r="F34">
            <v>0.41666666666666669</v>
          </cell>
          <cell r="G34">
            <v>0</v>
          </cell>
          <cell r="H34">
            <v>13400</v>
          </cell>
          <cell r="I34">
            <v>750</v>
          </cell>
          <cell r="J34">
            <v>0</v>
          </cell>
          <cell r="K34" t="str">
            <v>NF</v>
          </cell>
          <cell r="L34">
            <v>36608</v>
          </cell>
          <cell r="M34" t="str">
            <v>changed ret rate</v>
          </cell>
        </row>
        <row r="35">
          <cell r="A35" t="str">
            <v>BEING JOHN MALKOVICH</v>
          </cell>
          <cell r="B35">
            <v>36462</v>
          </cell>
          <cell r="C35">
            <v>23000</v>
          </cell>
          <cell r="D35">
            <v>0.37391304347826088</v>
          </cell>
          <cell r="E35">
            <v>10700</v>
          </cell>
          <cell r="F35">
            <v>0.42056074766355139</v>
          </cell>
          <cell r="G35">
            <v>0</v>
          </cell>
          <cell r="H35">
            <v>8600</v>
          </cell>
          <cell r="I35">
            <v>4500</v>
          </cell>
          <cell r="J35">
            <v>0</v>
          </cell>
          <cell r="K35" t="str">
            <v>NF</v>
          </cell>
          <cell r="L35">
            <v>36617</v>
          </cell>
          <cell r="M35" t="str">
            <v>changed ret rate</v>
          </cell>
        </row>
        <row r="36">
          <cell r="A36" t="str">
            <v>THE GREEN MILE</v>
          </cell>
          <cell r="B36">
            <v>36504</v>
          </cell>
          <cell r="C36">
            <v>140000</v>
          </cell>
          <cell r="D36">
            <v>0</v>
          </cell>
          <cell r="E36">
            <v>65000</v>
          </cell>
          <cell r="F36">
            <v>0.42</v>
          </cell>
          <cell r="G36">
            <v>0</v>
          </cell>
          <cell r="H36">
            <v>0</v>
          </cell>
          <cell r="I36">
            <v>27300</v>
          </cell>
          <cell r="J36">
            <v>0</v>
          </cell>
          <cell r="K36" t="str">
            <v>NF</v>
          </cell>
          <cell r="L36">
            <v>36608</v>
          </cell>
          <cell r="M36" t="str">
            <v>linked sing pots to jv ult</v>
          </cell>
        </row>
        <row r="37">
          <cell r="A37" t="str">
            <v>ANGELA`S ASHES</v>
          </cell>
          <cell r="B37">
            <v>36518</v>
          </cell>
          <cell r="C37">
            <v>12700</v>
          </cell>
          <cell r="D37">
            <v>0</v>
          </cell>
          <cell r="E37">
            <v>19000</v>
          </cell>
          <cell r="F37">
            <v>0.39473684210526316</v>
          </cell>
          <cell r="G37">
            <v>0</v>
          </cell>
          <cell r="H37">
            <v>0</v>
          </cell>
          <cell r="I37">
            <v>7500</v>
          </cell>
          <cell r="J37">
            <v>0</v>
          </cell>
          <cell r="K37" t="str">
            <v>NF</v>
          </cell>
          <cell r="L37">
            <v>36636</v>
          </cell>
          <cell r="M37" t="str">
            <v>changed foreign ret rate</v>
          </cell>
        </row>
        <row r="38">
          <cell r="A38" t="str">
            <v>PITCH BLACK</v>
          </cell>
          <cell r="B38">
            <v>36574</v>
          </cell>
          <cell r="C38">
            <v>39000</v>
          </cell>
          <cell r="D38">
            <v>0.4</v>
          </cell>
          <cell r="E38">
            <v>14300</v>
          </cell>
          <cell r="F38">
            <v>0.42</v>
          </cell>
          <cell r="G38">
            <v>0</v>
          </cell>
          <cell r="H38">
            <v>15600</v>
          </cell>
          <cell r="I38">
            <v>6000</v>
          </cell>
          <cell r="J38">
            <v>0</v>
          </cell>
          <cell r="K38" t="str">
            <v>NF</v>
          </cell>
          <cell r="L38">
            <v>36621</v>
          </cell>
          <cell r="M38" t="str">
            <v>changed FBO</v>
          </cell>
        </row>
        <row r="39">
          <cell r="A39" t="str">
            <v>WAKING THE DEAD</v>
          </cell>
          <cell r="B39">
            <v>36609</v>
          </cell>
          <cell r="C39">
            <v>500</v>
          </cell>
          <cell r="D39">
            <v>0.4</v>
          </cell>
          <cell r="E39">
            <v>400</v>
          </cell>
          <cell r="F39">
            <v>0.375</v>
          </cell>
          <cell r="G39">
            <v>0</v>
          </cell>
          <cell r="H39">
            <v>200</v>
          </cell>
          <cell r="I39">
            <v>150</v>
          </cell>
          <cell r="J39">
            <v>0</v>
          </cell>
          <cell r="K39" t="str">
            <v>NF</v>
          </cell>
          <cell r="L39">
            <v>36636</v>
          </cell>
          <cell r="M39" t="str">
            <v>changed foreign ret rate</v>
          </cell>
        </row>
        <row r="40">
          <cell r="A40" t="str">
            <v>WHERE THE MONEY IS</v>
          </cell>
          <cell r="B40">
            <v>36630</v>
          </cell>
          <cell r="C40">
            <v>6000</v>
          </cell>
          <cell r="D40">
            <v>0.39</v>
          </cell>
          <cell r="E40" t="str">
            <v>sold</v>
          </cell>
          <cell r="F40">
            <v>0</v>
          </cell>
          <cell r="G40">
            <v>0</v>
          </cell>
          <cell r="H40">
            <v>2300</v>
          </cell>
          <cell r="I40">
            <v>0</v>
          </cell>
          <cell r="J40">
            <v>0</v>
          </cell>
          <cell r="K40" t="str">
            <v xml:space="preserve">NF </v>
          </cell>
          <cell r="L40">
            <v>36636</v>
          </cell>
          <cell r="M40" t="str">
            <v>changed DBO</v>
          </cell>
        </row>
        <row r="41">
          <cell r="A41" t="str">
            <v>NURSE BETTY</v>
          </cell>
          <cell r="B41" t="str">
            <v>TBD 9-00</v>
          </cell>
          <cell r="C41">
            <v>18300</v>
          </cell>
          <cell r="D41">
            <v>0.39890710382513661</v>
          </cell>
          <cell r="E41">
            <v>0</v>
          </cell>
          <cell r="F41">
            <v>0</v>
          </cell>
          <cell r="G41" t="e">
            <v>#DIV/0!</v>
          </cell>
          <cell r="H41">
            <v>7300</v>
          </cell>
          <cell r="I41">
            <v>1700</v>
          </cell>
          <cell r="J41">
            <v>0</v>
          </cell>
          <cell r="K41" t="str">
            <v>NF</v>
          </cell>
          <cell r="L41" t="str">
            <v>3/14</v>
          </cell>
          <cell r="M41" t="str">
            <v>added FBO for buybacks</v>
          </cell>
        </row>
        <row r="42">
          <cell r="A42" t="str">
            <v>MAD ABOUT MAMBO</v>
          </cell>
          <cell r="B42" t="str">
            <v>TBD 8-00</v>
          </cell>
          <cell r="C42">
            <v>1000</v>
          </cell>
          <cell r="D42">
            <v>0.4</v>
          </cell>
          <cell r="E42">
            <v>1200</v>
          </cell>
          <cell r="F42">
            <v>0.41666666666666669</v>
          </cell>
          <cell r="G42">
            <v>0</v>
          </cell>
          <cell r="H42">
            <v>400</v>
          </cell>
          <cell r="I42">
            <v>500</v>
          </cell>
          <cell r="J42">
            <v>0</v>
          </cell>
          <cell r="K42" t="str">
            <v>NF</v>
          </cell>
          <cell r="L42" t="str">
            <v>3/14</v>
          </cell>
        </row>
        <row r="43">
          <cell r="A43" t="str">
            <v>SNARL UP</v>
          </cell>
          <cell r="B43" t="str">
            <v>TBD FY01</v>
          </cell>
          <cell r="C43">
            <v>700</v>
          </cell>
          <cell r="D43">
            <v>0.37142857142857144</v>
          </cell>
          <cell r="E43">
            <v>1000</v>
          </cell>
          <cell r="F43">
            <v>0.4</v>
          </cell>
          <cell r="G43">
            <v>0</v>
          </cell>
          <cell r="H43">
            <v>260</v>
          </cell>
          <cell r="I43">
            <v>400</v>
          </cell>
          <cell r="J43">
            <v>0</v>
          </cell>
          <cell r="K43" t="str">
            <v>NF</v>
          </cell>
          <cell r="L43" t="str">
            <v>3/14</v>
          </cell>
          <cell r="M43" t="str">
            <v>Updated FBO/RRATE</v>
          </cell>
        </row>
        <row r="44">
          <cell r="A44" t="str">
            <v>THE MATCH</v>
          </cell>
          <cell r="B44" t="str">
            <v>TBD FY01</v>
          </cell>
          <cell r="C44">
            <v>700</v>
          </cell>
          <cell r="D44">
            <v>0.37142857142857144</v>
          </cell>
          <cell r="E44">
            <v>1000</v>
          </cell>
          <cell r="F44">
            <v>0.42</v>
          </cell>
          <cell r="G44" t="str">
            <v>confirm</v>
          </cell>
          <cell r="H44">
            <v>0</v>
          </cell>
          <cell r="I44">
            <v>15</v>
          </cell>
          <cell r="J44">
            <v>0</v>
          </cell>
          <cell r="K44" t="str">
            <v>NF</v>
          </cell>
          <cell r="L44" t="str">
            <v>3/14</v>
          </cell>
          <cell r="M44" t="str">
            <v>Updated FBO/RRATE</v>
          </cell>
        </row>
        <row r="47">
          <cell r="A47" t="str">
            <v>2001 SLATE</v>
          </cell>
        </row>
        <row r="48">
          <cell r="A48" t="str">
            <v>NUTTY PROFESSOR 2</v>
          </cell>
          <cell r="B48">
            <v>36735</v>
          </cell>
          <cell r="C48">
            <v>100000</v>
          </cell>
          <cell r="D48">
            <v>0.46994535519125685</v>
          </cell>
          <cell r="E48">
            <v>131000</v>
          </cell>
          <cell r="F48">
            <v>0.41984732824427479</v>
          </cell>
          <cell r="G48">
            <v>0</v>
          </cell>
          <cell r="H48">
            <v>47000</v>
          </cell>
          <cell r="I48">
            <v>55000</v>
          </cell>
          <cell r="J48">
            <v>0</v>
          </cell>
          <cell r="K48" t="str">
            <v>NF</v>
          </cell>
          <cell r="L48" t="str">
            <v>3/14</v>
          </cell>
          <cell r="M48" t="str">
            <v>Date Change</v>
          </cell>
        </row>
        <row r="49">
          <cell r="A49" t="str">
            <v>CHEER FEVER</v>
          </cell>
          <cell r="B49">
            <v>36756</v>
          </cell>
          <cell r="C49">
            <v>20000</v>
          </cell>
          <cell r="D49">
            <v>0.47</v>
          </cell>
          <cell r="E49">
            <v>0</v>
          </cell>
          <cell r="F49">
            <v>0</v>
          </cell>
          <cell r="G49">
            <v>0</v>
          </cell>
          <cell r="H49">
            <v>9400</v>
          </cell>
          <cell r="I49">
            <v>0</v>
          </cell>
          <cell r="J49">
            <v>0</v>
          </cell>
          <cell r="K49" t="str">
            <v>NF</v>
          </cell>
          <cell r="L49">
            <v>36637</v>
          </cell>
          <cell r="M49" t="str">
            <v>changes from 4/20 mtg</v>
          </cell>
        </row>
        <row r="50">
          <cell r="A50" t="str">
            <v>DRIVEN</v>
          </cell>
          <cell r="B50">
            <v>36791</v>
          </cell>
          <cell r="C50">
            <v>30000</v>
          </cell>
          <cell r="D50">
            <v>0.47</v>
          </cell>
          <cell r="E50" t="str">
            <v>UPI central</v>
          </cell>
          <cell r="F50">
            <v>0.41666666666666669</v>
          </cell>
          <cell r="G50">
            <v>0</v>
          </cell>
          <cell r="H50">
            <v>14000</v>
          </cell>
          <cell r="I50">
            <v>0</v>
          </cell>
          <cell r="J50">
            <v>0</v>
          </cell>
          <cell r="K50" t="str">
            <v>NF</v>
          </cell>
          <cell r="L50">
            <v>36637</v>
          </cell>
          <cell r="M50" t="str">
            <v>changes from 4/20 mtg</v>
          </cell>
        </row>
        <row r="51">
          <cell r="A51" t="str">
            <v>OH BROTHER, WHERE ART THOU</v>
          </cell>
          <cell r="B51">
            <v>36800</v>
          </cell>
          <cell r="C51" t="str">
            <v>Disney</v>
          </cell>
          <cell r="D51">
            <v>0</v>
          </cell>
          <cell r="E51">
            <v>7100</v>
          </cell>
          <cell r="F51">
            <v>0.42045454545454547</v>
          </cell>
          <cell r="G51">
            <v>0</v>
          </cell>
          <cell r="H51">
            <v>0</v>
          </cell>
          <cell r="I51">
            <v>3000</v>
          </cell>
          <cell r="J51">
            <v>0</v>
          </cell>
          <cell r="K51" t="str">
            <v>NF</v>
          </cell>
          <cell r="L51">
            <v>36636</v>
          </cell>
          <cell r="M51" t="str">
            <v>Fixed FBO to 42%</v>
          </cell>
        </row>
        <row r="52">
          <cell r="A52" t="str">
            <v>DANCER</v>
          </cell>
          <cell r="B52">
            <v>36800</v>
          </cell>
          <cell r="C52">
            <v>5000</v>
          </cell>
          <cell r="D52">
            <v>0.4</v>
          </cell>
          <cell r="E52">
            <v>7800</v>
          </cell>
          <cell r="F52">
            <v>0.41818181818181815</v>
          </cell>
          <cell r="G52">
            <v>0</v>
          </cell>
          <cell r="H52">
            <v>2000</v>
          </cell>
          <cell r="I52">
            <v>3280</v>
          </cell>
          <cell r="J52">
            <v>0</v>
          </cell>
          <cell r="K52" t="str">
            <v>NF</v>
          </cell>
          <cell r="L52">
            <v>36637</v>
          </cell>
          <cell r="M52" t="str">
            <v>changes from 4/20 mtg</v>
          </cell>
        </row>
        <row r="53">
          <cell r="A53" t="str">
            <v>MEET THE PARENTS</v>
          </cell>
          <cell r="B53">
            <v>36805</v>
          </cell>
          <cell r="C53">
            <v>76000</v>
          </cell>
          <cell r="D53">
            <v>0.46973684210526317</v>
          </cell>
          <cell r="E53">
            <v>75000</v>
          </cell>
          <cell r="F53">
            <v>0</v>
          </cell>
          <cell r="G53">
            <v>0</v>
          </cell>
          <cell r="H53">
            <v>35200</v>
          </cell>
          <cell r="I53">
            <v>0</v>
          </cell>
          <cell r="J53">
            <v>0</v>
          </cell>
          <cell r="K53" t="str">
            <v>NF</v>
          </cell>
          <cell r="L53">
            <v>36637</v>
          </cell>
          <cell r="M53" t="str">
            <v>changes from 4/20 mtg</v>
          </cell>
        </row>
        <row r="54">
          <cell r="A54" t="str">
            <v>GRINCH, THE</v>
          </cell>
          <cell r="B54">
            <v>36847</v>
          </cell>
          <cell r="C54">
            <v>125000</v>
          </cell>
          <cell r="D54">
            <v>0.48</v>
          </cell>
          <cell r="E54">
            <v>171400</v>
          </cell>
          <cell r="F54">
            <v>0.41984732824427479</v>
          </cell>
          <cell r="G54">
            <v>0</v>
          </cell>
          <cell r="H54">
            <v>60000</v>
          </cell>
          <cell r="I54">
            <v>72000</v>
          </cell>
          <cell r="J54">
            <v>0</v>
          </cell>
          <cell r="K54" t="str">
            <v>NF</v>
          </cell>
          <cell r="L54">
            <v>36637</v>
          </cell>
          <cell r="M54" t="str">
            <v>changes from 4/20 mtg</v>
          </cell>
        </row>
        <row r="55">
          <cell r="A55" t="str">
            <v>FAMILY MAN</v>
          </cell>
          <cell r="B55">
            <v>36875</v>
          </cell>
          <cell r="C55">
            <v>75000</v>
          </cell>
          <cell r="D55">
            <v>0.47</v>
          </cell>
          <cell r="E55">
            <v>0</v>
          </cell>
          <cell r="F55">
            <v>0</v>
          </cell>
          <cell r="G55">
            <v>0</v>
          </cell>
          <cell r="H55">
            <v>35250</v>
          </cell>
          <cell r="I55">
            <v>0</v>
          </cell>
          <cell r="J55">
            <v>0</v>
          </cell>
          <cell r="K55" t="str">
            <v>NF</v>
          </cell>
          <cell r="L55">
            <v>36637</v>
          </cell>
          <cell r="M55" t="str">
            <v>changes from 4/20 mtg</v>
          </cell>
        </row>
        <row r="56">
          <cell r="A56" t="str">
            <v>HOUSE OF 1000 CORPSES</v>
          </cell>
          <cell r="B56">
            <v>36903</v>
          </cell>
          <cell r="C56">
            <v>15000</v>
          </cell>
          <cell r="D56">
            <v>0.45</v>
          </cell>
          <cell r="E56">
            <v>7100</v>
          </cell>
          <cell r="F56">
            <v>0.42253521126760563</v>
          </cell>
          <cell r="G56">
            <v>0</v>
          </cell>
          <cell r="H56">
            <v>6800</v>
          </cell>
          <cell r="I56">
            <v>3000</v>
          </cell>
          <cell r="J56">
            <v>0</v>
          </cell>
          <cell r="K56" t="str">
            <v>NF</v>
          </cell>
          <cell r="L56">
            <v>36637</v>
          </cell>
          <cell r="M56" t="str">
            <v>changes from 4/20 mtg</v>
          </cell>
        </row>
        <row r="57">
          <cell r="A57" t="str">
            <v>THE MAN WHO CRIED</v>
          </cell>
          <cell r="B57">
            <v>36923</v>
          </cell>
          <cell r="C57">
            <v>500</v>
          </cell>
          <cell r="D57">
            <v>0.4</v>
          </cell>
          <cell r="E57">
            <v>1200</v>
          </cell>
          <cell r="F57">
            <v>0.41984732824427479</v>
          </cell>
          <cell r="G57">
            <v>0</v>
          </cell>
          <cell r="H57">
            <v>200</v>
          </cell>
          <cell r="I57">
            <v>500</v>
          </cell>
          <cell r="J57">
            <v>0</v>
          </cell>
          <cell r="K57" t="str">
            <v>NF</v>
          </cell>
          <cell r="L57">
            <v>36637</v>
          </cell>
          <cell r="M57" t="str">
            <v>changes from 4/20 mtg</v>
          </cell>
        </row>
        <row r="58">
          <cell r="A58" t="str">
            <v>BRIDGET</v>
          </cell>
          <cell r="B58">
            <v>36923</v>
          </cell>
          <cell r="C58">
            <v>30100</v>
          </cell>
          <cell r="D58">
            <v>0.39914163090128757</v>
          </cell>
          <cell r="E58">
            <v>18000</v>
          </cell>
          <cell r="F58">
            <v>0.41935483870967744</v>
          </cell>
          <cell r="G58">
            <v>0</v>
          </cell>
          <cell r="H58">
            <v>0</v>
          </cell>
          <cell r="I58">
            <v>7555</v>
          </cell>
          <cell r="J58">
            <v>0</v>
          </cell>
          <cell r="K58" t="str">
            <v>NF</v>
          </cell>
          <cell r="L58">
            <v>36636</v>
          </cell>
          <cell r="M58" t="str">
            <v>changed DBO to Greenlight</v>
          </cell>
        </row>
        <row r="59">
          <cell r="A59" t="str">
            <v>HEAD OVER HEELS</v>
          </cell>
          <cell r="B59">
            <v>36931</v>
          </cell>
          <cell r="C59">
            <v>25000</v>
          </cell>
          <cell r="D59">
            <v>0.47</v>
          </cell>
          <cell r="E59">
            <v>9500</v>
          </cell>
          <cell r="F59">
            <v>0.41666666666666669</v>
          </cell>
          <cell r="G59">
            <v>0</v>
          </cell>
          <cell r="H59">
            <v>11800</v>
          </cell>
          <cell r="I59">
            <v>4000</v>
          </cell>
          <cell r="J59">
            <v>0</v>
          </cell>
          <cell r="K59" t="str">
            <v>NF</v>
          </cell>
          <cell r="L59">
            <v>36637</v>
          </cell>
          <cell r="M59" t="str">
            <v>changes from 4/20 mtg</v>
          </cell>
        </row>
        <row r="60">
          <cell r="A60" t="str">
            <v>CINDERELLA MAN</v>
          </cell>
          <cell r="B60">
            <v>36951</v>
          </cell>
          <cell r="C60">
            <v>24000</v>
          </cell>
          <cell r="D60">
            <v>0.47083333333333333</v>
          </cell>
          <cell r="E60">
            <v>0</v>
          </cell>
          <cell r="F60">
            <v>0</v>
          </cell>
          <cell r="G60" t="e">
            <v>#N/A</v>
          </cell>
          <cell r="H60" t="e">
            <v>#N/A</v>
          </cell>
          <cell r="I60" t="e">
            <v>#N/A</v>
          </cell>
          <cell r="J60" t="e">
            <v>#N/A</v>
          </cell>
          <cell r="K60" t="str">
            <v>NF</v>
          </cell>
          <cell r="L60">
            <v>36599</v>
          </cell>
          <cell r="M60" t="str">
            <v>added to slate.  Tentative date</v>
          </cell>
        </row>
        <row r="61">
          <cell r="A61" t="str">
            <v>CAVEMAN`S VALENTINE</v>
          </cell>
          <cell r="B61">
            <v>36951</v>
          </cell>
          <cell r="C61">
            <v>7000</v>
          </cell>
          <cell r="D61">
            <v>0.4</v>
          </cell>
          <cell r="E61">
            <v>0</v>
          </cell>
          <cell r="F61">
            <v>0</v>
          </cell>
          <cell r="G61">
            <v>0</v>
          </cell>
          <cell r="H61">
            <v>2800</v>
          </cell>
          <cell r="I61">
            <v>0</v>
          </cell>
          <cell r="J61">
            <v>0</v>
          </cell>
          <cell r="K61" t="str">
            <v>NF</v>
          </cell>
          <cell r="L61">
            <v>36637</v>
          </cell>
          <cell r="M61" t="str">
            <v>changes from 4/20 mtg</v>
          </cell>
        </row>
        <row r="62">
          <cell r="A62" t="str">
            <v>HANNIBAL</v>
          </cell>
          <cell r="B62">
            <v>36982</v>
          </cell>
          <cell r="C62">
            <v>80000</v>
          </cell>
          <cell r="D62">
            <v>0</v>
          </cell>
          <cell r="E62">
            <v>64300</v>
          </cell>
          <cell r="F62">
            <v>0.42011173184357542</v>
          </cell>
          <cell r="G62">
            <v>0</v>
          </cell>
          <cell r="H62">
            <v>0</v>
          </cell>
          <cell r="I62">
            <v>27000</v>
          </cell>
          <cell r="J62">
            <v>0</v>
          </cell>
          <cell r="K62" t="str">
            <v>NF</v>
          </cell>
          <cell r="L62">
            <v>36636</v>
          </cell>
          <cell r="M62" t="str">
            <v>Added DBO = Greenlight</v>
          </cell>
        </row>
        <row r="63">
          <cell r="A63" t="str">
            <v>JOSIE AND THE PUSSYCATS</v>
          </cell>
          <cell r="B63">
            <v>36994</v>
          </cell>
          <cell r="C63">
            <v>30000</v>
          </cell>
          <cell r="D63">
            <v>0.47</v>
          </cell>
          <cell r="E63">
            <v>31400</v>
          </cell>
          <cell r="F63">
            <v>0.41997729852440407</v>
          </cell>
          <cell r="G63">
            <v>0</v>
          </cell>
          <cell r="H63">
            <v>14300</v>
          </cell>
          <cell r="I63">
            <v>13200</v>
          </cell>
          <cell r="J63">
            <v>0</v>
          </cell>
          <cell r="K63" t="str">
            <v>NF</v>
          </cell>
          <cell r="L63">
            <v>36637</v>
          </cell>
          <cell r="M63" t="str">
            <v>changes from 4/20 mtg</v>
          </cell>
        </row>
        <row r="64">
          <cell r="A64" t="str">
            <v>MUMMY 2</v>
          </cell>
          <cell r="B64">
            <v>37022</v>
          </cell>
          <cell r="C64">
            <v>110000</v>
          </cell>
          <cell r="D64">
            <v>0.5</v>
          </cell>
          <cell r="E64">
            <v>176200</v>
          </cell>
          <cell r="F64">
            <v>0.41997729852440407</v>
          </cell>
          <cell r="G64">
            <v>0</v>
          </cell>
          <cell r="H64">
            <v>55000</v>
          </cell>
          <cell r="I64">
            <v>74000</v>
          </cell>
          <cell r="J64">
            <v>0</v>
          </cell>
          <cell r="K64" t="str">
            <v>NF</v>
          </cell>
          <cell r="L64">
            <v>36637</v>
          </cell>
          <cell r="M64" t="str">
            <v>changes from 4/20 mtg</v>
          </cell>
        </row>
        <row r="65">
          <cell r="A65" t="str">
            <v>DIETER</v>
          </cell>
          <cell r="B65">
            <v>37050</v>
          </cell>
          <cell r="C65">
            <v>80000</v>
          </cell>
          <cell r="D65">
            <v>0.49</v>
          </cell>
          <cell r="E65">
            <v>50000</v>
          </cell>
          <cell r="F65">
            <v>0.41971383147853736</v>
          </cell>
          <cell r="G65">
            <v>0</v>
          </cell>
          <cell r="H65">
            <v>39200</v>
          </cell>
          <cell r="I65">
            <v>21000</v>
          </cell>
          <cell r="J65">
            <v>0</v>
          </cell>
          <cell r="K65" t="str">
            <v>NF</v>
          </cell>
          <cell r="L65">
            <v>36637</v>
          </cell>
          <cell r="M65" t="str">
            <v>changes from 4/20 mtg</v>
          </cell>
        </row>
        <row r="66">
          <cell r="A66" t="str">
            <v>RACER X</v>
          </cell>
          <cell r="B66">
            <v>36982</v>
          </cell>
          <cell r="C66">
            <v>38900</v>
          </cell>
          <cell r="D66">
            <v>0.47</v>
          </cell>
          <cell r="E66">
            <v>39800</v>
          </cell>
          <cell r="F66">
            <v>0.41971383147853736</v>
          </cell>
          <cell r="G66">
            <v>0</v>
          </cell>
          <cell r="H66">
            <v>18300</v>
          </cell>
          <cell r="I66">
            <v>16700</v>
          </cell>
          <cell r="J66">
            <v>0</v>
          </cell>
          <cell r="K66" t="str">
            <v>NF</v>
          </cell>
          <cell r="L66">
            <v>36637</v>
          </cell>
          <cell r="M66" t="str">
            <v>changes from 4/20 mtg</v>
          </cell>
        </row>
        <row r="67">
          <cell r="A67" t="str">
            <v>D-TOX</v>
          </cell>
          <cell r="B67" t="str">
            <v>Mar/Apr 01</v>
          </cell>
          <cell r="C67">
            <v>20000</v>
          </cell>
          <cell r="D67">
            <v>0.47</v>
          </cell>
          <cell r="E67">
            <v>50000</v>
          </cell>
          <cell r="F67">
            <v>0.42</v>
          </cell>
          <cell r="G67" t="e">
            <v>#N/A</v>
          </cell>
          <cell r="H67" t="e">
            <v>#N/A</v>
          </cell>
          <cell r="I67" t="e">
            <v>#N/A</v>
          </cell>
          <cell r="J67" t="e">
            <v>#N/A</v>
          </cell>
          <cell r="K67" t="str">
            <v>AH</v>
          </cell>
          <cell r="L67">
            <v>36627</v>
          </cell>
          <cell r="M67" t="str">
            <v>Added to slate w/rel date</v>
          </cell>
        </row>
        <row r="68">
          <cell r="A68" t="str">
            <v>NIGHT OF THE CREATURE</v>
          </cell>
          <cell r="B68" t="str">
            <v>TBD 2001</v>
          </cell>
          <cell r="C68">
            <v>5300</v>
          </cell>
          <cell r="D68">
            <v>0.39622641509433965</v>
          </cell>
          <cell r="E68">
            <v>2900</v>
          </cell>
          <cell r="F68">
            <v>0.41379310344827586</v>
          </cell>
          <cell r="G68">
            <v>0</v>
          </cell>
          <cell r="H68">
            <v>2100</v>
          </cell>
          <cell r="I68">
            <v>1200</v>
          </cell>
          <cell r="J68">
            <v>0</v>
          </cell>
          <cell r="K68" t="str">
            <v>NF</v>
          </cell>
          <cell r="L68" t="str">
            <v>3/14</v>
          </cell>
        </row>
        <row r="69">
          <cell r="A69" t="str">
            <v>STRICTLY SINATRA</v>
          </cell>
          <cell r="B69" t="str">
            <v>3/14</v>
          </cell>
          <cell r="C69" t="str">
            <v>3/14</v>
          </cell>
          <cell r="L69" t="str">
            <v>3/14</v>
          </cell>
        </row>
        <row r="70">
          <cell r="A70" t="str">
            <v>THE RAT</v>
          </cell>
          <cell r="B70" t="str">
            <v>3/14</v>
          </cell>
          <cell r="C70" t="str">
            <v>3/14</v>
          </cell>
          <cell r="L70" t="str">
            <v>3/14</v>
          </cell>
        </row>
        <row r="71">
          <cell r="A71" t="str">
            <v>SMILING SUICIDE CLUB</v>
          </cell>
          <cell r="B71" t="str">
            <v>3/14</v>
          </cell>
          <cell r="C71" t="str">
            <v>3/14</v>
          </cell>
          <cell r="L71" t="str">
            <v>3/14</v>
          </cell>
        </row>
        <row r="72">
          <cell r="A72" t="str">
            <v>BUSBY BABES</v>
          </cell>
          <cell r="B72" t="str">
            <v>3/14</v>
          </cell>
          <cell r="C72" t="str">
            <v>3/14</v>
          </cell>
          <cell r="L72" t="str">
            <v>3/14</v>
          </cell>
        </row>
        <row r="73">
          <cell r="A73" t="str">
            <v>FINAL CURTAIN</v>
          </cell>
          <cell r="B73" t="str">
            <v>3/14</v>
          </cell>
          <cell r="C73" t="str">
            <v>3/14</v>
          </cell>
          <cell r="L73" t="str">
            <v>3/14</v>
          </cell>
        </row>
        <row r="75">
          <cell r="A75" t="str">
            <v>UNIVERSAL 1999 SLATE</v>
          </cell>
        </row>
        <row r="76">
          <cell r="A76" t="str">
            <v>SMALL SOLDIERS</v>
          </cell>
          <cell r="B76">
            <v>35986</v>
          </cell>
          <cell r="C76">
            <v>0</v>
          </cell>
          <cell r="D76">
            <v>0</v>
          </cell>
          <cell r="E76">
            <v>35700</v>
          </cell>
          <cell r="F76">
            <v>0.42016806722689076</v>
          </cell>
          <cell r="G76">
            <v>0</v>
          </cell>
          <cell r="H76">
            <v>0</v>
          </cell>
          <cell r="I76">
            <v>15000</v>
          </cell>
          <cell r="J76">
            <v>0</v>
          </cell>
          <cell r="K76" t="str">
            <v>NF</v>
          </cell>
          <cell r="L76" t="str">
            <v>3/14</v>
          </cell>
        </row>
        <row r="77">
          <cell r="A77" t="str">
            <v>BASEKETBALL</v>
          </cell>
          <cell r="B77">
            <v>36007</v>
          </cell>
          <cell r="C77">
            <v>7000</v>
          </cell>
          <cell r="D77">
            <v>0.50842857142857145</v>
          </cell>
          <cell r="E77">
            <v>200</v>
          </cell>
          <cell r="F77">
            <v>0.35</v>
          </cell>
          <cell r="G77">
            <v>3559</v>
          </cell>
          <cell r="H77">
            <v>3559</v>
          </cell>
          <cell r="I77">
            <v>70</v>
          </cell>
          <cell r="J77">
            <v>0</v>
          </cell>
          <cell r="K77" t="str">
            <v>AH</v>
          </cell>
          <cell r="L77">
            <v>36608</v>
          </cell>
          <cell r="M77" t="str">
            <v>changed DBO</v>
          </cell>
        </row>
        <row r="78">
          <cell r="A78" t="str">
            <v>ONE TRUE THING</v>
          </cell>
          <cell r="B78">
            <v>36056</v>
          </cell>
          <cell r="C78">
            <v>23000</v>
          </cell>
          <cell r="D78">
            <v>0.45760869565217394</v>
          </cell>
          <cell r="E78">
            <v>3100</v>
          </cell>
          <cell r="F78">
            <v>0.42424242424242425</v>
          </cell>
          <cell r="G78">
            <v>10525</v>
          </cell>
          <cell r="H78">
            <v>10525</v>
          </cell>
          <cell r="I78">
            <v>1450</v>
          </cell>
          <cell r="J78">
            <v>0</v>
          </cell>
          <cell r="K78" t="str">
            <v>AH</v>
          </cell>
          <cell r="L78">
            <v>36608</v>
          </cell>
          <cell r="M78" t="str">
            <v>changed DBO &amp; FBO</v>
          </cell>
        </row>
        <row r="79">
          <cell r="A79" t="str">
            <v>UNIVERSAL 1999 SLATE</v>
          </cell>
          <cell r="B79">
            <v>36084</v>
          </cell>
          <cell r="C79">
            <v>100</v>
          </cell>
          <cell r="D79">
            <v>0.25</v>
          </cell>
          <cell r="E79">
            <v>0</v>
          </cell>
          <cell r="F79">
            <v>0</v>
          </cell>
          <cell r="G79">
            <v>25</v>
          </cell>
          <cell r="H79">
            <v>25</v>
          </cell>
          <cell r="I79">
            <v>0</v>
          </cell>
          <cell r="J79">
            <v>0</v>
          </cell>
          <cell r="K79" t="str">
            <v>NF</v>
          </cell>
          <cell r="L79" t="str">
            <v>3/14</v>
          </cell>
        </row>
        <row r="80">
          <cell r="A80" t="str">
            <v>SMALL SOLDIERS</v>
          </cell>
          <cell r="B80">
            <v>35986</v>
          </cell>
          <cell r="C80">
            <v>0</v>
          </cell>
          <cell r="D80">
            <v>0</v>
          </cell>
          <cell r="E80">
            <v>35700</v>
          </cell>
          <cell r="F80">
            <v>0.42016806722689076</v>
          </cell>
          <cell r="G80">
            <v>0</v>
          </cell>
          <cell r="H80">
            <v>0</v>
          </cell>
          <cell r="I80">
            <v>15000</v>
          </cell>
          <cell r="J80">
            <v>0</v>
          </cell>
          <cell r="K80" t="str">
            <v>NF</v>
          </cell>
          <cell r="L80" t="str">
            <v>3/14</v>
          </cell>
          <cell r="M80" t="str">
            <v>changed DBO &amp; FBO</v>
          </cell>
        </row>
        <row r="81">
          <cell r="A81" t="str">
            <v>BASEKETBALL</v>
          </cell>
          <cell r="B81">
            <v>36007</v>
          </cell>
          <cell r="C81">
            <v>7000</v>
          </cell>
          <cell r="D81">
            <v>0.50842857142857145</v>
          </cell>
          <cell r="E81">
            <v>200</v>
          </cell>
          <cell r="F81">
            <v>0.35</v>
          </cell>
          <cell r="G81">
            <v>0</v>
          </cell>
          <cell r="H81">
            <v>3559</v>
          </cell>
          <cell r="I81">
            <v>70</v>
          </cell>
          <cell r="J81">
            <v>0</v>
          </cell>
          <cell r="K81" t="str">
            <v>AH</v>
          </cell>
          <cell r="L81">
            <v>36608</v>
          </cell>
          <cell r="M81" t="str">
            <v>changed DBO</v>
          </cell>
        </row>
        <row r="82">
          <cell r="A82" t="str">
            <v>ONE TRUE THING</v>
          </cell>
          <cell r="B82">
            <v>36056</v>
          </cell>
          <cell r="C82">
            <v>23000</v>
          </cell>
          <cell r="D82">
            <v>0.45760869565217394</v>
          </cell>
          <cell r="E82">
            <v>3100</v>
          </cell>
          <cell r="F82">
            <v>0.467741935483871</v>
          </cell>
          <cell r="G82">
            <v>0</v>
          </cell>
          <cell r="H82">
            <v>10525</v>
          </cell>
          <cell r="I82">
            <v>1450</v>
          </cell>
          <cell r="J82">
            <v>0</v>
          </cell>
          <cell r="K82" t="str">
            <v>AH</v>
          </cell>
          <cell r="L82">
            <v>36608</v>
          </cell>
          <cell r="M82" t="str">
            <v>changed DBO &amp; FBO</v>
          </cell>
        </row>
        <row r="83">
          <cell r="A83" t="str">
            <v>REACH THE ROCK</v>
          </cell>
          <cell r="B83">
            <v>36084</v>
          </cell>
          <cell r="C83">
            <v>100</v>
          </cell>
          <cell r="D83">
            <v>0.25</v>
          </cell>
          <cell r="E83">
            <v>0</v>
          </cell>
          <cell r="F83">
            <v>0</v>
          </cell>
          <cell r="G83">
            <v>0</v>
          </cell>
          <cell r="H83">
            <v>25</v>
          </cell>
          <cell r="I83">
            <v>0</v>
          </cell>
          <cell r="J83">
            <v>0</v>
          </cell>
          <cell r="K83" t="str">
            <v>NF</v>
          </cell>
          <cell r="L83" t="str">
            <v>3/14</v>
          </cell>
          <cell r="M83" t="str">
            <v>changed FBO</v>
          </cell>
        </row>
        <row r="84">
          <cell r="A84" t="str">
            <v>BRIDE OF CHUCKY</v>
          </cell>
          <cell r="B84">
            <v>36084</v>
          </cell>
          <cell r="C84">
            <v>32000</v>
          </cell>
          <cell r="D84">
            <v>0.43693749999999998</v>
          </cell>
          <cell r="E84">
            <v>600</v>
          </cell>
          <cell r="F84">
            <v>0.38</v>
          </cell>
          <cell r="G84">
            <v>0</v>
          </cell>
          <cell r="H84">
            <v>13982</v>
          </cell>
          <cell r="I84">
            <v>228</v>
          </cell>
          <cell r="J84">
            <v>0</v>
          </cell>
          <cell r="K84" t="str">
            <v>AH</v>
          </cell>
          <cell r="L84">
            <v>36608</v>
          </cell>
          <cell r="M84" t="str">
            <v>changed DBO &amp; FBO</v>
          </cell>
        </row>
        <row r="85">
          <cell r="A85" t="str">
            <v>MEET JOE BLACK</v>
          </cell>
          <cell r="B85">
            <v>36112</v>
          </cell>
          <cell r="C85">
            <v>45000</v>
          </cell>
          <cell r="D85">
            <v>0.49644444444444447</v>
          </cell>
          <cell r="E85">
            <v>100000</v>
          </cell>
          <cell r="F85">
            <v>0.41993957703927492</v>
          </cell>
          <cell r="G85">
            <v>0</v>
          </cell>
          <cell r="H85">
            <v>22340</v>
          </cell>
          <cell r="I85">
            <v>41700</v>
          </cell>
          <cell r="J85">
            <v>0</v>
          </cell>
          <cell r="K85" t="str">
            <v>NF</v>
          </cell>
          <cell r="L85">
            <v>36608</v>
          </cell>
          <cell r="M85" t="str">
            <v>changed ret rate</v>
          </cell>
        </row>
        <row r="86">
          <cell r="A86" t="str">
            <v>BABE PIG IN THE CITY</v>
          </cell>
          <cell r="B86">
            <v>36124</v>
          </cell>
          <cell r="C86">
            <v>18200</v>
          </cell>
          <cell r="D86">
            <v>0.46928571428571431</v>
          </cell>
          <cell r="E86">
            <v>48000</v>
          </cell>
          <cell r="F86">
            <v>0.40416666666666667</v>
          </cell>
          <cell r="G86">
            <v>0</v>
          </cell>
          <cell r="H86">
            <v>8541</v>
          </cell>
          <cell r="I86">
            <v>19400</v>
          </cell>
          <cell r="J86">
            <v>0</v>
          </cell>
          <cell r="K86" t="str">
            <v>AH</v>
          </cell>
          <cell r="L86" t="str">
            <v>3/22</v>
          </cell>
          <cell r="M86" t="str">
            <v>changed FBO</v>
          </cell>
        </row>
        <row r="87">
          <cell r="A87" t="str">
            <v>PSYCHO</v>
          </cell>
          <cell r="B87">
            <v>36133</v>
          </cell>
          <cell r="C87">
            <v>21400</v>
          </cell>
          <cell r="D87">
            <v>0.47046728971962615</v>
          </cell>
          <cell r="E87">
            <v>14500</v>
          </cell>
          <cell r="F87">
            <v>0.40689655172413791</v>
          </cell>
          <cell r="G87">
            <v>0</v>
          </cell>
          <cell r="H87">
            <v>10068</v>
          </cell>
          <cell r="I87">
            <v>5900</v>
          </cell>
          <cell r="J87">
            <v>0</v>
          </cell>
          <cell r="K87" t="str">
            <v>AH</v>
          </cell>
          <cell r="L87" t="str">
            <v>3/22</v>
          </cell>
          <cell r="M87" t="str">
            <v>changed FBO</v>
          </cell>
        </row>
        <row r="88">
          <cell r="A88" t="str">
            <v>SHAKESPEARE IN LOVE</v>
          </cell>
          <cell r="B88">
            <v>36168</v>
          </cell>
          <cell r="C88">
            <v>0</v>
          </cell>
          <cell r="D88">
            <v>0</v>
          </cell>
          <cell r="E88">
            <v>189000</v>
          </cell>
          <cell r="F88">
            <v>0.38941798941798944</v>
          </cell>
          <cell r="G88">
            <v>0</v>
          </cell>
          <cell r="H88">
            <v>0</v>
          </cell>
          <cell r="I88">
            <v>73600</v>
          </cell>
          <cell r="J88">
            <v>0</v>
          </cell>
          <cell r="K88" t="str">
            <v>AH</v>
          </cell>
          <cell r="L88" t="str">
            <v>3/22</v>
          </cell>
          <cell r="M88" t="str">
            <v>changed FBO &amp; rel date</v>
          </cell>
        </row>
        <row r="89">
          <cell r="A89" t="str">
            <v>PATCH ADAMS</v>
          </cell>
          <cell r="B89">
            <v>36154</v>
          </cell>
          <cell r="C89">
            <v>135000</v>
          </cell>
          <cell r="D89">
            <v>0.51184444444444444</v>
          </cell>
          <cell r="E89">
            <v>64000</v>
          </cell>
          <cell r="F89">
            <v>0.41972477064220182</v>
          </cell>
          <cell r="G89">
            <v>0</v>
          </cell>
          <cell r="H89">
            <v>69099</v>
          </cell>
          <cell r="I89">
            <v>27450</v>
          </cell>
          <cell r="J89">
            <v>0</v>
          </cell>
          <cell r="K89" t="str">
            <v>NF</v>
          </cell>
          <cell r="L89">
            <v>36608</v>
          </cell>
          <cell r="M89" t="str">
            <v>changed ret rate</v>
          </cell>
        </row>
        <row r="90">
          <cell r="A90" t="str">
            <v>VIRUS</v>
          </cell>
          <cell r="B90">
            <v>36175</v>
          </cell>
          <cell r="C90">
            <v>14000</v>
          </cell>
          <cell r="D90">
            <v>0.43592857142857144</v>
          </cell>
          <cell r="E90">
            <v>600</v>
          </cell>
          <cell r="F90">
            <v>0.41666666666666669</v>
          </cell>
          <cell r="G90">
            <v>0</v>
          </cell>
          <cell r="H90">
            <v>6103</v>
          </cell>
          <cell r="I90">
            <v>250</v>
          </cell>
          <cell r="J90">
            <v>0</v>
          </cell>
          <cell r="K90" t="str">
            <v>AH</v>
          </cell>
          <cell r="L90">
            <v>36608</v>
          </cell>
          <cell r="M90" t="str">
            <v>changed DBO</v>
          </cell>
        </row>
        <row r="91">
          <cell r="A91" t="str">
            <v>edTV</v>
          </cell>
          <cell r="B91">
            <v>36245</v>
          </cell>
          <cell r="C91">
            <v>23000</v>
          </cell>
          <cell r="D91">
            <v>0.50869565217391299</v>
          </cell>
          <cell r="E91">
            <v>12900</v>
          </cell>
          <cell r="F91">
            <v>0.40310077519379844</v>
          </cell>
          <cell r="G91">
            <v>0</v>
          </cell>
          <cell r="H91">
            <v>11700</v>
          </cell>
          <cell r="I91">
            <v>5200</v>
          </cell>
          <cell r="J91">
            <v>0</v>
          </cell>
          <cell r="K91" t="str">
            <v>AH</v>
          </cell>
          <cell r="L91">
            <v>36608</v>
          </cell>
          <cell r="M91" t="str">
            <v>changed DBO &amp; rel date</v>
          </cell>
        </row>
        <row r="92">
          <cell r="A92" t="str">
            <v>OCTOBER SKY</v>
          </cell>
          <cell r="B92">
            <v>36210</v>
          </cell>
          <cell r="C92">
            <v>32000</v>
          </cell>
          <cell r="D92">
            <v>0.42825000000000002</v>
          </cell>
          <cell r="E92">
            <v>2400</v>
          </cell>
          <cell r="F92">
            <v>0.42291666666666666</v>
          </cell>
          <cell r="G92">
            <v>0</v>
          </cell>
          <cell r="H92">
            <v>13704</v>
          </cell>
          <cell r="I92">
            <v>1015</v>
          </cell>
          <cell r="J92">
            <v>0</v>
          </cell>
          <cell r="K92" t="str">
            <v>AH</v>
          </cell>
          <cell r="L92">
            <v>36608</v>
          </cell>
          <cell r="M92" t="str">
            <v>changed DBO &amp; rel date</v>
          </cell>
        </row>
        <row r="93">
          <cell r="A93" t="str">
            <v>LIFE</v>
          </cell>
          <cell r="B93">
            <v>36266</v>
          </cell>
          <cell r="C93">
            <v>64000</v>
          </cell>
          <cell r="D93">
            <v>0.48634375000000002</v>
          </cell>
          <cell r="E93">
            <v>10000</v>
          </cell>
          <cell r="F93">
            <v>0.4</v>
          </cell>
          <cell r="G93">
            <v>0</v>
          </cell>
          <cell r="H93">
            <v>31126</v>
          </cell>
          <cell r="I93">
            <v>4000</v>
          </cell>
          <cell r="J93">
            <v>0</v>
          </cell>
          <cell r="K93" t="str">
            <v>AH</v>
          </cell>
          <cell r="L93">
            <v>36615</v>
          </cell>
          <cell r="M93" t="str">
            <v>changed FBO</v>
          </cell>
        </row>
        <row r="94">
          <cell r="A94" t="str">
            <v>THE MUMMY</v>
          </cell>
          <cell r="B94">
            <v>36287</v>
          </cell>
          <cell r="C94">
            <v>155000</v>
          </cell>
          <cell r="D94">
            <v>0.50901935483870964</v>
          </cell>
          <cell r="E94">
            <v>258000</v>
          </cell>
          <cell r="F94">
            <v>0.43565891472868218</v>
          </cell>
          <cell r="G94">
            <v>0</v>
          </cell>
          <cell r="H94">
            <v>78898</v>
          </cell>
          <cell r="I94">
            <v>112400</v>
          </cell>
          <cell r="J94">
            <v>0</v>
          </cell>
          <cell r="K94" t="str">
            <v>NF</v>
          </cell>
          <cell r="L94">
            <v>36608</v>
          </cell>
          <cell r="M94" t="str">
            <v>changed ret rate</v>
          </cell>
        </row>
        <row r="96">
          <cell r="A96" t="str">
            <v>BO in purple -- have not updated spanglers to reflect current theatrical rentals for this title</v>
          </cell>
        </row>
        <row r="97">
          <cell r="A97" t="str">
            <v>Single Pot/Other Partner Assumptions</v>
          </cell>
        </row>
        <row r="98">
          <cell r="A98" t="str">
            <v>Confirm = Confirm retention rates are correct with appropriate party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A8" t="str">
            <v>AMERICAN PIE</v>
          </cell>
        </row>
      </sheetData>
      <sheetData sheetId="7">
        <row r="8">
          <cell r="A8" t="str">
            <v>AMERICAN PIE</v>
          </cell>
        </row>
      </sheetData>
      <sheetData sheetId="8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BOX OFF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  <sheetName val="A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>
            <v>0</v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>
            <v>0</v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>
            <v>0</v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>
            <v>0</v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>
            <v>0</v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>
            <v>0</v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>
            <v>0</v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>
            <v>0</v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>
            <v>0</v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>
            <v>0</v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>
            <v>0</v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>
            <v>0</v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>
            <v>0</v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>
            <v>0</v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>
            <v>0</v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>
            <v>0</v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>
            <v>0</v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>
            <v>0</v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>
            <v>0</v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>
            <v>0</v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>
            <v>0</v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>
            <v>0</v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>
            <v>0</v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>
            <v>0</v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>
            <v>0</v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>
            <v>0</v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>
            <v>0</v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>
            <v>0</v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>
            <v>0</v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>
            <v>0</v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>
            <v>0</v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>
            <v>0</v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>
            <v>0</v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>
            <v>0</v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>
            <v>0</v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>
            <v>0</v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>
            <v>0</v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>
            <v>0</v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>
            <v>0</v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>
            <v>0</v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>
            <v>0</v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>
            <v>0</v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>
            <v>0</v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>
            <v>0</v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>
            <v>0</v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>
            <v>0</v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>
            <v>0</v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>
            <v>0</v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>
            <v>0</v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>
            <v>0</v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>
            <v>0</v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>
            <v>0</v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>
            <v>0</v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>
            <v>0</v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>
            <v>0</v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>
            <v>0</v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>
            <v>0</v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>
            <v>0</v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>
            <v>0</v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>
            <v>0</v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>
            <v>0</v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>
            <v>0</v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>
            <v>0</v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>
            <v>0</v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>
            <v>0</v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>
            <v>0</v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>
            <v>0</v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>
            <v>0</v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>
            <v>0</v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>
            <v>0</v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>
            <v>0</v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>
            <v>0</v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>
            <v>0</v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>
            <v>0</v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>
            <v>0</v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>
            <v>0</v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>
            <v>0</v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>
            <v>0</v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>
            <v>0</v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>
            <v>0</v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>
            <v>0</v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>
            <v>0</v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>
            <v>0</v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>
            <v>0</v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>
            <v>0</v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>
            <v>0</v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>
            <v>0</v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>
            <v>0</v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>
            <v>0</v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>
            <v>0</v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>
            <v>0</v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>
            <v>0</v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>
            <v>0</v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>
            <v>0</v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>
            <v>0</v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>
            <v>0</v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>
            <v>0</v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>
            <v>0</v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>
            <v>0</v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>
            <v>0</v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>
            <v>0</v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>
            <v>0</v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>
            <v>0</v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>
            <v>0</v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>
            <v>0</v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>
            <v>0</v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>
            <v>0</v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>
            <v>0</v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>
            <v>0</v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>
            <v>0</v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>
            <v>0</v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>
            <v>0</v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>
            <v>0</v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>
            <v>0</v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>
            <v>0</v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>
            <v>0</v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>
            <v>0</v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>
            <v>0</v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>
            <v>0</v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>
            <v>0</v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>
            <v>0</v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>
            <v>0</v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>
            <v>0</v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>
            <v>0</v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>
            <v>0</v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>
            <v>0</v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>
            <v>0</v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>
            <v>0</v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>
            <v>0</v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>
            <v>0</v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>
            <v>0</v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>
            <v>0</v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>
            <v>0</v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>
            <v>0</v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>
            <v>0</v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>
            <v>0</v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>
            <v>0</v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>
            <v>0</v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>
            <v>0</v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>
            <v>0</v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>
            <v>0</v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>
            <v>0</v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>
            <v>0</v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>
            <v>0</v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>
            <v>0</v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>
            <v>0</v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>
            <v>0</v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>
            <v>0</v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>
            <v>0</v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>
            <v>0</v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>
            <v>0</v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>
            <v>0</v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>
            <v>0</v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>
            <v>0</v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>
            <v>0</v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>
            <v>0</v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>
            <v>0</v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>
            <v>0</v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>
            <v>0</v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>
            <v>0</v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>
            <v>0</v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>
            <v>0</v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>
            <v>0</v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>
            <v>0</v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>
            <v>0</v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>
            <v>0</v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>
            <v>0</v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>
            <v>0</v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>
            <v>0</v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>
            <v>0</v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>
            <v>0</v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>
            <v>0</v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>
            <v>0</v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>
            <v>0</v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>
            <v>0</v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>
            <v>0</v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>
            <v>0</v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>
            <v>0</v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>
            <v>0</v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>
            <v>0</v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>
            <v>0</v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>
            <v>0</v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>
            <v>0</v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>
            <v>0</v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>
            <v>0</v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>
            <v>0</v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>
            <v>0</v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>
            <v>0</v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>
            <v>0</v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>
            <v>0</v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>
            <v>0</v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>
            <v>0</v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>
            <v>0</v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>
            <v>0</v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>
            <v>0</v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>
            <v>0</v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>
            <v>0</v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>
            <v>0</v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>
            <v>0</v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>
            <v>0</v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>
            <v>0</v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>
            <v>0</v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>
            <v>0</v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>
            <v>0</v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>
            <v>0</v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>
            <v>0</v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>
            <v>0</v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>
            <v>0</v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>
            <v>0</v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>
            <v>0</v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>
            <v>0</v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>
            <v>0</v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>
            <v>0</v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>
            <v>0</v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>
            <v>0</v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>
            <v>0</v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>
            <v>0</v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>
            <v>0</v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>
            <v>0</v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>
            <v>0</v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>
            <v>0</v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>
            <v>0</v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>
            <v>0</v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>
            <v>0</v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>
            <v>0</v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>
            <v>0</v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>
            <v>0</v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>
            <v>0</v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>
            <v>0</v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>
            <v>0</v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>
            <v>0</v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>
            <v>0</v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>
            <v>0</v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>
            <v>0</v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>
            <v>0</v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>
            <v>0</v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>
            <v>0</v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>
            <v>0</v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>
            <v>0</v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>
            <v>0</v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>
            <v>0</v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>
            <v>0</v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>
            <v>0</v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>
            <v>0</v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>
            <v>0</v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>
            <v>0</v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>
            <v>0</v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>
            <v>0</v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>
            <v>0</v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>
            <v>0</v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>
            <v>0</v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>
            <v>0</v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>
            <v>0</v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>
            <v>0</v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>
            <v>0</v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>
            <v>0</v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>
            <v>0</v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  <sheetName val="DRH capex"/>
      <sheetName val="social capex "/>
      <sheetName val="by dept"/>
      <sheetName val="Projections"/>
      <sheetName val="Banques"/>
      <sheetName val="Key historical financial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BUDGET REVISE"/>
      <sheetName val="DM 30-09-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ONPT"/>
      <sheetName val="GLOBAL"/>
      <sheetName val="Feuil1"/>
      <sheetName val="Feuil1 (2)"/>
      <sheetName val="IAM "/>
      <sheetName val="MENSUEL"/>
      <sheetName val="CHEQUES ENCAISS"/>
      <sheetName val="_x0007_LOBAL"/>
      <sheetName val="Feuil1 _x0008_2)"/>
      <sheetName val="CHEQUES ENC@ISS"/>
      <sheetName val="IMPACT DES AUG_x000d_E_x000e_TATION"/>
      <sheetName val="RECAP SOPTIE"/>
      <sheetName val="IMPACT DES AUG_x000a_E_x000e_TATION"/>
      <sheetName val="Vir94"/>
      <sheetName val="Project Information"/>
      <sheetName val="Catégories&amp; motifs_réclamations"/>
      <sheetName val="CàP_Mois"/>
      <sheetName val="BUDGET REVISE"/>
      <sheetName val="DM 30-09-06"/>
      <sheetName val="Audit gauge"/>
      <sheetName val="IMPACT DES AUG_E_x000e_TATION"/>
      <sheetName val="Rend98_99"/>
      <sheetName val="BAL-N"/>
      <sheetName val="BAL-N-1"/>
      <sheetName val="Feuil1_(2)"/>
      <sheetName val="IAM_"/>
      <sheetName val="CHEQUES_ENCAISS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LOBAL"/>
      <sheetName val="Feuil1_2)"/>
      <sheetName val="CHEQUES_ENC@ISS"/>
      <sheetName val="IMPACT_DES_AUG_x000a_ETATION"/>
      <sheetName val="RECAP_SOPTIE"/>
      <sheetName val="Project_Information"/>
      <sheetName val="Catégories&amp;_motifs_réclamations"/>
      <sheetName val="BUDGET_REVISE"/>
      <sheetName val="DM_30-09-06"/>
      <sheetName val="Audit_gauge"/>
      <sheetName val="IMPACT_DES_AUG_ETATION"/>
      <sheetName val="CiorSA"/>
      <sheetName val="Données de base-Prod"/>
      <sheetName val="Feuil6"/>
      <sheetName val="Feuil3"/>
      <sheetName val="Feuil5"/>
      <sheetName val="Interconnect cost"/>
      <sheetName val="Rev summary"/>
      <sheetName val="Budget administratif EY, BG &amp;TG"/>
      <sheetName val="1.0"/>
      <sheetName val="3.00.BILAN"/>
      <sheetName val="Analitica VS general"/>
      <sheetName val="Key Indicators"/>
      <sheetName val="Capex Agadir BW"/>
      <sheetName val="Capex Casa BW"/>
      <sheetName val="Capex Fes BW"/>
      <sheetName val="Capex Marrakech BW"/>
      <sheetName val="Capex Oujda BW"/>
      <sheetName val="Capex Rabat BW"/>
      <sheetName val="Capex Settat BW"/>
      <sheetName val="Capex Tanger BW"/>
      <sheetName val="Opex Fes BW"/>
      <sheetName val="Opex Settat BW"/>
      <sheetName val="indicateurs"/>
      <sheetName val="liste des choix"/>
      <sheetName val="Capex"/>
      <sheetName val="Build"/>
      <sheetName val="BATIMENT"/>
      <sheetName val="R.Entreprises"/>
      <sheetName val="Table"/>
      <sheetName val="ARDECIDE"/>
      <sheetName val="Feuil1_(2)1"/>
      <sheetName val="IAM_1"/>
      <sheetName val="CHEQUES_ENCAISS1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CHEQUES_ENC@ISS1"/>
      <sheetName val="RECAP_SOPTIE1"/>
      <sheetName val="Project_Information1"/>
      <sheetName val="Catégories&amp;_motifs_réclamation1"/>
      <sheetName val="BUDGET_REVISE1"/>
      <sheetName val="DM_30-09-061"/>
      <sheetName val="Audit_gauge1"/>
      <sheetName val="Données_de_base-Prod"/>
      <sheetName val="Interconnect_cost"/>
      <sheetName val="Rev_summary"/>
      <sheetName val="Budget_administratif_EY,_BG_&amp;TG"/>
      <sheetName val="1_0"/>
      <sheetName val="3_00_BILAN"/>
      <sheetName val="Analitica_VS_general"/>
      <sheetName val="Key_Indicators"/>
      <sheetName val="Capex_Agadir_BW"/>
      <sheetName val="Capex_Casa_BW"/>
      <sheetName val="Capex_Fes_BW"/>
      <sheetName val="Capex_Marrakech_BW"/>
      <sheetName val="Capex_Oujda_BW"/>
      <sheetName val="Capex_Rabat_BW"/>
      <sheetName val="Capex_Settat_BW"/>
      <sheetName val="Capex_Tanger_BW"/>
      <sheetName val="Opex_Fes_BW"/>
      <sheetName val="Opex_Settat_BW"/>
      <sheetName val="liste_des_choix"/>
      <sheetName val="R_Entreprises"/>
      <sheetName val="CCS7 Signalling MTP"/>
      <sheetName val="Softswitch Translations"/>
      <sheetName val="4.0 Interconnects"/>
      <sheetName val="5.0 CCS7"/>
      <sheetName val="Controls"/>
      <sheetName val="Detail mensuel"/>
      <sheetName val="_ref"/>
      <sheetName val="A"/>
      <sheetName val="HW"/>
      <sheetName val="Feuil1_(2)2"/>
      <sheetName val="IAM_2"/>
      <sheetName val="CHEQUES_ENCAISS2"/>
      <sheetName val="Budget_2007_Rem2"/>
      <sheetName val="Ecart_budgétaire_02-2007_2"/>
      <sheetName val="Recrutements_20072"/>
      <sheetName val="Rétab_Sal_20072"/>
      <sheetName val="IMPACT_DES_AUGMENTATION2"/>
      <sheetName val="RECAP_SORTIE2"/>
      <sheetName val="BASE_SORTIE2"/>
      <sheetName val="Chang_Tx_Ancienneté2"/>
      <sheetName val="CHEQUES_ENC@ISS2"/>
      <sheetName val="RECAP_SOPTIE2"/>
      <sheetName val="Project_Information2"/>
      <sheetName val="Catégories&amp;_motifs_réclamation2"/>
      <sheetName val="BUDGET_REVISE2"/>
      <sheetName val="DM_30-09-062"/>
      <sheetName val="Audit_gauge2"/>
      <sheetName val="Données_de_base-Prod1"/>
      <sheetName val="Interconnect_cost1"/>
      <sheetName val="Rev_summary1"/>
      <sheetName val="Budget_administratif_EY,_BG_&amp;T1"/>
      <sheetName val="1_01"/>
      <sheetName val="3_00_BILAN1"/>
      <sheetName val="Analitica_VS_general1"/>
      <sheetName val="Key_Indicators1"/>
      <sheetName val="Capex_Agadir_BW1"/>
      <sheetName val="Capex_Casa_BW1"/>
      <sheetName val="Capex_Fes_BW1"/>
      <sheetName val="Capex_Marrakech_BW1"/>
      <sheetName val="Capex_Oujda_BW1"/>
      <sheetName val="Capex_Rabat_BW1"/>
      <sheetName val="Capex_Settat_BW1"/>
      <sheetName val="Capex_Tanger_BW1"/>
      <sheetName val="Opex_Fes_BW1"/>
      <sheetName val="Opex_Settat_BW1"/>
      <sheetName val="liste_des_choix1"/>
      <sheetName val="R_Entreprises1"/>
      <sheetName val="CCS7_Signalling_MTP"/>
      <sheetName val="Softswitch_Translations"/>
      <sheetName val="4_0_Interconnects"/>
      <sheetName val="5_0_CCS7"/>
      <sheetName val="第一站点升级"/>
      <sheetName val="全网升级"/>
      <sheetName val="CN软件升级工时"/>
      <sheetName val="CN维保等效网元系数"/>
      <sheetName val="Project_Summary"/>
      <sheetName val="Input"/>
      <sheetName val="hpMGCvm"/>
      <sheetName val="Stela"/>
      <sheetName val="Output_Phoenix"/>
      <sheetName val="hpISCvm"/>
      <sheetName val="Feuil1_(2)3"/>
      <sheetName val="IAM_3"/>
      <sheetName val="CHEQUES_ENCAISS3"/>
      <sheetName val="Budget_2007_Rem3"/>
      <sheetName val="Ecart_budgétaire_02-2007_3"/>
      <sheetName val="Recrutements_20073"/>
      <sheetName val="Rétab_Sal_20073"/>
      <sheetName val="IMPACT_DES_AUGMENTATION3"/>
      <sheetName val="RECAP_SORTIE3"/>
      <sheetName val="BASE_SORTIE3"/>
      <sheetName val="Chang_Tx_Ancienneté3"/>
      <sheetName val="CHEQUES_ENC@ISS3"/>
      <sheetName val="RECAP_SOPTIE3"/>
      <sheetName val="Project_Information3"/>
      <sheetName val="Catégories&amp;_motifs_réclamation3"/>
      <sheetName val="BUDGET_REVISE3"/>
      <sheetName val="DM_30-09-063"/>
      <sheetName val="Audit_gauge3"/>
      <sheetName val="Données_de_base-Prod2"/>
      <sheetName val="Interconnect_cost2"/>
      <sheetName val="Rev_summary2"/>
      <sheetName val="Budget_administratif_EY,_BG_&amp;T2"/>
      <sheetName val="1_02"/>
      <sheetName val="3_00_BILAN2"/>
      <sheetName val="Analitica_VS_general2"/>
      <sheetName val="Key_Indicators2"/>
      <sheetName val="Capex_Agadir_BW2"/>
      <sheetName val="Capex_Casa_BW2"/>
      <sheetName val="Capex_Fes_BW2"/>
      <sheetName val="Capex_Marrakech_BW2"/>
      <sheetName val="Capex_Oujda_BW2"/>
      <sheetName val="Capex_Rabat_BW2"/>
      <sheetName val="Capex_Settat_BW2"/>
      <sheetName val="Capex_Tanger_BW2"/>
      <sheetName val="Opex_Fes_BW2"/>
      <sheetName val="Opex_Settat_BW2"/>
      <sheetName val="liste_des_choix2"/>
      <sheetName val="R_Entreprises2"/>
      <sheetName val="CCS7_Signalling_MTP1"/>
      <sheetName val="Softswitch_Translations1"/>
      <sheetName val="4_0_Interconnects1"/>
      <sheetName val="5_0_CCS71"/>
      <sheetName val="Feuil1_(2)4"/>
      <sheetName val="IAM_4"/>
      <sheetName val="CHEQUES_ENCAISS4"/>
      <sheetName val="Budget_2007_Rem4"/>
      <sheetName val="Ecart_budgétaire_02-2007_4"/>
      <sheetName val="Recrutements_20074"/>
      <sheetName val="Rétab_Sal_20074"/>
      <sheetName val="IMPACT_DES_AUGMENTATION4"/>
      <sheetName val="RECAP_SORTIE4"/>
      <sheetName val="BASE_SORTIE4"/>
      <sheetName val="Chang_Tx_Ancienneté4"/>
      <sheetName val="CHEQUES_ENC@ISS4"/>
      <sheetName val="RECAP_SOPTIE4"/>
      <sheetName val="Project_Information4"/>
      <sheetName val="Catégories&amp;_motifs_réclamation4"/>
      <sheetName val="BUDGET_REVISE4"/>
      <sheetName val="DM_30-09-064"/>
      <sheetName val="Audit_gauge4"/>
      <sheetName val="Données_de_base-Prod3"/>
      <sheetName val="Interconnect_cost3"/>
      <sheetName val="Rev_summary3"/>
      <sheetName val="Budget_administratif_EY,_BG_&amp;T3"/>
      <sheetName val="1_03"/>
      <sheetName val="3_00_BILAN3"/>
      <sheetName val="Analitica_VS_general3"/>
      <sheetName val="Key_Indicators3"/>
      <sheetName val="Capex_Agadir_BW3"/>
      <sheetName val="Capex_Casa_BW3"/>
      <sheetName val="Capex_Fes_BW3"/>
      <sheetName val="Capex_Marrakech_BW3"/>
      <sheetName val="Capex_Oujda_BW3"/>
      <sheetName val="Capex_Rabat_BW3"/>
      <sheetName val="Capex_Settat_BW3"/>
      <sheetName val="Capex_Tanger_BW3"/>
      <sheetName val="Opex_Fes_BW3"/>
      <sheetName val="Opex_Settat_BW3"/>
      <sheetName val="liste_des_choix3"/>
      <sheetName val="R_Entreprises3"/>
      <sheetName val="CCS7_Signalling_MTP2"/>
      <sheetName val="Softswitch_Translations2"/>
      <sheetName val="4_0_Interconnects2"/>
      <sheetName val="5_0_CCS72"/>
      <sheetName val="LE02 SIEGE"/>
      <sheetName val="hypothèse"/>
      <sheetName val="Feuil1_(2)5"/>
      <sheetName val="IAM_5"/>
      <sheetName val="CHEQUES_ENCAISS5"/>
      <sheetName val="Budget_2007_Rem5"/>
      <sheetName val="Ecart_budgétaire_02-2007_5"/>
      <sheetName val="Recrutements_20075"/>
      <sheetName val="Rétab_Sal_20075"/>
      <sheetName val="IMPACT_DES_AUGMENTATION5"/>
      <sheetName val="RECAP_SORTIE5"/>
      <sheetName val="BASE_SORTIE5"/>
      <sheetName val="Chang_Tx_Ancienneté5"/>
      <sheetName val="CHEQUES_ENC@ISS5"/>
      <sheetName val="RECAP_SOPTIE5"/>
      <sheetName val="a.i.a"/>
      <sheetName val="LE02_SIEGE1"/>
      <sheetName val="Detail_mensuel1"/>
      <sheetName val="LE02_SIEGE"/>
      <sheetName val="Detail_mensuel"/>
      <sheetName val="AUTRESDEPENSES"/>
      <sheetName val="GLP-DISCOUNT"/>
      <sheetName val="Project_Information5"/>
      <sheetName val="Catégories&amp;_motifs_réclamation5"/>
      <sheetName val="BUDGET_REVISE5"/>
      <sheetName val="DM_30-09-065"/>
      <sheetName val="Audit_gauge5"/>
      <sheetName val="Données_de_base-Prod4"/>
      <sheetName val="Interconnect_cost4"/>
      <sheetName val="Rev_summary4"/>
      <sheetName val="Budget_administratif_EY,_BG_&amp;T4"/>
      <sheetName val="1_04"/>
      <sheetName val="3_00_BILAN4"/>
      <sheetName val="Analitica_VS_general4"/>
      <sheetName val="Key_Indicators4"/>
      <sheetName val="Capex_Agadir_BW4"/>
      <sheetName val="Capex_Casa_BW4"/>
      <sheetName val="Capex_Fes_BW4"/>
      <sheetName val="Capex_Marrakech_BW4"/>
      <sheetName val="Capex_Oujda_BW4"/>
      <sheetName val="Capex_Rabat_BW4"/>
      <sheetName val="Capex_Settat_BW4"/>
      <sheetName val="Capex_Tanger_BW4"/>
      <sheetName val="Opex_Fes_BW4"/>
      <sheetName val="Opex_Settat_BW4"/>
      <sheetName val="liste_des_choix4"/>
      <sheetName val="R_Entreprises4"/>
      <sheetName val="CCS7_Signalling_MTP3"/>
      <sheetName val="Softswitch_Translations3"/>
      <sheetName val="4_0_Interconnects3"/>
      <sheetName val="5_0_CCS73"/>
    </sheetNames>
    <sheetDataSet>
      <sheetData sheetId="0">
        <row r="33">
          <cell r="B33">
            <v>29421192.156579491</v>
          </cell>
        </row>
      </sheetData>
      <sheetData sheetId="1">
        <row r="33">
          <cell r="B33">
            <v>29421192.156579491</v>
          </cell>
        </row>
      </sheetData>
      <sheetData sheetId="2">
        <row r="33">
          <cell r="B33">
            <v>29421192.156579491</v>
          </cell>
        </row>
      </sheetData>
      <sheetData sheetId="3" refreshError="1"/>
      <sheetData sheetId="4">
        <row r="33">
          <cell r="B33">
            <v>29421192.156579491</v>
          </cell>
        </row>
      </sheetData>
      <sheetData sheetId="5">
        <row r="33">
          <cell r="B33">
            <v>29421192.156579491</v>
          </cell>
        </row>
      </sheetData>
      <sheetData sheetId="6">
        <row r="33">
          <cell r="B33">
            <v>29421192.156579491</v>
          </cell>
        </row>
      </sheetData>
      <sheetData sheetId="7">
        <row r="33">
          <cell r="B33">
            <v>29421192.156579491</v>
          </cell>
        </row>
      </sheetData>
      <sheetData sheetId="8">
        <row r="33">
          <cell r="B33">
            <v>29421192.156579491</v>
          </cell>
        </row>
      </sheetData>
      <sheetData sheetId="9">
        <row r="33">
          <cell r="B33">
            <v>29421192.156579491</v>
          </cell>
        </row>
      </sheetData>
      <sheetData sheetId="10" refreshError="1"/>
      <sheetData sheetId="11">
        <row r="33">
          <cell r="B33">
            <v>29421192.156579491</v>
          </cell>
        </row>
      </sheetData>
      <sheetData sheetId="12">
        <row r="33">
          <cell r="B33">
            <v>29421192.156579491</v>
          </cell>
        </row>
      </sheetData>
      <sheetData sheetId="13">
        <row r="33">
          <cell r="B33">
            <v>29421192.156579491</v>
          </cell>
        </row>
      </sheetData>
      <sheetData sheetId="14">
        <row r="33">
          <cell r="B33">
            <v>29421192.156579491</v>
          </cell>
        </row>
      </sheetData>
      <sheetData sheetId="15">
        <row r="33">
          <cell r="B33">
            <v>29421192.156579491</v>
          </cell>
        </row>
      </sheetData>
      <sheetData sheetId="16" refreshError="1"/>
      <sheetData sheetId="17">
        <row r="33">
          <cell r="B33">
            <v>29421192.156579491</v>
          </cell>
        </row>
        <row r="36">
          <cell r="B36">
            <v>38687440.509999998</v>
          </cell>
        </row>
      </sheetData>
      <sheetData sheetId="18">
        <row r="12">
          <cell r="V12">
            <v>40267960</v>
          </cell>
        </row>
      </sheetData>
      <sheetData sheetId="19">
        <row r="33">
          <cell r="B33">
            <v>29421192.156579491</v>
          </cell>
        </row>
      </sheetData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>
        <row r="33">
          <cell r="B33">
            <v>29421192.156579491</v>
          </cell>
        </row>
      </sheetData>
      <sheetData sheetId="39"/>
      <sheetData sheetId="40">
        <row r="33">
          <cell r="B33">
            <v>29421192.156579491</v>
          </cell>
        </row>
      </sheetData>
      <sheetData sheetId="41">
        <row r="33">
          <cell r="B33">
            <v>29421192.156579491</v>
          </cell>
        </row>
      </sheetData>
      <sheetData sheetId="42"/>
      <sheetData sheetId="43">
        <row r="33">
          <cell r="B33">
            <v>29421192.156579491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33">
          <cell r="B33">
            <v>29421192.156579491</v>
          </cell>
        </row>
      </sheetData>
      <sheetData sheetId="57"/>
      <sheetData sheetId="58">
        <row r="33">
          <cell r="B33">
            <v>29421192.156579491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33">
          <cell r="B33">
            <v>29421192.156579491</v>
          </cell>
        </row>
      </sheetData>
      <sheetData sheetId="88">
        <row r="33">
          <cell r="B33">
            <v>29421192.156579491</v>
          </cell>
        </row>
      </sheetData>
      <sheetData sheetId="89">
        <row r="33">
          <cell r="B33">
            <v>29421192.156579491</v>
          </cell>
        </row>
      </sheetData>
      <sheetData sheetId="90">
        <row r="33">
          <cell r="B33">
            <v>29421192.156579491</v>
          </cell>
        </row>
      </sheetData>
      <sheetData sheetId="91">
        <row r="33">
          <cell r="B33">
            <v>29421192.156579491</v>
          </cell>
        </row>
      </sheetData>
      <sheetData sheetId="92">
        <row r="33">
          <cell r="B33">
            <v>29421192.156579491</v>
          </cell>
        </row>
      </sheetData>
      <sheetData sheetId="93">
        <row r="33">
          <cell r="B33">
            <v>29421192.156579491</v>
          </cell>
        </row>
      </sheetData>
      <sheetData sheetId="94">
        <row r="33">
          <cell r="B33">
            <v>29421192.156579491</v>
          </cell>
        </row>
      </sheetData>
      <sheetData sheetId="95">
        <row r="33">
          <cell r="B33">
            <v>29421192.156579491</v>
          </cell>
        </row>
      </sheetData>
      <sheetData sheetId="96">
        <row r="33">
          <cell r="B33">
            <v>29421192.156579491</v>
          </cell>
        </row>
      </sheetData>
      <sheetData sheetId="97">
        <row r="33">
          <cell r="B33">
            <v>29421192.156579491</v>
          </cell>
        </row>
      </sheetData>
      <sheetData sheetId="98">
        <row r="33">
          <cell r="B33">
            <v>29421192.156579491</v>
          </cell>
        </row>
      </sheetData>
      <sheetData sheetId="99">
        <row r="33">
          <cell r="B33">
            <v>29421192.156579491</v>
          </cell>
        </row>
      </sheetData>
      <sheetData sheetId="100">
        <row r="33">
          <cell r="B33">
            <v>29421192.156579491</v>
          </cell>
        </row>
      </sheetData>
      <sheetData sheetId="101">
        <row r="33">
          <cell r="B33">
            <v>29421192.156579491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33">
          <cell r="B33">
            <v>29421192.156579491</v>
          </cell>
        </row>
      </sheetData>
      <sheetData sheetId="137">
        <row r="33">
          <cell r="B33">
            <v>29421192.156579491</v>
          </cell>
        </row>
      </sheetData>
      <sheetData sheetId="138">
        <row r="33">
          <cell r="B33">
            <v>29421192.156579491</v>
          </cell>
        </row>
      </sheetData>
      <sheetData sheetId="139">
        <row r="33">
          <cell r="B33">
            <v>29421192.156579491</v>
          </cell>
        </row>
      </sheetData>
      <sheetData sheetId="140">
        <row r="33">
          <cell r="B33">
            <v>29421192.156579491</v>
          </cell>
        </row>
      </sheetData>
      <sheetData sheetId="141">
        <row r="33">
          <cell r="B33">
            <v>29421192.156579491</v>
          </cell>
        </row>
      </sheetData>
      <sheetData sheetId="142">
        <row r="33">
          <cell r="B33">
            <v>29421192.156579491</v>
          </cell>
        </row>
      </sheetData>
      <sheetData sheetId="143">
        <row r="33">
          <cell r="B33">
            <v>29421192.156579491</v>
          </cell>
        </row>
      </sheetData>
      <sheetData sheetId="144">
        <row r="33">
          <cell r="B33">
            <v>29421192.156579491</v>
          </cell>
        </row>
      </sheetData>
      <sheetData sheetId="145">
        <row r="33">
          <cell r="B33">
            <v>29421192.156579491</v>
          </cell>
        </row>
      </sheetData>
      <sheetData sheetId="146">
        <row r="33">
          <cell r="B33">
            <v>29421192.156579491</v>
          </cell>
        </row>
      </sheetData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33">
          <cell r="B33">
            <v>29421192.156579491</v>
          </cell>
        </row>
      </sheetData>
      <sheetData sheetId="189">
        <row r="33">
          <cell r="B33">
            <v>29421192.156579491</v>
          </cell>
        </row>
      </sheetData>
      <sheetData sheetId="190">
        <row r="33">
          <cell r="B33">
            <v>29421192.156579491</v>
          </cell>
        </row>
      </sheetData>
      <sheetData sheetId="191">
        <row r="33">
          <cell r="B33">
            <v>29421192.156579491</v>
          </cell>
        </row>
      </sheetData>
      <sheetData sheetId="192">
        <row r="33">
          <cell r="B33">
            <v>29421192.156579491</v>
          </cell>
        </row>
      </sheetData>
      <sheetData sheetId="193">
        <row r="33">
          <cell r="B33">
            <v>29421192.156579491</v>
          </cell>
        </row>
      </sheetData>
      <sheetData sheetId="194">
        <row r="33">
          <cell r="B33">
            <v>29421192.156579491</v>
          </cell>
        </row>
      </sheetData>
      <sheetData sheetId="195">
        <row r="33">
          <cell r="B33">
            <v>29421192.156579491</v>
          </cell>
        </row>
      </sheetData>
      <sheetData sheetId="196">
        <row r="33">
          <cell r="B33">
            <v>29421192.156579491</v>
          </cell>
        </row>
      </sheetData>
      <sheetData sheetId="197">
        <row r="33">
          <cell r="B33">
            <v>29421192.156579491</v>
          </cell>
        </row>
      </sheetData>
      <sheetData sheetId="198">
        <row r="33">
          <cell r="B33">
            <v>29421192.156579491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33">
          <cell r="B33">
            <v>29421192.156579491</v>
          </cell>
        </row>
      </sheetData>
      <sheetData sheetId="231"/>
      <sheetData sheetId="232">
        <row r="33">
          <cell r="B33">
            <v>29421192.156579491</v>
          </cell>
        </row>
      </sheetData>
      <sheetData sheetId="233">
        <row r="33">
          <cell r="B33">
            <v>29421192.156579491</v>
          </cell>
        </row>
      </sheetData>
      <sheetData sheetId="234">
        <row r="33">
          <cell r="B33">
            <v>29421192.156579491</v>
          </cell>
        </row>
      </sheetData>
      <sheetData sheetId="235">
        <row r="33">
          <cell r="B33">
            <v>29421192.156579491</v>
          </cell>
        </row>
      </sheetData>
      <sheetData sheetId="236">
        <row r="33">
          <cell r="B33">
            <v>29421192.156579491</v>
          </cell>
        </row>
      </sheetData>
      <sheetData sheetId="237">
        <row r="33">
          <cell r="B33">
            <v>29421192.156579491</v>
          </cell>
        </row>
      </sheetData>
      <sheetData sheetId="238">
        <row r="33">
          <cell r="B33">
            <v>29421192.156579491</v>
          </cell>
        </row>
      </sheetData>
      <sheetData sheetId="239">
        <row r="33">
          <cell r="B33">
            <v>29421192.156579491</v>
          </cell>
        </row>
      </sheetData>
      <sheetData sheetId="240">
        <row r="33">
          <cell r="B33">
            <v>29421192.156579491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  <sheetName val="A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des coûts TM&amp;DEP comprise"/>
      <sheetName val="particularités"/>
      <sheetName val="TM_Cle_abt"/>
      <sheetName val="coût_mn_seg"/>
      <sheetName val="act_cles"/>
      <sheetName val="Racc"/>
      <sheetName val="location_circuits"/>
      <sheetName val="parc_abonnés"/>
      <sheetName val="Accroiss"/>
      <sheetName val="C.A_crédit_internat;"/>
      <sheetName val="C.A_solde"/>
      <sheetName val="TM_Cle"/>
      <sheetName val="charges par seg"/>
      <sheetName val="volume en mn 365jrs"/>
      <sheetName val="volume en mn_309jrs"/>
      <sheetName val="mn98_12mois"/>
      <sheetName val="Publiponie"/>
      <sheetName val="coût_Publiponie"/>
      <sheetName val="volumétrie par segment en mn"/>
      <sheetName val="coût d'une mn par segment"/>
      <sheetName val="coût par accés hors TM&amp;DEP"/>
      <sheetName val="TI"/>
      <sheetName val="seg_nature"/>
      <sheetName val="TI_LGD"/>
      <sheetName val="TM_Cle_solde"/>
      <sheetName val="prov_solde"/>
      <sheetName val="coût_moyen par ligne"/>
      <sheetName val="note_internationale"/>
      <sheetName val="coût_international"/>
      <sheetName val="accès_compar"/>
      <sheetName val="comp97-98"/>
      <sheetName val="comp98_conseil"/>
      <sheetName val="compar HQP"/>
      <sheetName val="compar+QP"/>
      <sheetName val="synth98"/>
      <sheetName val="coût d'une mn segment_97-98"/>
      <sheetName val="accès97_98"/>
      <sheetName val="racc1"/>
      <sheetName val="Abon_raccord"/>
      <sheetName val="comp_sce_univ98-97"/>
      <sheetName val="stratégie"/>
      <sheetName val="Sce-Univ 98 (à_edite)"/>
      <sheetName val="SU_finances"/>
      <sheetName val="proj_abt-99"/>
      <sheetName val="cmles_parc"/>
      <sheetName val="Sce-Univ 98_parc"/>
      <sheetName val="coût par accés logique interco"/>
      <sheetName val="synth des coûts TM_DEP comprise"/>
      <sheetName val="Feuil1"/>
      <sheetName val="Feuil2"/>
      <sheetName val="Feuil3"/>
      <sheetName val="Vir94"/>
      <sheetName val="MS"/>
      <sheetName val="AW"/>
      <sheetName val="RSG"/>
      <sheetName val="Feuil9"/>
      <sheetName val="PRODUIT PAR DRT"/>
      <sheetName val="Description of Each Section"/>
      <sheetName val="Softswitch Translations"/>
      <sheetName val="CCS7 Signalling MTP"/>
      <sheetName val="Features, Tones &amp; AMA"/>
      <sheetName val="Interconnects Datafill"/>
      <sheetName val="BATIMENT"/>
      <sheetName val="Catégories&amp; motifs_réclamations"/>
      <sheetName val="IAM "/>
      <sheetName val="DISCOUNT"/>
      <sheetName val="31.12.05"/>
      <sheetName val="31.10.05"/>
      <sheetName val="BF RTTE 8"/>
      <sheetName val="Loan Data"/>
      <sheetName val="ANEX99"/>
      <sheetName val="M210 &amp; M215"/>
      <sheetName val="Office"/>
      <sheetName val="particularit?s"/>
      <sheetName val="co?t_mn_seg"/>
      <sheetName val="parc_abonn?s"/>
      <sheetName val="C.A_cr?dit_internat;"/>
      <sheetName val="co?t_Publiponie"/>
      <sheetName val="volum?trie par segment en mn"/>
      <sheetName val="co?t d'une mn par segment"/>
      <sheetName val="co?t par acc?s hors TM&amp;DEP"/>
      <sheetName val="co?t_moyen par ligne"/>
      <sheetName val="synth des co?ts TM&amp;DEP comprise"/>
      <sheetName val="co?t_international"/>
      <sheetName val="acc?s_compar"/>
      <sheetName val="co?t d'une mn segment_97-98"/>
      <sheetName val="acc?s97_98"/>
      <sheetName val="strat?gie"/>
      <sheetName val="Sce-Univ 98 (?_edite)"/>
      <sheetName val="co?t par acc?s logique interco"/>
      <sheetName val="synth des co?ts TM_DEP comprise"/>
      <sheetName val="Capex Tanger"/>
      <sheetName val="Capex Agadir BW"/>
      <sheetName val="Capex Casa BW"/>
      <sheetName val="Capex Fes BW"/>
      <sheetName val="Capex Marrakech BW"/>
      <sheetName val="Capex Oujda BW"/>
      <sheetName val="Capex Rabat BW"/>
      <sheetName val="Capex Settat BW"/>
      <sheetName val="Capex Tanger BW"/>
      <sheetName val="Opex Fes BW"/>
      <sheetName val="Opex Settat BW"/>
      <sheetName val="G400"/>
      <sheetName val="Dogus"/>
      <sheetName val="Calcul"/>
      <sheetName val="particularit_s"/>
      <sheetName val="co_t_mn_seg"/>
      <sheetName val="parc_abonn_s"/>
      <sheetName val="C.A_cr_dit_internat;"/>
      <sheetName val="co_t_Publiponie"/>
      <sheetName val="volum_trie par segment en mn"/>
      <sheetName val="co_t d'une mn par segment"/>
      <sheetName val="co_t par acc_s hors TM&amp;DEP"/>
      <sheetName val="co_t_moyen par ligne"/>
      <sheetName val="synth des co_ts TM&amp;DEP comprise"/>
      <sheetName val="co_t_international"/>
      <sheetName val="acc_s_compar"/>
      <sheetName val="co_t d'une mn segment_97-98"/>
      <sheetName val="acc_s97_98"/>
      <sheetName val="strat_gie"/>
      <sheetName val="Sce-Univ 98 (__edite)"/>
      <sheetName val="co_t par acc_s logique interco"/>
      <sheetName val="synth des co_ts TM_DEP comprise"/>
      <sheetName val="S.P1"/>
      <sheetName val="S_Traffic Model Entry"/>
      <sheetName val="synth_des_coûts_TM&amp;DEP_comprise"/>
      <sheetName val="C_A_crédit_internat;"/>
      <sheetName val="C_A_solde"/>
      <sheetName val="charges_par_seg"/>
      <sheetName val="volume_en_mn_365jrs"/>
      <sheetName val="volume_en_mn_309jrs"/>
      <sheetName val="volumétrie_par_segment_en_mn"/>
      <sheetName val="coût_d'une_mn_par_segment"/>
      <sheetName val="coût_par_accés_hors_TM&amp;DEP"/>
      <sheetName val="coût_moyen_par_ligne"/>
      <sheetName val="compar_HQP"/>
      <sheetName val="coût_d'une_mn_segment_97-98"/>
      <sheetName val="Sce-Univ_98_(à_edite)"/>
      <sheetName val="Sce-Univ_98_parc"/>
      <sheetName val="coût_par_accés_logique_interco"/>
      <sheetName val="synth_des_coûts_TM_DEP_comprise"/>
      <sheetName val="Internet Mobile-09"/>
      <sheetName val="P.EQUIPEMENT99"/>
      <sheetName val="MOB"/>
      <sheetName val="ONPT"/>
      <sheetName val="Revenus hors intercomp."/>
      <sheetName val="PRODUIT_PAR_DRT"/>
      <sheetName val="Description_of_Each_Section"/>
      <sheetName val="Softswitch_Translations"/>
      <sheetName val="CCS7_Signalling_MTP"/>
      <sheetName val="Features,_Tones_&amp;_AMA"/>
      <sheetName val="Interconnects_Datafill"/>
      <sheetName val="Catégories&amp;_motifs_réclamations"/>
      <sheetName val="IAM_"/>
      <sheetName val="C_A_cr?dit_internat;"/>
      <sheetName val="volum?trie_par_segment_en_mn"/>
      <sheetName val="co?t_d'une_mn_par_segment"/>
      <sheetName val="co?t_par_acc?s_hors_TM&amp;DEP"/>
      <sheetName val="co?t_moyen_par_ligne"/>
      <sheetName val="synth_des_co?ts_TM&amp;DEP_comprise"/>
      <sheetName val="co?t_d'une_mn_segment_97-98"/>
      <sheetName val="Sce-Univ_98_(?_edite)"/>
      <sheetName val="co?t_par_acc?s_logique_interco"/>
      <sheetName val="synth_des_co?ts_TM_DEP_comprise"/>
      <sheetName val="31_12_05"/>
      <sheetName val="31_10_05"/>
      <sheetName val="BF_RTTE_8"/>
      <sheetName val="Loan_Data"/>
      <sheetName val="M210_&amp;_M215"/>
      <sheetName val="Capex_Tanger"/>
      <sheetName val="Capex_Agadir_BW"/>
      <sheetName val="Capex_Casa_BW"/>
      <sheetName val="Capex_Fes_BW"/>
      <sheetName val="Capex_Marrakech_BW"/>
      <sheetName val="Capex_Oujda_BW"/>
      <sheetName val="Capex_Rabat_BW"/>
      <sheetName val="Capex_Settat_BW"/>
      <sheetName val="Capex_Tanger_BW"/>
      <sheetName val="Opex_Fes_BW"/>
      <sheetName val="Opex_Settat_BW"/>
      <sheetName val="C_A_cr_dit_internat;"/>
      <sheetName val="volum_trie_par_segment_en_mn"/>
      <sheetName val="co_t_d'une_mn_par_segment"/>
      <sheetName val="co_t_par_acc_s_hors_TM&amp;DEP"/>
      <sheetName val="co_t_moyen_par_ligne"/>
      <sheetName val="synth_des_co_ts_TM&amp;DEP_comprise"/>
      <sheetName val="co_t_d'une_mn_segment_97-98"/>
      <sheetName val="Sce-Univ_98_(__edite)"/>
      <sheetName val="co_t_par_acc_s_logique_interco"/>
      <sheetName val="synth_des_co_ts_TM_DEP_comprise"/>
      <sheetName val="S_P1"/>
      <sheetName val="S_Traffic_Model_Entry"/>
      <sheetName val="synth_des_coûts_TM&amp;DEP_compris1"/>
      <sheetName val="C_A_crédit_internat;1"/>
      <sheetName val="C_A_solde1"/>
      <sheetName val="charges_par_seg1"/>
      <sheetName val="volume_en_mn_365jrs1"/>
      <sheetName val="volume_en_mn_309jrs1"/>
      <sheetName val="volumétrie_par_segment_en_mn1"/>
      <sheetName val="coût_d'une_mn_par_segment1"/>
      <sheetName val="coût_par_accés_hors_TM&amp;DEP1"/>
      <sheetName val="coût_moyen_par_ligne1"/>
      <sheetName val="compar_HQP1"/>
      <sheetName val="coût_d'une_mn_segment_97-981"/>
      <sheetName val="Sce-Univ_98_(à_edite)1"/>
      <sheetName val="Sce-Univ_98_parc1"/>
      <sheetName val="coût_par_accés_logique_interco1"/>
      <sheetName val="synth_des_coûts_TM_DEP_compris1"/>
      <sheetName val="PRODUIT_PAR_DRT1"/>
      <sheetName val="Description_of_Each_Section1"/>
      <sheetName val="Softswitch_Translations1"/>
      <sheetName val="CCS7_Signalling_MTP1"/>
      <sheetName val="Features,_Tones_&amp;_AMA1"/>
      <sheetName val="Interconnects_Datafill1"/>
      <sheetName val="Catégories&amp;_motifs_réclamation1"/>
      <sheetName val="IAM_1"/>
      <sheetName val="C_A_cr?dit_internat;1"/>
      <sheetName val="volum?trie_par_segment_en_mn1"/>
      <sheetName val="co?t_d'une_mn_par_segment1"/>
      <sheetName val="co?t_par_acc?s_hors_TM&amp;DEP1"/>
      <sheetName val="co?t_moyen_par_ligne1"/>
      <sheetName val="synth_des_co?ts_TM&amp;DEP_compris1"/>
      <sheetName val="co?t_d'une_mn_segment_97-981"/>
      <sheetName val="Sce-Univ_98_(?_edite)1"/>
      <sheetName val="co?t_par_acc?s_logique_interco1"/>
      <sheetName val="synth_des_co?ts_TM_DEP_compris1"/>
      <sheetName val="31_12_051"/>
      <sheetName val="31_10_051"/>
      <sheetName val="BF_RTTE_81"/>
      <sheetName val="Loan_Data1"/>
      <sheetName val="M210_&amp;_M2151"/>
      <sheetName val="Capex_Tanger1"/>
      <sheetName val="Capex_Agadir_BW1"/>
      <sheetName val="Capex_Casa_BW1"/>
      <sheetName val="Capex_Fes_BW1"/>
      <sheetName val="Capex_Marrakech_BW1"/>
      <sheetName val="Capex_Oujda_BW1"/>
      <sheetName val="Capex_Rabat_BW1"/>
      <sheetName val="Capex_Settat_BW1"/>
      <sheetName val="Capex_Tanger_BW1"/>
      <sheetName val="Opex_Fes_BW1"/>
      <sheetName val="Opex_Settat_BW1"/>
      <sheetName val="C_A_cr_dit_internat;1"/>
      <sheetName val="volum_trie_par_segment_en_mn1"/>
      <sheetName val="co_t_d'une_mn_par_segment1"/>
      <sheetName val="co_t_par_acc_s_hors_TM&amp;DEP1"/>
      <sheetName val="co_t_moyen_par_ligne1"/>
      <sheetName val="synth_des_co_ts_TM&amp;DEP_compris1"/>
      <sheetName val="co_t_d'une_mn_segment_97-981"/>
      <sheetName val="Sce-Univ_98_(__edite)1"/>
      <sheetName val="co_t_par_acc_s_logique_interco1"/>
      <sheetName val="synth_des_co_ts_TM_DEP_compris1"/>
      <sheetName val="S_P11"/>
      <sheetName val="S_Traffic_Model_Entry1"/>
      <sheetName val="synth_des_coûts_TM&amp;DEP_compris3"/>
      <sheetName val="C_A_crédit_internat;3"/>
      <sheetName val="C_A_solde3"/>
      <sheetName val="charges_par_seg3"/>
      <sheetName val="volume_en_mn_365jrs3"/>
      <sheetName val="volume_en_mn_309jrs3"/>
      <sheetName val="volumétrie_par_segment_en_mn3"/>
      <sheetName val="coût_d'une_mn_par_segment3"/>
      <sheetName val="coût_par_accés_hors_TM&amp;DEP3"/>
      <sheetName val="coût_moyen_par_ligne3"/>
      <sheetName val="compar_HQP3"/>
      <sheetName val="coût_d'une_mn_segment_97-983"/>
      <sheetName val="Sce-Univ_98_(à_edite)3"/>
      <sheetName val="Sce-Univ_98_parc3"/>
      <sheetName val="coût_par_accés_logique_interco3"/>
      <sheetName val="synth_des_coûts_TM_DEP_compris3"/>
      <sheetName val="PRODUIT_PAR_DRT3"/>
      <sheetName val="Description_of_Each_Section3"/>
      <sheetName val="Softswitch_Translations3"/>
      <sheetName val="CCS7_Signalling_MTP3"/>
      <sheetName val="Features,_Tones_&amp;_AMA3"/>
      <sheetName val="Interconnects_Datafill3"/>
      <sheetName val="Catégories&amp;_motifs_réclamation3"/>
      <sheetName val="IAM_3"/>
      <sheetName val="C_A_cr?dit_internat;3"/>
      <sheetName val="volum?trie_par_segment_en_mn3"/>
      <sheetName val="co?t_d'une_mn_par_segment3"/>
      <sheetName val="co?t_par_acc?s_hors_TM&amp;DEP3"/>
      <sheetName val="co?t_moyen_par_ligne3"/>
      <sheetName val="synth_des_co?ts_TM&amp;DEP_compris3"/>
      <sheetName val="co?t_d'une_mn_segment_97-983"/>
      <sheetName val="Sce-Univ_98_(?_edite)3"/>
      <sheetName val="co?t_par_acc?s_logique_interco3"/>
      <sheetName val="synth_des_co?ts_TM_DEP_compris3"/>
      <sheetName val="31_12_053"/>
      <sheetName val="31_10_053"/>
      <sheetName val="BF_RTTE_83"/>
      <sheetName val="Loan_Data3"/>
      <sheetName val="M210_&amp;_M2153"/>
      <sheetName val="Capex_Tanger3"/>
      <sheetName val="Capex_Agadir_BW3"/>
      <sheetName val="Capex_Casa_BW3"/>
      <sheetName val="Capex_Fes_BW3"/>
      <sheetName val="Capex_Marrakech_BW3"/>
      <sheetName val="Capex_Oujda_BW3"/>
      <sheetName val="Capex_Rabat_BW3"/>
      <sheetName val="Capex_Settat_BW3"/>
      <sheetName val="Capex_Tanger_BW3"/>
      <sheetName val="Opex_Fes_BW3"/>
      <sheetName val="Opex_Settat_BW3"/>
      <sheetName val="C_A_cr_dit_internat;3"/>
      <sheetName val="volum_trie_par_segment_en_mn3"/>
      <sheetName val="co_t_d'une_mn_par_segment3"/>
      <sheetName val="co_t_par_acc_s_hors_TM&amp;DEP3"/>
      <sheetName val="co_t_moyen_par_ligne3"/>
      <sheetName val="synth_des_co_ts_TM&amp;DEP_compris3"/>
      <sheetName val="co_t_d'une_mn_segment_97-983"/>
      <sheetName val="Sce-Univ_98_(__edite)3"/>
      <sheetName val="co_t_par_acc_s_logique_interco3"/>
      <sheetName val="synth_des_co_ts_TM_DEP_compris3"/>
      <sheetName val="S_P13"/>
      <sheetName val="S_Traffic_Model_Entry3"/>
      <sheetName val="synth_des_coûts_TM&amp;DEP_compris2"/>
      <sheetName val="C_A_crédit_internat;2"/>
      <sheetName val="C_A_solde2"/>
      <sheetName val="charges_par_seg2"/>
      <sheetName val="volume_en_mn_365jrs2"/>
      <sheetName val="volume_en_mn_309jrs2"/>
      <sheetName val="volumétrie_par_segment_en_mn2"/>
      <sheetName val="coût_d'une_mn_par_segment2"/>
      <sheetName val="coût_par_accés_hors_TM&amp;DEP2"/>
      <sheetName val="coût_moyen_par_ligne2"/>
      <sheetName val="compar_HQP2"/>
      <sheetName val="coût_d'une_mn_segment_97-982"/>
      <sheetName val="Sce-Univ_98_(à_edite)2"/>
      <sheetName val="Sce-Univ_98_parc2"/>
      <sheetName val="coût_par_accés_logique_interco2"/>
      <sheetName val="synth_des_coûts_TM_DEP_compris2"/>
      <sheetName val="PRODUIT_PAR_DRT2"/>
      <sheetName val="Description_of_Each_Section2"/>
      <sheetName val="Softswitch_Translations2"/>
      <sheetName val="CCS7_Signalling_MTP2"/>
      <sheetName val="Features,_Tones_&amp;_AMA2"/>
      <sheetName val="Interconnects_Datafill2"/>
      <sheetName val="Catégories&amp;_motifs_réclamation2"/>
      <sheetName val="IAM_2"/>
      <sheetName val="C_A_cr?dit_internat;2"/>
      <sheetName val="volum?trie_par_segment_en_mn2"/>
      <sheetName val="co?t_d'une_mn_par_segment2"/>
      <sheetName val="co?t_par_acc?s_hors_TM&amp;DEP2"/>
      <sheetName val="co?t_moyen_par_ligne2"/>
      <sheetName val="synth_des_co?ts_TM&amp;DEP_compris2"/>
      <sheetName val="co?t_d'une_mn_segment_97-982"/>
      <sheetName val="Sce-Univ_98_(?_edite)2"/>
      <sheetName val="co?t_par_acc?s_logique_interco2"/>
      <sheetName val="synth_des_co?ts_TM_DEP_compris2"/>
      <sheetName val="31_12_052"/>
      <sheetName val="31_10_052"/>
      <sheetName val="BF_RTTE_82"/>
      <sheetName val="Loan_Data2"/>
      <sheetName val="M210_&amp;_M2152"/>
      <sheetName val="Capex_Tanger2"/>
      <sheetName val="Capex_Agadir_BW2"/>
      <sheetName val="Capex_Casa_BW2"/>
      <sheetName val="Capex_Fes_BW2"/>
      <sheetName val="Capex_Marrakech_BW2"/>
      <sheetName val="Capex_Oujda_BW2"/>
      <sheetName val="Capex_Rabat_BW2"/>
      <sheetName val="Capex_Settat_BW2"/>
      <sheetName val="Capex_Tanger_BW2"/>
      <sheetName val="Opex_Fes_BW2"/>
      <sheetName val="Opex_Settat_BW2"/>
      <sheetName val="C_A_cr_dit_internat;2"/>
      <sheetName val="volum_trie_par_segment_en_mn2"/>
      <sheetName val="co_t_d'une_mn_par_segment2"/>
      <sheetName val="co_t_par_acc_s_hors_TM&amp;DEP2"/>
      <sheetName val="co_t_moyen_par_ligne2"/>
      <sheetName val="synth_des_co_ts_TM&amp;DEP_compris2"/>
      <sheetName val="co_t_d'une_mn_segment_97-982"/>
      <sheetName val="Sce-Univ_98_(__edite)2"/>
      <sheetName val="co_t_par_acc_s_logique_interco2"/>
      <sheetName val="synth_des_co_ts_TM_DEP_compris2"/>
      <sheetName val="S_P12"/>
      <sheetName val="S_Traffic_Model_Entry2"/>
      <sheetName val="synth_des_coûts_TM&amp;DEP_compris4"/>
      <sheetName val="C_A_crédit_internat;4"/>
      <sheetName val="C_A_solde4"/>
      <sheetName val="charges_par_seg4"/>
      <sheetName val="volume_en_mn_365jrs4"/>
      <sheetName val="volume_en_mn_309jrs4"/>
      <sheetName val="volumétrie_par_segment_en_mn4"/>
      <sheetName val="coût_d'une_mn_par_segment4"/>
      <sheetName val="coût_par_accés_hors_TM&amp;DEP4"/>
      <sheetName val="coût_moyen_par_ligne4"/>
      <sheetName val="compar_HQP4"/>
      <sheetName val="coût_d'une_mn_segment_97-984"/>
      <sheetName val="Sce-Univ_98_(à_edite)4"/>
      <sheetName val="Sce-Univ_98_parc4"/>
      <sheetName val="coût_par_accés_logique_interco4"/>
      <sheetName val="synth_des_coûts_TM_DEP_compris4"/>
      <sheetName val="PRODUIT_PAR_DRT4"/>
      <sheetName val="Description_of_Each_Section4"/>
      <sheetName val="Softswitch_Translations4"/>
      <sheetName val="CCS7_Signalling_MTP4"/>
      <sheetName val="Features,_Tones_&amp;_AMA4"/>
      <sheetName val="Interconnects_Datafill4"/>
      <sheetName val="Catégories&amp;_motifs_réclamation4"/>
      <sheetName val="IAM_4"/>
      <sheetName val="C_A_cr?dit_internat;4"/>
      <sheetName val="volum?trie_par_segment_en_mn4"/>
      <sheetName val="co?t_d'une_mn_par_segment4"/>
      <sheetName val="co?t_par_acc?s_hors_TM&amp;DEP4"/>
      <sheetName val="co?t_moyen_par_ligne4"/>
      <sheetName val="synth_des_co?ts_TM&amp;DEP_compris4"/>
      <sheetName val="co?t_d'une_mn_segment_97-984"/>
      <sheetName val="Sce-Univ_98_(?_edite)4"/>
      <sheetName val="co?t_par_acc?s_logique_interco4"/>
      <sheetName val="synth_des_co?ts_TM_DEP_compris4"/>
      <sheetName val="31_12_054"/>
      <sheetName val="31_10_054"/>
      <sheetName val="BF_RTTE_84"/>
      <sheetName val="Loan_Data4"/>
      <sheetName val="M210_&amp;_M2154"/>
      <sheetName val="Capex_Tanger4"/>
      <sheetName val="Capex_Agadir_BW4"/>
      <sheetName val="Capex_Casa_BW4"/>
      <sheetName val="Capex_Fes_BW4"/>
      <sheetName val="Capex_Marrakech_BW4"/>
      <sheetName val="Capex_Oujda_BW4"/>
      <sheetName val="Capex_Rabat_BW4"/>
      <sheetName val="Capex_Settat_BW4"/>
      <sheetName val="Capex_Tanger_BW4"/>
      <sheetName val="Opex_Fes_BW4"/>
      <sheetName val="Opex_Settat_BW4"/>
      <sheetName val="C_A_cr_dit_internat;4"/>
      <sheetName val="volum_trie_par_segment_en_mn4"/>
      <sheetName val="co_t_d'une_mn_par_segment4"/>
      <sheetName val="co_t_par_acc_s_hors_TM&amp;DEP4"/>
      <sheetName val="co_t_moyen_par_ligne4"/>
      <sheetName val="synth_des_co_ts_TM&amp;DEP_compris4"/>
      <sheetName val="co_t_d'une_mn_segment_97-984"/>
      <sheetName val="Sce-Univ_98_(__edite)4"/>
      <sheetName val="co_t_par_acc_s_logique_interco4"/>
      <sheetName val="synth_des_co_ts_TM_DEP_compris4"/>
      <sheetName val="S_P14"/>
      <sheetName val="S_Traffic_Model_Entry4"/>
      <sheetName val="synth_des_coûts_TM&amp;DEP_compris5"/>
      <sheetName val="C_A_crédit_internat;5"/>
      <sheetName val="C_A_solde5"/>
      <sheetName val="charges_par_seg5"/>
      <sheetName val="volume_en_mn_365jrs5"/>
      <sheetName val="volume_en_mn_309jrs5"/>
      <sheetName val="volumétrie_par_segment_en_mn5"/>
      <sheetName val="coût_d'une_mn_par_segment5"/>
      <sheetName val="coût_par_accés_hors_TM&amp;DEP5"/>
      <sheetName val="coût_moyen_par_ligne5"/>
      <sheetName val="compar_HQP5"/>
      <sheetName val="coût_d'une_mn_segment_97-985"/>
      <sheetName val="Sce-Univ_98_(à_edite)5"/>
      <sheetName val="Sce-Univ_98_parc5"/>
      <sheetName val="coût_par_accés_logique_interco5"/>
      <sheetName val="synth_des_coûts_TM_DEP_compris5"/>
      <sheetName val="PRODUIT_PAR_DRT5"/>
      <sheetName val="Description_of_Each_Section5"/>
      <sheetName val="Softswitch_Translations5"/>
      <sheetName val="CCS7_Signalling_MTP5"/>
      <sheetName val="Features,_Tones_&amp;_AMA5"/>
      <sheetName val="Interconnects_Datafill5"/>
      <sheetName val="Catégories&amp;_motifs_réclamation5"/>
      <sheetName val="IAM_5"/>
      <sheetName val="C_A_cr?dit_internat;5"/>
      <sheetName val="volum?trie_par_segment_en_mn5"/>
      <sheetName val="co?t_d'une_mn_par_segment5"/>
      <sheetName val="co?t_par_acc?s_hors_TM&amp;DEP5"/>
      <sheetName val="co?t_moyen_par_ligne5"/>
      <sheetName val="synth_des_co?ts_TM&amp;DEP_compris5"/>
      <sheetName val="co?t_d'une_mn_segment_97-985"/>
      <sheetName val="Sce-Univ_98_(?_edite)5"/>
      <sheetName val="co?t_par_acc?s_logique_interco5"/>
      <sheetName val="synth_des_co?ts_TM_DEP_compris5"/>
      <sheetName val="31_12_055"/>
      <sheetName val="31_10_055"/>
      <sheetName val="BF_RTTE_85"/>
      <sheetName val="Loan_Data5"/>
      <sheetName val="M210_&amp;_M2155"/>
      <sheetName val="Capex_Tanger5"/>
      <sheetName val="Capex_Agadir_BW5"/>
      <sheetName val="Capex_Casa_BW5"/>
      <sheetName val="Capex_Fes_BW5"/>
      <sheetName val="Capex_Marrakech_BW5"/>
      <sheetName val="Capex_Oujda_BW5"/>
      <sheetName val="Capex_Rabat_BW5"/>
      <sheetName val="Capex_Settat_BW5"/>
      <sheetName val="Capex_Tanger_BW5"/>
      <sheetName val="Opex_Fes_BW5"/>
      <sheetName val="Opex_Settat_BW5"/>
      <sheetName val="C_A_cr_dit_internat;5"/>
      <sheetName val="volum_trie_par_segment_en_mn5"/>
      <sheetName val="co_t_d'une_mn_par_segment5"/>
      <sheetName val="co_t_par_acc_s_hors_TM&amp;DEP5"/>
      <sheetName val="co_t_moyen_par_ligne5"/>
      <sheetName val="synth_des_co_ts_TM&amp;DEP_compris5"/>
      <sheetName val="co_t_d'une_mn_segment_97-985"/>
      <sheetName val="Sce-Univ_98_(__edite)5"/>
      <sheetName val="co_t_par_acc_s_logique_interco5"/>
      <sheetName val="synth_des_co_ts_TM_DEP_compris5"/>
      <sheetName val="S_P15"/>
      <sheetName val="S_Traffic_Model_Entry5"/>
      <sheetName val="synth_des_coûts_TM&amp;DEP_compris7"/>
      <sheetName val="C_A_crédit_internat;7"/>
      <sheetName val="C_A_solde7"/>
      <sheetName val="charges_par_seg7"/>
      <sheetName val="volume_en_mn_365jrs7"/>
      <sheetName val="volume_en_mn_309jrs7"/>
      <sheetName val="volumétrie_par_segment_en_mn7"/>
      <sheetName val="coût_d'une_mn_par_segment7"/>
      <sheetName val="coût_par_accés_hors_TM&amp;DEP7"/>
      <sheetName val="coût_moyen_par_ligne7"/>
      <sheetName val="compar_HQP7"/>
      <sheetName val="coût_d'une_mn_segment_97-987"/>
      <sheetName val="Sce-Univ_98_(à_edite)7"/>
      <sheetName val="Sce-Univ_98_parc7"/>
      <sheetName val="coût_par_accés_logique_interco7"/>
      <sheetName val="synth_des_coûts_TM_DEP_compris7"/>
      <sheetName val="PRODUIT_PAR_DRT7"/>
      <sheetName val="Description_of_Each_Section7"/>
      <sheetName val="Softswitch_Translations7"/>
      <sheetName val="CCS7_Signalling_MTP7"/>
      <sheetName val="Features,_Tones_&amp;_AMA7"/>
      <sheetName val="Interconnects_Datafill7"/>
      <sheetName val="Catégories&amp;_motifs_réclamation7"/>
      <sheetName val="IAM_7"/>
      <sheetName val="C_A_cr?dit_internat;7"/>
      <sheetName val="volum?trie_par_segment_en_mn7"/>
      <sheetName val="co?t_d'une_mn_par_segment7"/>
      <sheetName val="co?t_par_acc?s_hors_TM&amp;DEP7"/>
      <sheetName val="co?t_moyen_par_ligne7"/>
      <sheetName val="synth_des_co?ts_TM&amp;DEP_compris7"/>
      <sheetName val="co?t_d'une_mn_segment_97-987"/>
      <sheetName val="Sce-Univ_98_(?_edite)7"/>
      <sheetName val="co?t_par_acc?s_logique_interco7"/>
      <sheetName val="synth_des_co?ts_TM_DEP_compris7"/>
      <sheetName val="31_12_057"/>
      <sheetName val="31_10_057"/>
      <sheetName val="BF_RTTE_87"/>
      <sheetName val="Loan_Data7"/>
      <sheetName val="M210_&amp;_M2157"/>
      <sheetName val="Capex_Tanger7"/>
      <sheetName val="Capex_Agadir_BW7"/>
      <sheetName val="Capex_Casa_BW7"/>
      <sheetName val="Capex_Fes_BW7"/>
      <sheetName val="Capex_Marrakech_BW7"/>
      <sheetName val="Capex_Oujda_BW7"/>
      <sheetName val="Capex_Rabat_BW7"/>
      <sheetName val="Capex_Settat_BW7"/>
      <sheetName val="Capex_Tanger_BW7"/>
      <sheetName val="Opex_Fes_BW7"/>
      <sheetName val="Opex_Settat_BW7"/>
      <sheetName val="C_A_cr_dit_internat;7"/>
      <sheetName val="volum_trie_par_segment_en_mn7"/>
      <sheetName val="co_t_d'une_mn_par_segment7"/>
      <sheetName val="co_t_par_acc_s_hors_TM&amp;DEP7"/>
      <sheetName val="co_t_moyen_par_ligne7"/>
      <sheetName val="synth_des_co_ts_TM&amp;DEP_compris7"/>
      <sheetName val="co_t_d'une_mn_segment_97-987"/>
      <sheetName val="Sce-Univ_98_(__edite)7"/>
      <sheetName val="co_t_par_acc_s_logique_interco7"/>
      <sheetName val="synth_des_co_ts_TM_DEP_compris7"/>
      <sheetName val="S_P17"/>
      <sheetName val="S_Traffic_Model_Entry7"/>
      <sheetName val="synth_des_coûts_TM&amp;DEP_compris6"/>
      <sheetName val="C_A_crédit_internat;6"/>
      <sheetName val="C_A_solde6"/>
      <sheetName val="charges_par_seg6"/>
      <sheetName val="volume_en_mn_365jrs6"/>
      <sheetName val="volume_en_mn_309jrs6"/>
      <sheetName val="volumétrie_par_segment_en_mn6"/>
      <sheetName val="coût_d'une_mn_par_segment6"/>
      <sheetName val="coût_par_accés_hors_TM&amp;DEP6"/>
      <sheetName val="coût_moyen_par_ligne6"/>
      <sheetName val="compar_HQP6"/>
      <sheetName val="coût_d'une_mn_segment_97-986"/>
      <sheetName val="Sce-Univ_98_(à_edite)6"/>
      <sheetName val="Sce-Univ_98_parc6"/>
      <sheetName val="coût_par_accés_logique_interco6"/>
      <sheetName val="synth_des_coûts_TM_DEP_compris6"/>
      <sheetName val="PRODUIT_PAR_DRT6"/>
      <sheetName val="Description_of_Each_Section6"/>
      <sheetName val="Softswitch_Translations6"/>
      <sheetName val="CCS7_Signalling_MTP6"/>
      <sheetName val="Features,_Tones_&amp;_AMA6"/>
      <sheetName val="Interconnects_Datafill6"/>
      <sheetName val="Catégories&amp;_motifs_réclamation6"/>
      <sheetName val="IAM_6"/>
      <sheetName val="C_A_cr?dit_internat;6"/>
      <sheetName val="volum?trie_par_segment_en_mn6"/>
      <sheetName val="co?t_d'une_mn_par_segment6"/>
      <sheetName val="co?t_par_acc?s_hors_TM&amp;DEP6"/>
      <sheetName val="co?t_moyen_par_ligne6"/>
      <sheetName val="synth_des_co?ts_TM&amp;DEP_compris6"/>
      <sheetName val="co?t_d'une_mn_segment_97-986"/>
      <sheetName val="Sce-Univ_98_(?_edite)6"/>
      <sheetName val="co?t_par_acc?s_logique_interco6"/>
      <sheetName val="synth_des_co?ts_TM_DEP_compris6"/>
      <sheetName val="31_12_056"/>
      <sheetName val="31_10_056"/>
      <sheetName val="BF_RTTE_86"/>
      <sheetName val="Loan_Data6"/>
      <sheetName val="M210_&amp;_M2156"/>
      <sheetName val="Capex_Tanger6"/>
      <sheetName val="Capex_Agadir_BW6"/>
      <sheetName val="Capex_Casa_BW6"/>
      <sheetName val="Capex_Fes_BW6"/>
      <sheetName val="Capex_Marrakech_BW6"/>
      <sheetName val="Capex_Oujda_BW6"/>
      <sheetName val="Capex_Rabat_BW6"/>
      <sheetName val="Capex_Settat_BW6"/>
      <sheetName val="Capex_Tanger_BW6"/>
      <sheetName val="Opex_Fes_BW6"/>
      <sheetName val="Opex_Settat_BW6"/>
      <sheetName val="C_A_cr_dit_internat;6"/>
      <sheetName val="volum_trie_par_segment_en_mn6"/>
      <sheetName val="co_t_d'une_mn_par_segment6"/>
      <sheetName val="co_t_par_acc_s_hors_TM&amp;DEP6"/>
      <sheetName val="co_t_moyen_par_ligne6"/>
      <sheetName val="synth_des_co_ts_TM&amp;DEP_compris6"/>
      <sheetName val="co_t_d'une_mn_segment_97-986"/>
      <sheetName val="Sce-Univ_98_(__edite)6"/>
      <sheetName val="co_t_par_acc_s_logique_interco6"/>
      <sheetName val="synth_des_co_ts_TM_DEP_compris6"/>
      <sheetName val="S_P16"/>
      <sheetName val="S_Traffic_Model_Entry6"/>
      <sheetName val="synth_des_coûts_TM&amp;DEP_compri12"/>
      <sheetName val="C_A_crédit_internat;12"/>
      <sheetName val="C_A_solde12"/>
      <sheetName val="charges_par_seg12"/>
      <sheetName val="volume_en_mn_365jrs12"/>
      <sheetName val="volume_en_mn_309jrs12"/>
      <sheetName val="volumétrie_par_segment_en_mn12"/>
      <sheetName val="coût_d'une_mn_par_segment12"/>
      <sheetName val="coût_par_accés_hors_TM&amp;DEP12"/>
      <sheetName val="coût_moyen_par_ligne12"/>
      <sheetName val="compar_HQP12"/>
      <sheetName val="coût_d'une_mn_segment_97-9812"/>
      <sheetName val="Sce-Univ_98_(à_edite)12"/>
      <sheetName val="Sce-Univ_98_parc12"/>
      <sheetName val="coût_par_accés_logique_interc12"/>
      <sheetName val="synth_des_coûts_TM_DEP_compri12"/>
      <sheetName val="PRODUIT_PAR_DRT12"/>
      <sheetName val="Description_of_Each_Section12"/>
      <sheetName val="Softswitch_Translations12"/>
      <sheetName val="CCS7_Signalling_MTP12"/>
      <sheetName val="Features,_Tones_&amp;_AMA12"/>
      <sheetName val="Interconnects_Datafill12"/>
      <sheetName val="Catégories&amp;_motifs_réclamatio12"/>
      <sheetName val="IAM_12"/>
      <sheetName val="C_A_cr?dit_internat;12"/>
      <sheetName val="volum?trie_par_segment_en_mn12"/>
      <sheetName val="co?t_d'une_mn_par_segment12"/>
      <sheetName val="co?t_par_acc?s_hors_TM&amp;DEP12"/>
      <sheetName val="co?t_moyen_par_ligne12"/>
      <sheetName val="synth_des_co?ts_TM&amp;DEP_compri12"/>
      <sheetName val="co?t_d'une_mn_segment_97-9812"/>
      <sheetName val="Sce-Univ_98_(?_edite)12"/>
      <sheetName val="co?t_par_acc?s_logique_interc12"/>
      <sheetName val="synth_des_co?ts_TM_DEP_compri12"/>
      <sheetName val="31_12_0512"/>
      <sheetName val="31_10_0512"/>
      <sheetName val="BF_RTTE_812"/>
      <sheetName val="Loan_Data12"/>
      <sheetName val="M210_&amp;_M21512"/>
      <sheetName val="Capex_Tanger12"/>
      <sheetName val="Capex_Agadir_BW12"/>
      <sheetName val="Capex_Casa_BW12"/>
      <sheetName val="Capex_Fes_BW12"/>
      <sheetName val="Capex_Marrakech_BW12"/>
      <sheetName val="Capex_Oujda_BW12"/>
      <sheetName val="Capex_Rabat_BW12"/>
      <sheetName val="Capex_Settat_BW12"/>
      <sheetName val="Capex_Tanger_BW12"/>
      <sheetName val="Opex_Fes_BW12"/>
      <sheetName val="Opex_Settat_BW12"/>
      <sheetName val="C_A_cr_dit_internat;12"/>
      <sheetName val="volum_trie_par_segment_en_mn12"/>
      <sheetName val="co_t_d'une_mn_par_segment12"/>
      <sheetName val="co_t_par_acc_s_hors_TM&amp;DEP12"/>
      <sheetName val="co_t_moyen_par_ligne12"/>
      <sheetName val="synth_des_co_ts_TM&amp;DEP_compri12"/>
      <sheetName val="co_t_d'une_mn_segment_97-9812"/>
      <sheetName val="Sce-Univ_98_(__edite)12"/>
      <sheetName val="co_t_par_acc_s_logique_interc12"/>
      <sheetName val="synth_des_co_ts_TM_DEP_compri12"/>
      <sheetName val="S_P112"/>
      <sheetName val="S_Traffic_Model_Entry12"/>
      <sheetName val="synth_des_coûts_TM&amp;DEP_compri11"/>
      <sheetName val="C_A_crédit_internat;11"/>
      <sheetName val="C_A_solde11"/>
      <sheetName val="charges_par_seg11"/>
      <sheetName val="volume_en_mn_365jrs11"/>
      <sheetName val="volume_en_mn_309jrs11"/>
      <sheetName val="volumétrie_par_segment_en_mn11"/>
      <sheetName val="coût_d'une_mn_par_segment11"/>
      <sheetName val="coût_par_accés_hors_TM&amp;DEP11"/>
      <sheetName val="coût_moyen_par_ligne11"/>
      <sheetName val="compar_HQP11"/>
      <sheetName val="coût_d'une_mn_segment_97-9811"/>
      <sheetName val="Sce-Univ_98_(à_edite)11"/>
      <sheetName val="Sce-Univ_98_parc11"/>
      <sheetName val="coût_par_accés_logique_interc11"/>
      <sheetName val="synth_des_coûts_TM_DEP_compri11"/>
      <sheetName val="PRODUIT_PAR_DRT11"/>
      <sheetName val="Description_of_Each_Section11"/>
      <sheetName val="Softswitch_Translations11"/>
      <sheetName val="CCS7_Signalling_MTP11"/>
      <sheetName val="Features,_Tones_&amp;_AMA11"/>
      <sheetName val="Interconnects_Datafill11"/>
      <sheetName val="Catégories&amp;_motifs_réclamatio11"/>
      <sheetName val="IAM_11"/>
      <sheetName val="C_A_cr?dit_internat;11"/>
      <sheetName val="volum?trie_par_segment_en_mn11"/>
      <sheetName val="co?t_d'une_mn_par_segment11"/>
      <sheetName val="co?t_par_acc?s_hors_TM&amp;DEP11"/>
      <sheetName val="co?t_moyen_par_ligne11"/>
      <sheetName val="synth_des_co?ts_TM&amp;DEP_compri11"/>
      <sheetName val="co?t_d'une_mn_segment_97-9811"/>
      <sheetName val="Sce-Univ_98_(?_edite)11"/>
      <sheetName val="co?t_par_acc?s_logique_interc11"/>
      <sheetName val="synth_des_co?ts_TM_DEP_compri11"/>
      <sheetName val="31_12_0511"/>
      <sheetName val="31_10_0511"/>
      <sheetName val="BF_RTTE_811"/>
      <sheetName val="Loan_Data11"/>
      <sheetName val="M210_&amp;_M21511"/>
      <sheetName val="Capex_Tanger11"/>
      <sheetName val="Capex_Agadir_BW11"/>
      <sheetName val="Capex_Casa_BW11"/>
      <sheetName val="Capex_Fes_BW11"/>
      <sheetName val="Capex_Marrakech_BW11"/>
      <sheetName val="Capex_Oujda_BW11"/>
      <sheetName val="Capex_Rabat_BW11"/>
      <sheetName val="Capex_Settat_BW11"/>
      <sheetName val="Capex_Tanger_BW11"/>
      <sheetName val="Opex_Fes_BW11"/>
      <sheetName val="Opex_Settat_BW11"/>
      <sheetName val="C_A_cr_dit_internat;11"/>
      <sheetName val="volum_trie_par_segment_en_mn11"/>
      <sheetName val="co_t_d'une_mn_par_segment11"/>
      <sheetName val="co_t_par_acc_s_hors_TM&amp;DEP11"/>
      <sheetName val="co_t_moyen_par_ligne11"/>
      <sheetName val="synth_des_co_ts_TM&amp;DEP_compri11"/>
      <sheetName val="co_t_d'une_mn_segment_97-9811"/>
      <sheetName val="Sce-Univ_98_(__edite)11"/>
      <sheetName val="co_t_par_acc_s_logique_interc11"/>
      <sheetName val="synth_des_co_ts_TM_DEP_compri11"/>
      <sheetName val="S_P111"/>
      <sheetName val="S_Traffic_Model_Entry11"/>
      <sheetName val="synth_des_coûts_TM&amp;DEP_compris8"/>
      <sheetName val="C_A_crédit_internat;8"/>
      <sheetName val="C_A_solde8"/>
      <sheetName val="charges_par_seg8"/>
      <sheetName val="volume_en_mn_365jrs8"/>
      <sheetName val="volume_en_mn_309jrs8"/>
      <sheetName val="volumétrie_par_segment_en_mn8"/>
      <sheetName val="coût_d'une_mn_par_segment8"/>
      <sheetName val="coût_par_accés_hors_TM&amp;DEP8"/>
      <sheetName val="coût_moyen_par_ligne8"/>
      <sheetName val="compar_HQP8"/>
      <sheetName val="coût_d'une_mn_segment_97-988"/>
      <sheetName val="Sce-Univ_98_(à_edite)8"/>
      <sheetName val="Sce-Univ_98_parc8"/>
      <sheetName val="coût_par_accés_logique_interco8"/>
      <sheetName val="synth_des_coûts_TM_DEP_compris8"/>
      <sheetName val="PRODUIT_PAR_DRT8"/>
      <sheetName val="Description_of_Each_Section8"/>
      <sheetName val="Softswitch_Translations8"/>
      <sheetName val="CCS7_Signalling_MTP8"/>
      <sheetName val="Features,_Tones_&amp;_AMA8"/>
      <sheetName val="Interconnects_Datafill8"/>
      <sheetName val="Catégories&amp;_motifs_réclamation8"/>
      <sheetName val="IAM_8"/>
      <sheetName val="C_A_cr?dit_internat;8"/>
      <sheetName val="volum?trie_par_segment_en_mn8"/>
      <sheetName val="co?t_d'une_mn_par_segment8"/>
      <sheetName val="co?t_par_acc?s_hors_TM&amp;DEP8"/>
      <sheetName val="co?t_moyen_par_ligne8"/>
      <sheetName val="synth_des_co?ts_TM&amp;DEP_compris8"/>
      <sheetName val="co?t_d'une_mn_segment_97-988"/>
      <sheetName val="Sce-Univ_98_(?_edite)8"/>
      <sheetName val="co?t_par_acc?s_logique_interco8"/>
      <sheetName val="synth_des_co?ts_TM_DEP_compris8"/>
      <sheetName val="31_12_058"/>
      <sheetName val="31_10_058"/>
      <sheetName val="BF_RTTE_88"/>
      <sheetName val="Loan_Data8"/>
      <sheetName val="M210_&amp;_M2158"/>
      <sheetName val="Capex_Tanger8"/>
      <sheetName val="Capex_Agadir_BW8"/>
      <sheetName val="Capex_Casa_BW8"/>
      <sheetName val="Capex_Fes_BW8"/>
      <sheetName val="Capex_Marrakech_BW8"/>
      <sheetName val="Capex_Oujda_BW8"/>
      <sheetName val="Capex_Rabat_BW8"/>
      <sheetName val="Capex_Settat_BW8"/>
      <sheetName val="Capex_Tanger_BW8"/>
      <sheetName val="Opex_Fes_BW8"/>
      <sheetName val="Opex_Settat_BW8"/>
      <sheetName val="C_A_cr_dit_internat;8"/>
      <sheetName val="volum_trie_par_segment_en_mn8"/>
      <sheetName val="co_t_d'une_mn_par_segment8"/>
      <sheetName val="co_t_par_acc_s_hors_TM&amp;DEP8"/>
      <sheetName val="co_t_moyen_par_ligne8"/>
      <sheetName val="synth_des_co_ts_TM&amp;DEP_compris8"/>
      <sheetName val="co_t_d'une_mn_segment_97-988"/>
      <sheetName val="Sce-Univ_98_(__edite)8"/>
      <sheetName val="co_t_par_acc_s_logique_interco8"/>
      <sheetName val="synth_des_co_ts_TM_DEP_compris8"/>
      <sheetName val="S_P18"/>
      <sheetName val="S_Traffic_Model_Entry8"/>
      <sheetName val="synth_des_coûts_TM&amp;DEP_compris9"/>
      <sheetName val="C_A_crédit_internat;9"/>
      <sheetName val="C_A_solde9"/>
      <sheetName val="charges_par_seg9"/>
      <sheetName val="volume_en_mn_365jrs9"/>
      <sheetName val="volume_en_mn_309jrs9"/>
      <sheetName val="volumétrie_par_segment_en_mn9"/>
      <sheetName val="coût_d'une_mn_par_segment9"/>
      <sheetName val="coût_par_accés_hors_TM&amp;DEP9"/>
      <sheetName val="coût_moyen_par_ligne9"/>
      <sheetName val="compar_HQP9"/>
      <sheetName val="coût_d'une_mn_segment_97-989"/>
      <sheetName val="Sce-Univ_98_(à_edite)9"/>
      <sheetName val="Sce-Univ_98_parc9"/>
      <sheetName val="coût_par_accés_logique_interco9"/>
      <sheetName val="synth_des_coûts_TM_DEP_compris9"/>
      <sheetName val="PRODUIT_PAR_DRT9"/>
      <sheetName val="Description_of_Each_Section9"/>
      <sheetName val="Softswitch_Translations9"/>
      <sheetName val="CCS7_Signalling_MTP9"/>
      <sheetName val="Features,_Tones_&amp;_AMA9"/>
      <sheetName val="Interconnects_Datafill9"/>
      <sheetName val="Catégories&amp;_motifs_réclamation9"/>
      <sheetName val="IAM_9"/>
      <sheetName val="C_A_cr?dit_internat;9"/>
      <sheetName val="volum?trie_par_segment_en_mn9"/>
      <sheetName val="co?t_d'une_mn_par_segment9"/>
      <sheetName val="co?t_par_acc?s_hors_TM&amp;DEP9"/>
      <sheetName val="co?t_moyen_par_ligne9"/>
      <sheetName val="synth_des_co?ts_TM&amp;DEP_compris9"/>
      <sheetName val="co?t_d'une_mn_segment_97-989"/>
      <sheetName val="Sce-Univ_98_(?_edite)9"/>
      <sheetName val="co?t_par_acc?s_logique_interco9"/>
      <sheetName val="synth_des_co?ts_TM_DEP_compris9"/>
      <sheetName val="31_12_059"/>
      <sheetName val="31_10_059"/>
      <sheetName val="BF_RTTE_89"/>
      <sheetName val="Loan_Data9"/>
      <sheetName val="M210_&amp;_M2159"/>
      <sheetName val="Capex_Tanger9"/>
      <sheetName val="Capex_Agadir_BW9"/>
      <sheetName val="Capex_Casa_BW9"/>
      <sheetName val="Capex_Fes_BW9"/>
      <sheetName val="Capex_Marrakech_BW9"/>
      <sheetName val="Capex_Oujda_BW9"/>
      <sheetName val="Capex_Rabat_BW9"/>
      <sheetName val="Capex_Settat_BW9"/>
      <sheetName val="Capex_Tanger_BW9"/>
      <sheetName val="Opex_Fes_BW9"/>
      <sheetName val="Opex_Settat_BW9"/>
      <sheetName val="C_A_cr_dit_internat;9"/>
      <sheetName val="volum_trie_par_segment_en_mn9"/>
      <sheetName val="co_t_d'une_mn_par_segment9"/>
      <sheetName val="co_t_par_acc_s_hors_TM&amp;DEP9"/>
      <sheetName val="co_t_moyen_par_ligne9"/>
      <sheetName val="synth_des_co_ts_TM&amp;DEP_compris9"/>
      <sheetName val="co_t_d'une_mn_segment_97-989"/>
      <sheetName val="Sce-Univ_98_(__edite)9"/>
      <sheetName val="co_t_par_acc_s_logique_interco9"/>
      <sheetName val="synth_des_co_ts_TM_DEP_compris9"/>
      <sheetName val="S_P19"/>
      <sheetName val="S_Traffic_Model_Entry9"/>
      <sheetName val="synth_des_coûts_TM&amp;DEP_compri10"/>
      <sheetName val="C_A_crédit_internat;10"/>
      <sheetName val="C_A_solde10"/>
      <sheetName val="charges_par_seg10"/>
      <sheetName val="volume_en_mn_365jrs10"/>
      <sheetName val="volume_en_mn_309jrs10"/>
      <sheetName val="volumétrie_par_segment_en_mn10"/>
      <sheetName val="coût_d'une_mn_par_segment10"/>
      <sheetName val="coût_par_accés_hors_TM&amp;DEP10"/>
      <sheetName val="coût_moyen_par_ligne10"/>
      <sheetName val="compar_HQP10"/>
      <sheetName val="coût_d'une_mn_segment_97-9810"/>
      <sheetName val="Sce-Univ_98_(à_edite)10"/>
      <sheetName val="Sce-Univ_98_parc10"/>
      <sheetName val="coût_par_accés_logique_interc10"/>
      <sheetName val="synth_des_coûts_TM_DEP_compri10"/>
      <sheetName val="PRODUIT_PAR_DRT10"/>
      <sheetName val="Description_of_Each_Section10"/>
      <sheetName val="Softswitch_Translations10"/>
      <sheetName val="CCS7_Signalling_MTP10"/>
      <sheetName val="Features,_Tones_&amp;_AMA10"/>
      <sheetName val="Interconnects_Datafill10"/>
      <sheetName val="Catégories&amp;_motifs_réclamatio10"/>
      <sheetName val="IAM_10"/>
      <sheetName val="C_A_cr?dit_internat;10"/>
      <sheetName val="volum?trie_par_segment_en_mn10"/>
      <sheetName val="co?t_d'une_mn_par_segment10"/>
      <sheetName val="co?t_par_acc?s_hors_TM&amp;DEP10"/>
      <sheetName val="co?t_moyen_par_ligne10"/>
      <sheetName val="synth_des_co?ts_TM&amp;DEP_compri10"/>
      <sheetName val="co?t_d'une_mn_segment_97-9810"/>
      <sheetName val="Sce-Univ_98_(?_edite)10"/>
      <sheetName val="co?t_par_acc?s_logique_interc10"/>
      <sheetName val="synth_des_co?ts_TM_DEP_compri10"/>
      <sheetName val="31_12_0510"/>
      <sheetName val="31_10_0510"/>
      <sheetName val="BF_RTTE_810"/>
      <sheetName val="Loan_Data10"/>
      <sheetName val="M210_&amp;_M21510"/>
      <sheetName val="Capex_Tanger10"/>
      <sheetName val="Capex_Agadir_BW10"/>
      <sheetName val="Capex_Casa_BW10"/>
      <sheetName val="Capex_Fes_BW10"/>
      <sheetName val="Capex_Marrakech_BW10"/>
      <sheetName val="Capex_Oujda_BW10"/>
      <sheetName val="Capex_Rabat_BW10"/>
      <sheetName val="Capex_Settat_BW10"/>
      <sheetName val="Capex_Tanger_BW10"/>
      <sheetName val="Opex_Fes_BW10"/>
      <sheetName val="Opex_Settat_BW10"/>
      <sheetName val="C_A_cr_dit_internat;10"/>
      <sheetName val="volum_trie_par_segment_en_mn10"/>
      <sheetName val="co_t_d'une_mn_par_segment10"/>
      <sheetName val="co_t_par_acc_s_hors_TM&amp;DEP10"/>
      <sheetName val="co_t_moyen_par_ligne10"/>
      <sheetName val="synth_des_co_ts_TM&amp;DEP_compri10"/>
      <sheetName val="co_t_d'une_mn_segment_97-9810"/>
      <sheetName val="Sce-Univ_98_(__edite)10"/>
      <sheetName val="co_t_par_acc_s_logique_interc10"/>
      <sheetName val="synth_des_co_ts_TM_DEP_compri10"/>
      <sheetName val="S_P110"/>
      <sheetName val="S_Traffic_Model_Entry10"/>
      <sheetName val="synth_des_coûts_TM&amp;DEP_compri13"/>
      <sheetName val="C_A_crédit_internat;13"/>
      <sheetName val="C_A_solde13"/>
      <sheetName val="charges_par_seg13"/>
      <sheetName val="volume_en_mn_365jrs13"/>
      <sheetName val="volume_en_mn_309jrs13"/>
      <sheetName val="volumétrie_par_segment_en_mn13"/>
      <sheetName val="coût_d'une_mn_par_segment13"/>
      <sheetName val="coût_par_accés_hors_TM&amp;DEP13"/>
      <sheetName val="coût_moyen_par_ligne13"/>
      <sheetName val="compar_HQP13"/>
      <sheetName val="coût_d'une_mn_segment_97-9813"/>
      <sheetName val="Sce-Univ_98_(à_edite)13"/>
      <sheetName val="Sce-Univ_98_parc13"/>
      <sheetName val="coût_par_accés_logique_interc13"/>
      <sheetName val="synth_des_coûts_TM_DEP_compri13"/>
      <sheetName val="PRODUIT_PAR_DRT13"/>
      <sheetName val="Description_of_Each_Section13"/>
      <sheetName val="Softswitch_Translations13"/>
      <sheetName val="CCS7_Signalling_MTP13"/>
      <sheetName val="Features,_Tones_&amp;_AMA13"/>
      <sheetName val="Interconnects_Datafill13"/>
      <sheetName val="Catégories&amp;_motifs_réclamatio13"/>
      <sheetName val="IAM_13"/>
      <sheetName val="31_12_0513"/>
      <sheetName val="31_10_0513"/>
      <sheetName val="BF_RTTE_813"/>
      <sheetName val="Loan_Data13"/>
      <sheetName val="M210_&amp;_M21513"/>
      <sheetName val="C_A_cr?dit_internat;13"/>
      <sheetName val="volum?trie_par_segment_en_mn13"/>
      <sheetName val="co?t_d'une_mn_par_segment13"/>
      <sheetName val="co?t_par_acc?s_hors_TM&amp;DEP13"/>
      <sheetName val="co?t_moyen_par_ligne13"/>
      <sheetName val="synth_des_co?ts_TM&amp;DEP_compri13"/>
      <sheetName val="co?t_d'une_mn_segment_97-9813"/>
      <sheetName val="Sce-Univ_98_(?_edite)13"/>
      <sheetName val="co?t_par_acc?s_logique_interc13"/>
      <sheetName val="synth_des_co?ts_TM_DEP_compri13"/>
      <sheetName val="Capex_Tanger13"/>
      <sheetName val="Capex_Agadir_BW13"/>
      <sheetName val="Capex_Casa_BW13"/>
      <sheetName val="Capex_Fes_BW13"/>
      <sheetName val="Capex_Marrakech_BW13"/>
      <sheetName val="Capex_Oujda_BW13"/>
      <sheetName val="Capex_Rabat_BW13"/>
      <sheetName val="Capex_Settat_BW13"/>
      <sheetName val="Capex_Tanger_BW13"/>
      <sheetName val="Opex_Fes_BW13"/>
      <sheetName val="Opex_Settat_BW13"/>
      <sheetName val="C_A_cr_dit_internat;13"/>
      <sheetName val="volum_trie_par_segment_en_mn13"/>
      <sheetName val="co_t_d'une_mn_par_segment13"/>
      <sheetName val="co_t_par_acc_s_hors_TM&amp;DEP13"/>
      <sheetName val="co_t_moyen_par_ligne13"/>
      <sheetName val="synth_des_co_ts_TM&amp;DEP_compri13"/>
      <sheetName val="co_t_d'une_mn_segment_97-9813"/>
      <sheetName val="Sce-Univ_98_(__edite)13"/>
      <sheetName val="co_t_par_acc_s_logique_interc13"/>
      <sheetName val="synth_des_co_ts_TM_DEP_compri13"/>
      <sheetName val="S_P113"/>
      <sheetName val="S_Traffic_Model_Entry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Debt 30 June 2002"/>
      <sheetName val="Synthesis"/>
      <sheetName val="Contingent"/>
      <sheetName val="Asset Disposals"/>
      <sheetName val="Financing"/>
      <sheetName val="VUE Cash Flows"/>
      <sheetName val="Liquidity"/>
      <sheetName val="Scenario"/>
      <sheetName val="Debt Schedule"/>
      <sheetName val="Affected facilities"/>
      <sheetName val="Reconciliation"/>
      <sheetName val="Cash Flow"/>
      <sheetName val="Non-Core Assets"/>
      <sheetName val="EBITDA"/>
      <sheetName val="Covenants"/>
      <sheetName val="Debt to be reimbursed"/>
      <sheetName val="VU Put option"/>
      <sheetName val="Lignes bancaires"/>
      <sheetName val="Discrepancy"/>
      <sheetName val="TOC"/>
      <sheetName val="IRR"/>
      <sheetName val="distrib"/>
      <sheetName val="Sésame"/>
      <sheetName val="MS"/>
      <sheetName val="scs"/>
      <sheetName val="vpc"/>
      <sheetName val="synth des coûts TM&amp;DEP comprise"/>
      <sheetName val="Debt_30_June_2002"/>
      <sheetName val="Asset_Disposals"/>
      <sheetName val="VUE_Cash_Flows"/>
      <sheetName val="Debt_Schedule"/>
      <sheetName val="Affected_facilities"/>
      <sheetName val="Cash_Flow"/>
      <sheetName val="Non-Core_Assets"/>
      <sheetName val="Debt_to_be_reimbursed"/>
      <sheetName val="VU_Put_option"/>
      <sheetName val="Lignes_bancaires"/>
      <sheetName val="synth_des_coûts_TM&amp;DEP_comprise"/>
      <sheetName val="Debt_30_June_20021"/>
      <sheetName val="Asset_Disposals1"/>
      <sheetName val="VUE_Cash_Flows1"/>
      <sheetName val="Debt_Schedule1"/>
      <sheetName val="Affected_facilities1"/>
      <sheetName val="Cash_Flow1"/>
      <sheetName val="Non-Core_Assets1"/>
      <sheetName val="Debt_to_be_reimbursed1"/>
      <sheetName val="VU_Put_option1"/>
      <sheetName val="Lignes_bancaires1"/>
      <sheetName val="synth_des_coûts_TM&amp;DEP_compris1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2">
          <cell r="AQ12">
            <v>0.98399000000000003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55">
          <cell r="DL155" t="str">
            <v>Budget d'Investissement - 2005 (Mensualisé)</v>
          </cell>
        </row>
        <row r="156">
          <cell r="DL156" t="str">
            <v>DIRECTION DES AFFAIRES SOCIALES</v>
          </cell>
        </row>
        <row r="160">
          <cell r="DL160" t="str">
            <v>M1</v>
          </cell>
          <cell r="DM160" t="str">
            <v>M2</v>
          </cell>
          <cell r="DN160" t="str">
            <v>M3</v>
          </cell>
          <cell r="DO160" t="str">
            <v>Facturé compt_Four</v>
          </cell>
          <cell r="DP160" t="str">
            <v>Frais accessoires</v>
          </cell>
          <cell r="DQ160" t="str">
            <v>Q1</v>
          </cell>
          <cell r="DR160" t="str">
            <v>M4</v>
          </cell>
          <cell r="DS160" t="str">
            <v>M5</v>
          </cell>
          <cell r="DT160" t="str">
            <v>M6</v>
          </cell>
          <cell r="DU160" t="str">
            <v>Q2</v>
          </cell>
          <cell r="DV160" t="str">
            <v>M7</v>
          </cell>
          <cell r="DW160" t="str">
            <v>M8</v>
          </cell>
          <cell r="DX160" t="str">
            <v>M9</v>
          </cell>
          <cell r="DY160" t="str">
            <v>Q3</v>
          </cell>
          <cell r="DZ160" t="str">
            <v>M10</v>
          </cell>
          <cell r="EA160" t="str">
            <v>M11</v>
          </cell>
          <cell r="EB160" t="str">
            <v>M12</v>
          </cell>
          <cell r="EC160" t="str">
            <v>Q4</v>
          </cell>
          <cell r="ED160" t="str">
            <v>Immo à constater  04</v>
          </cell>
          <cell r="EE160" t="str">
            <v>Consommat° Immo à constater  04</v>
          </cell>
          <cell r="EF160" t="str">
            <v>Facturé 05</v>
          </cell>
          <cell r="EG160" t="str">
            <v>Arrêté de Gestion</v>
          </cell>
          <cell r="EH160" t="str">
            <v>Immo à constater 05</v>
          </cell>
          <cell r="EI160" t="str">
            <v>TOTAL 2005</v>
          </cell>
        </row>
        <row r="164">
          <cell r="EH164">
            <v>0</v>
          </cell>
        </row>
        <row r="165">
          <cell r="DL165">
            <v>41666.666666666664</v>
          </cell>
          <cell r="DM165">
            <v>41666.666666666664</v>
          </cell>
          <cell r="DN165">
            <v>41666.666666666664</v>
          </cell>
          <cell r="DQ165">
            <v>125000</v>
          </cell>
          <cell r="DR165">
            <v>41666.666666666664</v>
          </cell>
          <cell r="DS165">
            <v>41666.666666666664</v>
          </cell>
          <cell r="DT165">
            <v>41666.666666666664</v>
          </cell>
          <cell r="DU165">
            <v>125000</v>
          </cell>
          <cell r="DV165">
            <v>41666.666666666664</v>
          </cell>
          <cell r="DW165">
            <v>41666.666666666664</v>
          </cell>
          <cell r="DX165">
            <v>41666.666666666664</v>
          </cell>
          <cell r="DY165">
            <v>125000</v>
          </cell>
          <cell r="DZ165">
            <v>41666.666666666664</v>
          </cell>
          <cell r="EA165">
            <v>41666.666666666664</v>
          </cell>
          <cell r="EB165">
            <v>41666.666666666664</v>
          </cell>
          <cell r="EC165">
            <v>125000</v>
          </cell>
          <cell r="EH165">
            <v>500000</v>
          </cell>
          <cell r="EI165">
            <v>500000</v>
          </cell>
        </row>
        <row r="166">
          <cell r="DL166">
            <v>41666.666666666664</v>
          </cell>
          <cell r="DM166">
            <v>41666.666666666664</v>
          </cell>
          <cell r="DN166">
            <v>41666.666666666664</v>
          </cell>
          <cell r="DQ166">
            <v>125000</v>
          </cell>
          <cell r="DR166">
            <v>41666.666666666664</v>
          </cell>
          <cell r="DS166">
            <v>41666.666666666664</v>
          </cell>
          <cell r="DT166">
            <v>41666.666666666664</v>
          </cell>
          <cell r="DU166">
            <v>125000</v>
          </cell>
          <cell r="DV166">
            <v>41666.666666666664</v>
          </cell>
          <cell r="DW166">
            <v>41666.666666666664</v>
          </cell>
          <cell r="DX166">
            <v>41666.666666666664</v>
          </cell>
          <cell r="DY166">
            <v>125000</v>
          </cell>
          <cell r="DZ166">
            <v>41666.666666666664</v>
          </cell>
          <cell r="EA166">
            <v>41666.666666666664</v>
          </cell>
          <cell r="EB166">
            <v>41666.666666666664</v>
          </cell>
          <cell r="EC166">
            <v>125000</v>
          </cell>
          <cell r="EH166">
            <v>500000</v>
          </cell>
          <cell r="EI166">
            <v>500000</v>
          </cell>
        </row>
        <row r="168">
          <cell r="DL168">
            <v>83333.333333333328</v>
          </cell>
          <cell r="DM168">
            <v>83333.333333333328</v>
          </cell>
          <cell r="DN168">
            <v>83333.333333333328</v>
          </cell>
          <cell r="DO168">
            <v>0</v>
          </cell>
          <cell r="DP168">
            <v>0</v>
          </cell>
          <cell r="DQ168">
            <v>250000</v>
          </cell>
          <cell r="DR168">
            <v>83333.333333333328</v>
          </cell>
          <cell r="DS168">
            <v>83333.333333333328</v>
          </cell>
          <cell r="DT168">
            <v>83333.333333333328</v>
          </cell>
          <cell r="DU168">
            <v>250000</v>
          </cell>
          <cell r="DV168">
            <v>83333.333333333328</v>
          </cell>
          <cell r="DW168">
            <v>83333.333333333328</v>
          </cell>
          <cell r="DX168">
            <v>83333.333333333328</v>
          </cell>
          <cell r="DY168">
            <v>250000</v>
          </cell>
          <cell r="DZ168">
            <v>83333.333333333328</v>
          </cell>
          <cell r="EA168">
            <v>83333.333333333328</v>
          </cell>
          <cell r="EB168">
            <v>83333.333333333328</v>
          </cell>
          <cell r="EC168">
            <v>250000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1000000</v>
          </cell>
          <cell r="EI168">
            <v>1000000</v>
          </cell>
        </row>
        <row r="170">
          <cell r="DL170">
            <v>83333.333333333328</v>
          </cell>
          <cell r="DM170">
            <v>83333.333333333328</v>
          </cell>
          <cell r="DN170">
            <v>83333.333333333328</v>
          </cell>
          <cell r="DO170">
            <v>0</v>
          </cell>
          <cell r="DP170">
            <v>0</v>
          </cell>
          <cell r="DQ170">
            <v>250000</v>
          </cell>
          <cell r="DR170">
            <v>83333.333333333328</v>
          </cell>
          <cell r="DS170">
            <v>83333.333333333328</v>
          </cell>
          <cell r="DT170">
            <v>83333.333333333328</v>
          </cell>
          <cell r="DU170">
            <v>250000</v>
          </cell>
          <cell r="DV170">
            <v>83333.333333333328</v>
          </cell>
          <cell r="DW170">
            <v>83333.333333333328</v>
          </cell>
          <cell r="DX170">
            <v>83333.333333333328</v>
          </cell>
          <cell r="DY170">
            <v>250000</v>
          </cell>
          <cell r="DZ170">
            <v>83333.333333333328</v>
          </cell>
          <cell r="EA170">
            <v>83333.333333333328</v>
          </cell>
          <cell r="EB170">
            <v>83333.333333333328</v>
          </cell>
          <cell r="EC170">
            <v>250000</v>
          </cell>
          <cell r="ED170" t="e">
            <v>#REF!</v>
          </cell>
          <cell r="EE170" t="e">
            <v>#REF!</v>
          </cell>
          <cell r="EF170" t="e">
            <v>#REF!</v>
          </cell>
          <cell r="EG170" t="e">
            <v>#REF!</v>
          </cell>
          <cell r="EH170" t="e">
            <v>#REF!</v>
          </cell>
          <cell r="EI170">
            <v>1000000</v>
          </cell>
        </row>
        <row r="171">
          <cell r="EH171">
            <v>0</v>
          </cell>
        </row>
        <row r="172">
          <cell r="EH172">
            <v>0</v>
          </cell>
        </row>
        <row r="173"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EH174">
            <v>0</v>
          </cell>
        </row>
        <row r="175">
          <cell r="DL175">
            <v>0</v>
          </cell>
          <cell r="DM175">
            <v>0</v>
          </cell>
          <cell r="DN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H175">
            <v>0</v>
          </cell>
          <cell r="EI175">
            <v>0</v>
          </cell>
        </row>
        <row r="177">
          <cell r="DL177">
            <v>8333.3333333333339</v>
          </cell>
          <cell r="DM177">
            <v>8333.3333333333339</v>
          </cell>
          <cell r="DN177">
            <v>8333.3333333333339</v>
          </cell>
          <cell r="DQ177">
            <v>25000</v>
          </cell>
          <cell r="DR177">
            <v>8333.3333333333339</v>
          </cell>
          <cell r="DS177">
            <v>8333.3333333333339</v>
          </cell>
          <cell r="DT177">
            <v>8333.3333333333339</v>
          </cell>
          <cell r="DU177">
            <v>25000</v>
          </cell>
          <cell r="DV177">
            <v>8333.3333333333339</v>
          </cell>
          <cell r="DW177">
            <v>8333.3333333333339</v>
          </cell>
          <cell r="DX177">
            <v>8333.3333333333339</v>
          </cell>
          <cell r="DY177">
            <v>25000</v>
          </cell>
          <cell r="DZ177">
            <v>8333.3333333333339</v>
          </cell>
          <cell r="EA177">
            <v>8333.3333333333339</v>
          </cell>
          <cell r="EB177">
            <v>8333.3333333333339</v>
          </cell>
          <cell r="EC177">
            <v>25000</v>
          </cell>
          <cell r="EH177">
            <v>100000</v>
          </cell>
          <cell r="EI177">
            <v>100000</v>
          </cell>
        </row>
        <row r="179">
          <cell r="DL179">
            <v>16666.666666666668</v>
          </cell>
          <cell r="DM179">
            <v>16666.666666666668</v>
          </cell>
          <cell r="DN179">
            <v>16666.666666666668</v>
          </cell>
          <cell r="DQ179">
            <v>50000</v>
          </cell>
          <cell r="DR179">
            <v>16666.666666666668</v>
          </cell>
          <cell r="DS179">
            <v>16666.666666666668</v>
          </cell>
          <cell r="DT179">
            <v>16666.666666666668</v>
          </cell>
          <cell r="DU179">
            <v>50000</v>
          </cell>
          <cell r="DV179">
            <v>16666.666666666668</v>
          </cell>
          <cell r="DW179">
            <v>16666.666666666668</v>
          </cell>
          <cell r="DX179">
            <v>16666.666666666668</v>
          </cell>
          <cell r="DY179">
            <v>50000</v>
          </cell>
          <cell r="DZ179">
            <v>16666.666666666668</v>
          </cell>
          <cell r="EA179">
            <v>16666.666666666668</v>
          </cell>
          <cell r="EB179">
            <v>16666.666666666668</v>
          </cell>
          <cell r="EC179">
            <v>50000</v>
          </cell>
          <cell r="EH179">
            <v>200000</v>
          </cell>
          <cell r="EI179">
            <v>200000</v>
          </cell>
        </row>
        <row r="181">
          <cell r="DL181">
            <v>50000</v>
          </cell>
          <cell r="DM181">
            <v>50000</v>
          </cell>
          <cell r="DN181">
            <v>50000</v>
          </cell>
          <cell r="DQ181">
            <v>150000</v>
          </cell>
          <cell r="DR181">
            <v>50000</v>
          </cell>
          <cell r="DS181">
            <v>50000</v>
          </cell>
          <cell r="DT181">
            <v>50000</v>
          </cell>
          <cell r="DU181">
            <v>150000</v>
          </cell>
          <cell r="DV181">
            <v>50000</v>
          </cell>
          <cell r="DW181">
            <v>50000</v>
          </cell>
          <cell r="DX181">
            <v>50000</v>
          </cell>
          <cell r="DY181">
            <v>150000</v>
          </cell>
          <cell r="DZ181">
            <v>50000</v>
          </cell>
          <cell r="EA181">
            <v>50000</v>
          </cell>
          <cell r="EB181">
            <v>50000</v>
          </cell>
          <cell r="EC181">
            <v>150000</v>
          </cell>
          <cell r="EH181">
            <v>600000</v>
          </cell>
          <cell r="EI181">
            <v>600000</v>
          </cell>
        </row>
        <row r="183">
          <cell r="DL183">
            <v>58333.333333333336</v>
          </cell>
          <cell r="DM183">
            <v>58333.333333333336</v>
          </cell>
          <cell r="DN183">
            <v>58333.333333333336</v>
          </cell>
          <cell r="DQ183">
            <v>175000</v>
          </cell>
          <cell r="DR183">
            <v>58333.333333333336</v>
          </cell>
          <cell r="DS183">
            <v>58333.333333333336</v>
          </cell>
          <cell r="DT183">
            <v>58333.333333333336</v>
          </cell>
          <cell r="DU183">
            <v>175000</v>
          </cell>
          <cell r="DV183">
            <v>58333.333333333336</v>
          </cell>
          <cell r="DW183">
            <v>58333.333333333336</v>
          </cell>
          <cell r="DX183">
            <v>58333.333333333336</v>
          </cell>
          <cell r="DY183">
            <v>175000</v>
          </cell>
          <cell r="DZ183">
            <v>58333.333333333336</v>
          </cell>
          <cell r="EA183">
            <v>58333.333333333336</v>
          </cell>
          <cell r="EB183">
            <v>58333.333333333336</v>
          </cell>
          <cell r="EC183">
            <v>175000</v>
          </cell>
          <cell r="EH183">
            <v>700000</v>
          </cell>
          <cell r="EI183">
            <v>700000</v>
          </cell>
        </row>
        <row r="184">
          <cell r="DL184">
            <v>16666.666666666668</v>
          </cell>
          <cell r="DM184">
            <v>16666.666666666668</v>
          </cell>
          <cell r="DN184">
            <v>16666.666666666668</v>
          </cell>
          <cell r="DQ184">
            <v>50000</v>
          </cell>
          <cell r="DR184">
            <v>16666.666666666668</v>
          </cell>
          <cell r="DS184">
            <v>16666.666666666668</v>
          </cell>
          <cell r="DT184">
            <v>16666.666666666668</v>
          </cell>
          <cell r="DU184">
            <v>50000</v>
          </cell>
          <cell r="DV184">
            <v>16666.666666666668</v>
          </cell>
          <cell r="DW184">
            <v>16666.666666666668</v>
          </cell>
          <cell r="DX184">
            <v>16666.666666666668</v>
          </cell>
          <cell r="DY184">
            <v>50000</v>
          </cell>
          <cell r="DZ184">
            <v>16666.666666666668</v>
          </cell>
          <cell r="EA184">
            <v>16666.666666666668</v>
          </cell>
          <cell r="EB184">
            <v>16666.666666666668</v>
          </cell>
          <cell r="EC184">
            <v>50000</v>
          </cell>
          <cell r="EH184">
            <v>200000</v>
          </cell>
          <cell r="EI184">
            <v>200000</v>
          </cell>
        </row>
        <row r="185">
          <cell r="DL185">
            <v>150000</v>
          </cell>
          <cell r="DM185">
            <v>150000</v>
          </cell>
          <cell r="DN185">
            <v>150000</v>
          </cell>
          <cell r="DO185">
            <v>0</v>
          </cell>
          <cell r="DP185">
            <v>0</v>
          </cell>
          <cell r="DQ185">
            <v>450000</v>
          </cell>
          <cell r="DR185">
            <v>150000</v>
          </cell>
          <cell r="DS185">
            <v>150000</v>
          </cell>
          <cell r="DT185">
            <v>150000</v>
          </cell>
          <cell r="DU185">
            <v>450000</v>
          </cell>
          <cell r="DV185">
            <v>150000</v>
          </cell>
          <cell r="DW185">
            <v>150000</v>
          </cell>
          <cell r="DX185">
            <v>150000</v>
          </cell>
          <cell r="DY185">
            <v>450000</v>
          </cell>
          <cell r="DZ185">
            <v>150000</v>
          </cell>
          <cell r="EA185">
            <v>150000</v>
          </cell>
          <cell r="EB185">
            <v>150000</v>
          </cell>
          <cell r="EC185">
            <v>450000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1800000</v>
          </cell>
          <cell r="EI185">
            <v>1800000</v>
          </cell>
        </row>
        <row r="186">
          <cell r="DL186">
            <v>150000</v>
          </cell>
          <cell r="DM186">
            <v>150000</v>
          </cell>
          <cell r="DN186">
            <v>150000</v>
          </cell>
          <cell r="DO186">
            <v>0</v>
          </cell>
          <cell r="DP186">
            <v>0</v>
          </cell>
          <cell r="DQ186">
            <v>450000</v>
          </cell>
          <cell r="DR186">
            <v>150000</v>
          </cell>
          <cell r="DS186">
            <v>150000</v>
          </cell>
          <cell r="DT186">
            <v>150000</v>
          </cell>
          <cell r="DU186">
            <v>450000</v>
          </cell>
          <cell r="DV186">
            <v>150000</v>
          </cell>
          <cell r="DW186">
            <v>150000</v>
          </cell>
          <cell r="DX186">
            <v>150000</v>
          </cell>
          <cell r="DY186">
            <v>450000</v>
          </cell>
          <cell r="DZ186">
            <v>150000</v>
          </cell>
          <cell r="EA186">
            <v>150000</v>
          </cell>
          <cell r="EB186">
            <v>150000</v>
          </cell>
          <cell r="EC186">
            <v>450000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1800000</v>
          </cell>
          <cell r="EI186">
            <v>1800000</v>
          </cell>
        </row>
        <row r="187">
          <cell r="EH187">
            <v>0</v>
          </cell>
        </row>
        <row r="188">
          <cell r="DQ188">
            <v>0</v>
          </cell>
          <cell r="DU188">
            <v>0</v>
          </cell>
          <cell r="DY188">
            <v>0</v>
          </cell>
          <cell r="EC188">
            <v>0</v>
          </cell>
          <cell r="EH188">
            <v>0</v>
          </cell>
        </row>
        <row r="189">
          <cell r="DL189">
            <v>275000</v>
          </cell>
          <cell r="DM189">
            <v>275000</v>
          </cell>
          <cell r="DN189">
            <v>275000</v>
          </cell>
          <cell r="DO189">
            <v>0</v>
          </cell>
          <cell r="DP189">
            <v>0</v>
          </cell>
          <cell r="DQ189">
            <v>825000</v>
          </cell>
          <cell r="DR189">
            <v>275000</v>
          </cell>
          <cell r="DS189">
            <v>275000</v>
          </cell>
          <cell r="DT189">
            <v>275000</v>
          </cell>
          <cell r="DU189">
            <v>825000</v>
          </cell>
          <cell r="DV189">
            <v>275000</v>
          </cell>
          <cell r="DW189">
            <v>275000</v>
          </cell>
          <cell r="DX189">
            <v>275000</v>
          </cell>
          <cell r="DY189">
            <v>825000</v>
          </cell>
          <cell r="DZ189">
            <v>275000</v>
          </cell>
          <cell r="EA189">
            <v>275000</v>
          </cell>
          <cell r="EB189">
            <v>275000</v>
          </cell>
          <cell r="EC189">
            <v>825000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3300000</v>
          </cell>
          <cell r="EI189">
            <v>3300000</v>
          </cell>
        </row>
        <row r="190">
          <cell r="DL190">
            <v>33333.333333333336</v>
          </cell>
          <cell r="DM190">
            <v>33333.333333333336</v>
          </cell>
          <cell r="DN190">
            <v>33333.333333333336</v>
          </cell>
          <cell r="DQ190">
            <v>100000</v>
          </cell>
          <cell r="DR190">
            <v>33333.333333333336</v>
          </cell>
          <cell r="DS190">
            <v>33333.333333333336</v>
          </cell>
          <cell r="DT190">
            <v>33333.333333333336</v>
          </cell>
          <cell r="DU190">
            <v>100000</v>
          </cell>
          <cell r="DV190">
            <v>33333.333333333336</v>
          </cell>
          <cell r="DW190">
            <v>33333.333333333336</v>
          </cell>
          <cell r="DX190">
            <v>33333.333333333336</v>
          </cell>
          <cell r="DY190">
            <v>100000</v>
          </cell>
          <cell r="DZ190">
            <v>33333.333333333336</v>
          </cell>
          <cell r="EA190">
            <v>33333.333333333336</v>
          </cell>
          <cell r="EB190">
            <v>33333.333333333336</v>
          </cell>
          <cell r="EC190">
            <v>100000</v>
          </cell>
          <cell r="EH190">
            <v>400000</v>
          </cell>
          <cell r="EI190">
            <v>400000</v>
          </cell>
        </row>
        <row r="191">
          <cell r="DL191">
            <v>58333.333333333336</v>
          </cell>
          <cell r="DM191">
            <v>58333.333333333336</v>
          </cell>
          <cell r="DN191">
            <v>58333.333333333336</v>
          </cell>
          <cell r="DQ191">
            <v>175000</v>
          </cell>
          <cell r="DR191">
            <v>58333.333333333336</v>
          </cell>
          <cell r="DS191">
            <v>58333.333333333336</v>
          </cell>
          <cell r="DT191">
            <v>58333.333333333336</v>
          </cell>
          <cell r="DU191">
            <v>175000</v>
          </cell>
          <cell r="DV191">
            <v>58333.333333333336</v>
          </cell>
          <cell r="DW191">
            <v>58333.333333333336</v>
          </cell>
          <cell r="DX191">
            <v>58333.333333333336</v>
          </cell>
          <cell r="DY191">
            <v>175000</v>
          </cell>
          <cell r="DZ191">
            <v>58333.333333333336</v>
          </cell>
          <cell r="EA191">
            <v>58333.333333333336</v>
          </cell>
          <cell r="EB191">
            <v>58333.333333333336</v>
          </cell>
          <cell r="EC191">
            <v>175000</v>
          </cell>
          <cell r="EH191">
            <v>700000</v>
          </cell>
          <cell r="EI191">
            <v>700000</v>
          </cell>
        </row>
        <row r="192">
          <cell r="DL192">
            <v>0</v>
          </cell>
          <cell r="DM192">
            <v>0</v>
          </cell>
          <cell r="DN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H192">
            <v>0</v>
          </cell>
          <cell r="EI192">
            <v>0</v>
          </cell>
        </row>
        <row r="194">
          <cell r="DL194">
            <v>41666.666666666664</v>
          </cell>
          <cell r="DM194">
            <v>41666.666666666664</v>
          </cell>
          <cell r="DN194">
            <v>41666.666666666664</v>
          </cell>
          <cell r="DQ194">
            <v>125000</v>
          </cell>
          <cell r="DR194">
            <v>41666.666666666664</v>
          </cell>
          <cell r="DS194">
            <v>41666.666666666664</v>
          </cell>
          <cell r="DT194">
            <v>41666.666666666664</v>
          </cell>
          <cell r="DU194">
            <v>125000</v>
          </cell>
          <cell r="DV194">
            <v>41666.666666666664</v>
          </cell>
          <cell r="DW194">
            <v>41666.666666666664</v>
          </cell>
          <cell r="DX194">
            <v>41666.666666666664</v>
          </cell>
          <cell r="DY194">
            <v>125000</v>
          </cell>
          <cell r="DZ194">
            <v>41666.666666666664</v>
          </cell>
          <cell r="EA194">
            <v>41666.666666666664</v>
          </cell>
          <cell r="EB194">
            <v>41666.666666666664</v>
          </cell>
          <cell r="EC194">
            <v>125000</v>
          </cell>
          <cell r="EH194">
            <v>500000</v>
          </cell>
          <cell r="EI194">
            <v>500000</v>
          </cell>
        </row>
        <row r="195">
          <cell r="DL195">
            <v>25000</v>
          </cell>
          <cell r="DM195">
            <v>25000</v>
          </cell>
          <cell r="DN195">
            <v>25000</v>
          </cell>
          <cell r="DQ195">
            <v>75000</v>
          </cell>
          <cell r="DR195">
            <v>25000</v>
          </cell>
          <cell r="DS195">
            <v>25000</v>
          </cell>
          <cell r="DT195">
            <v>25000</v>
          </cell>
          <cell r="DU195">
            <v>75000</v>
          </cell>
          <cell r="DV195">
            <v>25000</v>
          </cell>
          <cell r="DW195">
            <v>25000</v>
          </cell>
          <cell r="DX195">
            <v>25000</v>
          </cell>
          <cell r="DY195">
            <v>75000</v>
          </cell>
          <cell r="DZ195">
            <v>25000</v>
          </cell>
          <cell r="EA195">
            <v>25000</v>
          </cell>
          <cell r="EB195">
            <v>25000</v>
          </cell>
          <cell r="EC195">
            <v>75000</v>
          </cell>
          <cell r="EH195">
            <v>300000</v>
          </cell>
          <cell r="EI195">
            <v>300000</v>
          </cell>
        </row>
        <row r="197">
          <cell r="DL197">
            <v>16666.666666666668</v>
          </cell>
          <cell r="DM197">
            <v>16666.666666666668</v>
          </cell>
          <cell r="DN197">
            <v>16666.666666666668</v>
          </cell>
          <cell r="DQ197">
            <v>50000</v>
          </cell>
          <cell r="DR197">
            <v>16666.666666666668</v>
          </cell>
          <cell r="DS197">
            <v>16666.666666666668</v>
          </cell>
          <cell r="DT197">
            <v>16666.666666666668</v>
          </cell>
          <cell r="DU197">
            <v>50000</v>
          </cell>
          <cell r="DV197">
            <v>16666.666666666668</v>
          </cell>
          <cell r="DW197">
            <v>16666.666666666668</v>
          </cell>
          <cell r="DX197">
            <v>16666.666666666668</v>
          </cell>
          <cell r="DY197">
            <v>50000</v>
          </cell>
          <cell r="DZ197">
            <v>16666.666666666668</v>
          </cell>
          <cell r="EA197">
            <v>16666.666666666668</v>
          </cell>
          <cell r="EB197">
            <v>16666.666666666668</v>
          </cell>
          <cell r="EC197">
            <v>50000</v>
          </cell>
          <cell r="EH197">
            <v>200000</v>
          </cell>
          <cell r="EI197">
            <v>200000</v>
          </cell>
        </row>
        <row r="199">
          <cell r="DL199">
            <v>33333.333333333336</v>
          </cell>
          <cell r="DM199">
            <v>33333.333333333336</v>
          </cell>
          <cell r="DN199">
            <v>33333.333333333336</v>
          </cell>
          <cell r="DQ199">
            <v>100000</v>
          </cell>
          <cell r="DR199">
            <v>33333.333333333336</v>
          </cell>
          <cell r="DS199">
            <v>33333.333333333336</v>
          </cell>
          <cell r="DT199">
            <v>33333.333333333336</v>
          </cell>
          <cell r="DU199">
            <v>100000</v>
          </cell>
          <cell r="DV199">
            <v>33333.333333333336</v>
          </cell>
          <cell r="DW199">
            <v>33333.333333333336</v>
          </cell>
          <cell r="DX199">
            <v>33333.333333333336</v>
          </cell>
          <cell r="DY199">
            <v>100000</v>
          </cell>
          <cell r="DZ199">
            <v>33333.333333333336</v>
          </cell>
          <cell r="EA199">
            <v>33333.333333333336</v>
          </cell>
          <cell r="EB199">
            <v>33333.333333333336</v>
          </cell>
          <cell r="EC199">
            <v>100000</v>
          </cell>
          <cell r="EH199">
            <v>400000</v>
          </cell>
          <cell r="EI199">
            <v>400000</v>
          </cell>
        </row>
        <row r="201">
          <cell r="DL201">
            <v>66666.666666666672</v>
          </cell>
          <cell r="DM201">
            <v>66666.666666666672</v>
          </cell>
          <cell r="DN201">
            <v>66666.666666666672</v>
          </cell>
          <cell r="DQ201">
            <v>200000</v>
          </cell>
          <cell r="DR201">
            <v>66666.666666666672</v>
          </cell>
          <cell r="DS201">
            <v>66666.666666666672</v>
          </cell>
          <cell r="DT201">
            <v>66666.666666666672</v>
          </cell>
          <cell r="DU201">
            <v>200000</v>
          </cell>
          <cell r="DV201">
            <v>66666.666666666672</v>
          </cell>
          <cell r="DW201">
            <v>66666.666666666672</v>
          </cell>
          <cell r="DX201">
            <v>66666.666666666672</v>
          </cell>
          <cell r="DY201">
            <v>200000</v>
          </cell>
          <cell r="DZ201">
            <v>66666.666666666672</v>
          </cell>
          <cell r="EA201">
            <v>66666.666666666672</v>
          </cell>
          <cell r="EB201">
            <v>66666.666666666672</v>
          </cell>
          <cell r="EC201">
            <v>200000</v>
          </cell>
          <cell r="EH201">
            <v>800000</v>
          </cell>
          <cell r="EI201">
            <v>800000</v>
          </cell>
        </row>
        <row r="202">
          <cell r="DL202">
            <v>0</v>
          </cell>
          <cell r="DM202">
            <v>0</v>
          </cell>
          <cell r="DN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H202">
            <v>0</v>
          </cell>
          <cell r="EI202">
            <v>0</v>
          </cell>
        </row>
        <row r="203">
          <cell r="DL203">
            <v>0</v>
          </cell>
          <cell r="DM203">
            <v>0</v>
          </cell>
          <cell r="DN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H203">
            <v>0</v>
          </cell>
          <cell r="EI203">
            <v>0</v>
          </cell>
        </row>
        <row r="204">
          <cell r="DL204">
            <v>0</v>
          </cell>
          <cell r="DM204">
            <v>0</v>
          </cell>
          <cell r="DN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H204">
            <v>0</v>
          </cell>
          <cell r="EI204">
            <v>0</v>
          </cell>
        </row>
        <row r="206">
          <cell r="DL206">
            <v>275000</v>
          </cell>
          <cell r="DM206">
            <v>275000</v>
          </cell>
          <cell r="DN206">
            <v>275000</v>
          </cell>
          <cell r="DO206">
            <v>0</v>
          </cell>
          <cell r="DP206">
            <v>0</v>
          </cell>
          <cell r="DQ206">
            <v>825000</v>
          </cell>
          <cell r="DR206">
            <v>275000</v>
          </cell>
          <cell r="DS206">
            <v>275000</v>
          </cell>
          <cell r="DT206">
            <v>275000</v>
          </cell>
          <cell r="DU206">
            <v>825000</v>
          </cell>
          <cell r="DV206">
            <v>275000</v>
          </cell>
          <cell r="DW206">
            <v>275000</v>
          </cell>
          <cell r="DX206">
            <v>275000</v>
          </cell>
          <cell r="DY206">
            <v>825000</v>
          </cell>
          <cell r="DZ206">
            <v>275000</v>
          </cell>
          <cell r="EA206">
            <v>275000</v>
          </cell>
          <cell r="EB206">
            <v>275000</v>
          </cell>
          <cell r="EC206">
            <v>825000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3300000</v>
          </cell>
          <cell r="EI206">
            <v>3300000</v>
          </cell>
        </row>
        <row r="208">
          <cell r="DL208">
            <v>275000</v>
          </cell>
          <cell r="DM208">
            <v>275000</v>
          </cell>
          <cell r="DN208">
            <v>275000</v>
          </cell>
          <cell r="DO208">
            <v>0</v>
          </cell>
          <cell r="DP208">
            <v>0</v>
          </cell>
          <cell r="DQ208">
            <v>825000</v>
          </cell>
          <cell r="DR208">
            <v>275000</v>
          </cell>
          <cell r="DS208">
            <v>275000</v>
          </cell>
          <cell r="DT208">
            <v>275000</v>
          </cell>
          <cell r="DU208">
            <v>825000</v>
          </cell>
          <cell r="DV208">
            <v>275000</v>
          </cell>
          <cell r="DW208">
            <v>275000</v>
          </cell>
          <cell r="DX208">
            <v>275000</v>
          </cell>
          <cell r="DY208">
            <v>825000</v>
          </cell>
          <cell r="DZ208">
            <v>275000</v>
          </cell>
          <cell r="EA208">
            <v>275000</v>
          </cell>
          <cell r="EB208">
            <v>275000</v>
          </cell>
          <cell r="EC208">
            <v>825000</v>
          </cell>
          <cell r="ED208" t="e">
            <v>#REF!</v>
          </cell>
          <cell r="EE208" t="e">
            <v>#REF!</v>
          </cell>
          <cell r="EF208" t="e">
            <v>#REF!</v>
          </cell>
          <cell r="EG208" t="e">
            <v>#REF!</v>
          </cell>
          <cell r="EH208" t="e">
            <v>#REF!</v>
          </cell>
          <cell r="EI208">
            <v>3300000</v>
          </cell>
        </row>
        <row r="209">
          <cell r="DQ209">
            <v>0</v>
          </cell>
          <cell r="DU209">
            <v>0</v>
          </cell>
          <cell r="DY209">
            <v>0</v>
          </cell>
          <cell r="EH209">
            <v>0</v>
          </cell>
        </row>
        <row r="210">
          <cell r="DL210">
            <v>508333.33333333331</v>
          </cell>
          <cell r="DM210">
            <v>508333.33333333331</v>
          </cell>
          <cell r="DN210">
            <v>508333.33333333331</v>
          </cell>
          <cell r="DO210">
            <v>0</v>
          </cell>
          <cell r="DP210">
            <v>0</v>
          </cell>
          <cell r="DQ210">
            <v>1525000</v>
          </cell>
          <cell r="DR210">
            <v>508333.33333333331</v>
          </cell>
          <cell r="DS210">
            <v>508333.33333333331</v>
          </cell>
          <cell r="DT210">
            <v>508333.33333333331</v>
          </cell>
          <cell r="DU210">
            <v>1525000</v>
          </cell>
          <cell r="DV210">
            <v>508333.33333333331</v>
          </cell>
          <cell r="DW210">
            <v>508333.33333333331</v>
          </cell>
          <cell r="DX210">
            <v>508333.33333333331</v>
          </cell>
          <cell r="DY210">
            <v>1525000</v>
          </cell>
          <cell r="DZ210">
            <v>508333.33333333331</v>
          </cell>
          <cell r="EA210">
            <v>508333.33333333331</v>
          </cell>
          <cell r="EB210">
            <v>508333.33333333331</v>
          </cell>
          <cell r="EC210">
            <v>1525000</v>
          </cell>
          <cell r="ED210" t="e">
            <v>#REF!</v>
          </cell>
          <cell r="EE210" t="e">
            <v>#REF!</v>
          </cell>
          <cell r="EF210" t="e">
            <v>#REF!</v>
          </cell>
          <cell r="EG210" t="e">
            <v>#REF!</v>
          </cell>
          <cell r="EH210" t="e">
            <v>#REF!</v>
          </cell>
          <cell r="EI210">
            <v>6100000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L4-NODEB3802C"/>
      <sheetName val="Vir94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social capex "/>
      <sheetName val="P.EQUIPEMENT99"/>
      <sheetName val="AW"/>
      <sheetName val="RSG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Table0002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s"/>
      <sheetName val="Ventes du jour"/>
      <sheetName val="Produits"/>
      <sheetName val="Prelèvement"/>
      <sheetName val="Liste des Partenaires"/>
      <sheetName val="A.I.A"/>
      <sheetName val="BATIMENT"/>
      <sheetName val="Table000208"/>
      <sheetName val="Vente Annuelle"/>
      <sheetName val="Rapport Période"/>
      <sheetName val="Vente Mensuelle Master"/>
      <sheetName val="Suivi Stocks"/>
      <sheetName val="Ventes_du_jour"/>
      <sheetName val="Liste_des_Partenaires"/>
      <sheetName val="A_I_A"/>
      <sheetName val="Vente_Annuelle"/>
      <sheetName val="Rapport_Période"/>
      <sheetName val="Vente_Mensuelle_Master"/>
      <sheetName val="Suivi_Stocks"/>
      <sheetName val="Ventes_du_jour1"/>
      <sheetName val="Liste_des_Partenaires1"/>
      <sheetName val="A_I_A1"/>
      <sheetName val="Vente_Annuelle1"/>
      <sheetName val="Rapport_Période1"/>
      <sheetName val="Vente_Mensuelle_Master1"/>
      <sheetName val="Suivi_Stocks1"/>
    </sheetNames>
    <sheetDataSet>
      <sheetData sheetId="0"/>
      <sheetData sheetId="1"/>
      <sheetData sheetId="2" refreshError="1">
        <row r="2">
          <cell r="B2" t="str">
            <v>Scratch 1 000</v>
          </cell>
          <cell r="C2">
            <v>900</v>
          </cell>
        </row>
        <row r="3">
          <cell r="B3" t="str">
            <v>Scratch 2 000</v>
          </cell>
          <cell r="C3">
            <v>1800</v>
          </cell>
        </row>
        <row r="4">
          <cell r="B4" t="str">
            <v>Scratch 2 500</v>
          </cell>
        </row>
        <row r="5">
          <cell r="B5" t="str">
            <v>Scratch 5 000</v>
          </cell>
          <cell r="C5">
            <v>4500</v>
          </cell>
        </row>
        <row r="6">
          <cell r="B6" t="str">
            <v>Scratch 10 000</v>
          </cell>
          <cell r="C6">
            <v>9000</v>
          </cell>
        </row>
        <row r="7">
          <cell r="B7" t="str">
            <v>Scratch 20 000</v>
          </cell>
          <cell r="C7">
            <v>18000</v>
          </cell>
        </row>
        <row r="8">
          <cell r="B8" t="str">
            <v>Kit</v>
          </cell>
          <cell r="C8">
            <v>400</v>
          </cell>
        </row>
        <row r="9">
          <cell r="B9" t="str">
            <v>Minutes</v>
          </cell>
          <cell r="C9">
            <v>25</v>
          </cell>
        </row>
        <row r="10">
          <cell r="B10" t="str">
            <v>VGFU (TTC)</v>
          </cell>
        </row>
      </sheetData>
      <sheetData sheetId="3"/>
      <sheetData sheetId="4" refreshError="1">
        <row r="2">
          <cell r="B2" t="str">
            <v>Compagnie Internationale de Negoce</v>
          </cell>
        </row>
        <row r="3">
          <cell r="B3" t="str">
            <v>Soleil Levant</v>
          </cell>
        </row>
        <row r="4">
          <cell r="B4" t="str">
            <v>Burtel Macsym</v>
          </cell>
        </row>
        <row r="5">
          <cell r="B5" t="str">
            <v>Bonneterie Nouvelle Telecom</v>
          </cell>
        </row>
        <row r="6">
          <cell r="B6" t="str">
            <v>GEMATEL</v>
          </cell>
        </row>
        <row r="7">
          <cell r="B7" t="str">
            <v>Ets Boubacar TANDIA</v>
          </cell>
        </row>
        <row r="8">
          <cell r="B8" t="str">
            <v>Malicom International</v>
          </cell>
        </row>
        <row r="9">
          <cell r="B9" t="str">
            <v>Ets Mamadou GAMBY</v>
          </cell>
        </row>
        <row r="10">
          <cell r="B10" t="str">
            <v>STS GAMBY &amp; FRERES (SOGAF) Sarl</v>
          </cell>
        </row>
        <row r="11">
          <cell r="B11" t="str">
            <v>SDC TELECOM</v>
          </cell>
        </row>
        <row r="12">
          <cell r="B12" t="str">
            <v>ANKA SERVICES</v>
          </cell>
        </row>
        <row r="13">
          <cell r="B13" t="str">
            <v>SOMAKOFF</v>
          </cell>
        </row>
        <row r="14">
          <cell r="B14" t="str">
            <v>Mali Commerce</v>
          </cell>
        </row>
        <row r="15">
          <cell r="B15" t="str">
            <v>CellNets Mali</v>
          </cell>
        </row>
        <row r="16">
          <cell r="B16" t="str">
            <v>Grands Comptes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2">
          <cell r="B2" t="str">
            <v>Compagnie Internationale de Negoce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2">
          <cell r="B2" t="str">
            <v>Compagnie Internationale de Negoce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29">
          <cell r="C29">
            <v>3.3669999999999999E-2</v>
          </cell>
        </row>
        <row r="30">
          <cell r="C30">
            <v>4.0149999999999998E-2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ablanca"/>
      <sheetName val="Parise"/>
      <sheetName val="Parisd"/>
      <sheetName val="euronext100"/>
      <sheetName val="Masi"/>
      <sheetName val="Feuil3"/>
      <sheetName val="Synthèse (2)"/>
      <sheetName val="Texto"/>
      <sheetName val="Affected facilities"/>
    </sheetNames>
    <sheetDataSet>
      <sheetData sheetId="0" refreshError="1">
        <row r="1">
          <cell r="B1" t="str">
            <v>Ouverture</v>
          </cell>
          <cell r="C1" t="str">
            <v>Plus haut</v>
          </cell>
          <cell r="D1" t="str">
            <v>Plus bas</v>
          </cell>
          <cell r="E1" t="str">
            <v>Clôture</v>
          </cell>
          <cell r="G1" t="str">
            <v>Quantité</v>
          </cell>
          <cell r="H1" t="str">
            <v>Volume action</v>
          </cell>
          <cell r="I1" t="str">
            <v>Volume Kdh</v>
          </cell>
        </row>
        <row r="2">
          <cell r="A2">
            <v>38331</v>
          </cell>
          <cell r="B2">
            <v>68.25</v>
          </cell>
          <cell r="C2">
            <v>68.25</v>
          </cell>
          <cell r="D2">
            <v>68.25</v>
          </cell>
          <cell r="E2">
            <v>68.25</v>
          </cell>
          <cell r="G2">
            <v>0</v>
          </cell>
          <cell r="H2">
            <v>0</v>
          </cell>
        </row>
        <row r="3">
          <cell r="A3">
            <v>38334</v>
          </cell>
          <cell r="B3">
            <v>68.25</v>
          </cell>
          <cell r="C3">
            <v>68.25</v>
          </cell>
          <cell r="D3">
            <v>68.25</v>
          </cell>
          <cell r="E3">
            <v>68.25</v>
          </cell>
          <cell r="G3">
            <v>0</v>
          </cell>
          <cell r="H3">
            <v>0</v>
          </cell>
        </row>
        <row r="4">
          <cell r="A4">
            <v>38335</v>
          </cell>
          <cell r="B4">
            <v>68.25</v>
          </cell>
          <cell r="C4">
            <v>68.25</v>
          </cell>
          <cell r="D4">
            <v>68.25</v>
          </cell>
          <cell r="E4">
            <v>68.25</v>
          </cell>
          <cell r="G4">
            <v>0</v>
          </cell>
          <cell r="H4">
            <v>0</v>
          </cell>
        </row>
        <row r="5">
          <cell r="A5">
            <v>38336</v>
          </cell>
          <cell r="B5">
            <v>81.22</v>
          </cell>
          <cell r="C5">
            <v>81.22</v>
          </cell>
          <cell r="D5">
            <v>76.64</v>
          </cell>
          <cell r="E5">
            <v>79.900000000000006</v>
          </cell>
          <cell r="G5">
            <v>5290652</v>
          </cell>
          <cell r="H5">
            <v>427802120.71999997</v>
          </cell>
          <cell r="I5">
            <v>854158133.20000005</v>
          </cell>
        </row>
        <row r="6">
          <cell r="A6">
            <v>38337</v>
          </cell>
          <cell r="B6">
            <v>80.5</v>
          </cell>
          <cell r="C6">
            <v>81.22</v>
          </cell>
          <cell r="D6">
            <v>79.900000000000006</v>
          </cell>
          <cell r="E6">
            <v>80.5</v>
          </cell>
          <cell r="G6">
            <v>2006229</v>
          </cell>
          <cell r="H6">
            <v>161501434.5</v>
          </cell>
          <cell r="I6">
            <v>323955589.5</v>
          </cell>
        </row>
        <row r="7">
          <cell r="A7">
            <v>38338</v>
          </cell>
          <cell r="B7">
            <v>81.2</v>
          </cell>
          <cell r="C7">
            <v>81.459999999999994</v>
          </cell>
          <cell r="D7">
            <v>80.5</v>
          </cell>
          <cell r="E7">
            <v>81.239999999999995</v>
          </cell>
          <cell r="G7">
            <v>825006</v>
          </cell>
          <cell r="H7">
            <v>67006987.32</v>
          </cell>
          <cell r="I7">
            <v>133828739.90000001</v>
          </cell>
        </row>
        <row r="8">
          <cell r="A8">
            <v>38341</v>
          </cell>
          <cell r="B8">
            <v>81.52</v>
          </cell>
          <cell r="C8">
            <v>82.8</v>
          </cell>
          <cell r="D8">
            <v>81.239999999999995</v>
          </cell>
          <cell r="E8">
            <v>82.5</v>
          </cell>
          <cell r="G8">
            <v>549575</v>
          </cell>
          <cell r="H8">
            <v>45070645.749999993</v>
          </cell>
          <cell r="I8">
            <v>90000683.400000006</v>
          </cell>
        </row>
        <row r="9">
          <cell r="A9">
            <v>38342</v>
          </cell>
          <cell r="B9">
            <v>83</v>
          </cell>
          <cell r="C9">
            <v>83.5</v>
          </cell>
          <cell r="D9">
            <v>82.5</v>
          </cell>
          <cell r="E9">
            <v>83.24</v>
          </cell>
          <cell r="G9">
            <v>686836</v>
          </cell>
          <cell r="H9">
            <v>57089808.32</v>
          </cell>
          <cell r="I9">
            <v>114079085.40000001</v>
          </cell>
        </row>
        <row r="10">
          <cell r="A10">
            <v>38343</v>
          </cell>
          <cell r="B10">
            <v>85</v>
          </cell>
          <cell r="C10">
            <v>86</v>
          </cell>
          <cell r="D10">
            <v>83.24</v>
          </cell>
          <cell r="E10">
            <v>86</v>
          </cell>
          <cell r="G10">
            <v>893067</v>
          </cell>
          <cell r="H10">
            <v>76357228.5</v>
          </cell>
          <cell r="I10">
            <v>151844748</v>
          </cell>
        </row>
        <row r="11">
          <cell r="A11">
            <v>38344</v>
          </cell>
          <cell r="B11">
            <v>88</v>
          </cell>
          <cell r="C11">
            <v>88.5</v>
          </cell>
          <cell r="D11">
            <v>86</v>
          </cell>
          <cell r="E11">
            <v>86</v>
          </cell>
          <cell r="G11">
            <v>1067963</v>
          </cell>
          <cell r="H11">
            <v>92912781</v>
          </cell>
          <cell r="I11">
            <v>187045727.80000001</v>
          </cell>
        </row>
        <row r="12">
          <cell r="A12">
            <v>38345</v>
          </cell>
          <cell r="B12">
            <v>86</v>
          </cell>
          <cell r="C12">
            <v>86.8</v>
          </cell>
          <cell r="D12">
            <v>82.9</v>
          </cell>
          <cell r="E12">
            <v>82.9</v>
          </cell>
          <cell r="G12">
            <v>496438</v>
          </cell>
          <cell r="H12">
            <v>41924189.100000001</v>
          </cell>
          <cell r="I12">
            <v>84394416.200000003</v>
          </cell>
        </row>
        <row r="13">
          <cell r="A13">
            <v>38348</v>
          </cell>
          <cell r="B13">
            <v>84</v>
          </cell>
          <cell r="C13">
            <v>84</v>
          </cell>
          <cell r="D13">
            <v>82.54</v>
          </cell>
          <cell r="E13">
            <v>82.92</v>
          </cell>
          <cell r="G13">
            <v>331257</v>
          </cell>
          <cell r="H13">
            <v>27646709.220000003</v>
          </cell>
          <cell r="I13">
            <v>55156961.100000001</v>
          </cell>
        </row>
        <row r="14">
          <cell r="A14">
            <v>38349</v>
          </cell>
          <cell r="B14">
            <v>83</v>
          </cell>
          <cell r="C14">
            <v>83</v>
          </cell>
          <cell r="D14">
            <v>82.5</v>
          </cell>
          <cell r="E14">
            <v>82.8</v>
          </cell>
          <cell r="G14">
            <v>236491</v>
          </cell>
          <cell r="H14">
            <v>19605103.900000002</v>
          </cell>
          <cell r="I14">
            <v>39161303.299999997</v>
          </cell>
        </row>
        <row r="15">
          <cell r="A15">
            <v>38350</v>
          </cell>
          <cell r="B15">
            <v>82.92</v>
          </cell>
          <cell r="C15">
            <v>84.96</v>
          </cell>
          <cell r="D15">
            <v>82.8</v>
          </cell>
          <cell r="E15">
            <v>84.6</v>
          </cell>
          <cell r="G15">
            <v>417237</v>
          </cell>
          <cell r="H15">
            <v>34947771.119999997</v>
          </cell>
          <cell r="I15">
            <v>70176920.5</v>
          </cell>
        </row>
        <row r="16">
          <cell r="A16">
            <v>38351</v>
          </cell>
          <cell r="B16">
            <v>85</v>
          </cell>
          <cell r="C16">
            <v>86</v>
          </cell>
          <cell r="D16">
            <v>84.6</v>
          </cell>
          <cell r="E16">
            <v>85.2</v>
          </cell>
          <cell r="G16">
            <v>510340</v>
          </cell>
          <cell r="H16">
            <v>43429934</v>
          </cell>
          <cell r="I16">
            <v>87182886.099999994</v>
          </cell>
        </row>
        <row r="17">
          <cell r="A17">
            <v>38352</v>
          </cell>
          <cell r="B17">
            <v>86</v>
          </cell>
          <cell r="C17">
            <v>86.88</v>
          </cell>
          <cell r="D17">
            <v>85.2</v>
          </cell>
          <cell r="E17">
            <v>86.7</v>
          </cell>
          <cell r="G17">
            <v>479016</v>
          </cell>
          <cell r="H17">
            <v>41363031.599999994</v>
          </cell>
          <cell r="I17">
            <v>82771250.799999997</v>
          </cell>
        </row>
        <row r="18">
          <cell r="A18">
            <v>38355</v>
          </cell>
          <cell r="B18">
            <v>87</v>
          </cell>
          <cell r="C18">
            <v>87.98</v>
          </cell>
          <cell r="D18">
            <v>87</v>
          </cell>
          <cell r="E18">
            <v>87.3</v>
          </cell>
          <cell r="G18">
            <v>281212</v>
          </cell>
          <cell r="H18">
            <v>24507625.800000001</v>
          </cell>
          <cell r="I18">
            <v>49100470.600000001</v>
          </cell>
        </row>
        <row r="19">
          <cell r="A19">
            <v>38356</v>
          </cell>
          <cell r="B19">
            <v>87.3</v>
          </cell>
          <cell r="C19">
            <v>87.3</v>
          </cell>
          <cell r="D19">
            <v>85.2</v>
          </cell>
          <cell r="E19">
            <v>86.38</v>
          </cell>
          <cell r="G19">
            <v>114473</v>
          </cell>
          <cell r="H19">
            <v>9940835.3200000003</v>
          </cell>
          <cell r="I19">
            <v>19740162.699999999</v>
          </cell>
        </row>
        <row r="20">
          <cell r="A20">
            <v>38357</v>
          </cell>
          <cell r="B20">
            <v>87</v>
          </cell>
          <cell r="C20">
            <v>87</v>
          </cell>
          <cell r="D20">
            <v>85.2</v>
          </cell>
          <cell r="E20">
            <v>86.78</v>
          </cell>
          <cell r="G20">
            <v>148051</v>
          </cell>
          <cell r="H20">
            <v>12864151.390000001</v>
          </cell>
          <cell r="I20">
            <v>25682875.5</v>
          </cell>
        </row>
        <row r="21">
          <cell r="A21">
            <v>38358</v>
          </cell>
          <cell r="B21">
            <v>86.5</v>
          </cell>
          <cell r="C21">
            <v>86.86</v>
          </cell>
          <cell r="D21">
            <v>85.52</v>
          </cell>
          <cell r="E21">
            <v>85.96</v>
          </cell>
          <cell r="G21">
            <v>246591</v>
          </cell>
          <cell r="H21">
            <v>21263541.929999996</v>
          </cell>
          <cell r="I21">
            <v>42594925.100000001</v>
          </cell>
        </row>
        <row r="22">
          <cell r="A22">
            <v>38359</v>
          </cell>
          <cell r="B22">
            <v>85</v>
          </cell>
          <cell r="C22">
            <v>85.5</v>
          </cell>
          <cell r="D22">
            <v>84</v>
          </cell>
          <cell r="E22">
            <v>85</v>
          </cell>
          <cell r="G22">
            <v>441742</v>
          </cell>
          <cell r="H22">
            <v>37548070</v>
          </cell>
          <cell r="I22">
            <v>74915454.299999997</v>
          </cell>
        </row>
        <row r="23">
          <cell r="A23">
            <v>38362</v>
          </cell>
          <cell r="B23">
            <v>85</v>
          </cell>
          <cell r="C23">
            <v>85.5</v>
          </cell>
          <cell r="D23">
            <v>85</v>
          </cell>
          <cell r="E23">
            <v>85.5</v>
          </cell>
          <cell r="G23">
            <v>158077</v>
          </cell>
          <cell r="H23">
            <v>13476064.25</v>
          </cell>
          <cell r="I23">
            <v>26908443.800000001</v>
          </cell>
        </row>
        <row r="24">
          <cell r="A24">
            <v>38363</v>
          </cell>
          <cell r="B24">
            <v>85</v>
          </cell>
          <cell r="C24">
            <v>85.5</v>
          </cell>
          <cell r="D24">
            <v>85</v>
          </cell>
          <cell r="E24">
            <v>85.5</v>
          </cell>
        </row>
        <row r="25">
          <cell r="A25">
            <v>38364</v>
          </cell>
          <cell r="B25">
            <v>84.16</v>
          </cell>
          <cell r="C25">
            <v>85</v>
          </cell>
          <cell r="D25">
            <v>84.14</v>
          </cell>
          <cell r="E25">
            <v>85</v>
          </cell>
          <cell r="G25">
            <v>274129</v>
          </cell>
          <cell r="H25">
            <v>23185830.82</v>
          </cell>
          <cell r="I25">
            <v>46322048.299999997</v>
          </cell>
        </row>
        <row r="26">
          <cell r="A26">
            <v>38365</v>
          </cell>
          <cell r="B26">
            <v>85.1</v>
          </cell>
          <cell r="C26">
            <v>86.2</v>
          </cell>
          <cell r="D26">
            <v>85.02</v>
          </cell>
          <cell r="E26">
            <v>86.18</v>
          </cell>
          <cell r="G26">
            <v>283775</v>
          </cell>
          <cell r="H26">
            <v>24302491</v>
          </cell>
          <cell r="I26">
            <v>48559411.399999999</v>
          </cell>
        </row>
        <row r="27">
          <cell r="A27">
            <v>38366</v>
          </cell>
          <cell r="B27">
            <v>86.2</v>
          </cell>
          <cell r="C27">
            <v>86.4</v>
          </cell>
          <cell r="D27">
            <v>86.02</v>
          </cell>
          <cell r="E27">
            <v>86.02</v>
          </cell>
          <cell r="G27">
            <v>237364</v>
          </cell>
          <cell r="H27">
            <v>20439414.039999999</v>
          </cell>
          <cell r="I27">
            <v>40930266.700000003</v>
          </cell>
        </row>
        <row r="28">
          <cell r="A28">
            <v>38369</v>
          </cell>
          <cell r="B28">
            <v>86.02</v>
          </cell>
          <cell r="C28">
            <v>86.26</v>
          </cell>
          <cell r="D28">
            <v>86</v>
          </cell>
          <cell r="E28">
            <v>86.2</v>
          </cell>
          <cell r="G28">
            <v>177777</v>
          </cell>
          <cell r="H28">
            <v>15308377.470000001</v>
          </cell>
          <cell r="I28">
            <v>30603650.600000001</v>
          </cell>
        </row>
        <row r="29">
          <cell r="A29">
            <v>38370</v>
          </cell>
          <cell r="B29">
            <v>86.32</v>
          </cell>
          <cell r="C29">
            <v>86.68</v>
          </cell>
          <cell r="D29">
            <v>86.22</v>
          </cell>
          <cell r="E29">
            <v>86.5</v>
          </cell>
          <cell r="G29">
            <v>268572</v>
          </cell>
          <cell r="H29">
            <v>23207306.52</v>
          </cell>
          <cell r="I29">
            <v>46415977.799999997</v>
          </cell>
        </row>
        <row r="30">
          <cell r="A30">
            <v>38371</v>
          </cell>
          <cell r="B30">
            <v>86.5</v>
          </cell>
          <cell r="C30">
            <v>86.72</v>
          </cell>
          <cell r="D30">
            <v>86.42</v>
          </cell>
          <cell r="E30">
            <v>86.5</v>
          </cell>
          <cell r="G30">
            <v>124547</v>
          </cell>
          <cell r="H30">
            <v>10773315.5</v>
          </cell>
          <cell r="I30">
            <v>21560911.399999999</v>
          </cell>
        </row>
        <row r="31">
          <cell r="A31">
            <v>38372</v>
          </cell>
          <cell r="B31">
            <v>86.5</v>
          </cell>
          <cell r="C31">
            <v>86.8</v>
          </cell>
          <cell r="D31">
            <v>86.5</v>
          </cell>
          <cell r="E31">
            <v>86.7</v>
          </cell>
          <cell r="G31">
            <v>135754</v>
          </cell>
          <cell r="H31">
            <v>11756296.399999999</v>
          </cell>
          <cell r="I31">
            <v>23510430.399999999</v>
          </cell>
        </row>
        <row r="32">
          <cell r="A32">
            <v>38373</v>
          </cell>
          <cell r="B32">
            <v>86.5</v>
          </cell>
          <cell r="C32">
            <v>86.8</v>
          </cell>
          <cell r="D32">
            <v>86.5</v>
          </cell>
          <cell r="E32">
            <v>86.7</v>
          </cell>
          <cell r="H32">
            <v>0</v>
          </cell>
        </row>
        <row r="33">
          <cell r="A33">
            <v>38376</v>
          </cell>
          <cell r="B33">
            <v>86.32</v>
          </cell>
          <cell r="C33">
            <v>86.7</v>
          </cell>
          <cell r="D33">
            <v>86.14</v>
          </cell>
          <cell r="E33">
            <v>86.7</v>
          </cell>
          <cell r="G33">
            <v>93387</v>
          </cell>
          <cell r="H33">
            <v>8078909.3699999992</v>
          </cell>
          <cell r="I33">
            <v>16161702.4</v>
          </cell>
        </row>
        <row r="34">
          <cell r="A34">
            <v>38377</v>
          </cell>
          <cell r="B34">
            <v>87</v>
          </cell>
          <cell r="C34">
            <v>87</v>
          </cell>
          <cell r="D34">
            <v>86.04</v>
          </cell>
          <cell r="E34">
            <v>86.18</v>
          </cell>
          <cell r="G34">
            <v>69209</v>
          </cell>
          <cell r="H34">
            <v>5992807.3100000005</v>
          </cell>
          <cell r="I34">
            <v>11981112.6</v>
          </cell>
        </row>
        <row r="35">
          <cell r="A35">
            <v>38378</v>
          </cell>
          <cell r="B35">
            <v>85.5</v>
          </cell>
          <cell r="C35">
            <v>86</v>
          </cell>
          <cell r="D35">
            <v>85.06</v>
          </cell>
          <cell r="E35">
            <v>85.34</v>
          </cell>
          <cell r="G35">
            <v>91139</v>
          </cell>
          <cell r="H35">
            <v>7785093.3799999999</v>
          </cell>
          <cell r="I35">
            <v>15570674.9</v>
          </cell>
        </row>
        <row r="36">
          <cell r="A36">
            <v>38379</v>
          </cell>
          <cell r="B36">
            <v>85.34</v>
          </cell>
          <cell r="C36">
            <v>85.9</v>
          </cell>
          <cell r="D36">
            <v>85.34</v>
          </cell>
          <cell r="E36">
            <v>85.66</v>
          </cell>
          <cell r="G36">
            <v>91595</v>
          </cell>
          <cell r="H36">
            <v>7831372.5</v>
          </cell>
          <cell r="I36">
            <v>15659496.800000001</v>
          </cell>
        </row>
        <row r="37">
          <cell r="A37">
            <v>38380</v>
          </cell>
          <cell r="B37">
            <v>86</v>
          </cell>
          <cell r="C37">
            <v>86.52</v>
          </cell>
          <cell r="D37">
            <v>86</v>
          </cell>
          <cell r="E37">
            <v>86.52</v>
          </cell>
          <cell r="G37">
            <v>109389</v>
          </cell>
          <cell r="H37">
            <v>9435895.1399999987</v>
          </cell>
          <cell r="I37">
            <v>18837638.800000001</v>
          </cell>
        </row>
        <row r="38">
          <cell r="A38">
            <v>38383</v>
          </cell>
          <cell r="B38">
            <v>86.56</v>
          </cell>
          <cell r="C38">
            <v>86.54</v>
          </cell>
          <cell r="D38">
            <v>86.2</v>
          </cell>
          <cell r="E38">
            <v>86.32</v>
          </cell>
          <cell r="G38">
            <v>38506</v>
          </cell>
          <cell r="H38">
            <v>3328458.64</v>
          </cell>
          <cell r="I38">
            <v>6653689.7999999998</v>
          </cell>
        </row>
        <row r="39">
          <cell r="A39">
            <v>38384</v>
          </cell>
          <cell r="B39">
            <v>87</v>
          </cell>
          <cell r="C39">
            <v>87.6</v>
          </cell>
          <cell r="D39">
            <v>86.54</v>
          </cell>
          <cell r="E39">
            <v>87.14</v>
          </cell>
          <cell r="G39">
            <v>280367</v>
          </cell>
          <cell r="H39">
            <v>24411554.689999998</v>
          </cell>
          <cell r="I39">
            <v>48852792.700000003</v>
          </cell>
        </row>
        <row r="40">
          <cell r="A40">
            <v>38385</v>
          </cell>
          <cell r="B40">
            <v>87.34</v>
          </cell>
          <cell r="C40">
            <v>87.5</v>
          </cell>
          <cell r="D40">
            <v>87.04</v>
          </cell>
          <cell r="E40">
            <v>87.48</v>
          </cell>
          <cell r="G40">
            <v>262635</v>
          </cell>
          <cell r="H40">
            <v>22956925.349999998</v>
          </cell>
          <cell r="I40">
            <v>45899015.600000001</v>
          </cell>
        </row>
        <row r="41">
          <cell r="A41">
            <v>38386</v>
          </cell>
          <cell r="B41">
            <v>87.5</v>
          </cell>
          <cell r="C41">
            <v>87.5</v>
          </cell>
          <cell r="D41">
            <v>87.04</v>
          </cell>
          <cell r="E41">
            <v>87.1</v>
          </cell>
          <cell r="G41">
            <v>101863</v>
          </cell>
          <cell r="H41">
            <v>8892639.9000000004</v>
          </cell>
          <cell r="I41">
            <v>17763480.600000001</v>
          </cell>
        </row>
        <row r="42">
          <cell r="A42">
            <v>38387</v>
          </cell>
          <cell r="B42">
            <v>87.48</v>
          </cell>
          <cell r="C42">
            <v>87.48</v>
          </cell>
          <cell r="D42">
            <v>85.5</v>
          </cell>
          <cell r="E42">
            <v>86</v>
          </cell>
          <cell r="G42">
            <v>186884</v>
          </cell>
          <cell r="H42">
            <v>16210318.160000002</v>
          </cell>
          <cell r="I42">
            <v>32282275.399999999</v>
          </cell>
        </row>
        <row r="43">
          <cell r="A43">
            <v>38390</v>
          </cell>
          <cell r="B43">
            <v>86.22</v>
          </cell>
          <cell r="C43">
            <v>87.38</v>
          </cell>
          <cell r="D43">
            <v>86.14</v>
          </cell>
          <cell r="E43">
            <v>87</v>
          </cell>
          <cell r="G43">
            <v>248974</v>
          </cell>
          <cell r="H43">
            <v>21563638.140000001</v>
          </cell>
          <cell r="I43">
            <v>43246914.700000003</v>
          </cell>
        </row>
        <row r="44">
          <cell r="A44">
            <v>38391</v>
          </cell>
          <cell r="B44">
            <v>86.2</v>
          </cell>
          <cell r="C44">
            <v>86.5</v>
          </cell>
          <cell r="D44">
            <v>86.2</v>
          </cell>
          <cell r="E44">
            <v>86.2</v>
          </cell>
          <cell r="G44">
            <v>53694</v>
          </cell>
          <cell r="H44">
            <v>4628422.8</v>
          </cell>
          <cell r="I44">
            <v>9269057.5</v>
          </cell>
        </row>
        <row r="45">
          <cell r="A45">
            <v>38392</v>
          </cell>
          <cell r="B45">
            <v>86</v>
          </cell>
          <cell r="C45">
            <v>86.5</v>
          </cell>
          <cell r="D45">
            <v>86</v>
          </cell>
          <cell r="E45">
            <v>86.24</v>
          </cell>
          <cell r="G45">
            <v>110246</v>
          </cell>
          <cell r="H45">
            <v>9494385.5200000014</v>
          </cell>
        </row>
        <row r="46">
          <cell r="A46">
            <v>38393</v>
          </cell>
          <cell r="B46">
            <v>86</v>
          </cell>
          <cell r="C46">
            <v>86.5</v>
          </cell>
          <cell r="D46">
            <v>86</v>
          </cell>
          <cell r="E46">
            <v>86.24</v>
          </cell>
          <cell r="G46">
            <v>110246</v>
          </cell>
          <cell r="H46">
            <v>9494385.5200000014</v>
          </cell>
          <cell r="I46">
            <v>18999175</v>
          </cell>
        </row>
        <row r="47">
          <cell r="A47">
            <v>38394</v>
          </cell>
          <cell r="B47">
            <v>86.48</v>
          </cell>
          <cell r="C47">
            <v>86.48</v>
          </cell>
          <cell r="D47">
            <v>86.04</v>
          </cell>
          <cell r="E47">
            <v>86.1</v>
          </cell>
          <cell r="G47">
            <v>53487</v>
          </cell>
          <cell r="H47">
            <v>4615393.2299999995</v>
          </cell>
          <cell r="I47">
            <v>9226247.0999999996</v>
          </cell>
        </row>
        <row r="48">
          <cell r="A48">
            <v>38397</v>
          </cell>
          <cell r="B48">
            <v>86.04</v>
          </cell>
          <cell r="C48">
            <v>86.2</v>
          </cell>
          <cell r="D48">
            <v>85.56</v>
          </cell>
          <cell r="E48">
            <v>86</v>
          </cell>
          <cell r="G48">
            <v>124002</v>
          </cell>
          <cell r="H48">
            <v>10666652.040000001</v>
          </cell>
          <cell r="I48">
            <v>21294944.600000001</v>
          </cell>
        </row>
        <row r="49">
          <cell r="A49">
            <v>38398</v>
          </cell>
          <cell r="B49">
            <v>85.52</v>
          </cell>
          <cell r="C49">
            <v>85.6</v>
          </cell>
          <cell r="D49">
            <v>85</v>
          </cell>
          <cell r="E49">
            <v>85.2</v>
          </cell>
          <cell r="G49">
            <v>102214</v>
          </cell>
          <cell r="H49">
            <v>8724987.0399999991</v>
          </cell>
          <cell r="I49">
            <v>17392798.300000001</v>
          </cell>
        </row>
        <row r="50">
          <cell r="A50">
            <v>38399</v>
          </cell>
          <cell r="B50">
            <v>84</v>
          </cell>
          <cell r="C50">
            <v>85.8</v>
          </cell>
          <cell r="D50">
            <v>83.2</v>
          </cell>
          <cell r="E50">
            <v>85.5</v>
          </cell>
          <cell r="G50">
            <v>239281</v>
          </cell>
          <cell r="H50">
            <v>20279064.75</v>
          </cell>
          <cell r="I50">
            <v>40442105.799999997</v>
          </cell>
        </row>
        <row r="51">
          <cell r="A51">
            <v>38400</v>
          </cell>
          <cell r="B51">
            <v>85.02</v>
          </cell>
          <cell r="C51">
            <v>86</v>
          </cell>
          <cell r="D51">
            <v>84.2</v>
          </cell>
          <cell r="E51">
            <v>85.98</v>
          </cell>
          <cell r="G51">
            <v>589018</v>
          </cell>
          <cell r="H51">
            <v>50361039</v>
          </cell>
          <cell r="I51">
            <v>100887810.3</v>
          </cell>
        </row>
        <row r="52">
          <cell r="A52">
            <v>38401</v>
          </cell>
          <cell r="B52">
            <v>85.1</v>
          </cell>
          <cell r="C52">
            <v>86</v>
          </cell>
          <cell r="D52">
            <v>85.1</v>
          </cell>
          <cell r="E52">
            <v>85.52</v>
          </cell>
          <cell r="G52">
            <v>149579</v>
          </cell>
          <cell r="H52">
            <v>12760584.49</v>
          </cell>
          <cell r="I52">
            <v>25656769.899999999</v>
          </cell>
        </row>
        <row r="53">
          <cell r="A53">
            <v>38404</v>
          </cell>
          <cell r="B53">
            <v>84.9</v>
          </cell>
          <cell r="C53">
            <v>86.04</v>
          </cell>
          <cell r="D53">
            <v>84.52</v>
          </cell>
          <cell r="E53">
            <v>86.04</v>
          </cell>
          <cell r="G53">
            <v>941017</v>
          </cell>
          <cell r="H53">
            <v>80428722.989999995</v>
          </cell>
          <cell r="I53">
            <v>160104975.19999999</v>
          </cell>
        </row>
        <row r="54">
          <cell r="A54">
            <v>38405</v>
          </cell>
          <cell r="B54">
            <v>85.02</v>
          </cell>
          <cell r="C54">
            <v>86.5</v>
          </cell>
          <cell r="D54">
            <v>85.02</v>
          </cell>
          <cell r="E54">
            <v>86</v>
          </cell>
          <cell r="G54">
            <v>173507</v>
          </cell>
          <cell r="H54">
            <v>14836583.569999998</v>
          </cell>
          <cell r="I54">
            <v>29830802.100000001</v>
          </cell>
        </row>
        <row r="55">
          <cell r="A55">
            <v>38406</v>
          </cell>
          <cell r="B55">
            <v>85.3</v>
          </cell>
          <cell r="C55">
            <v>86</v>
          </cell>
          <cell r="D55">
            <v>85.3</v>
          </cell>
          <cell r="E55">
            <v>85.5</v>
          </cell>
          <cell r="G55">
            <v>143369</v>
          </cell>
          <cell r="H55">
            <v>12243712.600000001</v>
          </cell>
          <cell r="I55">
            <v>24611281.899999999</v>
          </cell>
        </row>
        <row r="56">
          <cell r="A56">
            <v>38407</v>
          </cell>
          <cell r="B56">
            <v>85.1</v>
          </cell>
          <cell r="C56">
            <v>85.1</v>
          </cell>
          <cell r="D56">
            <v>84</v>
          </cell>
          <cell r="E56">
            <v>84.12</v>
          </cell>
          <cell r="G56">
            <v>117093</v>
          </cell>
          <cell r="H56">
            <v>9907238.7300000004</v>
          </cell>
          <cell r="I56">
            <v>19767629.440000001</v>
          </cell>
        </row>
        <row r="57">
          <cell r="A57">
            <v>38408</v>
          </cell>
          <cell r="B57">
            <v>84.1</v>
          </cell>
          <cell r="C57">
            <v>84.5</v>
          </cell>
          <cell r="D57">
            <v>84.04</v>
          </cell>
          <cell r="E57">
            <v>84.32</v>
          </cell>
          <cell r="G57">
            <v>181042</v>
          </cell>
          <cell r="H57">
            <v>15245546.819999998</v>
          </cell>
          <cell r="I57">
            <v>30495898</v>
          </cell>
        </row>
        <row r="58">
          <cell r="A58">
            <v>38411</v>
          </cell>
          <cell r="B58">
            <v>84.2</v>
          </cell>
          <cell r="C58">
            <v>85</v>
          </cell>
          <cell r="D58">
            <v>84.12</v>
          </cell>
          <cell r="E58">
            <v>85</v>
          </cell>
          <cell r="G58">
            <v>451126</v>
          </cell>
          <cell r="H58">
            <v>38165259.599999994</v>
          </cell>
          <cell r="I58">
            <v>76465106.299999997</v>
          </cell>
        </row>
        <row r="59">
          <cell r="A59">
            <v>38412</v>
          </cell>
          <cell r="B59">
            <v>85.04</v>
          </cell>
          <cell r="C59">
            <v>85.94</v>
          </cell>
          <cell r="D59">
            <v>85.04</v>
          </cell>
          <cell r="E59">
            <v>85.52</v>
          </cell>
          <cell r="G59">
            <v>150026</v>
          </cell>
          <cell r="H59">
            <v>12794217.279999999</v>
          </cell>
          <cell r="I59">
            <v>25587063.300000001</v>
          </cell>
        </row>
        <row r="60">
          <cell r="A60">
            <v>38413</v>
          </cell>
          <cell r="B60">
            <v>85.52</v>
          </cell>
          <cell r="C60">
            <v>85.94</v>
          </cell>
          <cell r="D60">
            <v>85.52</v>
          </cell>
          <cell r="E60">
            <v>85.8</v>
          </cell>
          <cell r="G60">
            <v>69867</v>
          </cell>
          <cell r="H60">
            <v>5984807.2199999997</v>
          </cell>
          <cell r="I60">
            <v>11961347.1</v>
          </cell>
        </row>
        <row r="61">
          <cell r="A61">
            <v>38414</v>
          </cell>
          <cell r="B61">
            <v>85.22</v>
          </cell>
          <cell r="C61">
            <v>85.48</v>
          </cell>
          <cell r="D61">
            <v>85.02</v>
          </cell>
          <cell r="E61">
            <v>85.26</v>
          </cell>
          <cell r="G61">
            <v>53666</v>
          </cell>
          <cell r="H61">
            <v>4574489.8400000008</v>
          </cell>
          <cell r="I61">
            <v>9150206.0999999996</v>
          </cell>
        </row>
        <row r="62">
          <cell r="A62">
            <v>38415</v>
          </cell>
          <cell r="B62">
            <v>85.24</v>
          </cell>
          <cell r="C62">
            <v>85.8</v>
          </cell>
          <cell r="D62">
            <v>85.24</v>
          </cell>
          <cell r="E62">
            <v>85.8</v>
          </cell>
          <cell r="G62">
            <v>79791</v>
          </cell>
          <cell r="H62">
            <v>6823726.3199999994</v>
          </cell>
          <cell r="I62">
            <v>13654958.800000001</v>
          </cell>
        </row>
        <row r="63">
          <cell r="A63">
            <v>38418</v>
          </cell>
          <cell r="B63">
            <v>86</v>
          </cell>
          <cell r="C63">
            <v>86</v>
          </cell>
          <cell r="D63">
            <v>84.9</v>
          </cell>
          <cell r="E63">
            <v>84.9</v>
          </cell>
          <cell r="G63">
            <v>448822</v>
          </cell>
          <cell r="H63">
            <v>38351839.899999999</v>
          </cell>
          <cell r="I63">
            <v>76935802.299999997</v>
          </cell>
        </row>
        <row r="64">
          <cell r="A64">
            <v>38419</v>
          </cell>
          <cell r="B64">
            <v>85</v>
          </cell>
          <cell r="C64">
            <v>85.2</v>
          </cell>
          <cell r="D64">
            <v>83.5</v>
          </cell>
          <cell r="E64">
            <v>83.62</v>
          </cell>
          <cell r="G64">
            <v>223293</v>
          </cell>
          <cell r="H64">
            <v>18825832.830000002</v>
          </cell>
          <cell r="I64">
            <v>37600514</v>
          </cell>
        </row>
        <row r="65">
          <cell r="A65">
            <v>38420</v>
          </cell>
          <cell r="B65">
            <v>83</v>
          </cell>
          <cell r="C65">
            <v>83</v>
          </cell>
          <cell r="D65">
            <v>80.540000000000006</v>
          </cell>
          <cell r="E65">
            <v>82.16</v>
          </cell>
          <cell r="G65">
            <v>210050</v>
          </cell>
          <cell r="H65">
            <v>17345929</v>
          </cell>
          <cell r="I65">
            <v>34421264.600000001</v>
          </cell>
        </row>
        <row r="66">
          <cell r="A66">
            <v>38421</v>
          </cell>
          <cell r="B66">
            <v>82</v>
          </cell>
          <cell r="C66">
            <v>83.6</v>
          </cell>
          <cell r="D66">
            <v>82</v>
          </cell>
          <cell r="E66">
            <v>83.6</v>
          </cell>
          <cell r="G66">
            <v>95018</v>
          </cell>
          <cell r="H66">
            <v>7867490.3999999994</v>
          </cell>
          <cell r="I66">
            <v>15675071.699999999</v>
          </cell>
        </row>
        <row r="67">
          <cell r="A67">
            <v>38422</v>
          </cell>
          <cell r="B67">
            <v>83.62</v>
          </cell>
          <cell r="C67">
            <v>84.7</v>
          </cell>
          <cell r="D67">
            <v>83.04</v>
          </cell>
          <cell r="E67">
            <v>84.5</v>
          </cell>
          <cell r="G67">
            <v>178397</v>
          </cell>
          <cell r="H67">
            <v>14996051.82</v>
          </cell>
          <cell r="I67">
            <v>30040124</v>
          </cell>
        </row>
        <row r="68">
          <cell r="A68">
            <v>38425</v>
          </cell>
          <cell r="B68">
            <v>84</v>
          </cell>
          <cell r="C68">
            <v>85</v>
          </cell>
          <cell r="D68">
            <v>84</v>
          </cell>
          <cell r="E68">
            <v>85</v>
          </cell>
          <cell r="G68">
            <v>115101</v>
          </cell>
          <cell r="H68">
            <v>9726034.5</v>
          </cell>
          <cell r="I68">
            <v>19512124.800000001</v>
          </cell>
        </row>
        <row r="69">
          <cell r="A69">
            <v>38426</v>
          </cell>
          <cell r="B69">
            <v>85</v>
          </cell>
          <cell r="C69">
            <v>85.5</v>
          </cell>
          <cell r="D69">
            <v>84.54</v>
          </cell>
          <cell r="E69">
            <v>85</v>
          </cell>
          <cell r="G69">
            <v>116215</v>
          </cell>
          <cell r="H69">
            <v>9878275</v>
          </cell>
          <cell r="I69">
            <v>19764063.199999999</v>
          </cell>
        </row>
        <row r="70">
          <cell r="A70">
            <v>38427</v>
          </cell>
          <cell r="B70">
            <v>84.5</v>
          </cell>
          <cell r="C70">
            <v>85</v>
          </cell>
          <cell r="D70">
            <v>84.5</v>
          </cell>
          <cell r="E70">
            <v>84.5</v>
          </cell>
          <cell r="G70">
            <v>35893</v>
          </cell>
          <cell r="H70">
            <v>3032958.5</v>
          </cell>
          <cell r="I70">
            <v>6082290.2000000002</v>
          </cell>
        </row>
        <row r="71">
          <cell r="A71">
            <v>38428</v>
          </cell>
          <cell r="B71">
            <v>83.84</v>
          </cell>
          <cell r="C71">
            <v>84.8</v>
          </cell>
          <cell r="D71">
            <v>83.84</v>
          </cell>
          <cell r="E71">
            <v>84.8</v>
          </cell>
          <cell r="G71">
            <v>28505</v>
          </cell>
          <cell r="H71">
            <v>2403541.5999999996</v>
          </cell>
          <cell r="I71">
            <v>4798704.5999999996</v>
          </cell>
        </row>
        <row r="72">
          <cell r="A72">
            <v>38429</v>
          </cell>
          <cell r="B72">
            <v>84.5</v>
          </cell>
          <cell r="C72">
            <v>84.5</v>
          </cell>
          <cell r="D72">
            <v>83.8</v>
          </cell>
          <cell r="E72">
            <v>83.9</v>
          </cell>
          <cell r="G72">
            <v>29038</v>
          </cell>
          <cell r="H72">
            <v>2444999.6</v>
          </cell>
          <cell r="I72">
            <v>4889030.8</v>
          </cell>
        </row>
        <row r="73">
          <cell r="A73">
            <v>38432</v>
          </cell>
          <cell r="B73">
            <v>84.4</v>
          </cell>
          <cell r="C73">
            <v>85</v>
          </cell>
          <cell r="D73">
            <v>83.9</v>
          </cell>
          <cell r="E73">
            <v>84.6</v>
          </cell>
          <cell r="G73">
            <v>72275</v>
          </cell>
          <cell r="H73">
            <v>6107237.5</v>
          </cell>
          <cell r="I73">
            <v>12233291.4</v>
          </cell>
        </row>
        <row r="74">
          <cell r="A74">
            <v>38433</v>
          </cell>
          <cell r="B74">
            <v>84.8</v>
          </cell>
          <cell r="C74">
            <v>85</v>
          </cell>
          <cell r="D74">
            <v>84.42</v>
          </cell>
          <cell r="E74">
            <v>84.5</v>
          </cell>
          <cell r="G74">
            <v>48066</v>
          </cell>
          <cell r="H74">
            <v>4068786.9000000004</v>
          </cell>
          <cell r="I74">
            <v>8140580.7000000002</v>
          </cell>
        </row>
        <row r="75">
          <cell r="A75">
            <v>38434</v>
          </cell>
          <cell r="B75">
            <v>84</v>
          </cell>
          <cell r="C75">
            <v>84.1</v>
          </cell>
          <cell r="D75">
            <v>83.8</v>
          </cell>
          <cell r="E75">
            <v>84</v>
          </cell>
          <cell r="G75">
            <v>40804</v>
          </cell>
          <cell r="H75">
            <v>3427536</v>
          </cell>
          <cell r="I75">
            <v>6853292.0999999996</v>
          </cell>
        </row>
        <row r="76">
          <cell r="A76">
            <v>38435</v>
          </cell>
          <cell r="B76">
            <v>83.72</v>
          </cell>
          <cell r="C76">
            <v>83.72</v>
          </cell>
          <cell r="D76">
            <v>83.12</v>
          </cell>
          <cell r="E76">
            <v>83.5</v>
          </cell>
          <cell r="G76">
            <v>54719</v>
          </cell>
          <cell r="H76">
            <v>4575055.59</v>
          </cell>
          <cell r="I76">
            <v>9139730.6999999993</v>
          </cell>
        </row>
        <row r="77">
          <cell r="A77">
            <v>38436</v>
          </cell>
          <cell r="B77">
            <v>83.9</v>
          </cell>
          <cell r="C77">
            <v>85.2</v>
          </cell>
          <cell r="D77">
            <v>83.9</v>
          </cell>
          <cell r="E77">
            <v>84.6</v>
          </cell>
          <cell r="G77">
            <v>670065</v>
          </cell>
          <cell r="H77">
            <v>56452976.25</v>
          </cell>
          <cell r="I77">
            <v>113669698.31999999</v>
          </cell>
        </row>
        <row r="78">
          <cell r="A78">
            <v>38439</v>
          </cell>
          <cell r="B78">
            <v>84.12</v>
          </cell>
          <cell r="C78">
            <v>84.2</v>
          </cell>
          <cell r="D78">
            <v>84.02</v>
          </cell>
          <cell r="E78">
            <v>84.2</v>
          </cell>
          <cell r="G78">
            <v>29696</v>
          </cell>
          <cell r="H78">
            <v>2499215.3599999999</v>
          </cell>
          <cell r="I78">
            <v>4997047.7</v>
          </cell>
        </row>
        <row r="79">
          <cell r="A79">
            <v>38440</v>
          </cell>
          <cell r="B79">
            <v>84.24</v>
          </cell>
          <cell r="C79">
            <v>84.26</v>
          </cell>
          <cell r="D79">
            <v>83.74</v>
          </cell>
          <cell r="E79">
            <v>83.74</v>
          </cell>
          <cell r="G79">
            <v>68806</v>
          </cell>
          <cell r="H79">
            <v>5779015.9399999995</v>
          </cell>
          <cell r="I79">
            <v>11575960</v>
          </cell>
        </row>
        <row r="80">
          <cell r="A80">
            <v>38441</v>
          </cell>
          <cell r="B80">
            <v>83.82</v>
          </cell>
          <cell r="C80">
            <v>83.98</v>
          </cell>
          <cell r="D80">
            <v>83.22</v>
          </cell>
          <cell r="E80">
            <v>83.22</v>
          </cell>
          <cell r="G80">
            <v>101834</v>
          </cell>
          <cell r="H80">
            <v>8505175.6799999997</v>
          </cell>
          <cell r="I80">
            <v>17062646.899999999</v>
          </cell>
        </row>
        <row r="81">
          <cell r="A81">
            <v>38442</v>
          </cell>
          <cell r="B81">
            <v>83.04</v>
          </cell>
          <cell r="C81">
            <v>83.2</v>
          </cell>
          <cell r="D81">
            <v>83</v>
          </cell>
          <cell r="E81">
            <v>83.06</v>
          </cell>
          <cell r="G81">
            <v>78991</v>
          </cell>
          <cell r="H81">
            <v>6560202.5500000007</v>
          </cell>
          <cell r="I81">
            <v>13116040.199999999</v>
          </cell>
        </row>
        <row r="82">
          <cell r="A82">
            <v>38443</v>
          </cell>
          <cell r="B82">
            <v>83.8</v>
          </cell>
          <cell r="C82">
            <v>83.8</v>
          </cell>
          <cell r="D82">
            <v>83.02</v>
          </cell>
          <cell r="E82">
            <v>83.04</v>
          </cell>
          <cell r="G82">
            <v>83629</v>
          </cell>
          <cell r="H82">
            <v>6976331.1799999997</v>
          </cell>
          <cell r="I82">
            <v>13930567.699999999</v>
          </cell>
        </row>
        <row r="83">
          <cell r="A83">
            <v>38446</v>
          </cell>
          <cell r="B83">
            <v>83</v>
          </cell>
          <cell r="C83">
            <v>83.5</v>
          </cell>
          <cell r="D83">
            <v>83.72</v>
          </cell>
          <cell r="E83">
            <v>83</v>
          </cell>
          <cell r="G83">
            <v>33272</v>
          </cell>
          <cell r="H83">
            <v>2761576</v>
          </cell>
          <cell r="I83">
            <v>5525393.2000000002</v>
          </cell>
        </row>
        <row r="84">
          <cell r="A84">
            <v>38447</v>
          </cell>
          <cell r="B84">
            <v>83.06</v>
          </cell>
          <cell r="C84">
            <v>83.12</v>
          </cell>
          <cell r="D84">
            <v>83</v>
          </cell>
          <cell r="E84">
            <v>83.02</v>
          </cell>
          <cell r="G84">
            <v>55075</v>
          </cell>
          <cell r="H84">
            <v>4573428</v>
          </cell>
          <cell r="I84">
            <v>9152358.3000000007</v>
          </cell>
        </row>
        <row r="85">
          <cell r="A85">
            <v>38448</v>
          </cell>
          <cell r="B85">
            <v>83</v>
          </cell>
          <cell r="C85">
            <v>83.06</v>
          </cell>
          <cell r="D85">
            <v>83</v>
          </cell>
          <cell r="E85">
            <v>83.06</v>
          </cell>
          <cell r="G85">
            <v>54988</v>
          </cell>
          <cell r="H85">
            <v>4565653.6399999997</v>
          </cell>
          <cell r="I85">
            <v>9128898.0999999996</v>
          </cell>
        </row>
        <row r="86">
          <cell r="A86">
            <v>38449</v>
          </cell>
          <cell r="B86">
            <v>83.02</v>
          </cell>
          <cell r="C86">
            <v>83.4</v>
          </cell>
          <cell r="D86">
            <v>83.02</v>
          </cell>
          <cell r="E86">
            <v>83.1</v>
          </cell>
          <cell r="G86">
            <v>78886</v>
          </cell>
          <cell r="H86">
            <v>6552271.1600000001</v>
          </cell>
          <cell r="I86">
            <v>13103654.6</v>
          </cell>
        </row>
        <row r="87">
          <cell r="A87">
            <v>38450</v>
          </cell>
          <cell r="B87">
            <v>83.88</v>
          </cell>
          <cell r="C87">
            <v>84</v>
          </cell>
          <cell r="D87">
            <v>83.52</v>
          </cell>
          <cell r="E87">
            <v>84</v>
          </cell>
          <cell r="G87">
            <v>91365</v>
          </cell>
          <cell r="H87">
            <v>7669178.0999999996</v>
          </cell>
          <cell r="I87">
            <v>15347934.199999999</v>
          </cell>
        </row>
        <row r="88">
          <cell r="A88">
            <v>38453</v>
          </cell>
          <cell r="B88">
            <v>83.5</v>
          </cell>
          <cell r="C88">
            <v>83.5</v>
          </cell>
          <cell r="D88">
            <v>83.12</v>
          </cell>
          <cell r="E88">
            <v>83.2</v>
          </cell>
          <cell r="G88">
            <v>32105</v>
          </cell>
          <cell r="H88">
            <v>2675951.75</v>
          </cell>
          <cell r="I88">
            <v>5349150.5</v>
          </cell>
        </row>
        <row r="89">
          <cell r="A89">
            <v>38454</v>
          </cell>
          <cell r="B89">
            <v>83.1</v>
          </cell>
          <cell r="C89">
            <v>83.26</v>
          </cell>
          <cell r="D89">
            <v>83.1</v>
          </cell>
          <cell r="E89">
            <v>83.26</v>
          </cell>
          <cell r="G89">
            <v>32451</v>
          </cell>
          <cell r="H89">
            <v>2699274.18</v>
          </cell>
          <cell r="I89">
            <v>5399090.7000000002</v>
          </cell>
        </row>
        <row r="90">
          <cell r="A90">
            <v>38455</v>
          </cell>
          <cell r="B90">
            <v>83.4</v>
          </cell>
          <cell r="C90">
            <v>84</v>
          </cell>
          <cell r="D90">
            <v>83.4</v>
          </cell>
          <cell r="E90">
            <v>83.4</v>
          </cell>
          <cell r="G90">
            <v>101692</v>
          </cell>
          <cell r="H90">
            <v>8481112.8000000007</v>
          </cell>
          <cell r="I90">
            <v>17021547.300000001</v>
          </cell>
        </row>
        <row r="91">
          <cell r="A91">
            <v>38456</v>
          </cell>
          <cell r="B91">
            <v>83.4</v>
          </cell>
          <cell r="C91">
            <v>83.5</v>
          </cell>
          <cell r="D91">
            <v>83.4</v>
          </cell>
          <cell r="E91">
            <v>83.5</v>
          </cell>
          <cell r="G91">
            <v>29467</v>
          </cell>
          <cell r="H91">
            <v>2459021.15</v>
          </cell>
          <cell r="I91">
            <v>4917490.2</v>
          </cell>
        </row>
        <row r="92">
          <cell r="A92">
            <v>38457</v>
          </cell>
          <cell r="B92">
            <v>83.5</v>
          </cell>
          <cell r="C92">
            <v>84</v>
          </cell>
          <cell r="D92">
            <v>83.5</v>
          </cell>
          <cell r="E92">
            <v>83.64</v>
          </cell>
          <cell r="G92">
            <v>90948</v>
          </cell>
          <cell r="H92">
            <v>7600524.3599999994</v>
          </cell>
          <cell r="I92">
            <v>15199982.5</v>
          </cell>
        </row>
        <row r="93">
          <cell r="A93">
            <v>38460</v>
          </cell>
          <cell r="B93">
            <v>83.52</v>
          </cell>
          <cell r="C93">
            <v>83.54</v>
          </cell>
          <cell r="D93">
            <v>83.08</v>
          </cell>
          <cell r="E93">
            <v>83.24</v>
          </cell>
          <cell r="G93">
            <v>195516</v>
          </cell>
          <cell r="H93">
            <v>16302124.079999998</v>
          </cell>
          <cell r="I93">
            <v>32630145</v>
          </cell>
        </row>
        <row r="94">
          <cell r="A94">
            <v>38461</v>
          </cell>
          <cell r="B94">
            <v>83.24</v>
          </cell>
          <cell r="C94">
            <v>83.96</v>
          </cell>
          <cell r="D94">
            <v>83.24</v>
          </cell>
          <cell r="E94">
            <v>83.26</v>
          </cell>
          <cell r="G94">
            <v>129946</v>
          </cell>
          <cell r="H94">
            <v>10818004.5</v>
          </cell>
          <cell r="I94">
            <v>21653361.5</v>
          </cell>
        </row>
        <row r="95">
          <cell r="A95">
            <v>38462</v>
          </cell>
          <cell r="B95">
            <v>83.32</v>
          </cell>
          <cell r="C95">
            <v>83.62</v>
          </cell>
          <cell r="D95">
            <v>83.32</v>
          </cell>
          <cell r="E95">
            <v>83.6</v>
          </cell>
          <cell r="G95">
            <v>74823</v>
          </cell>
          <cell r="H95">
            <v>6244727.5799999991</v>
          </cell>
          <cell r="I95">
            <v>12495234</v>
          </cell>
        </row>
        <row r="96">
          <cell r="A96">
            <v>38463</v>
          </cell>
          <cell r="B96">
            <v>83.32</v>
          </cell>
          <cell r="C96">
            <v>83.62</v>
          </cell>
          <cell r="D96">
            <v>83.32</v>
          </cell>
          <cell r="E96">
            <v>83.6</v>
          </cell>
          <cell r="G96">
            <v>0</v>
          </cell>
          <cell r="H96">
            <v>0</v>
          </cell>
          <cell r="I96">
            <v>0</v>
          </cell>
        </row>
        <row r="97">
          <cell r="A97">
            <v>38464</v>
          </cell>
          <cell r="B97">
            <v>83.32</v>
          </cell>
          <cell r="C97">
            <v>83.62</v>
          </cell>
          <cell r="D97">
            <v>83.32</v>
          </cell>
          <cell r="E97">
            <v>83.6</v>
          </cell>
          <cell r="H97">
            <v>0</v>
          </cell>
          <cell r="I97">
            <v>0</v>
          </cell>
        </row>
        <row r="98">
          <cell r="A98">
            <v>38467</v>
          </cell>
          <cell r="B98">
            <v>83.62</v>
          </cell>
          <cell r="C98">
            <v>83.96</v>
          </cell>
          <cell r="D98">
            <v>83.5</v>
          </cell>
          <cell r="E98">
            <v>83.56</v>
          </cell>
          <cell r="G98">
            <v>166857</v>
          </cell>
          <cell r="H98">
            <v>13947576.630000001</v>
          </cell>
          <cell r="I98">
            <v>27891003</v>
          </cell>
        </row>
        <row r="99">
          <cell r="A99">
            <v>38468</v>
          </cell>
          <cell r="B99">
            <v>83.5</v>
          </cell>
          <cell r="C99">
            <v>83.56</v>
          </cell>
          <cell r="D99">
            <v>83.34</v>
          </cell>
          <cell r="E99">
            <v>83.4</v>
          </cell>
          <cell r="G99">
            <v>198188</v>
          </cell>
          <cell r="H99">
            <v>16538788.600000001</v>
          </cell>
          <cell r="I99">
            <v>33068535.699999999</v>
          </cell>
        </row>
        <row r="100">
          <cell r="A100">
            <v>38469</v>
          </cell>
          <cell r="B100">
            <v>83.32</v>
          </cell>
          <cell r="C100">
            <v>83.56</v>
          </cell>
          <cell r="D100">
            <v>83.32</v>
          </cell>
          <cell r="E100">
            <v>83.32</v>
          </cell>
          <cell r="G100">
            <v>56106</v>
          </cell>
          <cell r="H100">
            <v>4674751.92</v>
          </cell>
          <cell r="I100">
            <v>9356113</v>
          </cell>
        </row>
        <row r="101">
          <cell r="A101">
            <v>38470</v>
          </cell>
          <cell r="B101">
            <v>83.98</v>
          </cell>
          <cell r="C101">
            <v>83.96</v>
          </cell>
          <cell r="D101">
            <v>83.4</v>
          </cell>
          <cell r="E101">
            <v>83.58</v>
          </cell>
          <cell r="G101">
            <v>78066</v>
          </cell>
          <cell r="H101">
            <v>6540369.4800000004</v>
          </cell>
          <cell r="I101">
            <v>13064149</v>
          </cell>
        </row>
        <row r="102">
          <cell r="A102">
            <v>38471</v>
          </cell>
          <cell r="B102">
            <v>83.32</v>
          </cell>
          <cell r="C102">
            <v>84.3</v>
          </cell>
          <cell r="D102">
            <v>83.34</v>
          </cell>
          <cell r="E102">
            <v>84.1</v>
          </cell>
          <cell r="G102">
            <v>160905</v>
          </cell>
          <cell r="H102">
            <v>13469357.549999999</v>
          </cell>
          <cell r="I102">
            <v>26918934.5</v>
          </cell>
        </row>
        <row r="103">
          <cell r="A103">
            <v>38474</v>
          </cell>
          <cell r="B103">
            <v>84.6</v>
          </cell>
          <cell r="C103">
            <v>85.6</v>
          </cell>
          <cell r="D103">
            <v>84.6</v>
          </cell>
          <cell r="E103">
            <v>85.5</v>
          </cell>
          <cell r="G103">
            <v>318125</v>
          </cell>
          <cell r="H103">
            <v>27056531.25</v>
          </cell>
          <cell r="I103">
            <v>54330104.299999997</v>
          </cell>
        </row>
        <row r="104">
          <cell r="A104">
            <v>38475</v>
          </cell>
          <cell r="B104">
            <v>85.1</v>
          </cell>
          <cell r="C104">
            <v>85.7</v>
          </cell>
          <cell r="D104">
            <v>84</v>
          </cell>
          <cell r="E104">
            <v>84</v>
          </cell>
          <cell r="G104">
            <v>296593</v>
          </cell>
          <cell r="H104">
            <v>25076938.149999999</v>
          </cell>
          <cell r="I104">
            <v>50717433.299999997</v>
          </cell>
        </row>
        <row r="105">
          <cell r="A105">
            <v>38476</v>
          </cell>
          <cell r="B105">
            <v>80.900000000000006</v>
          </cell>
          <cell r="C105">
            <v>81.5</v>
          </cell>
          <cell r="D105">
            <v>80</v>
          </cell>
          <cell r="E105">
            <v>81</v>
          </cell>
          <cell r="G105">
            <v>328889</v>
          </cell>
          <cell r="H105">
            <v>26623564.550000001</v>
          </cell>
          <cell r="I105">
            <v>53236793.299999997</v>
          </cell>
        </row>
        <row r="106">
          <cell r="A106">
            <v>38477</v>
          </cell>
          <cell r="B106">
            <v>81.900000000000006</v>
          </cell>
          <cell r="C106">
            <v>82.48</v>
          </cell>
          <cell r="D106">
            <v>81.900000000000006</v>
          </cell>
          <cell r="E106">
            <v>82.4</v>
          </cell>
          <cell r="G106">
            <v>184540</v>
          </cell>
          <cell r="H106">
            <v>15159961.000000002</v>
          </cell>
          <cell r="I106">
            <v>30347048.399999999</v>
          </cell>
        </row>
        <row r="107">
          <cell r="A107">
            <v>38478</v>
          </cell>
          <cell r="B107">
            <v>82.98</v>
          </cell>
          <cell r="C107">
            <v>83.5</v>
          </cell>
          <cell r="D107">
            <v>82.98</v>
          </cell>
          <cell r="E107">
            <v>83.24</v>
          </cell>
          <cell r="G107">
            <v>413691</v>
          </cell>
          <cell r="H107">
            <v>34381859.009999998</v>
          </cell>
          <cell r="I107">
            <v>68901371.400000006</v>
          </cell>
        </row>
        <row r="108">
          <cell r="A108">
            <v>38481</v>
          </cell>
          <cell r="B108">
            <v>83.5</v>
          </cell>
          <cell r="C108">
            <v>83.5</v>
          </cell>
          <cell r="D108">
            <v>82.4</v>
          </cell>
          <cell r="E108">
            <v>83.38</v>
          </cell>
          <cell r="G108">
            <v>181763</v>
          </cell>
          <cell r="H108">
            <v>15166304.719999999</v>
          </cell>
          <cell r="I108">
            <v>30251441.600000001</v>
          </cell>
        </row>
        <row r="109">
          <cell r="A109">
            <v>38482</v>
          </cell>
          <cell r="B109">
            <v>84</v>
          </cell>
          <cell r="C109">
            <v>84.4</v>
          </cell>
          <cell r="D109">
            <v>83.8</v>
          </cell>
          <cell r="E109">
            <v>84.34</v>
          </cell>
          <cell r="G109">
            <v>343940</v>
          </cell>
          <cell r="H109">
            <v>28949429.800000001</v>
          </cell>
          <cell r="I109">
            <v>57841805.399999999</v>
          </cell>
        </row>
        <row r="110">
          <cell r="A110">
            <v>38483</v>
          </cell>
          <cell r="B110">
            <v>83.5</v>
          </cell>
          <cell r="C110">
            <v>83.52</v>
          </cell>
          <cell r="D110">
            <v>83.2</v>
          </cell>
          <cell r="E110">
            <v>83.34</v>
          </cell>
          <cell r="G110">
            <v>57124</v>
          </cell>
          <cell r="H110">
            <v>4765284.08</v>
          </cell>
          <cell r="I110">
            <v>9536491.5999999996</v>
          </cell>
        </row>
        <row r="111">
          <cell r="A111">
            <v>38484</v>
          </cell>
          <cell r="B111">
            <v>83.2</v>
          </cell>
          <cell r="C111">
            <v>83.5</v>
          </cell>
          <cell r="D111">
            <v>83</v>
          </cell>
          <cell r="E111">
            <v>83</v>
          </cell>
          <cell r="G111">
            <v>65238</v>
          </cell>
          <cell r="H111">
            <v>5421277.7999999998</v>
          </cell>
          <cell r="I111">
            <v>10855846.9</v>
          </cell>
        </row>
        <row r="112">
          <cell r="A112">
            <v>38485</v>
          </cell>
          <cell r="B112">
            <v>82.6</v>
          </cell>
          <cell r="C112">
            <v>82.92</v>
          </cell>
          <cell r="D112">
            <v>82</v>
          </cell>
          <cell r="E112">
            <v>82.02</v>
          </cell>
          <cell r="G112">
            <v>67677</v>
          </cell>
          <cell r="H112">
            <v>5570493.8700000001</v>
          </cell>
          <cell r="I112">
            <v>11124342</v>
          </cell>
        </row>
        <row r="113">
          <cell r="A113">
            <v>38488</v>
          </cell>
          <cell r="B113">
            <v>81.599999999999994</v>
          </cell>
          <cell r="C113">
            <v>82.02</v>
          </cell>
          <cell r="D113">
            <v>81.5</v>
          </cell>
          <cell r="E113">
            <v>81.540000000000006</v>
          </cell>
          <cell r="G113">
            <v>45890</v>
          </cell>
          <cell r="H113">
            <v>3743247.3</v>
          </cell>
          <cell r="I113">
            <v>12052904.9</v>
          </cell>
        </row>
        <row r="114">
          <cell r="A114">
            <v>38489</v>
          </cell>
          <cell r="B114">
            <v>81.260000000000005</v>
          </cell>
          <cell r="C114">
            <v>81.5</v>
          </cell>
          <cell r="D114">
            <v>81.2</v>
          </cell>
          <cell r="E114">
            <v>81.3</v>
          </cell>
          <cell r="G114">
            <v>81338</v>
          </cell>
          <cell r="H114">
            <v>6611152.6399999997</v>
          </cell>
          <cell r="I114">
            <v>13222820.6</v>
          </cell>
        </row>
        <row r="115">
          <cell r="A115">
            <v>38490</v>
          </cell>
          <cell r="B115">
            <v>82</v>
          </cell>
          <cell r="C115">
            <v>82.3</v>
          </cell>
          <cell r="D115">
            <v>82</v>
          </cell>
          <cell r="E115">
            <v>82.3</v>
          </cell>
          <cell r="G115">
            <v>69946</v>
          </cell>
          <cell r="H115">
            <v>5746063.9000000004</v>
          </cell>
          <cell r="I115">
            <v>11478363.199999999</v>
          </cell>
        </row>
        <row r="116">
          <cell r="A116">
            <v>38491</v>
          </cell>
          <cell r="B116">
            <v>83.02</v>
          </cell>
          <cell r="C116">
            <v>83.02</v>
          </cell>
          <cell r="D116">
            <v>82</v>
          </cell>
          <cell r="E116">
            <v>82.04</v>
          </cell>
          <cell r="G116">
            <v>141808</v>
          </cell>
          <cell r="H116">
            <v>11703414.24</v>
          </cell>
          <cell r="I116">
            <v>23478084.5</v>
          </cell>
        </row>
        <row r="117">
          <cell r="A117">
            <v>38492</v>
          </cell>
          <cell r="B117">
            <v>82</v>
          </cell>
          <cell r="C117">
            <v>82.74</v>
          </cell>
          <cell r="D117">
            <v>82</v>
          </cell>
          <cell r="E117">
            <v>82.1</v>
          </cell>
          <cell r="G117">
            <v>80586</v>
          </cell>
          <cell r="H117">
            <v>6612081.2999999998</v>
          </cell>
          <cell r="I117">
            <v>13230342.6</v>
          </cell>
        </row>
        <row r="118">
          <cell r="A118">
            <v>38495</v>
          </cell>
          <cell r="B118">
            <v>81.599999999999994</v>
          </cell>
          <cell r="C118">
            <v>82.16</v>
          </cell>
          <cell r="D118">
            <v>81.599999999999994</v>
          </cell>
          <cell r="E118">
            <v>82.16</v>
          </cell>
          <cell r="G118">
            <v>28725</v>
          </cell>
          <cell r="H118">
            <v>2352003</v>
          </cell>
          <cell r="I118">
            <v>4712005.5999999996</v>
          </cell>
        </row>
        <row r="119">
          <cell r="A119">
            <v>38496</v>
          </cell>
          <cell r="B119">
            <v>82.1</v>
          </cell>
          <cell r="C119">
            <v>82.5</v>
          </cell>
          <cell r="D119">
            <v>82.1</v>
          </cell>
          <cell r="E119">
            <v>82.5</v>
          </cell>
          <cell r="G119">
            <v>78994</v>
          </cell>
          <cell r="H119">
            <v>6501206.2000000002</v>
          </cell>
          <cell r="I119">
            <v>12980760.199999999</v>
          </cell>
        </row>
        <row r="120">
          <cell r="A120">
            <v>38497</v>
          </cell>
          <cell r="B120">
            <v>82.4</v>
          </cell>
          <cell r="C120">
            <v>82.5</v>
          </cell>
          <cell r="D120">
            <v>82.22</v>
          </cell>
          <cell r="E120">
            <v>82.26</v>
          </cell>
          <cell r="G120">
            <v>38832</v>
          </cell>
          <cell r="H120">
            <v>3197038.5600000005</v>
          </cell>
          <cell r="I120">
            <v>6393720.5999999996</v>
          </cell>
        </row>
        <row r="121">
          <cell r="A121">
            <v>38498</v>
          </cell>
          <cell r="B121">
            <v>82.3</v>
          </cell>
          <cell r="C121">
            <v>82.4</v>
          </cell>
          <cell r="D121">
            <v>81.599999999999994</v>
          </cell>
          <cell r="E121">
            <v>81.680000000000007</v>
          </cell>
          <cell r="G121">
            <v>138197</v>
          </cell>
          <cell r="H121">
            <v>11330772.030000001</v>
          </cell>
          <cell r="I121">
            <v>22631137</v>
          </cell>
        </row>
        <row r="122">
          <cell r="A122">
            <v>38499</v>
          </cell>
          <cell r="B122">
            <v>81.64</v>
          </cell>
          <cell r="C122">
            <v>82.3</v>
          </cell>
          <cell r="D122">
            <v>81.64</v>
          </cell>
          <cell r="E122">
            <v>82.04</v>
          </cell>
          <cell r="G122">
            <v>57077</v>
          </cell>
          <cell r="H122">
            <v>4671181.6800000006</v>
          </cell>
          <cell r="I122">
            <v>9334601.1999999993</v>
          </cell>
        </row>
        <row r="123">
          <cell r="A123">
            <v>38502</v>
          </cell>
          <cell r="B123">
            <v>82.06</v>
          </cell>
          <cell r="C123">
            <v>82.5</v>
          </cell>
          <cell r="D123">
            <v>82.04</v>
          </cell>
          <cell r="E123">
            <v>82.44</v>
          </cell>
          <cell r="G123">
            <v>42501</v>
          </cell>
          <cell r="H123">
            <v>3495707.25</v>
          </cell>
          <cell r="I123">
            <v>6985731.7000000002</v>
          </cell>
        </row>
        <row r="124">
          <cell r="A124">
            <v>38503</v>
          </cell>
          <cell r="B124">
            <v>82.54</v>
          </cell>
          <cell r="C124">
            <v>83.4</v>
          </cell>
          <cell r="D124">
            <v>82.54</v>
          </cell>
          <cell r="E124">
            <v>83.3</v>
          </cell>
          <cell r="G124">
            <v>117836</v>
          </cell>
          <cell r="H124">
            <v>9770961.120000001</v>
          </cell>
          <cell r="I124">
            <v>19552009.399999999</v>
          </cell>
        </row>
        <row r="125">
          <cell r="A125">
            <v>38504</v>
          </cell>
          <cell r="B125">
            <v>83</v>
          </cell>
          <cell r="C125">
            <v>83.88</v>
          </cell>
          <cell r="D125">
            <v>83</v>
          </cell>
          <cell r="E125">
            <v>83.88</v>
          </cell>
          <cell r="G125">
            <v>253885</v>
          </cell>
          <cell r="H125">
            <v>21184164.399999999</v>
          </cell>
          <cell r="I125">
            <v>42403776.5</v>
          </cell>
        </row>
        <row r="126">
          <cell r="A126">
            <v>38505</v>
          </cell>
          <cell r="B126">
            <v>83.26</v>
          </cell>
          <cell r="C126">
            <v>83.8</v>
          </cell>
          <cell r="D126">
            <v>83.14</v>
          </cell>
          <cell r="E126">
            <v>83.8</v>
          </cell>
          <cell r="G126">
            <v>244311</v>
          </cell>
          <cell r="H126">
            <v>20407297.830000002</v>
          </cell>
          <cell r="I126">
            <v>40899228.899999999</v>
          </cell>
        </row>
        <row r="127">
          <cell r="A127">
            <v>38506</v>
          </cell>
          <cell r="B127">
            <v>83.06</v>
          </cell>
          <cell r="C127">
            <v>83.32</v>
          </cell>
          <cell r="D127">
            <v>82.54</v>
          </cell>
          <cell r="E127">
            <v>82.6</v>
          </cell>
          <cell r="G127">
            <v>76166</v>
          </cell>
          <cell r="H127">
            <v>6308829.7800000003</v>
          </cell>
          <cell r="I127">
            <v>12604973.4</v>
          </cell>
        </row>
        <row r="128">
          <cell r="A128">
            <v>38509</v>
          </cell>
          <cell r="B128">
            <v>82.12</v>
          </cell>
          <cell r="C128">
            <v>82.5</v>
          </cell>
          <cell r="D128">
            <v>82.12</v>
          </cell>
          <cell r="E128">
            <v>82.5</v>
          </cell>
          <cell r="G128">
            <v>39582</v>
          </cell>
          <cell r="H128">
            <v>3257994.42</v>
          </cell>
          <cell r="I128">
            <v>6507132.7999999998</v>
          </cell>
        </row>
        <row r="129">
          <cell r="A129">
            <v>38510</v>
          </cell>
          <cell r="B129">
            <v>82.2</v>
          </cell>
          <cell r="C129">
            <v>82.2</v>
          </cell>
          <cell r="D129">
            <v>82</v>
          </cell>
          <cell r="E129">
            <v>82.04</v>
          </cell>
          <cell r="G129">
            <v>22005</v>
          </cell>
          <cell r="H129">
            <v>1807050.6</v>
          </cell>
          <cell r="I129">
            <v>3613408.2</v>
          </cell>
        </row>
        <row r="130">
          <cell r="A130">
            <v>38511</v>
          </cell>
          <cell r="B130">
            <v>81.84</v>
          </cell>
          <cell r="C130">
            <v>83</v>
          </cell>
          <cell r="D130">
            <v>81.8</v>
          </cell>
          <cell r="E130">
            <v>82.6</v>
          </cell>
          <cell r="G130">
            <v>53734</v>
          </cell>
          <cell r="H130">
            <v>4418009.4799999995</v>
          </cell>
          <cell r="I130">
            <v>8819675.4000000004</v>
          </cell>
        </row>
        <row r="131">
          <cell r="A131">
            <v>38512</v>
          </cell>
          <cell r="B131">
            <v>82.2</v>
          </cell>
          <cell r="C131">
            <v>82.5</v>
          </cell>
          <cell r="D131">
            <v>81.8</v>
          </cell>
          <cell r="E131">
            <v>81.8</v>
          </cell>
          <cell r="G131">
            <v>125618</v>
          </cell>
          <cell r="H131">
            <v>10300676</v>
          </cell>
          <cell r="I131">
            <v>20619944.600000001</v>
          </cell>
        </row>
        <row r="132">
          <cell r="A132">
            <v>38513</v>
          </cell>
          <cell r="B132">
            <v>81.819999999999993</v>
          </cell>
          <cell r="C132">
            <v>82</v>
          </cell>
          <cell r="D132">
            <v>81.819999999999993</v>
          </cell>
          <cell r="E132">
            <v>82</v>
          </cell>
          <cell r="G132">
            <v>28685</v>
          </cell>
          <cell r="H132">
            <v>2349588.35</v>
          </cell>
          <cell r="I132">
            <v>4695935.7</v>
          </cell>
        </row>
        <row r="133">
          <cell r="A133">
            <v>38516</v>
          </cell>
          <cell r="B133">
            <v>82.3</v>
          </cell>
          <cell r="C133">
            <v>82.3</v>
          </cell>
          <cell r="D133">
            <v>81.599999999999994</v>
          </cell>
          <cell r="E133">
            <v>81.66</v>
          </cell>
          <cell r="G133">
            <v>263199</v>
          </cell>
          <cell r="H133">
            <v>21577054.019999996</v>
          </cell>
          <cell r="I133">
            <v>42980549.799999997</v>
          </cell>
        </row>
        <row r="134">
          <cell r="A134">
            <v>38517</v>
          </cell>
          <cell r="B134">
            <v>81.8</v>
          </cell>
          <cell r="C134">
            <v>81.86</v>
          </cell>
          <cell r="D134">
            <v>82.98</v>
          </cell>
          <cell r="E134">
            <v>82.98</v>
          </cell>
          <cell r="G134">
            <v>124844</v>
          </cell>
          <cell r="H134">
            <v>10285897.16</v>
          </cell>
          <cell r="I134">
            <v>20634821</v>
          </cell>
        </row>
        <row r="135">
          <cell r="A135">
            <v>38518</v>
          </cell>
          <cell r="B135">
            <v>82.3</v>
          </cell>
          <cell r="C135">
            <v>82.6</v>
          </cell>
          <cell r="D135">
            <v>82.3</v>
          </cell>
          <cell r="E135">
            <v>82.6</v>
          </cell>
          <cell r="G135">
            <v>39427</v>
          </cell>
          <cell r="H135">
            <v>3250756.1499999994</v>
          </cell>
          <cell r="I135">
            <v>6493747.2999999998</v>
          </cell>
        </row>
        <row r="136">
          <cell r="A136">
            <v>38519</v>
          </cell>
          <cell r="B136">
            <v>82.6</v>
          </cell>
          <cell r="C136">
            <v>82.6</v>
          </cell>
          <cell r="D136">
            <v>82.42</v>
          </cell>
          <cell r="E136">
            <v>82.48</v>
          </cell>
          <cell r="G136">
            <v>19150</v>
          </cell>
          <cell r="H136">
            <v>1580640.9999999998</v>
          </cell>
          <cell r="I136">
            <v>3160666.2</v>
          </cell>
        </row>
        <row r="137">
          <cell r="A137">
            <v>38520</v>
          </cell>
          <cell r="B137">
            <v>82.5</v>
          </cell>
          <cell r="C137">
            <v>82.5</v>
          </cell>
          <cell r="D137">
            <v>82.02</v>
          </cell>
          <cell r="E137">
            <v>82.06</v>
          </cell>
          <cell r="G137">
            <v>20691</v>
          </cell>
          <cell r="H137">
            <v>1702455.48</v>
          </cell>
          <cell r="I137">
            <v>3406512</v>
          </cell>
        </row>
        <row r="138">
          <cell r="A138">
            <v>38523</v>
          </cell>
          <cell r="B138">
            <v>82.06</v>
          </cell>
          <cell r="C138">
            <v>82.5</v>
          </cell>
          <cell r="D138">
            <v>82.06</v>
          </cell>
          <cell r="E138">
            <v>82.5</v>
          </cell>
          <cell r="G138">
            <v>37637</v>
          </cell>
          <cell r="H138">
            <v>3096772.36</v>
          </cell>
          <cell r="I138">
            <v>6199291.2000000002</v>
          </cell>
        </row>
        <row r="139">
          <cell r="A139">
            <v>38524</v>
          </cell>
          <cell r="B139">
            <v>82.2</v>
          </cell>
          <cell r="C139">
            <v>82.7</v>
          </cell>
          <cell r="D139">
            <v>82.3</v>
          </cell>
          <cell r="E139">
            <v>82.7</v>
          </cell>
          <cell r="G139">
            <v>149529</v>
          </cell>
          <cell r="H139">
            <v>12328666.050000001</v>
          </cell>
          <cell r="I139">
            <v>24668632.699999999</v>
          </cell>
        </row>
        <row r="140">
          <cell r="A140">
            <v>38525</v>
          </cell>
          <cell r="B140">
            <v>82.7</v>
          </cell>
          <cell r="C140">
            <v>83.5</v>
          </cell>
          <cell r="D140">
            <v>82.32</v>
          </cell>
          <cell r="E140">
            <v>83.4</v>
          </cell>
          <cell r="G140">
            <v>718924</v>
          </cell>
          <cell r="H140">
            <v>59706638.20000001</v>
          </cell>
          <cell r="I140">
            <v>119668923</v>
          </cell>
        </row>
        <row r="141">
          <cell r="A141">
            <v>38526</v>
          </cell>
          <cell r="B141">
            <v>83.3</v>
          </cell>
          <cell r="C141">
            <v>83.6</v>
          </cell>
          <cell r="D141">
            <v>83.3</v>
          </cell>
          <cell r="E141">
            <v>83.38</v>
          </cell>
          <cell r="G141">
            <v>177102</v>
          </cell>
          <cell r="H141">
            <v>14759680.68</v>
          </cell>
          <cell r="I141">
            <v>29563482.600000001</v>
          </cell>
        </row>
        <row r="142">
          <cell r="A142">
            <v>38527</v>
          </cell>
          <cell r="B142">
            <v>82.6</v>
          </cell>
          <cell r="C142">
            <v>83</v>
          </cell>
          <cell r="D142">
            <v>82.42</v>
          </cell>
          <cell r="E142">
            <v>83</v>
          </cell>
          <cell r="G142">
            <v>174126</v>
          </cell>
          <cell r="H142">
            <v>14417632.799999999</v>
          </cell>
          <cell r="I142">
            <v>29019738</v>
          </cell>
        </row>
        <row r="143">
          <cell r="A143">
            <v>38530</v>
          </cell>
          <cell r="B143">
            <v>83.02</v>
          </cell>
          <cell r="C143">
            <v>83.5</v>
          </cell>
          <cell r="D143">
            <v>83.02</v>
          </cell>
          <cell r="E143">
            <v>83.12</v>
          </cell>
          <cell r="G143">
            <v>230717</v>
          </cell>
          <cell r="H143">
            <v>19165661.189999998</v>
          </cell>
          <cell r="I143">
            <v>38456891.700000003</v>
          </cell>
        </row>
        <row r="144">
          <cell r="A144">
            <v>38531</v>
          </cell>
          <cell r="B144">
            <v>82.6</v>
          </cell>
          <cell r="C144">
            <v>83.1</v>
          </cell>
          <cell r="D144">
            <v>82.6</v>
          </cell>
          <cell r="E144">
            <v>83</v>
          </cell>
          <cell r="G144">
            <v>170913</v>
          </cell>
          <cell r="H144">
            <v>14151596.4</v>
          </cell>
          <cell r="I144">
            <v>28383187.800000001</v>
          </cell>
        </row>
        <row r="145">
          <cell r="A145">
            <v>38532</v>
          </cell>
          <cell r="B145">
            <v>82.7</v>
          </cell>
          <cell r="C145">
            <v>83</v>
          </cell>
          <cell r="D145">
            <v>82.68</v>
          </cell>
          <cell r="E145">
            <v>83</v>
          </cell>
          <cell r="G145">
            <v>191806</v>
          </cell>
          <cell r="H145">
            <v>15891127.1</v>
          </cell>
          <cell r="I145">
            <v>31823544.899999999</v>
          </cell>
        </row>
        <row r="146">
          <cell r="A146">
            <v>38533</v>
          </cell>
          <cell r="B146">
            <v>83.38</v>
          </cell>
          <cell r="C146">
            <v>84</v>
          </cell>
          <cell r="D146">
            <v>82.7</v>
          </cell>
          <cell r="E146">
            <v>83.2</v>
          </cell>
          <cell r="G146">
            <v>618416</v>
          </cell>
          <cell r="H146">
            <v>51507868.639999993</v>
          </cell>
          <cell r="I146">
            <v>103438677.90000001</v>
          </cell>
        </row>
        <row r="147">
          <cell r="A147">
            <v>38534</v>
          </cell>
          <cell r="B147">
            <v>83</v>
          </cell>
          <cell r="C147">
            <v>83.5</v>
          </cell>
          <cell r="D147">
            <v>82.9</v>
          </cell>
          <cell r="E147">
            <v>83</v>
          </cell>
          <cell r="G147">
            <v>256044</v>
          </cell>
          <cell r="H147">
            <v>21251652</v>
          </cell>
          <cell r="I147">
            <v>42599792.700000003</v>
          </cell>
        </row>
        <row r="148">
          <cell r="A148">
            <v>38537</v>
          </cell>
          <cell r="B148">
            <v>82.7</v>
          </cell>
          <cell r="C148">
            <v>83.32</v>
          </cell>
          <cell r="D148">
            <v>82.72</v>
          </cell>
          <cell r="E148">
            <v>83.1</v>
          </cell>
          <cell r="G148">
            <v>144082</v>
          </cell>
          <cell r="H148">
            <v>11944397.800000001</v>
          </cell>
          <cell r="I148">
            <v>23976281.800000001</v>
          </cell>
        </row>
        <row r="149">
          <cell r="A149">
            <v>38538</v>
          </cell>
          <cell r="B149">
            <v>82.72</v>
          </cell>
          <cell r="C149">
            <v>83.5</v>
          </cell>
          <cell r="D149">
            <v>82.9</v>
          </cell>
          <cell r="E149">
            <v>83.02</v>
          </cell>
          <cell r="G149">
            <v>206036</v>
          </cell>
          <cell r="H149">
            <v>17074203.32</v>
          </cell>
          <cell r="I149">
            <v>34288879.200000003</v>
          </cell>
        </row>
        <row r="150">
          <cell r="A150">
            <v>38539</v>
          </cell>
          <cell r="B150">
            <v>83</v>
          </cell>
          <cell r="C150">
            <v>83.98</v>
          </cell>
          <cell r="D150">
            <v>82.82</v>
          </cell>
          <cell r="E150">
            <v>82.82</v>
          </cell>
          <cell r="G150">
            <v>174581</v>
          </cell>
          <cell r="H150">
            <v>14474510.709999999</v>
          </cell>
          <cell r="I150">
            <v>29214236.199999999</v>
          </cell>
        </row>
        <row r="151">
          <cell r="A151">
            <v>38540</v>
          </cell>
          <cell r="B151">
            <v>83</v>
          </cell>
          <cell r="C151">
            <v>83.8</v>
          </cell>
          <cell r="D151">
            <v>83</v>
          </cell>
          <cell r="E151">
            <v>83.4</v>
          </cell>
          <cell r="G151">
            <v>234498</v>
          </cell>
          <cell r="H151">
            <v>19510233.600000001</v>
          </cell>
          <cell r="I151">
            <v>39138146.399999999</v>
          </cell>
        </row>
        <row r="152">
          <cell r="A152">
            <v>38541</v>
          </cell>
          <cell r="B152">
            <v>82.82</v>
          </cell>
          <cell r="C152">
            <v>83.2</v>
          </cell>
          <cell r="D152">
            <v>82.84</v>
          </cell>
          <cell r="E152">
            <v>83.06</v>
          </cell>
          <cell r="G152">
            <v>23356</v>
          </cell>
          <cell r="H152">
            <v>1937146.64</v>
          </cell>
          <cell r="I152">
            <v>3874514.6</v>
          </cell>
        </row>
        <row r="153">
          <cell r="A153">
            <v>38544</v>
          </cell>
          <cell r="B153">
            <v>83</v>
          </cell>
          <cell r="C153">
            <v>83.5</v>
          </cell>
          <cell r="D153">
            <v>82.8</v>
          </cell>
          <cell r="E153">
            <v>83.5</v>
          </cell>
          <cell r="G153">
            <v>61272</v>
          </cell>
          <cell r="H153">
            <v>5100894</v>
          </cell>
          <cell r="I153">
            <v>10198533.199999999</v>
          </cell>
        </row>
        <row r="154">
          <cell r="A154">
            <v>38545</v>
          </cell>
          <cell r="B154">
            <v>83.1</v>
          </cell>
          <cell r="C154">
            <v>83.04</v>
          </cell>
          <cell r="D154">
            <v>83.5</v>
          </cell>
          <cell r="E154">
            <v>83.5</v>
          </cell>
          <cell r="G154">
            <v>75858</v>
          </cell>
          <cell r="H154">
            <v>6318971.3999999994</v>
          </cell>
          <cell r="I154">
            <v>12610000</v>
          </cell>
        </row>
        <row r="155">
          <cell r="A155">
            <v>38546</v>
          </cell>
          <cell r="B155">
            <v>83.02</v>
          </cell>
          <cell r="C155">
            <v>83.5</v>
          </cell>
          <cell r="D155">
            <v>83.02</v>
          </cell>
          <cell r="E155">
            <v>83.5</v>
          </cell>
          <cell r="G155">
            <v>151812</v>
          </cell>
          <cell r="H155">
            <v>12639867.119999999</v>
          </cell>
          <cell r="I155">
            <v>25291084.800000001</v>
          </cell>
        </row>
        <row r="156">
          <cell r="A156">
            <v>38547</v>
          </cell>
          <cell r="B156">
            <v>83.5</v>
          </cell>
          <cell r="C156">
            <v>83.7</v>
          </cell>
          <cell r="D156">
            <v>83.22</v>
          </cell>
          <cell r="E156">
            <v>83.58</v>
          </cell>
          <cell r="G156">
            <v>142215</v>
          </cell>
          <cell r="H156">
            <v>11880641.1</v>
          </cell>
          <cell r="I156">
            <v>23724174.68</v>
          </cell>
        </row>
        <row r="157">
          <cell r="A157">
            <v>38548</v>
          </cell>
          <cell r="B157">
            <v>83.6</v>
          </cell>
          <cell r="C157">
            <v>84</v>
          </cell>
          <cell r="D157">
            <v>83.58</v>
          </cell>
          <cell r="E157">
            <v>84</v>
          </cell>
          <cell r="G157">
            <v>202030</v>
          </cell>
          <cell r="H157">
            <v>16930114</v>
          </cell>
          <cell r="I157">
            <v>33894459.5</v>
          </cell>
        </row>
        <row r="158">
          <cell r="A158">
            <v>38551</v>
          </cell>
          <cell r="B158">
            <v>83.88</v>
          </cell>
          <cell r="C158">
            <v>84</v>
          </cell>
          <cell r="D158">
            <v>83.1</v>
          </cell>
          <cell r="E158">
            <v>84</v>
          </cell>
          <cell r="G158">
            <v>67835</v>
          </cell>
          <cell r="H158">
            <v>5694069.8999999994</v>
          </cell>
          <cell r="I158">
            <v>11357342.300000001</v>
          </cell>
        </row>
        <row r="159">
          <cell r="A159">
            <v>38552</v>
          </cell>
          <cell r="B159">
            <v>83.5</v>
          </cell>
          <cell r="C159">
            <v>84</v>
          </cell>
          <cell r="D159">
            <v>83.5</v>
          </cell>
          <cell r="E159">
            <v>84</v>
          </cell>
          <cell r="G159">
            <v>100508</v>
          </cell>
          <cell r="H159">
            <v>8417545</v>
          </cell>
          <cell r="I159">
            <v>16842793.800000001</v>
          </cell>
        </row>
        <row r="160">
          <cell r="A160">
            <v>38553</v>
          </cell>
          <cell r="B160">
            <v>83.82</v>
          </cell>
          <cell r="C160">
            <v>84.5</v>
          </cell>
          <cell r="D160">
            <v>83.82</v>
          </cell>
          <cell r="E160">
            <v>84.12</v>
          </cell>
          <cell r="G160">
            <v>182269</v>
          </cell>
          <cell r="H160">
            <v>15305127.93</v>
          </cell>
          <cell r="I160">
            <v>30651879.100000001</v>
          </cell>
        </row>
        <row r="161">
          <cell r="A161">
            <v>38554</v>
          </cell>
          <cell r="B161">
            <v>84</v>
          </cell>
          <cell r="C161">
            <v>85</v>
          </cell>
          <cell r="D161">
            <v>84</v>
          </cell>
          <cell r="E161">
            <v>85</v>
          </cell>
          <cell r="G161">
            <v>219130</v>
          </cell>
          <cell r="H161">
            <v>18516485</v>
          </cell>
          <cell r="I161">
            <v>37179380.600000001</v>
          </cell>
        </row>
        <row r="162">
          <cell r="A162">
            <v>38555</v>
          </cell>
          <cell r="B162">
            <v>83.9</v>
          </cell>
          <cell r="C162">
            <v>85.3</v>
          </cell>
          <cell r="D162">
            <v>83.9</v>
          </cell>
          <cell r="E162">
            <v>85.2</v>
          </cell>
          <cell r="G162">
            <v>121516</v>
          </cell>
          <cell r="H162">
            <v>10274177.800000001</v>
          </cell>
          <cell r="I162">
            <v>20659945.399999999</v>
          </cell>
        </row>
        <row r="163">
          <cell r="A163">
            <v>38558</v>
          </cell>
          <cell r="B163">
            <v>85</v>
          </cell>
          <cell r="C163">
            <v>85.5</v>
          </cell>
          <cell r="D163">
            <v>85</v>
          </cell>
          <cell r="E163">
            <v>85.5</v>
          </cell>
          <cell r="G163">
            <v>22442</v>
          </cell>
          <cell r="H163">
            <v>1913180.5</v>
          </cell>
          <cell r="I163">
            <v>3821414.8</v>
          </cell>
        </row>
        <row r="164">
          <cell r="A164">
            <v>38559</v>
          </cell>
          <cell r="B164">
            <v>85.52</v>
          </cell>
          <cell r="C164">
            <v>86.5</v>
          </cell>
          <cell r="D164">
            <v>85.52</v>
          </cell>
          <cell r="E164">
            <v>86.5</v>
          </cell>
          <cell r="G164">
            <v>155566</v>
          </cell>
          <cell r="H164">
            <v>13380231.659999998</v>
          </cell>
          <cell r="I164">
            <v>26780141.899999999</v>
          </cell>
        </row>
        <row r="165">
          <cell r="A165">
            <v>38560</v>
          </cell>
          <cell r="B165">
            <v>86.12</v>
          </cell>
          <cell r="C165">
            <v>89.1</v>
          </cell>
          <cell r="D165">
            <v>86.48</v>
          </cell>
          <cell r="E165">
            <v>88</v>
          </cell>
          <cell r="G165">
            <v>295600</v>
          </cell>
          <cell r="H165">
            <v>25734936</v>
          </cell>
          <cell r="I165">
            <v>52083802.200000003</v>
          </cell>
        </row>
        <row r="166">
          <cell r="A166">
            <v>38561</v>
          </cell>
          <cell r="B166">
            <v>88</v>
          </cell>
          <cell r="C166">
            <v>88.9</v>
          </cell>
          <cell r="D166">
            <v>87.3</v>
          </cell>
          <cell r="E166">
            <v>88</v>
          </cell>
          <cell r="G166">
            <v>173423</v>
          </cell>
          <cell r="H166">
            <v>15261224</v>
          </cell>
          <cell r="I166">
            <v>30505987.399999999</v>
          </cell>
        </row>
        <row r="167">
          <cell r="A167">
            <v>38562</v>
          </cell>
          <cell r="B167">
            <v>88</v>
          </cell>
          <cell r="C167">
            <v>88</v>
          </cell>
          <cell r="D167">
            <v>87.2</v>
          </cell>
          <cell r="E167">
            <v>87.3</v>
          </cell>
          <cell r="G167">
            <v>49515</v>
          </cell>
          <cell r="H167">
            <v>4339989.75</v>
          </cell>
          <cell r="I167">
            <v>8692474.6999999993</v>
          </cell>
        </row>
        <row r="168">
          <cell r="A168">
            <v>38565</v>
          </cell>
          <cell r="B168">
            <v>87.2</v>
          </cell>
          <cell r="C168">
            <v>87.3</v>
          </cell>
          <cell r="D168">
            <v>87.1</v>
          </cell>
          <cell r="E168">
            <v>87.1</v>
          </cell>
          <cell r="G168">
            <v>96838</v>
          </cell>
          <cell r="H168">
            <v>8439431.7000000011</v>
          </cell>
          <cell r="I168">
            <v>16882331.899999999</v>
          </cell>
        </row>
        <row r="169">
          <cell r="A169">
            <v>38566</v>
          </cell>
          <cell r="B169">
            <v>86.5</v>
          </cell>
          <cell r="C169">
            <v>87.5</v>
          </cell>
          <cell r="D169">
            <v>86.42</v>
          </cell>
          <cell r="E169">
            <v>87.5</v>
          </cell>
          <cell r="G169">
            <v>127931</v>
          </cell>
          <cell r="H169">
            <v>11129997</v>
          </cell>
          <cell r="I169">
            <v>22237178.199999999</v>
          </cell>
        </row>
        <row r="170">
          <cell r="A170">
            <v>38567</v>
          </cell>
          <cell r="B170">
            <v>87</v>
          </cell>
          <cell r="C170">
            <v>87.52</v>
          </cell>
          <cell r="D170">
            <v>87</v>
          </cell>
          <cell r="E170">
            <v>87.5</v>
          </cell>
          <cell r="G170">
            <v>63703</v>
          </cell>
          <cell r="H170">
            <v>5558086.75</v>
          </cell>
          <cell r="I170">
            <v>11123988.1</v>
          </cell>
        </row>
        <row r="171">
          <cell r="A171">
            <v>38568</v>
          </cell>
          <cell r="B171">
            <v>87.52</v>
          </cell>
          <cell r="C171">
            <v>87.66</v>
          </cell>
          <cell r="D171">
            <v>87.5</v>
          </cell>
          <cell r="E171">
            <v>87.66</v>
          </cell>
          <cell r="G171">
            <v>40437</v>
          </cell>
          <cell r="H171">
            <v>3541876.83</v>
          </cell>
          <cell r="I171">
            <v>7079686.4000000004</v>
          </cell>
        </row>
        <row r="172">
          <cell r="A172">
            <v>38569</v>
          </cell>
          <cell r="B172">
            <v>87.64</v>
          </cell>
          <cell r="C172">
            <v>87.66</v>
          </cell>
          <cell r="D172">
            <v>87.06</v>
          </cell>
          <cell r="E172">
            <v>87.5</v>
          </cell>
          <cell r="G172">
            <v>37043</v>
          </cell>
          <cell r="H172">
            <v>3243855.51</v>
          </cell>
          <cell r="I172">
            <v>6487351.2000000002</v>
          </cell>
        </row>
        <row r="173">
          <cell r="A173">
            <v>38572</v>
          </cell>
          <cell r="B173">
            <v>87.1</v>
          </cell>
          <cell r="C173">
            <v>87.5</v>
          </cell>
          <cell r="D173">
            <v>87.1</v>
          </cell>
          <cell r="E173">
            <v>87.5</v>
          </cell>
          <cell r="G173">
            <v>18933</v>
          </cell>
          <cell r="H173">
            <v>1652850.9</v>
          </cell>
          <cell r="I173">
            <v>3300796.1</v>
          </cell>
        </row>
        <row r="174">
          <cell r="A174">
            <v>38573</v>
          </cell>
          <cell r="B174">
            <v>87.56</v>
          </cell>
          <cell r="C174">
            <v>88.5</v>
          </cell>
          <cell r="D174">
            <v>87.5</v>
          </cell>
          <cell r="E174">
            <v>88.48</v>
          </cell>
          <cell r="G174">
            <v>100467</v>
          </cell>
          <cell r="H174">
            <v>8843105.3400000017</v>
          </cell>
          <cell r="I174">
            <v>17688971.399999999</v>
          </cell>
        </row>
        <row r="175">
          <cell r="A175">
            <v>38574</v>
          </cell>
          <cell r="B175">
            <v>88</v>
          </cell>
          <cell r="C175">
            <v>88</v>
          </cell>
          <cell r="D175">
            <v>87.22</v>
          </cell>
          <cell r="E175">
            <v>87.4</v>
          </cell>
          <cell r="G175">
            <v>24884</v>
          </cell>
          <cell r="H175">
            <v>2182326.8000000003</v>
          </cell>
          <cell r="I175">
            <v>4352335.0999999996</v>
          </cell>
        </row>
        <row r="176">
          <cell r="A176">
            <v>38575</v>
          </cell>
          <cell r="B176">
            <v>87.5</v>
          </cell>
          <cell r="C176">
            <v>87.9</v>
          </cell>
          <cell r="D176">
            <v>87.22</v>
          </cell>
          <cell r="E176">
            <v>87.6</v>
          </cell>
          <cell r="G176">
            <v>25430</v>
          </cell>
          <cell r="H176">
            <v>2226396.5</v>
          </cell>
          <cell r="I176">
            <v>4446135.2</v>
          </cell>
        </row>
        <row r="177">
          <cell r="A177">
            <v>38576</v>
          </cell>
          <cell r="B177">
            <v>88</v>
          </cell>
          <cell r="C177">
            <v>88.9</v>
          </cell>
          <cell r="D177">
            <v>87.6</v>
          </cell>
          <cell r="E177">
            <v>88.9</v>
          </cell>
          <cell r="G177">
            <v>99180</v>
          </cell>
          <cell r="H177">
            <v>8772471</v>
          </cell>
          <cell r="I177">
            <v>17557313.800000001</v>
          </cell>
        </row>
        <row r="178">
          <cell r="A178">
            <v>38579</v>
          </cell>
          <cell r="B178">
            <v>89</v>
          </cell>
          <cell r="C178">
            <v>90</v>
          </cell>
          <cell r="D178">
            <v>89</v>
          </cell>
          <cell r="E178">
            <v>90</v>
          </cell>
          <cell r="G178">
            <v>370696</v>
          </cell>
          <cell r="H178">
            <v>33177292</v>
          </cell>
          <cell r="I178">
            <v>66407010.799999997</v>
          </cell>
        </row>
        <row r="179">
          <cell r="A179">
            <v>38580</v>
          </cell>
          <cell r="B179">
            <v>90</v>
          </cell>
          <cell r="C179">
            <v>90</v>
          </cell>
          <cell r="D179">
            <v>89.62</v>
          </cell>
          <cell r="E179">
            <v>90</v>
          </cell>
          <cell r="G179">
            <v>132372</v>
          </cell>
          <cell r="H179">
            <v>11913480</v>
          </cell>
          <cell r="I179">
            <v>23802659.559999999</v>
          </cell>
        </row>
        <row r="180">
          <cell r="A180">
            <v>38581</v>
          </cell>
          <cell r="B180">
            <v>89.52</v>
          </cell>
          <cell r="C180">
            <v>90</v>
          </cell>
          <cell r="D180">
            <v>89.14</v>
          </cell>
          <cell r="E180">
            <v>89.14</v>
          </cell>
          <cell r="G180">
            <v>122495</v>
          </cell>
          <cell r="H180">
            <v>10942478.35</v>
          </cell>
          <cell r="I180">
            <v>21955439.600000001</v>
          </cell>
        </row>
        <row r="181">
          <cell r="A181">
            <v>38582</v>
          </cell>
          <cell r="B181">
            <v>89.42</v>
          </cell>
          <cell r="C181">
            <v>90</v>
          </cell>
          <cell r="D181">
            <v>89.42</v>
          </cell>
          <cell r="E181">
            <v>89.5</v>
          </cell>
          <cell r="G181">
            <v>48065</v>
          </cell>
          <cell r="H181">
            <v>4299894.9000000004</v>
          </cell>
          <cell r="I181">
            <v>8612291.1999999993</v>
          </cell>
        </row>
        <row r="182">
          <cell r="A182">
            <v>38583</v>
          </cell>
          <cell r="B182">
            <v>89.14</v>
          </cell>
          <cell r="C182">
            <v>90</v>
          </cell>
          <cell r="D182">
            <v>89.14</v>
          </cell>
          <cell r="E182">
            <v>89.62</v>
          </cell>
          <cell r="G182">
            <v>22858</v>
          </cell>
          <cell r="H182">
            <v>2043048.0399999998</v>
          </cell>
          <cell r="I182">
            <v>4098221.7</v>
          </cell>
        </row>
        <row r="183">
          <cell r="A183">
            <v>38586</v>
          </cell>
          <cell r="B183">
            <v>89.62</v>
          </cell>
          <cell r="C183">
            <v>89.64</v>
          </cell>
          <cell r="D183">
            <v>89.02</v>
          </cell>
          <cell r="E183">
            <v>89.32</v>
          </cell>
          <cell r="G183">
            <v>27111</v>
          </cell>
          <cell r="H183">
            <v>2425621.17</v>
          </cell>
          <cell r="I183">
            <v>4850489.4000000004</v>
          </cell>
        </row>
        <row r="184">
          <cell r="A184">
            <v>38587</v>
          </cell>
          <cell r="B184">
            <v>87.6</v>
          </cell>
          <cell r="C184">
            <v>89.5</v>
          </cell>
          <cell r="D184">
            <v>87.6</v>
          </cell>
          <cell r="E184">
            <v>89.5</v>
          </cell>
          <cell r="G184">
            <v>33435</v>
          </cell>
          <cell r="H184">
            <v>2960669.25</v>
          </cell>
          <cell r="I184">
            <v>5917730.2000000002</v>
          </cell>
        </row>
        <row r="185">
          <cell r="A185">
            <v>38588</v>
          </cell>
          <cell r="B185">
            <v>89.2</v>
          </cell>
          <cell r="C185">
            <v>89.6</v>
          </cell>
          <cell r="D185">
            <v>89.2</v>
          </cell>
          <cell r="E185">
            <v>89.56</v>
          </cell>
          <cell r="G185">
            <v>16263</v>
          </cell>
          <cell r="H185">
            <v>1453586.94</v>
          </cell>
          <cell r="I185">
            <v>2910481.8</v>
          </cell>
        </row>
        <row r="186">
          <cell r="A186">
            <v>38589</v>
          </cell>
          <cell r="B186">
            <v>89.5</v>
          </cell>
          <cell r="C186">
            <v>89.9</v>
          </cell>
          <cell r="D186">
            <v>89.02</v>
          </cell>
          <cell r="E186">
            <v>89.12</v>
          </cell>
          <cell r="G186">
            <v>37524</v>
          </cell>
          <cell r="H186">
            <v>3351268.44</v>
          </cell>
          <cell r="I186">
            <v>6705267.9000000004</v>
          </cell>
        </row>
        <row r="187">
          <cell r="A187">
            <v>38590</v>
          </cell>
          <cell r="B187">
            <v>89.02</v>
          </cell>
          <cell r="C187">
            <v>88.52</v>
          </cell>
          <cell r="D187">
            <v>89.02</v>
          </cell>
          <cell r="E187">
            <v>89</v>
          </cell>
          <cell r="G187">
            <v>63217</v>
          </cell>
          <cell r="H187">
            <v>5626945.169999999</v>
          </cell>
          <cell r="I187">
            <v>11240997.92</v>
          </cell>
        </row>
        <row r="188">
          <cell r="A188">
            <v>38593</v>
          </cell>
          <cell r="B188">
            <v>88.52</v>
          </cell>
          <cell r="C188">
            <v>89.28</v>
          </cell>
          <cell r="D188">
            <v>88.52</v>
          </cell>
          <cell r="E188">
            <v>89.28</v>
          </cell>
          <cell r="G188">
            <v>31109</v>
          </cell>
          <cell r="H188">
            <v>2765590.1</v>
          </cell>
          <cell r="I188">
            <v>5546347.5</v>
          </cell>
        </row>
        <row r="189">
          <cell r="A189">
            <v>38594</v>
          </cell>
          <cell r="B189">
            <v>88.7</v>
          </cell>
          <cell r="C189">
            <v>89.08</v>
          </cell>
          <cell r="D189">
            <v>88.54</v>
          </cell>
          <cell r="E189">
            <v>89.08</v>
          </cell>
          <cell r="G189">
            <v>41460</v>
          </cell>
          <cell r="H189">
            <v>3685379.4</v>
          </cell>
          <cell r="I189">
            <v>7356092</v>
          </cell>
        </row>
        <row r="190">
          <cell r="A190">
            <v>38595</v>
          </cell>
          <cell r="B190">
            <v>89.1</v>
          </cell>
          <cell r="C190">
            <v>90</v>
          </cell>
          <cell r="D190">
            <v>89.1</v>
          </cell>
          <cell r="E190">
            <v>89.54</v>
          </cell>
          <cell r="G190">
            <v>99664</v>
          </cell>
          <cell r="H190">
            <v>8901988.4799999986</v>
          </cell>
          <cell r="I190">
            <v>17840468.800000001</v>
          </cell>
        </row>
        <row r="191">
          <cell r="A191">
            <v>38596</v>
          </cell>
          <cell r="B191">
            <v>89.56</v>
          </cell>
          <cell r="C191">
            <v>89.98</v>
          </cell>
          <cell r="D191">
            <v>89.3</v>
          </cell>
          <cell r="E191">
            <v>89.72</v>
          </cell>
          <cell r="G191">
            <v>77827</v>
          </cell>
          <cell r="H191">
            <v>6976412.2800000003</v>
          </cell>
          <cell r="I191">
            <v>13946437.5</v>
          </cell>
        </row>
        <row r="192">
          <cell r="A192">
            <v>38597</v>
          </cell>
          <cell r="B192">
            <v>89.74</v>
          </cell>
          <cell r="C192">
            <v>93</v>
          </cell>
          <cell r="D192">
            <v>89.74</v>
          </cell>
          <cell r="E192">
            <v>93</v>
          </cell>
          <cell r="G192">
            <v>241185</v>
          </cell>
          <cell r="H192">
            <v>22037073.449999999</v>
          </cell>
          <cell r="I192">
            <v>43953358.899999999</v>
          </cell>
        </row>
        <row r="193">
          <cell r="A193">
            <v>38600</v>
          </cell>
          <cell r="B193">
            <v>94</v>
          </cell>
          <cell r="C193">
            <v>96.5</v>
          </cell>
          <cell r="D193">
            <v>93.8</v>
          </cell>
          <cell r="E193">
            <v>96.5</v>
          </cell>
          <cell r="G193">
            <v>226315</v>
          </cell>
          <cell r="H193">
            <v>21556503.75</v>
          </cell>
          <cell r="I193">
            <v>43297514.600000001</v>
          </cell>
        </row>
        <row r="194">
          <cell r="A194">
            <v>38601</v>
          </cell>
          <cell r="B194">
            <v>98.5</v>
          </cell>
          <cell r="C194">
            <v>98.5</v>
          </cell>
          <cell r="D194">
            <v>95.42</v>
          </cell>
          <cell r="E194">
            <v>96</v>
          </cell>
          <cell r="G194">
            <v>325943</v>
          </cell>
          <cell r="H194">
            <v>31697956.75</v>
          </cell>
          <cell r="I194">
            <v>63175553.600000001</v>
          </cell>
        </row>
        <row r="195">
          <cell r="A195">
            <v>38602</v>
          </cell>
          <cell r="B195">
            <v>95.9</v>
          </cell>
          <cell r="C195">
            <v>96</v>
          </cell>
          <cell r="D195">
            <v>93.2</v>
          </cell>
          <cell r="E195">
            <v>93.62</v>
          </cell>
          <cell r="G195">
            <v>282972</v>
          </cell>
          <cell r="H195">
            <v>26814426.720000003</v>
          </cell>
          <cell r="I195">
            <v>53418025.600000001</v>
          </cell>
        </row>
        <row r="196">
          <cell r="A196">
            <v>38603</v>
          </cell>
          <cell r="B196">
            <v>93.3</v>
          </cell>
          <cell r="C196">
            <v>94</v>
          </cell>
          <cell r="D196">
            <v>93.2</v>
          </cell>
          <cell r="E196">
            <v>93.22</v>
          </cell>
          <cell r="G196">
            <v>116647</v>
          </cell>
          <cell r="H196">
            <v>10878499.219999999</v>
          </cell>
          <cell r="I196">
            <v>21782515</v>
          </cell>
        </row>
        <row r="197">
          <cell r="A197">
            <v>38604</v>
          </cell>
          <cell r="B197">
            <v>94</v>
          </cell>
          <cell r="C197">
            <v>96</v>
          </cell>
          <cell r="D197">
            <v>93</v>
          </cell>
          <cell r="E197">
            <v>96</v>
          </cell>
          <cell r="G197">
            <v>192584</v>
          </cell>
          <cell r="H197">
            <v>18295480</v>
          </cell>
          <cell r="I197">
            <v>36426116.200000003</v>
          </cell>
        </row>
        <row r="198">
          <cell r="A198">
            <v>38607</v>
          </cell>
          <cell r="B198">
            <v>97.1</v>
          </cell>
          <cell r="C198">
            <v>97.5</v>
          </cell>
          <cell r="D198">
            <v>96.1</v>
          </cell>
          <cell r="E198">
            <v>97</v>
          </cell>
          <cell r="G198">
            <v>197898</v>
          </cell>
          <cell r="H198">
            <v>19206000.899999999</v>
          </cell>
          <cell r="I198">
            <v>38392047</v>
          </cell>
        </row>
        <row r="199">
          <cell r="A199">
            <v>38608</v>
          </cell>
          <cell r="B199">
            <v>97.52</v>
          </cell>
          <cell r="C199">
            <v>97.98</v>
          </cell>
          <cell r="D199">
            <v>97</v>
          </cell>
          <cell r="E199">
            <v>97.5</v>
          </cell>
          <cell r="G199">
            <v>100570</v>
          </cell>
          <cell r="H199">
            <v>9806580.6999999993</v>
          </cell>
          <cell r="I199">
            <v>19614114.399999999</v>
          </cell>
        </row>
        <row r="200">
          <cell r="A200">
            <v>38609</v>
          </cell>
          <cell r="B200">
            <v>97.9</v>
          </cell>
          <cell r="C200">
            <v>97.9</v>
          </cell>
          <cell r="D200">
            <v>97.06</v>
          </cell>
          <cell r="E200">
            <v>97.9</v>
          </cell>
          <cell r="G200">
            <v>227799</v>
          </cell>
          <cell r="H200">
            <v>22301522.100000001</v>
          </cell>
          <cell r="I200">
            <v>44473065.100000001</v>
          </cell>
        </row>
        <row r="201">
          <cell r="A201">
            <v>38610</v>
          </cell>
          <cell r="B201">
            <v>98</v>
          </cell>
          <cell r="C201">
            <v>98</v>
          </cell>
          <cell r="D201">
            <v>96.88</v>
          </cell>
          <cell r="E201">
            <v>97.3</v>
          </cell>
          <cell r="G201">
            <v>91328</v>
          </cell>
          <cell r="H201">
            <v>8918179.2000000011</v>
          </cell>
          <cell r="I201">
            <v>17771846.800000001</v>
          </cell>
        </row>
        <row r="202">
          <cell r="A202">
            <v>38611</v>
          </cell>
          <cell r="B202">
            <v>97.22</v>
          </cell>
          <cell r="C202">
            <v>97.52</v>
          </cell>
          <cell r="D202">
            <v>97.22</v>
          </cell>
          <cell r="E202">
            <v>97.5</v>
          </cell>
          <cell r="G202">
            <v>146261</v>
          </cell>
          <cell r="H202">
            <v>14239970.959999999</v>
          </cell>
          <cell r="I202">
            <v>28511181.300000001</v>
          </cell>
        </row>
        <row r="203">
          <cell r="A203">
            <v>38614</v>
          </cell>
          <cell r="B203">
            <v>98.1</v>
          </cell>
          <cell r="C203">
            <v>98.6</v>
          </cell>
          <cell r="D203">
            <v>97.5</v>
          </cell>
          <cell r="E203">
            <v>98.5</v>
          </cell>
          <cell r="G203">
            <v>131135</v>
          </cell>
          <cell r="H203">
            <v>12890570.5</v>
          </cell>
          <cell r="I203">
            <v>25769694.600000001</v>
          </cell>
        </row>
        <row r="204">
          <cell r="A204">
            <v>38615</v>
          </cell>
          <cell r="B204">
            <v>98.6</v>
          </cell>
          <cell r="C204">
            <v>98.6</v>
          </cell>
          <cell r="D204">
            <v>98.2</v>
          </cell>
          <cell r="E204">
            <v>98.26</v>
          </cell>
          <cell r="G204">
            <v>192951</v>
          </cell>
          <cell r="H204">
            <v>18992166.93</v>
          </cell>
          <cell r="I204">
            <v>37989853.399999999</v>
          </cell>
        </row>
        <row r="205">
          <cell r="A205">
            <v>38616</v>
          </cell>
          <cell r="B205">
            <v>97.9</v>
          </cell>
          <cell r="C205">
            <v>97.9</v>
          </cell>
          <cell r="D205">
            <v>97</v>
          </cell>
          <cell r="E205">
            <v>97</v>
          </cell>
          <cell r="G205">
            <v>132003</v>
          </cell>
          <cell r="H205">
            <v>12863692.35</v>
          </cell>
          <cell r="I205">
            <v>26000654.199999999</v>
          </cell>
        </row>
        <row r="206">
          <cell r="A206">
            <v>38617</v>
          </cell>
          <cell r="B206">
            <v>97.5</v>
          </cell>
          <cell r="C206">
            <v>97.98</v>
          </cell>
          <cell r="D206">
            <v>96.5</v>
          </cell>
          <cell r="E206">
            <v>96.52</v>
          </cell>
          <cell r="G206">
            <v>53990</v>
          </cell>
          <cell r="H206">
            <v>5237569.8999999994</v>
          </cell>
          <cell r="I206">
            <v>10475409.199999999</v>
          </cell>
        </row>
        <row r="207">
          <cell r="A207">
            <v>38618</v>
          </cell>
          <cell r="B207">
            <v>96.5</v>
          </cell>
          <cell r="C207">
            <v>96.8</v>
          </cell>
          <cell r="D207">
            <v>95.5</v>
          </cell>
          <cell r="E207">
            <v>95.6</v>
          </cell>
          <cell r="G207">
            <v>50609</v>
          </cell>
          <cell r="H207">
            <v>4860994.45</v>
          </cell>
          <cell r="I207">
            <v>9727777</v>
          </cell>
        </row>
        <row r="208">
          <cell r="A208">
            <v>38621</v>
          </cell>
          <cell r="B208">
            <v>95.02</v>
          </cell>
          <cell r="C208">
            <v>95.6</v>
          </cell>
          <cell r="D208">
            <v>95.02</v>
          </cell>
          <cell r="E208">
            <v>95.6</v>
          </cell>
          <cell r="G208">
            <v>12226</v>
          </cell>
          <cell r="H208">
            <v>1165260.06</v>
          </cell>
          <cell r="I208">
            <v>2329892.6</v>
          </cell>
        </row>
        <row r="209">
          <cell r="A209">
            <v>38622</v>
          </cell>
          <cell r="B209">
            <v>96</v>
          </cell>
          <cell r="C209">
            <v>96.5</v>
          </cell>
          <cell r="D209">
            <v>96</v>
          </cell>
          <cell r="E209">
            <v>96.5</v>
          </cell>
          <cell r="G209">
            <v>49576</v>
          </cell>
          <cell r="H209">
            <v>4771690</v>
          </cell>
          <cell r="I209">
            <v>9563660.4000000004</v>
          </cell>
        </row>
        <row r="210">
          <cell r="A210">
            <v>38623</v>
          </cell>
          <cell r="B210">
            <v>97</v>
          </cell>
          <cell r="C210">
            <v>97</v>
          </cell>
          <cell r="D210">
            <v>95.72</v>
          </cell>
          <cell r="E210">
            <v>96.1</v>
          </cell>
          <cell r="G210">
            <v>6836</v>
          </cell>
          <cell r="H210">
            <v>660015.79999999993</v>
          </cell>
          <cell r="I210">
            <v>1321709.1000000001</v>
          </cell>
        </row>
        <row r="211">
          <cell r="A211">
            <v>38624</v>
          </cell>
          <cell r="B211">
            <v>96</v>
          </cell>
          <cell r="C211">
            <v>96.45</v>
          </cell>
          <cell r="D211">
            <v>96.1</v>
          </cell>
          <cell r="E211">
            <v>96.2</v>
          </cell>
          <cell r="G211">
            <v>43845</v>
          </cell>
          <cell r="H211">
            <v>4213504.5</v>
          </cell>
          <cell r="I211">
            <v>8431882.6400000006</v>
          </cell>
        </row>
        <row r="212">
          <cell r="A212">
            <v>38625</v>
          </cell>
          <cell r="B212">
            <v>96.48</v>
          </cell>
          <cell r="C212">
            <v>96.48</v>
          </cell>
          <cell r="D212">
            <v>96.1</v>
          </cell>
          <cell r="E212">
            <v>96.2</v>
          </cell>
          <cell r="G212">
            <v>20357</v>
          </cell>
          <cell r="H212">
            <v>1961193.3800000001</v>
          </cell>
          <cell r="I212">
            <v>3916945</v>
          </cell>
        </row>
        <row r="213">
          <cell r="A213">
            <v>38628</v>
          </cell>
          <cell r="B213">
            <v>96.1</v>
          </cell>
          <cell r="C213">
            <v>96.1</v>
          </cell>
          <cell r="D213">
            <v>96.1</v>
          </cell>
          <cell r="E213">
            <v>96.1</v>
          </cell>
          <cell r="G213">
            <v>2671</v>
          </cell>
          <cell r="H213">
            <v>256683.09999999998</v>
          </cell>
          <cell r="I213">
            <v>513366.2</v>
          </cell>
        </row>
        <row r="214">
          <cell r="A214">
            <v>38629</v>
          </cell>
          <cell r="B214">
            <v>96.14</v>
          </cell>
          <cell r="C214">
            <v>97</v>
          </cell>
          <cell r="D214">
            <v>96.1</v>
          </cell>
          <cell r="E214">
            <v>96.5</v>
          </cell>
          <cell r="G214">
            <v>32542</v>
          </cell>
          <cell r="H214">
            <v>3134445.44</v>
          </cell>
          <cell r="I214">
            <v>6296120</v>
          </cell>
        </row>
        <row r="215">
          <cell r="A215">
            <v>38630</v>
          </cell>
          <cell r="B215">
            <v>96.1</v>
          </cell>
          <cell r="C215">
            <v>96.2</v>
          </cell>
          <cell r="D215">
            <v>96.1</v>
          </cell>
          <cell r="E215">
            <v>96.18</v>
          </cell>
          <cell r="G215">
            <v>107122</v>
          </cell>
          <cell r="H215">
            <v>10298709.08</v>
          </cell>
          <cell r="I215">
            <v>20600944.899999999</v>
          </cell>
        </row>
        <row r="216">
          <cell r="A216">
            <v>38631</v>
          </cell>
          <cell r="B216">
            <v>96.5</v>
          </cell>
          <cell r="C216">
            <v>96.52</v>
          </cell>
          <cell r="D216">
            <v>96</v>
          </cell>
          <cell r="E216">
            <v>96</v>
          </cell>
          <cell r="G216">
            <v>216840</v>
          </cell>
          <cell r="H216">
            <v>20870850</v>
          </cell>
          <cell r="I216">
            <v>41689698</v>
          </cell>
        </row>
        <row r="217">
          <cell r="A217">
            <v>38632</v>
          </cell>
          <cell r="B217">
            <v>96.02</v>
          </cell>
          <cell r="C217">
            <v>96.06</v>
          </cell>
          <cell r="D217">
            <v>96</v>
          </cell>
          <cell r="E217">
            <v>96.06</v>
          </cell>
          <cell r="G217">
            <v>18807</v>
          </cell>
          <cell r="H217">
            <v>1806224.2799999998</v>
          </cell>
          <cell r="I217">
            <v>3611950</v>
          </cell>
        </row>
        <row r="218">
          <cell r="A218">
            <v>38635</v>
          </cell>
          <cell r="B218">
            <v>96.06</v>
          </cell>
          <cell r="C218">
            <v>96.2</v>
          </cell>
          <cell r="D218">
            <v>96.04</v>
          </cell>
          <cell r="E218">
            <v>96.14</v>
          </cell>
          <cell r="G218">
            <v>62776</v>
          </cell>
          <cell r="H218">
            <v>6032773.5999999996</v>
          </cell>
          <cell r="I218">
            <v>12071512.5</v>
          </cell>
        </row>
        <row r="219">
          <cell r="A219">
            <v>38636</v>
          </cell>
          <cell r="B219">
            <v>96.4</v>
          </cell>
          <cell r="C219">
            <v>96.4</v>
          </cell>
          <cell r="D219">
            <v>96.16</v>
          </cell>
          <cell r="E219">
            <v>96.3</v>
          </cell>
          <cell r="G219">
            <v>14342</v>
          </cell>
          <cell r="H219">
            <v>1381851.7</v>
          </cell>
          <cell r="I219">
            <v>2761707.5</v>
          </cell>
        </row>
        <row r="220">
          <cell r="A220">
            <v>38637</v>
          </cell>
          <cell r="B220">
            <v>96.6</v>
          </cell>
          <cell r="C220">
            <v>97</v>
          </cell>
          <cell r="D220">
            <v>96.54</v>
          </cell>
          <cell r="E220">
            <v>97</v>
          </cell>
          <cell r="G220">
            <v>14214</v>
          </cell>
          <cell r="H220">
            <v>1375915.2</v>
          </cell>
          <cell r="I220">
            <v>2751267</v>
          </cell>
        </row>
        <row r="221">
          <cell r="A221">
            <v>38638</v>
          </cell>
          <cell r="B221">
            <v>97.48</v>
          </cell>
          <cell r="C221">
            <v>97.48</v>
          </cell>
          <cell r="D221">
            <v>96.52</v>
          </cell>
          <cell r="E221">
            <v>96.8</v>
          </cell>
          <cell r="G221">
            <v>15422</v>
          </cell>
          <cell r="H221">
            <v>1498093.08</v>
          </cell>
          <cell r="I221">
            <v>2988451.7</v>
          </cell>
        </row>
        <row r="222">
          <cell r="A222">
            <v>38639</v>
          </cell>
          <cell r="B222">
            <v>96.58</v>
          </cell>
          <cell r="C222">
            <v>97</v>
          </cell>
          <cell r="D222">
            <v>96.58</v>
          </cell>
          <cell r="E222">
            <v>97</v>
          </cell>
          <cell r="G222">
            <v>28349</v>
          </cell>
          <cell r="H222">
            <v>2743899.71</v>
          </cell>
          <cell r="I222">
            <v>5484302.5999999996</v>
          </cell>
        </row>
        <row r="223">
          <cell r="A223">
            <v>38642</v>
          </cell>
          <cell r="B223">
            <v>96.72</v>
          </cell>
          <cell r="C223">
            <v>97.5</v>
          </cell>
          <cell r="D223">
            <v>96.72</v>
          </cell>
          <cell r="E223">
            <v>97.2</v>
          </cell>
          <cell r="G223">
            <v>22947</v>
          </cell>
          <cell r="H223">
            <v>2224941.12</v>
          </cell>
          <cell r="I223">
            <v>4444018</v>
          </cell>
        </row>
        <row r="224">
          <cell r="A224">
            <v>38643</v>
          </cell>
          <cell r="B224">
            <v>97.5</v>
          </cell>
          <cell r="C224">
            <v>98</v>
          </cell>
          <cell r="D224">
            <v>97.2</v>
          </cell>
          <cell r="E224">
            <v>98</v>
          </cell>
          <cell r="G224">
            <v>65867</v>
          </cell>
          <cell r="H224">
            <v>6438499.25</v>
          </cell>
          <cell r="I224">
            <v>12886174.6</v>
          </cell>
        </row>
        <row r="225">
          <cell r="A225">
            <v>38644</v>
          </cell>
          <cell r="B225">
            <v>97.9</v>
          </cell>
          <cell r="C225">
            <v>98</v>
          </cell>
          <cell r="D225">
            <v>96.8</v>
          </cell>
          <cell r="E225">
            <v>96.98</v>
          </cell>
          <cell r="G225">
            <v>127469</v>
          </cell>
          <cell r="H225">
            <v>12420579.359999999</v>
          </cell>
          <cell r="I225">
            <v>24773173.100000001</v>
          </cell>
        </row>
        <row r="226">
          <cell r="A226">
            <v>38645</v>
          </cell>
          <cell r="B226">
            <v>96.7</v>
          </cell>
          <cell r="C226">
            <v>97</v>
          </cell>
          <cell r="D226">
            <v>96.5</v>
          </cell>
          <cell r="E226">
            <v>96.66</v>
          </cell>
          <cell r="G226">
            <v>86659</v>
          </cell>
          <cell r="H226">
            <v>8378192.120000001</v>
          </cell>
          <cell r="I226">
            <v>16750408.6</v>
          </cell>
        </row>
        <row r="227">
          <cell r="A227">
            <v>38646</v>
          </cell>
          <cell r="B227">
            <v>96.5</v>
          </cell>
          <cell r="C227">
            <v>96.9</v>
          </cell>
          <cell r="D227">
            <v>96.22</v>
          </cell>
          <cell r="E227">
            <v>96.22</v>
          </cell>
          <cell r="G227">
            <v>86405</v>
          </cell>
          <cell r="H227">
            <v>8325985.7999999998</v>
          </cell>
          <cell r="I227">
            <v>16664744.699999999</v>
          </cell>
        </row>
        <row r="228">
          <cell r="A228">
            <v>38649</v>
          </cell>
          <cell r="B228">
            <v>96.22</v>
          </cell>
          <cell r="C228">
            <v>96.8</v>
          </cell>
          <cell r="D228">
            <v>95.96</v>
          </cell>
          <cell r="E228">
            <v>96.02</v>
          </cell>
          <cell r="G228">
            <v>49711</v>
          </cell>
          <cell r="H228">
            <v>4778221.32</v>
          </cell>
          <cell r="I228">
            <v>9547096.5</v>
          </cell>
        </row>
        <row r="229">
          <cell r="A229">
            <v>38650</v>
          </cell>
          <cell r="B229">
            <v>96.24</v>
          </cell>
          <cell r="C229">
            <v>96.5</v>
          </cell>
          <cell r="D229">
            <v>96.24</v>
          </cell>
          <cell r="E229">
            <v>96.42</v>
          </cell>
          <cell r="G229">
            <v>10858</v>
          </cell>
          <cell r="H229">
            <v>1045951.14</v>
          </cell>
          <cell r="I229">
            <v>2093941</v>
          </cell>
        </row>
        <row r="230">
          <cell r="A230">
            <v>38651</v>
          </cell>
          <cell r="B230">
            <v>96.5</v>
          </cell>
          <cell r="C230">
            <v>96.5</v>
          </cell>
          <cell r="D230">
            <v>95.8</v>
          </cell>
          <cell r="E230">
            <v>95.9</v>
          </cell>
          <cell r="G230">
            <v>121852</v>
          </cell>
          <cell r="H230">
            <v>11722162.4</v>
          </cell>
          <cell r="I230">
            <v>23420421.800000001</v>
          </cell>
        </row>
        <row r="231">
          <cell r="A231">
            <v>38652</v>
          </cell>
          <cell r="B231">
            <v>95.66</v>
          </cell>
          <cell r="C231">
            <v>96.3</v>
          </cell>
          <cell r="D231">
            <v>95.5</v>
          </cell>
          <cell r="E231">
            <v>96.1</v>
          </cell>
          <cell r="G231">
            <v>264646</v>
          </cell>
          <cell r="H231">
            <v>25374258.48</v>
          </cell>
          <cell r="I231">
            <v>55822501.899999999</v>
          </cell>
        </row>
        <row r="232">
          <cell r="A232">
            <v>38653</v>
          </cell>
          <cell r="B232">
            <v>96</v>
          </cell>
          <cell r="C232">
            <v>96.2</v>
          </cell>
          <cell r="D232">
            <v>96</v>
          </cell>
          <cell r="E232">
            <v>96</v>
          </cell>
          <cell r="G232">
            <v>248291</v>
          </cell>
          <cell r="H232">
            <v>23835936</v>
          </cell>
          <cell r="I232">
            <v>51545567.5</v>
          </cell>
        </row>
        <row r="233">
          <cell r="A233">
            <v>38656</v>
          </cell>
          <cell r="B233">
            <v>96</v>
          </cell>
          <cell r="C233">
            <v>96</v>
          </cell>
          <cell r="D233">
            <v>95.52</v>
          </cell>
          <cell r="E233">
            <v>95.7</v>
          </cell>
          <cell r="G233">
            <v>201345</v>
          </cell>
          <cell r="H233">
            <v>19298918.25</v>
          </cell>
          <cell r="I233">
            <v>38622707.299999997</v>
          </cell>
        </row>
      </sheetData>
      <sheetData sheetId="1" refreshError="1">
        <row r="1">
          <cell r="B1" t="str">
            <v>Ouverture</v>
          </cell>
          <cell r="C1" t="str">
            <v>Plus haut</v>
          </cell>
          <cell r="D1" t="str">
            <v>Plus bas</v>
          </cell>
          <cell r="E1" t="str">
            <v>Clôture</v>
          </cell>
          <cell r="F1" t="str">
            <v>Perf</v>
          </cell>
          <cell r="G1" t="str">
            <v>Quantité</v>
          </cell>
          <cell r="H1" t="str">
            <v>Volume</v>
          </cell>
          <cell r="I1" t="str">
            <v>€/dh achat</v>
          </cell>
          <cell r="J1" t="str">
            <v>€/dh vente</v>
          </cell>
          <cell r="K1" t="str">
            <v>€/dh moy</v>
          </cell>
        </row>
        <row r="2">
          <cell r="A2">
            <v>38331</v>
          </cell>
          <cell r="B2">
            <v>6.16</v>
          </cell>
          <cell r="E2">
            <v>6.16</v>
          </cell>
          <cell r="K2">
            <v>11.0848</v>
          </cell>
        </row>
        <row r="3">
          <cell r="A3">
            <v>38334</v>
          </cell>
          <cell r="B3">
            <v>7.8</v>
          </cell>
          <cell r="C3">
            <v>7.85</v>
          </cell>
          <cell r="D3">
            <v>7.05</v>
          </cell>
          <cell r="E3">
            <v>7.11</v>
          </cell>
          <cell r="F3">
            <v>0.15422077922077926</v>
          </cell>
          <cell r="G3">
            <v>13249002</v>
          </cell>
          <cell r="H3">
            <v>98771309.909999996</v>
          </cell>
          <cell r="I3">
            <v>11.122999999999999</v>
          </cell>
          <cell r="J3">
            <v>11.189</v>
          </cell>
          <cell r="K3">
            <v>11.155999999999999</v>
          </cell>
        </row>
        <row r="4">
          <cell r="A4">
            <v>38335</v>
          </cell>
          <cell r="B4">
            <v>7.2</v>
          </cell>
          <cell r="C4">
            <v>7.52</v>
          </cell>
          <cell r="D4">
            <v>7.17</v>
          </cell>
          <cell r="E4">
            <v>7.3</v>
          </cell>
          <cell r="F4">
            <v>2.6722925457102642E-2</v>
          </cell>
          <cell r="G4">
            <v>3357365</v>
          </cell>
          <cell r="H4">
            <v>24340896.25</v>
          </cell>
          <cell r="I4">
            <v>11.127000000000001</v>
          </cell>
          <cell r="J4">
            <v>11.193</v>
          </cell>
          <cell r="K4">
            <v>11.16</v>
          </cell>
        </row>
        <row r="5">
          <cell r="A5">
            <v>38336</v>
          </cell>
          <cell r="B5">
            <v>7.3</v>
          </cell>
          <cell r="C5">
            <v>7.35</v>
          </cell>
          <cell r="D5">
            <v>7.15</v>
          </cell>
          <cell r="E5">
            <v>7.32</v>
          </cell>
          <cell r="F5">
            <v>2.73972602739736E-3</v>
          </cell>
          <cell r="G5">
            <v>1792571</v>
          </cell>
          <cell r="H5">
            <v>13103694.010000002</v>
          </cell>
          <cell r="I5">
            <v>11.141</v>
          </cell>
          <cell r="J5">
            <v>11.208</v>
          </cell>
          <cell r="K5">
            <v>11.1745</v>
          </cell>
        </row>
        <row r="6">
          <cell r="A6">
            <v>38337</v>
          </cell>
          <cell r="B6">
            <v>7.3</v>
          </cell>
          <cell r="C6">
            <v>7.34</v>
          </cell>
          <cell r="D6">
            <v>7.2</v>
          </cell>
          <cell r="E6">
            <v>7.3</v>
          </cell>
          <cell r="F6">
            <v>-2.732240437158584E-3</v>
          </cell>
          <cell r="G6">
            <v>1688164</v>
          </cell>
          <cell r="H6">
            <v>12323597.199999999</v>
          </cell>
          <cell r="I6">
            <v>11.138999999999999</v>
          </cell>
          <cell r="J6">
            <v>11.206</v>
          </cell>
          <cell r="K6">
            <v>11.172499999999999</v>
          </cell>
        </row>
        <row r="7">
          <cell r="A7">
            <v>38338</v>
          </cell>
          <cell r="B7">
            <v>7.29</v>
          </cell>
          <cell r="C7">
            <v>7.4</v>
          </cell>
          <cell r="D7">
            <v>7.23</v>
          </cell>
          <cell r="E7">
            <v>7.3</v>
          </cell>
          <cell r="F7">
            <v>0</v>
          </cell>
          <cell r="G7">
            <v>1169935</v>
          </cell>
          <cell r="H7">
            <v>8534675.8249999993</v>
          </cell>
          <cell r="I7">
            <v>11.117000000000001</v>
          </cell>
          <cell r="J7">
            <v>11.183999999999999</v>
          </cell>
          <cell r="K7">
            <v>11.150500000000001</v>
          </cell>
        </row>
        <row r="8">
          <cell r="A8">
            <v>38341</v>
          </cell>
          <cell r="B8">
            <v>7.38</v>
          </cell>
          <cell r="C8">
            <v>7.43</v>
          </cell>
          <cell r="D8">
            <v>7.3</v>
          </cell>
          <cell r="E8">
            <v>7.31</v>
          </cell>
          <cell r="F8">
            <v>1.36986301369868E-3</v>
          </cell>
          <cell r="G8">
            <v>762860</v>
          </cell>
          <cell r="H8">
            <v>5603206.7000000002</v>
          </cell>
          <cell r="I8">
            <v>11.14</v>
          </cell>
          <cell r="J8">
            <v>11.207000000000001</v>
          </cell>
          <cell r="K8">
            <v>11.173500000000001</v>
          </cell>
        </row>
        <row r="9">
          <cell r="A9">
            <v>38342</v>
          </cell>
          <cell r="B9">
            <v>7.35</v>
          </cell>
          <cell r="C9">
            <v>7.51</v>
          </cell>
          <cell r="D9">
            <v>7.33</v>
          </cell>
          <cell r="E9">
            <v>7.5</v>
          </cell>
          <cell r="F9">
            <v>2.5991792065663599E-2</v>
          </cell>
          <cell r="G9">
            <v>1171446</v>
          </cell>
          <cell r="H9">
            <v>8697986.5499999989</v>
          </cell>
          <cell r="I9">
            <v>11.138999999999999</v>
          </cell>
          <cell r="J9">
            <v>11.206</v>
          </cell>
          <cell r="K9">
            <v>11.172499999999999</v>
          </cell>
        </row>
        <row r="10">
          <cell r="A10">
            <v>38343</v>
          </cell>
          <cell r="B10">
            <v>7.6</v>
          </cell>
          <cell r="C10">
            <v>7.9</v>
          </cell>
          <cell r="D10">
            <v>7.59</v>
          </cell>
          <cell r="E10">
            <v>7.81</v>
          </cell>
          <cell r="F10">
            <v>4.1333333333333222E-2</v>
          </cell>
          <cell r="G10">
            <v>1332226</v>
          </cell>
          <cell r="H10">
            <v>10264801.33</v>
          </cell>
          <cell r="I10">
            <v>11.138</v>
          </cell>
          <cell r="J10">
            <v>11.205</v>
          </cell>
          <cell r="K10">
            <v>11.1715</v>
          </cell>
        </row>
        <row r="11">
          <cell r="A11">
            <v>38344</v>
          </cell>
          <cell r="B11">
            <v>7.85</v>
          </cell>
          <cell r="C11">
            <v>7.9</v>
          </cell>
          <cell r="D11">
            <v>7.77</v>
          </cell>
          <cell r="E11">
            <v>7.9</v>
          </cell>
          <cell r="F11">
            <v>1.1523687580025754E-2</v>
          </cell>
          <cell r="G11">
            <v>474084</v>
          </cell>
          <cell r="H11">
            <v>3733411.5</v>
          </cell>
          <cell r="I11">
            <v>11.151</v>
          </cell>
          <cell r="J11">
            <v>11.218</v>
          </cell>
          <cell r="K11">
            <v>11.1845</v>
          </cell>
        </row>
        <row r="12">
          <cell r="A12">
            <v>38345</v>
          </cell>
          <cell r="B12">
            <v>7.9</v>
          </cell>
          <cell r="C12">
            <v>7.9</v>
          </cell>
          <cell r="D12">
            <v>7.65</v>
          </cell>
          <cell r="E12">
            <v>7.74</v>
          </cell>
          <cell r="F12">
            <v>-2.0253164556962022E-2</v>
          </cell>
          <cell r="G12">
            <v>328512</v>
          </cell>
          <cell r="H12">
            <v>2568963.8400000003</v>
          </cell>
          <cell r="I12">
            <v>11.161</v>
          </cell>
          <cell r="J12">
            <v>11.228999999999999</v>
          </cell>
          <cell r="K12">
            <v>11.195</v>
          </cell>
        </row>
        <row r="13">
          <cell r="A13">
            <v>38348</v>
          </cell>
          <cell r="B13">
            <v>7.82</v>
          </cell>
          <cell r="C13">
            <v>7.98</v>
          </cell>
          <cell r="D13">
            <v>7.75</v>
          </cell>
          <cell r="E13">
            <v>7.9</v>
          </cell>
          <cell r="F13">
            <v>2.067183462532296E-2</v>
          </cell>
          <cell r="G13">
            <v>182716</v>
          </cell>
          <cell r="H13">
            <v>1436147.76</v>
          </cell>
          <cell r="I13">
            <v>11.162000000000001</v>
          </cell>
          <cell r="J13">
            <v>11.228999999999999</v>
          </cell>
          <cell r="K13">
            <v>11.195499999999999</v>
          </cell>
        </row>
        <row r="14">
          <cell r="A14">
            <v>38349</v>
          </cell>
          <cell r="B14">
            <v>7.9</v>
          </cell>
          <cell r="C14">
            <v>7.98</v>
          </cell>
          <cell r="D14">
            <v>7.85</v>
          </cell>
          <cell r="E14">
            <v>7.97</v>
          </cell>
          <cell r="F14">
            <v>8.8607594936707113E-3</v>
          </cell>
          <cell r="G14">
            <v>286752</v>
          </cell>
          <cell r="H14">
            <v>2275377.12</v>
          </cell>
          <cell r="I14">
            <v>11.177</v>
          </cell>
          <cell r="J14">
            <v>11.244</v>
          </cell>
          <cell r="K14">
            <v>11.2105</v>
          </cell>
        </row>
        <row r="15">
          <cell r="A15">
            <v>38350</v>
          </cell>
          <cell r="B15">
            <v>7.98</v>
          </cell>
          <cell r="C15">
            <v>8.07</v>
          </cell>
          <cell r="D15">
            <v>7.91</v>
          </cell>
          <cell r="E15">
            <v>8.0500000000000007</v>
          </cell>
          <cell r="F15">
            <v>1.0037641154328814E-2</v>
          </cell>
          <cell r="G15">
            <v>684172</v>
          </cell>
          <cell r="H15">
            <v>5483638.5800000001</v>
          </cell>
          <cell r="I15">
            <v>11.167999999999999</v>
          </cell>
          <cell r="J15">
            <v>11.236000000000001</v>
          </cell>
          <cell r="K15">
            <v>11.202</v>
          </cell>
        </row>
        <row r="16">
          <cell r="A16">
            <v>38351</v>
          </cell>
          <cell r="B16">
            <v>8.1</v>
          </cell>
          <cell r="C16">
            <v>8.4700000000000006</v>
          </cell>
          <cell r="D16">
            <v>8.1</v>
          </cell>
          <cell r="E16">
            <v>8.42</v>
          </cell>
          <cell r="F16">
            <v>4.5962732919254456E-2</v>
          </cell>
          <cell r="G16">
            <v>707464</v>
          </cell>
          <cell r="H16">
            <v>5843652.6399999997</v>
          </cell>
          <cell r="I16">
            <v>11.17</v>
          </cell>
          <cell r="J16">
            <v>11.238</v>
          </cell>
          <cell r="K16">
            <v>11.204000000000001</v>
          </cell>
        </row>
        <row r="17">
          <cell r="A17">
            <v>38352</v>
          </cell>
          <cell r="B17">
            <v>8.5</v>
          </cell>
          <cell r="C17">
            <v>8.5399999999999991</v>
          </cell>
          <cell r="D17">
            <v>8.4</v>
          </cell>
          <cell r="E17">
            <v>8.41</v>
          </cell>
          <cell r="F17">
            <v>-1.1876484560570111E-3</v>
          </cell>
          <cell r="G17">
            <v>72294</v>
          </cell>
          <cell r="H17">
            <v>611245.77</v>
          </cell>
          <cell r="I17">
            <v>11.177</v>
          </cell>
          <cell r="J17">
            <v>11.244999999999999</v>
          </cell>
          <cell r="K17">
            <v>11.210999999999999</v>
          </cell>
        </row>
        <row r="18">
          <cell r="A18">
            <v>38355</v>
          </cell>
          <cell r="B18">
            <v>8.51</v>
          </cell>
          <cell r="C18">
            <v>8.57</v>
          </cell>
          <cell r="D18">
            <v>8.4</v>
          </cell>
          <cell r="E18">
            <v>8.52</v>
          </cell>
          <cell r="F18">
            <v>1.3079667063020217E-2</v>
          </cell>
          <cell r="G18">
            <v>350330</v>
          </cell>
          <cell r="H18">
            <v>2983059.95</v>
          </cell>
          <cell r="I18">
            <v>11.153</v>
          </cell>
          <cell r="J18">
            <v>11.22</v>
          </cell>
          <cell r="K18">
            <v>11.186500000000001</v>
          </cell>
        </row>
        <row r="19">
          <cell r="A19">
            <v>38356</v>
          </cell>
          <cell r="B19">
            <v>8.52</v>
          </cell>
          <cell r="C19">
            <v>8.52</v>
          </cell>
          <cell r="D19">
            <v>8.11</v>
          </cell>
          <cell r="E19">
            <v>8.2200000000000006</v>
          </cell>
          <cell r="F19">
            <v>-3.5211267605633645E-2</v>
          </cell>
          <cell r="G19">
            <v>498909</v>
          </cell>
          <cell r="H19">
            <v>4175868.3300000005</v>
          </cell>
          <cell r="I19">
            <v>11.138</v>
          </cell>
          <cell r="J19">
            <v>11.205</v>
          </cell>
          <cell r="K19">
            <v>11.1715</v>
          </cell>
        </row>
        <row r="20">
          <cell r="A20">
            <v>38357</v>
          </cell>
          <cell r="B20">
            <v>8.1999999999999993</v>
          </cell>
          <cell r="C20">
            <v>8.23</v>
          </cell>
          <cell r="D20">
            <v>8.1</v>
          </cell>
          <cell r="E20">
            <v>8.15</v>
          </cell>
          <cell r="F20">
            <v>-8.515815085158196E-3</v>
          </cell>
          <cell r="G20">
            <v>351322</v>
          </cell>
          <cell r="H20">
            <v>2872057.35</v>
          </cell>
          <cell r="I20">
            <v>11.117000000000001</v>
          </cell>
          <cell r="J20">
            <v>11.183999999999999</v>
          </cell>
          <cell r="K20">
            <v>11.150500000000001</v>
          </cell>
        </row>
        <row r="21">
          <cell r="A21">
            <v>38358</v>
          </cell>
          <cell r="B21">
            <v>8.15</v>
          </cell>
          <cell r="C21">
            <v>8.2100000000000009</v>
          </cell>
          <cell r="D21">
            <v>7.6</v>
          </cell>
          <cell r="E21">
            <v>7.95</v>
          </cell>
          <cell r="F21">
            <v>-2.4539877300613466E-2</v>
          </cell>
          <cell r="G21">
            <v>539740</v>
          </cell>
          <cell r="H21">
            <v>4344907</v>
          </cell>
          <cell r="I21">
            <v>11.11</v>
          </cell>
          <cell r="J21">
            <v>11.177</v>
          </cell>
          <cell r="K21">
            <v>11.1435</v>
          </cell>
        </row>
        <row r="22">
          <cell r="A22">
            <v>38359</v>
          </cell>
          <cell r="B22">
            <v>7.95</v>
          </cell>
          <cell r="C22">
            <v>8.15</v>
          </cell>
          <cell r="D22">
            <v>7.9</v>
          </cell>
          <cell r="E22">
            <v>8</v>
          </cell>
          <cell r="F22">
            <v>6.2893081761006275E-3</v>
          </cell>
          <cell r="G22">
            <v>262255</v>
          </cell>
          <cell r="H22">
            <v>2091483.625</v>
          </cell>
          <cell r="I22">
            <v>11.15</v>
          </cell>
          <cell r="J22">
            <v>11.182</v>
          </cell>
          <cell r="K22">
            <v>11.166</v>
          </cell>
        </row>
        <row r="23">
          <cell r="A23">
            <v>38362</v>
          </cell>
          <cell r="B23">
            <v>8.08</v>
          </cell>
          <cell r="C23">
            <v>8.08</v>
          </cell>
          <cell r="D23">
            <v>7.65</v>
          </cell>
          <cell r="E23">
            <v>7.77</v>
          </cell>
          <cell r="F23">
            <v>-2.8750000000000053E-2</v>
          </cell>
          <cell r="G23">
            <v>123663</v>
          </cell>
          <cell r="H23">
            <v>980029.27500000002</v>
          </cell>
          <cell r="I23">
            <v>11.098000000000001</v>
          </cell>
          <cell r="J23">
            <v>11.164999999999999</v>
          </cell>
          <cell r="K23">
            <v>11.131499999999999</v>
          </cell>
        </row>
        <row r="24">
          <cell r="A24">
            <v>38363</v>
          </cell>
          <cell r="B24">
            <v>7.82</v>
          </cell>
          <cell r="C24">
            <v>7.82</v>
          </cell>
          <cell r="D24">
            <v>7.55</v>
          </cell>
          <cell r="E24">
            <v>7.65</v>
          </cell>
          <cell r="F24">
            <v>-1.5444015444015302E-2</v>
          </cell>
          <cell r="G24">
            <v>501840</v>
          </cell>
          <cell r="H24">
            <v>3881732.4000000004</v>
          </cell>
          <cell r="I24">
            <v>11.098000000000001</v>
          </cell>
          <cell r="J24">
            <v>11.164999999999999</v>
          </cell>
          <cell r="K24">
            <v>11.131499999999999</v>
          </cell>
        </row>
        <row r="25">
          <cell r="A25">
            <v>38364</v>
          </cell>
          <cell r="B25">
            <v>7.54</v>
          </cell>
          <cell r="C25">
            <v>7.73</v>
          </cell>
          <cell r="D25">
            <v>7.54</v>
          </cell>
          <cell r="E25">
            <v>7.7</v>
          </cell>
          <cell r="F25">
            <v>6.5359477124182774E-3</v>
          </cell>
          <cell r="G25">
            <v>452055</v>
          </cell>
          <cell r="H25">
            <v>3444659.1</v>
          </cell>
          <cell r="I25">
            <v>11.115</v>
          </cell>
          <cell r="J25">
            <v>11.182</v>
          </cell>
          <cell r="K25">
            <v>11.1485</v>
          </cell>
        </row>
        <row r="26">
          <cell r="A26">
            <v>38365</v>
          </cell>
          <cell r="B26">
            <v>7.74</v>
          </cell>
          <cell r="C26">
            <v>8</v>
          </cell>
          <cell r="D26">
            <v>7.74</v>
          </cell>
          <cell r="E26">
            <v>7.88</v>
          </cell>
          <cell r="F26">
            <v>2.3376623376623273E-2</v>
          </cell>
          <cell r="G26">
            <v>306056</v>
          </cell>
          <cell r="H26">
            <v>2390297.3600000003</v>
          </cell>
          <cell r="I26">
            <v>11.116</v>
          </cell>
          <cell r="J26">
            <v>11.183</v>
          </cell>
          <cell r="K26">
            <v>11.1495</v>
          </cell>
        </row>
        <row r="27">
          <cell r="A27">
            <v>38366</v>
          </cell>
          <cell r="B27">
            <v>7.86</v>
          </cell>
          <cell r="C27">
            <v>7.95</v>
          </cell>
          <cell r="D27">
            <v>7.83</v>
          </cell>
          <cell r="E27">
            <v>7.87</v>
          </cell>
          <cell r="F27">
            <v>-1.2690355329948444E-3</v>
          </cell>
          <cell r="G27">
            <v>205461</v>
          </cell>
          <cell r="H27">
            <v>1615950.7650000001</v>
          </cell>
          <cell r="I27">
            <v>11.093999999999999</v>
          </cell>
          <cell r="J27">
            <v>11.161</v>
          </cell>
          <cell r="K27">
            <v>11.1275</v>
          </cell>
        </row>
        <row r="28">
          <cell r="A28">
            <v>38369</v>
          </cell>
          <cell r="B28">
            <v>7.87</v>
          </cell>
          <cell r="C28">
            <v>7.87</v>
          </cell>
          <cell r="D28">
            <v>7.7</v>
          </cell>
          <cell r="E28">
            <v>7.8</v>
          </cell>
          <cell r="F28">
            <v>-8.8945362134689177E-3</v>
          </cell>
          <cell r="G28">
            <v>329953</v>
          </cell>
          <cell r="H28">
            <v>2585181.7549999999</v>
          </cell>
          <cell r="I28">
            <v>11.096</v>
          </cell>
          <cell r="J28">
            <v>11.163</v>
          </cell>
          <cell r="K28">
            <v>11.1295</v>
          </cell>
        </row>
        <row r="29">
          <cell r="A29">
            <v>38370</v>
          </cell>
          <cell r="B29">
            <v>7.8</v>
          </cell>
          <cell r="C29">
            <v>7.9</v>
          </cell>
          <cell r="D29">
            <v>7.8</v>
          </cell>
          <cell r="E29">
            <v>7.82</v>
          </cell>
          <cell r="F29">
            <v>2.564102564102555E-3</v>
          </cell>
          <cell r="G29">
            <v>144431</v>
          </cell>
          <cell r="H29">
            <v>1128006.1100000001</v>
          </cell>
          <cell r="I29">
            <v>11.087999999999999</v>
          </cell>
          <cell r="J29">
            <v>11.154999999999999</v>
          </cell>
          <cell r="K29">
            <v>11.121499999999999</v>
          </cell>
        </row>
        <row r="30">
          <cell r="A30">
            <v>38371</v>
          </cell>
          <cell r="B30">
            <v>7.76</v>
          </cell>
          <cell r="C30">
            <v>7.88</v>
          </cell>
          <cell r="D30">
            <v>7.75</v>
          </cell>
          <cell r="E30">
            <v>7.85</v>
          </cell>
          <cell r="F30">
            <v>3.8363171355497716E-3</v>
          </cell>
          <cell r="G30">
            <v>142158</v>
          </cell>
          <cell r="H30">
            <v>1109543.19</v>
          </cell>
          <cell r="I30">
            <v>11.09</v>
          </cell>
          <cell r="J30">
            <v>11.157</v>
          </cell>
          <cell r="K30">
            <v>11.1235</v>
          </cell>
        </row>
        <row r="31">
          <cell r="A31">
            <v>38372</v>
          </cell>
          <cell r="B31">
            <v>7.9</v>
          </cell>
          <cell r="C31">
            <v>8</v>
          </cell>
          <cell r="D31">
            <v>7.82</v>
          </cell>
          <cell r="E31">
            <v>8</v>
          </cell>
          <cell r="F31">
            <v>1.9108280254777066E-2</v>
          </cell>
          <cell r="G31">
            <v>140961</v>
          </cell>
          <cell r="H31">
            <v>1120639.95</v>
          </cell>
          <cell r="I31">
            <v>11.071999999999999</v>
          </cell>
          <cell r="J31">
            <v>11.138999999999999</v>
          </cell>
          <cell r="K31">
            <v>11.105499999999999</v>
          </cell>
        </row>
        <row r="32">
          <cell r="A32">
            <v>38373</v>
          </cell>
          <cell r="B32">
            <v>8</v>
          </cell>
          <cell r="C32">
            <v>8</v>
          </cell>
          <cell r="D32">
            <v>7.92</v>
          </cell>
          <cell r="E32">
            <v>7.95</v>
          </cell>
          <cell r="F32">
            <v>-6.2499999999999778E-3</v>
          </cell>
          <cell r="G32">
            <v>143957</v>
          </cell>
          <cell r="H32">
            <v>1148057.075</v>
          </cell>
          <cell r="I32">
            <v>11.071999999999999</v>
          </cell>
          <cell r="J32">
            <v>11.138999999999999</v>
          </cell>
          <cell r="K32">
            <v>11.105499999999999</v>
          </cell>
        </row>
        <row r="33">
          <cell r="A33">
            <v>38376</v>
          </cell>
          <cell r="B33">
            <v>7.9</v>
          </cell>
          <cell r="C33">
            <v>7.95</v>
          </cell>
          <cell r="D33">
            <v>7.76</v>
          </cell>
          <cell r="E33">
            <v>7.78</v>
          </cell>
          <cell r="F33">
            <v>-2.1383647798742134E-2</v>
          </cell>
          <cell r="G33">
            <v>87332</v>
          </cell>
          <cell r="H33">
            <v>684682.88</v>
          </cell>
          <cell r="I33">
            <v>11.09</v>
          </cell>
          <cell r="J33">
            <v>11.157</v>
          </cell>
          <cell r="K33">
            <v>11.1235</v>
          </cell>
        </row>
        <row r="34">
          <cell r="A34">
            <v>38377</v>
          </cell>
          <cell r="B34">
            <v>7.89</v>
          </cell>
          <cell r="C34">
            <v>7.9</v>
          </cell>
          <cell r="D34">
            <v>7.76</v>
          </cell>
          <cell r="E34">
            <v>7.84</v>
          </cell>
          <cell r="F34">
            <v>7.7120822622107621E-3</v>
          </cell>
          <cell r="G34">
            <v>57612</v>
          </cell>
          <cell r="H34">
            <v>453118.38</v>
          </cell>
          <cell r="I34">
            <v>11.086</v>
          </cell>
          <cell r="J34">
            <v>11.151999999999999</v>
          </cell>
          <cell r="K34">
            <v>11.119</v>
          </cell>
        </row>
        <row r="35">
          <cell r="A35">
            <v>38378</v>
          </cell>
          <cell r="B35">
            <v>7.75</v>
          </cell>
          <cell r="C35">
            <v>7.8</v>
          </cell>
          <cell r="D35">
            <v>7.7</v>
          </cell>
          <cell r="E35">
            <v>7.75</v>
          </cell>
          <cell r="F35">
            <v>-1.1479591836734637E-2</v>
          </cell>
          <cell r="G35">
            <v>284511</v>
          </cell>
          <cell r="H35">
            <v>2204960.25</v>
          </cell>
          <cell r="I35">
            <v>11.089</v>
          </cell>
          <cell r="J35">
            <v>11.156000000000001</v>
          </cell>
          <cell r="K35">
            <v>11.1225</v>
          </cell>
        </row>
        <row r="36">
          <cell r="A36">
            <v>38379</v>
          </cell>
          <cell r="B36">
            <v>7.79</v>
          </cell>
          <cell r="C36">
            <v>7.89</v>
          </cell>
          <cell r="D36">
            <v>7.76</v>
          </cell>
          <cell r="E36">
            <v>7.81</v>
          </cell>
          <cell r="F36">
            <v>7.7419354838708099E-3</v>
          </cell>
          <cell r="G36">
            <v>54884</v>
          </cell>
          <cell r="H36">
            <v>428095.2</v>
          </cell>
          <cell r="I36">
            <v>11.084</v>
          </cell>
          <cell r="J36">
            <v>11.151</v>
          </cell>
          <cell r="K36">
            <v>11.1175</v>
          </cell>
        </row>
        <row r="37">
          <cell r="A37">
            <v>38380</v>
          </cell>
          <cell r="B37">
            <v>7.78</v>
          </cell>
          <cell r="C37">
            <v>7.96</v>
          </cell>
          <cell r="D37">
            <v>7.75</v>
          </cell>
          <cell r="E37">
            <v>7.77</v>
          </cell>
          <cell r="F37">
            <v>-5.1216389244558291E-3</v>
          </cell>
          <cell r="G37">
            <v>149820</v>
          </cell>
          <cell r="H37">
            <v>1164850.5</v>
          </cell>
          <cell r="I37">
            <v>11.089</v>
          </cell>
          <cell r="J37">
            <v>11.154999999999999</v>
          </cell>
          <cell r="K37">
            <v>11.122</v>
          </cell>
        </row>
        <row r="38">
          <cell r="A38">
            <v>38383</v>
          </cell>
          <cell r="B38">
            <v>7.78</v>
          </cell>
          <cell r="C38">
            <v>7.9</v>
          </cell>
          <cell r="D38">
            <v>7.75</v>
          </cell>
          <cell r="E38">
            <v>7.81</v>
          </cell>
          <cell r="F38">
            <v>5.1480051480050637E-3</v>
          </cell>
          <cell r="G38">
            <v>491201</v>
          </cell>
          <cell r="H38">
            <v>3828911.7949999999</v>
          </cell>
          <cell r="I38">
            <v>11.086</v>
          </cell>
          <cell r="J38">
            <v>11.151999999999999</v>
          </cell>
          <cell r="K38">
            <v>11.119</v>
          </cell>
        </row>
        <row r="39">
          <cell r="A39">
            <v>38384</v>
          </cell>
          <cell r="B39">
            <v>7.81</v>
          </cell>
          <cell r="C39">
            <v>8</v>
          </cell>
          <cell r="D39">
            <v>7.81</v>
          </cell>
          <cell r="E39">
            <v>7.89</v>
          </cell>
          <cell r="F39">
            <v>1.0243277848911658E-2</v>
          </cell>
          <cell r="G39">
            <v>197595</v>
          </cell>
          <cell r="H39">
            <v>1551120.75</v>
          </cell>
          <cell r="I39">
            <v>11.083</v>
          </cell>
          <cell r="J39">
            <v>11.15</v>
          </cell>
          <cell r="K39">
            <v>11.1165</v>
          </cell>
        </row>
        <row r="40">
          <cell r="A40">
            <v>38385</v>
          </cell>
          <cell r="B40">
            <v>7.95</v>
          </cell>
          <cell r="C40">
            <v>7.96</v>
          </cell>
          <cell r="D40">
            <v>7.87</v>
          </cell>
          <cell r="E40">
            <v>7.91</v>
          </cell>
          <cell r="F40">
            <v>2.5348542458809575E-3</v>
          </cell>
          <cell r="G40">
            <v>303766</v>
          </cell>
          <cell r="H40">
            <v>2408864.38</v>
          </cell>
          <cell r="I40">
            <v>11.090999999999999</v>
          </cell>
          <cell r="J40">
            <v>11.157999999999999</v>
          </cell>
          <cell r="K40">
            <v>11.124499999999999</v>
          </cell>
        </row>
        <row r="41">
          <cell r="A41">
            <v>38386</v>
          </cell>
          <cell r="B41">
            <v>7.92</v>
          </cell>
          <cell r="C41">
            <v>7.93</v>
          </cell>
          <cell r="D41">
            <v>7.85</v>
          </cell>
          <cell r="E41">
            <v>7.85</v>
          </cell>
          <cell r="F41">
            <v>-7.5853350189634128E-3</v>
          </cell>
          <cell r="G41">
            <v>402280</v>
          </cell>
          <cell r="H41">
            <v>3171977.8</v>
          </cell>
          <cell r="I41">
            <v>11.073</v>
          </cell>
          <cell r="J41">
            <v>11.14</v>
          </cell>
          <cell r="K41">
            <v>11.1065</v>
          </cell>
        </row>
        <row r="42">
          <cell r="A42">
            <v>38387</v>
          </cell>
          <cell r="B42">
            <v>7.82</v>
          </cell>
          <cell r="C42">
            <v>7.87</v>
          </cell>
          <cell r="D42">
            <v>7.85</v>
          </cell>
          <cell r="E42">
            <v>7.85</v>
          </cell>
          <cell r="F42">
            <v>0</v>
          </cell>
          <cell r="G42">
            <v>105388</v>
          </cell>
          <cell r="H42">
            <v>825714.98</v>
          </cell>
          <cell r="I42">
            <v>11.074</v>
          </cell>
          <cell r="J42">
            <v>11.141</v>
          </cell>
          <cell r="K42">
            <v>11.1075</v>
          </cell>
        </row>
        <row r="43">
          <cell r="A43">
            <v>38390</v>
          </cell>
          <cell r="B43">
            <v>8.0500000000000007</v>
          </cell>
          <cell r="C43">
            <v>8.0500000000000007</v>
          </cell>
          <cell r="D43">
            <v>7.88</v>
          </cell>
          <cell r="E43">
            <v>7.91</v>
          </cell>
          <cell r="F43">
            <v>7.6433121019108263E-3</v>
          </cell>
          <cell r="G43">
            <v>562895</v>
          </cell>
          <cell r="H43">
            <v>4491902.1000000006</v>
          </cell>
          <cell r="I43">
            <v>11.055999999999999</v>
          </cell>
          <cell r="J43">
            <v>11.122999999999999</v>
          </cell>
          <cell r="K43">
            <v>11.089499999999999</v>
          </cell>
        </row>
        <row r="44">
          <cell r="A44">
            <v>38391</v>
          </cell>
          <cell r="B44">
            <v>7.92</v>
          </cell>
          <cell r="C44">
            <v>7.92</v>
          </cell>
          <cell r="D44">
            <v>7.86</v>
          </cell>
          <cell r="E44">
            <v>7.89</v>
          </cell>
          <cell r="F44">
            <v>-2.5284450063212116E-3</v>
          </cell>
          <cell r="G44">
            <v>132780</v>
          </cell>
          <cell r="H44">
            <v>1049625.8999999999</v>
          </cell>
          <cell r="I44">
            <v>11.042</v>
          </cell>
          <cell r="J44">
            <v>11.108000000000001</v>
          </cell>
          <cell r="K44">
            <v>11.074999999999999</v>
          </cell>
        </row>
        <row r="45">
          <cell r="A45">
            <v>38392</v>
          </cell>
          <cell r="B45">
            <v>7.87</v>
          </cell>
          <cell r="C45">
            <v>7.9</v>
          </cell>
          <cell r="D45">
            <v>7.85</v>
          </cell>
          <cell r="E45">
            <v>7.89</v>
          </cell>
          <cell r="F45">
            <v>0</v>
          </cell>
          <cell r="G45">
            <v>164958</v>
          </cell>
          <cell r="H45">
            <v>1299869.04</v>
          </cell>
          <cell r="I45">
            <v>11.041</v>
          </cell>
          <cell r="J45">
            <v>11.106999999999999</v>
          </cell>
          <cell r="K45">
            <v>11.074</v>
          </cell>
        </row>
        <row r="46">
          <cell r="A46">
            <v>38393</v>
          </cell>
          <cell r="B46">
            <v>7.83</v>
          </cell>
          <cell r="C46">
            <v>7.9</v>
          </cell>
          <cell r="D46">
            <v>7.83</v>
          </cell>
          <cell r="E46">
            <v>7.85</v>
          </cell>
          <cell r="F46">
            <v>-5.069708491761693E-3</v>
          </cell>
          <cell r="G46">
            <v>107255</v>
          </cell>
          <cell r="H46">
            <v>840879.2</v>
          </cell>
          <cell r="I46">
            <v>11.058999999999999</v>
          </cell>
          <cell r="J46">
            <v>11.125</v>
          </cell>
          <cell r="K46">
            <v>11.091999999999999</v>
          </cell>
        </row>
        <row r="47">
          <cell r="A47">
            <v>38394</v>
          </cell>
          <cell r="B47">
            <v>7.89</v>
          </cell>
          <cell r="C47">
            <v>7.89</v>
          </cell>
          <cell r="D47">
            <v>7.73</v>
          </cell>
          <cell r="E47">
            <v>7.73</v>
          </cell>
          <cell r="F47">
            <v>-1.5286624203821542E-2</v>
          </cell>
          <cell r="G47">
            <v>82183</v>
          </cell>
          <cell r="H47">
            <v>641849.2300000001</v>
          </cell>
          <cell r="I47">
            <v>11.058999999999999</v>
          </cell>
          <cell r="J47">
            <v>11.125</v>
          </cell>
          <cell r="K47">
            <v>11.091999999999999</v>
          </cell>
        </row>
        <row r="48">
          <cell r="A48">
            <v>38397</v>
          </cell>
          <cell r="B48">
            <v>7.8</v>
          </cell>
          <cell r="C48">
            <v>7.8</v>
          </cell>
          <cell r="D48">
            <v>7.73</v>
          </cell>
          <cell r="E48">
            <v>7.8</v>
          </cell>
          <cell r="F48">
            <v>9.0556274256143876E-3</v>
          </cell>
          <cell r="G48">
            <v>233689</v>
          </cell>
          <cell r="H48">
            <v>1822774.2</v>
          </cell>
          <cell r="I48">
            <v>11.077</v>
          </cell>
          <cell r="J48">
            <v>11.143000000000001</v>
          </cell>
          <cell r="K48">
            <v>11.11</v>
          </cell>
        </row>
        <row r="49">
          <cell r="A49">
            <v>38398</v>
          </cell>
          <cell r="B49">
            <v>7.8</v>
          </cell>
          <cell r="C49">
            <v>7.85</v>
          </cell>
          <cell r="D49">
            <v>7.75</v>
          </cell>
          <cell r="E49">
            <v>7.84</v>
          </cell>
          <cell r="F49">
            <v>5.12820512820511E-3</v>
          </cell>
          <cell r="G49">
            <v>287811</v>
          </cell>
          <cell r="H49">
            <v>2250682.02</v>
          </cell>
          <cell r="I49">
            <v>11.083</v>
          </cell>
          <cell r="J49">
            <v>11.148999999999999</v>
          </cell>
          <cell r="K49">
            <v>11.116</v>
          </cell>
        </row>
        <row r="50">
          <cell r="A50">
            <v>38399</v>
          </cell>
          <cell r="B50">
            <v>7.8</v>
          </cell>
          <cell r="C50">
            <v>7.8</v>
          </cell>
          <cell r="D50">
            <v>7.76</v>
          </cell>
          <cell r="E50">
            <v>7.77</v>
          </cell>
          <cell r="F50">
            <v>-8.9285714285715079E-3</v>
          </cell>
          <cell r="G50">
            <v>340981</v>
          </cell>
          <cell r="H50">
            <v>2654537.085</v>
          </cell>
          <cell r="I50">
            <v>11.085000000000001</v>
          </cell>
          <cell r="J50">
            <v>11.151999999999999</v>
          </cell>
          <cell r="K50">
            <v>11.118500000000001</v>
          </cell>
        </row>
        <row r="51">
          <cell r="A51">
            <v>38400</v>
          </cell>
          <cell r="B51">
            <v>7.8</v>
          </cell>
          <cell r="C51">
            <v>7.89</v>
          </cell>
          <cell r="D51">
            <v>7.75</v>
          </cell>
          <cell r="E51">
            <v>7.81</v>
          </cell>
          <cell r="F51">
            <v>5.1480051480050637E-3</v>
          </cell>
          <cell r="G51">
            <v>73706</v>
          </cell>
          <cell r="H51">
            <v>575275.32999999996</v>
          </cell>
          <cell r="I51">
            <v>11.084</v>
          </cell>
          <cell r="J51">
            <v>11.151</v>
          </cell>
          <cell r="K51">
            <v>11.1175</v>
          </cell>
        </row>
        <row r="52">
          <cell r="A52">
            <v>38401</v>
          </cell>
          <cell r="B52">
            <v>7.84</v>
          </cell>
          <cell r="C52">
            <v>7.89</v>
          </cell>
          <cell r="D52">
            <v>7.78</v>
          </cell>
          <cell r="E52">
            <v>7.89</v>
          </cell>
          <cell r="F52">
            <v>1.0243277848911658E-2</v>
          </cell>
          <cell r="G52">
            <v>784705</v>
          </cell>
          <cell r="H52">
            <v>6171704.8250000002</v>
          </cell>
          <cell r="I52">
            <v>11.089</v>
          </cell>
          <cell r="J52">
            <v>11.154999999999999</v>
          </cell>
          <cell r="K52">
            <v>11.122</v>
          </cell>
        </row>
        <row r="53">
          <cell r="A53">
            <v>38404</v>
          </cell>
          <cell r="B53">
            <v>7.86</v>
          </cell>
          <cell r="C53">
            <v>7.86</v>
          </cell>
          <cell r="D53">
            <v>7.7</v>
          </cell>
          <cell r="E53">
            <v>7.85</v>
          </cell>
          <cell r="F53">
            <v>-5.069708491761693E-3</v>
          </cell>
          <cell r="G53">
            <v>194726</v>
          </cell>
          <cell r="H53">
            <v>1529572.73</v>
          </cell>
          <cell r="I53">
            <v>11.09</v>
          </cell>
          <cell r="J53">
            <v>11.156000000000001</v>
          </cell>
          <cell r="K53">
            <v>11.123000000000001</v>
          </cell>
        </row>
        <row r="54">
          <cell r="A54">
            <v>38405</v>
          </cell>
          <cell r="B54">
            <v>7.8</v>
          </cell>
          <cell r="C54">
            <v>7.84</v>
          </cell>
          <cell r="D54">
            <v>7.67</v>
          </cell>
          <cell r="E54">
            <v>7.8</v>
          </cell>
          <cell r="F54">
            <v>-6.3694267515923553E-3</v>
          </cell>
          <cell r="G54">
            <v>367537</v>
          </cell>
          <cell r="H54">
            <v>2866788.6</v>
          </cell>
          <cell r="I54">
            <v>11.113</v>
          </cell>
          <cell r="J54">
            <v>11.18</v>
          </cell>
          <cell r="K54">
            <v>11.1465</v>
          </cell>
        </row>
        <row r="55">
          <cell r="A55">
            <v>38406</v>
          </cell>
          <cell r="B55">
            <v>7.7</v>
          </cell>
          <cell r="C55">
            <v>7.85</v>
          </cell>
          <cell r="D55">
            <v>7.7</v>
          </cell>
          <cell r="E55">
            <v>7.84</v>
          </cell>
          <cell r="F55">
            <v>5.12820512820511E-3</v>
          </cell>
          <cell r="G55">
            <v>49266</v>
          </cell>
          <cell r="H55">
            <v>382796.82</v>
          </cell>
          <cell r="I55">
            <v>11.115</v>
          </cell>
          <cell r="J55">
            <v>11.182</v>
          </cell>
          <cell r="K55">
            <v>11.1485</v>
          </cell>
        </row>
        <row r="56">
          <cell r="A56">
            <v>38407</v>
          </cell>
          <cell r="B56">
            <v>7.84</v>
          </cell>
          <cell r="C56">
            <v>7.84</v>
          </cell>
          <cell r="D56">
            <v>7.69</v>
          </cell>
          <cell r="E56">
            <v>7.75</v>
          </cell>
          <cell r="F56">
            <v>-1.1479591836734637E-2</v>
          </cell>
          <cell r="G56">
            <v>86380</v>
          </cell>
          <cell r="H56">
            <v>673332.1</v>
          </cell>
          <cell r="I56">
            <v>11.117000000000001</v>
          </cell>
          <cell r="J56">
            <v>11.183999999999999</v>
          </cell>
          <cell r="K56">
            <v>11.150500000000001</v>
          </cell>
        </row>
        <row r="57">
          <cell r="A57">
            <v>38408</v>
          </cell>
          <cell r="B57">
            <v>7.75</v>
          </cell>
          <cell r="C57">
            <v>7.8</v>
          </cell>
          <cell r="D57">
            <v>7.73</v>
          </cell>
          <cell r="E57">
            <v>7.76</v>
          </cell>
          <cell r="F57">
            <v>1.290322580645098E-3</v>
          </cell>
          <cell r="G57">
            <v>80755</v>
          </cell>
          <cell r="H57">
            <v>626255.02500000002</v>
          </cell>
          <cell r="I57">
            <v>11.119</v>
          </cell>
          <cell r="J57">
            <v>11.185</v>
          </cell>
          <cell r="K57">
            <v>11.152000000000001</v>
          </cell>
        </row>
        <row r="58">
          <cell r="A58">
            <v>38411</v>
          </cell>
          <cell r="B58">
            <v>7.7</v>
          </cell>
          <cell r="C58">
            <v>7.94</v>
          </cell>
          <cell r="D58">
            <v>7.7</v>
          </cell>
          <cell r="E58">
            <v>7.75</v>
          </cell>
          <cell r="F58">
            <v>-1.2886597938144284E-3</v>
          </cell>
          <cell r="G58">
            <v>361270</v>
          </cell>
          <cell r="H58">
            <v>2790810.75</v>
          </cell>
          <cell r="I58">
            <v>11.12</v>
          </cell>
          <cell r="J58">
            <v>11.186</v>
          </cell>
          <cell r="K58">
            <v>11.152999999999999</v>
          </cell>
        </row>
        <row r="59">
          <cell r="A59">
            <v>38412</v>
          </cell>
          <cell r="B59">
            <v>7.83</v>
          </cell>
          <cell r="C59">
            <v>7.83</v>
          </cell>
          <cell r="D59">
            <v>7.74</v>
          </cell>
          <cell r="E59">
            <v>7.79</v>
          </cell>
          <cell r="F59">
            <v>5.1612903225806139E-3</v>
          </cell>
          <cell r="G59">
            <v>223027</v>
          </cell>
          <cell r="H59">
            <v>1741840.87</v>
          </cell>
          <cell r="I59">
            <v>11.109</v>
          </cell>
          <cell r="J59">
            <v>11.176</v>
          </cell>
          <cell r="K59">
            <v>11.1425</v>
          </cell>
        </row>
        <row r="60">
          <cell r="A60">
            <v>38413</v>
          </cell>
          <cell r="B60">
            <v>7.75</v>
          </cell>
          <cell r="C60">
            <v>7.77</v>
          </cell>
          <cell r="D60">
            <v>7.72</v>
          </cell>
          <cell r="E60">
            <v>7.73</v>
          </cell>
          <cell r="F60">
            <v>-7.702182284980652E-3</v>
          </cell>
          <cell r="G60">
            <v>109012</v>
          </cell>
          <cell r="H60">
            <v>843752.88</v>
          </cell>
          <cell r="I60">
            <v>11.096</v>
          </cell>
          <cell r="J60">
            <v>11.163</v>
          </cell>
          <cell r="K60">
            <v>11.1295</v>
          </cell>
        </row>
        <row r="61">
          <cell r="A61">
            <v>38414</v>
          </cell>
          <cell r="B61">
            <v>7.73</v>
          </cell>
          <cell r="C61">
            <v>7.78</v>
          </cell>
          <cell r="D61">
            <v>7.65</v>
          </cell>
          <cell r="E61">
            <v>7.73</v>
          </cell>
          <cell r="F61">
            <v>0</v>
          </cell>
          <cell r="G61">
            <v>210578</v>
          </cell>
          <cell r="H61">
            <v>1627767.9400000002</v>
          </cell>
          <cell r="I61">
            <v>11.1</v>
          </cell>
          <cell r="J61">
            <v>11.167</v>
          </cell>
          <cell r="K61">
            <v>11.1335</v>
          </cell>
        </row>
        <row r="62">
          <cell r="A62">
            <v>38415</v>
          </cell>
          <cell r="B62">
            <v>7.68</v>
          </cell>
          <cell r="C62">
            <v>7.9</v>
          </cell>
          <cell r="D62">
            <v>7.68</v>
          </cell>
          <cell r="E62">
            <v>7.86</v>
          </cell>
          <cell r="F62">
            <v>1.681759379042691E-2</v>
          </cell>
          <cell r="G62">
            <v>64468</v>
          </cell>
          <cell r="H62">
            <v>500916.36</v>
          </cell>
          <cell r="I62">
            <v>11.112</v>
          </cell>
          <cell r="J62">
            <v>11.179</v>
          </cell>
          <cell r="K62">
            <v>11.1455</v>
          </cell>
        </row>
        <row r="63">
          <cell r="A63">
            <v>38418</v>
          </cell>
          <cell r="B63">
            <v>7.95</v>
          </cell>
          <cell r="C63">
            <v>8</v>
          </cell>
          <cell r="D63">
            <v>7.5</v>
          </cell>
          <cell r="E63">
            <v>7.53</v>
          </cell>
          <cell r="F63">
            <v>-4.1984732824427495E-2</v>
          </cell>
          <cell r="G63">
            <v>542221</v>
          </cell>
          <cell r="H63">
            <v>4196790.54</v>
          </cell>
          <cell r="I63">
            <v>11.109</v>
          </cell>
          <cell r="J63">
            <v>11.176</v>
          </cell>
          <cell r="K63">
            <v>11.1425</v>
          </cell>
        </row>
        <row r="64">
          <cell r="A64">
            <v>38419</v>
          </cell>
          <cell r="B64">
            <v>7.58</v>
          </cell>
          <cell r="C64">
            <v>7.59</v>
          </cell>
          <cell r="D64">
            <v>7.29</v>
          </cell>
          <cell r="E64">
            <v>7.39</v>
          </cell>
          <cell r="F64">
            <v>-1.8592297476759723E-2</v>
          </cell>
          <cell r="G64">
            <v>408883</v>
          </cell>
          <cell r="H64">
            <v>3060489.2549999999</v>
          </cell>
          <cell r="I64">
            <v>11.121</v>
          </cell>
          <cell r="J64">
            <v>11.188000000000001</v>
          </cell>
          <cell r="K64">
            <v>11.154500000000001</v>
          </cell>
        </row>
        <row r="65">
          <cell r="A65">
            <v>38420</v>
          </cell>
          <cell r="B65">
            <v>7.4</v>
          </cell>
          <cell r="C65">
            <v>7.4</v>
          </cell>
          <cell r="D65">
            <v>7.14</v>
          </cell>
          <cell r="E65">
            <v>7.19</v>
          </cell>
          <cell r="F65">
            <v>-2.7063599458727938E-2</v>
          </cell>
          <cell r="G65">
            <v>601030</v>
          </cell>
          <cell r="H65">
            <v>4384513.8499999996</v>
          </cell>
          <cell r="I65">
            <v>11.132</v>
          </cell>
          <cell r="J65">
            <v>11.199</v>
          </cell>
          <cell r="K65">
            <v>11.1655</v>
          </cell>
        </row>
        <row r="66">
          <cell r="A66">
            <v>38421</v>
          </cell>
          <cell r="B66">
            <v>7.19</v>
          </cell>
          <cell r="C66">
            <v>7.29</v>
          </cell>
          <cell r="D66">
            <v>7.15</v>
          </cell>
          <cell r="E66">
            <v>7.19</v>
          </cell>
          <cell r="F66">
            <v>0</v>
          </cell>
          <cell r="G66">
            <v>479717</v>
          </cell>
          <cell r="H66">
            <v>3449165.23</v>
          </cell>
          <cell r="I66">
            <v>11.147</v>
          </cell>
          <cell r="J66">
            <v>11.214</v>
          </cell>
          <cell r="K66">
            <v>11.1805</v>
          </cell>
        </row>
        <row r="67">
          <cell r="A67">
            <v>38422</v>
          </cell>
          <cell r="B67">
            <v>7.2</v>
          </cell>
          <cell r="C67">
            <v>7.53</v>
          </cell>
          <cell r="D67">
            <v>7.18</v>
          </cell>
          <cell r="E67">
            <v>7.45</v>
          </cell>
          <cell r="F67">
            <v>3.6161335187760768E-2</v>
          </cell>
          <cell r="G67">
            <v>268961</v>
          </cell>
          <cell r="H67">
            <v>1970139.325</v>
          </cell>
          <cell r="I67">
            <v>11.146000000000001</v>
          </cell>
          <cell r="J67">
            <v>11.212999999999999</v>
          </cell>
          <cell r="K67">
            <v>11.179500000000001</v>
          </cell>
        </row>
        <row r="68">
          <cell r="A68">
            <v>38425</v>
          </cell>
          <cell r="B68">
            <v>7.64</v>
          </cell>
          <cell r="C68">
            <v>7.64</v>
          </cell>
          <cell r="D68">
            <v>7.46</v>
          </cell>
          <cell r="E68">
            <v>7.51</v>
          </cell>
          <cell r="F68">
            <v>8.0536912751676404E-3</v>
          </cell>
          <cell r="G68">
            <v>359966</v>
          </cell>
          <cell r="H68">
            <v>2726742.4499999997</v>
          </cell>
          <cell r="I68">
            <v>11.141</v>
          </cell>
          <cell r="J68">
            <v>11.208</v>
          </cell>
          <cell r="K68">
            <v>11.1745</v>
          </cell>
        </row>
        <row r="69">
          <cell r="A69">
            <v>38426</v>
          </cell>
          <cell r="B69">
            <v>7.59</v>
          </cell>
          <cell r="C69">
            <v>7.8</v>
          </cell>
          <cell r="D69">
            <v>7.49</v>
          </cell>
          <cell r="E69">
            <v>7.68</v>
          </cell>
          <cell r="F69">
            <v>2.2636484687083902E-2</v>
          </cell>
          <cell r="G69">
            <v>255288</v>
          </cell>
          <cell r="H69">
            <v>1949123.88</v>
          </cell>
          <cell r="I69">
            <v>11.135999999999999</v>
          </cell>
          <cell r="J69">
            <v>11.202999999999999</v>
          </cell>
          <cell r="K69">
            <v>11.169499999999999</v>
          </cell>
        </row>
        <row r="70">
          <cell r="A70">
            <v>38427</v>
          </cell>
          <cell r="B70">
            <v>7.69</v>
          </cell>
          <cell r="C70">
            <v>7.69</v>
          </cell>
          <cell r="D70">
            <v>7.57</v>
          </cell>
          <cell r="E70">
            <v>7.59</v>
          </cell>
          <cell r="F70">
            <v>-1.171875E-2</v>
          </cell>
          <cell r="G70">
            <v>66396</v>
          </cell>
          <cell r="H70">
            <v>507265.44000000006</v>
          </cell>
          <cell r="I70">
            <v>11.146000000000001</v>
          </cell>
          <cell r="J70">
            <v>11.212999999999999</v>
          </cell>
          <cell r="K70">
            <v>11.179500000000001</v>
          </cell>
        </row>
        <row r="71">
          <cell r="A71">
            <v>38428</v>
          </cell>
          <cell r="B71">
            <v>7.6</v>
          </cell>
          <cell r="C71">
            <v>7.63</v>
          </cell>
          <cell r="D71">
            <v>7.52</v>
          </cell>
          <cell r="E71">
            <v>7.55</v>
          </cell>
          <cell r="F71">
            <v>-5.2700922266140093E-3</v>
          </cell>
          <cell r="G71">
            <v>75694</v>
          </cell>
          <cell r="H71">
            <v>573382.04999999993</v>
          </cell>
          <cell r="I71">
            <v>11.134</v>
          </cell>
          <cell r="J71">
            <v>11.201000000000001</v>
          </cell>
          <cell r="K71">
            <v>11.1675</v>
          </cell>
        </row>
        <row r="72">
          <cell r="A72">
            <v>38429</v>
          </cell>
          <cell r="B72">
            <v>7.55</v>
          </cell>
          <cell r="C72">
            <v>7.56</v>
          </cell>
          <cell r="D72">
            <v>7.51</v>
          </cell>
          <cell r="E72">
            <v>7.54</v>
          </cell>
          <cell r="F72">
            <v>-1.3245033112582183E-3</v>
          </cell>
          <cell r="G72">
            <v>130317</v>
          </cell>
          <cell r="H72">
            <v>983241.76500000001</v>
          </cell>
          <cell r="I72">
            <v>11.124000000000001</v>
          </cell>
          <cell r="J72">
            <v>11.191000000000001</v>
          </cell>
          <cell r="K72">
            <v>11.157500000000001</v>
          </cell>
        </row>
        <row r="73">
          <cell r="A73">
            <v>38432</v>
          </cell>
          <cell r="B73">
            <v>7.55</v>
          </cell>
          <cell r="C73">
            <v>7.8</v>
          </cell>
          <cell r="D73">
            <v>7.55</v>
          </cell>
          <cell r="E73">
            <v>7.72</v>
          </cell>
          <cell r="F73">
            <v>2.3872679045092715E-2</v>
          </cell>
          <cell r="G73">
            <v>372342</v>
          </cell>
          <cell r="H73">
            <v>2842831.17</v>
          </cell>
          <cell r="I73">
            <v>11.109</v>
          </cell>
          <cell r="J73">
            <v>11.176</v>
          </cell>
          <cell r="K73">
            <v>11.1425</v>
          </cell>
        </row>
        <row r="74">
          <cell r="A74">
            <v>38433</v>
          </cell>
          <cell r="B74">
            <v>7.75</v>
          </cell>
          <cell r="C74">
            <v>7.77</v>
          </cell>
          <cell r="D74">
            <v>7.62</v>
          </cell>
          <cell r="E74">
            <v>7.7</v>
          </cell>
          <cell r="F74">
            <v>-2.5906735751294319E-3</v>
          </cell>
          <cell r="G74">
            <v>162539</v>
          </cell>
          <cell r="H74">
            <v>1255613.7749999999</v>
          </cell>
          <cell r="I74">
            <v>11.109</v>
          </cell>
          <cell r="J74">
            <v>11.176</v>
          </cell>
          <cell r="K74">
            <v>11.1425</v>
          </cell>
        </row>
        <row r="75">
          <cell r="A75">
            <v>38434</v>
          </cell>
          <cell r="B75">
            <v>7.66</v>
          </cell>
          <cell r="C75">
            <v>7.67</v>
          </cell>
          <cell r="D75">
            <v>7.6</v>
          </cell>
          <cell r="E75">
            <v>7.6</v>
          </cell>
          <cell r="F75">
            <v>-1.2987012987013102E-2</v>
          </cell>
          <cell r="G75">
            <v>86767</v>
          </cell>
          <cell r="H75">
            <v>662032.21</v>
          </cell>
          <cell r="I75">
            <v>11.085000000000001</v>
          </cell>
          <cell r="J75">
            <v>11.151</v>
          </cell>
          <cell r="K75">
            <v>11.118</v>
          </cell>
        </row>
        <row r="76">
          <cell r="A76">
            <v>38435</v>
          </cell>
          <cell r="B76">
            <v>7.65</v>
          </cell>
          <cell r="C76">
            <v>7.66</v>
          </cell>
          <cell r="D76">
            <v>7.5</v>
          </cell>
          <cell r="E76">
            <v>7.59</v>
          </cell>
          <cell r="F76">
            <v>-1.3157894736841591E-3</v>
          </cell>
          <cell r="G76">
            <v>66229</v>
          </cell>
          <cell r="H76">
            <v>504664.98</v>
          </cell>
          <cell r="I76">
            <v>11.08</v>
          </cell>
          <cell r="J76">
            <v>11.147</v>
          </cell>
          <cell r="K76">
            <v>11.1135</v>
          </cell>
        </row>
        <row r="77">
          <cell r="A77">
            <v>38436</v>
          </cell>
          <cell r="B77">
            <v>7.65</v>
          </cell>
          <cell r="C77">
            <v>7.66</v>
          </cell>
          <cell r="D77">
            <v>7.5</v>
          </cell>
          <cell r="E77">
            <v>7.59</v>
          </cell>
          <cell r="F77">
            <v>0</v>
          </cell>
          <cell r="G77">
            <v>66229</v>
          </cell>
          <cell r="H77">
            <v>504664.98</v>
          </cell>
          <cell r="I77">
            <v>11.08</v>
          </cell>
          <cell r="J77">
            <v>11.147</v>
          </cell>
          <cell r="K77">
            <v>11.1135</v>
          </cell>
        </row>
        <row r="78">
          <cell r="A78">
            <v>38439</v>
          </cell>
          <cell r="B78">
            <v>7.65</v>
          </cell>
          <cell r="C78">
            <v>7.66</v>
          </cell>
          <cell r="D78">
            <v>7.5</v>
          </cell>
          <cell r="E78">
            <v>7.59</v>
          </cell>
          <cell r="F78">
            <v>0</v>
          </cell>
          <cell r="G78">
            <v>66229</v>
          </cell>
          <cell r="H78">
            <v>504664.98</v>
          </cell>
          <cell r="I78">
            <v>11.08</v>
          </cell>
          <cell r="J78">
            <v>11.147</v>
          </cell>
          <cell r="K78">
            <v>11.1135</v>
          </cell>
        </row>
        <row r="79">
          <cell r="A79">
            <v>38440</v>
          </cell>
          <cell r="B79">
            <v>7.63</v>
          </cell>
          <cell r="C79">
            <v>7.63</v>
          </cell>
          <cell r="D79">
            <v>7.41</v>
          </cell>
          <cell r="E79">
            <v>7.41</v>
          </cell>
          <cell r="F79">
            <v>-2.371541501976282E-2</v>
          </cell>
          <cell r="G79">
            <v>110468</v>
          </cell>
          <cell r="H79">
            <v>830719.36</v>
          </cell>
          <cell r="I79">
            <v>11.08</v>
          </cell>
          <cell r="J79">
            <v>11.147</v>
          </cell>
          <cell r="K79">
            <v>11.1135</v>
          </cell>
        </row>
        <row r="80">
          <cell r="A80">
            <v>38441</v>
          </cell>
          <cell r="B80">
            <v>7.48</v>
          </cell>
          <cell r="C80">
            <v>7.48</v>
          </cell>
          <cell r="D80">
            <v>7.37</v>
          </cell>
          <cell r="E80">
            <v>7.37</v>
          </cell>
          <cell r="F80">
            <v>-5.3981106612686069E-3</v>
          </cell>
          <cell r="G80">
            <v>98880</v>
          </cell>
          <cell r="H80">
            <v>734184.00000000012</v>
          </cell>
          <cell r="I80">
            <v>11.077</v>
          </cell>
          <cell r="J80">
            <v>11.143000000000001</v>
          </cell>
          <cell r="K80">
            <v>11.11</v>
          </cell>
        </row>
        <row r="81">
          <cell r="A81">
            <v>38442</v>
          </cell>
          <cell r="B81">
            <v>7.42</v>
          </cell>
          <cell r="C81">
            <v>7.64</v>
          </cell>
          <cell r="D81">
            <v>7.36</v>
          </cell>
          <cell r="E81">
            <v>7.4</v>
          </cell>
          <cell r="F81">
            <v>4.070556309362372E-3</v>
          </cell>
          <cell r="G81">
            <v>85155</v>
          </cell>
          <cell r="H81">
            <v>630998.55000000005</v>
          </cell>
          <cell r="I81">
            <v>11.077999999999999</v>
          </cell>
          <cell r="J81">
            <v>11.145</v>
          </cell>
          <cell r="K81">
            <v>11.111499999999999</v>
          </cell>
        </row>
        <row r="82">
          <cell r="A82">
            <v>38443</v>
          </cell>
          <cell r="B82">
            <v>7.6</v>
          </cell>
          <cell r="C82">
            <v>7.6</v>
          </cell>
          <cell r="D82">
            <v>7.4</v>
          </cell>
          <cell r="E82">
            <v>7.44</v>
          </cell>
          <cell r="F82">
            <v>5.4054054054053502E-3</v>
          </cell>
          <cell r="G82">
            <v>50774</v>
          </cell>
          <cell r="H82">
            <v>381820.48</v>
          </cell>
          <cell r="I82">
            <v>11.076000000000001</v>
          </cell>
          <cell r="J82">
            <v>11.143000000000001</v>
          </cell>
          <cell r="K82">
            <v>11.109500000000001</v>
          </cell>
        </row>
        <row r="83">
          <cell r="A83">
            <v>38446</v>
          </cell>
          <cell r="B83">
            <v>7.4</v>
          </cell>
          <cell r="C83">
            <v>7.49</v>
          </cell>
          <cell r="D83">
            <v>7.38</v>
          </cell>
          <cell r="E83">
            <v>7.39</v>
          </cell>
          <cell r="F83">
            <v>-6.7204301075269868E-3</v>
          </cell>
          <cell r="G83">
            <v>62795</v>
          </cell>
          <cell r="H83">
            <v>464369.02499999997</v>
          </cell>
          <cell r="I83">
            <v>11.058</v>
          </cell>
          <cell r="J83">
            <v>11.124000000000001</v>
          </cell>
          <cell r="K83">
            <v>11.091000000000001</v>
          </cell>
        </row>
        <row r="84">
          <cell r="A84">
            <v>38447</v>
          </cell>
          <cell r="B84">
            <v>7.5</v>
          </cell>
          <cell r="C84">
            <v>7.5</v>
          </cell>
          <cell r="D84">
            <v>7.39</v>
          </cell>
          <cell r="E84">
            <v>7.5</v>
          </cell>
          <cell r="F84">
            <v>1.4884979702300516E-2</v>
          </cell>
          <cell r="G84">
            <v>19351</v>
          </cell>
          <cell r="H84">
            <v>145132.5</v>
          </cell>
          <cell r="I84">
            <v>11.055999999999999</v>
          </cell>
          <cell r="J84">
            <v>11.122999999999999</v>
          </cell>
          <cell r="K84">
            <v>11.089499999999999</v>
          </cell>
        </row>
        <row r="85">
          <cell r="A85">
            <v>38448</v>
          </cell>
          <cell r="B85">
            <v>7.5</v>
          </cell>
          <cell r="C85">
            <v>7.51</v>
          </cell>
          <cell r="D85">
            <v>7.41</v>
          </cell>
          <cell r="E85">
            <v>7.41</v>
          </cell>
          <cell r="F85">
            <v>-1.2000000000000011E-2</v>
          </cell>
          <cell r="G85">
            <v>51168</v>
          </cell>
          <cell r="H85">
            <v>381457.44</v>
          </cell>
          <cell r="I85">
            <v>11.058999999999999</v>
          </cell>
          <cell r="J85">
            <v>11.125999999999999</v>
          </cell>
          <cell r="K85">
            <v>11.092499999999999</v>
          </cell>
        </row>
        <row r="86">
          <cell r="A86">
            <v>38449</v>
          </cell>
          <cell r="B86">
            <v>7.5</v>
          </cell>
          <cell r="C86">
            <v>7.55</v>
          </cell>
          <cell r="D86">
            <v>7.4</v>
          </cell>
          <cell r="E86">
            <v>7.48</v>
          </cell>
          <cell r="F86">
            <v>9.4466936572199511E-3</v>
          </cell>
          <cell r="G86">
            <v>133271</v>
          </cell>
          <cell r="H86">
            <v>998199.79</v>
          </cell>
          <cell r="I86">
            <v>11.066000000000001</v>
          </cell>
          <cell r="J86">
            <v>11.132999999999999</v>
          </cell>
          <cell r="K86">
            <v>11.099499999999999</v>
          </cell>
        </row>
        <row r="87">
          <cell r="A87">
            <v>38450</v>
          </cell>
          <cell r="B87">
            <v>7.52</v>
          </cell>
          <cell r="C87">
            <v>7.76</v>
          </cell>
          <cell r="D87">
            <v>7.5</v>
          </cell>
          <cell r="E87">
            <v>7.6</v>
          </cell>
          <cell r="F87">
            <v>1.6042780748662944E-2</v>
          </cell>
          <cell r="G87">
            <v>322297</v>
          </cell>
          <cell r="H87">
            <v>2436565.3199999998</v>
          </cell>
          <cell r="I87">
            <v>11.055999999999999</v>
          </cell>
          <cell r="J87">
            <v>11.122999999999999</v>
          </cell>
          <cell r="K87">
            <v>11.089499999999999</v>
          </cell>
        </row>
        <row r="88">
          <cell r="A88">
            <v>38453</v>
          </cell>
          <cell r="B88">
            <v>7.59</v>
          </cell>
          <cell r="C88">
            <v>7.6</v>
          </cell>
          <cell r="D88">
            <v>7.49</v>
          </cell>
          <cell r="E88">
            <v>7.49</v>
          </cell>
          <cell r="F88">
            <v>-1.4473684210526194E-2</v>
          </cell>
          <cell r="G88">
            <v>55867</v>
          </cell>
          <cell r="H88">
            <v>421237.18</v>
          </cell>
          <cell r="I88">
            <v>11.074999999999999</v>
          </cell>
          <cell r="J88">
            <v>11.141999999999999</v>
          </cell>
          <cell r="K88">
            <v>11.108499999999999</v>
          </cell>
        </row>
        <row r="89">
          <cell r="A89">
            <v>38454</v>
          </cell>
          <cell r="B89">
            <v>7.6</v>
          </cell>
          <cell r="C89">
            <v>7.65</v>
          </cell>
          <cell r="D89">
            <v>7.5</v>
          </cell>
          <cell r="E89">
            <v>7.51</v>
          </cell>
          <cell r="F89">
            <v>2.6702269692924219E-3</v>
          </cell>
          <cell r="G89">
            <v>13181</v>
          </cell>
          <cell r="H89">
            <v>99582.455000000002</v>
          </cell>
          <cell r="I89">
            <v>11.061</v>
          </cell>
          <cell r="J89">
            <v>11.127000000000001</v>
          </cell>
          <cell r="K89">
            <v>11.094000000000001</v>
          </cell>
        </row>
        <row r="90">
          <cell r="A90">
            <v>38455</v>
          </cell>
          <cell r="B90">
            <v>7.52</v>
          </cell>
          <cell r="C90">
            <v>7.6</v>
          </cell>
          <cell r="D90">
            <v>7.49</v>
          </cell>
          <cell r="E90">
            <v>7.58</v>
          </cell>
          <cell r="F90">
            <v>9.320905459387463E-3</v>
          </cell>
          <cell r="G90">
            <v>41640</v>
          </cell>
          <cell r="H90">
            <v>314382</v>
          </cell>
          <cell r="I90">
            <v>11.06</v>
          </cell>
          <cell r="J90">
            <v>11.125999999999999</v>
          </cell>
          <cell r="K90">
            <v>11.093</v>
          </cell>
        </row>
        <row r="91">
          <cell r="A91">
            <v>38456</v>
          </cell>
          <cell r="B91">
            <v>7.52</v>
          </cell>
          <cell r="C91">
            <v>7.57</v>
          </cell>
          <cell r="D91">
            <v>7.5</v>
          </cell>
          <cell r="E91">
            <v>7.57</v>
          </cell>
          <cell r="F91">
            <v>-1.3192612137202797E-3</v>
          </cell>
          <cell r="G91">
            <v>7195</v>
          </cell>
          <cell r="H91">
            <v>54286.275000000001</v>
          </cell>
          <cell r="I91">
            <v>11.047000000000001</v>
          </cell>
          <cell r="J91">
            <v>11.113</v>
          </cell>
          <cell r="K91">
            <v>11.08</v>
          </cell>
        </row>
        <row r="92">
          <cell r="A92">
            <v>38457</v>
          </cell>
          <cell r="B92">
            <v>7.53</v>
          </cell>
          <cell r="C92">
            <v>7.53</v>
          </cell>
          <cell r="D92">
            <v>7.48</v>
          </cell>
          <cell r="E92">
            <v>7.48</v>
          </cell>
          <cell r="F92">
            <v>-1.1889035667106973E-2</v>
          </cell>
          <cell r="G92">
            <v>27363</v>
          </cell>
          <cell r="H92">
            <v>205359.31500000003</v>
          </cell>
          <cell r="I92">
            <v>11.07</v>
          </cell>
          <cell r="J92">
            <v>11.135999999999999</v>
          </cell>
          <cell r="K92">
            <v>11.103</v>
          </cell>
        </row>
        <row r="93">
          <cell r="A93">
            <v>38460</v>
          </cell>
          <cell r="B93">
            <v>7.66</v>
          </cell>
          <cell r="C93">
            <v>7.66</v>
          </cell>
          <cell r="D93">
            <v>7.35</v>
          </cell>
          <cell r="E93">
            <v>7.44</v>
          </cell>
          <cell r="F93">
            <v>-5.3475935828877219E-3</v>
          </cell>
          <cell r="G93">
            <v>137507</v>
          </cell>
          <cell r="H93">
            <v>1038177.8500000001</v>
          </cell>
          <cell r="I93">
            <v>11.077999999999999</v>
          </cell>
          <cell r="J93">
            <v>11.145</v>
          </cell>
          <cell r="K93">
            <v>11.111499999999999</v>
          </cell>
        </row>
        <row r="94">
          <cell r="A94">
            <v>38461</v>
          </cell>
          <cell r="B94">
            <v>7.49</v>
          </cell>
          <cell r="C94">
            <v>7.5</v>
          </cell>
          <cell r="D94">
            <v>7.37</v>
          </cell>
          <cell r="E94">
            <v>7.38</v>
          </cell>
          <cell r="F94">
            <v>-8.0645161290323619E-3</v>
          </cell>
          <cell r="G94">
            <v>65710</v>
          </cell>
          <cell r="H94">
            <v>488553.85000000003</v>
          </cell>
          <cell r="I94">
            <v>11.082000000000001</v>
          </cell>
          <cell r="J94">
            <v>11.148</v>
          </cell>
          <cell r="K94">
            <v>11.115</v>
          </cell>
        </row>
        <row r="95">
          <cell r="A95">
            <v>38462</v>
          </cell>
          <cell r="B95">
            <v>7.5</v>
          </cell>
          <cell r="C95">
            <v>7.5</v>
          </cell>
          <cell r="D95">
            <v>7.42</v>
          </cell>
          <cell r="E95">
            <v>7.45</v>
          </cell>
          <cell r="F95">
            <v>9.4850948509486166E-3</v>
          </cell>
          <cell r="G95">
            <v>31411</v>
          </cell>
          <cell r="H95">
            <v>234797.22499999998</v>
          </cell>
          <cell r="I95">
            <v>11.087</v>
          </cell>
          <cell r="J95">
            <v>11.154</v>
          </cell>
          <cell r="K95">
            <v>11.1205</v>
          </cell>
        </row>
        <row r="96">
          <cell r="A96">
            <v>38463</v>
          </cell>
          <cell r="B96">
            <v>7.49</v>
          </cell>
          <cell r="C96">
            <v>7.65</v>
          </cell>
          <cell r="D96">
            <v>7.44</v>
          </cell>
          <cell r="E96">
            <v>7.5</v>
          </cell>
          <cell r="F96">
            <v>6.7114093959730337E-3</v>
          </cell>
          <cell r="G96">
            <v>36590</v>
          </cell>
          <cell r="H96">
            <v>274242.05</v>
          </cell>
          <cell r="I96">
            <v>11.087</v>
          </cell>
          <cell r="J96">
            <v>11.154</v>
          </cell>
          <cell r="K96">
            <v>11.1205</v>
          </cell>
        </row>
        <row r="97">
          <cell r="A97">
            <v>38464</v>
          </cell>
          <cell r="B97">
            <v>7.6</v>
          </cell>
          <cell r="C97">
            <v>7.6</v>
          </cell>
          <cell r="D97">
            <v>7.45</v>
          </cell>
          <cell r="E97">
            <v>7.5</v>
          </cell>
          <cell r="F97">
            <v>0</v>
          </cell>
          <cell r="G97">
            <v>13634</v>
          </cell>
          <cell r="H97">
            <v>102936.7</v>
          </cell>
          <cell r="I97">
            <v>11.087</v>
          </cell>
          <cell r="J97">
            <v>11.154</v>
          </cell>
          <cell r="K97">
            <v>11.1205</v>
          </cell>
        </row>
        <row r="98">
          <cell r="A98">
            <v>38467</v>
          </cell>
          <cell r="B98">
            <v>7.7</v>
          </cell>
          <cell r="C98">
            <v>7.7</v>
          </cell>
          <cell r="D98">
            <v>7.42</v>
          </cell>
          <cell r="E98">
            <v>7.42</v>
          </cell>
          <cell r="F98">
            <v>-1.0666666666666713E-2</v>
          </cell>
          <cell r="G98">
            <v>32494</v>
          </cell>
          <cell r="H98">
            <v>245654.64</v>
          </cell>
          <cell r="I98">
            <v>11.076000000000001</v>
          </cell>
          <cell r="J98">
            <v>11.141999999999999</v>
          </cell>
          <cell r="K98">
            <v>11.109</v>
          </cell>
        </row>
        <row r="99">
          <cell r="A99">
            <v>38468</v>
          </cell>
          <cell r="B99">
            <v>7.51</v>
          </cell>
          <cell r="C99">
            <v>7.51</v>
          </cell>
          <cell r="D99">
            <v>7.39</v>
          </cell>
          <cell r="E99">
            <v>7.48</v>
          </cell>
          <cell r="F99">
            <v>8.0862533692722671E-3</v>
          </cell>
          <cell r="G99">
            <v>56136</v>
          </cell>
          <cell r="H99">
            <v>420739.32</v>
          </cell>
          <cell r="I99">
            <v>11.076000000000001</v>
          </cell>
          <cell r="J99">
            <v>11.141999999999999</v>
          </cell>
          <cell r="K99">
            <v>11.109</v>
          </cell>
        </row>
        <row r="100">
          <cell r="A100">
            <v>38469</v>
          </cell>
          <cell r="B100">
            <v>7.48</v>
          </cell>
          <cell r="C100">
            <v>7.48</v>
          </cell>
          <cell r="D100">
            <v>7.15</v>
          </cell>
          <cell r="E100">
            <v>7.27</v>
          </cell>
          <cell r="F100">
            <v>-2.807486631016054E-2</v>
          </cell>
          <cell r="G100">
            <v>246949</v>
          </cell>
          <cell r="H100">
            <v>1821248.875</v>
          </cell>
          <cell r="I100">
            <v>11.077</v>
          </cell>
          <cell r="J100">
            <v>11.144</v>
          </cell>
          <cell r="K100">
            <v>11.1105</v>
          </cell>
        </row>
        <row r="101">
          <cell r="A101">
            <v>38470</v>
          </cell>
          <cell r="B101">
            <v>7.5</v>
          </cell>
          <cell r="C101">
            <v>7.7</v>
          </cell>
          <cell r="D101">
            <v>7.31</v>
          </cell>
          <cell r="E101">
            <v>7.48</v>
          </cell>
          <cell r="F101">
            <v>2.8885832187070193E-2</v>
          </cell>
          <cell r="G101">
            <v>521351</v>
          </cell>
          <cell r="H101">
            <v>3904918.99</v>
          </cell>
          <cell r="I101">
            <v>11.067</v>
          </cell>
          <cell r="J101">
            <v>11.134</v>
          </cell>
          <cell r="K101">
            <v>11.1005</v>
          </cell>
        </row>
        <row r="102">
          <cell r="A102">
            <v>38471</v>
          </cell>
          <cell r="B102">
            <v>7.45</v>
          </cell>
          <cell r="C102">
            <v>7.65</v>
          </cell>
          <cell r="D102">
            <v>7.4</v>
          </cell>
          <cell r="E102">
            <v>7.55</v>
          </cell>
          <cell r="F102">
            <v>9.3582887700534023E-3</v>
          </cell>
          <cell r="G102">
            <v>1006961</v>
          </cell>
          <cell r="H102">
            <v>7552207.5</v>
          </cell>
          <cell r="I102">
            <v>11.069000000000001</v>
          </cell>
          <cell r="J102">
            <v>11.135</v>
          </cell>
          <cell r="K102">
            <v>11.102</v>
          </cell>
        </row>
        <row r="103">
          <cell r="A103">
            <v>38474</v>
          </cell>
          <cell r="B103">
            <v>7.89</v>
          </cell>
          <cell r="C103">
            <v>7.89</v>
          </cell>
          <cell r="D103">
            <v>7.6</v>
          </cell>
          <cell r="E103">
            <v>7.86</v>
          </cell>
          <cell r="F103">
            <v>4.1059602649006655E-2</v>
          </cell>
          <cell r="G103">
            <v>190453</v>
          </cell>
          <cell r="H103">
            <v>1499817.375</v>
          </cell>
          <cell r="I103">
            <v>11.055999999999999</v>
          </cell>
          <cell r="J103">
            <v>11.122</v>
          </cell>
          <cell r="K103">
            <v>11.088999999999999</v>
          </cell>
        </row>
        <row r="104">
          <cell r="A104">
            <v>38475</v>
          </cell>
          <cell r="B104">
            <v>7.85</v>
          </cell>
          <cell r="C104">
            <v>7.85</v>
          </cell>
          <cell r="D104">
            <v>7.7</v>
          </cell>
          <cell r="E104">
            <v>7.7</v>
          </cell>
          <cell r="F104">
            <v>-2.0356234096692183E-2</v>
          </cell>
          <cell r="G104">
            <v>90481</v>
          </cell>
          <cell r="H104">
            <v>703489.77500000002</v>
          </cell>
          <cell r="I104">
            <v>11.063000000000001</v>
          </cell>
          <cell r="J104">
            <v>11.129</v>
          </cell>
          <cell r="K104">
            <v>11.096</v>
          </cell>
        </row>
        <row r="105">
          <cell r="A105">
            <v>38476</v>
          </cell>
          <cell r="B105">
            <v>7.46</v>
          </cell>
          <cell r="C105">
            <v>7.46</v>
          </cell>
          <cell r="D105">
            <v>7.3</v>
          </cell>
          <cell r="E105">
            <v>7.46</v>
          </cell>
          <cell r="F105">
            <v>-3.1168831168831179E-2</v>
          </cell>
          <cell r="G105">
            <v>96822</v>
          </cell>
          <cell r="H105">
            <v>722292.12</v>
          </cell>
          <cell r="I105">
            <v>11.071999999999999</v>
          </cell>
          <cell r="J105">
            <v>11.138999999999999</v>
          </cell>
          <cell r="K105">
            <v>11.105499999999999</v>
          </cell>
        </row>
        <row r="106">
          <cell r="A106">
            <v>38477</v>
          </cell>
          <cell r="B106">
            <v>7.46</v>
          </cell>
          <cell r="C106">
            <v>7.56</v>
          </cell>
          <cell r="D106">
            <v>7.43</v>
          </cell>
          <cell r="E106">
            <v>7.55</v>
          </cell>
          <cell r="F106">
            <v>1.2064343163538771E-2</v>
          </cell>
          <cell r="G106">
            <v>47502</v>
          </cell>
          <cell r="H106">
            <v>356502.51</v>
          </cell>
          <cell r="I106">
            <v>11.073</v>
          </cell>
          <cell r="J106">
            <v>11.138999999999999</v>
          </cell>
          <cell r="K106">
            <v>11.106</v>
          </cell>
        </row>
        <row r="107">
          <cell r="A107">
            <v>38478</v>
          </cell>
          <cell r="B107">
            <v>7.54</v>
          </cell>
          <cell r="C107">
            <v>7.56</v>
          </cell>
          <cell r="D107">
            <v>7.5</v>
          </cell>
          <cell r="E107">
            <v>7.56</v>
          </cell>
          <cell r="F107">
            <v>1.3245033112583293E-3</v>
          </cell>
          <cell r="G107">
            <v>39938</v>
          </cell>
          <cell r="H107">
            <v>301531.89999999997</v>
          </cell>
          <cell r="I107">
            <v>11.058</v>
          </cell>
          <cell r="J107">
            <v>11.125</v>
          </cell>
          <cell r="K107">
            <v>11.0915</v>
          </cell>
        </row>
        <row r="108">
          <cell r="A108">
            <v>38481</v>
          </cell>
          <cell r="B108">
            <v>7.52</v>
          </cell>
          <cell r="C108">
            <v>7.6</v>
          </cell>
          <cell r="D108">
            <v>7.47</v>
          </cell>
          <cell r="E108">
            <v>7.6</v>
          </cell>
          <cell r="F108">
            <v>5.2910052910053462E-3</v>
          </cell>
          <cell r="G108">
            <v>92084</v>
          </cell>
          <cell r="H108">
            <v>696155.03999999992</v>
          </cell>
          <cell r="I108">
            <v>11.052</v>
          </cell>
          <cell r="J108">
            <v>11.118</v>
          </cell>
          <cell r="K108">
            <v>11.085000000000001</v>
          </cell>
        </row>
        <row r="109">
          <cell r="A109">
            <v>38482</v>
          </cell>
          <cell r="B109">
            <v>7.6</v>
          </cell>
          <cell r="C109">
            <v>7.85</v>
          </cell>
          <cell r="D109">
            <v>7.6</v>
          </cell>
          <cell r="E109">
            <v>7.82</v>
          </cell>
          <cell r="F109">
            <v>2.8947368421052611E-2</v>
          </cell>
          <cell r="G109">
            <v>620634</v>
          </cell>
          <cell r="H109">
            <v>4785088.1399999997</v>
          </cell>
          <cell r="I109">
            <v>11.06</v>
          </cell>
          <cell r="J109">
            <v>11.125999999999999</v>
          </cell>
          <cell r="K109">
            <v>11.093</v>
          </cell>
        </row>
        <row r="110">
          <cell r="A110">
            <v>38483</v>
          </cell>
          <cell r="B110">
            <v>7.8</v>
          </cell>
          <cell r="C110">
            <v>7.8</v>
          </cell>
          <cell r="D110">
            <v>7.6</v>
          </cell>
          <cell r="E110">
            <v>7.63</v>
          </cell>
          <cell r="F110">
            <v>-2.4296675191815886E-2</v>
          </cell>
          <cell r="G110">
            <v>46148</v>
          </cell>
          <cell r="H110">
            <v>356031.82</v>
          </cell>
          <cell r="I110">
            <v>11.048</v>
          </cell>
          <cell r="J110">
            <v>11.114000000000001</v>
          </cell>
          <cell r="K110">
            <v>11.081</v>
          </cell>
        </row>
        <row r="111">
          <cell r="A111">
            <v>38484</v>
          </cell>
          <cell r="B111">
            <v>7.64</v>
          </cell>
          <cell r="C111">
            <v>7.64</v>
          </cell>
          <cell r="D111">
            <v>7.52</v>
          </cell>
          <cell r="E111">
            <v>7.55</v>
          </cell>
          <cell r="F111">
            <v>-1.0484927916120546E-2</v>
          </cell>
          <cell r="G111">
            <v>50873</v>
          </cell>
          <cell r="H111">
            <v>386380.435</v>
          </cell>
          <cell r="I111">
            <v>11.035</v>
          </cell>
          <cell r="J111">
            <v>11.101000000000001</v>
          </cell>
          <cell r="K111">
            <v>11.068000000000001</v>
          </cell>
        </row>
        <row r="112">
          <cell r="A112">
            <v>38485</v>
          </cell>
          <cell r="B112">
            <v>7.64</v>
          </cell>
          <cell r="C112">
            <v>7.64</v>
          </cell>
          <cell r="D112">
            <v>7.52</v>
          </cell>
          <cell r="E112">
            <v>7.55</v>
          </cell>
          <cell r="F112">
            <v>0</v>
          </cell>
          <cell r="G112">
            <v>30285</v>
          </cell>
          <cell r="H112">
            <v>230014.57499999998</v>
          </cell>
          <cell r="I112">
            <v>11.022</v>
          </cell>
          <cell r="J112">
            <v>11.087999999999999</v>
          </cell>
          <cell r="K112">
            <v>11.055</v>
          </cell>
        </row>
        <row r="113">
          <cell r="A113">
            <v>38488</v>
          </cell>
          <cell r="B113">
            <v>7.62</v>
          </cell>
          <cell r="C113">
            <v>7.62</v>
          </cell>
          <cell r="D113">
            <v>7.43</v>
          </cell>
          <cell r="E113">
            <v>7.45</v>
          </cell>
          <cell r="F113">
            <v>-1.3245033112582738E-2</v>
          </cell>
          <cell r="G113">
            <v>35462</v>
          </cell>
          <cell r="H113">
            <v>267206.17</v>
          </cell>
          <cell r="I113">
            <v>11.023</v>
          </cell>
          <cell r="J113">
            <v>11.089</v>
          </cell>
          <cell r="K113">
            <v>11.056000000000001</v>
          </cell>
        </row>
        <row r="114">
          <cell r="A114">
            <v>38489</v>
          </cell>
          <cell r="B114">
            <v>7.64</v>
          </cell>
          <cell r="C114">
            <v>7.64</v>
          </cell>
          <cell r="D114">
            <v>7.43</v>
          </cell>
          <cell r="E114">
            <v>7.53</v>
          </cell>
          <cell r="F114">
            <v>1.0738255033557076E-2</v>
          </cell>
          <cell r="G114">
            <v>123494</v>
          </cell>
          <cell r="H114">
            <v>936701.99</v>
          </cell>
          <cell r="I114">
            <v>11.021000000000001</v>
          </cell>
          <cell r="J114">
            <v>11.087</v>
          </cell>
          <cell r="K114">
            <v>11.054</v>
          </cell>
        </row>
        <row r="115">
          <cell r="A115">
            <v>38490</v>
          </cell>
          <cell r="B115">
            <v>7.5</v>
          </cell>
          <cell r="C115">
            <v>7.59</v>
          </cell>
          <cell r="D115">
            <v>7.5</v>
          </cell>
          <cell r="E115">
            <v>7.55</v>
          </cell>
          <cell r="F115">
            <v>2.6560424966799445E-3</v>
          </cell>
          <cell r="G115">
            <v>139462</v>
          </cell>
          <cell r="H115">
            <v>1049451.55</v>
          </cell>
          <cell r="I115">
            <v>11.019</v>
          </cell>
          <cell r="J115">
            <v>11.086</v>
          </cell>
          <cell r="K115">
            <v>11.0525</v>
          </cell>
        </row>
        <row r="116">
          <cell r="A116">
            <v>38491</v>
          </cell>
          <cell r="B116">
            <v>7.6</v>
          </cell>
          <cell r="C116">
            <v>7.65</v>
          </cell>
          <cell r="D116">
            <v>7.53</v>
          </cell>
          <cell r="E116">
            <v>7.55</v>
          </cell>
          <cell r="F116">
            <v>0</v>
          </cell>
          <cell r="G116">
            <v>160206</v>
          </cell>
          <cell r="H116">
            <v>1213560.45</v>
          </cell>
          <cell r="I116">
            <v>11.021000000000001</v>
          </cell>
          <cell r="J116">
            <v>11.087999999999999</v>
          </cell>
          <cell r="K116">
            <v>11.054500000000001</v>
          </cell>
        </row>
        <row r="117">
          <cell r="A117">
            <v>38492</v>
          </cell>
          <cell r="B117">
            <v>7.56</v>
          </cell>
          <cell r="C117">
            <v>7.6</v>
          </cell>
          <cell r="D117">
            <v>7.51</v>
          </cell>
          <cell r="E117">
            <v>7.51</v>
          </cell>
          <cell r="F117">
            <v>-5.2980132450330952E-3</v>
          </cell>
          <cell r="G117">
            <v>16171</v>
          </cell>
          <cell r="H117">
            <v>121848.485</v>
          </cell>
          <cell r="I117">
            <v>11.007999999999999</v>
          </cell>
          <cell r="J117">
            <v>11.074</v>
          </cell>
          <cell r="K117">
            <v>11.041</v>
          </cell>
        </row>
        <row r="118">
          <cell r="A118">
            <v>38495</v>
          </cell>
          <cell r="B118">
            <v>7.53</v>
          </cell>
          <cell r="C118">
            <v>7.53</v>
          </cell>
          <cell r="D118">
            <v>7.47</v>
          </cell>
          <cell r="E118">
            <v>7.5</v>
          </cell>
          <cell r="F118">
            <v>-1.3315579227696217E-3</v>
          </cell>
          <cell r="G118">
            <v>47487</v>
          </cell>
          <cell r="H118">
            <v>356864.80500000005</v>
          </cell>
          <cell r="I118">
            <v>11.013</v>
          </cell>
          <cell r="J118">
            <v>11.079000000000001</v>
          </cell>
          <cell r="K118">
            <v>11.045999999999999</v>
          </cell>
        </row>
        <row r="119">
          <cell r="A119">
            <v>38496</v>
          </cell>
          <cell r="B119">
            <v>7.53</v>
          </cell>
          <cell r="C119">
            <v>7.53</v>
          </cell>
          <cell r="D119">
            <v>7.48</v>
          </cell>
          <cell r="E119">
            <v>7.52</v>
          </cell>
          <cell r="F119">
            <v>2.666666666666595E-3</v>
          </cell>
          <cell r="G119">
            <v>48995</v>
          </cell>
          <cell r="H119">
            <v>368687.375</v>
          </cell>
          <cell r="I119">
            <v>11.015000000000001</v>
          </cell>
          <cell r="J119">
            <v>11.081</v>
          </cell>
          <cell r="K119">
            <v>11.048</v>
          </cell>
        </row>
        <row r="120">
          <cell r="A120">
            <v>38497</v>
          </cell>
          <cell r="B120">
            <v>7.52</v>
          </cell>
          <cell r="C120">
            <v>7.52</v>
          </cell>
          <cell r="D120">
            <v>7.42</v>
          </cell>
          <cell r="E120">
            <v>7.48</v>
          </cell>
          <cell r="F120">
            <v>-5.3191489361701372E-3</v>
          </cell>
          <cell r="G120">
            <v>29401</v>
          </cell>
          <cell r="H120">
            <v>220507.5</v>
          </cell>
          <cell r="I120">
            <v>11.018000000000001</v>
          </cell>
          <cell r="J120">
            <v>11.084</v>
          </cell>
          <cell r="K120">
            <v>11.051</v>
          </cell>
        </row>
        <row r="121">
          <cell r="A121">
            <v>38498</v>
          </cell>
          <cell r="B121">
            <v>7.48</v>
          </cell>
          <cell r="C121">
            <v>7.52</v>
          </cell>
          <cell r="D121">
            <v>7.4</v>
          </cell>
          <cell r="E121">
            <v>7.5</v>
          </cell>
          <cell r="F121">
            <v>2.673796791443861E-3</v>
          </cell>
          <cell r="G121">
            <v>98125</v>
          </cell>
          <cell r="H121">
            <v>734956.25</v>
          </cell>
          <cell r="I121">
            <v>11.004</v>
          </cell>
          <cell r="J121">
            <v>11.07</v>
          </cell>
          <cell r="K121">
            <v>11.036999999999999</v>
          </cell>
        </row>
        <row r="122">
          <cell r="A122">
            <v>38499</v>
          </cell>
          <cell r="B122">
            <v>7.46</v>
          </cell>
          <cell r="C122">
            <v>7.52</v>
          </cell>
          <cell r="D122">
            <v>7.43</v>
          </cell>
          <cell r="E122">
            <v>7.52</v>
          </cell>
          <cell r="F122">
            <v>2.666666666666595E-3</v>
          </cell>
          <cell r="G122">
            <v>27761</v>
          </cell>
          <cell r="H122">
            <v>207929.89</v>
          </cell>
          <cell r="I122">
            <v>11.006</v>
          </cell>
          <cell r="J122">
            <v>11.071999999999999</v>
          </cell>
          <cell r="K122">
            <v>11.039</v>
          </cell>
        </row>
        <row r="123">
          <cell r="A123">
            <v>38502</v>
          </cell>
          <cell r="B123">
            <v>7.55</v>
          </cell>
          <cell r="C123">
            <v>7.63</v>
          </cell>
          <cell r="D123">
            <v>7.52</v>
          </cell>
          <cell r="E123">
            <v>7.6</v>
          </cell>
          <cell r="F123">
            <v>1.0638297872340496E-2</v>
          </cell>
          <cell r="G123">
            <v>47570</v>
          </cell>
          <cell r="H123">
            <v>360342.74999999994</v>
          </cell>
          <cell r="I123">
            <v>10.994</v>
          </cell>
          <cell r="J123">
            <v>11.06</v>
          </cell>
          <cell r="K123">
            <v>11.027000000000001</v>
          </cell>
        </row>
        <row r="124">
          <cell r="A124">
            <v>38503</v>
          </cell>
          <cell r="B124">
            <v>7.55</v>
          </cell>
          <cell r="C124">
            <v>7.8</v>
          </cell>
          <cell r="D124">
            <v>7.55</v>
          </cell>
          <cell r="E124">
            <v>7.8</v>
          </cell>
          <cell r="F124">
            <v>2.6315789473684292E-2</v>
          </cell>
          <cell r="G124">
            <v>137052</v>
          </cell>
          <cell r="H124">
            <v>1051874.0999999999</v>
          </cell>
          <cell r="I124">
            <v>10.972</v>
          </cell>
          <cell r="J124">
            <v>11.038</v>
          </cell>
          <cell r="K124">
            <v>11.004999999999999</v>
          </cell>
        </row>
        <row r="125">
          <cell r="A125">
            <v>38504</v>
          </cell>
          <cell r="B125">
            <v>7.74</v>
          </cell>
          <cell r="C125">
            <v>7.74</v>
          </cell>
          <cell r="D125">
            <v>7.61</v>
          </cell>
          <cell r="E125">
            <v>7.72</v>
          </cell>
          <cell r="F125">
            <v>-1.025641025641022E-2</v>
          </cell>
          <cell r="G125">
            <v>43024</v>
          </cell>
          <cell r="H125">
            <v>332575.52</v>
          </cell>
          <cell r="I125">
            <v>10.956</v>
          </cell>
          <cell r="J125">
            <v>11.022</v>
          </cell>
          <cell r="K125">
            <v>10.989000000000001</v>
          </cell>
        </row>
        <row r="126">
          <cell r="A126">
            <v>38505</v>
          </cell>
          <cell r="B126">
            <v>7.67</v>
          </cell>
          <cell r="C126">
            <v>7.72</v>
          </cell>
          <cell r="D126">
            <v>7.65</v>
          </cell>
          <cell r="E126">
            <v>7.7</v>
          </cell>
          <cell r="F126">
            <v>-2.5906735751294319E-3</v>
          </cell>
          <cell r="G126">
            <v>21303</v>
          </cell>
          <cell r="H126">
            <v>163713.55500000002</v>
          </cell>
          <cell r="I126">
            <v>10.956</v>
          </cell>
          <cell r="J126">
            <v>11.022</v>
          </cell>
          <cell r="K126">
            <v>10.989000000000001</v>
          </cell>
        </row>
        <row r="127">
          <cell r="A127">
            <v>38506</v>
          </cell>
          <cell r="B127">
            <v>7.6</v>
          </cell>
          <cell r="C127">
            <v>7.68</v>
          </cell>
          <cell r="D127">
            <v>7.57</v>
          </cell>
          <cell r="E127">
            <v>7.57</v>
          </cell>
          <cell r="F127">
            <v>-1.6883116883116833E-2</v>
          </cell>
          <cell r="G127">
            <v>44607</v>
          </cell>
          <cell r="H127">
            <v>338344.09499999997</v>
          </cell>
          <cell r="I127">
            <v>11.007</v>
          </cell>
          <cell r="J127">
            <v>11.021000000000001</v>
          </cell>
          <cell r="K127">
            <v>11.013999999999999</v>
          </cell>
        </row>
        <row r="128">
          <cell r="A128">
            <v>38509</v>
          </cell>
          <cell r="B128">
            <v>7.6</v>
          </cell>
          <cell r="C128">
            <v>7.6</v>
          </cell>
          <cell r="D128">
            <v>7.5</v>
          </cell>
          <cell r="E128">
            <v>7.58</v>
          </cell>
          <cell r="F128">
            <v>1.3210039630118242E-3</v>
          </cell>
          <cell r="G128">
            <v>49183</v>
          </cell>
          <cell r="H128">
            <v>373298.97</v>
          </cell>
          <cell r="I128">
            <v>10.962999999999999</v>
          </cell>
          <cell r="J128">
            <v>11.029</v>
          </cell>
          <cell r="K128">
            <v>10.995999999999999</v>
          </cell>
        </row>
        <row r="129">
          <cell r="A129">
            <v>38510</v>
          </cell>
          <cell r="B129">
            <v>7.51</v>
          </cell>
          <cell r="C129">
            <v>7.6</v>
          </cell>
          <cell r="D129">
            <v>7.51</v>
          </cell>
          <cell r="E129">
            <v>7.6</v>
          </cell>
          <cell r="F129">
            <v>2.6385224274405594E-3</v>
          </cell>
          <cell r="G129">
            <v>6680</v>
          </cell>
          <cell r="H129">
            <v>50467.4</v>
          </cell>
          <cell r="I129">
            <v>10.96</v>
          </cell>
          <cell r="J129">
            <v>11.026</v>
          </cell>
          <cell r="K129">
            <v>10.993</v>
          </cell>
        </row>
        <row r="130">
          <cell r="A130">
            <v>38511</v>
          </cell>
          <cell r="B130">
            <v>7.6</v>
          </cell>
          <cell r="C130">
            <v>7.6</v>
          </cell>
          <cell r="D130">
            <v>7.52</v>
          </cell>
          <cell r="E130">
            <v>7.59</v>
          </cell>
          <cell r="F130">
            <v>-1.3157894736841591E-3</v>
          </cell>
          <cell r="G130">
            <v>15773</v>
          </cell>
          <cell r="H130">
            <v>119795.935</v>
          </cell>
          <cell r="I130">
            <v>10.97</v>
          </cell>
          <cell r="J130">
            <v>11.036</v>
          </cell>
          <cell r="K130">
            <v>11.003</v>
          </cell>
        </row>
        <row r="131">
          <cell r="A131">
            <v>38512</v>
          </cell>
          <cell r="B131">
            <v>7.59</v>
          </cell>
          <cell r="C131">
            <v>7.6</v>
          </cell>
          <cell r="D131">
            <v>7.51</v>
          </cell>
          <cell r="E131">
            <v>7.52</v>
          </cell>
          <cell r="F131">
            <v>-9.2226613965744608E-3</v>
          </cell>
          <cell r="G131">
            <v>27048</v>
          </cell>
          <cell r="H131">
            <v>204347.63999999998</v>
          </cell>
          <cell r="I131">
            <v>10.955</v>
          </cell>
          <cell r="J131">
            <v>11.021000000000001</v>
          </cell>
          <cell r="K131">
            <v>10.988</v>
          </cell>
        </row>
        <row r="132">
          <cell r="A132">
            <v>38513</v>
          </cell>
          <cell r="B132">
            <v>7.51</v>
          </cell>
          <cell r="C132">
            <v>7.55</v>
          </cell>
          <cell r="D132">
            <v>7.5</v>
          </cell>
          <cell r="E132">
            <v>7.5</v>
          </cell>
          <cell r="F132">
            <v>-2.6595744680850686E-3</v>
          </cell>
          <cell r="G132">
            <v>9190</v>
          </cell>
          <cell r="H132">
            <v>68970.95</v>
          </cell>
          <cell r="I132">
            <v>10.941000000000001</v>
          </cell>
          <cell r="J132">
            <v>11.007</v>
          </cell>
          <cell r="K132">
            <v>10.974</v>
          </cell>
        </row>
        <row r="133">
          <cell r="A133">
            <v>38516</v>
          </cell>
          <cell r="B133">
            <v>7.55</v>
          </cell>
          <cell r="C133">
            <v>7.6</v>
          </cell>
          <cell r="D133">
            <v>7.5</v>
          </cell>
          <cell r="E133">
            <v>7.59</v>
          </cell>
          <cell r="F133">
            <v>1.2000000000000011E-2</v>
          </cell>
          <cell r="G133">
            <v>17192</v>
          </cell>
          <cell r="H133">
            <v>130143.44</v>
          </cell>
          <cell r="I133">
            <v>10.920999999999999</v>
          </cell>
          <cell r="J133">
            <v>10.986000000000001</v>
          </cell>
          <cell r="K133">
            <v>10.9535</v>
          </cell>
        </row>
        <row r="134">
          <cell r="A134">
            <v>38517</v>
          </cell>
          <cell r="B134">
            <v>7.55</v>
          </cell>
          <cell r="C134">
            <v>7.66</v>
          </cell>
          <cell r="D134">
            <v>7.5</v>
          </cell>
          <cell r="E134">
            <v>7.61</v>
          </cell>
          <cell r="F134">
            <v>2.6350461133071157E-3</v>
          </cell>
          <cell r="G134">
            <v>139521</v>
          </cell>
          <cell r="H134">
            <v>1057569.18</v>
          </cell>
          <cell r="I134">
            <v>10.922000000000001</v>
          </cell>
          <cell r="J134">
            <v>10.987</v>
          </cell>
          <cell r="K134">
            <v>10.954499999999999</v>
          </cell>
        </row>
        <row r="135">
          <cell r="A135">
            <v>38518</v>
          </cell>
          <cell r="B135">
            <v>7.63</v>
          </cell>
          <cell r="C135">
            <v>7.72</v>
          </cell>
          <cell r="D135">
            <v>7.6</v>
          </cell>
          <cell r="E135">
            <v>7.72</v>
          </cell>
          <cell r="F135">
            <v>1.4454664914586024E-2</v>
          </cell>
          <cell r="G135">
            <v>85716</v>
          </cell>
          <cell r="H135">
            <v>657870.29999999993</v>
          </cell>
          <cell r="I135">
            <v>10.933</v>
          </cell>
          <cell r="J135">
            <v>10.999000000000001</v>
          </cell>
          <cell r="K135">
            <v>10.966000000000001</v>
          </cell>
        </row>
        <row r="136">
          <cell r="A136">
            <v>38519</v>
          </cell>
          <cell r="B136">
            <v>7.61</v>
          </cell>
          <cell r="C136">
            <v>7.69</v>
          </cell>
          <cell r="D136">
            <v>7.57</v>
          </cell>
          <cell r="E136">
            <v>7.69</v>
          </cell>
          <cell r="F136">
            <v>-3.8860103626942033E-3</v>
          </cell>
          <cell r="G136">
            <v>37080</v>
          </cell>
          <cell r="H136">
            <v>283662</v>
          </cell>
          <cell r="I136">
            <v>10.929</v>
          </cell>
          <cell r="J136">
            <v>10.994</v>
          </cell>
          <cell r="K136">
            <v>10.961500000000001</v>
          </cell>
        </row>
        <row r="137">
          <cell r="A137">
            <v>38520</v>
          </cell>
          <cell r="B137">
            <v>7.69</v>
          </cell>
          <cell r="C137">
            <v>7.69</v>
          </cell>
          <cell r="D137">
            <v>7.59</v>
          </cell>
          <cell r="E137">
            <v>7.6</v>
          </cell>
          <cell r="F137">
            <v>-1.1703511053316129E-2</v>
          </cell>
          <cell r="G137">
            <v>11437</v>
          </cell>
          <cell r="H137">
            <v>87435.864999999991</v>
          </cell>
          <cell r="I137">
            <v>10.95</v>
          </cell>
          <cell r="J137">
            <v>11.016</v>
          </cell>
          <cell r="K137">
            <v>10.983000000000001</v>
          </cell>
        </row>
        <row r="138">
          <cell r="A138">
            <v>38523</v>
          </cell>
          <cell r="B138">
            <v>7.58</v>
          </cell>
          <cell r="C138">
            <v>7.61</v>
          </cell>
          <cell r="D138">
            <v>7.57</v>
          </cell>
          <cell r="E138">
            <v>7.6</v>
          </cell>
          <cell r="F138">
            <v>0</v>
          </cell>
          <cell r="G138">
            <v>46831</v>
          </cell>
          <cell r="H138">
            <v>355447.29</v>
          </cell>
          <cell r="I138">
            <v>10.939</v>
          </cell>
          <cell r="J138">
            <v>11.004</v>
          </cell>
          <cell r="K138">
            <v>10.971499999999999</v>
          </cell>
        </row>
        <row r="139">
          <cell r="A139">
            <v>38524</v>
          </cell>
          <cell r="B139">
            <v>7.6</v>
          </cell>
          <cell r="C139">
            <v>7.64</v>
          </cell>
          <cell r="D139">
            <v>7.56</v>
          </cell>
          <cell r="E139">
            <v>7.64</v>
          </cell>
          <cell r="F139">
            <v>5.2631578947368585E-3</v>
          </cell>
          <cell r="G139">
            <v>157244</v>
          </cell>
          <cell r="H139">
            <v>1198199.2799999998</v>
          </cell>
          <cell r="I139">
            <v>10.933</v>
          </cell>
          <cell r="J139">
            <v>10.999000000000001</v>
          </cell>
          <cell r="K139">
            <v>10.966000000000001</v>
          </cell>
        </row>
        <row r="140">
          <cell r="A140">
            <v>38525</v>
          </cell>
          <cell r="B140">
            <v>7.65</v>
          </cell>
          <cell r="C140">
            <v>7.72</v>
          </cell>
          <cell r="D140">
            <v>7.6</v>
          </cell>
          <cell r="E140">
            <v>7.71</v>
          </cell>
          <cell r="F140">
            <v>9.162303664921545E-3</v>
          </cell>
          <cell r="G140">
            <v>773204</v>
          </cell>
          <cell r="H140">
            <v>5938206.7199999997</v>
          </cell>
          <cell r="I140">
            <v>10.936</v>
          </cell>
          <cell r="J140">
            <v>11.002000000000001</v>
          </cell>
          <cell r="K140">
            <v>10.969000000000001</v>
          </cell>
        </row>
        <row r="141">
          <cell r="A141">
            <v>38526</v>
          </cell>
          <cell r="B141">
            <v>7.71</v>
          </cell>
          <cell r="C141">
            <v>7.72</v>
          </cell>
          <cell r="D141">
            <v>7.65</v>
          </cell>
          <cell r="E141">
            <v>7.68</v>
          </cell>
          <cell r="F141">
            <v>-3.8910505836575737E-3</v>
          </cell>
          <cell r="G141">
            <v>71445</v>
          </cell>
          <cell r="H141">
            <v>549769.27500000002</v>
          </cell>
          <cell r="I141">
            <v>10.922000000000001</v>
          </cell>
          <cell r="J141">
            <v>10.987</v>
          </cell>
          <cell r="K141">
            <v>10.954499999999999</v>
          </cell>
        </row>
        <row r="142">
          <cell r="A142">
            <v>38527</v>
          </cell>
          <cell r="B142">
            <v>7.65</v>
          </cell>
          <cell r="C142">
            <v>7.65</v>
          </cell>
          <cell r="D142">
            <v>7.55</v>
          </cell>
          <cell r="E142">
            <v>7.57</v>
          </cell>
          <cell r="F142">
            <v>-1.432291666666663E-2</v>
          </cell>
          <cell r="G142">
            <v>33325</v>
          </cell>
          <cell r="H142">
            <v>253603.25</v>
          </cell>
          <cell r="I142">
            <v>10.928000000000001</v>
          </cell>
          <cell r="J142">
            <v>10.994</v>
          </cell>
          <cell r="K142">
            <v>10.961</v>
          </cell>
        </row>
        <row r="143">
          <cell r="A143">
            <v>38530</v>
          </cell>
          <cell r="B143">
            <v>7.65</v>
          </cell>
          <cell r="C143">
            <v>7.69</v>
          </cell>
          <cell r="D143">
            <v>7.57</v>
          </cell>
          <cell r="E143">
            <v>7.6</v>
          </cell>
          <cell r="F143">
            <v>3.9630118890354726E-3</v>
          </cell>
          <cell r="G143">
            <v>173341</v>
          </cell>
          <cell r="H143">
            <v>1321725.125</v>
          </cell>
          <cell r="I143">
            <v>10.943</v>
          </cell>
          <cell r="J143">
            <v>11.007999999999999</v>
          </cell>
          <cell r="K143">
            <v>10.9755</v>
          </cell>
        </row>
        <row r="144">
          <cell r="A144">
            <v>38531</v>
          </cell>
          <cell r="B144">
            <v>7.68</v>
          </cell>
          <cell r="C144">
            <v>7.68</v>
          </cell>
          <cell r="D144">
            <v>7.54</v>
          </cell>
          <cell r="E144">
            <v>7.6</v>
          </cell>
          <cell r="F144">
            <v>0</v>
          </cell>
          <cell r="G144">
            <v>92805</v>
          </cell>
          <cell r="H144">
            <v>709030.2</v>
          </cell>
          <cell r="I144">
            <v>10.928000000000001</v>
          </cell>
          <cell r="J144">
            <v>10.994</v>
          </cell>
          <cell r="K144">
            <v>10.961</v>
          </cell>
        </row>
        <row r="145">
          <cell r="A145">
            <v>38532</v>
          </cell>
          <cell r="B145">
            <v>7.62</v>
          </cell>
          <cell r="C145">
            <v>7.66</v>
          </cell>
          <cell r="D145">
            <v>7.51</v>
          </cell>
          <cell r="E145">
            <v>7.65</v>
          </cell>
          <cell r="F145">
            <v>6.5789473684212396E-3</v>
          </cell>
          <cell r="G145">
            <v>89225</v>
          </cell>
          <cell r="H145">
            <v>681232.875</v>
          </cell>
          <cell r="I145">
            <v>10.92</v>
          </cell>
          <cell r="J145">
            <v>10.986000000000001</v>
          </cell>
          <cell r="K145">
            <v>10.952999999999999</v>
          </cell>
        </row>
        <row r="146">
          <cell r="A146">
            <v>38533</v>
          </cell>
          <cell r="B146">
            <v>7.65</v>
          </cell>
          <cell r="C146">
            <v>7.7</v>
          </cell>
          <cell r="D146">
            <v>7.61</v>
          </cell>
          <cell r="E146">
            <v>7.63</v>
          </cell>
          <cell r="F146">
            <v>-2.614379084967422E-3</v>
          </cell>
          <cell r="G146">
            <v>92098</v>
          </cell>
          <cell r="H146">
            <v>703628.72000000009</v>
          </cell>
          <cell r="I146">
            <v>10.927</v>
          </cell>
          <cell r="J146">
            <v>10.993</v>
          </cell>
          <cell r="K146">
            <v>10.96</v>
          </cell>
        </row>
        <row r="147">
          <cell r="A147">
            <v>38534</v>
          </cell>
          <cell r="B147">
            <v>7.61</v>
          </cell>
          <cell r="C147">
            <v>7.7</v>
          </cell>
          <cell r="D147">
            <v>7.61</v>
          </cell>
          <cell r="E147">
            <v>7.63</v>
          </cell>
          <cell r="F147">
            <v>0</v>
          </cell>
          <cell r="G147">
            <v>36213</v>
          </cell>
          <cell r="H147">
            <v>275943.06</v>
          </cell>
          <cell r="I147">
            <v>10.917999999999999</v>
          </cell>
          <cell r="J147">
            <v>10.983000000000001</v>
          </cell>
          <cell r="K147">
            <v>10.9505</v>
          </cell>
        </row>
        <row r="148">
          <cell r="A148">
            <v>38537</v>
          </cell>
          <cell r="B148">
            <v>7.7</v>
          </cell>
          <cell r="C148">
            <v>7.71</v>
          </cell>
          <cell r="D148">
            <v>7.61</v>
          </cell>
          <cell r="E148">
            <v>7.69</v>
          </cell>
          <cell r="F148">
            <v>7.8636959370905757E-3</v>
          </cell>
          <cell r="G148">
            <v>80861</v>
          </cell>
          <cell r="H148">
            <v>622225.39500000002</v>
          </cell>
          <cell r="I148">
            <v>10.895</v>
          </cell>
          <cell r="J148">
            <v>10.961</v>
          </cell>
          <cell r="K148">
            <v>10.928000000000001</v>
          </cell>
        </row>
        <row r="149">
          <cell r="A149">
            <v>38538</v>
          </cell>
          <cell r="B149">
            <v>7.65</v>
          </cell>
          <cell r="C149">
            <v>7.7</v>
          </cell>
          <cell r="D149">
            <v>7.62</v>
          </cell>
          <cell r="E149">
            <v>7.62</v>
          </cell>
          <cell r="F149">
            <v>-9.1027308192458412E-3</v>
          </cell>
          <cell r="G149">
            <v>15055</v>
          </cell>
          <cell r="H149">
            <v>114944.925</v>
          </cell>
          <cell r="I149">
            <v>10.898</v>
          </cell>
          <cell r="J149">
            <v>10.964</v>
          </cell>
          <cell r="K149">
            <v>10.931000000000001</v>
          </cell>
        </row>
        <row r="150">
          <cell r="A150">
            <v>38539</v>
          </cell>
          <cell r="B150">
            <v>7.62</v>
          </cell>
          <cell r="C150">
            <v>7.67</v>
          </cell>
          <cell r="D150">
            <v>7.56</v>
          </cell>
          <cell r="E150">
            <v>7.57</v>
          </cell>
          <cell r="F150">
            <v>-6.5616797900261981E-3</v>
          </cell>
          <cell r="G150">
            <v>128724</v>
          </cell>
          <cell r="H150">
            <v>977658.78</v>
          </cell>
          <cell r="I150">
            <v>10.898999999999999</v>
          </cell>
          <cell r="J150">
            <v>10.964</v>
          </cell>
          <cell r="K150">
            <v>10.9315</v>
          </cell>
        </row>
        <row r="151">
          <cell r="A151">
            <v>38540</v>
          </cell>
          <cell r="B151">
            <v>7.56</v>
          </cell>
          <cell r="C151">
            <v>7.6</v>
          </cell>
          <cell r="D151">
            <v>7.36</v>
          </cell>
          <cell r="E151">
            <v>7.54</v>
          </cell>
          <cell r="F151">
            <v>-3.9630118890356947E-3</v>
          </cell>
          <cell r="G151">
            <v>130153</v>
          </cell>
          <cell r="H151">
            <v>982655.15</v>
          </cell>
          <cell r="I151">
            <v>10.9</v>
          </cell>
          <cell r="J151">
            <v>10.965999999999999</v>
          </cell>
          <cell r="K151">
            <v>10.933</v>
          </cell>
        </row>
        <row r="152">
          <cell r="A152">
            <v>38541</v>
          </cell>
          <cell r="B152">
            <v>7.55</v>
          </cell>
          <cell r="C152">
            <v>7.55</v>
          </cell>
          <cell r="D152">
            <v>7.45</v>
          </cell>
          <cell r="E152">
            <v>7.52</v>
          </cell>
          <cell r="F152">
            <v>-2.6525198938992522E-3</v>
          </cell>
          <cell r="G152">
            <v>61825</v>
          </cell>
          <cell r="H152">
            <v>465851.375</v>
          </cell>
          <cell r="I152">
            <v>10.9</v>
          </cell>
          <cell r="J152">
            <v>10.965999999999999</v>
          </cell>
          <cell r="K152">
            <v>10.933</v>
          </cell>
        </row>
        <row r="153">
          <cell r="A153">
            <v>38544</v>
          </cell>
          <cell r="B153">
            <v>7.46</v>
          </cell>
          <cell r="C153">
            <v>7.59</v>
          </cell>
          <cell r="D153">
            <v>7.45</v>
          </cell>
          <cell r="E153">
            <v>7.5</v>
          </cell>
          <cell r="F153">
            <v>-2.6595744680850686E-3</v>
          </cell>
          <cell r="G153">
            <v>296030</v>
          </cell>
          <cell r="H153">
            <v>2214304.4</v>
          </cell>
          <cell r="I153">
            <v>10.914</v>
          </cell>
          <cell r="J153">
            <v>10.98</v>
          </cell>
          <cell r="K153">
            <v>10.946999999999999</v>
          </cell>
        </row>
        <row r="154">
          <cell r="A154">
            <v>38545</v>
          </cell>
          <cell r="B154">
            <v>7.47</v>
          </cell>
          <cell r="C154">
            <v>7.6</v>
          </cell>
          <cell r="D154">
            <v>7.47</v>
          </cell>
          <cell r="E154">
            <v>7.6</v>
          </cell>
          <cell r="F154">
            <v>1.3333333333333197E-2</v>
          </cell>
          <cell r="G154">
            <v>241648</v>
          </cell>
          <cell r="H154">
            <v>1820817.68</v>
          </cell>
          <cell r="I154">
            <v>10.955</v>
          </cell>
          <cell r="J154">
            <v>10.994999999999999</v>
          </cell>
          <cell r="K154">
            <v>10.975</v>
          </cell>
        </row>
        <row r="155">
          <cell r="A155">
            <v>38546</v>
          </cell>
          <cell r="B155">
            <v>7.6</v>
          </cell>
          <cell r="C155">
            <v>7.6</v>
          </cell>
          <cell r="D155">
            <v>7.46</v>
          </cell>
          <cell r="E155">
            <v>7.5</v>
          </cell>
          <cell r="F155">
            <v>-1.3157894736842035E-2</v>
          </cell>
          <cell r="G155">
            <v>35337</v>
          </cell>
          <cell r="H155">
            <v>266794.34999999998</v>
          </cell>
          <cell r="I155">
            <v>10.933</v>
          </cell>
          <cell r="J155">
            <v>10.999000000000001</v>
          </cell>
          <cell r="K155">
            <v>10.966000000000001</v>
          </cell>
        </row>
        <row r="156">
          <cell r="A156">
            <v>38547</v>
          </cell>
          <cell r="B156">
            <v>7.55</v>
          </cell>
          <cell r="C156">
            <v>7.69</v>
          </cell>
          <cell r="D156">
            <v>7.55</v>
          </cell>
          <cell r="E156">
            <v>7.69</v>
          </cell>
          <cell r="F156">
            <v>2.533333333333343E-2</v>
          </cell>
          <cell r="G156">
            <v>136193</v>
          </cell>
          <cell r="H156">
            <v>1037790.66</v>
          </cell>
          <cell r="I156">
            <v>10.932</v>
          </cell>
          <cell r="J156">
            <v>10.997</v>
          </cell>
          <cell r="K156">
            <v>10.964500000000001</v>
          </cell>
        </row>
        <row r="157">
          <cell r="A157">
            <v>38548</v>
          </cell>
          <cell r="B157">
            <v>7.61</v>
          </cell>
          <cell r="C157">
            <v>7.68</v>
          </cell>
          <cell r="D157">
            <v>7.53</v>
          </cell>
          <cell r="E157">
            <v>7.6</v>
          </cell>
          <cell r="F157">
            <v>-1.1703511053316129E-2</v>
          </cell>
          <cell r="G157">
            <v>247793</v>
          </cell>
          <cell r="H157">
            <v>1884465.7650000001</v>
          </cell>
          <cell r="I157">
            <v>10.917999999999999</v>
          </cell>
          <cell r="J157">
            <v>10.984</v>
          </cell>
          <cell r="K157">
            <v>10.951000000000001</v>
          </cell>
        </row>
        <row r="158">
          <cell r="A158">
            <v>38551</v>
          </cell>
          <cell r="B158">
            <v>7.6</v>
          </cell>
          <cell r="C158">
            <v>7.61</v>
          </cell>
          <cell r="D158">
            <v>7.54</v>
          </cell>
          <cell r="E158">
            <v>7.54</v>
          </cell>
          <cell r="F158">
            <v>-7.8947368421051767E-3</v>
          </cell>
          <cell r="G158">
            <v>68763</v>
          </cell>
          <cell r="H158">
            <v>520535.91000000003</v>
          </cell>
          <cell r="I158">
            <v>10.922000000000001</v>
          </cell>
          <cell r="J158">
            <v>10.988</v>
          </cell>
          <cell r="K158">
            <v>10.955</v>
          </cell>
        </row>
        <row r="159">
          <cell r="A159">
            <v>38552</v>
          </cell>
          <cell r="B159">
            <v>7.6</v>
          </cell>
          <cell r="C159">
            <v>7.7</v>
          </cell>
          <cell r="D159">
            <v>7.56</v>
          </cell>
          <cell r="E159">
            <v>7.6</v>
          </cell>
          <cell r="F159">
            <v>7.9575596816976457E-3</v>
          </cell>
          <cell r="G159">
            <v>311786</v>
          </cell>
          <cell r="H159">
            <v>2369573.6</v>
          </cell>
          <cell r="I159">
            <v>10.907999999999999</v>
          </cell>
          <cell r="J159">
            <v>10.973000000000001</v>
          </cell>
          <cell r="K159">
            <v>10.9405</v>
          </cell>
        </row>
        <row r="160">
          <cell r="A160">
            <v>38553</v>
          </cell>
          <cell r="B160">
            <v>7.6</v>
          </cell>
          <cell r="C160">
            <v>7.7</v>
          </cell>
          <cell r="D160">
            <v>7.6</v>
          </cell>
          <cell r="E160">
            <v>7.65</v>
          </cell>
          <cell r="F160">
            <v>6.5789473684212396E-3</v>
          </cell>
          <cell r="G160">
            <v>198475</v>
          </cell>
          <cell r="H160">
            <v>1513371.875</v>
          </cell>
          <cell r="I160">
            <v>10.925000000000001</v>
          </cell>
          <cell r="J160">
            <v>10.991</v>
          </cell>
          <cell r="K160">
            <v>10.958</v>
          </cell>
        </row>
        <row r="161">
          <cell r="A161">
            <v>38554</v>
          </cell>
          <cell r="B161">
            <v>7.7</v>
          </cell>
          <cell r="C161">
            <v>7.7</v>
          </cell>
          <cell r="D161">
            <v>7.52</v>
          </cell>
          <cell r="E161">
            <v>7.61</v>
          </cell>
          <cell r="F161">
            <v>-5.2287581699346219E-3</v>
          </cell>
          <cell r="G161">
            <v>142220</v>
          </cell>
          <cell r="H161">
            <v>1088694.1000000001</v>
          </cell>
          <cell r="I161">
            <v>10.946999999999999</v>
          </cell>
          <cell r="J161">
            <v>11.012</v>
          </cell>
          <cell r="K161">
            <v>10.9795</v>
          </cell>
        </row>
        <row r="162">
          <cell r="A162">
            <v>38555</v>
          </cell>
          <cell r="B162">
            <v>7.7</v>
          </cell>
          <cell r="C162">
            <v>7.7</v>
          </cell>
          <cell r="D162">
            <v>7.62</v>
          </cell>
          <cell r="E162">
            <v>7.62</v>
          </cell>
          <cell r="F162">
            <v>1.3140604467805073E-3</v>
          </cell>
          <cell r="G162">
            <v>94930</v>
          </cell>
          <cell r="H162">
            <v>727163.8</v>
          </cell>
          <cell r="I162">
            <v>10.938000000000001</v>
          </cell>
          <cell r="J162">
            <v>11.004</v>
          </cell>
          <cell r="K162">
            <v>10.971</v>
          </cell>
        </row>
        <row r="163">
          <cell r="A163">
            <v>38558</v>
          </cell>
          <cell r="B163">
            <v>7.61</v>
          </cell>
          <cell r="C163">
            <v>7.73</v>
          </cell>
          <cell r="D163">
            <v>7.61</v>
          </cell>
          <cell r="E163">
            <v>7.73</v>
          </cell>
          <cell r="F163">
            <v>1.4435695538057791E-2</v>
          </cell>
          <cell r="G163">
            <v>110120</v>
          </cell>
          <cell r="H163">
            <v>844620.4</v>
          </cell>
          <cell r="I163">
            <v>10.926</v>
          </cell>
          <cell r="J163">
            <v>10.992000000000001</v>
          </cell>
          <cell r="K163">
            <v>10.959</v>
          </cell>
        </row>
        <row r="164">
          <cell r="A164">
            <v>38559</v>
          </cell>
          <cell r="B164">
            <v>7.73</v>
          </cell>
          <cell r="C164">
            <v>7.95</v>
          </cell>
          <cell r="D164">
            <v>7.57</v>
          </cell>
          <cell r="E164">
            <v>7.89</v>
          </cell>
          <cell r="F164">
            <v>2.0698576972832949E-2</v>
          </cell>
          <cell r="G164">
            <v>438319</v>
          </cell>
          <cell r="H164">
            <v>3423271.39</v>
          </cell>
          <cell r="I164">
            <v>10.913</v>
          </cell>
          <cell r="J164">
            <v>10.978999999999999</v>
          </cell>
          <cell r="K164">
            <v>10.946</v>
          </cell>
        </row>
        <row r="165">
          <cell r="A165">
            <v>38560</v>
          </cell>
          <cell r="B165">
            <v>7.82</v>
          </cell>
          <cell r="C165">
            <v>8.4</v>
          </cell>
          <cell r="D165">
            <v>7.81</v>
          </cell>
          <cell r="E165">
            <v>8.15</v>
          </cell>
          <cell r="F165">
            <v>3.2953105196451338E-2</v>
          </cell>
          <cell r="G165">
            <v>685959</v>
          </cell>
          <cell r="H165">
            <v>5477382.6150000002</v>
          </cell>
          <cell r="I165">
            <v>10.917</v>
          </cell>
          <cell r="J165">
            <v>10.978999999999999</v>
          </cell>
          <cell r="K165">
            <v>10.948</v>
          </cell>
        </row>
        <row r="166">
          <cell r="A166">
            <v>38561</v>
          </cell>
          <cell r="B166">
            <v>8.25</v>
          </cell>
          <cell r="C166">
            <v>8.39</v>
          </cell>
          <cell r="D166">
            <v>8.1300000000000008</v>
          </cell>
          <cell r="E166">
            <v>8.25</v>
          </cell>
          <cell r="F166">
            <v>1.2269938650306678E-2</v>
          </cell>
          <cell r="G166">
            <v>612077</v>
          </cell>
          <cell r="H166">
            <v>5049635.25</v>
          </cell>
          <cell r="I166">
            <v>10.913</v>
          </cell>
          <cell r="J166">
            <v>10.977</v>
          </cell>
          <cell r="K166">
            <v>10.945</v>
          </cell>
        </row>
        <row r="167">
          <cell r="A167">
            <v>38562</v>
          </cell>
          <cell r="B167">
            <v>8.27</v>
          </cell>
          <cell r="C167">
            <v>8.27</v>
          </cell>
          <cell r="D167">
            <v>8.0500000000000007</v>
          </cell>
          <cell r="E167">
            <v>8.0500000000000007</v>
          </cell>
          <cell r="F167">
            <v>-2.4242424242424176E-2</v>
          </cell>
          <cell r="G167">
            <v>289360</v>
          </cell>
          <cell r="H167">
            <v>2361177.6</v>
          </cell>
          <cell r="I167">
            <v>10.935</v>
          </cell>
          <cell r="J167">
            <v>11</v>
          </cell>
          <cell r="K167">
            <v>10.967500000000001</v>
          </cell>
        </row>
        <row r="168">
          <cell r="A168">
            <v>38565</v>
          </cell>
          <cell r="B168">
            <v>8.16</v>
          </cell>
          <cell r="C168">
            <v>8.3000000000000007</v>
          </cell>
          <cell r="D168">
            <v>8.02</v>
          </cell>
          <cell r="E168">
            <v>8.02</v>
          </cell>
          <cell r="F168">
            <v>-3.7267080745343462E-3</v>
          </cell>
          <cell r="G168">
            <v>83821</v>
          </cell>
          <cell r="H168">
            <v>678111.89</v>
          </cell>
          <cell r="I168">
            <v>10.955</v>
          </cell>
          <cell r="J168">
            <v>11.021000000000001</v>
          </cell>
          <cell r="K168">
            <v>10.988</v>
          </cell>
        </row>
        <row r="169">
          <cell r="A169">
            <v>38566</v>
          </cell>
          <cell r="B169">
            <v>8.1999999999999993</v>
          </cell>
          <cell r="C169">
            <v>8.1999999999999993</v>
          </cell>
          <cell r="D169">
            <v>8.0500000000000007</v>
          </cell>
          <cell r="E169">
            <v>8.06</v>
          </cell>
          <cell r="F169">
            <v>4.9875311720699589E-3</v>
          </cell>
          <cell r="G169">
            <v>84006</v>
          </cell>
          <cell r="H169">
            <v>682968.77999999991</v>
          </cell>
          <cell r="I169">
            <v>10.955</v>
          </cell>
          <cell r="J169">
            <v>11.02</v>
          </cell>
          <cell r="K169">
            <v>10.987500000000001</v>
          </cell>
        </row>
        <row r="170">
          <cell r="A170">
            <v>38567</v>
          </cell>
          <cell r="B170">
            <v>8.1</v>
          </cell>
          <cell r="C170">
            <v>8.15</v>
          </cell>
          <cell r="D170">
            <v>8.06</v>
          </cell>
          <cell r="E170">
            <v>8.11</v>
          </cell>
          <cell r="F170">
            <v>6.2034739454093213E-3</v>
          </cell>
          <cell r="G170">
            <v>138133</v>
          </cell>
          <cell r="H170">
            <v>1119567.9650000001</v>
          </cell>
          <cell r="I170">
            <v>10.967000000000001</v>
          </cell>
          <cell r="J170">
            <v>11.032999999999999</v>
          </cell>
          <cell r="K170">
            <v>11</v>
          </cell>
        </row>
        <row r="171">
          <cell r="A171">
            <v>38568</v>
          </cell>
          <cell r="B171">
            <v>8.06</v>
          </cell>
          <cell r="C171">
            <v>8.1</v>
          </cell>
          <cell r="D171">
            <v>8.0299999999999994</v>
          </cell>
          <cell r="E171">
            <v>8.0500000000000007</v>
          </cell>
          <cell r="F171">
            <v>-7.3982737361281137E-3</v>
          </cell>
          <cell r="G171">
            <v>53602</v>
          </cell>
          <cell r="H171">
            <v>431764.11</v>
          </cell>
          <cell r="I171">
            <v>10.97</v>
          </cell>
          <cell r="J171">
            <v>11.036</v>
          </cell>
          <cell r="K171">
            <v>11.003</v>
          </cell>
        </row>
        <row r="172">
          <cell r="A172">
            <v>38569</v>
          </cell>
          <cell r="B172">
            <v>8.0500000000000007</v>
          </cell>
          <cell r="C172">
            <v>8.1</v>
          </cell>
          <cell r="D172">
            <v>7.96</v>
          </cell>
          <cell r="E172">
            <v>8.1</v>
          </cell>
          <cell r="F172">
            <v>6.2111801242235032E-3</v>
          </cell>
          <cell r="G172">
            <v>67004</v>
          </cell>
          <cell r="H172">
            <v>541057.29999999993</v>
          </cell>
          <cell r="I172">
            <v>10.974</v>
          </cell>
          <cell r="J172">
            <v>11.04</v>
          </cell>
          <cell r="K172">
            <v>11.007</v>
          </cell>
        </row>
        <row r="173">
          <cell r="A173">
            <v>38572</v>
          </cell>
          <cell r="B173">
            <v>8.1999999999999993</v>
          </cell>
          <cell r="C173">
            <v>8.1999999999999993</v>
          </cell>
          <cell r="D173">
            <v>8.0399999999999991</v>
          </cell>
          <cell r="E173">
            <v>8.0500000000000007</v>
          </cell>
          <cell r="F173">
            <v>-6.1728395061727559E-3</v>
          </cell>
          <cell r="G173">
            <v>146807</v>
          </cell>
          <cell r="H173">
            <v>1192806.875</v>
          </cell>
          <cell r="I173">
            <v>10.978</v>
          </cell>
          <cell r="J173">
            <v>11.044</v>
          </cell>
          <cell r="K173">
            <v>11.010999999999999</v>
          </cell>
        </row>
        <row r="174">
          <cell r="A174">
            <v>38573</v>
          </cell>
          <cell r="B174">
            <v>8.19</v>
          </cell>
          <cell r="C174">
            <v>8.19</v>
          </cell>
          <cell r="D174">
            <v>7.97</v>
          </cell>
          <cell r="E174">
            <v>7.97</v>
          </cell>
          <cell r="F174">
            <v>-9.9378881987578493E-3</v>
          </cell>
          <cell r="G174">
            <v>118860</v>
          </cell>
          <cell r="H174">
            <v>960388.8</v>
          </cell>
          <cell r="I174">
            <v>10.972</v>
          </cell>
          <cell r="J174">
            <v>11.038</v>
          </cell>
          <cell r="K174">
            <v>11.004999999999999</v>
          </cell>
        </row>
        <row r="175">
          <cell r="A175">
            <v>38574</v>
          </cell>
          <cell r="B175">
            <v>8.0299999999999994</v>
          </cell>
          <cell r="C175">
            <v>8.0299999999999994</v>
          </cell>
          <cell r="D175">
            <v>7.92</v>
          </cell>
          <cell r="E175">
            <v>7.96</v>
          </cell>
          <cell r="F175">
            <v>-1.2547051442910462E-3</v>
          </cell>
          <cell r="G175">
            <v>145036</v>
          </cell>
          <cell r="H175">
            <v>1159562.8199999998</v>
          </cell>
          <cell r="I175">
            <v>10.98</v>
          </cell>
          <cell r="J175">
            <v>11.045999999999999</v>
          </cell>
          <cell r="K175">
            <v>11.013</v>
          </cell>
        </row>
        <row r="176">
          <cell r="A176">
            <v>38575</v>
          </cell>
          <cell r="B176">
            <v>8</v>
          </cell>
          <cell r="C176">
            <v>8.1999999999999993</v>
          </cell>
          <cell r="D176">
            <v>7.96</v>
          </cell>
          <cell r="E176">
            <v>8.15</v>
          </cell>
          <cell r="F176">
            <v>2.3869346733668362E-2</v>
          </cell>
          <cell r="G176">
            <v>682359</v>
          </cell>
          <cell r="H176">
            <v>5510048.9249999998</v>
          </cell>
          <cell r="I176">
            <v>10.987</v>
          </cell>
          <cell r="J176">
            <v>11.053000000000001</v>
          </cell>
          <cell r="K176">
            <v>11.02</v>
          </cell>
        </row>
        <row r="177">
          <cell r="A177">
            <v>38576</v>
          </cell>
          <cell r="B177">
            <v>8</v>
          </cell>
          <cell r="C177">
            <v>8.1999999999999993</v>
          </cell>
          <cell r="D177">
            <v>8</v>
          </cell>
          <cell r="E177">
            <v>8.17</v>
          </cell>
          <cell r="F177">
            <v>2.4539877300613355E-3</v>
          </cell>
          <cell r="G177">
            <v>419126</v>
          </cell>
          <cell r="H177">
            <v>3388633.7100000004</v>
          </cell>
          <cell r="I177">
            <v>10.984999999999999</v>
          </cell>
          <cell r="J177">
            <v>11.051</v>
          </cell>
          <cell r="K177">
            <v>11.018000000000001</v>
          </cell>
        </row>
        <row r="178">
          <cell r="A178">
            <v>38579</v>
          </cell>
          <cell r="B178">
            <v>8.1999999999999993</v>
          </cell>
          <cell r="C178">
            <v>8.2200000000000006</v>
          </cell>
          <cell r="D178">
            <v>8.1199999999999992</v>
          </cell>
          <cell r="E178">
            <v>8.2200000000000006</v>
          </cell>
          <cell r="F178">
            <v>6.1199510403917579E-3</v>
          </cell>
          <cell r="G178">
            <v>110239</v>
          </cell>
          <cell r="H178">
            <v>905062.19000000006</v>
          </cell>
          <cell r="I178">
            <v>10.978</v>
          </cell>
          <cell r="J178">
            <v>11.044</v>
          </cell>
          <cell r="K178">
            <v>11.010999999999999</v>
          </cell>
        </row>
        <row r="179">
          <cell r="A179">
            <v>38580</v>
          </cell>
          <cell r="B179">
            <v>8.1999999999999993</v>
          </cell>
          <cell r="C179">
            <v>8.25</v>
          </cell>
          <cell r="D179">
            <v>8.1199999999999992</v>
          </cell>
          <cell r="E179">
            <v>8.1199999999999992</v>
          </cell>
          <cell r="F179">
            <v>-1.2165450121654708E-2</v>
          </cell>
          <cell r="G179">
            <v>335659</v>
          </cell>
          <cell r="H179">
            <v>2738977.44</v>
          </cell>
          <cell r="I179">
            <v>10.967000000000001</v>
          </cell>
          <cell r="J179">
            <v>11.032999999999999</v>
          </cell>
          <cell r="K179">
            <v>11</v>
          </cell>
        </row>
        <row r="180">
          <cell r="A180">
            <v>38581</v>
          </cell>
          <cell r="B180">
            <v>8.11</v>
          </cell>
          <cell r="C180">
            <v>8.11</v>
          </cell>
          <cell r="D180">
            <v>8</v>
          </cell>
          <cell r="E180">
            <v>8.0399999999999991</v>
          </cell>
          <cell r="F180">
            <v>-9.8522167487684609E-3</v>
          </cell>
          <cell r="G180">
            <v>243236</v>
          </cell>
          <cell r="H180">
            <v>1964130.6999999997</v>
          </cell>
          <cell r="I180">
            <v>10.967000000000001</v>
          </cell>
          <cell r="J180">
            <v>11.032999999999999</v>
          </cell>
          <cell r="K180">
            <v>11</v>
          </cell>
        </row>
        <row r="181">
          <cell r="A181">
            <v>38582</v>
          </cell>
          <cell r="B181">
            <v>8.0500000000000007</v>
          </cell>
          <cell r="C181">
            <v>8.1</v>
          </cell>
          <cell r="D181">
            <v>8.01</v>
          </cell>
          <cell r="E181">
            <v>8.01</v>
          </cell>
          <cell r="F181">
            <v>-3.7313432835820448E-3</v>
          </cell>
          <cell r="G181">
            <v>141261</v>
          </cell>
          <cell r="H181">
            <v>1134325.83</v>
          </cell>
          <cell r="I181">
            <v>10.946999999999999</v>
          </cell>
          <cell r="J181">
            <v>11.013</v>
          </cell>
          <cell r="K181">
            <v>10.98</v>
          </cell>
        </row>
        <row r="182">
          <cell r="A182">
            <v>38583</v>
          </cell>
          <cell r="B182">
            <v>8.0299999999999994</v>
          </cell>
          <cell r="C182">
            <v>8.1</v>
          </cell>
          <cell r="D182">
            <v>8.02</v>
          </cell>
          <cell r="E182">
            <v>8.02</v>
          </cell>
          <cell r="F182">
            <v>1.2484394506866447E-3</v>
          </cell>
          <cell r="G182">
            <v>193388</v>
          </cell>
          <cell r="H182">
            <v>1551938.6999999997</v>
          </cell>
          <cell r="I182">
            <v>10.944000000000001</v>
          </cell>
          <cell r="J182">
            <v>11.01</v>
          </cell>
          <cell r="K182">
            <v>10.977</v>
          </cell>
        </row>
        <row r="183">
          <cell r="A183">
            <v>38586</v>
          </cell>
          <cell r="B183">
            <v>8.15</v>
          </cell>
          <cell r="C183">
            <v>8.15</v>
          </cell>
          <cell r="D183">
            <v>8.0399999999999991</v>
          </cell>
          <cell r="E183">
            <v>8.0500000000000007</v>
          </cell>
          <cell r="F183">
            <v>3.7406483790525247E-3</v>
          </cell>
          <cell r="G183">
            <v>39231</v>
          </cell>
          <cell r="H183">
            <v>317771.10000000003</v>
          </cell>
          <cell r="I183">
            <v>10.954000000000001</v>
          </cell>
          <cell r="J183">
            <v>11.02</v>
          </cell>
          <cell r="K183">
            <v>10.987</v>
          </cell>
        </row>
        <row r="184">
          <cell r="A184">
            <v>38587</v>
          </cell>
          <cell r="B184">
            <v>8.02</v>
          </cell>
          <cell r="C184">
            <v>8.1199999999999992</v>
          </cell>
          <cell r="D184">
            <v>8.02</v>
          </cell>
          <cell r="E184">
            <v>8.08</v>
          </cell>
          <cell r="F184">
            <v>3.7267080745340131E-3</v>
          </cell>
          <cell r="G184">
            <v>51352</v>
          </cell>
          <cell r="H184">
            <v>413383.60000000003</v>
          </cell>
          <cell r="I184">
            <v>10.951000000000001</v>
          </cell>
          <cell r="J184">
            <v>11.016</v>
          </cell>
          <cell r="K184">
            <v>10.983499999999999</v>
          </cell>
        </row>
        <row r="185">
          <cell r="A185">
            <v>38588</v>
          </cell>
          <cell r="B185">
            <v>8.0500000000000007</v>
          </cell>
          <cell r="C185">
            <v>8.1999999999999993</v>
          </cell>
          <cell r="D185">
            <v>8.0500000000000007</v>
          </cell>
          <cell r="E185">
            <v>8.1300000000000008</v>
          </cell>
          <cell r="F185">
            <v>6.1881188118813046E-3</v>
          </cell>
          <cell r="G185">
            <v>127740</v>
          </cell>
          <cell r="H185">
            <v>1033416.6</v>
          </cell>
          <cell r="I185">
            <v>10.956</v>
          </cell>
          <cell r="J185">
            <v>11.022</v>
          </cell>
          <cell r="K185">
            <v>10.989000000000001</v>
          </cell>
        </row>
        <row r="186">
          <cell r="A186">
            <v>38589</v>
          </cell>
          <cell r="B186">
            <v>8.15</v>
          </cell>
          <cell r="C186">
            <v>8.25</v>
          </cell>
          <cell r="D186">
            <v>8.11</v>
          </cell>
          <cell r="E186">
            <v>8.24</v>
          </cell>
          <cell r="F186">
            <v>1.3530135301353052E-2</v>
          </cell>
          <cell r="G186">
            <v>217260</v>
          </cell>
          <cell r="H186">
            <v>1780445.7</v>
          </cell>
          <cell r="I186">
            <v>10.961</v>
          </cell>
          <cell r="J186">
            <v>11.026999999999999</v>
          </cell>
          <cell r="K186">
            <v>10.994</v>
          </cell>
        </row>
        <row r="187">
          <cell r="A187">
            <v>38590</v>
          </cell>
          <cell r="B187">
            <v>8.1999999999999993</v>
          </cell>
          <cell r="C187">
            <v>8.25</v>
          </cell>
          <cell r="D187">
            <v>8.14</v>
          </cell>
          <cell r="E187">
            <v>8.2200000000000006</v>
          </cell>
          <cell r="F187">
            <v>-2.4271844660194164E-3</v>
          </cell>
          <cell r="G187">
            <v>209275</v>
          </cell>
          <cell r="H187">
            <v>1718147.7500000002</v>
          </cell>
          <cell r="I187">
            <v>10.968</v>
          </cell>
          <cell r="J187">
            <v>11.034000000000001</v>
          </cell>
          <cell r="K187">
            <v>11.001000000000001</v>
          </cell>
        </row>
        <row r="188">
          <cell r="A188">
            <v>38593</v>
          </cell>
          <cell r="B188">
            <v>8.24</v>
          </cell>
          <cell r="C188">
            <v>8.26</v>
          </cell>
          <cell r="D188">
            <v>8.14</v>
          </cell>
          <cell r="E188">
            <v>8.1999999999999993</v>
          </cell>
          <cell r="F188">
            <v>-2.4330900243311193E-3</v>
          </cell>
          <cell r="G188">
            <v>453166</v>
          </cell>
          <cell r="H188">
            <v>3725024.5199999996</v>
          </cell>
          <cell r="I188">
            <v>10.964</v>
          </cell>
          <cell r="J188">
            <v>11.034000000000001</v>
          </cell>
          <cell r="K188">
            <v>10.999000000000001</v>
          </cell>
        </row>
        <row r="189">
          <cell r="A189">
            <v>38594</v>
          </cell>
          <cell r="B189">
            <v>8.1999999999999993</v>
          </cell>
          <cell r="C189">
            <v>8.24</v>
          </cell>
          <cell r="D189">
            <v>8.1</v>
          </cell>
          <cell r="E189">
            <v>8.14</v>
          </cell>
          <cell r="F189">
            <v>-7.3170731707316028E-3</v>
          </cell>
          <cell r="G189">
            <v>311460</v>
          </cell>
          <cell r="H189">
            <v>2544628.2000000002</v>
          </cell>
          <cell r="I189">
            <v>10.946</v>
          </cell>
          <cell r="J189">
            <v>11.012</v>
          </cell>
          <cell r="K189">
            <v>10.978999999999999</v>
          </cell>
        </row>
        <row r="190">
          <cell r="A190">
            <v>38595</v>
          </cell>
          <cell r="B190">
            <v>8.11</v>
          </cell>
          <cell r="C190">
            <v>8.1999999999999993</v>
          </cell>
          <cell r="D190">
            <v>8.11</v>
          </cell>
          <cell r="E190">
            <v>8.1999999999999993</v>
          </cell>
          <cell r="F190">
            <v>7.3710073710071544E-3</v>
          </cell>
          <cell r="G190">
            <v>187498</v>
          </cell>
          <cell r="H190">
            <v>1529046.19</v>
          </cell>
          <cell r="I190">
            <v>10.952</v>
          </cell>
          <cell r="J190">
            <v>11.018000000000001</v>
          </cell>
          <cell r="K190">
            <v>10.984999999999999</v>
          </cell>
        </row>
        <row r="191">
          <cell r="A191">
            <v>38596</v>
          </cell>
          <cell r="B191">
            <v>8.1999999999999993</v>
          </cell>
          <cell r="C191">
            <v>8.27</v>
          </cell>
          <cell r="D191">
            <v>8.15</v>
          </cell>
          <cell r="E191">
            <v>8.2200000000000006</v>
          </cell>
          <cell r="F191">
            <v>2.4390243902441266E-3</v>
          </cell>
          <cell r="G191">
            <v>313297</v>
          </cell>
          <cell r="H191">
            <v>2572168.37</v>
          </cell>
          <cell r="I191">
            <v>10.984</v>
          </cell>
          <cell r="J191">
            <v>11.05</v>
          </cell>
          <cell r="K191">
            <v>11.016999999999999</v>
          </cell>
        </row>
        <row r="192">
          <cell r="A192">
            <v>38597</v>
          </cell>
          <cell r="B192">
            <v>8.25</v>
          </cell>
          <cell r="C192">
            <v>8.5</v>
          </cell>
          <cell r="D192">
            <v>8.2100000000000009</v>
          </cell>
          <cell r="E192">
            <v>8.42</v>
          </cell>
          <cell r="F192">
            <v>2.4330900243308973E-2</v>
          </cell>
          <cell r="G192">
            <v>277316</v>
          </cell>
          <cell r="H192">
            <v>2311428.8600000003</v>
          </cell>
          <cell r="I192">
            <v>11.004</v>
          </cell>
          <cell r="J192">
            <v>11.071</v>
          </cell>
          <cell r="K192">
            <v>11.0375</v>
          </cell>
        </row>
        <row r="193">
          <cell r="A193">
            <v>38600</v>
          </cell>
          <cell r="B193">
            <v>8.49</v>
          </cell>
          <cell r="C193">
            <v>8.82</v>
          </cell>
          <cell r="D193">
            <v>8.4600000000000009</v>
          </cell>
          <cell r="E193">
            <v>8.8000000000000007</v>
          </cell>
          <cell r="F193">
            <v>4.5130641330166421E-2</v>
          </cell>
          <cell r="G193">
            <v>290703</v>
          </cell>
          <cell r="H193">
            <v>2513127.4350000001</v>
          </cell>
          <cell r="I193">
            <v>11.004</v>
          </cell>
          <cell r="J193">
            <v>11.071</v>
          </cell>
          <cell r="K193">
            <v>11.0375</v>
          </cell>
        </row>
        <row r="194">
          <cell r="A194">
            <v>38601</v>
          </cell>
          <cell r="B194">
            <v>8.44</v>
          </cell>
          <cell r="C194">
            <v>9.09</v>
          </cell>
          <cell r="D194">
            <v>8.67</v>
          </cell>
          <cell r="E194">
            <v>8.77</v>
          </cell>
          <cell r="F194">
            <v>-3.4090909090910282E-3</v>
          </cell>
          <cell r="G194">
            <v>477847</v>
          </cell>
          <cell r="H194">
            <v>4111873.4350000001</v>
          </cell>
          <cell r="I194">
            <v>11.004</v>
          </cell>
          <cell r="J194">
            <v>11.071</v>
          </cell>
          <cell r="K194">
            <v>11.0375</v>
          </cell>
        </row>
        <row r="195">
          <cell r="A195">
            <v>38602</v>
          </cell>
          <cell r="B195">
            <v>8.85</v>
          </cell>
          <cell r="C195">
            <v>8.85</v>
          </cell>
          <cell r="D195">
            <v>8.61</v>
          </cell>
          <cell r="E195">
            <v>8.6999999999999993</v>
          </cell>
          <cell r="F195">
            <v>-7.9817559863170073E-3</v>
          </cell>
          <cell r="G195">
            <v>110416</v>
          </cell>
          <cell r="H195">
            <v>968900.39999999979</v>
          </cell>
          <cell r="I195">
            <v>11.004</v>
          </cell>
          <cell r="J195">
            <v>11.071</v>
          </cell>
          <cell r="K195">
            <v>11.0375</v>
          </cell>
        </row>
        <row r="196">
          <cell r="A196">
            <v>38603</v>
          </cell>
          <cell r="B196">
            <v>8.6999999999999993</v>
          </cell>
          <cell r="C196">
            <v>8.6999999999999993</v>
          </cell>
          <cell r="D196">
            <v>8.5</v>
          </cell>
          <cell r="E196">
            <v>8.5</v>
          </cell>
          <cell r="F196">
            <v>-2.2988505747126409E-2</v>
          </cell>
          <cell r="G196">
            <v>71404</v>
          </cell>
          <cell r="H196">
            <v>614074.4</v>
          </cell>
          <cell r="I196">
            <v>11.004</v>
          </cell>
          <cell r="J196">
            <v>11.071</v>
          </cell>
          <cell r="K196">
            <v>11.0375</v>
          </cell>
        </row>
        <row r="197">
          <cell r="A197">
            <v>38604</v>
          </cell>
          <cell r="B197">
            <v>8.5</v>
          </cell>
          <cell r="C197">
            <v>8.8000000000000007</v>
          </cell>
          <cell r="D197">
            <v>8.5</v>
          </cell>
          <cell r="E197">
            <v>8.75</v>
          </cell>
          <cell r="F197">
            <v>2.9411764705882248E-2</v>
          </cell>
          <cell r="G197">
            <v>195108</v>
          </cell>
          <cell r="H197">
            <v>1682806.5</v>
          </cell>
          <cell r="I197">
            <v>10.987</v>
          </cell>
          <cell r="J197">
            <v>11.053000000000001</v>
          </cell>
          <cell r="K197">
            <v>11.02</v>
          </cell>
        </row>
        <row r="198">
          <cell r="A198">
            <v>38607</v>
          </cell>
          <cell r="B198">
            <v>8.7899999999999991</v>
          </cell>
          <cell r="C198">
            <v>9.0500000000000007</v>
          </cell>
          <cell r="D198">
            <v>8.7899999999999991</v>
          </cell>
          <cell r="E198">
            <v>8.9</v>
          </cell>
          <cell r="F198">
            <v>1.7142857142857126E-2</v>
          </cell>
          <cell r="G198">
            <v>716159</v>
          </cell>
          <cell r="H198">
            <v>6334426.3549999995</v>
          </cell>
          <cell r="I198">
            <v>10.967000000000001</v>
          </cell>
          <cell r="J198">
            <v>11.032999999999999</v>
          </cell>
          <cell r="K198">
            <v>11</v>
          </cell>
        </row>
        <row r="199">
          <cell r="A199">
            <v>38608</v>
          </cell>
          <cell r="B199">
            <v>9</v>
          </cell>
          <cell r="C199">
            <v>9</v>
          </cell>
          <cell r="D199">
            <v>8.8800000000000008</v>
          </cell>
          <cell r="E199">
            <v>8.8800000000000008</v>
          </cell>
          <cell r="F199">
            <v>-2.2471910112359383E-3</v>
          </cell>
          <cell r="G199">
            <v>436555</v>
          </cell>
          <cell r="H199">
            <v>3902801.7000000007</v>
          </cell>
          <cell r="I199">
            <v>10.961</v>
          </cell>
          <cell r="J199">
            <v>11.026999999999999</v>
          </cell>
          <cell r="K199">
            <v>10.994</v>
          </cell>
        </row>
        <row r="200">
          <cell r="A200">
            <v>38609</v>
          </cell>
          <cell r="B200">
            <v>8.98</v>
          </cell>
          <cell r="C200">
            <v>8.98</v>
          </cell>
          <cell r="D200">
            <v>8.8699999999999992</v>
          </cell>
          <cell r="E200">
            <v>8.94</v>
          </cell>
          <cell r="F200">
            <v>6.7567567567565767E-3</v>
          </cell>
          <cell r="G200">
            <v>524386</v>
          </cell>
          <cell r="H200">
            <v>4698498.5600000005</v>
          </cell>
          <cell r="I200">
            <v>10.968999999999999</v>
          </cell>
          <cell r="J200">
            <v>11.035</v>
          </cell>
          <cell r="K200">
            <v>11.001999999999999</v>
          </cell>
        </row>
        <row r="201">
          <cell r="A201">
            <v>38610</v>
          </cell>
          <cell r="B201">
            <v>8.99</v>
          </cell>
          <cell r="C201">
            <v>8.99</v>
          </cell>
          <cell r="D201">
            <v>8.89</v>
          </cell>
          <cell r="E201">
            <v>8.99</v>
          </cell>
          <cell r="F201">
            <v>5.5928411633110464E-3</v>
          </cell>
          <cell r="G201">
            <v>682448</v>
          </cell>
          <cell r="H201">
            <v>6135207.5200000005</v>
          </cell>
          <cell r="I201">
            <v>10.952999999999999</v>
          </cell>
          <cell r="J201">
            <v>11.019</v>
          </cell>
          <cell r="K201">
            <v>10.986000000000001</v>
          </cell>
        </row>
        <row r="202">
          <cell r="A202">
            <v>38611</v>
          </cell>
          <cell r="B202">
            <v>8.9600000000000009</v>
          </cell>
          <cell r="C202">
            <v>9.02</v>
          </cell>
          <cell r="D202">
            <v>8.92</v>
          </cell>
          <cell r="E202">
            <v>8.92</v>
          </cell>
          <cell r="F202">
            <v>-7.7864293659621886E-3</v>
          </cell>
          <cell r="G202">
            <v>332504</v>
          </cell>
          <cell r="H202">
            <v>2972585.7600000002</v>
          </cell>
          <cell r="I202">
            <v>10.955</v>
          </cell>
          <cell r="J202">
            <v>11.02</v>
          </cell>
          <cell r="K202">
            <v>10.987500000000001</v>
          </cell>
        </row>
        <row r="203">
          <cell r="A203">
            <v>38614</v>
          </cell>
          <cell r="B203">
            <v>9.1999999999999993</v>
          </cell>
          <cell r="C203">
            <v>9.1999999999999993</v>
          </cell>
          <cell r="D203">
            <v>9.0299999999999994</v>
          </cell>
          <cell r="E203">
            <v>9.0500000000000007</v>
          </cell>
          <cell r="F203">
            <v>1.4573991031390232E-2</v>
          </cell>
          <cell r="G203">
            <v>149946</v>
          </cell>
          <cell r="H203">
            <v>1368257.25</v>
          </cell>
          <cell r="I203">
            <v>10.939</v>
          </cell>
          <cell r="J203">
            <v>11.004</v>
          </cell>
          <cell r="K203">
            <v>10.971499999999999</v>
          </cell>
        </row>
        <row r="204">
          <cell r="A204">
            <v>38615</v>
          </cell>
          <cell r="B204">
            <v>9.08</v>
          </cell>
          <cell r="C204">
            <v>9.15</v>
          </cell>
          <cell r="D204">
            <v>9.02</v>
          </cell>
          <cell r="E204">
            <v>9.08</v>
          </cell>
          <cell r="F204">
            <v>3.3149171270716593E-3</v>
          </cell>
          <cell r="G204">
            <v>256260</v>
          </cell>
          <cell r="H204">
            <v>2326840.7999999998</v>
          </cell>
          <cell r="I204">
            <v>10.941000000000001</v>
          </cell>
          <cell r="J204">
            <v>11.007</v>
          </cell>
          <cell r="K204">
            <v>10.974</v>
          </cell>
        </row>
        <row r="205">
          <cell r="A205">
            <v>38616</v>
          </cell>
          <cell r="B205">
            <v>9.1300000000000008</v>
          </cell>
          <cell r="C205">
            <v>9.1300000000000008</v>
          </cell>
          <cell r="D205">
            <v>8.94</v>
          </cell>
          <cell r="E205">
            <v>9</v>
          </cell>
          <cell r="F205">
            <v>-8.8105726872246271E-3</v>
          </cell>
          <cell r="G205">
            <v>96868</v>
          </cell>
          <cell r="H205">
            <v>878108.42000000016</v>
          </cell>
          <cell r="I205">
            <v>10.954000000000001</v>
          </cell>
          <cell r="J205">
            <v>11.02</v>
          </cell>
          <cell r="K205">
            <v>10.987</v>
          </cell>
        </row>
        <row r="206">
          <cell r="A206">
            <v>38617</v>
          </cell>
          <cell r="B206">
            <v>9.01</v>
          </cell>
          <cell r="C206">
            <v>9.0500000000000007</v>
          </cell>
          <cell r="D206">
            <v>8.93</v>
          </cell>
          <cell r="E206">
            <v>8.9</v>
          </cell>
          <cell r="F206">
            <v>-1.1111111111111072E-2</v>
          </cell>
          <cell r="G206">
            <v>97567</v>
          </cell>
          <cell r="H206">
            <v>873712.48499999999</v>
          </cell>
          <cell r="I206">
            <v>10.949</v>
          </cell>
          <cell r="J206">
            <v>11.015000000000001</v>
          </cell>
          <cell r="K206">
            <v>10.981999999999999</v>
          </cell>
        </row>
        <row r="207">
          <cell r="A207">
            <v>38618</v>
          </cell>
          <cell r="B207">
            <v>9.0399999999999991</v>
          </cell>
          <cell r="C207">
            <v>9.0399999999999991</v>
          </cell>
          <cell r="D207">
            <v>8.8800000000000008</v>
          </cell>
          <cell r="E207">
            <v>8.9</v>
          </cell>
          <cell r="F207">
            <v>0</v>
          </cell>
          <cell r="G207">
            <v>134691</v>
          </cell>
          <cell r="H207">
            <v>1208178.2699999998</v>
          </cell>
          <cell r="I207">
            <v>10.949</v>
          </cell>
          <cell r="J207">
            <v>11.015000000000001</v>
          </cell>
          <cell r="K207">
            <v>10.981999999999999</v>
          </cell>
        </row>
        <row r="208">
          <cell r="A208">
            <v>38621</v>
          </cell>
          <cell r="B208">
            <v>8.9499999999999993</v>
          </cell>
          <cell r="C208">
            <v>8.9700000000000006</v>
          </cell>
          <cell r="D208">
            <v>8.9499999999999993</v>
          </cell>
          <cell r="E208">
            <v>8.8800000000000008</v>
          </cell>
          <cell r="F208">
            <v>-2.2471910112359383E-3</v>
          </cell>
          <cell r="G208">
            <v>54153</v>
          </cell>
          <cell r="H208">
            <v>482773.99499999994</v>
          </cell>
          <cell r="I208">
            <v>10.949</v>
          </cell>
          <cell r="J208">
            <v>11.015000000000001</v>
          </cell>
          <cell r="K208">
            <v>10.981999999999999</v>
          </cell>
        </row>
        <row r="209">
          <cell r="A209">
            <v>38622</v>
          </cell>
          <cell r="B209">
            <v>8.92</v>
          </cell>
          <cell r="C209">
            <v>8.92</v>
          </cell>
          <cell r="D209">
            <v>8.83</v>
          </cell>
          <cell r="E209">
            <v>8.9</v>
          </cell>
          <cell r="F209">
            <v>2.2522522522521182E-3</v>
          </cell>
          <cell r="G209">
            <v>91150</v>
          </cell>
          <cell r="H209">
            <v>812146.5</v>
          </cell>
          <cell r="I209">
            <v>10.949</v>
          </cell>
          <cell r="J209">
            <v>11.015000000000001</v>
          </cell>
          <cell r="K209">
            <v>10.981999999999999</v>
          </cell>
        </row>
        <row r="210">
          <cell r="A210">
            <v>38623</v>
          </cell>
          <cell r="B210">
            <v>8.9</v>
          </cell>
          <cell r="C210">
            <v>8.94</v>
          </cell>
          <cell r="D210">
            <v>8.84</v>
          </cell>
          <cell r="E210">
            <v>8.9</v>
          </cell>
          <cell r="F210">
            <v>0</v>
          </cell>
          <cell r="G210">
            <v>159203</v>
          </cell>
          <cell r="H210">
            <v>1416906.7</v>
          </cell>
          <cell r="I210">
            <v>10.917999999999999</v>
          </cell>
          <cell r="J210">
            <v>10.984</v>
          </cell>
          <cell r="K210">
            <v>10.951000000000001</v>
          </cell>
        </row>
        <row r="211">
          <cell r="A211">
            <v>38624</v>
          </cell>
          <cell r="B211">
            <v>8.9</v>
          </cell>
          <cell r="C211">
            <v>8.83</v>
          </cell>
          <cell r="D211">
            <v>8.9700000000000006</v>
          </cell>
          <cell r="E211">
            <v>8.9</v>
          </cell>
          <cell r="F211">
            <v>0</v>
          </cell>
          <cell r="G211">
            <v>114040</v>
          </cell>
          <cell r="H211">
            <v>1014956</v>
          </cell>
          <cell r="I211">
            <v>10.917999999999999</v>
          </cell>
          <cell r="J211">
            <v>10.984</v>
          </cell>
          <cell r="K211">
            <v>10.951000000000001</v>
          </cell>
        </row>
        <row r="212">
          <cell r="A212">
            <v>38625</v>
          </cell>
          <cell r="B212">
            <v>8.9</v>
          </cell>
          <cell r="C212">
            <v>8.9</v>
          </cell>
          <cell r="D212">
            <v>8.85</v>
          </cell>
          <cell r="E212">
            <v>8.9</v>
          </cell>
          <cell r="F212">
            <v>0</v>
          </cell>
          <cell r="G212">
            <v>86690</v>
          </cell>
          <cell r="H212">
            <v>771541</v>
          </cell>
          <cell r="I212">
            <v>10.920999999999999</v>
          </cell>
          <cell r="J212">
            <v>10.987</v>
          </cell>
          <cell r="K212">
            <v>10.954000000000001</v>
          </cell>
        </row>
        <row r="213">
          <cell r="A213">
            <v>38628</v>
          </cell>
          <cell r="B213">
            <v>8.9</v>
          </cell>
          <cell r="C213">
            <v>8.99</v>
          </cell>
          <cell r="D213">
            <v>8.85</v>
          </cell>
          <cell r="E213">
            <v>8.99</v>
          </cell>
          <cell r="F213">
            <v>1.0112359550561889E-2</v>
          </cell>
          <cell r="G213">
            <v>43387</v>
          </cell>
          <cell r="H213">
            <v>388096.71500000003</v>
          </cell>
          <cell r="I213">
            <v>10.9</v>
          </cell>
          <cell r="J213">
            <v>10.965999999999999</v>
          </cell>
          <cell r="K213">
            <v>10.933</v>
          </cell>
        </row>
        <row r="214">
          <cell r="A214">
            <v>38629</v>
          </cell>
          <cell r="B214">
            <v>8.9</v>
          </cell>
          <cell r="C214">
            <v>8.9499999999999993</v>
          </cell>
          <cell r="D214">
            <v>8.7899999999999991</v>
          </cell>
          <cell r="E214">
            <v>8.7899999999999991</v>
          </cell>
          <cell r="F214">
            <v>-2.2246941045606317E-2</v>
          </cell>
          <cell r="G214">
            <v>160052</v>
          </cell>
          <cell r="H214">
            <v>1415659.9399999997</v>
          </cell>
          <cell r="I214">
            <v>10.901999999999999</v>
          </cell>
          <cell r="J214">
            <v>10.968</v>
          </cell>
          <cell r="K214">
            <v>10.934999999999999</v>
          </cell>
        </row>
        <row r="215">
          <cell r="A215">
            <v>38630</v>
          </cell>
          <cell r="B215">
            <v>8.8000000000000007</v>
          </cell>
          <cell r="C215">
            <v>8.89</v>
          </cell>
          <cell r="D215">
            <v>8.7799999999999994</v>
          </cell>
          <cell r="E215">
            <v>8.84</v>
          </cell>
          <cell r="F215">
            <v>5.6882821387942428E-3</v>
          </cell>
          <cell r="G215">
            <v>143411</v>
          </cell>
          <cell r="H215">
            <v>1264885.02</v>
          </cell>
          <cell r="I215">
            <v>10.904999999999999</v>
          </cell>
          <cell r="J215">
            <v>10.97</v>
          </cell>
          <cell r="K215">
            <v>10.9375</v>
          </cell>
        </row>
        <row r="216">
          <cell r="A216">
            <v>38631</v>
          </cell>
          <cell r="B216">
            <v>8.84</v>
          </cell>
          <cell r="C216">
            <v>8.9499999999999993</v>
          </cell>
          <cell r="D216">
            <v>8.81</v>
          </cell>
          <cell r="E216">
            <v>8.89</v>
          </cell>
          <cell r="F216">
            <v>5.6561085972850478E-3</v>
          </cell>
          <cell r="G216">
            <v>143312</v>
          </cell>
          <cell r="H216">
            <v>1270460.8800000001</v>
          </cell>
          <cell r="I216">
            <v>10.923999999999999</v>
          </cell>
          <cell r="J216">
            <v>10.99</v>
          </cell>
          <cell r="K216">
            <v>10.957000000000001</v>
          </cell>
        </row>
        <row r="217">
          <cell r="A217">
            <v>38632</v>
          </cell>
          <cell r="B217">
            <v>8.94</v>
          </cell>
          <cell r="C217">
            <v>8.9499999999999993</v>
          </cell>
          <cell r="D217">
            <v>8.82</v>
          </cell>
          <cell r="E217">
            <v>8.9</v>
          </cell>
          <cell r="F217">
            <v>1.1248593925758943E-3</v>
          </cell>
          <cell r="G217">
            <v>129353</v>
          </cell>
          <cell r="H217">
            <v>1153828.76</v>
          </cell>
          <cell r="I217">
            <v>10.94</v>
          </cell>
          <cell r="J217">
            <v>11.006</v>
          </cell>
          <cell r="K217">
            <v>10.972999999999999</v>
          </cell>
        </row>
        <row r="218">
          <cell r="A218">
            <v>38635</v>
          </cell>
          <cell r="B218">
            <v>8.9</v>
          </cell>
          <cell r="C218">
            <v>8.98</v>
          </cell>
          <cell r="D218">
            <v>8.89</v>
          </cell>
          <cell r="E218">
            <v>8.94</v>
          </cell>
          <cell r="F218">
            <v>4.4943820224718767E-3</v>
          </cell>
          <cell r="G218">
            <v>120827</v>
          </cell>
          <cell r="H218">
            <v>1077776.8400000001</v>
          </cell>
          <cell r="I218">
            <v>10.928000000000001</v>
          </cell>
          <cell r="J218">
            <v>10.994</v>
          </cell>
          <cell r="K218">
            <v>10.961</v>
          </cell>
        </row>
        <row r="219">
          <cell r="A219">
            <v>38636</v>
          </cell>
          <cell r="B219">
            <v>8.9</v>
          </cell>
          <cell r="C219">
            <v>8.94</v>
          </cell>
          <cell r="D219">
            <v>8.8699999999999992</v>
          </cell>
          <cell r="E219">
            <v>8.9</v>
          </cell>
          <cell r="F219">
            <v>-4.4742729306487261E-3</v>
          </cell>
          <cell r="G219">
            <v>217520</v>
          </cell>
          <cell r="H219">
            <v>1935928</v>
          </cell>
          <cell r="I219">
            <v>10.928000000000001</v>
          </cell>
          <cell r="J219">
            <v>10.994</v>
          </cell>
          <cell r="K219">
            <v>10.961</v>
          </cell>
        </row>
        <row r="220">
          <cell r="A220">
            <v>38637</v>
          </cell>
          <cell r="B220">
            <v>8.9</v>
          </cell>
          <cell r="C220">
            <v>8.9499999999999993</v>
          </cell>
          <cell r="D220">
            <v>8.89</v>
          </cell>
          <cell r="E220">
            <v>8.9499999999999993</v>
          </cell>
          <cell r="F220">
            <v>5.6179775280897903E-3</v>
          </cell>
          <cell r="G220">
            <v>11271</v>
          </cell>
          <cell r="H220">
            <v>100593.675</v>
          </cell>
          <cell r="I220">
            <v>10.928000000000001</v>
          </cell>
          <cell r="J220">
            <v>10.994</v>
          </cell>
          <cell r="K220">
            <v>10.961</v>
          </cell>
        </row>
        <row r="221">
          <cell r="A221">
            <v>38638</v>
          </cell>
          <cell r="B221">
            <v>8.9499999999999993</v>
          </cell>
          <cell r="C221">
            <v>8.9499999999999993</v>
          </cell>
          <cell r="D221">
            <v>8.86</v>
          </cell>
          <cell r="E221">
            <v>8.8699999999999992</v>
          </cell>
          <cell r="F221">
            <v>-8.9385474860335101E-3</v>
          </cell>
          <cell r="G221">
            <v>55086</v>
          </cell>
          <cell r="H221">
            <v>490816.26</v>
          </cell>
          <cell r="I221">
            <v>10.928000000000001</v>
          </cell>
          <cell r="J221">
            <v>10.994</v>
          </cell>
          <cell r="K221">
            <v>10.961</v>
          </cell>
        </row>
        <row r="222">
          <cell r="A222">
            <v>38639</v>
          </cell>
          <cell r="B222">
            <v>8.94</v>
          </cell>
          <cell r="C222">
            <v>8.9499999999999993</v>
          </cell>
          <cell r="D222">
            <v>8.9499999999999993</v>
          </cell>
          <cell r="E222">
            <v>8.9499999999999993</v>
          </cell>
          <cell r="F222">
            <v>9.0191657271703196E-3</v>
          </cell>
          <cell r="G222">
            <v>46700</v>
          </cell>
          <cell r="H222">
            <v>417731.5</v>
          </cell>
          <cell r="I222">
            <v>10.928000000000001</v>
          </cell>
          <cell r="J222">
            <v>10.994</v>
          </cell>
          <cell r="K222">
            <v>10.961</v>
          </cell>
        </row>
        <row r="223">
          <cell r="A223">
            <v>38642</v>
          </cell>
          <cell r="B223">
            <v>8.9</v>
          </cell>
          <cell r="C223">
            <v>8.9</v>
          </cell>
          <cell r="D223">
            <v>8.7799999999999994</v>
          </cell>
          <cell r="E223">
            <v>8.8000000000000007</v>
          </cell>
          <cell r="F223">
            <v>-1.6759776536312665E-2</v>
          </cell>
          <cell r="G223">
            <v>90930</v>
          </cell>
          <cell r="H223">
            <v>804730.50000000012</v>
          </cell>
          <cell r="I223">
            <v>10.928000000000001</v>
          </cell>
          <cell r="J223">
            <v>10.994</v>
          </cell>
          <cell r="K223">
            <v>10.961</v>
          </cell>
        </row>
        <row r="224">
          <cell r="A224">
            <v>38643</v>
          </cell>
          <cell r="B224">
            <v>8.8800000000000008</v>
          </cell>
          <cell r="C224">
            <v>8.94</v>
          </cell>
          <cell r="D224">
            <v>8.7799999999999994</v>
          </cell>
          <cell r="E224">
            <v>8.7799999999999994</v>
          </cell>
          <cell r="F224">
            <v>-2.2727272727274261E-3</v>
          </cell>
          <cell r="G224">
            <v>34760</v>
          </cell>
          <cell r="H224">
            <v>306930.8</v>
          </cell>
          <cell r="I224">
            <v>10.928000000000001</v>
          </cell>
          <cell r="J224">
            <v>10.994</v>
          </cell>
          <cell r="K224">
            <v>10.961</v>
          </cell>
        </row>
        <row r="225">
          <cell r="A225">
            <v>38644</v>
          </cell>
          <cell r="B225">
            <v>8.7899999999999991</v>
          </cell>
          <cell r="C225">
            <v>8.7899999999999991</v>
          </cell>
          <cell r="D225">
            <v>8.5</v>
          </cell>
          <cell r="E225">
            <v>8.52</v>
          </cell>
          <cell r="F225">
            <v>-2.9612756264236872E-2</v>
          </cell>
          <cell r="G225">
            <v>205315</v>
          </cell>
          <cell r="H225">
            <v>1777001.325</v>
          </cell>
          <cell r="I225">
            <v>10.928000000000001</v>
          </cell>
          <cell r="J225">
            <v>10.994</v>
          </cell>
          <cell r="K225">
            <v>10.961</v>
          </cell>
        </row>
        <row r="226">
          <cell r="A226">
            <v>38645</v>
          </cell>
          <cell r="B226">
            <v>8.65</v>
          </cell>
          <cell r="C226">
            <v>8.65</v>
          </cell>
          <cell r="D226">
            <v>8.52</v>
          </cell>
          <cell r="E226">
            <v>8.57</v>
          </cell>
          <cell r="F226">
            <v>5.8685446009389963E-3</v>
          </cell>
          <cell r="G226">
            <v>102951</v>
          </cell>
          <cell r="H226">
            <v>886408.11</v>
          </cell>
          <cell r="I226">
            <v>10.904999999999999</v>
          </cell>
          <cell r="J226">
            <v>10.971</v>
          </cell>
          <cell r="K226">
            <v>10.937999999999999</v>
          </cell>
        </row>
        <row r="227">
          <cell r="A227">
            <v>38646</v>
          </cell>
          <cell r="B227">
            <v>8.57</v>
          </cell>
          <cell r="C227">
            <v>8.61</v>
          </cell>
          <cell r="D227">
            <v>8.52</v>
          </cell>
          <cell r="E227">
            <v>8.5399999999999991</v>
          </cell>
          <cell r="F227">
            <v>-3.500583430571913E-3</v>
          </cell>
          <cell r="G227">
            <v>47484</v>
          </cell>
          <cell r="H227">
            <v>406225.62</v>
          </cell>
          <cell r="I227">
            <v>10.904999999999999</v>
          </cell>
          <cell r="J227">
            <v>10.971</v>
          </cell>
          <cell r="K227">
            <v>10.937999999999999</v>
          </cell>
        </row>
        <row r="228">
          <cell r="A228">
            <v>38649</v>
          </cell>
          <cell r="B228">
            <v>8.6</v>
          </cell>
          <cell r="C228">
            <v>8.6199999999999992</v>
          </cell>
          <cell r="D228">
            <v>8.52</v>
          </cell>
          <cell r="E228">
            <v>8.6199999999999992</v>
          </cell>
          <cell r="F228">
            <v>9.3676814988290502E-3</v>
          </cell>
          <cell r="G228">
            <v>206635</v>
          </cell>
          <cell r="H228">
            <v>1779127.3499999999</v>
          </cell>
          <cell r="I228">
            <v>10.903</v>
          </cell>
          <cell r="J228">
            <v>10.968</v>
          </cell>
          <cell r="K228">
            <v>10.935500000000001</v>
          </cell>
        </row>
        <row r="229">
          <cell r="A229">
            <v>38650</v>
          </cell>
          <cell r="B229">
            <v>8.6999999999999993</v>
          </cell>
          <cell r="C229">
            <v>8.6999999999999993</v>
          </cell>
          <cell r="D229">
            <v>8.57</v>
          </cell>
          <cell r="E229">
            <v>8.59</v>
          </cell>
          <cell r="F229">
            <v>-3.4802784222737193E-3</v>
          </cell>
          <cell r="G229">
            <v>9785</v>
          </cell>
          <cell r="H229">
            <v>84591.324999999997</v>
          </cell>
          <cell r="I229">
            <v>10.919</v>
          </cell>
          <cell r="J229">
            <v>10.984999999999999</v>
          </cell>
          <cell r="K229">
            <v>10.952</v>
          </cell>
        </row>
        <row r="230">
          <cell r="A230">
            <v>38651</v>
          </cell>
          <cell r="B230">
            <v>8.57</v>
          </cell>
          <cell r="C230">
            <v>8.6</v>
          </cell>
          <cell r="D230">
            <v>8.51</v>
          </cell>
          <cell r="E230">
            <v>8.5399999999999991</v>
          </cell>
          <cell r="F230">
            <v>-5.8207217694995483E-3</v>
          </cell>
          <cell r="G230">
            <v>81252</v>
          </cell>
          <cell r="H230">
            <v>695110.86</v>
          </cell>
          <cell r="I230">
            <v>10.928000000000001</v>
          </cell>
          <cell r="J230">
            <v>10.993</v>
          </cell>
          <cell r="K230">
            <v>10.9605</v>
          </cell>
        </row>
        <row r="231">
          <cell r="A231">
            <v>38652</v>
          </cell>
          <cell r="B231">
            <v>8.5500000000000007</v>
          </cell>
          <cell r="C231">
            <v>8.6199999999999992</v>
          </cell>
          <cell r="D231">
            <v>8.48</v>
          </cell>
          <cell r="E231">
            <v>8.5399999999999991</v>
          </cell>
          <cell r="F231">
            <v>0</v>
          </cell>
          <cell r="G231">
            <v>130559</v>
          </cell>
          <cell r="H231">
            <v>1115626.655</v>
          </cell>
          <cell r="I231">
            <v>10.936999999999999</v>
          </cell>
          <cell r="J231">
            <v>11.002000000000001</v>
          </cell>
          <cell r="K231">
            <v>10.9695</v>
          </cell>
        </row>
        <row r="232">
          <cell r="A232">
            <v>38653</v>
          </cell>
          <cell r="B232">
            <v>8.5</v>
          </cell>
          <cell r="C232">
            <v>8.59</v>
          </cell>
          <cell r="D232">
            <v>8.5</v>
          </cell>
          <cell r="E232">
            <v>8.52</v>
          </cell>
          <cell r="F232">
            <v>-2.3419203747072626E-3</v>
          </cell>
          <cell r="G232">
            <v>84784</v>
          </cell>
          <cell r="H232">
            <v>721511.84</v>
          </cell>
          <cell r="I232">
            <v>10.938000000000001</v>
          </cell>
          <cell r="J232">
            <v>11.004</v>
          </cell>
          <cell r="K232">
            <v>10.971</v>
          </cell>
        </row>
        <row r="233">
          <cell r="A233">
            <v>38656</v>
          </cell>
          <cell r="B233">
            <v>8.5500000000000007</v>
          </cell>
          <cell r="C233">
            <v>8.65</v>
          </cell>
          <cell r="D233">
            <v>8.5500000000000007</v>
          </cell>
          <cell r="E233">
            <v>8.65</v>
          </cell>
          <cell r="F233">
            <v>1.5258215962441479E-2</v>
          </cell>
          <cell r="G233">
            <v>47878</v>
          </cell>
          <cell r="H233">
            <v>411750.80000000005</v>
          </cell>
          <cell r="I233">
            <v>10.92</v>
          </cell>
          <cell r="J233">
            <v>10.986000000000001</v>
          </cell>
          <cell r="K233">
            <v>10.952999999999999</v>
          </cell>
        </row>
      </sheetData>
      <sheetData sheetId="2" refreshError="1">
        <row r="1">
          <cell r="B1" t="str">
            <v>Ouverture</v>
          </cell>
          <cell r="C1" t="str">
            <v>Plus haut</v>
          </cell>
          <cell r="D1" t="str">
            <v>Plus bas</v>
          </cell>
          <cell r="E1" t="str">
            <v>Clôture</v>
          </cell>
          <cell r="F1" t="str">
            <v>Perf</v>
          </cell>
          <cell r="G1" t="str">
            <v>Quantité</v>
          </cell>
          <cell r="H1" t="str">
            <v>Volume</v>
          </cell>
        </row>
        <row r="2">
          <cell r="A2">
            <v>38331</v>
          </cell>
          <cell r="B2">
            <v>68.282368000000005</v>
          </cell>
          <cell r="E2">
            <v>68.282368000000005</v>
          </cell>
        </row>
        <row r="3">
          <cell r="A3">
            <v>38334</v>
          </cell>
          <cell r="B3">
            <v>87.016799999999989</v>
          </cell>
          <cell r="C3">
            <v>87.57459999999999</v>
          </cell>
          <cell r="D3">
            <v>78.649799999999985</v>
          </cell>
          <cell r="E3">
            <v>79.319159999999997</v>
          </cell>
          <cell r="F3">
            <v>0.16163458185867241</v>
          </cell>
          <cell r="G3">
            <v>13249002</v>
          </cell>
          <cell r="H3">
            <v>1101892733.3559599</v>
          </cell>
        </row>
        <row r="4">
          <cell r="A4">
            <v>38335</v>
          </cell>
          <cell r="B4">
            <v>80.352000000000004</v>
          </cell>
          <cell r="C4">
            <v>83.923199999999994</v>
          </cell>
          <cell r="D4">
            <v>80.017200000000003</v>
          </cell>
          <cell r="E4">
            <v>81.468000000000004</v>
          </cell>
          <cell r="F4">
            <v>2.7091058452964001E-2</v>
          </cell>
          <cell r="G4">
            <v>3357365</v>
          </cell>
          <cell r="H4">
            <v>271644402.14999998</v>
          </cell>
        </row>
        <row r="5">
          <cell r="A5">
            <v>38336</v>
          </cell>
          <cell r="B5">
            <v>81.573849999999993</v>
          </cell>
          <cell r="C5">
            <v>82.132575000000003</v>
          </cell>
          <cell r="D5">
            <v>79.897675000000007</v>
          </cell>
          <cell r="E5">
            <v>81.797340000000005</v>
          </cell>
          <cell r="F5">
            <v>4.0425688613934252E-3</v>
          </cell>
          <cell r="G5">
            <v>1792571</v>
          </cell>
          <cell r="H5">
            <v>146427228.71474501</v>
          </cell>
        </row>
        <row r="6">
          <cell r="A6">
            <v>38337</v>
          </cell>
          <cell r="B6">
            <v>81.559249999999992</v>
          </cell>
          <cell r="C6">
            <v>82.006149999999991</v>
          </cell>
          <cell r="D6">
            <v>80.441999999999993</v>
          </cell>
          <cell r="E6">
            <v>81.559249999999992</v>
          </cell>
          <cell r="F6">
            <v>-2.9107303489332992E-3</v>
          </cell>
          <cell r="G6">
            <v>1688164</v>
          </cell>
          <cell r="H6">
            <v>137685389.71699998</v>
          </cell>
        </row>
        <row r="7">
          <cell r="A7">
            <v>38338</v>
          </cell>
          <cell r="B7">
            <v>81.28714500000001</v>
          </cell>
          <cell r="C7">
            <v>82.513700000000014</v>
          </cell>
          <cell r="D7">
            <v>80.618115000000017</v>
          </cell>
          <cell r="E7">
            <v>81.398650000000004</v>
          </cell>
          <cell r="F7">
            <v>-1.9691206086371871E-3</v>
          </cell>
          <cell r="G7">
            <v>1169935</v>
          </cell>
          <cell r="H7">
            <v>95165902.786662504</v>
          </cell>
        </row>
        <row r="8">
          <cell r="A8">
            <v>38341</v>
          </cell>
          <cell r="B8">
            <v>82.460430000000002</v>
          </cell>
          <cell r="C8">
            <v>83.019104999999996</v>
          </cell>
          <cell r="D8">
            <v>81.566550000000007</v>
          </cell>
          <cell r="E8">
            <v>81.678285000000002</v>
          </cell>
          <cell r="F8">
            <v>3.435376385234834E-3</v>
          </cell>
          <cell r="G8">
            <v>762860</v>
          </cell>
          <cell r="H8">
            <v>62607430.062449999</v>
          </cell>
        </row>
        <row r="9">
          <cell r="A9">
            <v>38342</v>
          </cell>
          <cell r="B9">
            <v>82.117874999999998</v>
          </cell>
          <cell r="C9">
            <v>83.905474999999996</v>
          </cell>
          <cell r="D9">
            <v>81.894424999999998</v>
          </cell>
          <cell r="E9">
            <v>83.793749999999989</v>
          </cell>
          <cell r="F9">
            <v>2.5899968394292205E-2</v>
          </cell>
          <cell r="G9">
            <v>1171446</v>
          </cell>
          <cell r="H9">
            <v>97178254.729874998</v>
          </cell>
        </row>
        <row r="10">
          <cell r="A10">
            <v>38343</v>
          </cell>
          <cell r="B10">
            <v>84.903399999999991</v>
          </cell>
          <cell r="C10">
            <v>88.254850000000005</v>
          </cell>
          <cell r="D10">
            <v>84.791685000000001</v>
          </cell>
          <cell r="E10">
            <v>87.249414999999999</v>
          </cell>
          <cell r="F10">
            <v>4.1240128291191391E-2</v>
          </cell>
          <cell r="G10">
            <v>1332226</v>
          </cell>
          <cell r="H10">
            <v>114673228.05809498</v>
          </cell>
        </row>
        <row r="11">
          <cell r="A11">
            <v>38344</v>
          </cell>
          <cell r="B11">
            <v>87.798324999999991</v>
          </cell>
          <cell r="C11">
            <v>88.357550000000003</v>
          </cell>
          <cell r="D11">
            <v>86.903565</v>
          </cell>
          <cell r="E11">
            <v>88.357550000000003</v>
          </cell>
          <cell r="F11">
            <v>1.2700772836127472E-2</v>
          </cell>
          <cell r="G11">
            <v>474084</v>
          </cell>
          <cell r="H11">
            <v>41756340.921749994</v>
          </cell>
        </row>
        <row r="12">
          <cell r="A12">
            <v>38345</v>
          </cell>
          <cell r="B12">
            <v>88.4405</v>
          </cell>
          <cell r="C12">
            <v>88.4405</v>
          </cell>
          <cell r="D12">
            <v>85.641750000000002</v>
          </cell>
          <cell r="E12">
            <v>86.649300000000011</v>
          </cell>
          <cell r="F12">
            <v>-1.9333378981196248E-2</v>
          </cell>
          <cell r="G12">
            <v>328512</v>
          </cell>
          <cell r="H12">
            <v>28759550.188800003</v>
          </cell>
        </row>
        <row r="13">
          <cell r="A13">
            <v>38348</v>
          </cell>
          <cell r="B13">
            <v>87.548810000000003</v>
          </cell>
          <cell r="C13">
            <v>89.340090000000004</v>
          </cell>
          <cell r="D13">
            <v>86.765124999999998</v>
          </cell>
          <cell r="E13">
            <v>88.444450000000003</v>
          </cell>
          <cell r="F13">
            <v>2.0717420683144416E-2</v>
          </cell>
          <cell r="G13">
            <v>182716</v>
          </cell>
          <cell r="H13">
            <v>16078392.247080002</v>
          </cell>
        </row>
        <row r="14">
          <cell r="A14">
            <v>38349</v>
          </cell>
          <cell r="B14">
            <v>88.562950000000001</v>
          </cell>
          <cell r="C14">
            <v>89.459789999999998</v>
          </cell>
          <cell r="D14">
            <v>88.002424999999988</v>
          </cell>
          <cell r="E14">
            <v>89.347684999999998</v>
          </cell>
          <cell r="F14">
            <v>1.0212455388664887E-2</v>
          </cell>
          <cell r="G14">
            <v>286752</v>
          </cell>
          <cell r="H14">
            <v>25508115.203760002</v>
          </cell>
        </row>
        <row r="15">
          <cell r="A15">
            <v>38350</v>
          </cell>
          <cell r="B15">
            <v>89.391959999999997</v>
          </cell>
          <cell r="C15">
            <v>90.400140000000007</v>
          </cell>
          <cell r="D15">
            <v>88.607820000000004</v>
          </cell>
          <cell r="E15">
            <v>90.176100000000005</v>
          </cell>
          <cell r="F15">
            <v>9.2718126944195678E-3</v>
          </cell>
          <cell r="G15">
            <v>684172</v>
          </cell>
          <cell r="H15">
            <v>61427719.373160005</v>
          </cell>
        </row>
        <row r="16">
          <cell r="A16">
            <v>38351</v>
          </cell>
          <cell r="B16">
            <v>90.752399999999994</v>
          </cell>
          <cell r="C16">
            <v>94.897880000000015</v>
          </cell>
          <cell r="D16">
            <v>90.752399999999994</v>
          </cell>
          <cell r="E16">
            <v>94.337680000000006</v>
          </cell>
          <cell r="F16">
            <v>4.6149478631255958E-2</v>
          </cell>
          <cell r="G16">
            <v>707464</v>
          </cell>
          <cell r="H16">
            <v>65472284.178560004</v>
          </cell>
        </row>
        <row r="17">
          <cell r="A17">
            <v>38352</v>
          </cell>
          <cell r="B17">
            <v>95.293499999999995</v>
          </cell>
          <cell r="C17">
            <v>95.741939999999971</v>
          </cell>
          <cell r="D17">
            <v>94.172399999999996</v>
          </cell>
          <cell r="E17">
            <v>94.284509999999983</v>
          </cell>
          <cell r="F17">
            <v>-5.6361360593160104E-4</v>
          </cell>
          <cell r="G17">
            <v>72294</v>
          </cell>
          <cell r="H17">
            <v>6852676.327469999</v>
          </cell>
        </row>
        <row r="18">
          <cell r="A18">
            <v>38355</v>
          </cell>
          <cell r="B18">
            <v>95.197114999999997</v>
          </cell>
          <cell r="C18">
            <v>95.868305000000007</v>
          </cell>
          <cell r="D18">
            <v>93.966600000000014</v>
          </cell>
          <cell r="E18">
            <v>95.308980000000005</v>
          </cell>
          <cell r="F18">
            <v>1.0865729694093051E-2</v>
          </cell>
          <cell r="G18">
            <v>350330</v>
          </cell>
          <cell r="H18">
            <v>33370000.130675003</v>
          </cell>
        </row>
        <row r="19">
          <cell r="A19">
            <v>38356</v>
          </cell>
          <cell r="B19">
            <v>95.181179999999998</v>
          </cell>
          <cell r="C19">
            <v>95.181179999999998</v>
          </cell>
          <cell r="D19">
            <v>90.600864999999999</v>
          </cell>
          <cell r="E19">
            <v>91.829730000000012</v>
          </cell>
          <cell r="F19">
            <v>-3.650495472724602E-2</v>
          </cell>
          <cell r="G19">
            <v>498909</v>
          </cell>
          <cell r="H19">
            <v>46650713.048595004</v>
          </cell>
        </row>
        <row r="20">
          <cell r="A20">
            <v>38357</v>
          </cell>
          <cell r="B20">
            <v>91.434100000000001</v>
          </cell>
          <cell r="C20">
            <v>91.768615000000011</v>
          </cell>
          <cell r="D20">
            <v>90.319050000000004</v>
          </cell>
          <cell r="E20">
            <v>90.876575000000017</v>
          </cell>
          <cell r="F20">
            <v>-1.0379590574860598E-2</v>
          </cell>
          <cell r="G20">
            <v>351322</v>
          </cell>
          <cell r="H20">
            <v>32024875.481175002</v>
          </cell>
        </row>
        <row r="21">
          <cell r="A21">
            <v>38358</v>
          </cell>
          <cell r="B21">
            <v>90.819524999999999</v>
          </cell>
          <cell r="C21">
            <v>91.488135</v>
          </cell>
          <cell r="D21">
            <v>84.690599999999989</v>
          </cell>
          <cell r="E21">
            <v>88.590824999999995</v>
          </cell>
          <cell r="F21">
            <v>-2.5152246329706252E-2</v>
          </cell>
          <cell r="G21">
            <v>539740</v>
          </cell>
          <cell r="H21">
            <v>48417471.1545</v>
          </cell>
        </row>
        <row r="22">
          <cell r="A22">
            <v>38359</v>
          </cell>
          <cell r="B22">
            <v>88.7697</v>
          </cell>
          <cell r="C22">
            <v>91.002900000000011</v>
          </cell>
          <cell r="D22">
            <v>88.211400000000012</v>
          </cell>
          <cell r="E22">
            <v>89.328000000000003</v>
          </cell>
          <cell r="F22">
            <v>8.3211212899305664E-3</v>
          </cell>
          <cell r="G22">
            <v>262255</v>
          </cell>
          <cell r="H22">
            <v>23353506.156750001</v>
          </cell>
        </row>
        <row r="23">
          <cell r="A23">
            <v>38362</v>
          </cell>
          <cell r="B23">
            <v>89.942519999999988</v>
          </cell>
          <cell r="C23">
            <v>89.942519999999988</v>
          </cell>
          <cell r="D23">
            <v>85.155974999999998</v>
          </cell>
          <cell r="E23">
            <v>86.491754999999984</v>
          </cell>
          <cell r="F23">
            <v>-3.17509067705537E-2</v>
          </cell>
          <cell r="G23">
            <v>123663</v>
          </cell>
          <cell r="H23">
            <v>10909195.874662498</v>
          </cell>
        </row>
        <row r="24">
          <cell r="A24">
            <v>38363</v>
          </cell>
          <cell r="B24">
            <v>87.048329999999993</v>
          </cell>
          <cell r="C24">
            <v>87.048329999999993</v>
          </cell>
          <cell r="D24">
            <v>84.042824999999993</v>
          </cell>
          <cell r="E24">
            <v>85.155974999999998</v>
          </cell>
          <cell r="F24">
            <v>-1.5444015444015302E-2</v>
          </cell>
          <cell r="G24">
            <v>501840</v>
          </cell>
          <cell r="H24">
            <v>43209504.210599996</v>
          </cell>
        </row>
        <row r="25">
          <cell r="A25">
            <v>38364</v>
          </cell>
          <cell r="B25">
            <v>84.059690000000003</v>
          </cell>
          <cell r="C25">
            <v>86.17790500000001</v>
          </cell>
          <cell r="D25">
            <v>84.059690000000003</v>
          </cell>
          <cell r="E25">
            <v>85.843450000000004</v>
          </cell>
          <cell r="F25">
            <v>8.0731269884468659E-3</v>
          </cell>
          <cell r="G25">
            <v>452055</v>
          </cell>
          <cell r="H25">
            <v>38402781.976350002</v>
          </cell>
        </row>
        <row r="26">
          <cell r="A26">
            <v>38365</v>
          </cell>
          <cell r="B26">
            <v>86.297129999999996</v>
          </cell>
          <cell r="C26">
            <v>89.195999999999998</v>
          </cell>
          <cell r="D26">
            <v>86.297129999999996</v>
          </cell>
          <cell r="E26">
            <v>87.858059999999995</v>
          </cell>
          <cell r="F26">
            <v>2.3468418382532219E-2</v>
          </cell>
          <cell r="G26">
            <v>306056</v>
          </cell>
          <cell r="H26">
            <v>26650620.415320002</v>
          </cell>
        </row>
        <row r="27">
          <cell r="A27">
            <v>38366</v>
          </cell>
          <cell r="B27">
            <v>87.462149999999994</v>
          </cell>
          <cell r="C27">
            <v>88.463624999999993</v>
          </cell>
          <cell r="D27">
            <v>87.128325000000004</v>
          </cell>
          <cell r="E27">
            <v>87.573425</v>
          </cell>
          <cell r="F27">
            <v>-3.2397141480245972E-3</v>
          </cell>
          <cell r="G27">
            <v>205461</v>
          </cell>
          <cell r="H27">
            <v>17981492.137537498</v>
          </cell>
        </row>
        <row r="28">
          <cell r="A28">
            <v>38369</v>
          </cell>
          <cell r="B28">
            <v>87.589165000000008</v>
          </cell>
          <cell r="C28">
            <v>87.589165000000008</v>
          </cell>
          <cell r="D28">
            <v>85.697150000000008</v>
          </cell>
          <cell r="E28">
            <v>86.810100000000006</v>
          </cell>
          <cell r="F28">
            <v>-8.7163999809302117E-3</v>
          </cell>
          <cell r="G28">
            <v>329953</v>
          </cell>
          <cell r="H28">
            <v>28771780.342272501</v>
          </cell>
        </row>
        <row r="29">
          <cell r="A29">
            <v>38370</v>
          </cell>
          <cell r="B29">
            <v>86.747699999999995</v>
          </cell>
          <cell r="C29">
            <v>87.859849999999994</v>
          </cell>
          <cell r="D29">
            <v>86.747699999999995</v>
          </cell>
          <cell r="E29">
            <v>86.970129999999997</v>
          </cell>
          <cell r="F29">
            <v>1.8434490917531576E-3</v>
          </cell>
          <cell r="G29">
            <v>144431</v>
          </cell>
          <cell r="H29">
            <v>12545119.952365</v>
          </cell>
        </row>
        <row r="30">
          <cell r="A30">
            <v>38371</v>
          </cell>
          <cell r="B30">
            <v>86.318359999999998</v>
          </cell>
          <cell r="C30">
            <v>87.653179999999992</v>
          </cell>
          <cell r="D30">
            <v>86.207125000000005</v>
          </cell>
          <cell r="E30">
            <v>87.319474999999997</v>
          </cell>
          <cell r="F30">
            <v>4.0168388847987568E-3</v>
          </cell>
          <cell r="G30">
            <v>142158</v>
          </cell>
          <cell r="H30">
            <v>12342003.673965</v>
          </cell>
        </row>
        <row r="31">
          <cell r="A31">
            <v>38372</v>
          </cell>
          <cell r="B31">
            <v>87.733450000000005</v>
          </cell>
          <cell r="C31">
            <v>88.843999999999994</v>
          </cell>
          <cell r="D31">
            <v>86.845010000000002</v>
          </cell>
          <cell r="E31">
            <v>88.843999999999994</v>
          </cell>
          <cell r="F31">
            <v>1.7459163605827888E-2</v>
          </cell>
          <cell r="G31">
            <v>140961</v>
          </cell>
          <cell r="H31">
            <v>12445266.964725001</v>
          </cell>
        </row>
        <row r="32">
          <cell r="A32">
            <v>38373</v>
          </cell>
          <cell r="B32">
            <v>88.843999999999994</v>
          </cell>
          <cell r="C32">
            <v>88.843999999999994</v>
          </cell>
          <cell r="D32">
            <v>87.955559999999991</v>
          </cell>
          <cell r="E32">
            <v>88.288724999999999</v>
          </cell>
          <cell r="F32">
            <v>-6.2499999999999778E-3</v>
          </cell>
          <cell r="G32">
            <v>143957</v>
          </cell>
          <cell r="H32">
            <v>12749747.8464125</v>
          </cell>
        </row>
        <row r="33">
          <cell r="A33">
            <v>38376</v>
          </cell>
          <cell r="B33">
            <v>87.875650000000007</v>
          </cell>
          <cell r="C33">
            <v>88.431825000000003</v>
          </cell>
          <cell r="D33">
            <v>86.318359999999998</v>
          </cell>
          <cell r="E33">
            <v>86.54083</v>
          </cell>
          <cell r="F33">
            <v>-1.9797488297628063E-2</v>
          </cell>
          <cell r="G33">
            <v>87332</v>
          </cell>
          <cell r="H33">
            <v>7616070.0156800002</v>
          </cell>
        </row>
        <row r="34">
          <cell r="A34">
            <v>38377</v>
          </cell>
          <cell r="B34">
            <v>87.728909999999999</v>
          </cell>
          <cell r="C34">
            <v>87.840100000000007</v>
          </cell>
          <cell r="D34">
            <v>86.283439999999999</v>
          </cell>
          <cell r="E34">
            <v>87.172960000000003</v>
          </cell>
          <cell r="F34">
            <v>7.3044134196540433E-3</v>
          </cell>
          <cell r="G34">
            <v>57612</v>
          </cell>
          <cell r="H34">
            <v>5038223.2672199998</v>
          </cell>
        </row>
        <row r="35">
          <cell r="A35">
            <v>38378</v>
          </cell>
          <cell r="B35">
            <v>86.199375000000003</v>
          </cell>
          <cell r="C35">
            <v>86.755499999999998</v>
          </cell>
          <cell r="D35">
            <v>85.643250000000009</v>
          </cell>
          <cell r="E35">
            <v>86.199375000000003</v>
          </cell>
          <cell r="F35">
            <v>-1.1168428833895239E-2</v>
          </cell>
          <cell r="G35">
            <v>284511</v>
          </cell>
          <cell r="H35">
            <v>24524670.380625002</v>
          </cell>
        </row>
        <row r="36">
          <cell r="A36">
            <v>38379</v>
          </cell>
          <cell r="B36">
            <v>86.605324999999993</v>
          </cell>
          <cell r="C36">
            <v>87.717074999999994</v>
          </cell>
          <cell r="D36">
            <v>86.271799999999999</v>
          </cell>
          <cell r="E36">
            <v>86.827674999999999</v>
          </cell>
          <cell r="F36">
            <v>7.2889159579172524E-3</v>
          </cell>
          <cell r="G36">
            <v>54884</v>
          </cell>
          <cell r="H36">
            <v>4759348.3859999999</v>
          </cell>
        </row>
        <row r="37">
          <cell r="A37">
            <v>38380</v>
          </cell>
          <cell r="B37">
            <v>86.529160000000005</v>
          </cell>
          <cell r="C37">
            <v>88.531120000000001</v>
          </cell>
          <cell r="D37">
            <v>86.195499999999996</v>
          </cell>
          <cell r="E37">
            <v>86.417939999999987</v>
          </cell>
          <cell r="F37">
            <v>-4.7189447373778837E-3</v>
          </cell>
          <cell r="G37">
            <v>149820</v>
          </cell>
          <cell r="H37">
            <v>12955467.260999998</v>
          </cell>
        </row>
        <row r="38">
          <cell r="A38">
            <v>38383</v>
          </cell>
          <cell r="B38">
            <v>86.50582</v>
          </cell>
          <cell r="C38">
            <v>87.840100000000007</v>
          </cell>
          <cell r="D38">
            <v>86.172249999999991</v>
          </cell>
          <cell r="E38">
            <v>86.839389999999995</v>
          </cell>
          <cell r="F38">
            <v>4.8768808883896675E-3</v>
          </cell>
          <cell r="G38">
            <v>491201</v>
          </cell>
          <cell r="H38">
            <v>42573670.248605005</v>
          </cell>
        </row>
        <row r="39">
          <cell r="A39">
            <v>38384</v>
          </cell>
          <cell r="B39">
            <v>86.819864999999993</v>
          </cell>
          <cell r="C39">
            <v>88.932000000000002</v>
          </cell>
          <cell r="D39">
            <v>86.819864999999993</v>
          </cell>
          <cell r="E39">
            <v>87.709185000000005</v>
          </cell>
          <cell r="F39">
            <v>1.0016134383256325E-2</v>
          </cell>
          <cell r="G39">
            <v>197595</v>
          </cell>
          <cell r="H39">
            <v>17243033.817374997</v>
          </cell>
        </row>
        <row r="40">
          <cell r="A40">
            <v>38385</v>
          </cell>
          <cell r="B40">
            <v>88.439774999999997</v>
          </cell>
          <cell r="C40">
            <v>88.551019999999994</v>
          </cell>
          <cell r="D40">
            <v>87.549814999999995</v>
          </cell>
          <cell r="E40">
            <v>87.994794999999996</v>
          </cell>
          <cell r="F40">
            <v>3.2563294254757125E-3</v>
          </cell>
          <cell r="G40">
            <v>303766</v>
          </cell>
          <cell r="H40">
            <v>26797411.795310002</v>
          </cell>
        </row>
        <row r="41">
          <cell r="A41">
            <v>38386</v>
          </cell>
          <cell r="B41">
            <v>87.963480000000004</v>
          </cell>
          <cell r="C41">
            <v>87.963480000000004</v>
          </cell>
          <cell r="D41">
            <v>88.074545000000001</v>
          </cell>
          <cell r="E41">
            <v>87.186025000000001</v>
          </cell>
          <cell r="F41">
            <v>-9.1911118151931648E-3</v>
          </cell>
          <cell r="G41">
            <v>402280</v>
          </cell>
          <cell r="H41">
            <v>35229571.435699999</v>
          </cell>
        </row>
        <row r="42">
          <cell r="A42">
            <v>38387</v>
          </cell>
          <cell r="B42">
            <v>86.860650000000007</v>
          </cell>
          <cell r="C42">
            <v>86.860650000000007</v>
          </cell>
          <cell r="D42">
            <v>87.416025000000005</v>
          </cell>
          <cell r="E42">
            <v>87.193874999999991</v>
          </cell>
          <cell r="F42">
            <v>9.0037365506612232E-5</v>
          </cell>
          <cell r="G42">
            <v>105388</v>
          </cell>
          <cell r="H42">
            <v>9171629.1403500009</v>
          </cell>
        </row>
        <row r="43">
          <cell r="A43">
            <v>38390</v>
          </cell>
          <cell r="B43">
            <v>89.270475000000005</v>
          </cell>
          <cell r="C43">
            <v>89.270475000000005</v>
          </cell>
          <cell r="D43">
            <v>89.270475000000005</v>
          </cell>
          <cell r="E43">
            <v>87.717945</v>
          </cell>
          <cell r="F43">
            <v>6.0103992396256523E-3</v>
          </cell>
          <cell r="G43">
            <v>562895</v>
          </cell>
          <cell r="H43">
            <v>49812948.337950006</v>
          </cell>
        </row>
        <row r="44">
          <cell r="A44">
            <v>38391</v>
          </cell>
          <cell r="B44">
            <v>87.713999999999999</v>
          </cell>
          <cell r="C44">
            <v>87.713999999999999</v>
          </cell>
          <cell r="D44">
            <v>87.713999999999999</v>
          </cell>
          <cell r="E44">
            <v>87.381749999999997</v>
          </cell>
          <cell r="F44">
            <v>-3.8326821267872235E-3</v>
          </cell>
          <cell r="G44">
            <v>132780</v>
          </cell>
          <cell r="H44">
            <v>11624606.842500001</v>
          </cell>
        </row>
        <row r="45">
          <cell r="A45">
            <v>38392</v>
          </cell>
          <cell r="B45">
            <v>87.152379999999994</v>
          </cell>
          <cell r="C45">
            <v>87.152379999999994</v>
          </cell>
          <cell r="D45">
            <v>87.4846</v>
          </cell>
          <cell r="E45">
            <v>87.373859999999993</v>
          </cell>
          <cell r="F45">
            <v>-9.0293453724688E-5</v>
          </cell>
          <cell r="G45">
            <v>164958</v>
          </cell>
          <cell r="H45">
            <v>14394749.748959998</v>
          </cell>
        </row>
        <row r="46">
          <cell r="A46">
            <v>38393</v>
          </cell>
          <cell r="B46">
            <v>86.850359999999995</v>
          </cell>
          <cell r="C46">
            <v>86.850359999999995</v>
          </cell>
          <cell r="D46">
            <v>87.626799999999989</v>
          </cell>
          <cell r="E46">
            <v>87.072199999999981</v>
          </cell>
          <cell r="F46">
            <v>-3.4525200099894127E-3</v>
          </cell>
          <cell r="G46">
            <v>107255</v>
          </cell>
          <cell r="H46">
            <v>9327032.0863999985</v>
          </cell>
        </row>
        <row r="47">
          <cell r="A47">
            <v>38394</v>
          </cell>
          <cell r="B47">
            <v>87.515879999999981</v>
          </cell>
          <cell r="C47">
            <v>87.515879999999981</v>
          </cell>
          <cell r="D47">
            <v>87.515879999999981</v>
          </cell>
          <cell r="E47">
            <v>85.741159999999994</v>
          </cell>
          <cell r="F47">
            <v>-1.5286624203821542E-2</v>
          </cell>
          <cell r="G47">
            <v>82183</v>
          </cell>
          <cell r="H47">
            <v>7119391.6591599984</v>
          </cell>
        </row>
        <row r="48">
          <cell r="A48">
            <v>38397</v>
          </cell>
          <cell r="B48">
            <v>86.657999999999987</v>
          </cell>
          <cell r="C48">
            <v>86.657999999999987</v>
          </cell>
          <cell r="D48">
            <v>86.657999999999987</v>
          </cell>
          <cell r="E48">
            <v>86.657999999999987</v>
          </cell>
          <cell r="F48">
            <v>1.069311401898454E-2</v>
          </cell>
          <cell r="G48">
            <v>233689</v>
          </cell>
          <cell r="H48">
            <v>20251021.361999996</v>
          </cell>
        </row>
        <row r="49">
          <cell r="A49">
            <v>38398</v>
          </cell>
          <cell r="B49">
            <v>86.704799999999992</v>
          </cell>
          <cell r="C49">
            <v>86.704799999999992</v>
          </cell>
          <cell r="D49">
            <v>87.260599999999997</v>
          </cell>
          <cell r="E49">
            <v>87.149439999999998</v>
          </cell>
          <cell r="F49">
            <v>5.6710286413257371E-3</v>
          </cell>
          <cell r="G49">
            <v>287811</v>
          </cell>
          <cell r="H49">
            <v>25018581.334320001</v>
          </cell>
        </row>
        <row r="50">
          <cell r="A50">
            <v>38399</v>
          </cell>
          <cell r="B50">
            <v>86.724299999999999</v>
          </cell>
          <cell r="C50">
            <v>86.724299999999999</v>
          </cell>
          <cell r="D50">
            <v>86.724299999999999</v>
          </cell>
          <cell r="E50">
            <v>86.390744999999995</v>
          </cell>
          <cell r="F50">
            <v>-8.7056784300622025E-3</v>
          </cell>
          <cell r="G50">
            <v>340981</v>
          </cell>
          <cell r="H50">
            <v>29514470.579572503</v>
          </cell>
        </row>
        <row r="51">
          <cell r="A51">
            <v>38400</v>
          </cell>
          <cell r="B51">
            <v>86.716499999999996</v>
          </cell>
          <cell r="C51">
            <v>86.716499999999996</v>
          </cell>
          <cell r="D51">
            <v>87.717074999999994</v>
          </cell>
          <cell r="E51">
            <v>86.827674999999999</v>
          </cell>
          <cell r="F51">
            <v>5.0576019456713972E-3</v>
          </cell>
          <cell r="G51">
            <v>73706</v>
          </cell>
          <cell r="H51">
            <v>6395623.4812749997</v>
          </cell>
        </row>
        <row r="52">
          <cell r="A52">
            <v>38401</v>
          </cell>
          <cell r="B52">
            <v>87.196479999999994</v>
          </cell>
          <cell r="C52">
            <v>87.196479999999994</v>
          </cell>
          <cell r="D52">
            <v>87.752579999999995</v>
          </cell>
          <cell r="E52">
            <v>87.752579999999995</v>
          </cell>
          <cell r="F52">
            <v>1.0652191251234067E-2</v>
          </cell>
          <cell r="G52">
            <v>784705</v>
          </cell>
          <cell r="H52">
            <v>68641701.063649997</v>
          </cell>
        </row>
        <row r="53">
          <cell r="A53">
            <v>38404</v>
          </cell>
          <cell r="B53">
            <v>87.426780000000008</v>
          </cell>
          <cell r="C53">
            <v>87.426780000000008</v>
          </cell>
          <cell r="D53">
            <v>87.426780000000008</v>
          </cell>
          <cell r="E53">
            <v>87.315550000000002</v>
          </cell>
          <cell r="F53">
            <v>-4.9802524324640274E-3</v>
          </cell>
          <cell r="G53">
            <v>194726</v>
          </cell>
          <cell r="H53">
            <v>17013437.475790001</v>
          </cell>
        </row>
        <row r="54">
          <cell r="A54">
            <v>38405</v>
          </cell>
          <cell r="B54">
            <v>86.942700000000002</v>
          </cell>
          <cell r="C54">
            <v>86.942700000000002</v>
          </cell>
          <cell r="D54">
            <v>87.388559999999998</v>
          </cell>
          <cell r="E54">
            <v>86.942700000000002</v>
          </cell>
          <cell r="F54">
            <v>-4.2701443213722934E-3</v>
          </cell>
          <cell r="G54">
            <v>367537</v>
          </cell>
          <cell r="H54">
            <v>31954659.129900001</v>
          </cell>
        </row>
        <row r="55">
          <cell r="A55">
            <v>38406</v>
          </cell>
          <cell r="B55">
            <v>85.843450000000004</v>
          </cell>
          <cell r="C55">
            <v>85.843450000000004</v>
          </cell>
          <cell r="D55">
            <v>87.515725000000003</v>
          </cell>
          <cell r="E55">
            <v>87.404240000000001</v>
          </cell>
          <cell r="F55">
            <v>5.3085537946255812E-3</v>
          </cell>
          <cell r="G55">
            <v>49266</v>
          </cell>
          <cell r="H55">
            <v>4267610.3477699999</v>
          </cell>
        </row>
        <row r="56">
          <cell r="A56">
            <v>38407</v>
          </cell>
          <cell r="B56">
            <v>87.419920000000005</v>
          </cell>
          <cell r="C56">
            <v>87.419920000000005</v>
          </cell>
          <cell r="D56">
            <v>87.419920000000005</v>
          </cell>
          <cell r="E56">
            <v>86.416375000000002</v>
          </cell>
          <cell r="F56">
            <v>-1.1302254902050501E-2</v>
          </cell>
          <cell r="G56">
            <v>86380</v>
          </cell>
          <cell r="H56">
            <v>7507989.5810500002</v>
          </cell>
        </row>
        <row r="57">
          <cell r="A57">
            <v>38408</v>
          </cell>
          <cell r="B57">
            <v>86.428000000000011</v>
          </cell>
          <cell r="C57">
            <v>86.428000000000011</v>
          </cell>
          <cell r="D57">
            <v>86.985600000000005</v>
          </cell>
          <cell r="E57">
            <v>86.53952000000001</v>
          </cell>
          <cell r="F57">
            <v>1.4250192744142964E-3</v>
          </cell>
          <cell r="G57">
            <v>80755</v>
          </cell>
          <cell r="H57">
            <v>6983996.0388000011</v>
          </cell>
        </row>
        <row r="58">
          <cell r="A58">
            <v>38411</v>
          </cell>
          <cell r="B58">
            <v>85.878099999999989</v>
          </cell>
          <cell r="C58">
            <v>85.878099999999989</v>
          </cell>
          <cell r="D58">
            <v>88.554819999999992</v>
          </cell>
          <cell r="E58">
            <v>86.435749999999985</v>
          </cell>
          <cell r="F58">
            <v>-1.1991053336096735E-3</v>
          </cell>
          <cell r="G58">
            <v>361270</v>
          </cell>
          <cell r="H58">
            <v>31125912.294749994</v>
          </cell>
        </row>
        <row r="59">
          <cell r="A59">
            <v>38412</v>
          </cell>
          <cell r="B59">
            <v>87.245774999999995</v>
          </cell>
          <cell r="C59">
            <v>87.245774999999995</v>
          </cell>
          <cell r="D59">
            <v>87.245774999999995</v>
          </cell>
          <cell r="E59">
            <v>86.800075000000007</v>
          </cell>
          <cell r="F59">
            <v>4.214980491290099E-3</v>
          </cell>
          <cell r="G59">
            <v>223027</v>
          </cell>
          <cell r="H59">
            <v>19408461.893975001</v>
          </cell>
        </row>
        <row r="60">
          <cell r="A60">
            <v>38413</v>
          </cell>
          <cell r="B60">
            <v>86.253625</v>
          </cell>
          <cell r="C60">
            <v>86.253625</v>
          </cell>
          <cell r="D60">
            <v>86.476214999999996</v>
          </cell>
          <cell r="E60">
            <v>86.031035000000003</v>
          </cell>
          <cell r="F60">
            <v>-8.8599001786576759E-3</v>
          </cell>
          <cell r="G60">
            <v>109012</v>
          </cell>
          <cell r="H60">
            <v>9390547.6779600009</v>
          </cell>
        </row>
        <row r="61">
          <cell r="A61">
            <v>38414</v>
          </cell>
          <cell r="B61">
            <v>86.061954999999998</v>
          </cell>
          <cell r="C61">
            <v>86.061954999999998</v>
          </cell>
          <cell r="D61">
            <v>86.618629999999996</v>
          </cell>
          <cell r="E61">
            <v>86.061954999999998</v>
          </cell>
          <cell r="F61">
            <v>3.5940518441979208E-4</v>
          </cell>
          <cell r="G61">
            <v>210578</v>
          </cell>
          <cell r="H61">
            <v>18122754.359990001</v>
          </cell>
        </row>
        <row r="62">
          <cell r="A62">
            <v>38415</v>
          </cell>
          <cell r="B62">
            <v>85.597439999999992</v>
          </cell>
          <cell r="C62">
            <v>85.597439999999992</v>
          </cell>
          <cell r="D62">
            <v>88.049450000000007</v>
          </cell>
          <cell r="E62">
            <v>87.60363000000001</v>
          </cell>
          <cell r="F62">
            <v>1.7913548443095673E-2</v>
          </cell>
          <cell r="G62">
            <v>64468</v>
          </cell>
          <cell r="H62">
            <v>5582963.2903800001</v>
          </cell>
        </row>
        <row r="63">
          <cell r="A63">
            <v>38418</v>
          </cell>
          <cell r="B63">
            <v>88.582875000000001</v>
          </cell>
          <cell r="C63">
            <v>88.582875000000001</v>
          </cell>
          <cell r="D63">
            <v>89.14</v>
          </cell>
          <cell r="E63">
            <v>83.903025</v>
          </cell>
          <cell r="F63">
            <v>-4.2242598851212065E-2</v>
          </cell>
          <cell r="G63">
            <v>542221</v>
          </cell>
          <cell r="H63">
            <v>46762738.591950007</v>
          </cell>
        </row>
        <row r="64">
          <cell r="A64">
            <v>38419</v>
          </cell>
          <cell r="B64">
            <v>84.551110000000008</v>
          </cell>
          <cell r="C64">
            <v>84.551110000000008</v>
          </cell>
          <cell r="D64">
            <v>84.662655000000001</v>
          </cell>
          <cell r="E64">
            <v>82.431754999999995</v>
          </cell>
          <cell r="F64">
            <v>-1.7535362997937232E-2</v>
          </cell>
          <cell r="G64">
            <v>408883</v>
          </cell>
          <cell r="H64">
            <v>34138227.394897498</v>
          </cell>
        </row>
        <row r="65">
          <cell r="A65">
            <v>38420</v>
          </cell>
          <cell r="B65">
            <v>82.624700000000004</v>
          </cell>
          <cell r="C65">
            <v>82.624700000000004</v>
          </cell>
          <cell r="D65">
            <v>82.624700000000004</v>
          </cell>
          <cell r="E65">
            <v>80.279944999999998</v>
          </cell>
          <cell r="F65">
            <v>-2.6104139114835001E-2</v>
          </cell>
          <cell r="G65">
            <v>601030</v>
          </cell>
          <cell r="H65">
            <v>48955289.392175004</v>
          </cell>
        </row>
        <row r="66">
          <cell r="A66">
            <v>38421</v>
          </cell>
          <cell r="B66">
            <v>80.387795000000011</v>
          </cell>
          <cell r="C66">
            <v>80.387795000000011</v>
          </cell>
          <cell r="D66">
            <v>81.505845000000008</v>
          </cell>
          <cell r="E66">
            <v>80.387795000000011</v>
          </cell>
          <cell r="F66">
            <v>1.3434239398146808E-3</v>
          </cell>
          <cell r="G66">
            <v>479717</v>
          </cell>
          <cell r="H66">
            <v>38563391.854015008</v>
          </cell>
        </row>
        <row r="67">
          <cell r="A67">
            <v>38422</v>
          </cell>
          <cell r="B67">
            <v>80.492400000000004</v>
          </cell>
          <cell r="C67">
            <v>80.492400000000004</v>
          </cell>
          <cell r="D67">
            <v>84.181635000000014</v>
          </cell>
          <cell r="E67">
            <v>83.287275000000008</v>
          </cell>
          <cell r="F67">
            <v>3.6068659427715311E-2</v>
          </cell>
          <cell r="G67">
            <v>268961</v>
          </cell>
          <cell r="H67">
            <v>22025172.583837498</v>
          </cell>
        </row>
        <row r="68">
          <cell r="A68">
            <v>38425</v>
          </cell>
          <cell r="B68">
            <v>85.373179999999991</v>
          </cell>
          <cell r="C68">
            <v>85.373179999999991</v>
          </cell>
          <cell r="D68">
            <v>85.373179999999991</v>
          </cell>
          <cell r="E68">
            <v>83.920495000000003</v>
          </cell>
          <cell r="F68">
            <v>7.6028420908236249E-3</v>
          </cell>
          <cell r="G68">
            <v>359966</v>
          </cell>
          <cell r="H68">
            <v>30469983.507525001</v>
          </cell>
        </row>
        <row r="69">
          <cell r="A69">
            <v>38426</v>
          </cell>
          <cell r="B69">
            <v>84.776505</v>
          </cell>
          <cell r="C69">
            <v>84.776505</v>
          </cell>
          <cell r="D69">
            <v>87.122099999999989</v>
          </cell>
          <cell r="E69">
            <v>85.781759999999991</v>
          </cell>
          <cell r="F69">
            <v>2.2178908739754144E-2</v>
          </cell>
          <cell r="G69">
            <v>255288</v>
          </cell>
          <cell r="H69">
            <v>21770739.17766</v>
          </cell>
        </row>
        <row r="70">
          <cell r="A70">
            <v>38427</v>
          </cell>
          <cell r="B70">
            <v>85.970355000000012</v>
          </cell>
          <cell r="C70">
            <v>85.970355000000012</v>
          </cell>
          <cell r="D70">
            <v>85.970355000000012</v>
          </cell>
          <cell r="E70">
            <v>84.852405000000005</v>
          </cell>
          <cell r="F70">
            <v>-1.0833946517301407E-2</v>
          </cell>
          <cell r="G70">
            <v>66396</v>
          </cell>
          <cell r="H70">
            <v>5670973.9864800004</v>
          </cell>
        </row>
        <row r="71">
          <cell r="A71">
            <v>38428</v>
          </cell>
          <cell r="B71">
            <v>84.873000000000005</v>
          </cell>
          <cell r="C71">
            <v>84.873000000000005</v>
          </cell>
          <cell r="D71">
            <v>85.208025000000006</v>
          </cell>
          <cell r="E71">
            <v>84.314625000000007</v>
          </cell>
          <cell r="F71">
            <v>-6.3378286095721048E-3</v>
          </cell>
          <cell r="G71">
            <v>75694</v>
          </cell>
          <cell r="H71">
            <v>6403244.0433750013</v>
          </cell>
        </row>
        <row r="72">
          <cell r="A72">
            <v>38429</v>
          </cell>
          <cell r="B72">
            <v>84.239125000000001</v>
          </cell>
          <cell r="C72">
            <v>84.239125000000001</v>
          </cell>
          <cell r="D72">
            <v>84.350700000000003</v>
          </cell>
          <cell r="E72">
            <v>84.127549999999999</v>
          </cell>
          <cell r="F72">
            <v>-2.2187728404177154E-3</v>
          </cell>
          <cell r="G72">
            <v>130317</v>
          </cell>
          <cell r="H72">
            <v>10970519.992987499</v>
          </cell>
        </row>
        <row r="73">
          <cell r="A73">
            <v>38432</v>
          </cell>
          <cell r="B73">
            <v>84.125874999999994</v>
          </cell>
          <cell r="C73">
            <v>84.125874999999994</v>
          </cell>
          <cell r="D73">
            <v>86.911500000000004</v>
          </cell>
          <cell r="E73">
            <v>86.020099999999999</v>
          </cell>
          <cell r="F73">
            <v>2.2496197737839729E-2</v>
          </cell>
          <cell r="G73">
            <v>372342</v>
          </cell>
          <cell r="H73">
            <v>31676246.311724998</v>
          </cell>
        </row>
        <row r="74">
          <cell r="A74">
            <v>38433</v>
          </cell>
          <cell r="B74">
            <v>86.354375000000005</v>
          </cell>
          <cell r="C74">
            <v>86.354375000000005</v>
          </cell>
          <cell r="D74">
            <v>86.577224999999999</v>
          </cell>
          <cell r="E74">
            <v>85.797250000000005</v>
          </cell>
          <cell r="F74">
            <v>-2.5906735751294319E-3</v>
          </cell>
          <cell r="G74">
            <v>162539</v>
          </cell>
          <cell r="H74">
            <v>13990676.487937503</v>
          </cell>
        </row>
        <row r="75">
          <cell r="A75">
            <v>38434</v>
          </cell>
          <cell r="B75">
            <v>85.163880000000006</v>
          </cell>
          <cell r="C75">
            <v>85.163880000000006</v>
          </cell>
          <cell r="D75">
            <v>85.275059999999996</v>
          </cell>
          <cell r="E75">
            <v>84.496799999999993</v>
          </cell>
          <cell r="F75">
            <v>-1.5157245715917589E-2</v>
          </cell>
          <cell r="G75">
            <v>86767</v>
          </cell>
          <cell r="H75">
            <v>7360474.1107800007</v>
          </cell>
        </row>
        <row r="76">
          <cell r="A76">
            <v>38435</v>
          </cell>
          <cell r="B76">
            <v>85.018275000000003</v>
          </cell>
          <cell r="C76">
            <v>85.018275000000003</v>
          </cell>
          <cell r="D76">
            <v>85.129410000000007</v>
          </cell>
          <cell r="E76">
            <v>84.351465000000005</v>
          </cell>
          <cell r="F76">
            <v>-1.7200059647227706E-3</v>
          </cell>
          <cell r="G76">
            <v>66229</v>
          </cell>
          <cell r="H76">
            <v>5608594.2552300002</v>
          </cell>
        </row>
        <row r="77">
          <cell r="A77">
            <v>38436</v>
          </cell>
          <cell r="B77">
            <v>85.02</v>
          </cell>
          <cell r="C77">
            <v>85.02</v>
          </cell>
          <cell r="D77">
            <v>85.13</v>
          </cell>
          <cell r="E77">
            <v>84.35</v>
          </cell>
          <cell r="F77">
            <v>0</v>
          </cell>
          <cell r="G77">
            <v>66229</v>
          </cell>
          <cell r="H77">
            <v>5608602.8650000002</v>
          </cell>
        </row>
        <row r="78">
          <cell r="A78">
            <v>38439</v>
          </cell>
          <cell r="B78">
            <v>85.02</v>
          </cell>
          <cell r="C78">
            <v>85.02</v>
          </cell>
          <cell r="D78">
            <v>85.13</v>
          </cell>
          <cell r="E78">
            <v>84.35</v>
          </cell>
          <cell r="F78">
            <v>0</v>
          </cell>
          <cell r="G78">
            <v>66229</v>
          </cell>
          <cell r="H78">
            <v>5608602.8650000002</v>
          </cell>
        </row>
        <row r="79">
          <cell r="A79">
            <v>38440</v>
          </cell>
          <cell r="B79">
            <v>84.796004999999994</v>
          </cell>
          <cell r="C79">
            <v>84.796004999999994</v>
          </cell>
          <cell r="D79">
            <v>84.796004999999994</v>
          </cell>
          <cell r="E79">
            <v>82.351034999999996</v>
          </cell>
          <cell r="F79">
            <v>-2.3698458802608124E-2</v>
          </cell>
          <cell r="G79">
            <v>110468</v>
          </cell>
          <cell r="H79">
            <v>9232199.6073599998</v>
          </cell>
        </row>
        <row r="80">
          <cell r="A80">
            <v>38441</v>
          </cell>
          <cell r="B80">
            <v>83.102800000000002</v>
          </cell>
          <cell r="C80">
            <v>83.102800000000002</v>
          </cell>
          <cell r="D80">
            <v>83.102800000000002</v>
          </cell>
          <cell r="E80">
            <v>81.88069999999999</v>
          </cell>
          <cell r="F80">
            <v>-5.711342911476569E-3</v>
          </cell>
          <cell r="G80">
            <v>98880</v>
          </cell>
          <cell r="H80">
            <v>8156784.2399999993</v>
          </cell>
        </row>
        <row r="81">
          <cell r="A81">
            <v>38442</v>
          </cell>
          <cell r="B81">
            <v>82.447329999999994</v>
          </cell>
          <cell r="C81">
            <v>82.447329999999994</v>
          </cell>
          <cell r="D81">
            <v>84.891859999999994</v>
          </cell>
          <cell r="E81">
            <v>82.225099999999998</v>
          </cell>
          <cell r="F81">
            <v>4.2061193907723116E-3</v>
          </cell>
          <cell r="G81">
            <v>85155</v>
          </cell>
          <cell r="H81">
            <v>7011340.3883249993</v>
          </cell>
        </row>
        <row r="82">
          <cell r="A82">
            <v>38443</v>
          </cell>
          <cell r="B82">
            <v>84.432199999999995</v>
          </cell>
          <cell r="C82">
            <v>84.432199999999995</v>
          </cell>
          <cell r="D82">
            <v>84.432199999999995</v>
          </cell>
          <cell r="E82">
            <v>82.654680000000013</v>
          </cell>
          <cell r="F82">
            <v>5.2244387662649938E-3</v>
          </cell>
          <cell r="G82">
            <v>50774</v>
          </cell>
          <cell r="H82">
            <v>4241834.62256</v>
          </cell>
        </row>
        <row r="83">
          <cell r="A83">
            <v>38446</v>
          </cell>
          <cell r="B83">
            <v>82.073400000000007</v>
          </cell>
          <cell r="C83">
            <v>82.073400000000007</v>
          </cell>
          <cell r="D83">
            <v>83.071590000000015</v>
          </cell>
          <cell r="E83">
            <v>81.962490000000003</v>
          </cell>
          <cell r="F83">
            <v>-8.3744804286945973E-3</v>
          </cell>
          <cell r="G83">
            <v>62795</v>
          </cell>
          <cell r="H83">
            <v>5150316.8562749997</v>
          </cell>
        </row>
        <row r="84">
          <cell r="A84">
            <v>38447</v>
          </cell>
          <cell r="B84">
            <v>83.171250000000001</v>
          </cell>
          <cell r="C84">
            <v>83.171250000000001</v>
          </cell>
          <cell r="D84">
            <v>83.171250000000001</v>
          </cell>
          <cell r="E84">
            <v>83.171250000000001</v>
          </cell>
          <cell r="F84">
            <v>1.4747721793225255E-2</v>
          </cell>
          <cell r="G84">
            <v>19351</v>
          </cell>
          <cell r="H84">
            <v>1609446.8587499999</v>
          </cell>
        </row>
        <row r="85">
          <cell r="A85">
            <v>38448</v>
          </cell>
          <cell r="B85">
            <v>83.193749999999994</v>
          </cell>
          <cell r="C85">
            <v>83.193749999999994</v>
          </cell>
          <cell r="D85">
            <v>83.304674999999989</v>
          </cell>
          <cell r="E85">
            <v>82.195425</v>
          </cell>
          <cell r="F85">
            <v>-1.1732720140673614E-2</v>
          </cell>
          <cell r="G85">
            <v>51168</v>
          </cell>
          <cell r="H85">
            <v>4231316.6531999996</v>
          </cell>
        </row>
        <row r="86">
          <cell r="A86">
            <v>38449</v>
          </cell>
          <cell r="B86">
            <v>83.246249999999989</v>
          </cell>
          <cell r="C86">
            <v>83.246249999999989</v>
          </cell>
          <cell r="D86">
            <v>83.801224999999988</v>
          </cell>
          <cell r="E86">
            <v>83.024259999999998</v>
          </cell>
          <cell r="F86">
            <v>1.0083712080082297E-2</v>
          </cell>
          <cell r="G86">
            <v>133271</v>
          </cell>
          <cell r="H86">
            <v>11079518.569104999</v>
          </cell>
        </row>
        <row r="87">
          <cell r="A87">
            <v>38450</v>
          </cell>
          <cell r="B87">
            <v>83.393039999999985</v>
          </cell>
          <cell r="C87">
            <v>83.393039999999985</v>
          </cell>
          <cell r="D87">
            <v>86.054519999999997</v>
          </cell>
          <cell r="E87">
            <v>84.280199999999994</v>
          </cell>
          <cell r="F87">
            <v>1.5127385658119552E-2</v>
          </cell>
          <cell r="G87">
            <v>322297</v>
          </cell>
          <cell r="H87">
            <v>27020291.116139993</v>
          </cell>
        </row>
        <row r="88">
          <cell r="A88">
            <v>38453</v>
          </cell>
          <cell r="B88">
            <v>84.313514999999995</v>
          </cell>
          <cell r="C88">
            <v>84.313514999999995</v>
          </cell>
          <cell r="D88">
            <v>84.424599999999998</v>
          </cell>
          <cell r="E88">
            <v>83.202664999999996</v>
          </cell>
          <cell r="F88">
            <v>-1.278515001150915E-2</v>
          </cell>
          <cell r="G88">
            <v>55867</v>
          </cell>
          <cell r="H88">
            <v>4679313.2140299994</v>
          </cell>
        </row>
        <row r="89">
          <cell r="A89">
            <v>38454</v>
          </cell>
          <cell r="B89">
            <v>84.314400000000006</v>
          </cell>
          <cell r="C89">
            <v>84.314400000000006</v>
          </cell>
          <cell r="D89">
            <v>84.869100000000017</v>
          </cell>
          <cell r="E89">
            <v>83.315940000000012</v>
          </cell>
          <cell r="F89">
            <v>1.3614347569277374E-3</v>
          </cell>
          <cell r="G89">
            <v>13181</v>
          </cell>
          <cell r="H89">
            <v>1104767.7557700002</v>
          </cell>
        </row>
        <row r="90">
          <cell r="A90">
            <v>38455</v>
          </cell>
          <cell r="B90">
            <v>83.419359999999998</v>
          </cell>
          <cell r="C90">
            <v>83.419359999999998</v>
          </cell>
          <cell r="D90">
            <v>84.306799999999996</v>
          </cell>
          <cell r="E90">
            <v>84.084940000000003</v>
          </cell>
          <cell r="F90">
            <v>9.2299264702526695E-3</v>
          </cell>
          <cell r="G90">
            <v>41640</v>
          </cell>
          <cell r="H90">
            <v>3487439.5260000001</v>
          </cell>
        </row>
        <row r="91">
          <cell r="A91">
            <v>38456</v>
          </cell>
          <cell r="B91">
            <v>83.321599999999989</v>
          </cell>
          <cell r="C91">
            <v>83.321599999999989</v>
          </cell>
          <cell r="D91">
            <v>83.875600000000006</v>
          </cell>
          <cell r="E91">
            <v>83.875600000000006</v>
          </cell>
          <cell r="F91">
            <v>-2.4896253716777395E-3</v>
          </cell>
          <cell r="G91">
            <v>7195</v>
          </cell>
          <cell r="H91">
            <v>601491.92700000003</v>
          </cell>
        </row>
        <row r="92">
          <cell r="A92">
            <v>38457</v>
          </cell>
          <cell r="B92">
            <v>83.605590000000007</v>
          </cell>
          <cell r="C92">
            <v>83.605590000000007</v>
          </cell>
          <cell r="D92">
            <v>83.605590000000007</v>
          </cell>
          <cell r="E92">
            <v>83.050440000000009</v>
          </cell>
          <cell r="F92">
            <v>-9.8379027989069501E-3</v>
          </cell>
          <cell r="G92">
            <v>27363</v>
          </cell>
          <cell r="H92">
            <v>2280104.4744450003</v>
          </cell>
        </row>
        <row r="93">
          <cell r="A93">
            <v>38460</v>
          </cell>
          <cell r="B93">
            <v>85.114090000000004</v>
          </cell>
          <cell r="C93">
            <v>85.114090000000004</v>
          </cell>
          <cell r="D93">
            <v>85.114090000000004</v>
          </cell>
          <cell r="E93">
            <v>82.669560000000004</v>
          </cell>
          <cell r="F93">
            <v>-4.5861286225575837E-3</v>
          </cell>
          <cell r="G93">
            <v>137507</v>
          </cell>
          <cell r="H93">
            <v>11535713.180275002</v>
          </cell>
        </row>
        <row r="94">
          <cell r="A94">
            <v>38461</v>
          </cell>
          <cell r="B94">
            <v>83.251350000000002</v>
          </cell>
          <cell r="C94">
            <v>83.251350000000002</v>
          </cell>
          <cell r="D94">
            <v>83.362499999999997</v>
          </cell>
          <cell r="E94">
            <v>82.028700000000001</v>
          </cell>
          <cell r="F94">
            <v>-7.7520673873189283E-3</v>
          </cell>
          <cell r="G94">
            <v>65710</v>
          </cell>
          <cell r="H94">
            <v>5430276.042750001</v>
          </cell>
        </row>
        <row r="95">
          <cell r="A95">
            <v>38462</v>
          </cell>
          <cell r="B95">
            <v>83.403750000000002</v>
          </cell>
          <cell r="C95">
            <v>83.403750000000002</v>
          </cell>
          <cell r="D95">
            <v>83.403750000000002</v>
          </cell>
          <cell r="E95">
            <v>82.847724999999997</v>
          </cell>
          <cell r="F95">
            <v>9.9846151407982919E-3</v>
          </cell>
          <cell r="G95">
            <v>31411</v>
          </cell>
          <cell r="H95">
            <v>2611062.5406125002</v>
          </cell>
        </row>
        <row r="96">
          <cell r="A96">
            <v>38463</v>
          </cell>
          <cell r="B96">
            <v>83.292545000000004</v>
          </cell>
          <cell r="C96">
            <v>83.292545000000004</v>
          </cell>
          <cell r="D96">
            <v>85.071825000000004</v>
          </cell>
          <cell r="E96">
            <v>83.403750000000002</v>
          </cell>
          <cell r="F96">
            <v>6.7114093959732557E-3</v>
          </cell>
          <cell r="G96">
            <v>36590</v>
          </cell>
          <cell r="H96">
            <v>3049708.7170250006</v>
          </cell>
        </row>
        <row r="97">
          <cell r="A97">
            <v>38464</v>
          </cell>
          <cell r="B97">
            <v>84.515799999999999</v>
          </cell>
          <cell r="C97">
            <v>84.515799999999999</v>
          </cell>
          <cell r="D97">
            <v>84.515799999999999</v>
          </cell>
          <cell r="E97">
            <v>83.403750000000002</v>
          </cell>
          <cell r="F97">
            <v>0</v>
          </cell>
          <cell r="G97">
            <v>13634</v>
          </cell>
          <cell r="H97">
            <v>1144707.57235</v>
          </cell>
        </row>
        <row r="98">
          <cell r="A98">
            <v>38467</v>
          </cell>
          <cell r="B98">
            <v>85.539299999999997</v>
          </cell>
          <cell r="C98">
            <v>85.539299999999997</v>
          </cell>
          <cell r="D98">
            <v>85.539299999999997</v>
          </cell>
          <cell r="E98">
            <v>82.428780000000003</v>
          </cell>
          <cell r="F98">
            <v>-1.1689762150982386E-2</v>
          </cell>
          <cell r="G98">
            <v>32494</v>
          </cell>
          <cell r="H98">
            <v>2728977.3957599998</v>
          </cell>
        </row>
        <row r="99">
          <cell r="A99">
            <v>38468</v>
          </cell>
          <cell r="B99">
            <v>83.42859</v>
          </cell>
          <cell r="C99">
            <v>83.42859</v>
          </cell>
          <cell r="D99">
            <v>83.42859</v>
          </cell>
          <cell r="E99">
            <v>83.095320000000001</v>
          </cell>
          <cell r="F99">
            <v>8.0862533692722671E-3</v>
          </cell>
          <cell r="G99">
            <v>56136</v>
          </cell>
          <cell r="H99">
            <v>4673993.1058799997</v>
          </cell>
        </row>
        <row r="100">
          <cell r="A100">
            <v>38469</v>
          </cell>
          <cell r="B100">
            <v>83.10654000000001</v>
          </cell>
          <cell r="C100">
            <v>83.10654000000001</v>
          </cell>
          <cell r="D100">
            <v>83.10654000000001</v>
          </cell>
          <cell r="E100">
            <v>80.773334999999989</v>
          </cell>
          <cell r="F100">
            <v>-2.7943631482495235E-2</v>
          </cell>
          <cell r="G100">
            <v>246949</v>
          </cell>
          <cell r="H100">
            <v>20234985.625687499</v>
          </cell>
        </row>
        <row r="101">
          <cell r="A101">
            <v>38470</v>
          </cell>
          <cell r="B101">
            <v>83.253749999999997</v>
          </cell>
          <cell r="C101">
            <v>83.253749999999997</v>
          </cell>
          <cell r="D101">
            <v>85.473849999999999</v>
          </cell>
          <cell r="E101">
            <v>83.031740000000013</v>
          </cell>
          <cell r="F101">
            <v>2.7959784005452182E-2</v>
          </cell>
          <cell r="G101">
            <v>521351</v>
          </cell>
          <cell r="H101">
            <v>43346553.248495005</v>
          </cell>
        </row>
        <row r="102">
          <cell r="A102">
            <v>38471</v>
          </cell>
          <cell r="B102">
            <v>82.709900000000005</v>
          </cell>
          <cell r="C102">
            <v>82.709900000000005</v>
          </cell>
          <cell r="D102">
            <v>84.930300000000003</v>
          </cell>
          <cell r="E102">
            <v>83.820099999999996</v>
          </cell>
          <cell r="F102">
            <v>9.4946823949491055E-3</v>
          </cell>
          <cell r="G102">
            <v>1006961</v>
          </cell>
          <cell r="H102">
            <v>83844607.665000007</v>
          </cell>
        </row>
        <row r="103">
          <cell r="A103">
            <v>38474</v>
          </cell>
          <cell r="B103">
            <v>87.492209999999986</v>
          </cell>
          <cell r="C103">
            <v>87.492209999999986</v>
          </cell>
          <cell r="D103">
            <v>87.492209999999986</v>
          </cell>
          <cell r="E103">
            <v>87.159539999999993</v>
          </cell>
          <cell r="F103">
            <v>3.9840563301642318E-2</v>
          </cell>
          <cell r="G103">
            <v>190453</v>
          </cell>
          <cell r="H103">
            <v>16631474.871375</v>
          </cell>
        </row>
        <row r="104">
          <cell r="A104">
            <v>38475</v>
          </cell>
          <cell r="B104">
            <v>87.1036</v>
          </cell>
          <cell r="C104">
            <v>87.1036</v>
          </cell>
          <cell r="D104">
            <v>87.1036</v>
          </cell>
          <cell r="E104">
            <v>85.4392</v>
          </cell>
          <cell r="F104">
            <v>-1.9737827895833226E-2</v>
          </cell>
          <cell r="G104">
            <v>90481</v>
          </cell>
          <cell r="H104">
            <v>7805922.5433999998</v>
          </cell>
        </row>
        <row r="105">
          <cell r="A105">
            <v>38476</v>
          </cell>
          <cell r="B105">
            <v>82.84702999999999</v>
          </cell>
          <cell r="C105">
            <v>82.84702999999999</v>
          </cell>
          <cell r="D105">
            <v>82.84702999999999</v>
          </cell>
          <cell r="E105">
            <v>82.84702999999999</v>
          </cell>
          <cell r="F105">
            <v>-3.0339352428393696E-2</v>
          </cell>
          <cell r="G105">
            <v>96822</v>
          </cell>
          <cell r="H105">
            <v>8021415.1386599988</v>
          </cell>
        </row>
        <row r="106">
          <cell r="A106">
            <v>38477</v>
          </cell>
          <cell r="B106">
            <v>82.850759999999994</v>
          </cell>
          <cell r="C106">
            <v>82.850759999999994</v>
          </cell>
          <cell r="D106">
            <v>83.961359999999999</v>
          </cell>
          <cell r="E106">
            <v>83.85029999999999</v>
          </cell>
          <cell r="F106">
            <v>1.2109909069763836E-2</v>
          </cell>
          <cell r="G106">
            <v>47502</v>
          </cell>
          <cell r="H106">
            <v>3959316.8760599997</v>
          </cell>
        </row>
        <row r="107">
          <cell r="A107">
            <v>38478</v>
          </cell>
          <cell r="B107">
            <v>83.629909999999995</v>
          </cell>
          <cell r="C107">
            <v>83.629909999999995</v>
          </cell>
          <cell r="D107">
            <v>83.851739999999992</v>
          </cell>
          <cell r="E107">
            <v>83.851739999999992</v>
          </cell>
          <cell r="F107">
            <v>1.7173462706798759E-5</v>
          </cell>
          <cell r="G107">
            <v>39938</v>
          </cell>
          <cell r="H107">
            <v>3344441.0688499999</v>
          </cell>
        </row>
        <row r="108">
          <cell r="A108">
            <v>38481</v>
          </cell>
          <cell r="B108">
            <v>83.359200000000001</v>
          </cell>
          <cell r="C108">
            <v>83.359200000000001</v>
          </cell>
          <cell r="D108">
            <v>84.246000000000009</v>
          </cell>
          <cell r="E108">
            <v>84.246000000000009</v>
          </cell>
          <cell r="F108">
            <v>4.7018702295267278E-3</v>
          </cell>
          <cell r="G108">
            <v>92084</v>
          </cell>
          <cell r="H108">
            <v>7716878.618400001</v>
          </cell>
        </row>
        <row r="109">
          <cell r="A109">
            <v>38482</v>
          </cell>
          <cell r="B109">
            <v>84.306799999999996</v>
          </cell>
          <cell r="C109">
            <v>84.306799999999996</v>
          </cell>
          <cell r="D109">
            <v>87.08005</v>
          </cell>
          <cell r="E109">
            <v>86.747259999999997</v>
          </cell>
          <cell r="F109">
            <v>2.9689955606200691E-2</v>
          </cell>
          <cell r="G109">
            <v>620634</v>
          </cell>
          <cell r="H109">
            <v>53080982.737020001</v>
          </cell>
        </row>
        <row r="110">
          <cell r="A110">
            <v>38483</v>
          </cell>
          <cell r="B110">
            <v>86.431799999999996</v>
          </cell>
          <cell r="C110">
            <v>86.431799999999996</v>
          </cell>
          <cell r="D110">
            <v>86.431799999999996</v>
          </cell>
          <cell r="E110">
            <v>84.548029999999997</v>
          </cell>
          <cell r="F110">
            <v>-2.5352155215046523E-2</v>
          </cell>
          <cell r="G110">
            <v>46148</v>
          </cell>
          <cell r="H110">
            <v>3945188.59742</v>
          </cell>
        </row>
        <row r="111">
          <cell r="A111">
            <v>38484</v>
          </cell>
          <cell r="B111">
            <v>84.559520000000006</v>
          </cell>
          <cell r="C111">
            <v>84.559520000000006</v>
          </cell>
          <cell r="D111">
            <v>84.559520000000006</v>
          </cell>
          <cell r="E111">
            <v>83.563400000000001</v>
          </cell>
          <cell r="F111">
            <v>-1.1645806531506375E-2</v>
          </cell>
          <cell r="G111">
            <v>50873</v>
          </cell>
          <cell r="H111">
            <v>4276458.6545800008</v>
          </cell>
        </row>
        <row r="112">
          <cell r="A112">
            <v>38485</v>
          </cell>
          <cell r="B112">
            <v>84.4602</v>
          </cell>
          <cell r="C112">
            <v>84.4602</v>
          </cell>
          <cell r="D112">
            <v>84.4602</v>
          </cell>
          <cell r="E112">
            <v>83.465249999999997</v>
          </cell>
          <cell r="F112">
            <v>-1.1745572822552397E-3</v>
          </cell>
          <cell r="G112">
            <v>30285</v>
          </cell>
          <cell r="H112">
            <v>2542811.126625</v>
          </cell>
        </row>
        <row r="113">
          <cell r="A113">
            <v>38488</v>
          </cell>
          <cell r="B113">
            <v>84.24672000000001</v>
          </cell>
          <cell r="C113">
            <v>84.24672000000001</v>
          </cell>
          <cell r="D113">
            <v>84.24672000000001</v>
          </cell>
          <cell r="E113">
            <v>82.367200000000011</v>
          </cell>
          <cell r="F113">
            <v>-1.3155774409110199E-2</v>
          </cell>
          <cell r="G113">
            <v>35462</v>
          </cell>
          <cell r="H113">
            <v>2954231.4155200003</v>
          </cell>
        </row>
        <row r="114">
          <cell r="A114">
            <v>38489</v>
          </cell>
          <cell r="B114">
            <v>84.452560000000005</v>
          </cell>
          <cell r="C114">
            <v>84.452560000000005</v>
          </cell>
          <cell r="D114">
            <v>84.452560000000005</v>
          </cell>
          <cell r="E114">
            <v>83.236620000000002</v>
          </cell>
          <cell r="F114">
            <v>1.0555415262385903E-2</v>
          </cell>
          <cell r="G114">
            <v>123494</v>
          </cell>
          <cell r="H114">
            <v>10354303.797460001</v>
          </cell>
        </row>
        <row r="115">
          <cell r="A115">
            <v>38490</v>
          </cell>
          <cell r="B115">
            <v>82.893749999999997</v>
          </cell>
          <cell r="C115">
            <v>82.893749999999997</v>
          </cell>
          <cell r="D115">
            <v>83.888475</v>
          </cell>
          <cell r="E115">
            <v>83.446375000000003</v>
          </cell>
          <cell r="F115">
            <v>2.5199845933197018E-3</v>
          </cell>
          <cell r="G115">
            <v>139462</v>
          </cell>
          <cell r="H115">
            <v>11599063.256375</v>
          </cell>
        </row>
        <row r="116">
          <cell r="A116">
            <v>38491</v>
          </cell>
          <cell r="B116">
            <v>84.014200000000002</v>
          </cell>
          <cell r="C116">
            <v>84.014200000000002</v>
          </cell>
          <cell r="D116">
            <v>84.566925000000012</v>
          </cell>
          <cell r="E116">
            <v>83.461475000000007</v>
          </cell>
          <cell r="F116">
            <v>1.8095453517319449E-4</v>
          </cell>
          <cell r="G116">
            <v>160206</v>
          </cell>
          <cell r="H116">
            <v>13415303.994525002</v>
          </cell>
        </row>
        <row r="117">
          <cell r="A117">
            <v>38492</v>
          </cell>
          <cell r="B117">
            <v>83.46996</v>
          </cell>
          <cell r="C117">
            <v>83.46996</v>
          </cell>
          <cell r="D117">
            <v>83.911599999999993</v>
          </cell>
          <cell r="E117">
            <v>82.917910000000006</v>
          </cell>
          <cell r="F117">
            <v>-6.5127653207662783E-3</v>
          </cell>
          <cell r="G117">
            <v>16171</v>
          </cell>
          <cell r="H117">
            <v>1345329.1228850002</v>
          </cell>
        </row>
        <row r="118">
          <cell r="A118">
            <v>38495</v>
          </cell>
          <cell r="B118">
            <v>83.176379999999995</v>
          </cell>
          <cell r="C118">
            <v>83.176379999999995</v>
          </cell>
          <cell r="D118">
            <v>83.176379999999995</v>
          </cell>
          <cell r="E118">
            <v>82.844999999999999</v>
          </cell>
          <cell r="F118">
            <v>-8.7930339778230504E-4</v>
          </cell>
          <cell r="G118">
            <v>47487</v>
          </cell>
          <cell r="H118">
            <v>3941928.6360299997</v>
          </cell>
        </row>
        <row r="119">
          <cell r="A119">
            <v>38496</v>
          </cell>
          <cell r="B119">
            <v>83.19144</v>
          </cell>
          <cell r="C119">
            <v>83.19144</v>
          </cell>
          <cell r="D119">
            <v>83.19144</v>
          </cell>
          <cell r="E119">
            <v>83.08095999999999</v>
          </cell>
          <cell r="F119">
            <v>2.848210513609617E-3</v>
          </cell>
          <cell r="G119">
            <v>48995</v>
          </cell>
          <cell r="H119">
            <v>4073258.1189999999</v>
          </cell>
        </row>
        <row r="120">
          <cell r="A120">
            <v>38497</v>
          </cell>
          <cell r="B120">
            <v>83.103520000000003</v>
          </cell>
          <cell r="C120">
            <v>83.103520000000003</v>
          </cell>
          <cell r="D120">
            <v>83.103520000000003</v>
          </cell>
          <cell r="E120">
            <v>82.661480000000012</v>
          </cell>
          <cell r="F120">
            <v>-5.0490509498202218E-3</v>
          </cell>
          <cell r="G120">
            <v>29401</v>
          </cell>
          <cell r="H120">
            <v>2436828.3825000003</v>
          </cell>
        </row>
        <row r="121">
          <cell r="A121">
            <v>38498</v>
          </cell>
          <cell r="B121">
            <v>82.556759999999997</v>
          </cell>
          <cell r="C121">
            <v>82.556759999999997</v>
          </cell>
          <cell r="D121">
            <v>82.998239999999981</v>
          </cell>
          <cell r="E121">
            <v>82.777499999999989</v>
          </cell>
          <cell r="F121">
            <v>1.4035558037428508E-3</v>
          </cell>
          <cell r="G121">
            <v>98125</v>
          </cell>
          <cell r="H121">
            <v>8111712.1312499987</v>
          </cell>
        </row>
        <row r="122">
          <cell r="A122">
            <v>38499</v>
          </cell>
          <cell r="B122">
            <v>82.350939999999994</v>
          </cell>
          <cell r="C122">
            <v>82.350939999999994</v>
          </cell>
          <cell r="D122">
            <v>82.019769999999994</v>
          </cell>
          <cell r="E122">
            <v>83.013279999999995</v>
          </cell>
          <cell r="F122">
            <v>2.8483585515388654E-3</v>
          </cell>
          <cell r="G122">
            <v>27761</v>
          </cell>
          <cell r="H122">
            <v>2295338.05571</v>
          </cell>
        </row>
        <row r="123">
          <cell r="A123">
            <v>38502</v>
          </cell>
          <cell r="B123">
            <v>83.25385</v>
          </cell>
          <cell r="C123">
            <v>83.25385</v>
          </cell>
          <cell r="D123">
            <v>82.92304</v>
          </cell>
          <cell r="E123">
            <v>83.805199999999999</v>
          </cell>
          <cell r="F123">
            <v>9.5396784707217908E-3</v>
          </cell>
          <cell r="G123">
            <v>47570</v>
          </cell>
          <cell r="H123">
            <v>3973499.5042500002</v>
          </cell>
        </row>
        <row r="124">
          <cell r="A124">
            <v>38503</v>
          </cell>
          <cell r="B124">
            <v>83.087749999999986</v>
          </cell>
          <cell r="C124">
            <v>83.087749999999986</v>
          </cell>
          <cell r="D124">
            <v>83.087749999999986</v>
          </cell>
          <cell r="E124">
            <v>85.838999999999984</v>
          </cell>
          <cell r="F124">
            <v>2.4268183835847612E-2</v>
          </cell>
          <cell r="G124">
            <v>137052</v>
          </cell>
          <cell r="H124">
            <v>11575874.470499998</v>
          </cell>
        </row>
        <row r="125">
          <cell r="A125">
            <v>38504</v>
          </cell>
          <cell r="B125">
            <v>85.054860000000005</v>
          </cell>
          <cell r="C125">
            <v>85.054860000000005</v>
          </cell>
          <cell r="D125">
            <v>83.626290000000012</v>
          </cell>
          <cell r="E125">
            <v>84.835080000000005</v>
          </cell>
          <cell r="F125">
            <v>-1.1695383217418365E-2</v>
          </cell>
          <cell r="G125">
            <v>43024</v>
          </cell>
          <cell r="H125">
            <v>3654672.3892800007</v>
          </cell>
        </row>
        <row r="126">
          <cell r="A126">
            <v>38505</v>
          </cell>
          <cell r="B126">
            <v>84.285630000000012</v>
          </cell>
          <cell r="C126">
            <v>84.285630000000012</v>
          </cell>
          <cell r="D126">
            <v>84.065850000000012</v>
          </cell>
          <cell r="E126">
            <v>84.615300000000005</v>
          </cell>
          <cell r="F126">
            <v>-2.5906735751295429E-3</v>
          </cell>
          <cell r="G126">
            <v>21303</v>
          </cell>
          <cell r="H126">
            <v>1799048.2558950002</v>
          </cell>
        </row>
        <row r="127">
          <cell r="A127">
            <v>38506</v>
          </cell>
          <cell r="B127">
            <v>83.706399999999988</v>
          </cell>
          <cell r="C127">
            <v>83.706399999999988</v>
          </cell>
          <cell r="D127">
            <v>83.375979999999998</v>
          </cell>
          <cell r="E127">
            <v>83.375979999999998</v>
          </cell>
          <cell r="F127">
            <v>-1.4646523737432915E-2</v>
          </cell>
          <cell r="G127">
            <v>44607</v>
          </cell>
          <cell r="H127">
            <v>3726521.8623299999</v>
          </cell>
        </row>
        <row r="128">
          <cell r="A128">
            <v>38509</v>
          </cell>
          <cell r="B128">
            <v>83.56959999999998</v>
          </cell>
          <cell r="C128">
            <v>83.56959999999998</v>
          </cell>
          <cell r="D128">
            <v>82.469999999999985</v>
          </cell>
          <cell r="E128">
            <v>83.349679999999992</v>
          </cell>
          <cell r="F128">
            <v>-3.1543857115690077E-4</v>
          </cell>
          <cell r="G128">
            <v>49183</v>
          </cell>
          <cell r="H128">
            <v>4104795.474119999</v>
          </cell>
        </row>
        <row r="129">
          <cell r="A129">
            <v>38510</v>
          </cell>
          <cell r="B129">
            <v>82.557429999999997</v>
          </cell>
          <cell r="C129">
            <v>82.557429999999997</v>
          </cell>
          <cell r="D129">
            <v>82.557429999999997</v>
          </cell>
          <cell r="E129">
            <v>83.546800000000005</v>
          </cell>
          <cell r="F129">
            <v>2.3649760862911595E-3</v>
          </cell>
          <cell r="G129">
            <v>6680</v>
          </cell>
          <cell r="H129">
            <v>554788.12820000004</v>
          </cell>
        </row>
        <row r="130">
          <cell r="A130">
            <v>38511</v>
          </cell>
          <cell r="B130">
            <v>83.622799999999998</v>
          </cell>
          <cell r="C130">
            <v>83.622799999999998</v>
          </cell>
          <cell r="D130">
            <v>82.742559999999997</v>
          </cell>
          <cell r="E130">
            <v>83.512770000000003</v>
          </cell>
          <cell r="F130">
            <v>-4.073166177519516E-4</v>
          </cell>
          <cell r="G130">
            <v>15773</v>
          </cell>
          <cell r="H130">
            <v>1318114.6728050001</v>
          </cell>
        </row>
        <row r="131">
          <cell r="A131">
            <v>38512</v>
          </cell>
          <cell r="B131">
            <v>83.39891999999999</v>
          </cell>
          <cell r="C131">
            <v>83.39891999999999</v>
          </cell>
          <cell r="D131">
            <v>82.519880000000001</v>
          </cell>
          <cell r="E131">
            <v>82.62975999999999</v>
          </cell>
          <cell r="F131">
            <v>-1.0573353033314747E-2</v>
          </cell>
          <cell r="G131">
            <v>27048</v>
          </cell>
          <cell r="H131">
            <v>2245371.8683199999</v>
          </cell>
        </row>
        <row r="132">
          <cell r="A132">
            <v>38513</v>
          </cell>
          <cell r="B132">
            <v>82.414739999999995</v>
          </cell>
          <cell r="C132">
            <v>82.414739999999995</v>
          </cell>
          <cell r="D132">
            <v>82.305000000000007</v>
          </cell>
          <cell r="E132">
            <v>82.305000000000007</v>
          </cell>
          <cell r="F132">
            <v>-3.9303030772446235E-3</v>
          </cell>
          <cell r="G132">
            <v>9190</v>
          </cell>
          <cell r="H132">
            <v>756887.20530000003</v>
          </cell>
        </row>
        <row r="133">
          <cell r="A133">
            <v>38516</v>
          </cell>
          <cell r="B133">
            <v>82.698925000000003</v>
          </cell>
          <cell r="C133">
            <v>82.698925000000003</v>
          </cell>
          <cell r="D133">
            <v>82.151250000000005</v>
          </cell>
          <cell r="E133">
            <v>83.137064999999993</v>
          </cell>
          <cell r="F133">
            <v>1.0109531620192902E-2</v>
          </cell>
          <cell r="G133">
            <v>17192</v>
          </cell>
          <cell r="H133">
            <v>1425526.1700399998</v>
          </cell>
        </row>
        <row r="134">
          <cell r="A134">
            <v>38517</v>
          </cell>
          <cell r="B134">
            <v>82.706474999999998</v>
          </cell>
          <cell r="C134">
            <v>82.706474999999998</v>
          </cell>
          <cell r="D134">
            <v>82.158749999999998</v>
          </cell>
          <cell r="E134">
            <v>83.363744999999994</v>
          </cell>
          <cell r="F134">
            <v>2.7265816997508185E-3</v>
          </cell>
          <cell r="G134">
            <v>139521</v>
          </cell>
          <cell r="H134">
            <v>11585141.58231</v>
          </cell>
        </row>
        <row r="135">
          <cell r="A135">
            <v>38518</v>
          </cell>
          <cell r="B135">
            <v>83.670580000000001</v>
          </cell>
          <cell r="C135">
            <v>83.670580000000001</v>
          </cell>
          <cell r="D135">
            <v>83.3416</v>
          </cell>
          <cell r="E135">
            <v>84.657520000000005</v>
          </cell>
          <cell r="F135">
            <v>1.5519636263942038E-2</v>
          </cell>
          <cell r="G135">
            <v>85716</v>
          </cell>
          <cell r="H135">
            <v>7214205.7098000003</v>
          </cell>
        </row>
        <row r="136">
          <cell r="A136">
            <v>38519</v>
          </cell>
          <cell r="B136">
            <v>83.417015000000006</v>
          </cell>
          <cell r="C136">
            <v>83.417015000000006</v>
          </cell>
          <cell r="D136">
            <v>82.978555000000014</v>
          </cell>
          <cell r="E136">
            <v>84.293935000000005</v>
          </cell>
          <cell r="F136">
            <v>-4.2947749945899671E-3</v>
          </cell>
          <cell r="G136">
            <v>37080</v>
          </cell>
          <cell r="H136">
            <v>3109361.0130000003</v>
          </cell>
        </row>
        <row r="137">
          <cell r="A137">
            <v>38520</v>
          </cell>
          <cell r="B137">
            <v>84.459270000000004</v>
          </cell>
          <cell r="C137">
            <v>84.459270000000004</v>
          </cell>
          <cell r="D137">
            <v>83.360970000000009</v>
          </cell>
          <cell r="E137">
            <v>83.470799999999997</v>
          </cell>
          <cell r="F137">
            <v>-9.7650560505926354E-3</v>
          </cell>
          <cell r="G137">
            <v>11437</v>
          </cell>
          <cell r="H137">
            <v>960308.10529500002</v>
          </cell>
        </row>
        <row r="138">
          <cell r="A138">
            <v>38523</v>
          </cell>
          <cell r="B138">
            <v>83.163969999999992</v>
          </cell>
          <cell r="C138">
            <v>83.163969999999992</v>
          </cell>
          <cell r="D138">
            <v>83.054254999999998</v>
          </cell>
          <cell r="E138">
            <v>83.383399999999995</v>
          </cell>
          <cell r="F138">
            <v>-1.0470727487935649E-3</v>
          </cell>
          <cell r="G138">
            <v>46831</v>
          </cell>
          <cell r="H138">
            <v>3899789.942235</v>
          </cell>
        </row>
        <row r="139">
          <cell r="A139">
            <v>38524</v>
          </cell>
          <cell r="B139">
            <v>83.3416</v>
          </cell>
          <cell r="C139">
            <v>83.3416</v>
          </cell>
          <cell r="D139">
            <v>82.902960000000007</v>
          </cell>
          <cell r="E139">
            <v>83.780240000000006</v>
          </cell>
          <cell r="F139">
            <v>4.7592206602273812E-3</v>
          </cell>
          <cell r="G139">
            <v>157244</v>
          </cell>
          <cell r="H139">
            <v>13139453.304480001</v>
          </cell>
        </row>
        <row r="140">
          <cell r="A140">
            <v>38525</v>
          </cell>
          <cell r="B140">
            <v>83.912850000000006</v>
          </cell>
          <cell r="C140">
            <v>83.912850000000006</v>
          </cell>
          <cell r="D140">
            <v>83.364400000000003</v>
          </cell>
          <cell r="E140">
            <v>84.570990000000009</v>
          </cell>
          <cell r="F140">
            <v>9.4383830841258121E-3</v>
          </cell>
          <cell r="G140">
            <v>773204</v>
          </cell>
          <cell r="H140">
            <v>65136189.511680007</v>
          </cell>
        </row>
        <row r="141">
          <cell r="A141">
            <v>38526</v>
          </cell>
          <cell r="B141">
            <v>84.459194999999994</v>
          </cell>
          <cell r="C141">
            <v>84.459194999999994</v>
          </cell>
          <cell r="D141">
            <v>83.801924999999997</v>
          </cell>
          <cell r="E141">
            <v>84.130559999999988</v>
          </cell>
          <cell r="F141">
            <v>-5.2078141689013702E-3</v>
          </cell>
          <cell r="G141">
            <v>71445</v>
          </cell>
          <cell r="H141">
            <v>6022447.5229874989</v>
          </cell>
        </row>
        <row r="142">
          <cell r="A142">
            <v>38527</v>
          </cell>
          <cell r="B142">
            <v>83.851650000000006</v>
          </cell>
          <cell r="C142">
            <v>83.851650000000006</v>
          </cell>
          <cell r="D142">
            <v>82.755549999999999</v>
          </cell>
          <cell r="E142">
            <v>82.974770000000007</v>
          </cell>
          <cell r="F142">
            <v>-1.3738051904087945E-2</v>
          </cell>
          <cell r="G142">
            <v>33325</v>
          </cell>
          <cell r="H142">
            <v>2779745.2232500003</v>
          </cell>
        </row>
        <row r="143">
          <cell r="A143">
            <v>38530</v>
          </cell>
          <cell r="B143">
            <v>83.962575000000001</v>
          </cell>
          <cell r="C143">
            <v>83.962575000000001</v>
          </cell>
          <cell r="D143">
            <v>83.084535000000002</v>
          </cell>
          <cell r="E143">
            <v>83.413799999999995</v>
          </cell>
          <cell r="F143">
            <v>5.291126447231953E-3</v>
          </cell>
          <cell r="G143">
            <v>173341</v>
          </cell>
          <cell r="H143">
            <v>14506594.109437499</v>
          </cell>
        </row>
        <row r="144">
          <cell r="A144">
            <v>38531</v>
          </cell>
          <cell r="B144">
            <v>84.180480000000003</v>
          </cell>
          <cell r="C144">
            <v>84.180480000000003</v>
          </cell>
          <cell r="D144">
            <v>82.645939999999996</v>
          </cell>
          <cell r="E144">
            <v>83.303600000000003</v>
          </cell>
          <cell r="F144">
            <v>-1.3211243223542057E-3</v>
          </cell>
          <cell r="G144">
            <v>92805</v>
          </cell>
          <cell r="H144">
            <v>7771680.0222000005</v>
          </cell>
        </row>
        <row r="145">
          <cell r="A145">
            <v>38532</v>
          </cell>
          <cell r="B145">
            <v>83.461860000000001</v>
          </cell>
          <cell r="C145">
            <v>83.461860000000001</v>
          </cell>
          <cell r="D145">
            <v>82.257029999999986</v>
          </cell>
          <cell r="E145">
            <v>83.790449999999993</v>
          </cell>
          <cell r="F145">
            <v>5.8442852409739121E-3</v>
          </cell>
          <cell r="G145">
            <v>89225</v>
          </cell>
          <cell r="H145">
            <v>7461543.6798749994</v>
          </cell>
        </row>
        <row r="146">
          <cell r="A146">
            <v>38533</v>
          </cell>
          <cell r="B146">
            <v>83.844000000000008</v>
          </cell>
          <cell r="C146">
            <v>83.844000000000008</v>
          </cell>
          <cell r="D146">
            <v>83.405600000000007</v>
          </cell>
          <cell r="E146">
            <v>83.624800000000008</v>
          </cell>
          <cell r="F146">
            <v>-1.9769556077092743E-3</v>
          </cell>
          <cell r="G146">
            <v>92098</v>
          </cell>
          <cell r="H146">
            <v>7711770.7712000003</v>
          </cell>
        </row>
        <row r="147">
          <cell r="A147">
            <v>38534</v>
          </cell>
          <cell r="B147">
            <v>83.333304999999996</v>
          </cell>
          <cell r="C147">
            <v>83.333304999999996</v>
          </cell>
          <cell r="D147">
            <v>83.333304999999996</v>
          </cell>
          <cell r="E147">
            <v>83.552314999999993</v>
          </cell>
          <cell r="F147">
            <v>-8.6678832116804383E-4</v>
          </cell>
          <cell r="G147">
            <v>36213</v>
          </cell>
          <cell r="H147">
            <v>3021714.47853</v>
          </cell>
        </row>
        <row r="148">
          <cell r="A148">
            <v>38537</v>
          </cell>
          <cell r="B148">
            <v>84.145600000000002</v>
          </cell>
          <cell r="C148">
            <v>84.145600000000002</v>
          </cell>
          <cell r="D148">
            <v>83.162080000000003</v>
          </cell>
          <cell r="E148">
            <v>84.036320000000018</v>
          </cell>
          <cell r="F148">
            <v>5.7928376969569317E-3</v>
          </cell>
          <cell r="G148">
            <v>80861</v>
          </cell>
          <cell r="H148">
            <v>6799679.1165600009</v>
          </cell>
        </row>
        <row r="149">
          <cell r="A149">
            <v>38538</v>
          </cell>
          <cell r="B149">
            <v>83.622150000000005</v>
          </cell>
          <cell r="C149">
            <v>83.622150000000005</v>
          </cell>
          <cell r="D149">
            <v>83.29422000000001</v>
          </cell>
          <cell r="E149">
            <v>83.29422000000001</v>
          </cell>
          <cell r="F149">
            <v>-8.8307055806347012E-3</v>
          </cell>
          <cell r="G149">
            <v>15055</v>
          </cell>
          <cell r="H149">
            <v>1256462.9751750003</v>
          </cell>
        </row>
        <row r="150">
          <cell r="A150">
            <v>38539</v>
          </cell>
          <cell r="B150">
            <v>83.298029999999997</v>
          </cell>
          <cell r="C150">
            <v>83.298029999999997</v>
          </cell>
          <cell r="D150">
            <v>82.642139999999998</v>
          </cell>
          <cell r="E150">
            <v>82.751455000000007</v>
          </cell>
          <cell r="F150">
            <v>-6.5162384616843649E-3</v>
          </cell>
          <cell r="G150">
            <v>128724</v>
          </cell>
          <cell r="H150">
            <v>10687276.953570001</v>
          </cell>
        </row>
        <row r="151">
          <cell r="A151">
            <v>38540</v>
          </cell>
          <cell r="B151">
            <v>82.653479999999988</v>
          </cell>
          <cell r="C151">
            <v>82.653479999999988</v>
          </cell>
          <cell r="D151">
            <v>80.466880000000003</v>
          </cell>
          <cell r="E151">
            <v>82.434820000000002</v>
          </cell>
          <cell r="F151">
            <v>-3.8263375550315892E-3</v>
          </cell>
          <cell r="G151">
            <v>130153</v>
          </cell>
          <cell r="H151">
            <v>10743368.75495</v>
          </cell>
        </row>
        <row r="152">
          <cell r="A152">
            <v>38541</v>
          </cell>
          <cell r="B152">
            <v>82.544150000000002</v>
          </cell>
          <cell r="C152">
            <v>82.544150000000002</v>
          </cell>
          <cell r="D152">
            <v>81.450850000000003</v>
          </cell>
          <cell r="E152">
            <v>82.216159999999988</v>
          </cell>
          <cell r="F152">
            <v>-2.6525198938993633E-3</v>
          </cell>
          <cell r="G152">
            <v>61825</v>
          </cell>
          <cell r="H152">
            <v>5093153.0828750003</v>
          </cell>
        </row>
        <row r="153">
          <cell r="A153">
            <v>38544</v>
          </cell>
          <cell r="B153">
            <v>81.664619999999999</v>
          </cell>
          <cell r="C153">
            <v>81.664619999999999</v>
          </cell>
          <cell r="D153">
            <v>81.555149999999998</v>
          </cell>
          <cell r="E153">
            <v>82.102499999999992</v>
          </cell>
          <cell r="F153">
            <v>-1.3824532792579003E-3</v>
          </cell>
          <cell r="G153">
            <v>296030</v>
          </cell>
          <cell r="H153">
            <v>24239990.266799998</v>
          </cell>
        </row>
        <row r="154">
          <cell r="A154">
            <v>38545</v>
          </cell>
          <cell r="B154">
            <v>81.983249999999998</v>
          </cell>
          <cell r="C154">
            <v>81.983249999999998</v>
          </cell>
          <cell r="D154">
            <v>81.983249999999998</v>
          </cell>
          <cell r="E154">
            <v>83.41</v>
          </cell>
          <cell r="F154">
            <v>1.5925215431929596E-2</v>
          </cell>
          <cell r="G154">
            <v>241648</v>
          </cell>
          <cell r="H154">
            <v>19983474.037999999</v>
          </cell>
        </row>
        <row r="155">
          <cell r="A155">
            <v>38546</v>
          </cell>
          <cell r="B155">
            <v>83.3416</v>
          </cell>
          <cell r="C155">
            <v>83.3416</v>
          </cell>
          <cell r="D155">
            <v>81.806360000000012</v>
          </cell>
          <cell r="E155">
            <v>82.245000000000005</v>
          </cell>
          <cell r="F155">
            <v>-1.3967150221795843E-2</v>
          </cell>
          <cell r="G155">
            <v>35337</v>
          </cell>
          <cell r="H155">
            <v>2925666.8421</v>
          </cell>
        </row>
        <row r="156">
          <cell r="A156">
            <v>38547</v>
          </cell>
          <cell r="B156">
            <v>82.781975000000003</v>
          </cell>
          <cell r="C156">
            <v>82.781975000000003</v>
          </cell>
          <cell r="D156">
            <v>82.781975000000003</v>
          </cell>
          <cell r="E156">
            <v>84.317005000000009</v>
          </cell>
          <cell r="F156">
            <v>2.519308164630063E-2</v>
          </cell>
          <cell r="G156">
            <v>136193</v>
          </cell>
          <cell r="H156">
            <v>11378855.691570001</v>
          </cell>
        </row>
        <row r="157">
          <cell r="A157">
            <v>38548</v>
          </cell>
          <cell r="B157">
            <v>83.33711000000001</v>
          </cell>
          <cell r="C157">
            <v>83.33711000000001</v>
          </cell>
          <cell r="D157">
            <v>82.461030000000008</v>
          </cell>
          <cell r="E157">
            <v>83.227599999999995</v>
          </cell>
          <cell r="F157">
            <v>-1.2920347443555635E-2</v>
          </cell>
          <cell r="G157">
            <v>247793</v>
          </cell>
          <cell r="H157">
            <v>20636784.592514999</v>
          </cell>
        </row>
        <row r="158">
          <cell r="A158">
            <v>38551</v>
          </cell>
          <cell r="B158">
            <v>83.257999999999996</v>
          </cell>
          <cell r="C158">
            <v>83.257999999999996</v>
          </cell>
          <cell r="D158">
            <v>82.600700000000003</v>
          </cell>
          <cell r="E158">
            <v>82.600700000000003</v>
          </cell>
          <cell r="F158">
            <v>-7.5323570546308449E-3</v>
          </cell>
          <cell r="G158">
            <v>68763</v>
          </cell>
          <cell r="H158">
            <v>5702470.8940500002</v>
          </cell>
        </row>
        <row r="159">
          <cell r="A159">
            <v>38552</v>
          </cell>
          <cell r="B159">
            <v>83.147800000000004</v>
          </cell>
          <cell r="C159">
            <v>83.147800000000004</v>
          </cell>
          <cell r="D159">
            <v>82.710179999999994</v>
          </cell>
          <cell r="E159">
            <v>83.147800000000004</v>
          </cell>
          <cell r="F159">
            <v>6.6234305520413983E-3</v>
          </cell>
          <cell r="G159">
            <v>311786</v>
          </cell>
          <cell r="H159">
            <v>25924319.970800001</v>
          </cell>
        </row>
        <row r="160">
          <cell r="A160">
            <v>38553</v>
          </cell>
          <cell r="B160">
            <v>83.280799999999999</v>
          </cell>
          <cell r="C160">
            <v>83.280799999999999</v>
          </cell>
          <cell r="D160">
            <v>83.280799999999999</v>
          </cell>
          <cell r="E160">
            <v>83.828700000000012</v>
          </cell>
          <cell r="F160">
            <v>8.189032060980761E-3</v>
          </cell>
          <cell r="G160">
            <v>198475</v>
          </cell>
          <cell r="H160">
            <v>16583529.006250003</v>
          </cell>
        </row>
        <row r="161">
          <cell r="A161">
            <v>38554</v>
          </cell>
          <cell r="B161">
            <v>84.542150000000007</v>
          </cell>
          <cell r="C161">
            <v>84.542150000000007</v>
          </cell>
          <cell r="D161">
            <v>82.565839999999994</v>
          </cell>
          <cell r="E161">
            <v>83.553995</v>
          </cell>
          <cell r="F161">
            <v>-3.2769803181966761E-3</v>
          </cell>
          <cell r="G161">
            <v>142220</v>
          </cell>
          <cell r="H161">
            <v>11953316.87095</v>
          </cell>
        </row>
        <row r="162">
          <cell r="A162">
            <v>38555</v>
          </cell>
          <cell r="B162">
            <v>84.476700000000008</v>
          </cell>
          <cell r="C162">
            <v>84.476700000000008</v>
          </cell>
          <cell r="D162">
            <v>83.599019999999996</v>
          </cell>
          <cell r="E162">
            <v>83.599019999999996</v>
          </cell>
          <cell r="F162">
            <v>5.3887309637312697E-4</v>
          </cell>
          <cell r="G162">
            <v>94930</v>
          </cell>
          <cell r="H162">
            <v>7977714.0497999992</v>
          </cell>
        </row>
        <row r="163">
          <cell r="A163">
            <v>38558</v>
          </cell>
          <cell r="B163">
            <v>83.397990000000007</v>
          </cell>
          <cell r="C163">
            <v>83.397990000000007</v>
          </cell>
          <cell r="D163">
            <v>83.397990000000007</v>
          </cell>
          <cell r="E163">
            <v>84.713070000000002</v>
          </cell>
          <cell r="F163">
            <v>1.332611315300114E-2</v>
          </cell>
          <cell r="G163">
            <v>110120</v>
          </cell>
          <cell r="H163">
            <v>9256194.9636000004</v>
          </cell>
        </row>
        <row r="164">
          <cell r="A164">
            <v>38559</v>
          </cell>
          <cell r="B164">
            <v>84.612580000000008</v>
          </cell>
          <cell r="C164">
            <v>84.612580000000008</v>
          </cell>
          <cell r="D164">
            <v>82.861220000000003</v>
          </cell>
          <cell r="E164">
            <v>86.363939999999999</v>
          </cell>
          <cell r="F164">
            <v>1.9487783880338672E-2</v>
          </cell>
          <cell r="G164">
            <v>438319</v>
          </cell>
          <cell r="H164">
            <v>37471128.634939998</v>
          </cell>
        </row>
        <row r="165">
          <cell r="A165">
            <v>38560</v>
          </cell>
          <cell r="B165">
            <v>85.61336</v>
          </cell>
          <cell r="C165">
            <v>85.61336</v>
          </cell>
          <cell r="D165">
            <v>85.503879999999995</v>
          </cell>
          <cell r="E165">
            <v>89.226200000000006</v>
          </cell>
          <cell r="F165">
            <v>3.3141841374999981E-2</v>
          </cell>
          <cell r="G165">
            <v>685959</v>
          </cell>
          <cell r="H165">
            <v>59966384.86902</v>
          </cell>
        </row>
        <row r="166">
          <cell r="A166">
            <v>38561</v>
          </cell>
          <cell r="B166">
            <v>90.296250000000001</v>
          </cell>
          <cell r="C166">
            <v>90.296250000000001</v>
          </cell>
          <cell r="D166">
            <v>88.982850000000013</v>
          </cell>
          <cell r="E166">
            <v>90.296250000000001</v>
          </cell>
          <cell r="F166">
            <v>1.1992553756631885E-2</v>
          </cell>
          <cell r="G166">
            <v>612077</v>
          </cell>
          <cell r="H166">
            <v>55268257.811250001</v>
          </cell>
        </row>
        <row r="167">
          <cell r="A167">
            <v>38562</v>
          </cell>
          <cell r="B167">
            <v>90.701225000000008</v>
          </cell>
          <cell r="C167">
            <v>90.701225000000008</v>
          </cell>
          <cell r="D167">
            <v>88.288375000000016</v>
          </cell>
          <cell r="E167">
            <v>88.288375000000016</v>
          </cell>
          <cell r="F167">
            <v>-2.2236526987554628E-2</v>
          </cell>
          <cell r="G167">
            <v>289360</v>
          </cell>
          <cell r="H167">
            <v>25896215.328000005</v>
          </cell>
        </row>
        <row r="168">
          <cell r="A168">
            <v>38565</v>
          </cell>
          <cell r="B168">
            <v>89.662080000000003</v>
          </cell>
          <cell r="C168">
            <v>89.662080000000003</v>
          </cell>
          <cell r="D168">
            <v>88.12375999999999</v>
          </cell>
          <cell r="E168">
            <v>88.12375999999999</v>
          </cell>
          <cell r="F168">
            <v>-1.8645150055148774E-3</v>
          </cell>
          <cell r="G168">
            <v>83821</v>
          </cell>
          <cell r="H168">
            <v>7451093.4473200003</v>
          </cell>
        </row>
        <row r="169">
          <cell r="A169">
            <v>38566</v>
          </cell>
          <cell r="B169">
            <v>90.097499999999997</v>
          </cell>
          <cell r="C169">
            <v>90.097499999999997</v>
          </cell>
          <cell r="D169">
            <v>88.449375000000018</v>
          </cell>
          <cell r="E169">
            <v>88.559250000000006</v>
          </cell>
          <cell r="F169">
            <v>4.9418000321368449E-3</v>
          </cell>
          <cell r="G169">
            <v>84006</v>
          </cell>
          <cell r="H169">
            <v>7504119.4702499993</v>
          </cell>
        </row>
        <row r="170">
          <cell r="A170">
            <v>38567</v>
          </cell>
          <cell r="B170">
            <v>89.1</v>
          </cell>
          <cell r="C170">
            <v>89.1</v>
          </cell>
          <cell r="D170">
            <v>88.660000000000011</v>
          </cell>
          <cell r="E170">
            <v>89.21</v>
          </cell>
          <cell r="F170">
            <v>7.3481877951764307E-3</v>
          </cell>
          <cell r="G170">
            <v>138133</v>
          </cell>
          <cell r="H170">
            <v>12315247.615</v>
          </cell>
        </row>
        <row r="171">
          <cell r="A171">
            <v>38568</v>
          </cell>
          <cell r="B171">
            <v>88.684180000000012</v>
          </cell>
          <cell r="C171">
            <v>88.684180000000012</v>
          </cell>
          <cell r="D171">
            <v>88.354089999999999</v>
          </cell>
          <cell r="E171">
            <v>88.574150000000003</v>
          </cell>
          <cell r="F171">
            <v>-7.1275641744198426E-3</v>
          </cell>
          <cell r="G171">
            <v>53602</v>
          </cell>
          <cell r="H171">
            <v>4750700.5023299996</v>
          </cell>
        </row>
        <row r="172">
          <cell r="A172">
            <v>38569</v>
          </cell>
          <cell r="B172">
            <v>88.606350000000006</v>
          </cell>
          <cell r="C172">
            <v>88.606350000000006</v>
          </cell>
          <cell r="D172">
            <v>87.615719999999996</v>
          </cell>
          <cell r="E172">
            <v>89.156699999999987</v>
          </cell>
          <cell r="F172">
            <v>6.5769753364834926E-3</v>
          </cell>
          <cell r="G172">
            <v>67004</v>
          </cell>
          <cell r="H172">
            <v>5955417.7011000002</v>
          </cell>
        </row>
        <row r="173">
          <cell r="A173">
            <v>38572</v>
          </cell>
          <cell r="B173">
            <v>90.290199999999984</v>
          </cell>
          <cell r="C173">
            <v>90.290199999999984</v>
          </cell>
          <cell r="D173">
            <v>88.528439999999989</v>
          </cell>
          <cell r="E173">
            <v>88.638549999999995</v>
          </cell>
          <cell r="F173">
            <v>-5.8116776417250771E-3</v>
          </cell>
          <cell r="G173">
            <v>146807</v>
          </cell>
          <cell r="H173">
            <v>13133996.500624999</v>
          </cell>
        </row>
        <row r="174">
          <cell r="A174">
            <v>38573</v>
          </cell>
          <cell r="B174">
            <v>90.130949999999984</v>
          </cell>
          <cell r="C174">
            <v>90.130949999999984</v>
          </cell>
          <cell r="D174">
            <v>87.709849999999989</v>
          </cell>
          <cell r="E174">
            <v>87.709849999999989</v>
          </cell>
          <cell r="F174">
            <v>-1.0477382583537365E-2</v>
          </cell>
          <cell r="G174">
            <v>118860</v>
          </cell>
          <cell r="H174">
            <v>10569078.743999999</v>
          </cell>
        </row>
        <row r="175">
          <cell r="A175">
            <v>38574</v>
          </cell>
          <cell r="B175">
            <v>88.434389999999993</v>
          </cell>
          <cell r="C175">
            <v>88.434389999999993</v>
          </cell>
          <cell r="D175">
            <v>87.22296</v>
          </cell>
          <cell r="E175">
            <v>87.663479999999993</v>
          </cell>
          <cell r="F175">
            <v>-5.2867494357811129E-4</v>
          </cell>
          <cell r="G175">
            <v>145036</v>
          </cell>
          <cell r="H175">
            <v>12770265.33666</v>
          </cell>
        </row>
        <row r="176">
          <cell r="A176">
            <v>38575</v>
          </cell>
          <cell r="B176">
            <v>88.16</v>
          </cell>
          <cell r="C176">
            <v>88.16</v>
          </cell>
          <cell r="D176">
            <v>87.719200000000001</v>
          </cell>
          <cell r="E176">
            <v>89.813000000000002</v>
          </cell>
          <cell r="F176">
            <v>2.4520130845820942E-2</v>
          </cell>
          <cell r="G176">
            <v>682359</v>
          </cell>
          <cell r="H176">
            <v>60720739.153500006</v>
          </cell>
        </row>
        <row r="177">
          <cell r="A177">
            <v>38576</v>
          </cell>
          <cell r="B177">
            <v>88.144000000000005</v>
          </cell>
          <cell r="C177">
            <v>88.144000000000005</v>
          </cell>
          <cell r="D177">
            <v>88.144000000000005</v>
          </cell>
          <cell r="E177">
            <v>90.017060000000001</v>
          </cell>
          <cell r="F177">
            <v>2.2720541569705155E-3</v>
          </cell>
          <cell r="G177">
            <v>419126</v>
          </cell>
          <cell r="H177">
            <v>37335966.216780007</v>
          </cell>
        </row>
        <row r="178">
          <cell r="A178">
            <v>38579</v>
          </cell>
          <cell r="B178">
            <v>90.290199999999984</v>
          </cell>
          <cell r="C178">
            <v>90.290199999999984</v>
          </cell>
          <cell r="D178">
            <v>89.40931999999998</v>
          </cell>
          <cell r="E178">
            <v>90.510419999999996</v>
          </cell>
          <cell r="F178">
            <v>5.4807388732758255E-3</v>
          </cell>
          <cell r="G178">
            <v>110239</v>
          </cell>
          <cell r="H178">
            <v>9965639.7740899995</v>
          </cell>
        </row>
        <row r="179">
          <cell r="A179">
            <v>38580</v>
          </cell>
          <cell r="B179">
            <v>90.199999999999989</v>
          </cell>
          <cell r="C179">
            <v>90.199999999999989</v>
          </cell>
          <cell r="D179">
            <v>89.32</v>
          </cell>
          <cell r="E179">
            <v>89.32</v>
          </cell>
          <cell r="F179">
            <v>-1.3152297823830761E-2</v>
          </cell>
          <cell r="G179">
            <v>335659</v>
          </cell>
          <cell r="H179">
            <v>30128751.839999996</v>
          </cell>
        </row>
        <row r="180">
          <cell r="A180">
            <v>38581</v>
          </cell>
          <cell r="B180">
            <v>89.21</v>
          </cell>
          <cell r="C180">
            <v>89.21</v>
          </cell>
          <cell r="D180">
            <v>88</v>
          </cell>
          <cell r="E180">
            <v>88.44</v>
          </cell>
          <cell r="F180">
            <v>-9.8522167487684609E-3</v>
          </cell>
          <cell r="G180">
            <v>243236</v>
          </cell>
          <cell r="H180">
            <v>21605437.699999996</v>
          </cell>
        </row>
        <row r="181">
          <cell r="A181">
            <v>38582</v>
          </cell>
          <cell r="B181">
            <v>88.38900000000001</v>
          </cell>
          <cell r="C181">
            <v>88.38900000000001</v>
          </cell>
          <cell r="D181">
            <v>87.949799999999996</v>
          </cell>
          <cell r="E181">
            <v>87.949799999999996</v>
          </cell>
          <cell r="F181">
            <v>-5.5427408412482837E-3</v>
          </cell>
          <cell r="G181">
            <v>141261</v>
          </cell>
          <cell r="H181">
            <v>12454897.613399999</v>
          </cell>
        </row>
        <row r="182">
          <cell r="A182">
            <v>38583</v>
          </cell>
          <cell r="B182">
            <v>88.145309999999995</v>
          </cell>
          <cell r="C182">
            <v>88.145309999999995</v>
          </cell>
          <cell r="D182">
            <v>88.035539999999997</v>
          </cell>
          <cell r="E182">
            <v>88.035539999999997</v>
          </cell>
          <cell r="F182">
            <v>9.7487430329579183E-4</v>
          </cell>
          <cell r="G182">
            <v>193388</v>
          </cell>
          <cell r="H182">
            <v>17035631.109899998</v>
          </cell>
        </row>
        <row r="183">
          <cell r="A183">
            <v>38586</v>
          </cell>
          <cell r="B183">
            <v>89.544049999999999</v>
          </cell>
          <cell r="C183">
            <v>89.544049999999999</v>
          </cell>
          <cell r="D183">
            <v>88.33547999999999</v>
          </cell>
          <cell r="E183">
            <v>88.445350000000005</v>
          </cell>
          <cell r="F183">
            <v>4.6550518120296314E-3</v>
          </cell>
          <cell r="G183">
            <v>39231</v>
          </cell>
          <cell r="H183">
            <v>3491351.0756999999</v>
          </cell>
        </row>
        <row r="184">
          <cell r="A184">
            <v>38587</v>
          </cell>
          <cell r="B184">
            <v>88.087669999999989</v>
          </cell>
          <cell r="C184">
            <v>88.087669999999989</v>
          </cell>
          <cell r="D184">
            <v>88.087669999999989</v>
          </cell>
          <cell r="E184">
            <v>88.746679999999998</v>
          </cell>
          <cell r="F184">
            <v>3.4069626045913903E-3</v>
          </cell>
          <cell r="G184">
            <v>51352</v>
          </cell>
          <cell r="H184">
            <v>4540398.7705999995</v>
          </cell>
        </row>
        <row r="185">
          <cell r="A185">
            <v>38588</v>
          </cell>
          <cell r="B185">
            <v>88.461450000000013</v>
          </cell>
          <cell r="C185">
            <v>88.461450000000013</v>
          </cell>
          <cell r="D185">
            <v>88.461450000000013</v>
          </cell>
          <cell r="E185">
            <v>89.340570000000014</v>
          </cell>
          <cell r="F185">
            <v>6.6919686460384931E-3</v>
          </cell>
          <cell r="G185">
            <v>127740</v>
          </cell>
          <cell r="H185">
            <v>11356215.017400002</v>
          </cell>
        </row>
        <row r="186">
          <cell r="A186">
            <v>38589</v>
          </cell>
          <cell r="B186">
            <v>89.601100000000002</v>
          </cell>
          <cell r="C186">
            <v>89.601100000000002</v>
          </cell>
          <cell r="D186">
            <v>89.161339999999996</v>
          </cell>
          <cell r="E186">
            <v>90.590559999999996</v>
          </cell>
          <cell r="F186">
            <v>1.3991291974071673E-2</v>
          </cell>
          <cell r="G186">
            <v>217260</v>
          </cell>
          <cell r="H186">
            <v>19574220.025800001</v>
          </cell>
        </row>
        <row r="187">
          <cell r="A187">
            <v>38590</v>
          </cell>
          <cell r="B187">
            <v>90.208200000000005</v>
          </cell>
          <cell r="C187">
            <v>90.208200000000005</v>
          </cell>
          <cell r="D187">
            <v>89.548140000000018</v>
          </cell>
          <cell r="E187">
            <v>90.42822000000001</v>
          </cell>
          <cell r="F187">
            <v>-1.7920189476694492E-3</v>
          </cell>
          <cell r="G187">
            <v>209275</v>
          </cell>
          <cell r="H187">
            <v>18901343.397750001</v>
          </cell>
        </row>
        <row r="188">
          <cell r="A188">
            <v>38593</v>
          </cell>
          <cell r="B188">
            <v>90.63176</v>
          </cell>
          <cell r="C188">
            <v>90.63176</v>
          </cell>
          <cell r="D188">
            <v>89.531860000000009</v>
          </cell>
          <cell r="E188">
            <v>90.191800000000001</v>
          </cell>
          <cell r="F188">
            <v>-2.6144493389343992E-3</v>
          </cell>
          <cell r="G188">
            <v>453166</v>
          </cell>
          <cell r="H188">
            <v>40971544.695479997</v>
          </cell>
        </row>
        <row r="189">
          <cell r="A189">
            <v>38594</v>
          </cell>
          <cell r="B189">
            <v>90.027799999999985</v>
          </cell>
          <cell r="C189">
            <v>90.027799999999985</v>
          </cell>
          <cell r="D189">
            <v>88.929899999999989</v>
          </cell>
          <cell r="E189">
            <v>89.369060000000005</v>
          </cell>
          <cell r="F189">
            <v>-9.1221153142524436E-3</v>
          </cell>
          <cell r="G189">
            <v>311460</v>
          </cell>
          <cell r="H189">
            <v>27937473.007800002</v>
          </cell>
        </row>
        <row r="190">
          <cell r="A190">
            <v>38595</v>
          </cell>
          <cell r="B190">
            <v>89.088349999999991</v>
          </cell>
          <cell r="C190">
            <v>89.088349999999991</v>
          </cell>
          <cell r="D190">
            <v>89.088349999999991</v>
          </cell>
          <cell r="E190">
            <v>90.076999999999984</v>
          </cell>
          <cell r="F190">
            <v>7.9215334703082174E-3</v>
          </cell>
          <cell r="G190">
            <v>187498</v>
          </cell>
          <cell r="H190">
            <v>16796572.397149999</v>
          </cell>
        </row>
        <row r="191">
          <cell r="A191">
            <v>38596</v>
          </cell>
          <cell r="B191">
            <v>90.339399999999983</v>
          </cell>
          <cell r="C191">
            <v>90.339399999999983</v>
          </cell>
          <cell r="D191">
            <v>89.788550000000001</v>
          </cell>
          <cell r="E191">
            <v>90.559740000000005</v>
          </cell>
          <cell r="F191">
            <v>5.3591926906981779E-3</v>
          </cell>
          <cell r="G191">
            <v>313297</v>
          </cell>
          <cell r="H191">
            <v>28337578.932289999</v>
          </cell>
        </row>
        <row r="192">
          <cell r="A192">
            <v>38597</v>
          </cell>
          <cell r="B192">
            <v>91.059375000000003</v>
          </cell>
          <cell r="C192">
            <v>91.059375000000003</v>
          </cell>
          <cell r="D192">
            <v>90.617875000000012</v>
          </cell>
          <cell r="E192">
            <v>92.935749999999999</v>
          </cell>
          <cell r="F192">
            <v>2.6236934867524875E-2</v>
          </cell>
          <cell r="G192">
            <v>277316</v>
          </cell>
          <cell r="H192">
            <v>25512396.04225</v>
          </cell>
        </row>
        <row r="193">
          <cell r="A193">
            <v>38600</v>
          </cell>
          <cell r="B193">
            <v>93.708375000000004</v>
          </cell>
          <cell r="C193">
            <v>93.708375000000004</v>
          </cell>
          <cell r="D193">
            <v>93.377250000000004</v>
          </cell>
          <cell r="E193">
            <v>97.13000000000001</v>
          </cell>
          <cell r="F193">
            <v>4.5130641330166421E-2</v>
          </cell>
          <cell r="G193">
            <v>290703</v>
          </cell>
          <cell r="H193">
            <v>27738644.063812502</v>
          </cell>
        </row>
        <row r="194">
          <cell r="A194">
            <v>38601</v>
          </cell>
          <cell r="B194">
            <v>93.156499999999994</v>
          </cell>
          <cell r="C194">
            <v>93.156499999999994</v>
          </cell>
          <cell r="D194">
            <v>95.69512499999999</v>
          </cell>
          <cell r="E194">
            <v>96.798874999999995</v>
          </cell>
          <cell r="F194">
            <v>-3.4090909090910282E-3</v>
          </cell>
          <cell r="G194">
            <v>477847</v>
          </cell>
          <cell r="H194">
            <v>45384803.038812503</v>
          </cell>
        </row>
        <row r="195">
          <cell r="A195">
            <v>38602</v>
          </cell>
          <cell r="B195">
            <v>97.681874999999991</v>
          </cell>
          <cell r="C195">
            <v>97.681874999999991</v>
          </cell>
          <cell r="D195">
            <v>95.03287499999999</v>
          </cell>
          <cell r="E195">
            <v>96.02624999999999</v>
          </cell>
          <cell r="F195">
            <v>-7.9817559863170073E-3</v>
          </cell>
          <cell r="G195">
            <v>110416</v>
          </cell>
          <cell r="H195">
            <v>10694238.164999999</v>
          </cell>
        </row>
        <row r="196">
          <cell r="A196">
            <v>38603</v>
          </cell>
          <cell r="B196">
            <v>96.02624999999999</v>
          </cell>
          <cell r="C196">
            <v>96.02624999999999</v>
          </cell>
          <cell r="D196">
            <v>93.818749999999994</v>
          </cell>
          <cell r="E196">
            <v>93.818749999999994</v>
          </cell>
          <cell r="F196">
            <v>-2.2988505747126409E-2</v>
          </cell>
          <cell r="G196">
            <v>71404</v>
          </cell>
          <cell r="H196">
            <v>6777846.1899999985</v>
          </cell>
        </row>
        <row r="197">
          <cell r="A197">
            <v>38604</v>
          </cell>
          <cell r="B197">
            <v>93.67</v>
          </cell>
          <cell r="C197">
            <v>93.67</v>
          </cell>
          <cell r="D197">
            <v>93.67</v>
          </cell>
          <cell r="E197">
            <v>96.424999999999997</v>
          </cell>
          <cell r="F197">
            <v>2.7779628272600165E-2</v>
          </cell>
          <cell r="G197">
            <v>195108</v>
          </cell>
          <cell r="H197">
            <v>18544527.629999999</v>
          </cell>
        </row>
        <row r="198">
          <cell r="A198">
            <v>38607</v>
          </cell>
          <cell r="B198">
            <v>96.69</v>
          </cell>
          <cell r="C198">
            <v>96.69</v>
          </cell>
          <cell r="D198">
            <v>96.69</v>
          </cell>
          <cell r="E198">
            <v>97.9</v>
          </cell>
          <cell r="F198">
            <v>1.529686284677223E-2</v>
          </cell>
          <cell r="G198">
            <v>716159</v>
          </cell>
          <cell r="H198">
            <v>69678689.905000001</v>
          </cell>
        </row>
        <row r="199">
          <cell r="A199">
            <v>38608</v>
          </cell>
          <cell r="B199">
            <v>98.945999999999998</v>
          </cell>
          <cell r="C199">
            <v>98.945999999999998</v>
          </cell>
          <cell r="D199">
            <v>97.626720000000006</v>
          </cell>
          <cell r="E199">
            <v>97.626720000000006</v>
          </cell>
          <cell r="F199">
            <v>-2.7914198161389514E-3</v>
          </cell>
          <cell r="G199">
            <v>436555</v>
          </cell>
          <cell r="H199">
            <v>42907401.889799997</v>
          </cell>
        </row>
        <row r="200">
          <cell r="A200">
            <v>38609</v>
          </cell>
          <cell r="B200">
            <v>98.797959999999989</v>
          </cell>
          <cell r="C200">
            <v>98.797959999999989</v>
          </cell>
          <cell r="D200">
            <v>97.587739999999982</v>
          </cell>
          <cell r="E200">
            <v>98.35787999999998</v>
          </cell>
          <cell r="F200">
            <v>7.4893430814839679E-3</v>
          </cell>
          <cell r="G200">
            <v>524386</v>
          </cell>
          <cell r="H200">
            <v>51692881.157119989</v>
          </cell>
        </row>
        <row r="201">
          <cell r="A201">
            <v>38610</v>
          </cell>
          <cell r="B201">
            <v>98.764140000000012</v>
          </cell>
          <cell r="C201">
            <v>98.764140000000012</v>
          </cell>
          <cell r="D201">
            <v>97.665540000000007</v>
          </cell>
          <cell r="E201">
            <v>98.764140000000012</v>
          </cell>
          <cell r="F201">
            <v>4.1304265606378898E-3</v>
          </cell>
          <cell r="G201">
            <v>682448</v>
          </cell>
          <cell r="H201">
            <v>67401389.814720005</v>
          </cell>
        </row>
        <row r="202">
          <cell r="A202">
            <v>38611</v>
          </cell>
          <cell r="B202">
            <v>98.448000000000022</v>
          </cell>
          <cell r="C202">
            <v>98.448000000000022</v>
          </cell>
          <cell r="D202">
            <v>98.008500000000012</v>
          </cell>
          <cell r="E202">
            <v>98.008500000000012</v>
          </cell>
          <cell r="F202">
            <v>-7.6509550936200155E-3</v>
          </cell>
          <cell r="G202">
            <v>332504</v>
          </cell>
          <cell r="H202">
            <v>32661286.038000006</v>
          </cell>
        </row>
        <row r="203">
          <cell r="A203">
            <v>38614</v>
          </cell>
          <cell r="B203">
            <v>100.93779999999998</v>
          </cell>
          <cell r="C203">
            <v>100.93779999999998</v>
          </cell>
          <cell r="D203">
            <v>99.07264499999998</v>
          </cell>
          <cell r="E203">
            <v>99.292074999999997</v>
          </cell>
          <cell r="F203">
            <v>1.3096568154802757E-2</v>
          </cell>
          <cell r="G203">
            <v>149946</v>
          </cell>
          <cell r="H203">
            <v>15011834.418375</v>
          </cell>
        </row>
        <row r="204">
          <cell r="A204">
            <v>38615</v>
          </cell>
          <cell r="B204">
            <v>99.643920000000008</v>
          </cell>
          <cell r="C204">
            <v>99.643920000000008</v>
          </cell>
          <cell r="D204">
            <v>98.985479999999995</v>
          </cell>
          <cell r="E204">
            <v>99.643920000000008</v>
          </cell>
          <cell r="F204">
            <v>3.5435355742139407E-3</v>
          </cell>
          <cell r="G204">
            <v>256260</v>
          </cell>
          <cell r="H204">
            <v>25534750.939200003</v>
          </cell>
        </row>
        <row r="205">
          <cell r="A205">
            <v>38616</v>
          </cell>
          <cell r="B205">
            <v>100.31131000000001</v>
          </cell>
          <cell r="C205">
            <v>100.31131000000001</v>
          </cell>
          <cell r="D205">
            <v>98.223779999999991</v>
          </cell>
          <cell r="E205">
            <v>98.882999999999996</v>
          </cell>
          <cell r="F205">
            <v>-7.6363916634353268E-3</v>
          </cell>
          <cell r="G205">
            <v>96868</v>
          </cell>
          <cell r="H205">
            <v>9647777.2105400003</v>
          </cell>
        </row>
        <row r="206">
          <cell r="A206">
            <v>38617</v>
          </cell>
          <cell r="B206">
            <v>98.947819999999993</v>
          </cell>
          <cell r="C206">
            <v>98.947819999999993</v>
          </cell>
          <cell r="D206">
            <v>98.069259999999986</v>
          </cell>
          <cell r="E206">
            <v>97.739800000000002</v>
          </cell>
          <cell r="F206">
            <v>-1.1561137910459762E-2</v>
          </cell>
          <cell r="G206">
            <v>97567</v>
          </cell>
          <cell r="H206">
            <v>9595110.5102699995</v>
          </cell>
        </row>
        <row r="207">
          <cell r="A207">
            <v>38618</v>
          </cell>
          <cell r="B207">
            <v>99.27727999999999</v>
          </cell>
          <cell r="C207">
            <v>99.27727999999999</v>
          </cell>
          <cell r="D207">
            <v>97.520160000000004</v>
          </cell>
          <cell r="E207">
            <v>97.739800000000002</v>
          </cell>
          <cell r="F207">
            <v>0</v>
          </cell>
          <cell r="G207">
            <v>134691</v>
          </cell>
          <cell r="H207">
            <v>13268213.76114</v>
          </cell>
        </row>
        <row r="208">
          <cell r="A208">
            <v>38621</v>
          </cell>
          <cell r="B208">
            <v>98.288899999999984</v>
          </cell>
          <cell r="C208">
            <v>98.288899999999984</v>
          </cell>
          <cell r="D208">
            <v>98.288899999999984</v>
          </cell>
          <cell r="E208">
            <v>97.520160000000004</v>
          </cell>
          <cell r="F208">
            <v>-2.2471910112359383E-3</v>
          </cell>
          <cell r="G208">
            <v>54153</v>
          </cell>
          <cell r="H208">
            <v>5301824.0130899996</v>
          </cell>
        </row>
        <row r="209">
          <cell r="A209">
            <v>38622</v>
          </cell>
          <cell r="B209">
            <v>97.959439999999987</v>
          </cell>
          <cell r="C209">
            <v>97.959439999999987</v>
          </cell>
          <cell r="D209">
            <v>96.971059999999994</v>
          </cell>
          <cell r="E209">
            <v>97.739800000000002</v>
          </cell>
          <cell r="F209">
            <v>2.2522522522523403E-3</v>
          </cell>
          <cell r="G209">
            <v>91150</v>
          </cell>
          <cell r="H209">
            <v>8918992.862999998</v>
          </cell>
        </row>
        <row r="210">
          <cell r="A210">
            <v>38623</v>
          </cell>
          <cell r="B210">
            <v>97.46390000000001</v>
          </cell>
          <cell r="C210">
            <v>97.46390000000001</v>
          </cell>
          <cell r="D210">
            <v>96.806840000000008</v>
          </cell>
          <cell r="E210">
            <v>97.46390000000001</v>
          </cell>
          <cell r="F210">
            <v>-2.822800947004156E-3</v>
          </cell>
          <cell r="G210">
            <v>159203</v>
          </cell>
          <cell r="H210">
            <v>15516545.271700002</v>
          </cell>
        </row>
        <row r="211">
          <cell r="A211">
            <v>38624</v>
          </cell>
          <cell r="B211">
            <v>97.46390000000001</v>
          </cell>
          <cell r="C211">
            <v>97.46390000000001</v>
          </cell>
          <cell r="D211">
            <v>98.230470000000011</v>
          </cell>
          <cell r="E211">
            <v>97.46390000000001</v>
          </cell>
          <cell r="F211">
            <v>0</v>
          </cell>
          <cell r="G211">
            <v>114040</v>
          </cell>
          <cell r="H211">
            <v>11114783.156000001</v>
          </cell>
        </row>
        <row r="212">
          <cell r="A212">
            <v>38625</v>
          </cell>
          <cell r="B212">
            <v>97.490600000000015</v>
          </cell>
          <cell r="C212">
            <v>97.490600000000015</v>
          </cell>
          <cell r="D212">
            <v>96.942900000000009</v>
          </cell>
          <cell r="E212">
            <v>97.490600000000015</v>
          </cell>
          <cell r="F212">
            <v>2.7394758469556635E-4</v>
          </cell>
          <cell r="G212">
            <v>86690</v>
          </cell>
          <cell r="H212">
            <v>8451460.1140000019</v>
          </cell>
        </row>
        <row r="213">
          <cell r="A213">
            <v>38628</v>
          </cell>
          <cell r="B213">
            <v>97.303700000000006</v>
          </cell>
          <cell r="C213">
            <v>97.303700000000006</v>
          </cell>
          <cell r="D213">
            <v>96.757049999999992</v>
          </cell>
          <cell r="E213">
            <v>98.287670000000006</v>
          </cell>
          <cell r="F213">
            <v>8.1758651603334176E-3</v>
          </cell>
          <cell r="G213">
            <v>43387</v>
          </cell>
          <cell r="H213">
            <v>4243061.3850950003</v>
          </cell>
        </row>
        <row r="214">
          <cell r="A214">
            <v>38629</v>
          </cell>
          <cell r="B214">
            <v>97.321499999999986</v>
          </cell>
          <cell r="C214">
            <v>97.321499999999986</v>
          </cell>
          <cell r="D214">
            <v>96.118649999999974</v>
          </cell>
          <cell r="E214">
            <v>96.118649999999974</v>
          </cell>
          <cell r="F214">
            <v>-2.2068078325592988E-2</v>
          </cell>
          <cell r="G214">
            <v>160052</v>
          </cell>
          <cell r="H214">
            <v>15480241.443899997</v>
          </cell>
        </row>
        <row r="215">
          <cell r="A215">
            <v>38630</v>
          </cell>
          <cell r="B215">
            <v>96.250000000000014</v>
          </cell>
          <cell r="C215">
            <v>96.250000000000014</v>
          </cell>
          <cell r="D215">
            <v>96.03125</v>
          </cell>
          <cell r="E215">
            <v>96.6875</v>
          </cell>
          <cell r="F215">
            <v>5.9182063002343188E-3</v>
          </cell>
          <cell r="G215">
            <v>143411</v>
          </cell>
          <cell r="H215">
            <v>13834679.90625</v>
          </cell>
        </row>
        <row r="216">
          <cell r="A216">
            <v>38631</v>
          </cell>
          <cell r="B216">
            <v>96.859880000000004</v>
          </cell>
          <cell r="C216">
            <v>96.859880000000004</v>
          </cell>
          <cell r="D216">
            <v>96.531170000000017</v>
          </cell>
          <cell r="E216">
            <v>97.407730000000015</v>
          </cell>
          <cell r="F216">
            <v>7.4490497737558226E-3</v>
          </cell>
          <cell r="G216">
            <v>143312</v>
          </cell>
          <cell r="H216">
            <v>13920439.862160001</v>
          </cell>
        </row>
        <row r="217">
          <cell r="A217">
            <v>38632</v>
          </cell>
          <cell r="B217">
            <v>98.098619999999983</v>
          </cell>
          <cell r="C217">
            <v>98.098619999999983</v>
          </cell>
          <cell r="D217">
            <v>96.781859999999995</v>
          </cell>
          <cell r="E217">
            <v>97.659700000000001</v>
          </cell>
          <cell r="F217">
            <v>2.5867556917709145E-3</v>
          </cell>
          <cell r="G217">
            <v>129353</v>
          </cell>
          <cell r="H217">
            <v>12660962.983479997</v>
          </cell>
        </row>
        <row r="218">
          <cell r="A218">
            <v>38635</v>
          </cell>
          <cell r="B218">
            <v>97.552900000000008</v>
          </cell>
          <cell r="C218">
            <v>97.552900000000008</v>
          </cell>
          <cell r="D218">
            <v>97.443290000000005</v>
          </cell>
          <cell r="E218">
            <v>97.991339999999994</v>
          </cell>
          <cell r="F218">
            <v>3.3958736305763626E-3</v>
          </cell>
          <cell r="G218">
            <v>120827</v>
          </cell>
          <cell r="H218">
            <v>11813511.94324</v>
          </cell>
        </row>
        <row r="219">
          <cell r="A219">
            <v>38636</v>
          </cell>
          <cell r="B219">
            <v>97.552900000000008</v>
          </cell>
          <cell r="C219">
            <v>97.552900000000008</v>
          </cell>
          <cell r="D219">
            <v>97.224069999999998</v>
          </cell>
          <cell r="E219">
            <v>97.552900000000008</v>
          </cell>
          <cell r="F219">
            <v>-4.4742729306486151E-3</v>
          </cell>
          <cell r="G219">
            <v>217520</v>
          </cell>
          <cell r="H219">
            <v>21219706.808000002</v>
          </cell>
        </row>
        <row r="220">
          <cell r="A220">
            <v>38637</v>
          </cell>
          <cell r="B220">
            <v>97.552900000000008</v>
          </cell>
          <cell r="C220">
            <v>97.552900000000008</v>
          </cell>
          <cell r="D220">
            <v>97.443290000000005</v>
          </cell>
          <cell r="E220">
            <v>98.100949999999997</v>
          </cell>
          <cell r="F220">
            <v>5.6179775280897903E-3</v>
          </cell>
          <cell r="G220">
            <v>11271</v>
          </cell>
          <cell r="H220">
            <v>1102607.271675</v>
          </cell>
        </row>
        <row r="221">
          <cell r="A221">
            <v>38638</v>
          </cell>
          <cell r="B221">
            <v>98.100949999999997</v>
          </cell>
          <cell r="C221">
            <v>98.100949999999997</v>
          </cell>
          <cell r="D221">
            <v>97.114459999999994</v>
          </cell>
          <cell r="E221">
            <v>97.224069999999998</v>
          </cell>
          <cell r="F221">
            <v>-8.9385474860335101E-3</v>
          </cell>
          <cell r="G221">
            <v>55086</v>
          </cell>
          <cell r="H221">
            <v>5379837.0258599995</v>
          </cell>
        </row>
        <row r="222">
          <cell r="A222">
            <v>38639</v>
          </cell>
          <cell r="B222">
            <v>97.991339999999994</v>
          </cell>
          <cell r="C222">
            <v>97.991339999999994</v>
          </cell>
          <cell r="D222">
            <v>98.100949999999997</v>
          </cell>
          <cell r="E222">
            <v>98.100949999999997</v>
          </cell>
          <cell r="F222">
            <v>9.0191657271703196E-3</v>
          </cell>
          <cell r="G222">
            <v>46700</v>
          </cell>
          <cell r="H222">
            <v>4578754.9715</v>
          </cell>
        </row>
        <row r="223">
          <cell r="A223">
            <v>38642</v>
          </cell>
          <cell r="B223">
            <v>97.552900000000008</v>
          </cell>
          <cell r="C223">
            <v>97.552900000000008</v>
          </cell>
          <cell r="D223">
            <v>96.237579999999994</v>
          </cell>
          <cell r="E223">
            <v>96.456800000000015</v>
          </cell>
          <cell r="F223">
            <v>-1.6759776536312665E-2</v>
          </cell>
          <cell r="G223">
            <v>90930</v>
          </cell>
          <cell r="H223">
            <v>8820651.0105000008</v>
          </cell>
        </row>
        <row r="224">
          <cell r="A224">
            <v>38643</v>
          </cell>
          <cell r="B224">
            <v>97.333680000000015</v>
          </cell>
          <cell r="C224">
            <v>97.333680000000015</v>
          </cell>
          <cell r="D224">
            <v>96.237579999999994</v>
          </cell>
          <cell r="E224">
            <v>96.237579999999994</v>
          </cell>
          <cell r="F224">
            <v>-2.2727272727275372E-3</v>
          </cell>
          <cell r="G224">
            <v>34760</v>
          </cell>
          <cell r="H224">
            <v>3364268.4987999997</v>
          </cell>
        </row>
        <row r="225">
          <cell r="A225">
            <v>38644</v>
          </cell>
          <cell r="B225">
            <v>96.347189999999998</v>
          </cell>
          <cell r="C225">
            <v>96.347189999999998</v>
          </cell>
          <cell r="D225">
            <v>93.168500000000009</v>
          </cell>
          <cell r="E225">
            <v>93.387720000000002</v>
          </cell>
          <cell r="F225">
            <v>-2.9612756264236872E-2</v>
          </cell>
          <cell r="G225">
            <v>205315</v>
          </cell>
          <cell r="H225">
            <v>19477711.523325</v>
          </cell>
        </row>
        <row r="226">
          <cell r="A226">
            <v>38645</v>
          </cell>
          <cell r="B226">
            <v>94.613699999999994</v>
          </cell>
          <cell r="C226">
            <v>94.613699999999994</v>
          </cell>
          <cell r="D226">
            <v>93.191759999999988</v>
          </cell>
          <cell r="E226">
            <v>93.738659999999996</v>
          </cell>
          <cell r="F226">
            <v>3.7578816572456653E-3</v>
          </cell>
          <cell r="G226">
            <v>102951</v>
          </cell>
          <cell r="H226">
            <v>9695531.9071799982</v>
          </cell>
        </row>
        <row r="227">
          <cell r="A227">
            <v>38646</v>
          </cell>
          <cell r="B227">
            <v>93.738659999999996</v>
          </cell>
          <cell r="C227">
            <v>93.738659999999996</v>
          </cell>
          <cell r="D227">
            <v>93.191759999999988</v>
          </cell>
          <cell r="E227">
            <v>93.410519999999977</v>
          </cell>
          <cell r="F227">
            <v>-3.500583430571913E-3</v>
          </cell>
          <cell r="G227">
            <v>47484</v>
          </cell>
          <cell r="H227">
            <v>4443295.8315599989</v>
          </cell>
        </row>
        <row r="228">
          <cell r="A228">
            <v>38649</v>
          </cell>
          <cell r="B228">
            <v>94.045300000000012</v>
          </cell>
          <cell r="C228">
            <v>94.045300000000012</v>
          </cell>
          <cell r="D228">
            <v>93.170460000000006</v>
          </cell>
          <cell r="E228">
            <v>94.264009999999999</v>
          </cell>
          <cell r="F228">
            <v>9.1369794322955222E-3</v>
          </cell>
          <cell r="G228">
            <v>206635</v>
          </cell>
          <cell r="H228">
            <v>19455647.135925002</v>
          </cell>
        </row>
        <row r="229">
          <cell r="A229">
            <v>38650</v>
          </cell>
          <cell r="B229">
            <v>95.282399999999996</v>
          </cell>
          <cell r="C229">
            <v>95.282399999999996</v>
          </cell>
          <cell r="D229">
            <v>93.858640000000008</v>
          </cell>
          <cell r="E229">
            <v>94.077680000000001</v>
          </cell>
          <cell r="F229">
            <v>-1.9766822990024968E-3</v>
          </cell>
          <cell r="G229">
            <v>9785</v>
          </cell>
          <cell r="H229">
            <v>926444.19139999989</v>
          </cell>
        </row>
        <row r="230">
          <cell r="A230">
            <v>38651</v>
          </cell>
          <cell r="B230">
            <v>93.931484999999995</v>
          </cell>
          <cell r="C230">
            <v>93.931484999999995</v>
          </cell>
          <cell r="D230">
            <v>93.273854999999998</v>
          </cell>
          <cell r="E230">
            <v>93.602669999999989</v>
          </cell>
          <cell r="F230">
            <v>-5.0491253610847053E-3</v>
          </cell>
          <cell r="G230">
            <v>81252</v>
          </cell>
          <cell r="H230">
            <v>7618762.58103</v>
          </cell>
        </row>
        <row r="231">
          <cell r="A231">
            <v>38652</v>
          </cell>
          <cell r="B231">
            <v>93.789225000000002</v>
          </cell>
          <cell r="C231">
            <v>93.789225000000002</v>
          </cell>
          <cell r="D231">
            <v>93.021360000000001</v>
          </cell>
          <cell r="E231">
            <v>93.679529999999986</v>
          </cell>
          <cell r="F231">
            <v>8.2113042288223248E-4</v>
          </cell>
          <cell r="G231">
            <v>130559</v>
          </cell>
          <cell r="H231">
            <v>12237866.592022499</v>
          </cell>
        </row>
        <row r="232">
          <cell r="A232">
            <v>38653</v>
          </cell>
          <cell r="B232">
            <v>93.253500000000003</v>
          </cell>
          <cell r="C232">
            <v>93.253500000000003</v>
          </cell>
          <cell r="D232">
            <v>93.253500000000003</v>
          </cell>
          <cell r="E232">
            <v>93.472920000000002</v>
          </cell>
          <cell r="F232">
            <v>-2.2054978286076832E-3</v>
          </cell>
          <cell r="G232">
            <v>84784</v>
          </cell>
          <cell r="H232">
            <v>7915706.3966400009</v>
          </cell>
        </row>
        <row r="233">
          <cell r="A233">
            <v>38656</v>
          </cell>
          <cell r="B233">
            <v>93.648150000000001</v>
          </cell>
          <cell r="C233">
            <v>93.648150000000001</v>
          </cell>
          <cell r="D233">
            <v>93.648150000000001</v>
          </cell>
          <cell r="E233">
            <v>94.743449999999996</v>
          </cell>
          <cell r="F233">
            <v>1.3592492884570095E-2</v>
          </cell>
          <cell r="G233">
            <v>47878</v>
          </cell>
          <cell r="H233">
            <v>4509906.5123999994</v>
          </cell>
        </row>
      </sheetData>
      <sheetData sheetId="3" refreshError="1">
        <row r="1">
          <cell r="A1" t="str">
            <v>Date</v>
          </cell>
          <cell r="B1" t="str">
            <v>opening</v>
          </cell>
          <cell r="C1" t="str">
            <v>High</v>
          </cell>
          <cell r="D1" t="str">
            <v>Low</v>
          </cell>
          <cell r="E1" t="str">
            <v>Euronext100</v>
          </cell>
        </row>
        <row r="2">
          <cell r="A2">
            <v>37970</v>
          </cell>
          <cell r="B2">
            <v>600.58000000000004</v>
          </cell>
          <cell r="C2">
            <v>601.16999999999996</v>
          </cell>
          <cell r="D2">
            <v>595.02</v>
          </cell>
          <cell r="E2">
            <v>595.70000000000005</v>
          </cell>
        </row>
        <row r="3">
          <cell r="A3">
            <v>37971</v>
          </cell>
          <cell r="B3">
            <v>591.29999999999995</v>
          </cell>
          <cell r="C3">
            <v>596.33000000000004</v>
          </cell>
          <cell r="D3">
            <v>591.28</v>
          </cell>
          <cell r="E3">
            <v>594.39</v>
          </cell>
        </row>
        <row r="4">
          <cell r="A4">
            <v>37972</v>
          </cell>
          <cell r="B4">
            <v>595.4</v>
          </cell>
          <cell r="C4">
            <v>595.64</v>
          </cell>
          <cell r="D4">
            <v>590.95000000000005</v>
          </cell>
          <cell r="E4">
            <v>593.6</v>
          </cell>
        </row>
        <row r="5">
          <cell r="A5">
            <v>37973</v>
          </cell>
          <cell r="B5">
            <v>591.96</v>
          </cell>
          <cell r="C5">
            <v>598.22</v>
          </cell>
          <cell r="D5">
            <v>591.92999999999995</v>
          </cell>
          <cell r="E5">
            <v>597.71</v>
          </cell>
        </row>
        <row r="6">
          <cell r="A6">
            <v>37974</v>
          </cell>
          <cell r="B6">
            <v>600.25</v>
          </cell>
          <cell r="C6">
            <v>600.63</v>
          </cell>
          <cell r="D6">
            <v>596.55999999999995</v>
          </cell>
          <cell r="E6">
            <v>599.51</v>
          </cell>
        </row>
        <row r="7">
          <cell r="A7">
            <v>37977</v>
          </cell>
          <cell r="B7">
            <v>596.04</v>
          </cell>
          <cell r="C7">
            <v>601.01</v>
          </cell>
          <cell r="D7">
            <v>596.04</v>
          </cell>
          <cell r="E7">
            <v>598.32000000000005</v>
          </cell>
        </row>
        <row r="8">
          <cell r="A8">
            <v>37978</v>
          </cell>
          <cell r="B8">
            <v>600.07000000000005</v>
          </cell>
          <cell r="C8">
            <v>600.1</v>
          </cell>
          <cell r="D8">
            <v>597.9</v>
          </cell>
          <cell r="E8">
            <v>599.58000000000004</v>
          </cell>
        </row>
        <row r="9">
          <cell r="A9">
            <v>37979</v>
          </cell>
          <cell r="B9">
            <v>599.64</v>
          </cell>
          <cell r="C9">
            <v>600.97</v>
          </cell>
          <cell r="D9">
            <v>599.54999999999995</v>
          </cell>
          <cell r="E9">
            <v>600.96</v>
          </cell>
        </row>
        <row r="10">
          <cell r="A10">
            <v>37984</v>
          </cell>
          <cell r="B10">
            <v>601.47</v>
          </cell>
          <cell r="C10">
            <v>603.44000000000005</v>
          </cell>
          <cell r="D10">
            <v>601.17999999999995</v>
          </cell>
          <cell r="E10">
            <v>603.34</v>
          </cell>
        </row>
        <row r="11">
          <cell r="A11">
            <v>37985</v>
          </cell>
          <cell r="B11">
            <v>606.66999999999996</v>
          </cell>
          <cell r="C11">
            <v>607.79</v>
          </cell>
          <cell r="D11">
            <v>604.36</v>
          </cell>
          <cell r="E11">
            <v>605.49</v>
          </cell>
        </row>
        <row r="12">
          <cell r="A12">
            <v>37986</v>
          </cell>
          <cell r="B12">
            <v>605.35</v>
          </cell>
          <cell r="C12">
            <v>609.58000000000004</v>
          </cell>
          <cell r="D12">
            <v>605.21</v>
          </cell>
          <cell r="E12">
            <v>608.97</v>
          </cell>
        </row>
        <row r="13">
          <cell r="A13">
            <v>37988</v>
          </cell>
          <cell r="B13">
            <v>609.04</v>
          </cell>
          <cell r="C13">
            <v>615.94000000000005</v>
          </cell>
          <cell r="D13">
            <v>608.74</v>
          </cell>
          <cell r="E13">
            <v>615.94000000000005</v>
          </cell>
        </row>
        <row r="14">
          <cell r="A14">
            <v>37991</v>
          </cell>
          <cell r="B14">
            <v>615.49</v>
          </cell>
          <cell r="C14">
            <v>617.83000000000004</v>
          </cell>
          <cell r="D14">
            <v>612.91999999999996</v>
          </cell>
          <cell r="E14">
            <v>617.70000000000005</v>
          </cell>
        </row>
        <row r="15">
          <cell r="A15">
            <v>37992</v>
          </cell>
          <cell r="B15">
            <v>618.80999999999995</v>
          </cell>
          <cell r="C15">
            <v>619.03</v>
          </cell>
          <cell r="D15">
            <v>614.55999999999995</v>
          </cell>
          <cell r="E15">
            <v>615.89</v>
          </cell>
        </row>
        <row r="16">
          <cell r="A16">
            <v>37993</v>
          </cell>
          <cell r="B16">
            <v>617.64</v>
          </cell>
          <cell r="C16">
            <v>617.77</v>
          </cell>
          <cell r="D16">
            <v>610.35</v>
          </cell>
          <cell r="E16">
            <v>611.52</v>
          </cell>
        </row>
        <row r="17">
          <cell r="A17">
            <v>37994</v>
          </cell>
          <cell r="B17">
            <v>615.30999999999995</v>
          </cell>
          <cell r="C17">
            <v>619.74</v>
          </cell>
          <cell r="D17">
            <v>615.16</v>
          </cell>
          <cell r="E17">
            <v>617.42999999999995</v>
          </cell>
        </row>
        <row r="18">
          <cell r="A18">
            <v>37995</v>
          </cell>
          <cell r="B18">
            <v>618.62</v>
          </cell>
          <cell r="C18">
            <v>619.11</v>
          </cell>
          <cell r="D18">
            <v>608.82000000000005</v>
          </cell>
          <cell r="E18">
            <v>612.39</v>
          </cell>
        </row>
        <row r="19">
          <cell r="A19">
            <v>37998</v>
          </cell>
          <cell r="B19">
            <v>611.13</v>
          </cell>
          <cell r="C19">
            <v>611.13</v>
          </cell>
          <cell r="D19">
            <v>607.71</v>
          </cell>
          <cell r="E19">
            <v>609.55999999999995</v>
          </cell>
        </row>
        <row r="20">
          <cell r="A20">
            <v>37999</v>
          </cell>
          <cell r="B20">
            <v>612.32000000000005</v>
          </cell>
          <cell r="C20">
            <v>616.58000000000004</v>
          </cell>
          <cell r="D20">
            <v>610.91</v>
          </cell>
          <cell r="E20">
            <v>611.54999999999995</v>
          </cell>
        </row>
        <row r="21">
          <cell r="A21">
            <v>38000</v>
          </cell>
          <cell r="B21">
            <v>610.48</v>
          </cell>
          <cell r="C21">
            <v>618.23</v>
          </cell>
          <cell r="D21">
            <v>610.25</v>
          </cell>
          <cell r="E21">
            <v>617.99</v>
          </cell>
        </row>
        <row r="22">
          <cell r="A22">
            <v>38001</v>
          </cell>
          <cell r="B22">
            <v>616.55999999999995</v>
          </cell>
          <cell r="C22">
            <v>622.41999999999996</v>
          </cell>
          <cell r="D22">
            <v>615.14</v>
          </cell>
          <cell r="E22">
            <v>621.07000000000005</v>
          </cell>
        </row>
        <row r="23">
          <cell r="A23">
            <v>38002</v>
          </cell>
          <cell r="B23">
            <v>624.88</v>
          </cell>
          <cell r="C23">
            <v>630.55999999999995</v>
          </cell>
          <cell r="D23">
            <v>624.29999999999995</v>
          </cell>
          <cell r="E23">
            <v>629</v>
          </cell>
        </row>
        <row r="24">
          <cell r="A24">
            <v>38005</v>
          </cell>
          <cell r="B24">
            <v>631.41999999999996</v>
          </cell>
          <cell r="C24">
            <v>633.44000000000005</v>
          </cell>
          <cell r="D24">
            <v>628.99</v>
          </cell>
          <cell r="E24">
            <v>631.39</v>
          </cell>
        </row>
        <row r="25">
          <cell r="A25">
            <v>38006</v>
          </cell>
          <cell r="B25">
            <v>631.22</v>
          </cell>
          <cell r="C25">
            <v>632.13</v>
          </cell>
          <cell r="D25">
            <v>626.69000000000005</v>
          </cell>
          <cell r="E25">
            <v>626.87</v>
          </cell>
        </row>
        <row r="26">
          <cell r="A26">
            <v>38007</v>
          </cell>
          <cell r="B26">
            <v>626.47</v>
          </cell>
          <cell r="C26">
            <v>630.52</v>
          </cell>
          <cell r="D26">
            <v>626.29999999999995</v>
          </cell>
          <cell r="E26">
            <v>630.52</v>
          </cell>
        </row>
        <row r="27">
          <cell r="A27">
            <v>38008</v>
          </cell>
          <cell r="B27">
            <v>634.88</v>
          </cell>
          <cell r="C27">
            <v>635.82000000000005</v>
          </cell>
          <cell r="D27">
            <v>631.37</v>
          </cell>
          <cell r="E27">
            <v>632.82000000000005</v>
          </cell>
        </row>
        <row r="28">
          <cell r="A28">
            <v>38009</v>
          </cell>
          <cell r="B28">
            <v>632.49</v>
          </cell>
          <cell r="C28">
            <v>633.79</v>
          </cell>
          <cell r="D28">
            <v>630.66</v>
          </cell>
          <cell r="E28">
            <v>632.07000000000005</v>
          </cell>
        </row>
        <row r="29">
          <cell r="A29">
            <v>38012</v>
          </cell>
          <cell r="B29">
            <v>631.16999999999996</v>
          </cell>
          <cell r="C29">
            <v>631.16999999999996</v>
          </cell>
          <cell r="D29">
            <v>627.76</v>
          </cell>
          <cell r="E29">
            <v>628.98</v>
          </cell>
        </row>
        <row r="30">
          <cell r="A30">
            <v>38013</v>
          </cell>
          <cell r="B30">
            <v>634.88</v>
          </cell>
          <cell r="C30">
            <v>636.72</v>
          </cell>
          <cell r="D30">
            <v>632.38</v>
          </cell>
          <cell r="E30">
            <v>632.54</v>
          </cell>
        </row>
        <row r="31">
          <cell r="A31">
            <v>38014</v>
          </cell>
          <cell r="B31">
            <v>629.5</v>
          </cell>
          <cell r="C31">
            <v>634.91999999999996</v>
          </cell>
          <cell r="D31">
            <v>629.30999999999995</v>
          </cell>
          <cell r="E31">
            <v>634.17999999999995</v>
          </cell>
        </row>
        <row r="32">
          <cell r="A32">
            <v>38015</v>
          </cell>
          <cell r="B32">
            <v>629.26</v>
          </cell>
          <cell r="C32">
            <v>630.48</v>
          </cell>
          <cell r="D32">
            <v>626.58000000000004</v>
          </cell>
          <cell r="E32">
            <v>627.36</v>
          </cell>
        </row>
        <row r="33">
          <cell r="A33">
            <v>38016</v>
          </cell>
          <cell r="B33">
            <v>629.92999999999995</v>
          </cell>
          <cell r="C33">
            <v>630.59</v>
          </cell>
          <cell r="D33">
            <v>623.74</v>
          </cell>
          <cell r="E33">
            <v>623.74</v>
          </cell>
        </row>
        <row r="34">
          <cell r="A34">
            <v>38019</v>
          </cell>
          <cell r="B34">
            <v>627.28</v>
          </cell>
          <cell r="C34">
            <v>629.01</v>
          </cell>
          <cell r="D34">
            <v>624.96</v>
          </cell>
          <cell r="E34">
            <v>627.72</v>
          </cell>
        </row>
        <row r="35">
          <cell r="A35">
            <v>38020</v>
          </cell>
          <cell r="B35">
            <v>627.54</v>
          </cell>
          <cell r="C35">
            <v>628.23</v>
          </cell>
          <cell r="D35">
            <v>620.6</v>
          </cell>
          <cell r="E35">
            <v>622.9</v>
          </cell>
        </row>
        <row r="36">
          <cell r="A36">
            <v>38021</v>
          </cell>
          <cell r="B36">
            <v>620.19000000000005</v>
          </cell>
          <cell r="C36">
            <v>621.05999999999995</v>
          </cell>
          <cell r="D36">
            <v>617.21</v>
          </cell>
          <cell r="E36">
            <v>617.79999999999995</v>
          </cell>
        </row>
        <row r="37">
          <cell r="A37">
            <v>38022</v>
          </cell>
          <cell r="B37">
            <v>615.82000000000005</v>
          </cell>
          <cell r="C37">
            <v>622.63</v>
          </cell>
          <cell r="D37">
            <v>615.82000000000005</v>
          </cell>
          <cell r="E37">
            <v>618.73</v>
          </cell>
        </row>
        <row r="38">
          <cell r="A38">
            <v>38023</v>
          </cell>
          <cell r="B38">
            <v>621.1</v>
          </cell>
          <cell r="C38">
            <v>622.4</v>
          </cell>
          <cell r="D38">
            <v>617.25</v>
          </cell>
          <cell r="E38">
            <v>621.01</v>
          </cell>
        </row>
        <row r="39">
          <cell r="A39">
            <v>38026</v>
          </cell>
          <cell r="B39">
            <v>624.41</v>
          </cell>
          <cell r="C39">
            <v>629.02</v>
          </cell>
          <cell r="D39">
            <v>624.41</v>
          </cell>
          <cell r="E39">
            <v>627.77</v>
          </cell>
        </row>
        <row r="40">
          <cell r="A40">
            <v>38027</v>
          </cell>
          <cell r="B40">
            <v>627.74</v>
          </cell>
          <cell r="C40">
            <v>629.24</v>
          </cell>
          <cell r="D40">
            <v>625.33000000000004</v>
          </cell>
          <cell r="E40">
            <v>629.24</v>
          </cell>
        </row>
        <row r="41">
          <cell r="A41">
            <v>38028</v>
          </cell>
          <cell r="B41">
            <v>629.79999999999995</v>
          </cell>
          <cell r="C41">
            <v>632.28</v>
          </cell>
          <cell r="D41">
            <v>629.03</v>
          </cell>
          <cell r="E41">
            <v>631.04999999999995</v>
          </cell>
        </row>
        <row r="42">
          <cell r="A42">
            <v>38029</v>
          </cell>
          <cell r="B42">
            <v>633.39</v>
          </cell>
          <cell r="C42">
            <v>634.82000000000005</v>
          </cell>
          <cell r="D42">
            <v>629.99</v>
          </cell>
          <cell r="E42">
            <v>632.38</v>
          </cell>
        </row>
        <row r="43">
          <cell r="A43">
            <v>38030</v>
          </cell>
          <cell r="B43">
            <v>631.76</v>
          </cell>
          <cell r="C43">
            <v>633.57000000000005</v>
          </cell>
          <cell r="D43">
            <v>627.12</v>
          </cell>
          <cell r="E43">
            <v>628.14</v>
          </cell>
        </row>
        <row r="44">
          <cell r="A44">
            <v>38033</v>
          </cell>
          <cell r="B44">
            <v>628.95000000000005</v>
          </cell>
          <cell r="C44">
            <v>631.87</v>
          </cell>
          <cell r="D44">
            <v>628.20000000000005</v>
          </cell>
          <cell r="E44">
            <v>631.84</v>
          </cell>
        </row>
        <row r="45">
          <cell r="A45">
            <v>38034</v>
          </cell>
          <cell r="B45">
            <v>632.79999999999995</v>
          </cell>
          <cell r="C45">
            <v>637.53</v>
          </cell>
          <cell r="D45">
            <v>632.73</v>
          </cell>
          <cell r="E45">
            <v>636.57000000000005</v>
          </cell>
        </row>
        <row r="46">
          <cell r="A46">
            <v>38035</v>
          </cell>
          <cell r="B46">
            <v>637.78</v>
          </cell>
          <cell r="C46">
            <v>639.13</v>
          </cell>
          <cell r="D46">
            <v>635.98</v>
          </cell>
          <cell r="E46">
            <v>638.01</v>
          </cell>
        </row>
        <row r="47">
          <cell r="A47">
            <v>38036</v>
          </cell>
          <cell r="B47">
            <v>639.33000000000004</v>
          </cell>
          <cell r="C47">
            <v>645.01</v>
          </cell>
          <cell r="D47">
            <v>638.58000000000004</v>
          </cell>
          <cell r="E47">
            <v>644.84</v>
          </cell>
        </row>
        <row r="48">
          <cell r="A48">
            <v>38037</v>
          </cell>
          <cell r="B48">
            <v>642.91999999999996</v>
          </cell>
          <cell r="C48">
            <v>645.53</v>
          </cell>
          <cell r="D48">
            <v>638.87</v>
          </cell>
          <cell r="E48">
            <v>640.76</v>
          </cell>
        </row>
        <row r="49">
          <cell r="A49">
            <v>38040</v>
          </cell>
          <cell r="B49">
            <v>643.61</v>
          </cell>
          <cell r="C49">
            <v>645.15</v>
          </cell>
          <cell r="D49">
            <v>640.75</v>
          </cell>
          <cell r="E49">
            <v>640.86</v>
          </cell>
        </row>
        <row r="50">
          <cell r="A50">
            <v>38041</v>
          </cell>
          <cell r="B50">
            <v>640.20000000000005</v>
          </cell>
          <cell r="C50">
            <v>641.14</v>
          </cell>
          <cell r="D50">
            <v>630.86</v>
          </cell>
          <cell r="E50">
            <v>633.28</v>
          </cell>
        </row>
        <row r="51">
          <cell r="A51">
            <v>38042</v>
          </cell>
          <cell r="B51">
            <v>635.1</v>
          </cell>
          <cell r="C51">
            <v>637.02</v>
          </cell>
          <cell r="D51">
            <v>631.41999999999996</v>
          </cell>
          <cell r="E51">
            <v>635.63</v>
          </cell>
        </row>
        <row r="52">
          <cell r="A52">
            <v>38043</v>
          </cell>
          <cell r="B52">
            <v>638.44000000000005</v>
          </cell>
          <cell r="C52">
            <v>639.19000000000005</v>
          </cell>
          <cell r="D52">
            <v>635.80999999999995</v>
          </cell>
          <cell r="E52">
            <v>637.58000000000004</v>
          </cell>
        </row>
        <row r="53">
          <cell r="A53">
            <v>38044</v>
          </cell>
          <cell r="B53">
            <v>640.87</v>
          </cell>
          <cell r="C53">
            <v>644.79</v>
          </cell>
          <cell r="D53">
            <v>640.16</v>
          </cell>
          <cell r="E53">
            <v>640.16</v>
          </cell>
        </row>
        <row r="54">
          <cell r="A54">
            <v>38047</v>
          </cell>
          <cell r="B54">
            <v>642.48</v>
          </cell>
          <cell r="C54">
            <v>644.66</v>
          </cell>
          <cell r="D54">
            <v>641.32000000000005</v>
          </cell>
          <cell r="E54">
            <v>643.99</v>
          </cell>
        </row>
        <row r="55">
          <cell r="A55">
            <v>38048</v>
          </cell>
          <cell r="B55">
            <v>646.84</v>
          </cell>
          <cell r="C55">
            <v>649.59</v>
          </cell>
          <cell r="D55">
            <v>645.27</v>
          </cell>
          <cell r="E55">
            <v>649.59</v>
          </cell>
        </row>
        <row r="56">
          <cell r="A56">
            <v>38049</v>
          </cell>
          <cell r="B56">
            <v>647.47</v>
          </cell>
          <cell r="C56">
            <v>648.92999999999995</v>
          </cell>
          <cell r="D56">
            <v>644.19000000000005</v>
          </cell>
          <cell r="E56">
            <v>646.45000000000005</v>
          </cell>
        </row>
        <row r="57">
          <cell r="A57">
            <v>38050</v>
          </cell>
          <cell r="B57">
            <v>648.09</v>
          </cell>
          <cell r="C57">
            <v>648.87</v>
          </cell>
          <cell r="D57">
            <v>645.37</v>
          </cell>
          <cell r="E57">
            <v>648.59</v>
          </cell>
        </row>
        <row r="58">
          <cell r="A58">
            <v>38051</v>
          </cell>
          <cell r="B58">
            <v>648.21</v>
          </cell>
          <cell r="C58">
            <v>650.1</v>
          </cell>
          <cell r="D58">
            <v>641.63</v>
          </cell>
          <cell r="E58">
            <v>645.97</v>
          </cell>
        </row>
        <row r="59">
          <cell r="A59">
            <v>38054</v>
          </cell>
          <cell r="B59">
            <v>647.76</v>
          </cell>
          <cell r="C59">
            <v>649.73</v>
          </cell>
          <cell r="D59">
            <v>647.44000000000005</v>
          </cell>
          <cell r="E59">
            <v>649.34</v>
          </cell>
        </row>
        <row r="60">
          <cell r="A60">
            <v>38055</v>
          </cell>
          <cell r="B60">
            <v>646.02</v>
          </cell>
          <cell r="C60">
            <v>646.79999999999995</v>
          </cell>
          <cell r="D60">
            <v>641.03</v>
          </cell>
          <cell r="E60">
            <v>642.17999999999995</v>
          </cell>
        </row>
        <row r="61">
          <cell r="A61">
            <v>38056</v>
          </cell>
          <cell r="B61">
            <v>639.34</v>
          </cell>
          <cell r="C61">
            <v>643.92999999999995</v>
          </cell>
          <cell r="D61">
            <v>638.82000000000005</v>
          </cell>
          <cell r="E61">
            <v>643.48</v>
          </cell>
        </row>
        <row r="62">
          <cell r="A62">
            <v>38057</v>
          </cell>
          <cell r="B62">
            <v>636.24</v>
          </cell>
          <cell r="C62">
            <v>636.24</v>
          </cell>
          <cell r="D62">
            <v>621.95000000000005</v>
          </cell>
          <cell r="E62">
            <v>625.29</v>
          </cell>
        </row>
        <row r="63">
          <cell r="A63">
            <v>38058</v>
          </cell>
          <cell r="B63">
            <v>619.13</v>
          </cell>
          <cell r="C63">
            <v>628.16</v>
          </cell>
          <cell r="D63">
            <v>613.80999999999995</v>
          </cell>
          <cell r="E63">
            <v>627.65</v>
          </cell>
        </row>
        <row r="64">
          <cell r="A64">
            <v>38061</v>
          </cell>
          <cell r="B64">
            <v>625.54</v>
          </cell>
          <cell r="C64">
            <v>627.48</v>
          </cell>
          <cell r="D64">
            <v>612.12</v>
          </cell>
          <cell r="E64">
            <v>612.87</v>
          </cell>
        </row>
        <row r="65">
          <cell r="A65">
            <v>38062</v>
          </cell>
          <cell r="B65">
            <v>613.42999999999995</v>
          </cell>
          <cell r="C65">
            <v>616.41999999999996</v>
          </cell>
          <cell r="D65">
            <v>607.49</v>
          </cell>
          <cell r="E65">
            <v>614.72</v>
          </cell>
        </row>
        <row r="66">
          <cell r="A66">
            <v>38063</v>
          </cell>
          <cell r="B66">
            <v>617.85</v>
          </cell>
          <cell r="C66">
            <v>626.88</v>
          </cell>
          <cell r="D66">
            <v>616.91999999999996</v>
          </cell>
          <cell r="E66">
            <v>626.45000000000005</v>
          </cell>
        </row>
        <row r="67">
          <cell r="A67">
            <v>38064</v>
          </cell>
          <cell r="B67">
            <v>624.57000000000005</v>
          </cell>
          <cell r="C67">
            <v>624.6</v>
          </cell>
          <cell r="D67">
            <v>614.05999999999995</v>
          </cell>
          <cell r="E67">
            <v>614.87</v>
          </cell>
        </row>
        <row r="68">
          <cell r="A68">
            <v>38065</v>
          </cell>
          <cell r="B68">
            <v>620</v>
          </cell>
          <cell r="C68">
            <v>620</v>
          </cell>
          <cell r="D68">
            <v>613.91</v>
          </cell>
          <cell r="E68">
            <v>616.55999999999995</v>
          </cell>
        </row>
        <row r="69">
          <cell r="A69">
            <v>38068</v>
          </cell>
          <cell r="B69">
            <v>609.54</v>
          </cell>
          <cell r="C69">
            <v>610.82000000000005</v>
          </cell>
          <cell r="D69">
            <v>600.04</v>
          </cell>
          <cell r="E69">
            <v>604.28</v>
          </cell>
        </row>
        <row r="70">
          <cell r="A70">
            <v>38069</v>
          </cell>
          <cell r="B70">
            <v>604.24</v>
          </cell>
          <cell r="C70">
            <v>609.01</v>
          </cell>
          <cell r="D70">
            <v>602.47</v>
          </cell>
          <cell r="E70">
            <v>604.64</v>
          </cell>
        </row>
        <row r="71">
          <cell r="A71">
            <v>38070</v>
          </cell>
          <cell r="B71">
            <v>605.05999999999995</v>
          </cell>
          <cell r="C71">
            <v>608.19000000000005</v>
          </cell>
          <cell r="D71">
            <v>597.17999999999995</v>
          </cell>
          <cell r="E71">
            <v>601.61</v>
          </cell>
        </row>
        <row r="72">
          <cell r="A72">
            <v>38071</v>
          </cell>
          <cell r="B72">
            <v>605.53</v>
          </cell>
          <cell r="C72">
            <v>611.53</v>
          </cell>
          <cell r="D72">
            <v>605.1</v>
          </cell>
          <cell r="E72">
            <v>611.53</v>
          </cell>
        </row>
        <row r="73">
          <cell r="A73">
            <v>38072</v>
          </cell>
          <cell r="B73">
            <v>616.54999999999995</v>
          </cell>
          <cell r="C73">
            <v>616.59</v>
          </cell>
          <cell r="D73">
            <v>611.85</v>
          </cell>
          <cell r="E73">
            <v>614.19000000000005</v>
          </cell>
        </row>
        <row r="74">
          <cell r="A74">
            <v>38075</v>
          </cell>
          <cell r="B74">
            <v>615.38</v>
          </cell>
          <cell r="C74">
            <v>622.4</v>
          </cell>
          <cell r="D74">
            <v>613.54999999999995</v>
          </cell>
          <cell r="E74">
            <v>621.28</v>
          </cell>
        </row>
        <row r="75">
          <cell r="A75">
            <v>38076</v>
          </cell>
          <cell r="B75">
            <v>620.76</v>
          </cell>
          <cell r="C75">
            <v>621.54</v>
          </cell>
          <cell r="D75">
            <v>616.45000000000005</v>
          </cell>
          <cell r="E75">
            <v>619.66999999999996</v>
          </cell>
        </row>
        <row r="76">
          <cell r="A76">
            <v>38077</v>
          </cell>
          <cell r="B76">
            <v>621.49</v>
          </cell>
          <cell r="C76">
            <v>625.85</v>
          </cell>
          <cell r="D76">
            <v>619.09</v>
          </cell>
          <cell r="E76">
            <v>620.51</v>
          </cell>
        </row>
        <row r="77">
          <cell r="A77">
            <v>38078</v>
          </cell>
          <cell r="B77">
            <v>623.70000000000005</v>
          </cell>
          <cell r="C77">
            <v>627.78</v>
          </cell>
          <cell r="D77">
            <v>620.03</v>
          </cell>
          <cell r="E77">
            <v>627.20000000000005</v>
          </cell>
        </row>
        <row r="78">
          <cell r="A78">
            <v>38079</v>
          </cell>
          <cell r="B78">
            <v>627.67999999999995</v>
          </cell>
          <cell r="C78">
            <v>640.29999999999995</v>
          </cell>
          <cell r="D78">
            <v>627</v>
          </cell>
          <cell r="E78">
            <v>638.59</v>
          </cell>
        </row>
        <row r="79">
          <cell r="A79">
            <v>38082</v>
          </cell>
          <cell r="B79">
            <v>640.04999999999995</v>
          </cell>
          <cell r="C79">
            <v>646.36</v>
          </cell>
          <cell r="D79">
            <v>639.92999999999995</v>
          </cell>
          <cell r="E79">
            <v>644.16</v>
          </cell>
        </row>
        <row r="80">
          <cell r="A80">
            <v>38083</v>
          </cell>
          <cell r="B80">
            <v>643.27</v>
          </cell>
          <cell r="C80">
            <v>644.39</v>
          </cell>
          <cell r="D80">
            <v>638.35</v>
          </cell>
          <cell r="E80">
            <v>638.63</v>
          </cell>
        </row>
        <row r="81">
          <cell r="A81">
            <v>38084</v>
          </cell>
          <cell r="B81">
            <v>639.82000000000005</v>
          </cell>
          <cell r="C81">
            <v>642.63</v>
          </cell>
          <cell r="D81">
            <v>636.87</v>
          </cell>
          <cell r="E81">
            <v>638.42999999999995</v>
          </cell>
        </row>
        <row r="82">
          <cell r="A82">
            <v>38085</v>
          </cell>
          <cell r="B82">
            <v>640.92999999999995</v>
          </cell>
          <cell r="C82">
            <v>643.25</v>
          </cell>
          <cell r="D82">
            <v>638.05999999999995</v>
          </cell>
          <cell r="E82">
            <v>639.32000000000005</v>
          </cell>
        </row>
        <row r="83">
          <cell r="A83">
            <v>38090</v>
          </cell>
          <cell r="B83">
            <v>643.04999999999995</v>
          </cell>
          <cell r="C83">
            <v>647.4</v>
          </cell>
          <cell r="D83">
            <v>643.04999999999995</v>
          </cell>
          <cell r="E83">
            <v>644.6</v>
          </cell>
        </row>
        <row r="84">
          <cell r="A84">
            <v>38091</v>
          </cell>
          <cell r="B84">
            <v>639.99</v>
          </cell>
          <cell r="C84">
            <v>640.62</v>
          </cell>
          <cell r="D84">
            <v>632.38</v>
          </cell>
          <cell r="E84">
            <v>637.69000000000005</v>
          </cell>
        </row>
        <row r="85">
          <cell r="A85">
            <v>38092</v>
          </cell>
          <cell r="B85">
            <v>636.61</v>
          </cell>
          <cell r="C85">
            <v>640.34</v>
          </cell>
          <cell r="D85">
            <v>635.05999999999995</v>
          </cell>
          <cell r="E85">
            <v>636.86</v>
          </cell>
        </row>
        <row r="86">
          <cell r="A86">
            <v>38093</v>
          </cell>
          <cell r="B86">
            <v>637.20000000000005</v>
          </cell>
          <cell r="C86">
            <v>641.54999999999995</v>
          </cell>
          <cell r="D86">
            <v>637.17999999999995</v>
          </cell>
          <cell r="E86">
            <v>641.08000000000004</v>
          </cell>
        </row>
        <row r="87">
          <cell r="A87">
            <v>38096</v>
          </cell>
          <cell r="B87">
            <v>640.08000000000004</v>
          </cell>
          <cell r="C87">
            <v>641.96</v>
          </cell>
          <cell r="D87">
            <v>637.01</v>
          </cell>
          <cell r="E87">
            <v>640.77</v>
          </cell>
        </row>
        <row r="88">
          <cell r="A88">
            <v>38097</v>
          </cell>
          <cell r="B88">
            <v>644.07000000000005</v>
          </cell>
          <cell r="C88">
            <v>647.80999999999995</v>
          </cell>
          <cell r="D88">
            <v>643.70000000000005</v>
          </cell>
          <cell r="E88">
            <v>645.49</v>
          </cell>
        </row>
        <row r="89">
          <cell r="A89">
            <v>38098</v>
          </cell>
          <cell r="B89">
            <v>639.44000000000005</v>
          </cell>
          <cell r="C89">
            <v>642.97</v>
          </cell>
          <cell r="D89">
            <v>639.15</v>
          </cell>
          <cell r="E89">
            <v>640.79999999999995</v>
          </cell>
        </row>
        <row r="90">
          <cell r="A90">
            <v>38099</v>
          </cell>
          <cell r="B90">
            <v>643.53</v>
          </cell>
          <cell r="C90">
            <v>645.65</v>
          </cell>
          <cell r="D90">
            <v>639.04</v>
          </cell>
          <cell r="E90">
            <v>645.61</v>
          </cell>
        </row>
        <row r="91">
          <cell r="A91">
            <v>38100</v>
          </cell>
          <cell r="B91">
            <v>651.19000000000005</v>
          </cell>
          <cell r="C91">
            <v>652.09</v>
          </cell>
          <cell r="D91">
            <v>649.33000000000004</v>
          </cell>
          <cell r="E91">
            <v>649.63</v>
          </cell>
        </row>
        <row r="92">
          <cell r="A92">
            <v>38103</v>
          </cell>
          <cell r="B92">
            <v>648.33000000000004</v>
          </cell>
          <cell r="C92">
            <v>651.53</v>
          </cell>
          <cell r="D92">
            <v>645.47</v>
          </cell>
          <cell r="E92">
            <v>645.51</v>
          </cell>
        </row>
        <row r="93">
          <cell r="A93">
            <v>38104</v>
          </cell>
          <cell r="B93">
            <v>645.37</v>
          </cell>
          <cell r="C93">
            <v>647.32000000000005</v>
          </cell>
          <cell r="D93">
            <v>643.63</v>
          </cell>
          <cell r="E93">
            <v>644.64</v>
          </cell>
        </row>
        <row r="94">
          <cell r="A94">
            <v>38105</v>
          </cell>
          <cell r="B94">
            <v>643.04999999999995</v>
          </cell>
          <cell r="C94">
            <v>643.75</v>
          </cell>
          <cell r="D94">
            <v>635.53</v>
          </cell>
          <cell r="E94">
            <v>635.54</v>
          </cell>
        </row>
        <row r="95">
          <cell r="A95">
            <v>38106</v>
          </cell>
          <cell r="B95">
            <v>634.66999999999996</v>
          </cell>
          <cell r="C95">
            <v>635.48</v>
          </cell>
          <cell r="D95">
            <v>627.1</v>
          </cell>
          <cell r="E95">
            <v>630.13</v>
          </cell>
        </row>
        <row r="96">
          <cell r="A96">
            <v>38107</v>
          </cell>
          <cell r="B96">
            <v>627.99</v>
          </cell>
          <cell r="C96">
            <v>630.35</v>
          </cell>
          <cell r="D96">
            <v>626.08000000000004</v>
          </cell>
          <cell r="E96">
            <v>627.23</v>
          </cell>
        </row>
        <row r="97">
          <cell r="A97">
            <v>38110</v>
          </cell>
          <cell r="B97">
            <v>625.29</v>
          </cell>
          <cell r="C97">
            <v>632.01</v>
          </cell>
          <cell r="D97">
            <v>623.41</v>
          </cell>
          <cell r="E97">
            <v>631.67999999999995</v>
          </cell>
        </row>
        <row r="98">
          <cell r="A98">
            <v>38111</v>
          </cell>
          <cell r="B98">
            <v>631.79</v>
          </cell>
          <cell r="C98">
            <v>633.29999999999995</v>
          </cell>
          <cell r="D98">
            <v>627.03</v>
          </cell>
          <cell r="E98">
            <v>631.64</v>
          </cell>
        </row>
        <row r="99">
          <cell r="A99">
            <v>38112</v>
          </cell>
          <cell r="B99">
            <v>629.29</v>
          </cell>
          <cell r="C99">
            <v>636.92999999999995</v>
          </cell>
          <cell r="D99">
            <v>628.59</v>
          </cell>
          <cell r="E99">
            <v>635.98</v>
          </cell>
        </row>
        <row r="100">
          <cell r="A100">
            <v>38113</v>
          </cell>
          <cell r="B100">
            <v>634.29999999999995</v>
          </cell>
          <cell r="C100">
            <v>634.73</v>
          </cell>
          <cell r="D100">
            <v>624.62</v>
          </cell>
          <cell r="E100">
            <v>624.62</v>
          </cell>
        </row>
        <row r="101">
          <cell r="A101">
            <v>38114</v>
          </cell>
          <cell r="B101">
            <v>624.41999999999996</v>
          </cell>
          <cell r="C101">
            <v>625.41</v>
          </cell>
          <cell r="D101">
            <v>618.45000000000005</v>
          </cell>
          <cell r="E101">
            <v>623.69000000000005</v>
          </cell>
        </row>
        <row r="102">
          <cell r="A102">
            <v>38117</v>
          </cell>
          <cell r="B102">
            <v>613.94000000000005</v>
          </cell>
          <cell r="C102">
            <v>614.20000000000005</v>
          </cell>
          <cell r="D102">
            <v>606.74</v>
          </cell>
          <cell r="E102">
            <v>607.16999999999996</v>
          </cell>
        </row>
        <row r="103">
          <cell r="A103">
            <v>38118</v>
          </cell>
          <cell r="B103">
            <v>610.70000000000005</v>
          </cell>
          <cell r="C103">
            <v>615.71</v>
          </cell>
          <cell r="D103">
            <v>610.09</v>
          </cell>
          <cell r="E103">
            <v>615.29999999999995</v>
          </cell>
        </row>
        <row r="104">
          <cell r="A104">
            <v>38119</v>
          </cell>
          <cell r="B104">
            <v>615.9</v>
          </cell>
          <cell r="C104">
            <v>615.91</v>
          </cell>
          <cell r="D104">
            <v>606.97</v>
          </cell>
          <cell r="E104">
            <v>607.16999999999996</v>
          </cell>
        </row>
        <row r="105">
          <cell r="A105">
            <v>38120</v>
          </cell>
          <cell r="B105">
            <v>610.47</v>
          </cell>
          <cell r="C105">
            <v>614.76</v>
          </cell>
          <cell r="D105">
            <v>609.42999999999995</v>
          </cell>
          <cell r="E105">
            <v>614.76</v>
          </cell>
        </row>
        <row r="106">
          <cell r="A106">
            <v>38121</v>
          </cell>
          <cell r="B106">
            <v>612.29999999999995</v>
          </cell>
          <cell r="C106">
            <v>614.46</v>
          </cell>
          <cell r="D106">
            <v>607.79999999999995</v>
          </cell>
          <cell r="E106">
            <v>611.51</v>
          </cell>
        </row>
        <row r="107">
          <cell r="A107">
            <v>38124</v>
          </cell>
          <cell r="B107">
            <v>602.29999999999995</v>
          </cell>
          <cell r="C107">
            <v>603.76</v>
          </cell>
          <cell r="D107">
            <v>598.25</v>
          </cell>
          <cell r="E107">
            <v>603.32000000000005</v>
          </cell>
        </row>
        <row r="108">
          <cell r="A108">
            <v>38125</v>
          </cell>
          <cell r="B108">
            <v>605.76</v>
          </cell>
          <cell r="C108">
            <v>607.71</v>
          </cell>
          <cell r="D108">
            <v>602.75</v>
          </cell>
          <cell r="E108">
            <v>607.13</v>
          </cell>
        </row>
        <row r="109">
          <cell r="A109">
            <v>38126</v>
          </cell>
          <cell r="B109">
            <v>612.07000000000005</v>
          </cell>
          <cell r="C109">
            <v>620.28</v>
          </cell>
          <cell r="D109">
            <v>611.76</v>
          </cell>
          <cell r="E109">
            <v>618.77</v>
          </cell>
        </row>
        <row r="110">
          <cell r="A110">
            <v>38127</v>
          </cell>
          <cell r="B110">
            <v>612.59</v>
          </cell>
          <cell r="C110">
            <v>615.37</v>
          </cell>
          <cell r="D110">
            <v>611.6</v>
          </cell>
          <cell r="E110">
            <v>614.14</v>
          </cell>
        </row>
        <row r="111">
          <cell r="A111">
            <v>38128</v>
          </cell>
          <cell r="B111">
            <v>616.38</v>
          </cell>
          <cell r="C111">
            <v>618.34</v>
          </cell>
          <cell r="D111">
            <v>611.32000000000005</v>
          </cell>
          <cell r="E111">
            <v>613.86</v>
          </cell>
        </row>
        <row r="112">
          <cell r="A112">
            <v>38131</v>
          </cell>
          <cell r="B112">
            <v>614.04</v>
          </cell>
          <cell r="C112">
            <v>621.36</v>
          </cell>
          <cell r="D112">
            <v>613.28</v>
          </cell>
          <cell r="E112">
            <v>618.34</v>
          </cell>
        </row>
        <row r="113">
          <cell r="A113">
            <v>38132</v>
          </cell>
          <cell r="B113">
            <v>615.04</v>
          </cell>
          <cell r="C113">
            <v>616.04999999999995</v>
          </cell>
          <cell r="D113">
            <v>612.70000000000005</v>
          </cell>
          <cell r="E113">
            <v>614.53</v>
          </cell>
        </row>
        <row r="114">
          <cell r="A114">
            <v>38133</v>
          </cell>
          <cell r="B114">
            <v>622.76</v>
          </cell>
          <cell r="C114">
            <v>623.07000000000005</v>
          </cell>
          <cell r="D114">
            <v>618.62</v>
          </cell>
          <cell r="E114">
            <v>621.09</v>
          </cell>
        </row>
        <row r="115">
          <cell r="A115">
            <v>38134</v>
          </cell>
          <cell r="B115">
            <v>623.58000000000004</v>
          </cell>
          <cell r="C115">
            <v>627.13</v>
          </cell>
          <cell r="D115">
            <v>623.39</v>
          </cell>
          <cell r="E115">
            <v>625.34</v>
          </cell>
        </row>
        <row r="116">
          <cell r="A116">
            <v>38135</v>
          </cell>
          <cell r="B116">
            <v>627.24</v>
          </cell>
          <cell r="C116">
            <v>627.42999999999995</v>
          </cell>
          <cell r="D116">
            <v>621.54999999999995</v>
          </cell>
          <cell r="E116">
            <v>621.74</v>
          </cell>
        </row>
        <row r="117">
          <cell r="A117">
            <v>38138</v>
          </cell>
          <cell r="B117">
            <v>620.6</v>
          </cell>
          <cell r="C117">
            <v>624.52</v>
          </cell>
          <cell r="D117">
            <v>620.51</v>
          </cell>
          <cell r="E117">
            <v>623.95000000000005</v>
          </cell>
        </row>
        <row r="118">
          <cell r="A118">
            <v>38139</v>
          </cell>
          <cell r="B118">
            <v>623.41</v>
          </cell>
          <cell r="C118">
            <v>623.49</v>
          </cell>
          <cell r="D118">
            <v>615.82000000000005</v>
          </cell>
          <cell r="E118">
            <v>616.33000000000004</v>
          </cell>
        </row>
        <row r="119">
          <cell r="A119">
            <v>38140</v>
          </cell>
          <cell r="B119">
            <v>618.79</v>
          </cell>
          <cell r="C119">
            <v>624.09</v>
          </cell>
          <cell r="D119">
            <v>618.72</v>
          </cell>
          <cell r="E119">
            <v>620.07000000000005</v>
          </cell>
        </row>
        <row r="120">
          <cell r="A120">
            <v>38141</v>
          </cell>
          <cell r="B120">
            <v>620.52</v>
          </cell>
          <cell r="C120">
            <v>622.30999999999995</v>
          </cell>
          <cell r="D120">
            <v>616.6</v>
          </cell>
          <cell r="E120">
            <v>622.30999999999995</v>
          </cell>
        </row>
        <row r="121">
          <cell r="A121">
            <v>38142</v>
          </cell>
          <cell r="B121">
            <v>622.83000000000004</v>
          </cell>
          <cell r="C121">
            <v>629.11</v>
          </cell>
          <cell r="D121">
            <v>622.83000000000004</v>
          </cell>
          <cell r="E121">
            <v>628.41</v>
          </cell>
        </row>
        <row r="122">
          <cell r="A122">
            <v>38145</v>
          </cell>
          <cell r="B122">
            <v>632.13</v>
          </cell>
          <cell r="C122">
            <v>633.87</v>
          </cell>
          <cell r="D122">
            <v>630.59</v>
          </cell>
          <cell r="E122">
            <v>633.08000000000004</v>
          </cell>
        </row>
        <row r="123">
          <cell r="A123">
            <v>38146</v>
          </cell>
          <cell r="B123">
            <v>635.48</v>
          </cell>
          <cell r="C123">
            <v>635.59</v>
          </cell>
          <cell r="D123">
            <v>631.08000000000004</v>
          </cell>
          <cell r="E123">
            <v>633.11</v>
          </cell>
        </row>
        <row r="124">
          <cell r="A124">
            <v>38147</v>
          </cell>
          <cell r="B124">
            <v>633.26</v>
          </cell>
          <cell r="C124">
            <v>634.9</v>
          </cell>
          <cell r="D124">
            <v>629.77</v>
          </cell>
          <cell r="E124">
            <v>630.33000000000004</v>
          </cell>
        </row>
        <row r="125">
          <cell r="A125">
            <v>38148</v>
          </cell>
          <cell r="B125">
            <v>630.45000000000005</v>
          </cell>
          <cell r="C125">
            <v>632.54</v>
          </cell>
          <cell r="D125">
            <v>629.46</v>
          </cell>
          <cell r="E125">
            <v>631.82000000000005</v>
          </cell>
        </row>
        <row r="126">
          <cell r="A126">
            <v>38149</v>
          </cell>
          <cell r="B126">
            <v>629.98</v>
          </cell>
          <cell r="C126">
            <v>631.08000000000004</v>
          </cell>
          <cell r="D126">
            <v>628.14</v>
          </cell>
          <cell r="E126">
            <v>630.15</v>
          </cell>
        </row>
        <row r="127">
          <cell r="A127">
            <v>38152</v>
          </cell>
          <cell r="B127">
            <v>628.89</v>
          </cell>
          <cell r="C127">
            <v>628.91999999999996</v>
          </cell>
          <cell r="D127">
            <v>620.54</v>
          </cell>
          <cell r="E127">
            <v>622.19000000000005</v>
          </cell>
        </row>
        <row r="128">
          <cell r="A128">
            <v>38153</v>
          </cell>
          <cell r="B128">
            <v>622.49</v>
          </cell>
          <cell r="C128">
            <v>628.94000000000005</v>
          </cell>
          <cell r="D128">
            <v>621.02</v>
          </cell>
          <cell r="E128">
            <v>627.54999999999995</v>
          </cell>
        </row>
        <row r="129">
          <cell r="A129">
            <v>38154</v>
          </cell>
          <cell r="B129">
            <v>629.58000000000004</v>
          </cell>
          <cell r="C129">
            <v>633.01</v>
          </cell>
          <cell r="D129">
            <v>628.52</v>
          </cell>
          <cell r="E129">
            <v>632.39</v>
          </cell>
        </row>
        <row r="130">
          <cell r="A130">
            <v>38155</v>
          </cell>
          <cell r="B130">
            <v>631.07000000000005</v>
          </cell>
          <cell r="C130">
            <v>635.75</v>
          </cell>
          <cell r="D130">
            <v>631.02</v>
          </cell>
          <cell r="E130">
            <v>633.03</v>
          </cell>
        </row>
        <row r="131">
          <cell r="A131">
            <v>38156</v>
          </cell>
          <cell r="B131">
            <v>631.35</v>
          </cell>
          <cell r="C131">
            <v>635.97</v>
          </cell>
          <cell r="D131">
            <v>630.54</v>
          </cell>
          <cell r="E131">
            <v>635.9</v>
          </cell>
        </row>
        <row r="132">
          <cell r="A132">
            <v>38159</v>
          </cell>
          <cell r="B132">
            <v>638.12</v>
          </cell>
          <cell r="C132">
            <v>638.27</v>
          </cell>
          <cell r="D132">
            <v>634.26</v>
          </cell>
          <cell r="E132">
            <v>636.19000000000005</v>
          </cell>
        </row>
        <row r="133">
          <cell r="A133">
            <v>38160</v>
          </cell>
          <cell r="B133">
            <v>634.49</v>
          </cell>
          <cell r="C133">
            <v>634.94000000000005</v>
          </cell>
          <cell r="D133">
            <v>629.15</v>
          </cell>
          <cell r="E133">
            <v>630.22</v>
          </cell>
        </row>
        <row r="134">
          <cell r="A134">
            <v>38161</v>
          </cell>
          <cell r="B134">
            <v>632.83000000000004</v>
          </cell>
          <cell r="C134">
            <v>634.91999999999996</v>
          </cell>
          <cell r="D134">
            <v>631.67999999999995</v>
          </cell>
          <cell r="E134">
            <v>632.28</v>
          </cell>
        </row>
        <row r="135">
          <cell r="A135">
            <v>38162</v>
          </cell>
          <cell r="B135">
            <v>638.03</v>
          </cell>
          <cell r="C135">
            <v>639.65</v>
          </cell>
          <cell r="D135">
            <v>636.17999999999995</v>
          </cell>
          <cell r="E135">
            <v>637.76</v>
          </cell>
        </row>
        <row r="136">
          <cell r="A136">
            <v>38163</v>
          </cell>
          <cell r="B136">
            <v>637.09</v>
          </cell>
          <cell r="C136">
            <v>638.30999999999995</v>
          </cell>
          <cell r="D136">
            <v>634.96</v>
          </cell>
          <cell r="E136">
            <v>636.51</v>
          </cell>
        </row>
        <row r="137">
          <cell r="A137">
            <v>38166</v>
          </cell>
          <cell r="B137">
            <v>635.53</v>
          </cell>
          <cell r="C137">
            <v>642.77</v>
          </cell>
          <cell r="D137">
            <v>635.14</v>
          </cell>
          <cell r="E137">
            <v>641.75</v>
          </cell>
        </row>
        <row r="138">
          <cell r="A138">
            <v>38167</v>
          </cell>
          <cell r="B138">
            <v>639.07000000000005</v>
          </cell>
          <cell r="C138">
            <v>640.64</v>
          </cell>
          <cell r="D138">
            <v>638.19000000000005</v>
          </cell>
          <cell r="E138">
            <v>640.04</v>
          </cell>
        </row>
        <row r="139">
          <cell r="A139">
            <v>38168</v>
          </cell>
          <cell r="B139">
            <v>640.69000000000005</v>
          </cell>
          <cell r="C139">
            <v>641.91</v>
          </cell>
          <cell r="D139">
            <v>636.89</v>
          </cell>
          <cell r="E139">
            <v>636.89</v>
          </cell>
        </row>
        <row r="140">
          <cell r="A140">
            <v>38169</v>
          </cell>
          <cell r="B140">
            <v>639.47</v>
          </cell>
          <cell r="C140">
            <v>642.71</v>
          </cell>
          <cell r="D140">
            <v>633.91</v>
          </cell>
          <cell r="E140">
            <v>635.30999999999995</v>
          </cell>
        </row>
        <row r="141">
          <cell r="A141">
            <v>38170</v>
          </cell>
          <cell r="B141">
            <v>633.62</v>
          </cell>
          <cell r="C141">
            <v>634.75</v>
          </cell>
          <cell r="D141">
            <v>628.23</v>
          </cell>
          <cell r="E141">
            <v>629.91999999999996</v>
          </cell>
        </row>
        <row r="142">
          <cell r="A142">
            <v>38173</v>
          </cell>
          <cell r="B142">
            <v>629.97</v>
          </cell>
          <cell r="C142">
            <v>631.55999999999995</v>
          </cell>
          <cell r="D142">
            <v>628.71</v>
          </cell>
          <cell r="E142">
            <v>629.17999999999995</v>
          </cell>
        </row>
        <row r="143">
          <cell r="A143">
            <v>38174</v>
          </cell>
          <cell r="B143">
            <v>629.13</v>
          </cell>
          <cell r="C143">
            <v>629.51</v>
          </cell>
          <cell r="D143">
            <v>623.16</v>
          </cell>
          <cell r="E143">
            <v>624.44000000000005</v>
          </cell>
        </row>
        <row r="144">
          <cell r="A144">
            <v>38175</v>
          </cell>
          <cell r="B144">
            <v>624.85</v>
          </cell>
          <cell r="C144">
            <v>627.33000000000004</v>
          </cell>
          <cell r="D144">
            <v>623.99</v>
          </cell>
          <cell r="E144">
            <v>624.51</v>
          </cell>
        </row>
        <row r="145">
          <cell r="A145">
            <v>38176</v>
          </cell>
          <cell r="B145">
            <v>622.67999999999995</v>
          </cell>
          <cell r="C145">
            <v>626.08000000000004</v>
          </cell>
          <cell r="D145">
            <v>619.98</v>
          </cell>
          <cell r="E145">
            <v>626</v>
          </cell>
        </row>
        <row r="146">
          <cell r="A146">
            <v>38177</v>
          </cell>
          <cell r="B146">
            <v>623.77</v>
          </cell>
          <cell r="C146">
            <v>626.80999999999995</v>
          </cell>
          <cell r="D146">
            <v>620.91999999999996</v>
          </cell>
          <cell r="E146">
            <v>625.72</v>
          </cell>
        </row>
        <row r="147">
          <cell r="A147">
            <v>38180</v>
          </cell>
          <cell r="B147">
            <v>624.45000000000005</v>
          </cell>
          <cell r="C147">
            <v>627.80999999999995</v>
          </cell>
          <cell r="D147">
            <v>622.45000000000005</v>
          </cell>
          <cell r="E147">
            <v>623.24</v>
          </cell>
        </row>
        <row r="148">
          <cell r="A148">
            <v>38181</v>
          </cell>
          <cell r="B148">
            <v>625.70000000000005</v>
          </cell>
          <cell r="C148">
            <v>625.94000000000005</v>
          </cell>
          <cell r="D148">
            <v>623.63</v>
          </cell>
          <cell r="E148">
            <v>624.02</v>
          </cell>
        </row>
        <row r="149">
          <cell r="A149">
            <v>38182</v>
          </cell>
          <cell r="B149">
            <v>621.62</v>
          </cell>
          <cell r="C149">
            <v>622.66</v>
          </cell>
          <cell r="D149">
            <v>617.69000000000005</v>
          </cell>
          <cell r="E149">
            <v>622.44000000000005</v>
          </cell>
        </row>
        <row r="150">
          <cell r="A150">
            <v>38183</v>
          </cell>
          <cell r="B150">
            <v>621.28</v>
          </cell>
          <cell r="C150">
            <v>621.37</v>
          </cell>
          <cell r="D150">
            <v>616.54999999999995</v>
          </cell>
          <cell r="E150">
            <v>616.71</v>
          </cell>
        </row>
        <row r="151">
          <cell r="A151">
            <v>38184</v>
          </cell>
          <cell r="B151">
            <v>617.74</v>
          </cell>
          <cell r="C151">
            <v>620.97</v>
          </cell>
          <cell r="D151">
            <v>616.35</v>
          </cell>
          <cell r="E151">
            <v>617.01</v>
          </cell>
        </row>
        <row r="152">
          <cell r="A152">
            <v>38187</v>
          </cell>
          <cell r="B152">
            <v>615.86</v>
          </cell>
          <cell r="C152">
            <v>617.12</v>
          </cell>
          <cell r="D152">
            <v>613.41999999999996</v>
          </cell>
          <cell r="E152">
            <v>613.80999999999995</v>
          </cell>
        </row>
        <row r="153">
          <cell r="A153">
            <v>38188</v>
          </cell>
          <cell r="B153">
            <v>612.9</v>
          </cell>
          <cell r="C153">
            <v>616.62</v>
          </cell>
          <cell r="D153">
            <v>609.35</v>
          </cell>
          <cell r="E153">
            <v>616.41</v>
          </cell>
        </row>
        <row r="154">
          <cell r="A154">
            <v>38189</v>
          </cell>
          <cell r="B154">
            <v>621</v>
          </cell>
          <cell r="C154">
            <v>624.04</v>
          </cell>
          <cell r="D154">
            <v>620.61</v>
          </cell>
          <cell r="E154">
            <v>621.35</v>
          </cell>
        </row>
        <row r="155">
          <cell r="A155">
            <v>38190</v>
          </cell>
          <cell r="B155">
            <v>614.32000000000005</v>
          </cell>
          <cell r="C155">
            <v>615.21</v>
          </cell>
          <cell r="D155">
            <v>610.67999999999995</v>
          </cell>
          <cell r="E155">
            <v>611.11</v>
          </cell>
        </row>
        <row r="156">
          <cell r="A156">
            <v>38191</v>
          </cell>
          <cell r="B156">
            <v>612.88</v>
          </cell>
          <cell r="C156">
            <v>612.94000000000005</v>
          </cell>
          <cell r="D156">
            <v>609.13</v>
          </cell>
          <cell r="E156">
            <v>610.33000000000004</v>
          </cell>
        </row>
        <row r="157">
          <cell r="A157">
            <v>38194</v>
          </cell>
          <cell r="B157">
            <v>609.85</v>
          </cell>
          <cell r="C157">
            <v>612.54999999999995</v>
          </cell>
          <cell r="D157">
            <v>604.29999999999995</v>
          </cell>
          <cell r="E157">
            <v>604.30999999999995</v>
          </cell>
        </row>
        <row r="158">
          <cell r="A158">
            <v>38195</v>
          </cell>
          <cell r="B158">
            <v>605.38</v>
          </cell>
          <cell r="C158">
            <v>610.19000000000005</v>
          </cell>
          <cell r="D158">
            <v>604.9</v>
          </cell>
          <cell r="E158">
            <v>609.41999999999996</v>
          </cell>
        </row>
        <row r="159">
          <cell r="A159">
            <v>38196</v>
          </cell>
          <cell r="B159">
            <v>612.78</v>
          </cell>
          <cell r="C159">
            <v>614.28</v>
          </cell>
          <cell r="D159">
            <v>608.82000000000005</v>
          </cell>
          <cell r="E159">
            <v>610.76</v>
          </cell>
        </row>
        <row r="160">
          <cell r="A160">
            <v>38197</v>
          </cell>
          <cell r="B160">
            <v>613.53</v>
          </cell>
          <cell r="C160">
            <v>621.62</v>
          </cell>
          <cell r="D160">
            <v>613.53</v>
          </cell>
          <cell r="E160">
            <v>621.62</v>
          </cell>
        </row>
        <row r="161">
          <cell r="A161">
            <v>38198</v>
          </cell>
          <cell r="B161">
            <v>619.79</v>
          </cell>
          <cell r="C161">
            <v>622.88</v>
          </cell>
          <cell r="D161">
            <v>617.02</v>
          </cell>
          <cell r="E161">
            <v>620.76</v>
          </cell>
        </row>
        <row r="162">
          <cell r="A162">
            <v>38201</v>
          </cell>
          <cell r="B162">
            <v>617.63</v>
          </cell>
          <cell r="C162">
            <v>618.36</v>
          </cell>
          <cell r="D162">
            <v>615.11</v>
          </cell>
          <cell r="E162">
            <v>616.97</v>
          </cell>
        </row>
        <row r="163">
          <cell r="A163">
            <v>38202</v>
          </cell>
          <cell r="B163">
            <v>619.29</v>
          </cell>
          <cell r="C163">
            <v>621.23</v>
          </cell>
          <cell r="D163">
            <v>617.66999999999996</v>
          </cell>
          <cell r="E163">
            <v>620.6</v>
          </cell>
        </row>
        <row r="164">
          <cell r="A164">
            <v>38203</v>
          </cell>
          <cell r="B164">
            <v>617.55999999999995</v>
          </cell>
          <cell r="C164">
            <v>617.67999999999995</v>
          </cell>
          <cell r="D164">
            <v>612.16</v>
          </cell>
          <cell r="E164">
            <v>614.22</v>
          </cell>
        </row>
        <row r="165">
          <cell r="A165">
            <v>38204</v>
          </cell>
          <cell r="B165">
            <v>618.26</v>
          </cell>
          <cell r="C165">
            <v>621.1</v>
          </cell>
          <cell r="D165">
            <v>617.19000000000005</v>
          </cell>
          <cell r="E165">
            <v>617.19000000000005</v>
          </cell>
        </row>
        <row r="166">
          <cell r="A166">
            <v>38205</v>
          </cell>
          <cell r="B166">
            <v>610.63</v>
          </cell>
          <cell r="C166">
            <v>611.6</v>
          </cell>
          <cell r="D166">
            <v>602.08000000000004</v>
          </cell>
          <cell r="E166">
            <v>602.1</v>
          </cell>
        </row>
        <row r="167">
          <cell r="A167">
            <v>38208</v>
          </cell>
          <cell r="B167">
            <v>602.17999999999995</v>
          </cell>
          <cell r="C167">
            <v>603.22</v>
          </cell>
          <cell r="D167">
            <v>594.69000000000005</v>
          </cell>
          <cell r="E167">
            <v>596.95000000000005</v>
          </cell>
        </row>
        <row r="168">
          <cell r="A168">
            <v>38209</v>
          </cell>
          <cell r="B168">
            <v>598.37</v>
          </cell>
          <cell r="C168">
            <v>602.79</v>
          </cell>
          <cell r="D168">
            <v>597.82000000000005</v>
          </cell>
          <cell r="E168">
            <v>602.79</v>
          </cell>
        </row>
        <row r="169">
          <cell r="A169">
            <v>38210</v>
          </cell>
          <cell r="B169">
            <v>603.9</v>
          </cell>
          <cell r="C169">
            <v>604.04</v>
          </cell>
          <cell r="D169">
            <v>594.38</v>
          </cell>
          <cell r="E169">
            <v>598.27</v>
          </cell>
        </row>
        <row r="170">
          <cell r="A170">
            <v>38211</v>
          </cell>
          <cell r="B170">
            <v>601.41999999999996</v>
          </cell>
          <cell r="C170">
            <v>602.44000000000005</v>
          </cell>
          <cell r="D170">
            <v>594.11</v>
          </cell>
          <cell r="E170">
            <v>596.6</v>
          </cell>
        </row>
        <row r="171">
          <cell r="A171">
            <v>38212</v>
          </cell>
          <cell r="B171">
            <v>592.38</v>
          </cell>
          <cell r="C171">
            <v>596.41</v>
          </cell>
          <cell r="D171">
            <v>591.25</v>
          </cell>
          <cell r="E171">
            <v>595.26</v>
          </cell>
        </row>
        <row r="172">
          <cell r="A172">
            <v>38215</v>
          </cell>
          <cell r="B172">
            <v>592.88</v>
          </cell>
          <cell r="C172">
            <v>601.22</v>
          </cell>
          <cell r="D172">
            <v>590.5</v>
          </cell>
          <cell r="E172">
            <v>600.79</v>
          </cell>
        </row>
        <row r="173">
          <cell r="A173">
            <v>38216</v>
          </cell>
          <cell r="B173">
            <v>599.95000000000005</v>
          </cell>
          <cell r="C173">
            <v>606.41</v>
          </cell>
          <cell r="D173">
            <v>599.13</v>
          </cell>
          <cell r="E173">
            <v>603.41999999999996</v>
          </cell>
        </row>
        <row r="174">
          <cell r="A174">
            <v>38217</v>
          </cell>
          <cell r="B174">
            <v>602.67999999999995</v>
          </cell>
          <cell r="C174">
            <v>605.15</v>
          </cell>
          <cell r="D174">
            <v>599.74</v>
          </cell>
          <cell r="E174">
            <v>604.67999999999995</v>
          </cell>
        </row>
        <row r="175">
          <cell r="A175">
            <v>38218</v>
          </cell>
          <cell r="B175">
            <v>607.9</v>
          </cell>
          <cell r="C175">
            <v>609.27</v>
          </cell>
          <cell r="D175">
            <v>604.25</v>
          </cell>
          <cell r="E175">
            <v>605.98</v>
          </cell>
        </row>
        <row r="176">
          <cell r="A176">
            <v>38219</v>
          </cell>
          <cell r="B176">
            <v>605.09</v>
          </cell>
          <cell r="C176">
            <v>605.52</v>
          </cell>
          <cell r="D176">
            <v>601.21</v>
          </cell>
          <cell r="E176">
            <v>604.96</v>
          </cell>
        </row>
        <row r="177">
          <cell r="A177">
            <v>38222</v>
          </cell>
          <cell r="B177">
            <v>609.16</v>
          </cell>
          <cell r="C177">
            <v>613.79</v>
          </cell>
          <cell r="D177">
            <v>607.41999999999996</v>
          </cell>
          <cell r="E177">
            <v>613.54</v>
          </cell>
        </row>
        <row r="178">
          <cell r="A178">
            <v>38223</v>
          </cell>
          <cell r="B178">
            <v>613.29999999999995</v>
          </cell>
          <cell r="C178">
            <v>616.16</v>
          </cell>
          <cell r="D178">
            <v>612.36</v>
          </cell>
          <cell r="E178">
            <v>613.69000000000005</v>
          </cell>
        </row>
        <row r="179">
          <cell r="A179">
            <v>38224</v>
          </cell>
          <cell r="B179">
            <v>615.9</v>
          </cell>
          <cell r="C179">
            <v>616.08000000000004</v>
          </cell>
          <cell r="D179">
            <v>612.28</v>
          </cell>
          <cell r="E179">
            <v>614.15</v>
          </cell>
        </row>
        <row r="180">
          <cell r="A180">
            <v>38225</v>
          </cell>
          <cell r="B180">
            <v>618.29999999999995</v>
          </cell>
          <cell r="C180">
            <v>619.64</v>
          </cell>
          <cell r="D180">
            <v>616.75</v>
          </cell>
          <cell r="E180">
            <v>619.30999999999995</v>
          </cell>
        </row>
        <row r="181">
          <cell r="A181">
            <v>38226</v>
          </cell>
          <cell r="B181">
            <v>620.74</v>
          </cell>
          <cell r="C181">
            <v>622.55999999999995</v>
          </cell>
          <cell r="D181">
            <v>618.41</v>
          </cell>
          <cell r="E181">
            <v>622.55999999999995</v>
          </cell>
        </row>
        <row r="182">
          <cell r="A182">
            <v>38229</v>
          </cell>
          <cell r="B182">
            <v>622.5</v>
          </cell>
          <cell r="C182">
            <v>623.46</v>
          </cell>
          <cell r="D182">
            <v>619.96</v>
          </cell>
          <cell r="E182">
            <v>620.78</v>
          </cell>
        </row>
        <row r="183">
          <cell r="A183">
            <v>38230</v>
          </cell>
          <cell r="B183">
            <v>618.92999999999995</v>
          </cell>
          <cell r="C183">
            <v>619.41</v>
          </cell>
          <cell r="D183">
            <v>613.66999999999996</v>
          </cell>
          <cell r="E183">
            <v>614.91</v>
          </cell>
        </row>
        <row r="184">
          <cell r="A184">
            <v>38231</v>
          </cell>
          <cell r="B184">
            <v>617.98</v>
          </cell>
          <cell r="C184">
            <v>619.66999999999996</v>
          </cell>
          <cell r="D184">
            <v>616.4</v>
          </cell>
          <cell r="E184">
            <v>618.15</v>
          </cell>
        </row>
        <row r="185">
          <cell r="A185">
            <v>38232</v>
          </cell>
          <cell r="B185">
            <v>617.52</v>
          </cell>
          <cell r="C185">
            <v>622.05999999999995</v>
          </cell>
          <cell r="D185">
            <v>616.51</v>
          </cell>
          <cell r="E185">
            <v>621.24</v>
          </cell>
        </row>
        <row r="186">
          <cell r="A186">
            <v>38233</v>
          </cell>
          <cell r="B186">
            <v>621.19000000000005</v>
          </cell>
          <cell r="C186">
            <v>627.21</v>
          </cell>
          <cell r="D186">
            <v>619.99</v>
          </cell>
          <cell r="E186">
            <v>625.79999999999995</v>
          </cell>
        </row>
        <row r="187">
          <cell r="A187">
            <v>38236</v>
          </cell>
          <cell r="B187">
            <v>626.27</v>
          </cell>
          <cell r="C187">
            <v>629</v>
          </cell>
          <cell r="D187">
            <v>626.05999999999995</v>
          </cell>
          <cell r="E187">
            <v>628.09</v>
          </cell>
        </row>
        <row r="188">
          <cell r="A188">
            <v>38237</v>
          </cell>
          <cell r="B188">
            <v>627.78</v>
          </cell>
          <cell r="C188">
            <v>630.46</v>
          </cell>
          <cell r="D188">
            <v>626.58000000000004</v>
          </cell>
          <cell r="E188">
            <v>629.52</v>
          </cell>
        </row>
        <row r="189">
          <cell r="A189">
            <v>38238</v>
          </cell>
          <cell r="B189">
            <v>629.79</v>
          </cell>
          <cell r="C189">
            <v>630.66</v>
          </cell>
          <cell r="D189">
            <v>628.17999999999995</v>
          </cell>
          <cell r="E189">
            <v>629.54</v>
          </cell>
        </row>
        <row r="190">
          <cell r="A190">
            <v>38239</v>
          </cell>
          <cell r="B190">
            <v>626.88</v>
          </cell>
          <cell r="C190">
            <v>627.28</v>
          </cell>
          <cell r="D190">
            <v>622.82000000000005</v>
          </cell>
          <cell r="E190">
            <v>625.46</v>
          </cell>
        </row>
        <row r="191">
          <cell r="A191">
            <v>38240</v>
          </cell>
          <cell r="B191">
            <v>626.1</v>
          </cell>
          <cell r="C191">
            <v>630.15</v>
          </cell>
          <cell r="D191">
            <v>626.05999999999995</v>
          </cell>
          <cell r="E191">
            <v>629.24</v>
          </cell>
        </row>
        <row r="192">
          <cell r="A192">
            <v>38243</v>
          </cell>
          <cell r="B192">
            <v>631.34</v>
          </cell>
          <cell r="C192">
            <v>636.82000000000005</v>
          </cell>
          <cell r="D192">
            <v>631.34</v>
          </cell>
          <cell r="E192">
            <v>636.82000000000005</v>
          </cell>
        </row>
        <row r="193">
          <cell r="A193">
            <v>38244</v>
          </cell>
          <cell r="B193">
            <v>634.91</v>
          </cell>
          <cell r="C193">
            <v>635.78</v>
          </cell>
          <cell r="D193">
            <v>633.59</v>
          </cell>
          <cell r="E193">
            <v>634.89</v>
          </cell>
        </row>
        <row r="194">
          <cell r="A194">
            <v>38245</v>
          </cell>
          <cell r="B194">
            <v>635</v>
          </cell>
          <cell r="C194">
            <v>637.20000000000005</v>
          </cell>
          <cell r="D194">
            <v>632.14</v>
          </cell>
          <cell r="E194">
            <v>632.96</v>
          </cell>
        </row>
        <row r="195">
          <cell r="A195">
            <v>38246</v>
          </cell>
          <cell r="B195">
            <v>633.12</v>
          </cell>
          <cell r="C195">
            <v>634.66</v>
          </cell>
          <cell r="D195">
            <v>630.73</v>
          </cell>
          <cell r="E195">
            <v>632.94000000000005</v>
          </cell>
        </row>
        <row r="196">
          <cell r="A196">
            <v>38247</v>
          </cell>
          <cell r="B196">
            <v>631.65</v>
          </cell>
          <cell r="C196">
            <v>639.16</v>
          </cell>
          <cell r="D196">
            <v>631.58000000000004</v>
          </cell>
          <cell r="E196">
            <v>637.69000000000005</v>
          </cell>
        </row>
        <row r="197">
          <cell r="A197">
            <v>38250</v>
          </cell>
          <cell r="B197">
            <v>636.09</v>
          </cell>
          <cell r="C197">
            <v>636.29</v>
          </cell>
          <cell r="D197">
            <v>631.09</v>
          </cell>
          <cell r="E197">
            <v>634.03</v>
          </cell>
        </row>
        <row r="198">
          <cell r="A198">
            <v>38251</v>
          </cell>
          <cell r="B198">
            <v>634.05999999999995</v>
          </cell>
          <cell r="C198">
            <v>638.47</v>
          </cell>
          <cell r="D198">
            <v>634.01</v>
          </cell>
          <cell r="E198">
            <v>638.02</v>
          </cell>
        </row>
        <row r="199">
          <cell r="A199">
            <v>38252</v>
          </cell>
          <cell r="B199">
            <v>637.04</v>
          </cell>
          <cell r="C199">
            <v>638.49</v>
          </cell>
          <cell r="D199">
            <v>630.79999999999995</v>
          </cell>
          <cell r="E199">
            <v>631.19000000000005</v>
          </cell>
        </row>
        <row r="200">
          <cell r="A200">
            <v>38253</v>
          </cell>
          <cell r="B200">
            <v>628.44000000000005</v>
          </cell>
          <cell r="C200">
            <v>629.46</v>
          </cell>
          <cell r="D200">
            <v>622.79</v>
          </cell>
          <cell r="E200">
            <v>624.57000000000005</v>
          </cell>
        </row>
        <row r="201">
          <cell r="A201">
            <v>38254</v>
          </cell>
          <cell r="B201">
            <v>623.57000000000005</v>
          </cell>
          <cell r="C201">
            <v>627.19000000000005</v>
          </cell>
          <cell r="D201">
            <v>622.89</v>
          </cell>
          <cell r="E201">
            <v>626.79</v>
          </cell>
        </row>
        <row r="202">
          <cell r="A202">
            <v>38257</v>
          </cell>
          <cell r="B202">
            <v>625.23</v>
          </cell>
          <cell r="C202">
            <v>625.35</v>
          </cell>
          <cell r="D202">
            <v>621.92999999999995</v>
          </cell>
          <cell r="E202">
            <v>623.73</v>
          </cell>
        </row>
        <row r="203">
          <cell r="A203">
            <v>38258</v>
          </cell>
          <cell r="B203">
            <v>621.89</v>
          </cell>
          <cell r="C203">
            <v>627.17999999999995</v>
          </cell>
          <cell r="D203">
            <v>621.65</v>
          </cell>
          <cell r="E203">
            <v>625.16999999999996</v>
          </cell>
        </row>
        <row r="204">
          <cell r="A204">
            <v>38259</v>
          </cell>
          <cell r="B204">
            <v>625.52</v>
          </cell>
          <cell r="C204">
            <v>630.02</v>
          </cell>
          <cell r="D204">
            <v>625.52</v>
          </cell>
          <cell r="E204">
            <v>628.24</v>
          </cell>
        </row>
        <row r="205">
          <cell r="A205">
            <v>38260</v>
          </cell>
          <cell r="B205">
            <v>631.19000000000005</v>
          </cell>
          <cell r="C205">
            <v>632.51</v>
          </cell>
          <cell r="D205">
            <v>622.92999999999995</v>
          </cell>
          <cell r="E205">
            <v>623.53</v>
          </cell>
        </row>
        <row r="206">
          <cell r="A206">
            <v>38261</v>
          </cell>
          <cell r="B206">
            <v>626.35</v>
          </cell>
          <cell r="C206">
            <v>636.52</v>
          </cell>
          <cell r="D206">
            <v>626.11</v>
          </cell>
          <cell r="E206">
            <v>636.52</v>
          </cell>
        </row>
        <row r="207">
          <cell r="A207">
            <v>38264</v>
          </cell>
          <cell r="B207">
            <v>640.22</v>
          </cell>
          <cell r="C207">
            <v>644.71</v>
          </cell>
          <cell r="D207">
            <v>640.22</v>
          </cell>
          <cell r="E207">
            <v>643.53</v>
          </cell>
        </row>
        <row r="208">
          <cell r="A208">
            <v>38265</v>
          </cell>
          <cell r="B208">
            <v>642.30999999999995</v>
          </cell>
          <cell r="C208">
            <v>646.52</v>
          </cell>
          <cell r="D208">
            <v>641.45000000000005</v>
          </cell>
          <cell r="E208">
            <v>644.14</v>
          </cell>
        </row>
        <row r="209">
          <cell r="A209">
            <v>38266</v>
          </cell>
          <cell r="B209">
            <v>645.48</v>
          </cell>
          <cell r="C209">
            <v>645.77</v>
          </cell>
          <cell r="D209">
            <v>641.39</v>
          </cell>
          <cell r="E209">
            <v>643.79999999999995</v>
          </cell>
        </row>
        <row r="210">
          <cell r="A210">
            <v>38267</v>
          </cell>
          <cell r="B210">
            <v>646.45000000000005</v>
          </cell>
          <cell r="C210">
            <v>646.65</v>
          </cell>
          <cell r="D210">
            <v>642.26</v>
          </cell>
          <cell r="E210">
            <v>643.35</v>
          </cell>
        </row>
        <row r="211">
          <cell r="A211">
            <v>38268</v>
          </cell>
          <cell r="B211">
            <v>640.6</v>
          </cell>
          <cell r="C211">
            <v>645.1</v>
          </cell>
          <cell r="D211">
            <v>637.39</v>
          </cell>
          <cell r="E211">
            <v>640.17999999999995</v>
          </cell>
        </row>
        <row r="212">
          <cell r="A212">
            <v>38271</v>
          </cell>
          <cell r="B212">
            <v>639.61</v>
          </cell>
          <cell r="C212">
            <v>639.83000000000004</v>
          </cell>
          <cell r="D212">
            <v>636.54999999999995</v>
          </cell>
          <cell r="E212">
            <v>638.66</v>
          </cell>
        </row>
        <row r="213">
          <cell r="A213">
            <v>38272</v>
          </cell>
          <cell r="B213">
            <v>637.49</v>
          </cell>
          <cell r="C213">
            <v>637.49</v>
          </cell>
          <cell r="D213">
            <v>629.13</v>
          </cell>
          <cell r="E213">
            <v>632.04</v>
          </cell>
        </row>
        <row r="214">
          <cell r="A214">
            <v>38273</v>
          </cell>
          <cell r="B214">
            <v>634.13</v>
          </cell>
          <cell r="C214">
            <v>636.47</v>
          </cell>
          <cell r="D214">
            <v>631.96</v>
          </cell>
          <cell r="E214">
            <v>633.33000000000004</v>
          </cell>
        </row>
        <row r="215">
          <cell r="A215">
            <v>38274</v>
          </cell>
          <cell r="B215">
            <v>629.88</v>
          </cell>
          <cell r="C215">
            <v>632.03</v>
          </cell>
          <cell r="D215">
            <v>628.58000000000004</v>
          </cell>
          <cell r="E215">
            <v>629.29999999999995</v>
          </cell>
        </row>
        <row r="216">
          <cell r="A216">
            <v>38275</v>
          </cell>
          <cell r="B216">
            <v>626.24</v>
          </cell>
          <cell r="C216">
            <v>629.47</v>
          </cell>
          <cell r="D216">
            <v>624.95000000000005</v>
          </cell>
          <cell r="E216">
            <v>629.30999999999995</v>
          </cell>
        </row>
        <row r="217">
          <cell r="A217">
            <v>38278</v>
          </cell>
          <cell r="B217">
            <v>630.14</v>
          </cell>
          <cell r="C217">
            <v>630.54999999999995</v>
          </cell>
          <cell r="D217">
            <v>626.79</v>
          </cell>
          <cell r="E217">
            <v>627.9</v>
          </cell>
        </row>
        <row r="218">
          <cell r="A218">
            <v>38279</v>
          </cell>
          <cell r="B218">
            <v>633.47</v>
          </cell>
          <cell r="C218">
            <v>636.91</v>
          </cell>
          <cell r="D218">
            <v>633.23</v>
          </cell>
          <cell r="E218">
            <v>633.94000000000005</v>
          </cell>
        </row>
        <row r="219">
          <cell r="A219">
            <v>38280</v>
          </cell>
          <cell r="B219">
            <v>627.73</v>
          </cell>
          <cell r="C219">
            <v>629.29</v>
          </cell>
          <cell r="D219">
            <v>625.91999999999996</v>
          </cell>
          <cell r="E219">
            <v>628.07000000000005</v>
          </cell>
        </row>
        <row r="220">
          <cell r="A220">
            <v>38281</v>
          </cell>
          <cell r="B220">
            <v>631.16999999999996</v>
          </cell>
          <cell r="C220">
            <v>631.72</v>
          </cell>
          <cell r="D220">
            <v>625.54999999999995</v>
          </cell>
          <cell r="E220">
            <v>631.29999999999995</v>
          </cell>
        </row>
        <row r="221">
          <cell r="A221">
            <v>38282</v>
          </cell>
          <cell r="B221">
            <v>631.16</v>
          </cell>
          <cell r="C221">
            <v>634.66999999999996</v>
          </cell>
          <cell r="D221">
            <v>630.08000000000004</v>
          </cell>
          <cell r="E221">
            <v>631.07000000000005</v>
          </cell>
        </row>
        <row r="222">
          <cell r="A222">
            <v>38285</v>
          </cell>
          <cell r="B222">
            <v>622.78</v>
          </cell>
          <cell r="C222">
            <v>622.78</v>
          </cell>
          <cell r="D222">
            <v>618.13</v>
          </cell>
          <cell r="E222">
            <v>619.37</v>
          </cell>
        </row>
        <row r="223">
          <cell r="A223">
            <v>38286</v>
          </cell>
          <cell r="B223">
            <v>620.66</v>
          </cell>
          <cell r="C223">
            <v>621.55999999999995</v>
          </cell>
          <cell r="D223">
            <v>618.54</v>
          </cell>
          <cell r="E223">
            <v>621.14</v>
          </cell>
        </row>
        <row r="224">
          <cell r="A224">
            <v>38287</v>
          </cell>
          <cell r="B224">
            <v>624.57000000000005</v>
          </cell>
          <cell r="C224">
            <v>630.54</v>
          </cell>
          <cell r="D224">
            <v>622.80999999999995</v>
          </cell>
          <cell r="E224">
            <v>630.37</v>
          </cell>
        </row>
        <row r="225">
          <cell r="A225">
            <v>38288</v>
          </cell>
          <cell r="B225">
            <v>634.65</v>
          </cell>
          <cell r="C225">
            <v>638.19000000000005</v>
          </cell>
          <cell r="D225">
            <v>634.54</v>
          </cell>
          <cell r="E225">
            <v>637.25</v>
          </cell>
        </row>
        <row r="226">
          <cell r="A226">
            <v>38289</v>
          </cell>
          <cell r="B226">
            <v>637.01</v>
          </cell>
          <cell r="C226">
            <v>639.63</v>
          </cell>
          <cell r="D226">
            <v>635.05999999999995</v>
          </cell>
          <cell r="E226">
            <v>635.41</v>
          </cell>
        </row>
        <row r="227">
          <cell r="A227">
            <v>38292</v>
          </cell>
          <cell r="B227">
            <v>634.02</v>
          </cell>
          <cell r="C227">
            <v>640.52</v>
          </cell>
          <cell r="D227">
            <v>634.02</v>
          </cell>
          <cell r="E227">
            <v>639.44000000000005</v>
          </cell>
        </row>
        <row r="228">
          <cell r="A228">
            <v>38293</v>
          </cell>
          <cell r="B228">
            <v>640.38</v>
          </cell>
          <cell r="C228">
            <v>644.64</v>
          </cell>
          <cell r="D228">
            <v>639.15</v>
          </cell>
          <cell r="E228">
            <v>644.64</v>
          </cell>
        </row>
        <row r="229">
          <cell r="A229">
            <v>38294</v>
          </cell>
          <cell r="B229">
            <v>648.71</v>
          </cell>
          <cell r="C229">
            <v>649.6</v>
          </cell>
          <cell r="D229">
            <v>644.98</v>
          </cell>
          <cell r="E229">
            <v>645.75</v>
          </cell>
        </row>
        <row r="230">
          <cell r="A230">
            <v>38295</v>
          </cell>
          <cell r="B230">
            <v>644.89</v>
          </cell>
          <cell r="C230">
            <v>645.19000000000005</v>
          </cell>
          <cell r="D230">
            <v>640.94000000000005</v>
          </cell>
          <cell r="E230">
            <v>643.86</v>
          </cell>
        </row>
        <row r="231">
          <cell r="A231">
            <v>38296</v>
          </cell>
          <cell r="B231">
            <v>648.84</v>
          </cell>
          <cell r="C231">
            <v>651.64</v>
          </cell>
          <cell r="D231">
            <v>646.25</v>
          </cell>
          <cell r="E231">
            <v>646.98</v>
          </cell>
        </row>
        <row r="232">
          <cell r="A232">
            <v>38299</v>
          </cell>
          <cell r="B232">
            <v>647.17999999999995</v>
          </cell>
          <cell r="C232">
            <v>647.82000000000005</v>
          </cell>
          <cell r="D232">
            <v>645.42999999999995</v>
          </cell>
          <cell r="E232">
            <v>646.37</v>
          </cell>
        </row>
        <row r="233">
          <cell r="A233">
            <v>38300</v>
          </cell>
          <cell r="B233">
            <v>646.61</v>
          </cell>
          <cell r="C233">
            <v>647.83000000000004</v>
          </cell>
          <cell r="D233">
            <v>645.02</v>
          </cell>
          <cell r="E233">
            <v>645.57000000000005</v>
          </cell>
        </row>
        <row r="234">
          <cell r="A234">
            <v>38301</v>
          </cell>
          <cell r="B234">
            <v>647.65</v>
          </cell>
          <cell r="C234">
            <v>649.75</v>
          </cell>
          <cell r="D234">
            <v>647.27</v>
          </cell>
          <cell r="E234">
            <v>648.32000000000005</v>
          </cell>
        </row>
        <row r="235">
          <cell r="A235">
            <v>38302</v>
          </cell>
          <cell r="B235">
            <v>647.98</v>
          </cell>
          <cell r="C235">
            <v>656.16</v>
          </cell>
          <cell r="D235">
            <v>647.19000000000005</v>
          </cell>
          <cell r="E235">
            <v>655.75</v>
          </cell>
        </row>
        <row r="236">
          <cell r="A236">
            <v>38303</v>
          </cell>
          <cell r="B236">
            <v>657.51</v>
          </cell>
          <cell r="C236">
            <v>658.06</v>
          </cell>
          <cell r="D236">
            <v>655.04</v>
          </cell>
          <cell r="E236">
            <v>656.39</v>
          </cell>
        </row>
        <row r="237">
          <cell r="A237">
            <v>38306</v>
          </cell>
          <cell r="B237">
            <v>658.25</v>
          </cell>
          <cell r="C237">
            <v>659.62</v>
          </cell>
          <cell r="D237">
            <v>653.51</v>
          </cell>
          <cell r="E237">
            <v>653.75</v>
          </cell>
        </row>
        <row r="238">
          <cell r="A238">
            <v>38307</v>
          </cell>
          <cell r="B238">
            <v>654.1</v>
          </cell>
          <cell r="C238">
            <v>655.19000000000005</v>
          </cell>
          <cell r="D238">
            <v>647.29999999999995</v>
          </cell>
          <cell r="E238">
            <v>649.07000000000005</v>
          </cell>
        </row>
        <row r="239">
          <cell r="A239">
            <v>38308</v>
          </cell>
          <cell r="B239">
            <v>649.96</v>
          </cell>
          <cell r="C239">
            <v>655.77</v>
          </cell>
          <cell r="D239">
            <v>648.41</v>
          </cell>
          <cell r="E239">
            <v>655.77</v>
          </cell>
        </row>
        <row r="240">
          <cell r="A240">
            <v>38309</v>
          </cell>
          <cell r="B240">
            <v>653.19000000000005</v>
          </cell>
          <cell r="C240">
            <v>654.54</v>
          </cell>
          <cell r="D240">
            <v>651.75</v>
          </cell>
          <cell r="E240">
            <v>653.57000000000005</v>
          </cell>
        </row>
        <row r="241">
          <cell r="A241">
            <v>38310</v>
          </cell>
          <cell r="B241">
            <v>653.53</v>
          </cell>
          <cell r="C241">
            <v>656.34</v>
          </cell>
          <cell r="D241">
            <v>648.79</v>
          </cell>
          <cell r="E241">
            <v>649.75</v>
          </cell>
        </row>
        <row r="242">
          <cell r="A242">
            <v>38313</v>
          </cell>
          <cell r="B242">
            <v>646.73</v>
          </cell>
          <cell r="C242">
            <v>646.94000000000005</v>
          </cell>
          <cell r="D242">
            <v>642.99</v>
          </cell>
          <cell r="E242">
            <v>646.26</v>
          </cell>
        </row>
        <row r="243">
          <cell r="A243">
            <v>38314</v>
          </cell>
          <cell r="B243">
            <v>649.03</v>
          </cell>
          <cell r="C243">
            <v>650.82000000000005</v>
          </cell>
          <cell r="D243">
            <v>646.03</v>
          </cell>
          <cell r="E243">
            <v>646.98</v>
          </cell>
        </row>
        <row r="244">
          <cell r="A244">
            <v>38315</v>
          </cell>
          <cell r="B244">
            <v>649.75</v>
          </cell>
          <cell r="C244">
            <v>649.75</v>
          </cell>
          <cell r="D244">
            <v>644.09</v>
          </cell>
          <cell r="E244">
            <v>645.21</v>
          </cell>
        </row>
        <row r="245">
          <cell r="A245">
            <v>38316</v>
          </cell>
          <cell r="B245">
            <v>646.54</v>
          </cell>
          <cell r="C245">
            <v>650.99</v>
          </cell>
          <cell r="D245">
            <v>646.54</v>
          </cell>
          <cell r="E245">
            <v>650.48</v>
          </cell>
        </row>
        <row r="246">
          <cell r="A246">
            <v>38317</v>
          </cell>
          <cell r="B246">
            <v>647.84</v>
          </cell>
          <cell r="C246">
            <v>649.23</v>
          </cell>
          <cell r="D246">
            <v>645.78</v>
          </cell>
          <cell r="E246">
            <v>648.58000000000004</v>
          </cell>
        </row>
        <row r="247">
          <cell r="A247">
            <v>38320</v>
          </cell>
          <cell r="B247">
            <v>649.01</v>
          </cell>
          <cell r="C247">
            <v>654.46</v>
          </cell>
          <cell r="D247">
            <v>648.17999999999995</v>
          </cell>
          <cell r="E247">
            <v>648.17999999999995</v>
          </cell>
        </row>
        <row r="248">
          <cell r="A248">
            <v>38321</v>
          </cell>
          <cell r="B248">
            <v>649.32000000000005</v>
          </cell>
          <cell r="C248">
            <v>649.32000000000005</v>
          </cell>
          <cell r="D248">
            <v>642.97</v>
          </cell>
          <cell r="E248">
            <v>644.23</v>
          </cell>
        </row>
        <row r="249">
          <cell r="A249">
            <v>38322</v>
          </cell>
          <cell r="B249">
            <v>643.24</v>
          </cell>
          <cell r="C249">
            <v>651.72</v>
          </cell>
          <cell r="D249">
            <v>642.85</v>
          </cell>
          <cell r="E249">
            <v>651.49</v>
          </cell>
        </row>
        <row r="250">
          <cell r="A250">
            <v>38323</v>
          </cell>
          <cell r="B250">
            <v>652.82000000000005</v>
          </cell>
          <cell r="C250">
            <v>655.43</v>
          </cell>
          <cell r="D250">
            <v>651.4</v>
          </cell>
          <cell r="E250">
            <v>653.92999999999995</v>
          </cell>
        </row>
        <row r="251">
          <cell r="A251">
            <v>38324</v>
          </cell>
          <cell r="B251">
            <v>654.83000000000004</v>
          </cell>
          <cell r="C251">
            <v>656.04</v>
          </cell>
          <cell r="D251">
            <v>648.48</v>
          </cell>
          <cell r="E251">
            <v>650.45000000000005</v>
          </cell>
        </row>
        <row r="252">
          <cell r="A252">
            <v>38327</v>
          </cell>
          <cell r="B252">
            <v>648.09</v>
          </cell>
          <cell r="C252">
            <v>648.34</v>
          </cell>
          <cell r="D252">
            <v>645.92999999999995</v>
          </cell>
          <cell r="E252">
            <v>648.1</v>
          </cell>
        </row>
        <row r="253">
          <cell r="A253">
            <v>38328</v>
          </cell>
          <cell r="B253">
            <v>648.20000000000005</v>
          </cell>
          <cell r="C253">
            <v>652.92999999999995</v>
          </cell>
          <cell r="D253">
            <v>647.44000000000005</v>
          </cell>
          <cell r="E253">
            <v>651.17999999999995</v>
          </cell>
        </row>
        <row r="254">
          <cell r="A254">
            <v>38329</v>
          </cell>
          <cell r="B254">
            <v>647.58000000000004</v>
          </cell>
          <cell r="C254">
            <v>651.03</v>
          </cell>
          <cell r="D254">
            <v>647.27</v>
          </cell>
          <cell r="E254">
            <v>650.12</v>
          </cell>
        </row>
        <row r="255">
          <cell r="A255">
            <v>38330</v>
          </cell>
          <cell r="B255">
            <v>650.07000000000005</v>
          </cell>
          <cell r="C255">
            <v>651.08000000000004</v>
          </cell>
          <cell r="D255">
            <v>643.54</v>
          </cell>
          <cell r="E255">
            <v>645.53</v>
          </cell>
        </row>
        <row r="256">
          <cell r="A256">
            <v>38331</v>
          </cell>
          <cell r="B256">
            <v>648.62</v>
          </cell>
          <cell r="C256">
            <v>649.53</v>
          </cell>
          <cell r="D256">
            <v>646.20000000000005</v>
          </cell>
          <cell r="E256">
            <v>648.36</v>
          </cell>
        </row>
        <row r="257">
          <cell r="A257">
            <v>38334</v>
          </cell>
          <cell r="B257">
            <v>649.47</v>
          </cell>
          <cell r="C257">
            <v>654.47</v>
          </cell>
          <cell r="D257">
            <v>648.95000000000005</v>
          </cell>
          <cell r="E257">
            <v>654.17999999999995</v>
          </cell>
        </row>
        <row r="258">
          <cell r="A258">
            <v>38335</v>
          </cell>
          <cell r="E258">
            <v>655.52</v>
          </cell>
        </row>
        <row r="259">
          <cell r="A259">
            <v>38336</v>
          </cell>
          <cell r="E259">
            <v>653.79</v>
          </cell>
        </row>
        <row r="260">
          <cell r="A260">
            <v>38337</v>
          </cell>
          <cell r="E260">
            <v>655.56</v>
          </cell>
        </row>
        <row r="261">
          <cell r="A261">
            <v>38338</v>
          </cell>
          <cell r="E261">
            <v>647.45000000000005</v>
          </cell>
        </row>
        <row r="262">
          <cell r="A262">
            <v>38341</v>
          </cell>
          <cell r="E262">
            <v>649.72</v>
          </cell>
        </row>
        <row r="263">
          <cell r="A263">
            <v>38342</v>
          </cell>
          <cell r="E263">
            <v>650.85</v>
          </cell>
        </row>
        <row r="264">
          <cell r="A264">
            <v>38343</v>
          </cell>
          <cell r="E264">
            <v>655.96</v>
          </cell>
        </row>
        <row r="265">
          <cell r="A265">
            <v>38344</v>
          </cell>
          <cell r="E265">
            <v>657.51</v>
          </cell>
        </row>
        <row r="266">
          <cell r="A266">
            <v>38345</v>
          </cell>
          <cell r="E266">
            <v>657.63</v>
          </cell>
        </row>
        <row r="267">
          <cell r="A267">
            <v>38348</v>
          </cell>
          <cell r="E267">
            <v>657.11</v>
          </cell>
        </row>
        <row r="268">
          <cell r="A268">
            <v>38349</v>
          </cell>
          <cell r="E268">
            <v>658.25</v>
          </cell>
        </row>
        <row r="269">
          <cell r="A269">
            <v>38350</v>
          </cell>
          <cell r="E269">
            <v>657.91</v>
          </cell>
        </row>
        <row r="270">
          <cell r="A270">
            <v>38351</v>
          </cell>
          <cell r="E270">
            <v>657.87</v>
          </cell>
        </row>
        <row r="271">
          <cell r="A271">
            <v>38352</v>
          </cell>
          <cell r="E271">
            <v>657.93</v>
          </cell>
        </row>
        <row r="272">
          <cell r="A272">
            <v>38355</v>
          </cell>
          <cell r="E272">
            <v>663.56</v>
          </cell>
        </row>
        <row r="273">
          <cell r="A273">
            <v>38356</v>
          </cell>
          <cell r="E273">
            <v>664.43</v>
          </cell>
        </row>
        <row r="274">
          <cell r="A274">
            <v>38357</v>
          </cell>
          <cell r="E274">
            <v>659.53</v>
          </cell>
        </row>
        <row r="275">
          <cell r="A275">
            <v>38358</v>
          </cell>
          <cell r="E275">
            <v>664.22</v>
          </cell>
        </row>
        <row r="276">
          <cell r="A276">
            <v>38359</v>
          </cell>
          <cell r="E276">
            <v>667.33</v>
          </cell>
        </row>
        <row r="277">
          <cell r="A277">
            <v>38362</v>
          </cell>
          <cell r="E277">
            <v>667.45</v>
          </cell>
        </row>
        <row r="278">
          <cell r="A278">
            <v>38363</v>
          </cell>
          <cell r="E278">
            <v>662.95</v>
          </cell>
        </row>
        <row r="279">
          <cell r="A279">
            <v>38364</v>
          </cell>
          <cell r="E279">
            <v>658.17</v>
          </cell>
        </row>
        <row r="280">
          <cell r="A280">
            <v>38365</v>
          </cell>
          <cell r="E280">
            <v>660.94</v>
          </cell>
        </row>
        <row r="281">
          <cell r="A281">
            <v>38366</v>
          </cell>
          <cell r="E281">
            <v>662.94</v>
          </cell>
        </row>
        <row r="282">
          <cell r="A282">
            <v>38369</v>
          </cell>
          <cell r="E282">
            <v>666.98</v>
          </cell>
        </row>
        <row r="283">
          <cell r="A283">
            <v>38370</v>
          </cell>
          <cell r="E283">
            <v>665.94</v>
          </cell>
        </row>
        <row r="284">
          <cell r="A284">
            <v>38371</v>
          </cell>
          <cell r="E284">
            <v>665.53</v>
          </cell>
        </row>
        <row r="285">
          <cell r="A285">
            <v>38372</v>
          </cell>
          <cell r="E285">
            <v>661.77</v>
          </cell>
        </row>
        <row r="286">
          <cell r="A286">
            <v>38373</v>
          </cell>
          <cell r="E286">
            <v>663.63</v>
          </cell>
        </row>
        <row r="287">
          <cell r="A287">
            <v>38376</v>
          </cell>
          <cell r="E287">
            <v>663.04</v>
          </cell>
        </row>
        <row r="288">
          <cell r="A288">
            <v>38377</v>
          </cell>
          <cell r="E288">
            <v>668.01</v>
          </cell>
        </row>
        <row r="289">
          <cell r="A289">
            <v>38378</v>
          </cell>
          <cell r="E289">
            <v>668.99</v>
          </cell>
        </row>
        <row r="290">
          <cell r="A290">
            <v>38379</v>
          </cell>
          <cell r="E290">
            <v>671</v>
          </cell>
        </row>
        <row r="291">
          <cell r="A291">
            <v>38380</v>
          </cell>
          <cell r="E291">
            <v>668.9</v>
          </cell>
        </row>
        <row r="292">
          <cell r="A292">
            <v>38383</v>
          </cell>
          <cell r="E292">
            <v>675.59</v>
          </cell>
        </row>
        <row r="293">
          <cell r="A293">
            <v>38384</v>
          </cell>
          <cell r="E293">
            <v>681.29</v>
          </cell>
        </row>
        <row r="294">
          <cell r="A294">
            <v>38385</v>
          </cell>
          <cell r="E294">
            <v>683.11</v>
          </cell>
        </row>
        <row r="295">
          <cell r="A295">
            <v>38386</v>
          </cell>
          <cell r="E295">
            <v>680.48</v>
          </cell>
        </row>
        <row r="296">
          <cell r="A296">
            <v>38387</v>
          </cell>
          <cell r="E296">
            <v>685.25</v>
          </cell>
        </row>
        <row r="297">
          <cell r="A297">
            <v>38390</v>
          </cell>
          <cell r="E297">
            <v>689.44</v>
          </cell>
        </row>
        <row r="298">
          <cell r="A298">
            <v>38391</v>
          </cell>
          <cell r="E298">
            <v>689.78</v>
          </cell>
        </row>
        <row r="299">
          <cell r="A299">
            <v>38392</v>
          </cell>
          <cell r="E299">
            <v>687.94</v>
          </cell>
        </row>
        <row r="300">
          <cell r="A300">
            <v>38393</v>
          </cell>
          <cell r="E300">
            <v>687.13</v>
          </cell>
        </row>
        <row r="301">
          <cell r="A301">
            <v>38394</v>
          </cell>
          <cell r="E301">
            <v>694.44</v>
          </cell>
        </row>
        <row r="302">
          <cell r="A302">
            <v>38397</v>
          </cell>
          <cell r="E302">
            <v>693.83</v>
          </cell>
        </row>
        <row r="303">
          <cell r="A303">
            <v>38398</v>
          </cell>
          <cell r="E303">
            <v>697.4</v>
          </cell>
        </row>
        <row r="304">
          <cell r="A304">
            <v>38399</v>
          </cell>
          <cell r="E304">
            <v>694.68</v>
          </cell>
        </row>
        <row r="305">
          <cell r="A305">
            <v>38400</v>
          </cell>
          <cell r="E305">
            <v>695.25</v>
          </cell>
        </row>
        <row r="306">
          <cell r="A306">
            <v>38401</v>
          </cell>
          <cell r="E306">
            <v>698.49</v>
          </cell>
        </row>
        <row r="307">
          <cell r="A307">
            <v>38404</v>
          </cell>
          <cell r="E307">
            <v>696.68</v>
          </cell>
        </row>
        <row r="308">
          <cell r="A308">
            <v>38405</v>
          </cell>
          <cell r="E308">
            <v>692.6</v>
          </cell>
        </row>
        <row r="309">
          <cell r="A309">
            <v>38406</v>
          </cell>
          <cell r="E309">
            <v>688.29</v>
          </cell>
        </row>
        <row r="310">
          <cell r="A310">
            <v>38407</v>
          </cell>
          <cell r="E310">
            <v>687.93</v>
          </cell>
        </row>
        <row r="311">
          <cell r="A311">
            <v>38408</v>
          </cell>
          <cell r="E311">
            <v>696.43</v>
          </cell>
        </row>
        <row r="312">
          <cell r="A312">
            <v>38411</v>
          </cell>
          <cell r="E312">
            <v>696.6</v>
          </cell>
        </row>
        <row r="313">
          <cell r="A313">
            <v>38412</v>
          </cell>
          <cell r="E313">
            <v>700.78</v>
          </cell>
        </row>
        <row r="314">
          <cell r="A314">
            <v>38413</v>
          </cell>
          <cell r="E314">
            <v>700.93</v>
          </cell>
        </row>
        <row r="315">
          <cell r="A315">
            <v>38414</v>
          </cell>
          <cell r="E315">
            <v>700.45</v>
          </cell>
        </row>
        <row r="316">
          <cell r="A316">
            <v>38415</v>
          </cell>
          <cell r="E316">
            <v>705.73</v>
          </cell>
        </row>
        <row r="317">
          <cell r="A317">
            <v>38418</v>
          </cell>
          <cell r="E317">
            <v>708.32</v>
          </cell>
        </row>
        <row r="318">
          <cell r="A318">
            <v>38419</v>
          </cell>
          <cell r="E318">
            <v>704.84</v>
          </cell>
        </row>
        <row r="319">
          <cell r="A319">
            <v>38420</v>
          </cell>
          <cell r="E319">
            <v>700.9</v>
          </cell>
        </row>
        <row r="320">
          <cell r="A320">
            <v>38421</v>
          </cell>
          <cell r="E320">
            <v>694.98</v>
          </cell>
        </row>
        <row r="321">
          <cell r="A321">
            <v>38422</v>
          </cell>
          <cell r="E321">
            <v>696.08</v>
          </cell>
        </row>
        <row r="322">
          <cell r="A322">
            <v>38425</v>
          </cell>
          <cell r="E322">
            <v>695.22</v>
          </cell>
        </row>
        <row r="323">
          <cell r="A323">
            <v>38426</v>
          </cell>
          <cell r="E323">
            <v>699.64</v>
          </cell>
        </row>
        <row r="324">
          <cell r="A324">
            <v>38427</v>
          </cell>
          <cell r="E324">
            <v>690.5</v>
          </cell>
        </row>
        <row r="325">
          <cell r="A325">
            <v>38428</v>
          </cell>
          <cell r="E325">
            <v>691.48</v>
          </cell>
        </row>
        <row r="326">
          <cell r="A326">
            <v>38429</v>
          </cell>
          <cell r="E326">
            <v>694.63</v>
          </cell>
        </row>
        <row r="327">
          <cell r="A327">
            <v>38432</v>
          </cell>
          <cell r="E327">
            <v>692.23</v>
          </cell>
        </row>
        <row r="328">
          <cell r="A328">
            <v>38433</v>
          </cell>
          <cell r="E328">
            <v>694</v>
          </cell>
        </row>
        <row r="329">
          <cell r="A329">
            <v>38434</v>
          </cell>
          <cell r="E329">
            <v>691.84</v>
          </cell>
        </row>
        <row r="330">
          <cell r="A330">
            <v>38435</v>
          </cell>
          <cell r="E330">
            <v>699.38</v>
          </cell>
        </row>
        <row r="331">
          <cell r="A331">
            <v>38436</v>
          </cell>
          <cell r="E331">
            <v>699.38</v>
          </cell>
        </row>
        <row r="332">
          <cell r="A332">
            <v>38439</v>
          </cell>
          <cell r="E332">
            <v>699.38</v>
          </cell>
        </row>
        <row r="333">
          <cell r="A333">
            <v>38440</v>
          </cell>
          <cell r="E333">
            <v>699.59</v>
          </cell>
        </row>
        <row r="334">
          <cell r="A334">
            <v>38441</v>
          </cell>
          <cell r="E334">
            <v>696.96</v>
          </cell>
        </row>
        <row r="335">
          <cell r="A335">
            <v>38442</v>
          </cell>
          <cell r="E335">
            <v>697.75</v>
          </cell>
        </row>
        <row r="336">
          <cell r="A336">
            <v>38443</v>
          </cell>
          <cell r="E336">
            <v>698.95</v>
          </cell>
        </row>
        <row r="337">
          <cell r="A337">
            <v>38446</v>
          </cell>
          <cell r="E337">
            <v>695.34</v>
          </cell>
        </row>
        <row r="338">
          <cell r="A338">
            <v>38447</v>
          </cell>
          <cell r="E338">
            <v>700.32</v>
          </cell>
        </row>
        <row r="339">
          <cell r="A339">
            <v>38448</v>
          </cell>
          <cell r="E339">
            <v>703.39</v>
          </cell>
        </row>
        <row r="340">
          <cell r="A340">
            <v>38449</v>
          </cell>
          <cell r="E340">
            <v>706.68</v>
          </cell>
        </row>
        <row r="341">
          <cell r="A341">
            <v>38450</v>
          </cell>
          <cell r="E341">
            <v>707.16</v>
          </cell>
        </row>
        <row r="342">
          <cell r="A342">
            <v>38453</v>
          </cell>
          <cell r="E342">
            <v>705.61</v>
          </cell>
        </row>
        <row r="343">
          <cell r="A343">
            <v>38454</v>
          </cell>
          <cell r="E343">
            <v>702.51</v>
          </cell>
        </row>
        <row r="344">
          <cell r="A344">
            <v>38455</v>
          </cell>
          <cell r="E344">
            <v>705.37</v>
          </cell>
        </row>
        <row r="345">
          <cell r="A345">
            <v>38456</v>
          </cell>
          <cell r="E345">
            <v>703.49</v>
          </cell>
        </row>
        <row r="346">
          <cell r="A346">
            <v>38457</v>
          </cell>
          <cell r="E346">
            <v>692.15</v>
          </cell>
        </row>
        <row r="347">
          <cell r="A347">
            <v>38460</v>
          </cell>
          <cell r="E347">
            <v>677.58</v>
          </cell>
        </row>
        <row r="348">
          <cell r="A348">
            <v>38461</v>
          </cell>
          <cell r="E348">
            <v>680.41</v>
          </cell>
        </row>
        <row r="349">
          <cell r="A349">
            <v>38462</v>
          </cell>
          <cell r="E349">
            <v>677.49</v>
          </cell>
        </row>
        <row r="350">
          <cell r="A350">
            <v>38463</v>
          </cell>
          <cell r="E350">
            <v>677.49</v>
          </cell>
        </row>
        <row r="351">
          <cell r="A351">
            <v>38464</v>
          </cell>
          <cell r="E351">
            <v>681.7</v>
          </cell>
        </row>
        <row r="352">
          <cell r="A352">
            <v>38467</v>
          </cell>
          <cell r="E352">
            <v>683.62</v>
          </cell>
        </row>
        <row r="353">
          <cell r="A353">
            <v>38468</v>
          </cell>
          <cell r="E353">
            <v>683.33</v>
          </cell>
        </row>
        <row r="354">
          <cell r="A354">
            <v>38469</v>
          </cell>
          <cell r="E354">
            <v>671.7</v>
          </cell>
        </row>
        <row r="355">
          <cell r="A355">
            <v>38470</v>
          </cell>
          <cell r="E355">
            <v>668.14</v>
          </cell>
        </row>
        <row r="356">
          <cell r="A356">
            <v>38471</v>
          </cell>
          <cell r="E356">
            <v>669.18</v>
          </cell>
        </row>
        <row r="357">
          <cell r="A357">
            <v>38474</v>
          </cell>
          <cell r="E357">
            <v>672.55</v>
          </cell>
        </row>
        <row r="358">
          <cell r="A358">
            <v>38475</v>
          </cell>
          <cell r="E358">
            <v>674.59</v>
          </cell>
        </row>
        <row r="359">
          <cell r="A359">
            <v>38476</v>
          </cell>
          <cell r="E359">
            <v>678.83</v>
          </cell>
        </row>
        <row r="360">
          <cell r="A360">
            <v>38477</v>
          </cell>
          <cell r="E360">
            <v>684.67</v>
          </cell>
        </row>
        <row r="361">
          <cell r="A361">
            <v>38478</v>
          </cell>
          <cell r="E361">
            <v>687.03</v>
          </cell>
        </row>
        <row r="362">
          <cell r="A362">
            <v>38481</v>
          </cell>
          <cell r="E362">
            <v>684.94</v>
          </cell>
        </row>
        <row r="363">
          <cell r="A363">
            <v>38482</v>
          </cell>
          <cell r="E363">
            <v>681.34</v>
          </cell>
        </row>
        <row r="364">
          <cell r="A364">
            <v>38483</v>
          </cell>
          <cell r="E364">
            <v>678.59</v>
          </cell>
        </row>
        <row r="365">
          <cell r="A365">
            <v>38484</v>
          </cell>
          <cell r="E365">
            <v>683.41</v>
          </cell>
        </row>
        <row r="366">
          <cell r="A366">
            <v>38485</v>
          </cell>
          <cell r="E366">
            <v>683.27</v>
          </cell>
        </row>
        <row r="367">
          <cell r="A367">
            <v>38488</v>
          </cell>
          <cell r="E367">
            <v>682.21</v>
          </cell>
        </row>
        <row r="368">
          <cell r="A368">
            <v>38489</v>
          </cell>
          <cell r="E368">
            <v>681.77</v>
          </cell>
        </row>
        <row r="369">
          <cell r="A369">
            <v>38490</v>
          </cell>
          <cell r="E369">
            <v>691.88</v>
          </cell>
        </row>
        <row r="370">
          <cell r="A370">
            <v>38491</v>
          </cell>
          <cell r="E370">
            <v>695.2</v>
          </cell>
        </row>
        <row r="371">
          <cell r="A371">
            <v>38492</v>
          </cell>
          <cell r="E371">
            <v>696.61</v>
          </cell>
        </row>
        <row r="372">
          <cell r="A372">
            <v>38495</v>
          </cell>
          <cell r="E372">
            <v>700.12</v>
          </cell>
        </row>
        <row r="373">
          <cell r="A373">
            <v>38496</v>
          </cell>
          <cell r="E373">
            <v>697.5</v>
          </cell>
        </row>
        <row r="374">
          <cell r="A374">
            <v>38497</v>
          </cell>
          <cell r="E374">
            <v>697.74</v>
          </cell>
        </row>
        <row r="375">
          <cell r="A375">
            <v>38498</v>
          </cell>
          <cell r="E375">
            <v>702.77</v>
          </cell>
        </row>
        <row r="376">
          <cell r="A376">
            <v>38499</v>
          </cell>
          <cell r="E376">
            <v>701.61</v>
          </cell>
        </row>
        <row r="377">
          <cell r="A377">
            <v>38502</v>
          </cell>
          <cell r="E377">
            <v>703.11</v>
          </cell>
        </row>
        <row r="378">
          <cell r="A378">
            <v>38503</v>
          </cell>
          <cell r="E378">
            <v>700.13</v>
          </cell>
        </row>
        <row r="379">
          <cell r="A379">
            <v>38504</v>
          </cell>
          <cell r="E379">
            <v>710</v>
          </cell>
        </row>
        <row r="380">
          <cell r="A380">
            <v>38505</v>
          </cell>
          <cell r="E380">
            <v>711.14</v>
          </cell>
        </row>
        <row r="381">
          <cell r="A381">
            <v>38506</v>
          </cell>
          <cell r="E381">
            <v>708.64</v>
          </cell>
        </row>
        <row r="382">
          <cell r="A382">
            <v>38509</v>
          </cell>
          <cell r="E382">
            <v>705.1</v>
          </cell>
        </row>
        <row r="383">
          <cell r="A383">
            <v>38510</v>
          </cell>
          <cell r="E383">
            <v>710.81</v>
          </cell>
        </row>
        <row r="384">
          <cell r="A384">
            <v>38511</v>
          </cell>
          <cell r="E384">
            <v>709.54</v>
          </cell>
        </row>
        <row r="385">
          <cell r="A385">
            <v>38512</v>
          </cell>
          <cell r="E385">
            <v>708.35</v>
          </cell>
        </row>
        <row r="386">
          <cell r="A386">
            <v>38513</v>
          </cell>
          <cell r="E386">
            <v>713.46</v>
          </cell>
        </row>
        <row r="387">
          <cell r="A387">
            <v>38516</v>
          </cell>
          <cell r="E387">
            <v>716.16</v>
          </cell>
        </row>
        <row r="388">
          <cell r="A388">
            <v>38517</v>
          </cell>
          <cell r="E388">
            <v>716.14</v>
          </cell>
        </row>
        <row r="389">
          <cell r="A389">
            <v>38518</v>
          </cell>
          <cell r="E389">
            <v>713.69</v>
          </cell>
        </row>
        <row r="390">
          <cell r="A390">
            <v>38519</v>
          </cell>
          <cell r="E390">
            <v>715.79</v>
          </cell>
        </row>
        <row r="391">
          <cell r="A391">
            <v>38520</v>
          </cell>
          <cell r="E391">
            <v>720.13</v>
          </cell>
        </row>
        <row r="392">
          <cell r="A392">
            <v>38523</v>
          </cell>
          <cell r="E392">
            <v>716.7</v>
          </cell>
        </row>
        <row r="393">
          <cell r="A393">
            <v>38524</v>
          </cell>
          <cell r="E393">
            <v>721.16</v>
          </cell>
        </row>
        <row r="394">
          <cell r="A394">
            <v>38525</v>
          </cell>
          <cell r="E394">
            <v>723.15</v>
          </cell>
        </row>
        <row r="395">
          <cell r="A395">
            <v>38526</v>
          </cell>
          <cell r="E395">
            <v>724.78</v>
          </cell>
        </row>
        <row r="396">
          <cell r="A396">
            <v>38527</v>
          </cell>
          <cell r="E396">
            <v>718.48</v>
          </cell>
        </row>
        <row r="397">
          <cell r="A397">
            <v>38530</v>
          </cell>
          <cell r="E397">
            <v>712.16</v>
          </cell>
        </row>
        <row r="398">
          <cell r="A398">
            <v>38531</v>
          </cell>
          <cell r="E398">
            <v>718.94</v>
          </cell>
        </row>
        <row r="399">
          <cell r="A399">
            <v>38532</v>
          </cell>
          <cell r="E399">
            <v>724.21</v>
          </cell>
        </row>
        <row r="400">
          <cell r="A400">
            <v>38533</v>
          </cell>
          <cell r="E400">
            <v>724.66</v>
          </cell>
        </row>
        <row r="401">
          <cell r="A401">
            <v>38534</v>
          </cell>
          <cell r="E401">
            <v>731.56</v>
          </cell>
        </row>
        <row r="402">
          <cell r="A402">
            <v>38537</v>
          </cell>
          <cell r="E402">
            <v>732.4</v>
          </cell>
        </row>
        <row r="403">
          <cell r="A403">
            <v>38538</v>
          </cell>
          <cell r="E403">
            <v>729.39</v>
          </cell>
        </row>
        <row r="404">
          <cell r="A404">
            <v>38539</v>
          </cell>
          <cell r="E404">
            <v>734.47</v>
          </cell>
        </row>
        <row r="405">
          <cell r="A405">
            <v>38540</v>
          </cell>
          <cell r="E405">
            <v>723.53</v>
          </cell>
        </row>
        <row r="406">
          <cell r="A406">
            <v>38541</v>
          </cell>
          <cell r="E406">
            <v>733.87</v>
          </cell>
        </row>
        <row r="407">
          <cell r="A407">
            <v>38544</v>
          </cell>
          <cell r="E407">
            <v>738.26</v>
          </cell>
        </row>
        <row r="408">
          <cell r="A408">
            <v>38545</v>
          </cell>
          <cell r="E408">
            <v>736.26</v>
          </cell>
        </row>
        <row r="409">
          <cell r="A409">
            <v>38546</v>
          </cell>
          <cell r="E409">
            <v>740.72</v>
          </cell>
        </row>
        <row r="410">
          <cell r="A410">
            <v>38547</v>
          </cell>
          <cell r="E410">
            <v>745.61</v>
          </cell>
        </row>
        <row r="411">
          <cell r="A411">
            <v>38548</v>
          </cell>
          <cell r="E411">
            <v>745.21</v>
          </cell>
        </row>
        <row r="412">
          <cell r="A412">
            <v>38551</v>
          </cell>
          <cell r="E412">
            <v>743.48</v>
          </cell>
        </row>
        <row r="413">
          <cell r="A413">
            <v>38552</v>
          </cell>
          <cell r="E413">
            <v>751.18</v>
          </cell>
        </row>
        <row r="414">
          <cell r="A414">
            <v>38553</v>
          </cell>
          <cell r="E414">
            <v>749.95</v>
          </cell>
        </row>
        <row r="415">
          <cell r="A415">
            <v>38554</v>
          </cell>
          <cell r="E415">
            <v>750.78</v>
          </cell>
        </row>
        <row r="416">
          <cell r="A416">
            <v>38555</v>
          </cell>
          <cell r="E416">
            <v>748.39</v>
          </cell>
        </row>
        <row r="417">
          <cell r="A417">
            <v>38558</v>
          </cell>
          <cell r="E417">
            <v>749.48</v>
          </cell>
        </row>
        <row r="418">
          <cell r="A418">
            <v>38559</v>
          </cell>
          <cell r="E418">
            <v>750.44</v>
          </cell>
        </row>
        <row r="419">
          <cell r="A419">
            <v>38560</v>
          </cell>
          <cell r="E419">
            <v>751.87</v>
          </cell>
        </row>
        <row r="420">
          <cell r="A420">
            <v>38561</v>
          </cell>
          <cell r="E420">
            <v>755.1</v>
          </cell>
        </row>
        <row r="421">
          <cell r="A421">
            <v>38562</v>
          </cell>
          <cell r="E421">
            <v>754.81</v>
          </cell>
        </row>
        <row r="422">
          <cell r="A422">
            <v>38565</v>
          </cell>
          <cell r="E422">
            <v>756.14</v>
          </cell>
        </row>
        <row r="423">
          <cell r="A423">
            <v>38566</v>
          </cell>
          <cell r="E423">
            <v>761.9</v>
          </cell>
        </row>
        <row r="424">
          <cell r="A424">
            <v>38567</v>
          </cell>
          <cell r="E424">
            <v>760.69</v>
          </cell>
        </row>
        <row r="425">
          <cell r="A425">
            <v>38568</v>
          </cell>
          <cell r="E425">
            <v>756.17</v>
          </cell>
        </row>
        <row r="426">
          <cell r="A426">
            <v>38569</v>
          </cell>
          <cell r="E426">
            <v>750.64</v>
          </cell>
        </row>
        <row r="427">
          <cell r="A427">
            <v>38572</v>
          </cell>
          <cell r="E427">
            <v>752.83</v>
          </cell>
        </row>
        <row r="428">
          <cell r="A428">
            <v>38573</v>
          </cell>
          <cell r="E428">
            <v>761.17</v>
          </cell>
        </row>
        <row r="429">
          <cell r="A429">
            <v>38574</v>
          </cell>
          <cell r="E429">
            <v>768.23</v>
          </cell>
        </row>
        <row r="430">
          <cell r="A430">
            <v>38575</v>
          </cell>
          <cell r="E430">
            <v>765.39</v>
          </cell>
        </row>
        <row r="431">
          <cell r="A431">
            <v>38576</v>
          </cell>
          <cell r="E431">
            <v>759.81</v>
          </cell>
        </row>
        <row r="432">
          <cell r="A432">
            <v>38579</v>
          </cell>
          <cell r="E432">
            <v>758.66</v>
          </cell>
        </row>
        <row r="433">
          <cell r="A433">
            <v>38580</v>
          </cell>
          <cell r="E433">
            <v>755.91</v>
          </cell>
        </row>
        <row r="434">
          <cell r="A434">
            <v>38581</v>
          </cell>
          <cell r="E434">
            <v>753.99</v>
          </cell>
        </row>
        <row r="435">
          <cell r="A435">
            <v>38582</v>
          </cell>
          <cell r="E435">
            <v>751.31</v>
          </cell>
        </row>
        <row r="436">
          <cell r="A436">
            <v>38583</v>
          </cell>
          <cell r="E436">
            <v>758.96</v>
          </cell>
        </row>
        <row r="437">
          <cell r="A437">
            <v>38586</v>
          </cell>
          <cell r="E437">
            <v>759.47</v>
          </cell>
        </row>
        <row r="438">
          <cell r="A438">
            <v>38587</v>
          </cell>
          <cell r="E438">
            <v>755.84</v>
          </cell>
        </row>
        <row r="439">
          <cell r="A439">
            <v>38588</v>
          </cell>
          <cell r="E439">
            <v>750.12</v>
          </cell>
        </row>
        <row r="440">
          <cell r="A440">
            <v>38589</v>
          </cell>
          <cell r="E440">
            <v>743.61</v>
          </cell>
        </row>
        <row r="441">
          <cell r="A441">
            <v>38590</v>
          </cell>
          <cell r="E441">
            <v>739.18</v>
          </cell>
        </row>
        <row r="442">
          <cell r="A442">
            <v>38593</v>
          </cell>
          <cell r="E442">
            <v>741.13</v>
          </cell>
        </row>
        <row r="443">
          <cell r="A443">
            <v>38594</v>
          </cell>
          <cell r="E443">
            <v>741.65</v>
          </cell>
        </row>
        <row r="444">
          <cell r="A444">
            <v>38595</v>
          </cell>
          <cell r="E444">
            <v>748.7</v>
          </cell>
        </row>
        <row r="445">
          <cell r="A445">
            <v>38596</v>
          </cell>
          <cell r="E445">
            <v>751.79</v>
          </cell>
        </row>
        <row r="446">
          <cell r="A446">
            <v>38597</v>
          </cell>
          <cell r="E446">
            <v>748.96</v>
          </cell>
        </row>
        <row r="447">
          <cell r="A447">
            <v>38600</v>
          </cell>
          <cell r="E447">
            <v>752.87</v>
          </cell>
        </row>
        <row r="448">
          <cell r="A448">
            <v>38601</v>
          </cell>
          <cell r="E448">
            <v>758.62</v>
          </cell>
        </row>
        <row r="449">
          <cell r="A449">
            <v>38602</v>
          </cell>
          <cell r="E449">
            <v>760.49</v>
          </cell>
        </row>
        <row r="450">
          <cell r="A450">
            <v>38603</v>
          </cell>
          <cell r="E450">
            <v>757.61</v>
          </cell>
        </row>
        <row r="451">
          <cell r="A451">
            <v>38604</v>
          </cell>
          <cell r="E451">
            <v>761.04</v>
          </cell>
        </row>
        <row r="452">
          <cell r="A452">
            <v>38607</v>
          </cell>
          <cell r="E452">
            <v>761.46</v>
          </cell>
        </row>
        <row r="453">
          <cell r="A453">
            <v>38608</v>
          </cell>
          <cell r="E453">
            <v>756.31</v>
          </cell>
        </row>
        <row r="454">
          <cell r="A454">
            <v>38609</v>
          </cell>
          <cell r="E454">
            <v>759.05</v>
          </cell>
        </row>
        <row r="455">
          <cell r="A455">
            <v>38610</v>
          </cell>
          <cell r="E455">
            <v>761.32</v>
          </cell>
        </row>
        <row r="456">
          <cell r="A456">
            <v>38611</v>
          </cell>
          <cell r="E456">
            <v>766.49</v>
          </cell>
        </row>
        <row r="457">
          <cell r="A457">
            <v>38614</v>
          </cell>
          <cell r="E457">
            <v>767.03</v>
          </cell>
        </row>
        <row r="458">
          <cell r="A458">
            <v>38615</v>
          </cell>
          <cell r="E458">
            <v>770.74</v>
          </cell>
        </row>
        <row r="459">
          <cell r="A459">
            <v>38616</v>
          </cell>
          <cell r="E459">
            <v>761.34</v>
          </cell>
        </row>
        <row r="460">
          <cell r="A460">
            <v>38617</v>
          </cell>
          <cell r="E460">
            <v>757.61</v>
          </cell>
        </row>
        <row r="461">
          <cell r="A461">
            <v>38618</v>
          </cell>
          <cell r="E461">
            <v>761.5</v>
          </cell>
        </row>
        <row r="462">
          <cell r="A462">
            <v>38621</v>
          </cell>
          <cell r="E462">
            <v>773.63</v>
          </cell>
        </row>
        <row r="463">
          <cell r="A463">
            <v>38622</v>
          </cell>
          <cell r="E463">
            <v>770.68</v>
          </cell>
        </row>
        <row r="464">
          <cell r="A464">
            <v>38623</v>
          </cell>
          <cell r="E464">
            <v>778.69</v>
          </cell>
        </row>
        <row r="465">
          <cell r="A465">
            <v>38624</v>
          </cell>
          <cell r="E465">
            <v>775.83</v>
          </cell>
        </row>
        <row r="466">
          <cell r="A466">
            <v>38625</v>
          </cell>
          <cell r="E466">
            <v>779.31</v>
          </cell>
        </row>
        <row r="467">
          <cell r="A467">
            <v>38628</v>
          </cell>
          <cell r="E467">
            <v>784.13</v>
          </cell>
        </row>
        <row r="468">
          <cell r="A468">
            <v>38629</v>
          </cell>
          <cell r="E468">
            <v>787.16</v>
          </cell>
        </row>
        <row r="469">
          <cell r="A469">
            <v>38630</v>
          </cell>
          <cell r="E469">
            <v>779.75</v>
          </cell>
        </row>
        <row r="470">
          <cell r="A470">
            <v>38631</v>
          </cell>
          <cell r="E470">
            <v>770.6</v>
          </cell>
        </row>
        <row r="471">
          <cell r="A471">
            <v>38632</v>
          </cell>
          <cell r="E471">
            <v>768.41</v>
          </cell>
        </row>
        <row r="472">
          <cell r="A472">
            <v>38635</v>
          </cell>
          <cell r="E472">
            <v>769.43</v>
          </cell>
        </row>
        <row r="473">
          <cell r="A473">
            <v>38636</v>
          </cell>
          <cell r="E473">
            <v>771.19</v>
          </cell>
        </row>
        <row r="474">
          <cell r="A474">
            <v>38637</v>
          </cell>
          <cell r="E474">
            <v>765.33</v>
          </cell>
        </row>
        <row r="475">
          <cell r="A475">
            <v>38638</v>
          </cell>
          <cell r="E475">
            <v>757.96</v>
          </cell>
        </row>
        <row r="476">
          <cell r="A476">
            <v>38639</v>
          </cell>
          <cell r="E476">
            <v>760.52</v>
          </cell>
        </row>
        <row r="477">
          <cell r="A477">
            <v>38642</v>
          </cell>
          <cell r="E477">
            <v>760.87</v>
          </cell>
        </row>
        <row r="478">
          <cell r="A478">
            <v>38643</v>
          </cell>
          <cell r="E478">
            <v>758.27</v>
          </cell>
        </row>
        <row r="479">
          <cell r="A479">
            <v>38644</v>
          </cell>
          <cell r="E479">
            <v>743.52</v>
          </cell>
        </row>
        <row r="480">
          <cell r="A480">
            <v>38645</v>
          </cell>
          <cell r="E480">
            <v>746.54</v>
          </cell>
        </row>
        <row r="481">
          <cell r="A481">
            <v>38646</v>
          </cell>
          <cell r="E481">
            <v>742.44</v>
          </cell>
        </row>
        <row r="482">
          <cell r="A482">
            <v>38649</v>
          </cell>
          <cell r="E482">
            <v>750.2</v>
          </cell>
        </row>
        <row r="483">
          <cell r="A483">
            <v>38650</v>
          </cell>
          <cell r="E483">
            <v>747.35</v>
          </cell>
        </row>
        <row r="484">
          <cell r="A484">
            <v>38651</v>
          </cell>
          <cell r="E484">
            <v>749.74</v>
          </cell>
        </row>
        <row r="485">
          <cell r="A485">
            <v>38652</v>
          </cell>
          <cell r="E485">
            <v>738.8</v>
          </cell>
        </row>
        <row r="486">
          <cell r="A486">
            <v>38653</v>
          </cell>
          <cell r="E486">
            <v>738.22</v>
          </cell>
        </row>
        <row r="487">
          <cell r="A487">
            <v>38656</v>
          </cell>
          <cell r="E487">
            <v>754.7</v>
          </cell>
        </row>
      </sheetData>
      <sheetData sheetId="4" refreshError="1">
        <row r="1">
          <cell r="A1" t="str">
            <v>Séance</v>
          </cell>
          <cell r="B1" t="str">
            <v>MASI</v>
          </cell>
          <cell r="C1" t="str">
            <v>MADEX</v>
          </cell>
        </row>
        <row r="2">
          <cell r="A2">
            <v>37606</v>
          </cell>
          <cell r="B2">
            <v>3016.99</v>
          </cell>
        </row>
        <row r="3">
          <cell r="A3">
            <v>37607</v>
          </cell>
          <cell r="B3">
            <v>3037.72</v>
          </cell>
        </row>
        <row r="4">
          <cell r="A4">
            <v>37608</v>
          </cell>
          <cell r="B4">
            <v>3049.38</v>
          </cell>
        </row>
        <row r="5">
          <cell r="A5">
            <v>37609</v>
          </cell>
          <cell r="B5">
            <v>3056.18</v>
          </cell>
        </row>
        <row r="6">
          <cell r="A6">
            <v>37610</v>
          </cell>
          <cell r="B6">
            <v>3067.81</v>
          </cell>
        </row>
        <row r="7">
          <cell r="A7">
            <v>37613</v>
          </cell>
          <cell r="B7">
            <v>3081.58</v>
          </cell>
        </row>
        <row r="8">
          <cell r="A8">
            <v>37614</v>
          </cell>
          <cell r="B8">
            <v>3068.94</v>
          </cell>
        </row>
        <row r="9">
          <cell r="A9">
            <v>37615</v>
          </cell>
          <cell r="B9">
            <v>3055.28</v>
          </cell>
        </row>
        <row r="10">
          <cell r="A10">
            <v>37616</v>
          </cell>
          <cell r="B10">
            <v>3023.13</v>
          </cell>
        </row>
        <row r="11">
          <cell r="A11">
            <v>37617</v>
          </cell>
          <cell r="B11">
            <v>3036.06</v>
          </cell>
        </row>
        <row r="12">
          <cell r="A12">
            <v>37620</v>
          </cell>
          <cell r="B12">
            <v>3022.52</v>
          </cell>
        </row>
        <row r="13">
          <cell r="A13">
            <v>37621</v>
          </cell>
          <cell r="B13">
            <v>2980.44</v>
          </cell>
        </row>
        <row r="14">
          <cell r="A14">
            <v>37623</v>
          </cell>
          <cell r="B14">
            <v>2970.26</v>
          </cell>
        </row>
        <row r="15">
          <cell r="A15">
            <v>37624</v>
          </cell>
          <cell r="B15">
            <v>2960.97</v>
          </cell>
        </row>
        <row r="16">
          <cell r="A16">
            <v>37627</v>
          </cell>
          <cell r="B16">
            <v>2959.23</v>
          </cell>
        </row>
        <row r="17">
          <cell r="A17">
            <v>37628</v>
          </cell>
          <cell r="B17">
            <v>2966.19</v>
          </cell>
        </row>
        <row r="18">
          <cell r="A18">
            <v>37629</v>
          </cell>
          <cell r="B18">
            <v>2966.11</v>
          </cell>
        </row>
        <row r="19">
          <cell r="A19">
            <v>37630</v>
          </cell>
          <cell r="B19">
            <v>2953.3</v>
          </cell>
        </row>
        <row r="20">
          <cell r="A20">
            <v>37631</v>
          </cell>
          <cell r="B20">
            <v>2970.59</v>
          </cell>
        </row>
        <row r="21">
          <cell r="A21">
            <v>37634</v>
          </cell>
          <cell r="B21">
            <v>2972.26</v>
          </cell>
        </row>
        <row r="22">
          <cell r="A22">
            <v>37635</v>
          </cell>
          <cell r="B22">
            <v>3037.46</v>
          </cell>
        </row>
        <row r="23">
          <cell r="A23">
            <v>37636</v>
          </cell>
          <cell r="B23">
            <v>3035.82</v>
          </cell>
        </row>
        <row r="24">
          <cell r="A24">
            <v>37637</v>
          </cell>
          <cell r="B24">
            <v>3047.32</v>
          </cell>
        </row>
        <row r="25">
          <cell r="A25">
            <v>37638</v>
          </cell>
          <cell r="B25">
            <v>3042.12</v>
          </cell>
        </row>
        <row r="26">
          <cell r="A26">
            <v>37641</v>
          </cell>
          <cell r="B26">
            <v>3038.3</v>
          </cell>
        </row>
        <row r="27">
          <cell r="A27">
            <v>37642</v>
          </cell>
          <cell r="B27">
            <v>3038.26</v>
          </cell>
        </row>
        <row r="28">
          <cell r="A28">
            <v>37643</v>
          </cell>
          <cell r="B28">
            <v>3035.63</v>
          </cell>
        </row>
        <row r="29">
          <cell r="A29">
            <v>37644</v>
          </cell>
          <cell r="B29">
            <v>3042.96</v>
          </cell>
        </row>
        <row r="30">
          <cell r="A30">
            <v>37645</v>
          </cell>
          <cell r="B30">
            <v>3065.09</v>
          </cell>
        </row>
        <row r="31">
          <cell r="A31">
            <v>37648</v>
          </cell>
          <cell r="B31">
            <v>3052.19</v>
          </cell>
        </row>
        <row r="32">
          <cell r="A32">
            <v>37649</v>
          </cell>
          <cell r="B32">
            <v>3064.42</v>
          </cell>
        </row>
        <row r="33">
          <cell r="A33">
            <v>37650</v>
          </cell>
          <cell r="B33">
            <v>3068.29</v>
          </cell>
        </row>
        <row r="34">
          <cell r="A34">
            <v>37651</v>
          </cell>
          <cell r="B34">
            <v>3067.87</v>
          </cell>
        </row>
        <row r="35">
          <cell r="A35">
            <v>37652</v>
          </cell>
          <cell r="B35">
            <v>3070.01</v>
          </cell>
        </row>
        <row r="36">
          <cell r="A36">
            <v>37655</v>
          </cell>
          <cell r="B36">
            <v>3066.21</v>
          </cell>
        </row>
        <row r="37">
          <cell r="A37">
            <v>37656</v>
          </cell>
          <cell r="B37">
            <v>3070.38</v>
          </cell>
        </row>
        <row r="38">
          <cell r="A38">
            <v>37657</v>
          </cell>
          <cell r="B38">
            <v>3077.67</v>
          </cell>
        </row>
        <row r="39">
          <cell r="A39">
            <v>37658</v>
          </cell>
          <cell r="B39">
            <v>3100.54</v>
          </cell>
        </row>
        <row r="40">
          <cell r="A40">
            <v>37659</v>
          </cell>
          <cell r="B40">
            <v>3107.28</v>
          </cell>
        </row>
        <row r="41">
          <cell r="A41">
            <v>37662</v>
          </cell>
          <cell r="B41">
            <v>3116.07</v>
          </cell>
        </row>
        <row r="42">
          <cell r="A42">
            <v>37663</v>
          </cell>
          <cell r="B42">
            <v>3123.11</v>
          </cell>
        </row>
        <row r="43">
          <cell r="A43">
            <v>37666</v>
          </cell>
          <cell r="B43">
            <v>3125.39</v>
          </cell>
        </row>
        <row r="44">
          <cell r="A44">
            <v>37669</v>
          </cell>
          <cell r="B44">
            <v>3137.52</v>
          </cell>
        </row>
        <row r="45">
          <cell r="A45">
            <v>37670</v>
          </cell>
          <cell r="B45">
            <v>3148.1</v>
          </cell>
        </row>
        <row r="46">
          <cell r="A46">
            <v>37671</v>
          </cell>
          <cell r="B46">
            <v>3188.46</v>
          </cell>
        </row>
        <row r="47">
          <cell r="A47">
            <v>37672</v>
          </cell>
          <cell r="B47">
            <v>3194.95</v>
          </cell>
        </row>
        <row r="48">
          <cell r="A48">
            <v>37673</v>
          </cell>
          <cell r="B48">
            <v>3223.16</v>
          </cell>
        </row>
        <row r="49">
          <cell r="A49">
            <v>37676</v>
          </cell>
          <cell r="B49">
            <v>3221.66</v>
          </cell>
        </row>
        <row r="50">
          <cell r="A50">
            <v>37677</v>
          </cell>
          <cell r="B50">
            <v>3216.44</v>
          </cell>
        </row>
        <row r="51">
          <cell r="A51">
            <v>37678</v>
          </cell>
          <cell r="B51">
            <v>3220.79</v>
          </cell>
        </row>
        <row r="52">
          <cell r="A52">
            <v>37679</v>
          </cell>
          <cell r="B52">
            <v>3235.95</v>
          </cell>
        </row>
        <row r="53">
          <cell r="A53">
            <v>37680</v>
          </cell>
          <cell r="B53">
            <v>3219.51</v>
          </cell>
        </row>
        <row r="54">
          <cell r="A54">
            <v>37683</v>
          </cell>
          <cell r="B54">
            <v>3228.8</v>
          </cell>
        </row>
        <row r="55">
          <cell r="A55">
            <v>37684</v>
          </cell>
          <cell r="B55">
            <v>3216.36</v>
          </cell>
        </row>
        <row r="56">
          <cell r="A56">
            <v>37686</v>
          </cell>
          <cell r="B56">
            <v>3202.06</v>
          </cell>
        </row>
        <row r="57">
          <cell r="A57">
            <v>37687</v>
          </cell>
          <cell r="B57">
            <v>3196.95</v>
          </cell>
        </row>
        <row r="58">
          <cell r="A58">
            <v>37690</v>
          </cell>
          <cell r="B58">
            <v>3160.94</v>
          </cell>
        </row>
        <row r="59">
          <cell r="A59">
            <v>37691</v>
          </cell>
          <cell r="B59">
            <v>3139.14</v>
          </cell>
        </row>
        <row r="60">
          <cell r="A60">
            <v>37692</v>
          </cell>
          <cell r="B60">
            <v>3104.81</v>
          </cell>
        </row>
        <row r="61">
          <cell r="A61">
            <v>37693</v>
          </cell>
          <cell r="B61">
            <v>3080.38</v>
          </cell>
        </row>
        <row r="62">
          <cell r="A62">
            <v>37694</v>
          </cell>
          <cell r="B62">
            <v>3066.77</v>
          </cell>
        </row>
        <row r="63">
          <cell r="A63">
            <v>37697</v>
          </cell>
          <cell r="B63">
            <v>3058.94</v>
          </cell>
        </row>
        <row r="64">
          <cell r="A64">
            <v>37698</v>
          </cell>
          <cell r="B64">
            <v>3052</v>
          </cell>
        </row>
        <row r="65">
          <cell r="A65">
            <v>37699</v>
          </cell>
          <cell r="B65">
            <v>3044.87</v>
          </cell>
        </row>
        <row r="66">
          <cell r="A66">
            <v>37700</v>
          </cell>
          <cell r="B66">
            <v>3038.77</v>
          </cell>
        </row>
        <row r="67">
          <cell r="A67">
            <v>37701</v>
          </cell>
          <cell r="B67">
            <v>3031.79</v>
          </cell>
        </row>
        <row r="68">
          <cell r="A68">
            <v>37704</v>
          </cell>
          <cell r="B68">
            <v>3030.34</v>
          </cell>
        </row>
        <row r="69">
          <cell r="A69">
            <v>37705</v>
          </cell>
          <cell r="B69">
            <v>3042.23</v>
          </cell>
        </row>
        <row r="70">
          <cell r="A70">
            <v>37706</v>
          </cell>
          <cell r="B70">
            <v>3057.36</v>
          </cell>
        </row>
        <row r="71">
          <cell r="A71">
            <v>37707</v>
          </cell>
          <cell r="B71">
            <v>3045.77</v>
          </cell>
        </row>
        <row r="72">
          <cell r="A72">
            <v>37708</v>
          </cell>
          <cell r="B72">
            <v>3051.45</v>
          </cell>
        </row>
        <row r="73">
          <cell r="A73">
            <v>37711</v>
          </cell>
          <cell r="B73">
            <v>3079.07</v>
          </cell>
        </row>
        <row r="74">
          <cell r="A74">
            <v>37712</v>
          </cell>
          <cell r="B74">
            <v>3090.21</v>
          </cell>
        </row>
        <row r="75">
          <cell r="A75">
            <v>37713</v>
          </cell>
          <cell r="B75">
            <v>3098.67</v>
          </cell>
        </row>
        <row r="76">
          <cell r="A76">
            <v>37714</v>
          </cell>
          <cell r="B76">
            <v>3119.51</v>
          </cell>
        </row>
        <row r="77">
          <cell r="A77">
            <v>37715</v>
          </cell>
          <cell r="B77">
            <v>3133.3</v>
          </cell>
        </row>
        <row r="78">
          <cell r="A78">
            <v>37718</v>
          </cell>
          <cell r="B78">
            <v>3135.53</v>
          </cell>
        </row>
        <row r="79">
          <cell r="A79">
            <v>37719</v>
          </cell>
          <cell r="B79">
            <v>3141.74</v>
          </cell>
        </row>
        <row r="80">
          <cell r="A80">
            <v>37720</v>
          </cell>
          <cell r="B80">
            <v>3151.63</v>
          </cell>
        </row>
        <row r="81">
          <cell r="A81">
            <v>37721</v>
          </cell>
          <cell r="B81">
            <v>3150.97</v>
          </cell>
        </row>
        <row r="82">
          <cell r="A82">
            <v>37722</v>
          </cell>
          <cell r="B82">
            <v>3161.27</v>
          </cell>
        </row>
        <row r="83">
          <cell r="A83">
            <v>37725</v>
          </cell>
          <cell r="B83">
            <v>3161.61</v>
          </cell>
        </row>
        <row r="84">
          <cell r="A84">
            <v>37726</v>
          </cell>
          <cell r="B84">
            <v>3179.55</v>
          </cell>
        </row>
        <row r="85">
          <cell r="A85">
            <v>37727</v>
          </cell>
          <cell r="B85">
            <v>3207.12</v>
          </cell>
        </row>
        <row r="86">
          <cell r="A86">
            <v>37728</v>
          </cell>
          <cell r="B86">
            <v>3223.34</v>
          </cell>
        </row>
        <row r="87">
          <cell r="A87">
            <v>37729</v>
          </cell>
          <cell r="B87">
            <v>3246.03</v>
          </cell>
        </row>
        <row r="88">
          <cell r="A88">
            <v>37732</v>
          </cell>
          <cell r="B88">
            <v>3258.41</v>
          </cell>
        </row>
        <row r="89">
          <cell r="A89">
            <v>37733</v>
          </cell>
          <cell r="B89">
            <v>3242.74</v>
          </cell>
        </row>
        <row r="90">
          <cell r="A90">
            <v>37734</v>
          </cell>
          <cell r="B90">
            <v>3242.31</v>
          </cell>
        </row>
        <row r="91">
          <cell r="A91">
            <v>37735</v>
          </cell>
          <cell r="B91">
            <v>3240.52</v>
          </cell>
        </row>
        <row r="92">
          <cell r="A92">
            <v>37736</v>
          </cell>
          <cell r="B92">
            <v>3253.88</v>
          </cell>
        </row>
        <row r="93">
          <cell r="A93">
            <v>37739</v>
          </cell>
          <cell r="B93">
            <v>3270.06</v>
          </cell>
        </row>
        <row r="94">
          <cell r="A94">
            <v>37740</v>
          </cell>
          <cell r="B94">
            <v>3287</v>
          </cell>
        </row>
        <row r="95">
          <cell r="A95">
            <v>37741</v>
          </cell>
          <cell r="B95">
            <v>3273.19</v>
          </cell>
        </row>
        <row r="96">
          <cell r="A96">
            <v>37743</v>
          </cell>
          <cell r="B96">
            <v>3267.73</v>
          </cell>
        </row>
        <row r="97">
          <cell r="A97">
            <v>37746</v>
          </cell>
          <cell r="B97">
            <v>3274.72</v>
          </cell>
        </row>
        <row r="98">
          <cell r="A98">
            <v>37747</v>
          </cell>
          <cell r="B98">
            <v>3282.94</v>
          </cell>
        </row>
        <row r="99">
          <cell r="A99">
            <v>37748</v>
          </cell>
          <cell r="B99">
            <v>3283.51</v>
          </cell>
        </row>
        <row r="100">
          <cell r="A100">
            <v>37749</v>
          </cell>
          <cell r="B100">
            <v>3279.82</v>
          </cell>
        </row>
        <row r="101">
          <cell r="A101">
            <v>37750</v>
          </cell>
          <cell r="B101">
            <v>3286.41</v>
          </cell>
        </row>
        <row r="102">
          <cell r="A102">
            <v>37753</v>
          </cell>
          <cell r="B102">
            <v>3296.96</v>
          </cell>
        </row>
        <row r="103">
          <cell r="A103">
            <v>37754</v>
          </cell>
          <cell r="B103">
            <v>3300.47</v>
          </cell>
        </row>
        <row r="104">
          <cell r="A104">
            <v>37757</v>
          </cell>
          <cell r="B104">
            <v>3287.53</v>
          </cell>
        </row>
        <row r="105">
          <cell r="A105">
            <v>37760</v>
          </cell>
          <cell r="B105">
            <v>3287.11</v>
          </cell>
        </row>
        <row r="106">
          <cell r="A106">
            <v>37761</v>
          </cell>
          <cell r="B106">
            <v>3279.09</v>
          </cell>
        </row>
        <row r="107">
          <cell r="A107">
            <v>37762</v>
          </cell>
          <cell r="B107">
            <v>3283.25</v>
          </cell>
        </row>
        <row r="108">
          <cell r="A108">
            <v>37763</v>
          </cell>
          <cell r="B108">
            <v>3297.64</v>
          </cell>
        </row>
        <row r="109">
          <cell r="A109">
            <v>37764</v>
          </cell>
          <cell r="B109">
            <v>3302.24</v>
          </cell>
        </row>
        <row r="110">
          <cell r="A110">
            <v>37767</v>
          </cell>
          <cell r="B110">
            <v>3284.85</v>
          </cell>
        </row>
        <row r="111">
          <cell r="A111">
            <v>37768</v>
          </cell>
          <cell r="B111">
            <v>3295.66</v>
          </cell>
        </row>
        <row r="112">
          <cell r="A112">
            <v>37769</v>
          </cell>
          <cell r="B112">
            <v>3304.06</v>
          </cell>
        </row>
        <row r="113">
          <cell r="A113">
            <v>37770</v>
          </cell>
          <cell r="B113">
            <v>3313.4</v>
          </cell>
        </row>
        <row r="114">
          <cell r="A114">
            <v>37771</v>
          </cell>
          <cell r="B114">
            <v>3332.69</v>
          </cell>
        </row>
        <row r="115">
          <cell r="A115">
            <v>37774</v>
          </cell>
          <cell r="B115">
            <v>3355.59</v>
          </cell>
        </row>
        <row r="116">
          <cell r="A116">
            <v>37775</v>
          </cell>
          <cell r="B116">
            <v>3413.65</v>
          </cell>
        </row>
        <row r="117">
          <cell r="A117">
            <v>37776</v>
          </cell>
          <cell r="B117">
            <v>3463.8</v>
          </cell>
        </row>
        <row r="118">
          <cell r="A118">
            <v>37777</v>
          </cell>
          <cell r="B118">
            <v>3503.84</v>
          </cell>
        </row>
        <row r="119">
          <cell r="A119">
            <v>37778</v>
          </cell>
          <cell r="B119">
            <v>3568.66</v>
          </cell>
        </row>
        <row r="120">
          <cell r="A120">
            <v>37781</v>
          </cell>
          <cell r="B120">
            <v>3591.25</v>
          </cell>
        </row>
        <row r="121">
          <cell r="A121">
            <v>37782</v>
          </cell>
          <cell r="B121">
            <v>3580.42</v>
          </cell>
        </row>
        <row r="122">
          <cell r="A122">
            <v>37783</v>
          </cell>
          <cell r="B122">
            <v>3589.63</v>
          </cell>
        </row>
        <row r="123">
          <cell r="A123">
            <v>37784</v>
          </cell>
          <cell r="B123">
            <v>3558.09</v>
          </cell>
        </row>
        <row r="124">
          <cell r="A124">
            <v>37785</v>
          </cell>
          <cell r="B124">
            <v>3530.3</v>
          </cell>
        </row>
        <row r="125">
          <cell r="A125">
            <v>37788</v>
          </cell>
          <cell r="B125">
            <v>3515.07</v>
          </cell>
        </row>
        <row r="126">
          <cell r="A126">
            <v>37789</v>
          </cell>
          <cell r="B126">
            <v>3554.65</v>
          </cell>
        </row>
        <row r="127">
          <cell r="A127">
            <v>37790</v>
          </cell>
          <cell r="B127">
            <v>3555.94</v>
          </cell>
        </row>
        <row r="128">
          <cell r="A128">
            <v>37791</v>
          </cell>
          <cell r="B128">
            <v>3578.22</v>
          </cell>
        </row>
        <row r="129">
          <cell r="A129">
            <v>37792</v>
          </cell>
          <cell r="B129">
            <v>3579.85</v>
          </cell>
        </row>
        <row r="130">
          <cell r="A130">
            <v>37795</v>
          </cell>
          <cell r="B130">
            <v>3584.2</v>
          </cell>
        </row>
        <row r="131">
          <cell r="A131">
            <v>37796</v>
          </cell>
          <cell r="B131">
            <v>3586.49</v>
          </cell>
        </row>
        <row r="132">
          <cell r="A132">
            <v>37797</v>
          </cell>
          <cell r="B132">
            <v>3579.37</v>
          </cell>
        </row>
        <row r="133">
          <cell r="A133">
            <v>37798</v>
          </cell>
          <cell r="B133">
            <v>3569.04</v>
          </cell>
        </row>
        <row r="134">
          <cell r="A134">
            <v>37799</v>
          </cell>
          <cell r="B134">
            <v>3564.08</v>
          </cell>
        </row>
        <row r="135">
          <cell r="A135">
            <v>37802</v>
          </cell>
          <cell r="B135">
            <v>3564.55</v>
          </cell>
        </row>
        <row r="136">
          <cell r="A136">
            <v>37803</v>
          </cell>
          <cell r="B136">
            <v>3499.48</v>
          </cell>
        </row>
        <row r="137">
          <cell r="A137">
            <v>37804</v>
          </cell>
          <cell r="B137">
            <v>3488.97</v>
          </cell>
        </row>
        <row r="138">
          <cell r="A138">
            <v>37805</v>
          </cell>
          <cell r="B138">
            <v>3487.67</v>
          </cell>
        </row>
        <row r="139">
          <cell r="A139">
            <v>37806</v>
          </cell>
          <cell r="B139">
            <v>3470.87</v>
          </cell>
        </row>
        <row r="140">
          <cell r="A140">
            <v>37809</v>
          </cell>
          <cell r="B140">
            <v>3464.89</v>
          </cell>
        </row>
        <row r="141">
          <cell r="A141">
            <v>37810</v>
          </cell>
          <cell r="B141">
            <v>3460.68</v>
          </cell>
        </row>
        <row r="142">
          <cell r="A142">
            <v>37811</v>
          </cell>
          <cell r="B142">
            <v>3463.45</v>
          </cell>
        </row>
        <row r="143">
          <cell r="A143">
            <v>37812</v>
          </cell>
          <cell r="B143">
            <v>3500.26</v>
          </cell>
        </row>
        <row r="144">
          <cell r="A144">
            <v>37813</v>
          </cell>
          <cell r="B144">
            <v>3505.11</v>
          </cell>
        </row>
        <row r="145">
          <cell r="A145">
            <v>37816</v>
          </cell>
          <cell r="B145">
            <v>3526.5</v>
          </cell>
        </row>
        <row r="146">
          <cell r="A146">
            <v>37817</v>
          </cell>
          <cell r="B146">
            <v>3520.64</v>
          </cell>
        </row>
        <row r="147">
          <cell r="A147">
            <v>37818</v>
          </cell>
          <cell r="B147">
            <v>3506.4</v>
          </cell>
        </row>
        <row r="148">
          <cell r="A148">
            <v>37819</v>
          </cell>
          <cell r="B148">
            <v>3508.88</v>
          </cell>
        </row>
        <row r="149">
          <cell r="A149">
            <v>37820</v>
          </cell>
          <cell r="B149">
            <v>3521.92</v>
          </cell>
        </row>
        <row r="150">
          <cell r="A150">
            <v>37823</v>
          </cell>
          <cell r="B150">
            <v>3509</v>
          </cell>
        </row>
        <row r="151">
          <cell r="A151">
            <v>37824</v>
          </cell>
          <cell r="B151">
            <v>3506.6</v>
          </cell>
        </row>
        <row r="152">
          <cell r="A152">
            <v>37825</v>
          </cell>
          <cell r="B152">
            <v>3499.11</v>
          </cell>
        </row>
        <row r="153">
          <cell r="A153">
            <v>37826</v>
          </cell>
          <cell r="B153">
            <v>3503.25</v>
          </cell>
        </row>
        <row r="154">
          <cell r="A154">
            <v>37827</v>
          </cell>
          <cell r="B154">
            <v>3519.61</v>
          </cell>
        </row>
        <row r="155">
          <cell r="A155">
            <v>37830</v>
          </cell>
          <cell r="B155">
            <v>3509.94</v>
          </cell>
        </row>
        <row r="156">
          <cell r="A156">
            <v>37831</v>
          </cell>
          <cell r="B156">
            <v>3529.12</v>
          </cell>
        </row>
        <row r="157">
          <cell r="A157">
            <v>37833</v>
          </cell>
          <cell r="B157">
            <v>3522.49</v>
          </cell>
        </row>
        <row r="158">
          <cell r="A158">
            <v>37834</v>
          </cell>
          <cell r="B158">
            <v>3524.13</v>
          </cell>
        </row>
        <row r="159">
          <cell r="A159">
            <v>37837</v>
          </cell>
          <cell r="B159">
            <v>3518.07</v>
          </cell>
        </row>
        <row r="160">
          <cell r="A160">
            <v>37838</v>
          </cell>
          <cell r="B160">
            <v>3508</v>
          </cell>
        </row>
        <row r="161">
          <cell r="A161">
            <v>37839</v>
          </cell>
          <cell r="B161">
            <v>3526.39</v>
          </cell>
        </row>
        <row r="162">
          <cell r="A162">
            <v>37840</v>
          </cell>
          <cell r="B162">
            <v>3517.76</v>
          </cell>
        </row>
        <row r="163">
          <cell r="A163">
            <v>37841</v>
          </cell>
          <cell r="B163">
            <v>3532.65</v>
          </cell>
        </row>
        <row r="164">
          <cell r="A164">
            <v>37844</v>
          </cell>
          <cell r="B164">
            <v>3533.95</v>
          </cell>
        </row>
        <row r="165">
          <cell r="A165">
            <v>37845</v>
          </cell>
          <cell r="B165">
            <v>3532.95</v>
          </cell>
        </row>
        <row r="166">
          <cell r="A166">
            <v>37848</v>
          </cell>
          <cell r="B166">
            <v>3534.76</v>
          </cell>
        </row>
        <row r="167">
          <cell r="A167">
            <v>37851</v>
          </cell>
          <cell r="B167">
            <v>3557</v>
          </cell>
        </row>
        <row r="168">
          <cell r="A168">
            <v>37852</v>
          </cell>
          <cell r="B168">
            <v>3569.02</v>
          </cell>
        </row>
        <row r="169">
          <cell r="A169">
            <v>37855</v>
          </cell>
          <cell r="B169">
            <v>3567.86</v>
          </cell>
        </row>
        <row r="170">
          <cell r="A170">
            <v>37858</v>
          </cell>
          <cell r="B170">
            <v>3578.46</v>
          </cell>
        </row>
        <row r="171">
          <cell r="A171">
            <v>37859</v>
          </cell>
          <cell r="B171">
            <v>3619.91</v>
          </cell>
        </row>
        <row r="172">
          <cell r="A172">
            <v>37860</v>
          </cell>
          <cell r="B172">
            <v>3696.66</v>
          </cell>
        </row>
        <row r="173">
          <cell r="A173">
            <v>37861</v>
          </cell>
          <cell r="B173">
            <v>3704.66</v>
          </cell>
        </row>
        <row r="174">
          <cell r="A174">
            <v>37862</v>
          </cell>
          <cell r="B174">
            <v>3696.71</v>
          </cell>
        </row>
        <row r="175">
          <cell r="A175">
            <v>37865</v>
          </cell>
          <cell r="B175">
            <v>3717.63</v>
          </cell>
        </row>
        <row r="176">
          <cell r="A176">
            <v>37866</v>
          </cell>
          <cell r="B176">
            <v>3739.56</v>
          </cell>
        </row>
        <row r="177">
          <cell r="A177">
            <v>37867</v>
          </cell>
          <cell r="B177">
            <v>3797.32</v>
          </cell>
        </row>
        <row r="178">
          <cell r="A178">
            <v>37868</v>
          </cell>
          <cell r="B178">
            <v>3845.23</v>
          </cell>
        </row>
        <row r="179">
          <cell r="A179">
            <v>37869</v>
          </cell>
          <cell r="B179">
            <v>3866.18</v>
          </cell>
        </row>
        <row r="180">
          <cell r="A180">
            <v>37872</v>
          </cell>
          <cell r="B180">
            <v>3834.42</v>
          </cell>
        </row>
        <row r="181">
          <cell r="A181">
            <v>37873</v>
          </cell>
          <cell r="B181">
            <v>3825.71</v>
          </cell>
        </row>
        <row r="182">
          <cell r="A182">
            <v>37874</v>
          </cell>
          <cell r="B182">
            <v>3788.09</v>
          </cell>
        </row>
        <row r="183">
          <cell r="A183">
            <v>37875</v>
          </cell>
          <cell r="B183">
            <v>3801.67</v>
          </cell>
        </row>
        <row r="184">
          <cell r="A184">
            <v>37876</v>
          </cell>
          <cell r="B184">
            <v>3814.57</v>
          </cell>
        </row>
        <row r="185">
          <cell r="A185">
            <v>37879</v>
          </cell>
          <cell r="B185">
            <v>3833.16</v>
          </cell>
        </row>
        <row r="186">
          <cell r="A186">
            <v>37880</v>
          </cell>
          <cell r="B186">
            <v>3802.22</v>
          </cell>
        </row>
        <row r="187">
          <cell r="A187">
            <v>37881</v>
          </cell>
          <cell r="B187">
            <v>3806.07</v>
          </cell>
        </row>
        <row r="188">
          <cell r="A188">
            <v>37882</v>
          </cell>
          <cell r="B188">
            <v>3823.14</v>
          </cell>
        </row>
        <row r="189">
          <cell r="A189">
            <v>37883</v>
          </cell>
          <cell r="B189">
            <v>3801.35</v>
          </cell>
        </row>
        <row r="190">
          <cell r="A190">
            <v>37886</v>
          </cell>
          <cell r="B190">
            <v>3779.32</v>
          </cell>
        </row>
        <row r="191">
          <cell r="A191">
            <v>37887</v>
          </cell>
          <cell r="B191">
            <v>3704.36</v>
          </cell>
        </row>
        <row r="192">
          <cell r="A192">
            <v>37888</v>
          </cell>
          <cell r="B192">
            <v>3706.48</v>
          </cell>
        </row>
        <row r="193">
          <cell r="A193">
            <v>37889</v>
          </cell>
          <cell r="B193">
            <v>3737.15</v>
          </cell>
        </row>
        <row r="194">
          <cell r="A194">
            <v>37890</v>
          </cell>
          <cell r="B194">
            <v>3748.35</v>
          </cell>
        </row>
        <row r="195">
          <cell r="A195">
            <v>37893</v>
          </cell>
          <cell r="B195">
            <v>3753.07</v>
          </cell>
        </row>
        <row r="196">
          <cell r="A196">
            <v>37894</v>
          </cell>
          <cell r="B196">
            <v>3745.93</v>
          </cell>
        </row>
        <row r="197">
          <cell r="A197">
            <v>37895</v>
          </cell>
          <cell r="B197">
            <v>3749.68</v>
          </cell>
        </row>
        <row r="198">
          <cell r="A198">
            <v>37896</v>
          </cell>
          <cell r="B198">
            <v>3748.52</v>
          </cell>
        </row>
        <row r="199">
          <cell r="A199">
            <v>37897</v>
          </cell>
          <cell r="B199">
            <v>3773.04</v>
          </cell>
        </row>
        <row r="200">
          <cell r="A200">
            <v>37900</v>
          </cell>
          <cell r="B200">
            <v>3768.33</v>
          </cell>
        </row>
        <row r="201">
          <cell r="A201">
            <v>37901</v>
          </cell>
          <cell r="B201">
            <v>3757.41</v>
          </cell>
        </row>
        <row r="202">
          <cell r="A202">
            <v>37902</v>
          </cell>
          <cell r="B202">
            <v>3753.77</v>
          </cell>
        </row>
        <row r="203">
          <cell r="A203">
            <v>37903</v>
          </cell>
          <cell r="B203">
            <v>3739.06</v>
          </cell>
        </row>
        <row r="204">
          <cell r="A204">
            <v>37904</v>
          </cell>
          <cell r="B204">
            <v>3741.9</v>
          </cell>
        </row>
        <row r="205">
          <cell r="A205">
            <v>37907</v>
          </cell>
          <cell r="B205">
            <v>3741.29</v>
          </cell>
        </row>
        <row r="206">
          <cell r="A206">
            <v>37908</v>
          </cell>
          <cell r="B206">
            <v>3745.44</v>
          </cell>
        </row>
        <row r="207">
          <cell r="A207">
            <v>37909</v>
          </cell>
          <cell r="B207">
            <v>3744.06</v>
          </cell>
        </row>
        <row r="208">
          <cell r="A208">
            <v>37910</v>
          </cell>
          <cell r="B208">
            <v>3745.93</v>
          </cell>
        </row>
        <row r="209">
          <cell r="A209">
            <v>37911</v>
          </cell>
          <cell r="B209">
            <v>3735.67</v>
          </cell>
        </row>
        <row r="210">
          <cell r="A210">
            <v>37914</v>
          </cell>
          <cell r="B210">
            <v>3741.98</v>
          </cell>
        </row>
        <row r="211">
          <cell r="A211">
            <v>37915</v>
          </cell>
          <cell r="B211">
            <v>3737.77</v>
          </cell>
        </row>
        <row r="212">
          <cell r="A212">
            <v>37916</v>
          </cell>
          <cell r="B212">
            <v>3758.36</v>
          </cell>
        </row>
        <row r="213">
          <cell r="A213">
            <v>37917</v>
          </cell>
          <cell r="B213">
            <v>3770.82</v>
          </cell>
        </row>
        <row r="214">
          <cell r="A214">
            <v>37918</v>
          </cell>
          <cell r="B214">
            <v>3771.91</v>
          </cell>
        </row>
        <row r="215">
          <cell r="A215">
            <v>37921</v>
          </cell>
          <cell r="B215">
            <v>3772.77</v>
          </cell>
        </row>
        <row r="216">
          <cell r="A216">
            <v>37922</v>
          </cell>
          <cell r="B216">
            <v>3776.26</v>
          </cell>
        </row>
        <row r="217">
          <cell r="A217">
            <v>37923</v>
          </cell>
          <cell r="B217">
            <v>3784.89</v>
          </cell>
        </row>
        <row r="218">
          <cell r="A218">
            <v>37924</v>
          </cell>
          <cell r="B218">
            <v>3786.06</v>
          </cell>
        </row>
        <row r="219">
          <cell r="A219">
            <v>37925</v>
          </cell>
          <cell r="B219">
            <v>3787.88</v>
          </cell>
        </row>
        <row r="220">
          <cell r="A220">
            <v>37928</v>
          </cell>
          <cell r="B220">
            <v>3786.43</v>
          </cell>
        </row>
        <row r="221">
          <cell r="A221">
            <v>37929</v>
          </cell>
          <cell r="B221">
            <v>3802.42</v>
          </cell>
        </row>
        <row r="222">
          <cell r="A222">
            <v>37930</v>
          </cell>
          <cell r="B222">
            <v>3814.11</v>
          </cell>
        </row>
        <row r="223">
          <cell r="A223">
            <v>37932</v>
          </cell>
          <cell r="B223">
            <v>3824.38</v>
          </cell>
        </row>
        <row r="224">
          <cell r="A224">
            <v>37935</v>
          </cell>
          <cell r="B224">
            <v>3832.4</v>
          </cell>
        </row>
        <row r="225">
          <cell r="A225">
            <v>37936</v>
          </cell>
          <cell r="B225">
            <v>3840.55</v>
          </cell>
        </row>
        <row r="226">
          <cell r="A226">
            <v>37937</v>
          </cell>
          <cell r="B226">
            <v>3856.48</v>
          </cell>
        </row>
        <row r="227">
          <cell r="A227">
            <v>37938</v>
          </cell>
          <cell r="B227">
            <v>3862.7</v>
          </cell>
        </row>
        <row r="228">
          <cell r="A228">
            <v>37939</v>
          </cell>
          <cell r="B228">
            <v>3889.49</v>
          </cell>
        </row>
        <row r="229">
          <cell r="A229">
            <v>37942</v>
          </cell>
          <cell r="B229">
            <v>3868.42</v>
          </cell>
        </row>
        <row r="230">
          <cell r="A230">
            <v>37944</v>
          </cell>
          <cell r="B230">
            <v>3861.39</v>
          </cell>
        </row>
        <row r="231">
          <cell r="A231">
            <v>37945</v>
          </cell>
          <cell r="B231">
            <v>3842.41</v>
          </cell>
        </row>
        <row r="232">
          <cell r="A232">
            <v>37946</v>
          </cell>
          <cell r="B232">
            <v>3848.45</v>
          </cell>
        </row>
        <row r="233">
          <cell r="A233">
            <v>37949</v>
          </cell>
          <cell r="B233">
            <v>3864.04</v>
          </cell>
        </row>
        <row r="234">
          <cell r="A234">
            <v>37950</v>
          </cell>
          <cell r="B234">
            <v>3870.45</v>
          </cell>
        </row>
        <row r="235">
          <cell r="A235">
            <v>37953</v>
          </cell>
          <cell r="B235">
            <v>3861.25</v>
          </cell>
        </row>
        <row r="236">
          <cell r="A236">
            <v>37956</v>
          </cell>
          <cell r="B236">
            <v>3921.31</v>
          </cell>
        </row>
        <row r="237">
          <cell r="A237">
            <v>37957</v>
          </cell>
          <cell r="B237">
            <v>3934.11</v>
          </cell>
        </row>
        <row r="238">
          <cell r="A238">
            <v>37958</v>
          </cell>
          <cell r="B238">
            <v>3962.74</v>
          </cell>
        </row>
        <row r="239">
          <cell r="A239">
            <v>37959</v>
          </cell>
          <cell r="B239">
            <v>3967.17</v>
          </cell>
        </row>
        <row r="240">
          <cell r="A240">
            <v>37960</v>
          </cell>
          <cell r="B240">
            <v>3951.96</v>
          </cell>
        </row>
        <row r="241">
          <cell r="A241">
            <v>37963</v>
          </cell>
          <cell r="B241">
            <v>3949.64</v>
          </cell>
        </row>
        <row r="242">
          <cell r="A242">
            <v>37964</v>
          </cell>
          <cell r="B242">
            <v>3961.43</v>
          </cell>
        </row>
        <row r="243">
          <cell r="A243">
            <v>37965</v>
          </cell>
          <cell r="B243">
            <v>3976.58</v>
          </cell>
        </row>
        <row r="244">
          <cell r="A244">
            <v>37966</v>
          </cell>
          <cell r="B244">
            <v>3984.24</v>
          </cell>
        </row>
        <row r="245">
          <cell r="A245">
            <v>37967</v>
          </cell>
          <cell r="B245">
            <v>3985.13</v>
          </cell>
        </row>
        <row r="246">
          <cell r="A246">
            <v>37970</v>
          </cell>
          <cell r="B246">
            <v>3975.51</v>
          </cell>
        </row>
        <row r="247">
          <cell r="A247">
            <v>37971</v>
          </cell>
          <cell r="B247">
            <v>3973.29</v>
          </cell>
        </row>
        <row r="248">
          <cell r="A248">
            <v>37972</v>
          </cell>
          <cell r="B248">
            <v>3972.54</v>
          </cell>
        </row>
        <row r="249">
          <cell r="A249">
            <v>37973</v>
          </cell>
          <cell r="B249">
            <v>3976.65</v>
          </cell>
        </row>
        <row r="250">
          <cell r="A250">
            <v>37974</v>
          </cell>
          <cell r="B250">
            <v>3978.16</v>
          </cell>
        </row>
        <row r="251">
          <cell r="A251">
            <v>37977</v>
          </cell>
          <cell r="B251">
            <v>3973.01</v>
          </cell>
        </row>
        <row r="252">
          <cell r="A252">
            <v>37978</v>
          </cell>
          <cell r="B252">
            <v>3982.52</v>
          </cell>
        </row>
        <row r="253">
          <cell r="A253">
            <v>37979</v>
          </cell>
          <cell r="B253">
            <v>3977.2</v>
          </cell>
        </row>
        <row r="254">
          <cell r="A254">
            <v>37980</v>
          </cell>
          <cell r="B254">
            <v>3969.54</v>
          </cell>
        </row>
        <row r="255">
          <cell r="A255">
            <v>37981</v>
          </cell>
          <cell r="B255">
            <v>3959.01</v>
          </cell>
        </row>
        <row r="256">
          <cell r="A256">
            <v>37984</v>
          </cell>
          <cell r="B256">
            <v>3964.16</v>
          </cell>
        </row>
        <row r="257">
          <cell r="A257">
            <v>37985</v>
          </cell>
          <cell r="B257">
            <v>3936.14</v>
          </cell>
        </row>
        <row r="258">
          <cell r="A258">
            <v>37986</v>
          </cell>
          <cell r="B258">
            <v>3943.51</v>
          </cell>
        </row>
        <row r="259">
          <cell r="A259">
            <v>37988</v>
          </cell>
          <cell r="B259">
            <v>3945.58</v>
          </cell>
        </row>
        <row r="260">
          <cell r="A260">
            <v>37991</v>
          </cell>
          <cell r="B260">
            <v>3933.14</v>
          </cell>
        </row>
        <row r="261">
          <cell r="A261">
            <v>37992</v>
          </cell>
          <cell r="B261">
            <v>3936.29</v>
          </cell>
        </row>
        <row r="262">
          <cell r="A262">
            <v>37993</v>
          </cell>
          <cell r="B262">
            <v>3937.93</v>
          </cell>
        </row>
        <row r="263">
          <cell r="A263">
            <v>37994</v>
          </cell>
          <cell r="B263">
            <v>3943.31</v>
          </cell>
        </row>
        <row r="264">
          <cell r="A264">
            <v>37995</v>
          </cell>
          <cell r="B264">
            <v>3952.4</v>
          </cell>
        </row>
        <row r="265">
          <cell r="A265">
            <v>37998</v>
          </cell>
          <cell r="B265">
            <v>3944.32</v>
          </cell>
        </row>
        <row r="266">
          <cell r="A266">
            <v>37999</v>
          </cell>
          <cell r="B266">
            <v>3952.78</v>
          </cell>
        </row>
        <row r="267">
          <cell r="A267">
            <v>38000</v>
          </cell>
          <cell r="B267">
            <v>3964.85</v>
          </cell>
        </row>
        <row r="268">
          <cell r="A268">
            <v>38001</v>
          </cell>
          <cell r="B268">
            <v>3974.76</v>
          </cell>
        </row>
        <row r="269">
          <cell r="A269">
            <v>38002</v>
          </cell>
          <cell r="B269">
            <v>3978.95</v>
          </cell>
        </row>
        <row r="270">
          <cell r="A270">
            <v>38005</v>
          </cell>
          <cell r="B270">
            <v>3988.09</v>
          </cell>
        </row>
        <row r="271">
          <cell r="A271">
            <v>38006</v>
          </cell>
          <cell r="B271">
            <v>3996.11</v>
          </cell>
        </row>
        <row r="272">
          <cell r="A272">
            <v>38007</v>
          </cell>
          <cell r="B272">
            <v>4008.79</v>
          </cell>
        </row>
        <row r="273">
          <cell r="A273">
            <v>38008</v>
          </cell>
          <cell r="B273">
            <v>4046.1</v>
          </cell>
        </row>
        <row r="274">
          <cell r="A274">
            <v>38009</v>
          </cell>
          <cell r="B274">
            <v>4050.09</v>
          </cell>
        </row>
        <row r="275">
          <cell r="A275">
            <v>38012</v>
          </cell>
          <cell r="B275">
            <v>4063.23</v>
          </cell>
        </row>
        <row r="276">
          <cell r="A276">
            <v>38013</v>
          </cell>
          <cell r="B276">
            <v>4049.48</v>
          </cell>
        </row>
        <row r="277">
          <cell r="A277">
            <v>38014</v>
          </cell>
          <cell r="B277">
            <v>4066.84</v>
          </cell>
        </row>
        <row r="278">
          <cell r="A278">
            <v>38015</v>
          </cell>
          <cell r="B278">
            <v>4098.63</v>
          </cell>
        </row>
        <row r="279">
          <cell r="A279">
            <v>38016</v>
          </cell>
          <cell r="B279">
            <v>4115.93</v>
          </cell>
        </row>
        <row r="280">
          <cell r="A280">
            <v>38020</v>
          </cell>
          <cell r="B280">
            <v>4142.4399999999996</v>
          </cell>
        </row>
        <row r="281">
          <cell r="A281">
            <v>38021</v>
          </cell>
          <cell r="B281">
            <v>4150.95</v>
          </cell>
        </row>
        <row r="282">
          <cell r="A282">
            <v>38022</v>
          </cell>
          <cell r="B282">
            <v>4177.7700000000004</v>
          </cell>
        </row>
        <row r="283">
          <cell r="A283">
            <v>38023</v>
          </cell>
          <cell r="B283">
            <v>4204.67</v>
          </cell>
        </row>
        <row r="284">
          <cell r="A284">
            <v>38026</v>
          </cell>
          <cell r="B284">
            <v>4234.6400000000003</v>
          </cell>
        </row>
        <row r="285">
          <cell r="A285">
            <v>38027</v>
          </cell>
          <cell r="B285">
            <v>4247.8900000000003</v>
          </cell>
        </row>
        <row r="286">
          <cell r="A286">
            <v>38028</v>
          </cell>
          <cell r="B286">
            <v>4270.78</v>
          </cell>
        </row>
        <row r="287">
          <cell r="A287">
            <v>38029</v>
          </cell>
          <cell r="B287">
            <v>4301.6099999999997</v>
          </cell>
        </row>
        <row r="288">
          <cell r="A288">
            <v>38030</v>
          </cell>
          <cell r="B288">
            <v>4300.93</v>
          </cell>
        </row>
        <row r="289">
          <cell r="A289">
            <v>38033</v>
          </cell>
          <cell r="B289">
            <v>4281.87</v>
          </cell>
        </row>
        <row r="290">
          <cell r="A290">
            <v>38034</v>
          </cell>
          <cell r="B290">
            <v>4244.8599999999997</v>
          </cell>
        </row>
        <row r="291">
          <cell r="A291">
            <v>38035</v>
          </cell>
          <cell r="B291">
            <v>4231.7</v>
          </cell>
        </row>
        <row r="292">
          <cell r="A292">
            <v>38036</v>
          </cell>
          <cell r="B292">
            <v>4247.13</v>
          </cell>
        </row>
        <row r="293">
          <cell r="A293">
            <v>38037</v>
          </cell>
          <cell r="B293">
            <v>4240.91</v>
          </cell>
        </row>
        <row r="294">
          <cell r="A294">
            <v>38040</v>
          </cell>
          <cell r="B294">
            <v>4276.62</v>
          </cell>
        </row>
        <row r="295">
          <cell r="A295">
            <v>38041</v>
          </cell>
          <cell r="B295">
            <v>4323.7299999999996</v>
          </cell>
        </row>
        <row r="296">
          <cell r="A296">
            <v>38042</v>
          </cell>
          <cell r="B296">
            <v>4330.0200000000004</v>
          </cell>
        </row>
        <row r="297">
          <cell r="A297">
            <v>38043</v>
          </cell>
          <cell r="B297">
            <v>4352.13</v>
          </cell>
        </row>
        <row r="298">
          <cell r="A298">
            <v>38044</v>
          </cell>
          <cell r="B298">
            <v>4336.3999999999996</v>
          </cell>
        </row>
        <row r="299">
          <cell r="A299">
            <v>38047</v>
          </cell>
          <cell r="B299">
            <v>4350.3500000000004</v>
          </cell>
        </row>
        <row r="300">
          <cell r="A300">
            <v>38048</v>
          </cell>
          <cell r="B300">
            <v>4359.33</v>
          </cell>
        </row>
        <row r="301">
          <cell r="A301">
            <v>38049</v>
          </cell>
          <cell r="B301">
            <v>4378.6000000000004</v>
          </cell>
        </row>
        <row r="302">
          <cell r="A302">
            <v>38050</v>
          </cell>
          <cell r="B302">
            <v>4402.4399999999996</v>
          </cell>
        </row>
        <row r="303">
          <cell r="A303">
            <v>38051</v>
          </cell>
          <cell r="B303">
            <v>4409.37</v>
          </cell>
        </row>
        <row r="304">
          <cell r="A304">
            <v>38054</v>
          </cell>
          <cell r="B304">
            <v>4448.82</v>
          </cell>
        </row>
        <row r="305">
          <cell r="A305">
            <v>38055</v>
          </cell>
          <cell r="B305">
            <v>4477.78</v>
          </cell>
        </row>
        <row r="306">
          <cell r="A306">
            <v>38056</v>
          </cell>
          <cell r="B306">
            <v>4492.55</v>
          </cell>
        </row>
        <row r="307">
          <cell r="A307">
            <v>38057</v>
          </cell>
          <cell r="B307">
            <v>4509.8100000000004</v>
          </cell>
        </row>
        <row r="308">
          <cell r="A308">
            <v>38058</v>
          </cell>
          <cell r="B308">
            <v>4530.6899999999996</v>
          </cell>
        </row>
        <row r="309">
          <cell r="A309">
            <v>38061</v>
          </cell>
          <cell r="B309">
            <v>4535.22</v>
          </cell>
        </row>
        <row r="310">
          <cell r="A310">
            <v>38062</v>
          </cell>
          <cell r="B310">
            <v>4521.5600000000004</v>
          </cell>
        </row>
        <row r="311">
          <cell r="A311">
            <v>38063</v>
          </cell>
          <cell r="B311">
            <v>4484.2299999999996</v>
          </cell>
        </row>
        <row r="312">
          <cell r="A312">
            <v>38064</v>
          </cell>
          <cell r="B312">
            <v>4504.8100000000004</v>
          </cell>
        </row>
        <row r="313">
          <cell r="A313">
            <v>38065</v>
          </cell>
          <cell r="B313">
            <v>4541.6099999999997</v>
          </cell>
        </row>
        <row r="314">
          <cell r="A314">
            <v>38068</v>
          </cell>
          <cell r="B314">
            <v>4558.57</v>
          </cell>
        </row>
        <row r="315">
          <cell r="A315">
            <v>38069</v>
          </cell>
          <cell r="B315">
            <v>4525.24</v>
          </cell>
        </row>
        <row r="316">
          <cell r="A316">
            <v>38070</v>
          </cell>
          <cell r="B316">
            <v>4530.66</v>
          </cell>
        </row>
        <row r="317">
          <cell r="A317">
            <v>38071</v>
          </cell>
          <cell r="B317">
            <v>4516.84</v>
          </cell>
        </row>
        <row r="318">
          <cell r="A318">
            <v>38072</v>
          </cell>
          <cell r="B318">
            <v>4538.37</v>
          </cell>
        </row>
        <row r="319">
          <cell r="A319">
            <v>38075</v>
          </cell>
          <cell r="B319">
            <v>4517.96</v>
          </cell>
        </row>
        <row r="320">
          <cell r="A320">
            <v>38076</v>
          </cell>
          <cell r="B320">
            <v>4490.53</v>
          </cell>
        </row>
        <row r="321">
          <cell r="A321">
            <v>38077</v>
          </cell>
          <cell r="B321">
            <v>4473.3</v>
          </cell>
        </row>
        <row r="322">
          <cell r="A322">
            <v>38078</v>
          </cell>
          <cell r="B322">
            <v>4492.04</v>
          </cell>
        </row>
        <row r="323">
          <cell r="A323">
            <v>38079</v>
          </cell>
          <cell r="B323">
            <v>4503.3100000000004</v>
          </cell>
        </row>
        <row r="324">
          <cell r="A324">
            <v>38082</v>
          </cell>
          <cell r="B324">
            <v>4519.24</v>
          </cell>
        </row>
        <row r="325">
          <cell r="A325">
            <v>38083</v>
          </cell>
          <cell r="B325">
            <v>4499.37</v>
          </cell>
        </row>
        <row r="326">
          <cell r="A326">
            <v>38084</v>
          </cell>
          <cell r="B326">
            <v>4508.21</v>
          </cell>
        </row>
        <row r="327">
          <cell r="A327">
            <v>38085</v>
          </cell>
          <cell r="B327">
            <v>4504.75</v>
          </cell>
        </row>
        <row r="328">
          <cell r="A328">
            <v>38086</v>
          </cell>
          <cell r="B328">
            <v>4504.4399999999996</v>
          </cell>
        </row>
        <row r="329">
          <cell r="A329">
            <v>38089</v>
          </cell>
          <cell r="B329">
            <v>4535.58</v>
          </cell>
        </row>
        <row r="330">
          <cell r="A330">
            <v>38090</v>
          </cell>
          <cell r="B330">
            <v>4571.8599999999997</v>
          </cell>
        </row>
        <row r="331">
          <cell r="A331">
            <v>38091</v>
          </cell>
          <cell r="B331">
            <v>4579.6499999999996</v>
          </cell>
        </row>
        <row r="332">
          <cell r="A332">
            <v>38092</v>
          </cell>
          <cell r="B332">
            <v>4574.26</v>
          </cell>
        </row>
        <row r="333">
          <cell r="A333">
            <v>38093</v>
          </cell>
          <cell r="B333">
            <v>4591.49</v>
          </cell>
        </row>
        <row r="334">
          <cell r="A334">
            <v>38096</v>
          </cell>
          <cell r="B334">
            <v>4595.28</v>
          </cell>
        </row>
        <row r="335">
          <cell r="A335">
            <v>38097</v>
          </cell>
          <cell r="B335">
            <v>4599.5600000000004</v>
          </cell>
        </row>
        <row r="336">
          <cell r="A336">
            <v>38098</v>
          </cell>
          <cell r="B336">
            <v>4588.0200000000004</v>
          </cell>
        </row>
        <row r="337">
          <cell r="A337">
            <v>38099</v>
          </cell>
          <cell r="B337">
            <v>4560.6899999999996</v>
          </cell>
        </row>
        <row r="338">
          <cell r="A338">
            <v>38100</v>
          </cell>
          <cell r="B338">
            <v>4558.57</v>
          </cell>
        </row>
        <row r="339">
          <cell r="A339">
            <v>38103</v>
          </cell>
          <cell r="B339">
            <v>4555.26</v>
          </cell>
        </row>
        <row r="340">
          <cell r="A340">
            <v>38104</v>
          </cell>
          <cell r="B340">
            <v>4553.9799999999996</v>
          </cell>
        </row>
        <row r="341">
          <cell r="A341">
            <v>38105</v>
          </cell>
          <cell r="B341">
            <v>4563.18</v>
          </cell>
        </row>
        <row r="342">
          <cell r="A342">
            <v>38106</v>
          </cell>
          <cell r="B342">
            <v>4600.2299999999996</v>
          </cell>
        </row>
        <row r="343">
          <cell r="A343">
            <v>38107</v>
          </cell>
          <cell r="B343">
            <v>4620.91</v>
          </cell>
        </row>
        <row r="344">
          <cell r="A344">
            <v>38111</v>
          </cell>
          <cell r="B344">
            <v>4631.9399999999996</v>
          </cell>
        </row>
        <row r="345">
          <cell r="A345">
            <v>38112</v>
          </cell>
          <cell r="B345">
            <v>4621.1000000000004</v>
          </cell>
        </row>
        <row r="346">
          <cell r="A346">
            <v>38113</v>
          </cell>
          <cell r="B346">
            <v>4622.2</v>
          </cell>
        </row>
        <row r="347">
          <cell r="A347">
            <v>38114</v>
          </cell>
          <cell r="B347">
            <v>4623.8999999999996</v>
          </cell>
        </row>
        <row r="348">
          <cell r="A348">
            <v>38117</v>
          </cell>
          <cell r="B348">
            <v>4597.17</v>
          </cell>
        </row>
        <row r="349">
          <cell r="A349">
            <v>38118</v>
          </cell>
          <cell r="B349">
            <v>4567.6000000000004</v>
          </cell>
        </row>
        <row r="350">
          <cell r="A350">
            <v>38119</v>
          </cell>
          <cell r="B350">
            <v>4546.6499999999996</v>
          </cell>
        </row>
        <row r="351">
          <cell r="A351">
            <v>38120</v>
          </cell>
          <cell r="B351">
            <v>4548.58</v>
          </cell>
        </row>
        <row r="352">
          <cell r="A352">
            <v>38121</v>
          </cell>
          <cell r="B352">
            <v>4578.2</v>
          </cell>
        </row>
        <row r="353">
          <cell r="A353">
            <v>38124</v>
          </cell>
          <cell r="B353">
            <v>4453.24</v>
          </cell>
        </row>
        <row r="354">
          <cell r="A354">
            <v>38125</v>
          </cell>
          <cell r="B354">
            <v>4399.91</v>
          </cell>
        </row>
        <row r="355">
          <cell r="A355">
            <v>38126</v>
          </cell>
          <cell r="B355">
            <v>4455.1899999999996</v>
          </cell>
        </row>
        <row r="356">
          <cell r="A356">
            <v>38127</v>
          </cell>
          <cell r="B356">
            <v>4493.8999999999996</v>
          </cell>
        </row>
        <row r="357">
          <cell r="A357">
            <v>38128</v>
          </cell>
          <cell r="B357">
            <v>4515.03</v>
          </cell>
        </row>
        <row r="358">
          <cell r="A358">
            <v>38131</v>
          </cell>
          <cell r="B358">
            <v>4524.8500000000004</v>
          </cell>
        </row>
        <row r="359">
          <cell r="A359">
            <v>38132</v>
          </cell>
          <cell r="B359">
            <v>4540.74</v>
          </cell>
        </row>
        <row r="360">
          <cell r="A360">
            <v>38133</v>
          </cell>
          <cell r="B360">
            <v>4529.84</v>
          </cell>
        </row>
        <row r="361">
          <cell r="A361">
            <v>38134</v>
          </cell>
          <cell r="B361">
            <v>4536.01</v>
          </cell>
        </row>
        <row r="362">
          <cell r="A362">
            <v>38135</v>
          </cell>
          <cell r="B362">
            <v>4544.4399999999996</v>
          </cell>
        </row>
        <row r="363">
          <cell r="A363">
            <v>38138</v>
          </cell>
          <cell r="B363">
            <v>4544.78</v>
          </cell>
        </row>
        <row r="364">
          <cell r="A364">
            <v>38139</v>
          </cell>
          <cell r="B364">
            <v>4536.01</v>
          </cell>
        </row>
        <row r="365">
          <cell r="A365">
            <v>38140</v>
          </cell>
          <cell r="B365">
            <v>4549.43</v>
          </cell>
        </row>
        <row r="366">
          <cell r="A366">
            <v>38141</v>
          </cell>
          <cell r="B366">
            <v>4564.9399999999996</v>
          </cell>
        </row>
        <row r="367">
          <cell r="A367">
            <v>38142</v>
          </cell>
          <cell r="B367">
            <v>4598.3100000000004</v>
          </cell>
        </row>
        <row r="368">
          <cell r="A368">
            <v>38145</v>
          </cell>
          <cell r="B368">
            <v>4612.67</v>
          </cell>
        </row>
        <row r="369">
          <cell r="A369">
            <v>38146</v>
          </cell>
          <cell r="B369">
            <v>4603.55</v>
          </cell>
        </row>
        <row r="370">
          <cell r="A370">
            <v>38147</v>
          </cell>
          <cell r="B370">
            <v>4588.68</v>
          </cell>
        </row>
        <row r="371">
          <cell r="A371">
            <v>38148</v>
          </cell>
          <cell r="B371">
            <v>4586.7700000000004</v>
          </cell>
        </row>
        <row r="372">
          <cell r="A372">
            <v>38149</v>
          </cell>
          <cell r="B372">
            <v>4583.6000000000004</v>
          </cell>
        </row>
        <row r="373">
          <cell r="A373">
            <v>38152</v>
          </cell>
          <cell r="B373">
            <v>4572.71</v>
          </cell>
        </row>
        <row r="374">
          <cell r="A374">
            <v>38153</v>
          </cell>
          <cell r="B374">
            <v>4567.43</v>
          </cell>
        </row>
        <row r="375">
          <cell r="A375">
            <v>38154</v>
          </cell>
          <cell r="B375">
            <v>4545.53</v>
          </cell>
        </row>
        <row r="376">
          <cell r="A376">
            <v>38155</v>
          </cell>
          <cell r="B376">
            <v>4546.6899999999996</v>
          </cell>
        </row>
        <row r="377">
          <cell r="A377">
            <v>38156</v>
          </cell>
          <cell r="B377">
            <v>4568.6499999999996</v>
          </cell>
        </row>
        <row r="378">
          <cell r="A378">
            <v>38159</v>
          </cell>
          <cell r="B378">
            <v>4569.6499999999996</v>
          </cell>
        </row>
        <row r="379">
          <cell r="A379">
            <v>38160</v>
          </cell>
          <cell r="B379">
            <v>4540.0200000000004</v>
          </cell>
        </row>
        <row r="380">
          <cell r="A380">
            <v>38161</v>
          </cell>
          <cell r="B380">
            <v>4534.1899999999996</v>
          </cell>
        </row>
        <row r="381">
          <cell r="A381">
            <v>38162</v>
          </cell>
          <cell r="B381">
            <v>4541.45</v>
          </cell>
        </row>
        <row r="382">
          <cell r="A382">
            <v>38163</v>
          </cell>
          <cell r="B382">
            <v>4531.46</v>
          </cell>
        </row>
        <row r="383">
          <cell r="A383">
            <v>38166</v>
          </cell>
          <cell r="B383">
            <v>4497.8599999999997</v>
          </cell>
        </row>
        <row r="384">
          <cell r="A384">
            <v>38167</v>
          </cell>
          <cell r="B384">
            <v>4503.7</v>
          </cell>
        </row>
        <row r="385">
          <cell r="A385">
            <v>38168</v>
          </cell>
          <cell r="B385">
            <v>4498.88</v>
          </cell>
        </row>
        <row r="386">
          <cell r="A386">
            <v>38169</v>
          </cell>
          <cell r="B386">
            <v>4439.21</v>
          </cell>
        </row>
        <row r="387">
          <cell r="A387">
            <v>38170</v>
          </cell>
          <cell r="B387">
            <v>4446.1099999999997</v>
          </cell>
        </row>
        <row r="388">
          <cell r="A388">
            <v>38173</v>
          </cell>
          <cell r="B388">
            <v>4410.1099999999997</v>
          </cell>
        </row>
        <row r="389">
          <cell r="A389">
            <v>38174</v>
          </cell>
          <cell r="B389">
            <v>4418.84</v>
          </cell>
        </row>
        <row r="390">
          <cell r="A390">
            <v>38175</v>
          </cell>
          <cell r="B390">
            <v>4425.78</v>
          </cell>
        </row>
        <row r="391">
          <cell r="A391">
            <v>38176</v>
          </cell>
          <cell r="B391">
            <v>4448.6899999999996</v>
          </cell>
        </row>
        <row r="392">
          <cell r="A392">
            <v>38177</v>
          </cell>
          <cell r="B392">
            <v>4440.1499999999996</v>
          </cell>
        </row>
        <row r="393">
          <cell r="A393">
            <v>38180</v>
          </cell>
          <cell r="B393">
            <v>4432.2700000000004</v>
          </cell>
        </row>
        <row r="394">
          <cell r="A394">
            <v>38181</v>
          </cell>
          <cell r="B394">
            <v>4414.95</v>
          </cell>
        </row>
        <row r="395">
          <cell r="A395">
            <v>38182</v>
          </cell>
          <cell r="B395">
            <v>4438.68</v>
          </cell>
        </row>
        <row r="396">
          <cell r="A396">
            <v>38183</v>
          </cell>
          <cell r="B396">
            <v>4447.47</v>
          </cell>
        </row>
        <row r="397">
          <cell r="A397">
            <v>38184</v>
          </cell>
          <cell r="B397">
            <v>4442.18</v>
          </cell>
        </row>
        <row r="398">
          <cell r="A398">
            <v>38187</v>
          </cell>
          <cell r="B398">
            <v>4473</v>
          </cell>
        </row>
        <row r="399">
          <cell r="A399">
            <v>38188</v>
          </cell>
          <cell r="B399">
            <v>4477.05</v>
          </cell>
        </row>
        <row r="400">
          <cell r="A400">
            <v>38189</v>
          </cell>
          <cell r="B400">
            <v>4492.29</v>
          </cell>
        </row>
        <row r="401">
          <cell r="A401">
            <v>38190</v>
          </cell>
          <cell r="B401">
            <v>4502.71</v>
          </cell>
        </row>
        <row r="402">
          <cell r="A402">
            <v>38191</v>
          </cell>
          <cell r="B402">
            <v>4515.46</v>
          </cell>
        </row>
        <row r="403">
          <cell r="A403">
            <v>38194</v>
          </cell>
          <cell r="B403">
            <v>4518.6499999999996</v>
          </cell>
        </row>
        <row r="404">
          <cell r="A404">
            <v>38195</v>
          </cell>
          <cell r="B404">
            <v>4521.24</v>
          </cell>
        </row>
        <row r="405">
          <cell r="A405">
            <v>38196</v>
          </cell>
          <cell r="B405">
            <v>4531.0600000000004</v>
          </cell>
        </row>
        <row r="406">
          <cell r="A406">
            <v>38197</v>
          </cell>
          <cell r="B406">
            <v>4514.72</v>
          </cell>
        </row>
        <row r="407">
          <cell r="A407">
            <v>38201</v>
          </cell>
          <cell r="B407">
            <v>4532.24</v>
          </cell>
        </row>
        <row r="408">
          <cell r="A408">
            <v>38202</v>
          </cell>
          <cell r="B408">
            <v>4511.7</v>
          </cell>
        </row>
        <row r="409">
          <cell r="A409">
            <v>38203</v>
          </cell>
          <cell r="B409">
            <v>4510.4399999999996</v>
          </cell>
        </row>
        <row r="410">
          <cell r="A410">
            <v>38204</v>
          </cell>
          <cell r="B410">
            <v>4509.4799999999996</v>
          </cell>
        </row>
        <row r="411">
          <cell r="A411">
            <v>38205</v>
          </cell>
          <cell r="B411">
            <v>4503.88</v>
          </cell>
        </row>
        <row r="412">
          <cell r="A412">
            <v>38208</v>
          </cell>
          <cell r="B412">
            <v>4494.38</v>
          </cell>
        </row>
        <row r="413">
          <cell r="A413">
            <v>38209</v>
          </cell>
          <cell r="B413">
            <v>4503.1499999999996</v>
          </cell>
        </row>
        <row r="414">
          <cell r="A414">
            <v>38210</v>
          </cell>
          <cell r="B414">
            <v>4532.26</v>
          </cell>
        </row>
        <row r="415">
          <cell r="A415">
            <v>38211</v>
          </cell>
          <cell r="B415">
            <v>4530.0600000000004</v>
          </cell>
        </row>
        <row r="416">
          <cell r="A416">
            <v>38212</v>
          </cell>
          <cell r="B416">
            <v>4529.5200000000004</v>
          </cell>
        </row>
        <row r="417">
          <cell r="A417">
            <v>38215</v>
          </cell>
          <cell r="B417">
            <v>4535.68</v>
          </cell>
        </row>
        <row r="418">
          <cell r="A418">
            <v>38216</v>
          </cell>
          <cell r="B418">
            <v>4547.63</v>
          </cell>
        </row>
        <row r="419">
          <cell r="A419">
            <v>38217</v>
          </cell>
          <cell r="B419">
            <v>4550.34</v>
          </cell>
        </row>
        <row r="420">
          <cell r="A420">
            <v>38218</v>
          </cell>
          <cell r="B420">
            <v>4554.83</v>
          </cell>
        </row>
        <row r="421">
          <cell r="A421">
            <v>38222</v>
          </cell>
          <cell r="B421">
            <v>4557.47</v>
          </cell>
        </row>
        <row r="422">
          <cell r="A422">
            <v>38223</v>
          </cell>
          <cell r="B422">
            <v>4570.82</v>
          </cell>
        </row>
        <row r="423">
          <cell r="A423">
            <v>38224</v>
          </cell>
          <cell r="B423">
            <v>4571.3500000000004</v>
          </cell>
        </row>
        <row r="424">
          <cell r="A424">
            <v>38225</v>
          </cell>
          <cell r="B424">
            <v>4565.8599999999997</v>
          </cell>
        </row>
        <row r="425">
          <cell r="A425">
            <v>38226</v>
          </cell>
          <cell r="B425">
            <v>4580.8500000000004</v>
          </cell>
        </row>
        <row r="426">
          <cell r="A426">
            <v>38229</v>
          </cell>
          <cell r="B426">
            <v>4582.04</v>
          </cell>
        </row>
        <row r="427">
          <cell r="A427">
            <v>38230</v>
          </cell>
          <cell r="B427">
            <v>4580.4399999999996</v>
          </cell>
        </row>
        <row r="428">
          <cell r="A428">
            <v>38231</v>
          </cell>
          <cell r="B428">
            <v>4595.87</v>
          </cell>
        </row>
        <row r="429">
          <cell r="A429">
            <v>38232</v>
          </cell>
          <cell r="B429">
            <v>4593.43</v>
          </cell>
        </row>
        <row r="430">
          <cell r="A430">
            <v>38233</v>
          </cell>
          <cell r="B430">
            <v>4594.8900000000003</v>
          </cell>
        </row>
        <row r="431">
          <cell r="A431">
            <v>38236</v>
          </cell>
          <cell r="B431">
            <v>4590.58</v>
          </cell>
        </row>
        <row r="432">
          <cell r="A432">
            <v>38237</v>
          </cell>
          <cell r="B432">
            <v>4610.51</v>
          </cell>
        </row>
        <row r="433">
          <cell r="A433">
            <v>38238</v>
          </cell>
          <cell r="B433">
            <v>4638.09</v>
          </cell>
        </row>
        <row r="434">
          <cell r="A434">
            <v>38239</v>
          </cell>
          <cell r="B434">
            <v>4640.1499999999996</v>
          </cell>
        </row>
        <row r="435">
          <cell r="A435">
            <v>38240</v>
          </cell>
          <cell r="B435">
            <v>4649.41</v>
          </cell>
        </row>
        <row r="436">
          <cell r="A436">
            <v>38243</v>
          </cell>
          <cell r="B436">
            <v>4642.25</v>
          </cell>
        </row>
        <row r="437">
          <cell r="A437">
            <v>38244</v>
          </cell>
          <cell r="B437">
            <v>4638.96</v>
          </cell>
        </row>
        <row r="438">
          <cell r="A438">
            <v>38245</v>
          </cell>
          <cell r="B438">
            <v>4624.82</v>
          </cell>
        </row>
        <row r="439">
          <cell r="A439">
            <v>38246</v>
          </cell>
          <cell r="B439">
            <v>4616.59</v>
          </cell>
        </row>
        <row r="440">
          <cell r="A440">
            <v>38247</v>
          </cell>
          <cell r="B440">
            <v>4622.5200000000004</v>
          </cell>
        </row>
        <row r="441">
          <cell r="A441">
            <v>38250</v>
          </cell>
          <cell r="B441">
            <v>4625.82</v>
          </cell>
        </row>
        <row r="442">
          <cell r="A442">
            <v>38251</v>
          </cell>
          <cell r="B442">
            <v>4608.8</v>
          </cell>
        </row>
        <row r="443">
          <cell r="A443">
            <v>38252</v>
          </cell>
          <cell r="B443">
            <v>4594.05</v>
          </cell>
        </row>
        <row r="444">
          <cell r="A444">
            <v>38253</v>
          </cell>
          <cell r="B444">
            <v>4557.2299999999996</v>
          </cell>
        </row>
        <row r="445">
          <cell r="A445">
            <v>38254</v>
          </cell>
          <cell r="B445">
            <v>4495.74</v>
          </cell>
        </row>
        <row r="446">
          <cell r="A446">
            <v>38257</v>
          </cell>
          <cell r="B446">
            <v>4484.7700000000004</v>
          </cell>
        </row>
        <row r="447">
          <cell r="A447">
            <v>38258</v>
          </cell>
          <cell r="B447">
            <v>4457.66</v>
          </cell>
        </row>
        <row r="448">
          <cell r="A448">
            <v>38259</v>
          </cell>
          <cell r="B448">
            <v>4512.4399999999996</v>
          </cell>
        </row>
        <row r="449">
          <cell r="A449">
            <v>38260</v>
          </cell>
          <cell r="B449">
            <v>4510.17</v>
          </cell>
        </row>
        <row r="450">
          <cell r="A450">
            <v>38261</v>
          </cell>
          <cell r="B450">
            <v>4490.8100000000004</v>
          </cell>
        </row>
        <row r="451">
          <cell r="A451">
            <v>38264</v>
          </cell>
          <cell r="B451">
            <v>4452.22</v>
          </cell>
        </row>
        <row r="452">
          <cell r="A452">
            <v>38265</v>
          </cell>
          <cell r="B452">
            <v>4449.49</v>
          </cell>
        </row>
        <row r="453">
          <cell r="A453">
            <v>38266</v>
          </cell>
          <cell r="B453">
            <v>4445.66</v>
          </cell>
        </row>
        <row r="454">
          <cell r="A454">
            <v>38267</v>
          </cell>
          <cell r="B454">
            <v>4450.76</v>
          </cell>
        </row>
        <row r="455">
          <cell r="A455">
            <v>38268</v>
          </cell>
          <cell r="B455">
            <v>4443</v>
          </cell>
        </row>
        <row r="456">
          <cell r="A456">
            <v>38271</v>
          </cell>
          <cell r="B456">
            <v>4451.57</v>
          </cell>
        </row>
        <row r="457">
          <cell r="A457">
            <v>38272</v>
          </cell>
          <cell r="B457">
            <v>4434.09</v>
          </cell>
        </row>
        <row r="458">
          <cell r="A458">
            <v>38273</v>
          </cell>
          <cell r="B458">
            <v>4386.2299999999996</v>
          </cell>
        </row>
        <row r="459">
          <cell r="A459">
            <v>38274</v>
          </cell>
          <cell r="B459">
            <v>4264.12</v>
          </cell>
        </row>
        <row r="460">
          <cell r="A460">
            <v>38275</v>
          </cell>
          <cell r="B460">
            <v>4191.66</v>
          </cell>
        </row>
        <row r="461">
          <cell r="A461">
            <v>38278</v>
          </cell>
          <cell r="B461">
            <v>4202.66</v>
          </cell>
        </row>
        <row r="462">
          <cell r="A462">
            <v>38279</v>
          </cell>
          <cell r="B462">
            <v>4203.0200000000004</v>
          </cell>
        </row>
        <row r="463">
          <cell r="A463">
            <v>38280</v>
          </cell>
          <cell r="B463">
            <v>4179.6499999999996</v>
          </cell>
        </row>
        <row r="464">
          <cell r="A464">
            <v>38281</v>
          </cell>
          <cell r="B464">
            <v>4143.75</v>
          </cell>
        </row>
        <row r="465">
          <cell r="A465">
            <v>38282</v>
          </cell>
          <cell r="B465">
            <v>4050.32</v>
          </cell>
        </row>
        <row r="466">
          <cell r="A466">
            <v>38285</v>
          </cell>
          <cell r="B466">
            <v>4017.12</v>
          </cell>
        </row>
        <row r="467">
          <cell r="A467">
            <v>38286</v>
          </cell>
          <cell r="B467">
            <v>3980</v>
          </cell>
        </row>
        <row r="468">
          <cell r="A468">
            <v>38287</v>
          </cell>
          <cell r="B468">
            <v>3940.53</v>
          </cell>
        </row>
        <row r="469">
          <cell r="A469">
            <v>38288</v>
          </cell>
          <cell r="B469">
            <v>3855.09</v>
          </cell>
        </row>
        <row r="470">
          <cell r="A470">
            <v>38289</v>
          </cell>
          <cell r="B470">
            <v>3806.15</v>
          </cell>
        </row>
        <row r="471">
          <cell r="A471">
            <v>38292</v>
          </cell>
          <cell r="B471">
            <v>3934.31</v>
          </cell>
        </row>
        <row r="472">
          <cell r="A472">
            <v>38293</v>
          </cell>
          <cell r="B472">
            <v>4018.15</v>
          </cell>
        </row>
        <row r="473">
          <cell r="A473">
            <v>38294</v>
          </cell>
          <cell r="B473">
            <v>3992.43</v>
          </cell>
        </row>
        <row r="474">
          <cell r="A474">
            <v>38295</v>
          </cell>
          <cell r="B474">
            <v>3979.73</v>
          </cell>
        </row>
        <row r="475">
          <cell r="A475">
            <v>38296</v>
          </cell>
          <cell r="B475">
            <v>3985.97</v>
          </cell>
        </row>
        <row r="476">
          <cell r="A476">
            <v>38299</v>
          </cell>
          <cell r="B476">
            <v>4004.93</v>
          </cell>
        </row>
        <row r="477">
          <cell r="A477">
            <v>38300</v>
          </cell>
          <cell r="B477">
            <v>4023.84</v>
          </cell>
        </row>
        <row r="478">
          <cell r="A478">
            <v>38301</v>
          </cell>
          <cell r="B478">
            <v>4012.02</v>
          </cell>
        </row>
        <row r="479">
          <cell r="A479">
            <v>38302</v>
          </cell>
          <cell r="B479">
            <v>4013.22</v>
          </cell>
        </row>
        <row r="480">
          <cell r="A480">
            <v>38303</v>
          </cell>
          <cell r="B480">
            <v>4018.09</v>
          </cell>
        </row>
        <row r="481">
          <cell r="A481">
            <v>38307</v>
          </cell>
          <cell r="B481">
            <v>4008.2</v>
          </cell>
        </row>
        <row r="482">
          <cell r="A482">
            <v>38308</v>
          </cell>
          <cell r="B482">
            <v>3998.84</v>
          </cell>
        </row>
        <row r="483">
          <cell r="A483">
            <v>38310</v>
          </cell>
          <cell r="B483">
            <v>4001.23</v>
          </cell>
        </row>
        <row r="484">
          <cell r="A484">
            <v>38313</v>
          </cell>
          <cell r="B484">
            <v>3902.96</v>
          </cell>
        </row>
        <row r="485">
          <cell r="A485">
            <v>38314</v>
          </cell>
          <cell r="B485">
            <v>3881.75</v>
          </cell>
        </row>
        <row r="486">
          <cell r="A486">
            <v>38315</v>
          </cell>
          <cell r="B486">
            <v>3910.64</v>
          </cell>
        </row>
        <row r="487">
          <cell r="A487">
            <v>38316</v>
          </cell>
          <cell r="B487">
            <v>3927.7</v>
          </cell>
        </row>
        <row r="488">
          <cell r="A488">
            <v>38317</v>
          </cell>
          <cell r="B488">
            <v>3929.9</v>
          </cell>
        </row>
        <row r="489">
          <cell r="A489">
            <v>38320</v>
          </cell>
          <cell r="B489">
            <v>3929.36</v>
          </cell>
        </row>
        <row r="490">
          <cell r="A490">
            <v>38321</v>
          </cell>
          <cell r="B490">
            <v>3933.81</v>
          </cell>
        </row>
        <row r="491">
          <cell r="A491">
            <v>38322</v>
          </cell>
          <cell r="B491">
            <v>3966.3</v>
          </cell>
        </row>
        <row r="492">
          <cell r="A492">
            <v>38323</v>
          </cell>
          <cell r="B492">
            <v>3997.69</v>
          </cell>
        </row>
        <row r="493">
          <cell r="A493">
            <v>38324</v>
          </cell>
          <cell r="B493">
            <v>4027.28</v>
          </cell>
        </row>
        <row r="494">
          <cell r="A494">
            <v>38327</v>
          </cell>
          <cell r="B494">
            <v>4024.05</v>
          </cell>
        </row>
        <row r="495">
          <cell r="A495">
            <v>38328</v>
          </cell>
          <cell r="B495">
            <v>4056.09</v>
          </cell>
        </row>
        <row r="496">
          <cell r="A496">
            <v>38329</v>
          </cell>
          <cell r="B496">
            <v>4101.4799999999996</v>
          </cell>
        </row>
        <row r="497">
          <cell r="A497">
            <v>38330</v>
          </cell>
          <cell r="B497">
            <v>4130.8500000000004</v>
          </cell>
        </row>
        <row r="498">
          <cell r="A498">
            <v>38331</v>
          </cell>
          <cell r="B498">
            <v>4212.87</v>
          </cell>
          <cell r="C498">
            <v>3295.5</v>
          </cell>
        </row>
        <row r="499">
          <cell r="A499">
            <v>38334</v>
          </cell>
          <cell r="B499">
            <v>4345.46</v>
          </cell>
          <cell r="C499">
            <v>3398.44</v>
          </cell>
        </row>
        <row r="500">
          <cell r="A500">
            <v>38335</v>
          </cell>
          <cell r="B500">
            <v>4392.8100000000004</v>
          </cell>
          <cell r="C500">
            <v>3433</v>
          </cell>
        </row>
        <row r="501">
          <cell r="A501">
            <v>38336</v>
          </cell>
          <cell r="B501">
            <v>4378.8599999999997</v>
          </cell>
          <cell r="C501">
            <v>3417.75</v>
          </cell>
        </row>
        <row r="502">
          <cell r="A502">
            <v>38337</v>
          </cell>
          <cell r="B502">
            <v>4375.3900000000003</v>
          </cell>
          <cell r="C502">
            <v>3420.72</v>
          </cell>
        </row>
        <row r="503">
          <cell r="A503">
            <v>38338</v>
          </cell>
          <cell r="B503">
            <v>4413.08</v>
          </cell>
          <cell r="C503">
            <v>3442.48</v>
          </cell>
        </row>
        <row r="504">
          <cell r="A504">
            <v>38341</v>
          </cell>
          <cell r="B504">
            <v>4422.6899999999996</v>
          </cell>
          <cell r="C504">
            <v>3445.02</v>
          </cell>
        </row>
        <row r="505">
          <cell r="A505">
            <v>38342</v>
          </cell>
          <cell r="B505">
            <v>4426</v>
          </cell>
          <cell r="C505">
            <v>3449.75</v>
          </cell>
        </row>
        <row r="506">
          <cell r="A506">
            <v>38343</v>
          </cell>
          <cell r="B506">
            <v>4463.29</v>
          </cell>
          <cell r="C506">
            <v>3477.44</v>
          </cell>
        </row>
        <row r="507">
          <cell r="A507">
            <v>38344</v>
          </cell>
          <cell r="B507">
            <v>4449.6499999999996</v>
          </cell>
          <cell r="C507">
            <v>3465.6</v>
          </cell>
        </row>
        <row r="508">
          <cell r="A508">
            <v>38345</v>
          </cell>
          <cell r="B508">
            <v>4448.43</v>
          </cell>
          <cell r="C508">
            <v>3470.98</v>
          </cell>
        </row>
        <row r="509">
          <cell r="A509">
            <v>38348</v>
          </cell>
          <cell r="B509">
            <v>4461.3100000000004</v>
          </cell>
          <cell r="C509">
            <v>3477.71</v>
          </cell>
        </row>
        <row r="510">
          <cell r="A510">
            <v>38349</v>
          </cell>
          <cell r="B510">
            <v>4471.6099999999997</v>
          </cell>
          <cell r="C510">
            <v>3494.06</v>
          </cell>
        </row>
        <row r="511">
          <cell r="A511">
            <v>38350</v>
          </cell>
          <cell r="B511">
            <v>4480.05</v>
          </cell>
          <cell r="C511">
            <v>3489.54</v>
          </cell>
        </row>
        <row r="512">
          <cell r="A512">
            <v>38351</v>
          </cell>
          <cell r="B512">
            <v>4485.46</v>
          </cell>
          <cell r="C512">
            <v>3488.15</v>
          </cell>
        </row>
        <row r="513">
          <cell r="A513">
            <v>38352</v>
          </cell>
          <cell r="B513">
            <v>4521.9799999999996</v>
          </cell>
          <cell r="C513">
            <v>3522.38</v>
          </cell>
        </row>
        <row r="514">
          <cell r="A514">
            <v>38355</v>
          </cell>
          <cell r="B514">
            <v>4522.22</v>
          </cell>
          <cell r="C514">
            <v>3521.78</v>
          </cell>
        </row>
        <row r="515">
          <cell r="A515">
            <v>38356</v>
          </cell>
          <cell r="B515">
            <v>4493.99</v>
          </cell>
          <cell r="C515">
            <v>3497.11</v>
          </cell>
        </row>
        <row r="516">
          <cell r="A516">
            <v>38357</v>
          </cell>
          <cell r="B516">
            <v>4496.22</v>
          </cell>
          <cell r="C516">
            <v>3499.74</v>
          </cell>
        </row>
        <row r="517">
          <cell r="A517">
            <v>38358</v>
          </cell>
          <cell r="B517">
            <v>4489.4799999999996</v>
          </cell>
          <cell r="C517">
            <v>3494.7</v>
          </cell>
        </row>
        <row r="518">
          <cell r="A518">
            <v>38359</v>
          </cell>
          <cell r="B518">
            <v>4476.5</v>
          </cell>
          <cell r="C518">
            <v>3487.42</v>
          </cell>
        </row>
        <row r="519">
          <cell r="A519">
            <v>38362</v>
          </cell>
          <cell r="B519">
            <v>4488.72</v>
          </cell>
          <cell r="C519">
            <v>3493.11</v>
          </cell>
        </row>
        <row r="520">
          <cell r="A520">
            <v>38363</v>
          </cell>
          <cell r="B520">
            <v>4488.72</v>
          </cell>
          <cell r="C520">
            <v>3493.11</v>
          </cell>
        </row>
        <row r="521">
          <cell r="A521">
            <v>38364</v>
          </cell>
          <cell r="B521">
            <v>4487.6499999999996</v>
          </cell>
          <cell r="C521">
            <v>3486.45</v>
          </cell>
        </row>
        <row r="522">
          <cell r="A522">
            <v>38365</v>
          </cell>
          <cell r="B522">
            <v>4497.12</v>
          </cell>
          <cell r="C522">
            <v>3492.56</v>
          </cell>
        </row>
        <row r="523">
          <cell r="A523">
            <v>38366</v>
          </cell>
          <cell r="B523">
            <v>4502.26</v>
          </cell>
          <cell r="C523">
            <v>3499.3</v>
          </cell>
        </row>
        <row r="524">
          <cell r="A524">
            <v>38369</v>
          </cell>
          <cell r="B524">
            <v>4506.68</v>
          </cell>
          <cell r="C524">
            <v>3503.92</v>
          </cell>
        </row>
        <row r="525">
          <cell r="A525">
            <v>38370</v>
          </cell>
          <cell r="B525">
            <v>4527.1400000000003</v>
          </cell>
          <cell r="C525">
            <v>3523.2</v>
          </cell>
        </row>
        <row r="526">
          <cell r="A526">
            <v>38371</v>
          </cell>
          <cell r="B526">
            <v>4540.6899999999996</v>
          </cell>
          <cell r="C526">
            <v>3534.45</v>
          </cell>
        </row>
        <row r="527">
          <cell r="A527">
            <v>38372</v>
          </cell>
          <cell r="B527">
            <v>4543.6400000000003</v>
          </cell>
          <cell r="C527">
            <v>3540.7</v>
          </cell>
        </row>
        <row r="528">
          <cell r="A528">
            <v>38373</v>
          </cell>
          <cell r="B528">
            <v>4543.6400000000003</v>
          </cell>
          <cell r="C528">
            <v>3540.7</v>
          </cell>
        </row>
        <row r="529">
          <cell r="A529">
            <v>38376</v>
          </cell>
          <cell r="B529">
            <v>4537.47</v>
          </cell>
          <cell r="C529">
            <v>3535.43</v>
          </cell>
        </row>
        <row r="530">
          <cell r="A530">
            <v>38377</v>
          </cell>
          <cell r="B530">
            <v>4531.5200000000004</v>
          </cell>
          <cell r="C530">
            <v>3527.56</v>
          </cell>
        </row>
        <row r="531">
          <cell r="A531">
            <v>38378</v>
          </cell>
          <cell r="B531">
            <v>4524.68</v>
          </cell>
          <cell r="C531">
            <v>3518.99</v>
          </cell>
        </row>
        <row r="532">
          <cell r="A532">
            <v>38379</v>
          </cell>
          <cell r="B532">
            <v>4541.83</v>
          </cell>
          <cell r="C532">
            <v>3536.77</v>
          </cell>
        </row>
        <row r="533">
          <cell r="A533">
            <v>38380</v>
          </cell>
          <cell r="B533">
            <v>4559.57</v>
          </cell>
          <cell r="C533">
            <v>3547.59</v>
          </cell>
        </row>
        <row r="534">
          <cell r="A534">
            <v>38383</v>
          </cell>
          <cell r="B534">
            <v>4562.2700000000004</v>
          </cell>
          <cell r="C534">
            <v>3548.69</v>
          </cell>
        </row>
        <row r="535">
          <cell r="A535">
            <v>38384</v>
          </cell>
          <cell r="B535">
            <v>4565.95</v>
          </cell>
          <cell r="C535">
            <v>3551.25</v>
          </cell>
        </row>
        <row r="536">
          <cell r="A536">
            <v>38385</v>
          </cell>
          <cell r="B536">
            <v>4583.46</v>
          </cell>
          <cell r="C536">
            <v>3562.97</v>
          </cell>
        </row>
        <row r="537">
          <cell r="A537">
            <v>38386</v>
          </cell>
          <cell r="B537">
            <v>4599.63</v>
          </cell>
          <cell r="C537">
            <v>3577.01</v>
          </cell>
        </row>
        <row r="538">
          <cell r="A538">
            <v>38387</v>
          </cell>
          <cell r="B538">
            <v>4579.2299999999996</v>
          </cell>
          <cell r="C538">
            <v>3558.1</v>
          </cell>
        </row>
        <row r="539">
          <cell r="A539">
            <v>38390</v>
          </cell>
          <cell r="B539">
            <v>4590.6899999999996</v>
          </cell>
          <cell r="C539">
            <v>3566.86</v>
          </cell>
        </row>
        <row r="540">
          <cell r="A540">
            <v>38391</v>
          </cell>
          <cell r="B540">
            <v>4564.91</v>
          </cell>
          <cell r="C540">
            <v>3540.64</v>
          </cell>
        </row>
        <row r="541">
          <cell r="A541">
            <v>38392</v>
          </cell>
          <cell r="B541">
            <v>4565.07</v>
          </cell>
          <cell r="C541">
            <v>3541.52</v>
          </cell>
        </row>
        <row r="542">
          <cell r="A542">
            <v>38393</v>
          </cell>
          <cell r="B542">
            <v>4565.07</v>
          </cell>
          <cell r="C542">
            <v>3541.52</v>
          </cell>
        </row>
        <row r="543">
          <cell r="A543">
            <v>38394</v>
          </cell>
          <cell r="B543">
            <v>4573.92</v>
          </cell>
          <cell r="C543">
            <v>3548.59</v>
          </cell>
        </row>
        <row r="544">
          <cell r="A544">
            <v>38397</v>
          </cell>
          <cell r="B544">
            <v>4576.5600000000004</v>
          </cell>
          <cell r="C544">
            <v>3554.09</v>
          </cell>
        </row>
        <row r="545">
          <cell r="A545">
            <v>38398</v>
          </cell>
          <cell r="B545">
            <v>4576.55</v>
          </cell>
          <cell r="C545">
            <v>3552.91</v>
          </cell>
        </row>
        <row r="546">
          <cell r="A546">
            <v>38399</v>
          </cell>
          <cell r="B546">
            <v>4576.22</v>
          </cell>
          <cell r="C546">
            <v>3552.25</v>
          </cell>
        </row>
        <row r="547">
          <cell r="A547">
            <v>38400</v>
          </cell>
          <cell r="B547">
            <v>4573.63</v>
          </cell>
          <cell r="C547">
            <v>3548.81</v>
          </cell>
        </row>
        <row r="548">
          <cell r="A548">
            <v>38401</v>
          </cell>
          <cell r="B548">
            <v>4548.28</v>
          </cell>
          <cell r="C548">
            <v>3527.52</v>
          </cell>
        </row>
        <row r="549">
          <cell r="A549">
            <v>38404</v>
          </cell>
          <cell r="B549">
            <v>4563.8100000000004</v>
          </cell>
          <cell r="C549">
            <v>3539.29</v>
          </cell>
        </row>
        <row r="550">
          <cell r="A550">
            <v>38405</v>
          </cell>
          <cell r="B550">
            <v>4549.68</v>
          </cell>
          <cell r="C550">
            <v>3524.16</v>
          </cell>
        </row>
        <row r="551">
          <cell r="A551">
            <v>38406</v>
          </cell>
          <cell r="B551">
            <v>4483.4399999999996</v>
          </cell>
          <cell r="C551">
            <v>3467.88</v>
          </cell>
        </row>
        <row r="552">
          <cell r="A552">
            <v>38407</v>
          </cell>
          <cell r="B552">
            <v>4375.3999999999996</v>
          </cell>
          <cell r="C552">
            <v>3377.67</v>
          </cell>
        </row>
        <row r="553">
          <cell r="A553">
            <v>38408</v>
          </cell>
          <cell r="B553">
            <v>4461.03</v>
          </cell>
          <cell r="C553">
            <v>3450.16</v>
          </cell>
        </row>
        <row r="554">
          <cell r="A554">
            <v>38411</v>
          </cell>
          <cell r="B554">
            <v>4446.24</v>
          </cell>
          <cell r="C554">
            <v>3436.65</v>
          </cell>
        </row>
        <row r="555">
          <cell r="A555">
            <v>38412</v>
          </cell>
          <cell r="B555">
            <v>4456.8900000000003</v>
          </cell>
          <cell r="C555">
            <v>3447.98</v>
          </cell>
        </row>
        <row r="556">
          <cell r="A556">
            <v>38413</v>
          </cell>
          <cell r="B556">
            <v>4424.1099999999997</v>
          </cell>
          <cell r="C556">
            <v>3417.91</v>
          </cell>
        </row>
        <row r="557">
          <cell r="A557">
            <v>38414</v>
          </cell>
          <cell r="B557">
            <v>4444.76</v>
          </cell>
          <cell r="C557">
            <v>3436.45</v>
          </cell>
        </row>
        <row r="558">
          <cell r="A558">
            <v>38415</v>
          </cell>
          <cell r="B558">
            <v>4449.0600000000004</v>
          </cell>
          <cell r="C558">
            <v>3439.22</v>
          </cell>
        </row>
        <row r="559">
          <cell r="A559">
            <v>38418</v>
          </cell>
          <cell r="B559">
            <v>4429.45</v>
          </cell>
          <cell r="C559">
            <v>3424</v>
          </cell>
        </row>
        <row r="560">
          <cell r="A560">
            <v>38419</v>
          </cell>
          <cell r="B560">
            <v>4418.28</v>
          </cell>
          <cell r="C560">
            <v>3413.36</v>
          </cell>
        </row>
        <row r="561">
          <cell r="A561">
            <v>38420</v>
          </cell>
          <cell r="B561">
            <v>4398.46</v>
          </cell>
          <cell r="C561">
            <v>3397.99</v>
          </cell>
        </row>
        <row r="562">
          <cell r="A562">
            <v>38421</v>
          </cell>
          <cell r="B562">
            <v>4416</v>
          </cell>
          <cell r="C562">
            <v>3411.97</v>
          </cell>
        </row>
        <row r="563">
          <cell r="A563">
            <v>38422</v>
          </cell>
          <cell r="B563">
            <v>4449.53</v>
          </cell>
          <cell r="C563">
            <v>3439.69</v>
          </cell>
        </row>
        <row r="564">
          <cell r="A564">
            <v>38425</v>
          </cell>
          <cell r="B564">
            <v>4453.87</v>
          </cell>
          <cell r="C564">
            <v>3446.72</v>
          </cell>
        </row>
        <row r="565">
          <cell r="A565">
            <v>38426</v>
          </cell>
          <cell r="B565">
            <v>4470.21</v>
          </cell>
          <cell r="C565">
            <v>3461.08</v>
          </cell>
        </row>
        <row r="566">
          <cell r="A566">
            <v>38427</v>
          </cell>
          <cell r="B566">
            <v>4451.84</v>
          </cell>
          <cell r="C566">
            <v>3444.39</v>
          </cell>
        </row>
        <row r="567">
          <cell r="A567">
            <v>38428</v>
          </cell>
          <cell r="B567">
            <v>4442.7299999999996</v>
          </cell>
          <cell r="C567">
            <v>3435.44</v>
          </cell>
        </row>
        <row r="568">
          <cell r="A568">
            <v>38429</v>
          </cell>
          <cell r="B568">
            <v>4447.13</v>
          </cell>
          <cell r="C568">
            <v>3437.69</v>
          </cell>
        </row>
        <row r="569">
          <cell r="A569">
            <v>38432</v>
          </cell>
          <cell r="B569">
            <v>4462.8599999999997</v>
          </cell>
          <cell r="C569">
            <v>3451.27</v>
          </cell>
        </row>
        <row r="570">
          <cell r="A570">
            <v>38433</v>
          </cell>
          <cell r="B570">
            <v>4474.47</v>
          </cell>
          <cell r="C570">
            <v>3461.85</v>
          </cell>
        </row>
        <row r="571">
          <cell r="A571">
            <v>38434</v>
          </cell>
          <cell r="B571">
            <v>4470.45</v>
          </cell>
          <cell r="C571">
            <v>3455.59</v>
          </cell>
        </row>
        <row r="572">
          <cell r="A572">
            <v>38435</v>
          </cell>
          <cell r="B572">
            <v>4471.34</v>
          </cell>
          <cell r="C572">
            <v>3455.88</v>
          </cell>
        </row>
        <row r="573">
          <cell r="A573">
            <v>38436</v>
          </cell>
          <cell r="B573">
            <v>4469.3500000000004</v>
          </cell>
          <cell r="C573">
            <v>3455.58</v>
          </cell>
        </row>
        <row r="574">
          <cell r="A574">
            <v>38439</v>
          </cell>
          <cell r="B574">
            <v>4459.82</v>
          </cell>
          <cell r="C574">
            <v>3445.09</v>
          </cell>
        </row>
        <row r="575">
          <cell r="A575">
            <v>38440</v>
          </cell>
          <cell r="B575">
            <v>4446.8100000000004</v>
          </cell>
          <cell r="C575">
            <v>3433.78</v>
          </cell>
        </row>
        <row r="576">
          <cell r="A576">
            <v>38441</v>
          </cell>
          <cell r="B576">
            <v>4414.0600000000004</v>
          </cell>
          <cell r="C576">
            <v>3409.27</v>
          </cell>
        </row>
        <row r="577">
          <cell r="A577">
            <v>38442</v>
          </cell>
          <cell r="B577">
            <v>4385.6899999999996</v>
          </cell>
          <cell r="C577">
            <v>3386.22</v>
          </cell>
        </row>
        <row r="578">
          <cell r="A578">
            <v>38443</v>
          </cell>
          <cell r="B578">
            <v>4355.12</v>
          </cell>
          <cell r="C578">
            <v>3359.47</v>
          </cell>
        </row>
        <row r="579">
          <cell r="A579">
            <v>38446</v>
          </cell>
          <cell r="B579">
            <v>4352.67</v>
          </cell>
          <cell r="C579">
            <v>3359.59</v>
          </cell>
        </row>
        <row r="580">
          <cell r="A580">
            <v>38447</v>
          </cell>
          <cell r="B580">
            <v>4357.55</v>
          </cell>
          <cell r="C580">
            <v>3363.62</v>
          </cell>
        </row>
        <row r="581">
          <cell r="A581">
            <v>38448</v>
          </cell>
          <cell r="B581">
            <v>4364.91</v>
          </cell>
          <cell r="C581">
            <v>3370.23</v>
          </cell>
        </row>
        <row r="582">
          <cell r="A582">
            <v>38449</v>
          </cell>
          <cell r="B582">
            <v>4372.47</v>
          </cell>
          <cell r="C582">
            <v>3376.39</v>
          </cell>
        </row>
        <row r="583">
          <cell r="A583">
            <v>38450</v>
          </cell>
          <cell r="B583">
            <v>4378.3999999999996</v>
          </cell>
          <cell r="C583">
            <v>3381.23</v>
          </cell>
        </row>
        <row r="584">
          <cell r="A584">
            <v>38453</v>
          </cell>
          <cell r="B584">
            <v>4375.95</v>
          </cell>
          <cell r="C584">
            <v>3379.8</v>
          </cell>
        </row>
        <row r="585">
          <cell r="A585">
            <v>38454</v>
          </cell>
          <cell r="B585">
            <v>4389.24</v>
          </cell>
          <cell r="C585">
            <v>3386.79</v>
          </cell>
        </row>
        <row r="586">
          <cell r="A586">
            <v>38455</v>
          </cell>
          <cell r="B586">
            <v>4393.7299999999996</v>
          </cell>
          <cell r="C586">
            <v>3389.09</v>
          </cell>
        </row>
        <row r="587">
          <cell r="A587">
            <v>38456</v>
          </cell>
          <cell r="B587">
            <v>4408.6400000000003</v>
          </cell>
          <cell r="C587">
            <v>3403.09</v>
          </cell>
        </row>
        <row r="588">
          <cell r="A588">
            <v>38457</v>
          </cell>
          <cell r="B588">
            <v>4410.63</v>
          </cell>
          <cell r="C588">
            <v>3402.88</v>
          </cell>
        </row>
        <row r="589">
          <cell r="A589">
            <v>38460</v>
          </cell>
          <cell r="B589">
            <v>4410</v>
          </cell>
          <cell r="C589">
            <v>3401.91</v>
          </cell>
        </row>
        <row r="590">
          <cell r="A590">
            <v>38461</v>
          </cell>
          <cell r="B590">
            <v>4420.3900000000003</v>
          </cell>
          <cell r="C590">
            <v>3411.48</v>
          </cell>
        </row>
        <row r="591">
          <cell r="A591">
            <v>38462</v>
          </cell>
          <cell r="B591">
            <v>4439.33</v>
          </cell>
          <cell r="C591">
            <v>3423.69</v>
          </cell>
        </row>
        <row r="592">
          <cell r="A592">
            <v>38463</v>
          </cell>
          <cell r="B592">
            <v>4440.33</v>
          </cell>
          <cell r="C592">
            <v>3423.69</v>
          </cell>
        </row>
        <row r="593">
          <cell r="A593">
            <v>38464</v>
          </cell>
          <cell r="B593">
            <v>4439.33</v>
          </cell>
          <cell r="C593">
            <v>3423.69</v>
          </cell>
        </row>
        <row r="594">
          <cell r="A594">
            <v>38467</v>
          </cell>
          <cell r="B594">
            <v>4437.46</v>
          </cell>
          <cell r="C594">
            <v>3423.04</v>
          </cell>
        </row>
        <row r="595">
          <cell r="A595">
            <v>38468</v>
          </cell>
          <cell r="B595">
            <v>4435.6000000000004</v>
          </cell>
          <cell r="C595">
            <v>3422.06</v>
          </cell>
        </row>
        <row r="596">
          <cell r="A596">
            <v>38469</v>
          </cell>
          <cell r="B596">
            <v>4438.7</v>
          </cell>
          <cell r="C596">
            <v>3424.9</v>
          </cell>
        </row>
        <row r="597">
          <cell r="A597">
            <v>38470</v>
          </cell>
          <cell r="B597">
            <v>4457.38</v>
          </cell>
          <cell r="C597">
            <v>3435.76</v>
          </cell>
        </row>
        <row r="598">
          <cell r="A598">
            <v>38471</v>
          </cell>
          <cell r="B598">
            <v>4474.7</v>
          </cell>
          <cell r="C598">
            <v>3451.65</v>
          </cell>
        </row>
        <row r="599">
          <cell r="A599">
            <v>38474</v>
          </cell>
          <cell r="B599">
            <v>4496.21</v>
          </cell>
          <cell r="C599">
            <v>3469.57</v>
          </cell>
        </row>
        <row r="600">
          <cell r="A600">
            <v>38475</v>
          </cell>
          <cell r="B600">
            <v>4477.42</v>
          </cell>
          <cell r="C600">
            <v>3453.66</v>
          </cell>
        </row>
        <row r="601">
          <cell r="A601">
            <v>38476</v>
          </cell>
          <cell r="B601">
            <v>4462.43</v>
          </cell>
          <cell r="C601">
            <v>3444.1</v>
          </cell>
        </row>
        <row r="602">
          <cell r="A602">
            <v>38477</v>
          </cell>
          <cell r="B602">
            <v>4504.6899999999996</v>
          </cell>
          <cell r="C602">
            <v>3477.23</v>
          </cell>
        </row>
        <row r="603">
          <cell r="A603">
            <v>38478</v>
          </cell>
          <cell r="B603">
            <v>4523.1400000000003</v>
          </cell>
          <cell r="C603">
            <v>3491.25</v>
          </cell>
        </row>
        <row r="604">
          <cell r="A604">
            <v>38481</v>
          </cell>
          <cell r="B604">
            <v>4518.57</v>
          </cell>
          <cell r="C604">
            <v>3486.44</v>
          </cell>
        </row>
        <row r="605">
          <cell r="A605">
            <v>38482</v>
          </cell>
          <cell r="B605">
            <v>4535.41</v>
          </cell>
          <cell r="C605">
            <v>3499.33</v>
          </cell>
        </row>
        <row r="606">
          <cell r="A606">
            <v>38483</v>
          </cell>
          <cell r="B606">
            <v>4525.66</v>
          </cell>
          <cell r="C606">
            <v>3492.54</v>
          </cell>
        </row>
        <row r="607">
          <cell r="A607">
            <v>38484</v>
          </cell>
          <cell r="B607">
            <v>4514.4799999999996</v>
          </cell>
          <cell r="C607">
            <v>3481.18</v>
          </cell>
        </row>
        <row r="608">
          <cell r="A608">
            <v>38485</v>
          </cell>
          <cell r="B608">
            <v>4499.0200000000004</v>
          </cell>
          <cell r="C608">
            <v>3469.35</v>
          </cell>
        </row>
        <row r="609">
          <cell r="A609">
            <v>38488</v>
          </cell>
          <cell r="B609">
            <v>4486.03</v>
          </cell>
          <cell r="C609">
            <v>3457.9</v>
          </cell>
        </row>
        <row r="610">
          <cell r="A610">
            <v>38489</v>
          </cell>
          <cell r="B610">
            <v>4492.28</v>
          </cell>
          <cell r="C610">
            <v>3464.16</v>
          </cell>
        </row>
        <row r="611">
          <cell r="A611">
            <v>38490</v>
          </cell>
          <cell r="B611">
            <v>4501.22</v>
          </cell>
          <cell r="C611">
            <v>3475</v>
          </cell>
        </row>
        <row r="612">
          <cell r="A612">
            <v>38491</v>
          </cell>
          <cell r="B612">
            <v>4533.41</v>
          </cell>
          <cell r="C612">
            <v>3498.85</v>
          </cell>
        </row>
        <row r="613">
          <cell r="A613">
            <v>38492</v>
          </cell>
          <cell r="B613">
            <v>4532.3999999999996</v>
          </cell>
          <cell r="C613">
            <v>3497.88</v>
          </cell>
        </row>
        <row r="614">
          <cell r="A614">
            <v>38495</v>
          </cell>
          <cell r="B614">
            <v>4539.16</v>
          </cell>
          <cell r="C614">
            <v>3504.51</v>
          </cell>
        </row>
        <row r="615">
          <cell r="A615">
            <v>38496</v>
          </cell>
          <cell r="B615">
            <v>4555.93</v>
          </cell>
          <cell r="C615">
            <v>3519.48</v>
          </cell>
        </row>
        <row r="616">
          <cell r="A616">
            <v>38497</v>
          </cell>
          <cell r="B616">
            <v>4579.03</v>
          </cell>
          <cell r="C616">
            <v>3538.83</v>
          </cell>
        </row>
        <row r="617">
          <cell r="A617">
            <v>38498</v>
          </cell>
          <cell r="B617">
            <v>4583.6499999999996</v>
          </cell>
          <cell r="C617">
            <v>3545.21</v>
          </cell>
        </row>
        <row r="618">
          <cell r="A618">
            <v>38499</v>
          </cell>
          <cell r="B618">
            <v>4617.43</v>
          </cell>
          <cell r="C618">
            <v>3573.76</v>
          </cell>
        </row>
        <row r="619">
          <cell r="A619">
            <v>38502</v>
          </cell>
          <cell r="B619">
            <v>4647.79</v>
          </cell>
          <cell r="C619">
            <v>3595.68</v>
          </cell>
        </row>
        <row r="620">
          <cell r="A620">
            <v>38503</v>
          </cell>
          <cell r="B620">
            <v>4686.97</v>
          </cell>
          <cell r="C620">
            <v>3629.15</v>
          </cell>
        </row>
        <row r="621">
          <cell r="A621">
            <v>38504</v>
          </cell>
          <cell r="B621">
            <v>4686.2700000000004</v>
          </cell>
          <cell r="C621">
            <v>3628.75</v>
          </cell>
        </row>
        <row r="622">
          <cell r="A622">
            <v>38505</v>
          </cell>
          <cell r="B622">
            <v>4679.55</v>
          </cell>
          <cell r="C622">
            <v>3621.6</v>
          </cell>
        </row>
        <row r="623">
          <cell r="A623">
            <v>38506</v>
          </cell>
          <cell r="B623">
            <v>4632.6000000000004</v>
          </cell>
          <cell r="C623">
            <v>3580.22</v>
          </cell>
        </row>
        <row r="624">
          <cell r="A624">
            <v>38509</v>
          </cell>
          <cell r="B624">
            <v>4636.2700000000004</v>
          </cell>
          <cell r="C624">
            <v>3585.05</v>
          </cell>
        </row>
        <row r="625">
          <cell r="A625">
            <v>38510</v>
          </cell>
          <cell r="B625">
            <v>4635.58</v>
          </cell>
          <cell r="C625">
            <v>3586</v>
          </cell>
        </row>
        <row r="626">
          <cell r="A626">
            <v>38511</v>
          </cell>
          <cell r="B626">
            <v>4644.8599999999997</v>
          </cell>
          <cell r="C626">
            <v>3590.69</v>
          </cell>
        </row>
        <row r="627">
          <cell r="A627">
            <v>38512</v>
          </cell>
          <cell r="B627">
            <v>4635.3999999999996</v>
          </cell>
          <cell r="C627">
            <v>3582.9</v>
          </cell>
        </row>
        <row r="628">
          <cell r="A628">
            <v>38513</v>
          </cell>
          <cell r="B628">
            <v>4645.6099999999997</v>
          </cell>
          <cell r="C628">
            <v>3593.3</v>
          </cell>
        </row>
        <row r="629">
          <cell r="A629">
            <v>38516</v>
          </cell>
          <cell r="B629">
            <v>4629.51</v>
          </cell>
          <cell r="C629">
            <v>3579.29</v>
          </cell>
        </row>
        <row r="630">
          <cell r="A630">
            <v>38517</v>
          </cell>
          <cell r="B630">
            <v>4669.43</v>
          </cell>
          <cell r="C630">
            <v>3615.29</v>
          </cell>
        </row>
        <row r="631">
          <cell r="A631">
            <v>38518</v>
          </cell>
          <cell r="B631">
            <v>4654.34</v>
          </cell>
          <cell r="C631">
            <v>3610.63</v>
          </cell>
        </row>
        <row r="632">
          <cell r="A632">
            <v>38519</v>
          </cell>
          <cell r="B632">
            <v>4677.7299999999996</v>
          </cell>
          <cell r="C632">
            <v>3630.22</v>
          </cell>
        </row>
        <row r="633">
          <cell r="A633">
            <v>38520</v>
          </cell>
          <cell r="B633">
            <v>4672.8999999999996</v>
          </cell>
          <cell r="C633">
            <v>3627.41</v>
          </cell>
        </row>
        <row r="634">
          <cell r="A634">
            <v>38523</v>
          </cell>
          <cell r="B634">
            <v>4661.25</v>
          </cell>
          <cell r="C634">
            <v>3618.58</v>
          </cell>
        </row>
        <row r="635">
          <cell r="A635">
            <v>38524</v>
          </cell>
          <cell r="B635">
            <v>4657.8999999999996</v>
          </cell>
          <cell r="C635">
            <v>3616.85</v>
          </cell>
        </row>
        <row r="636">
          <cell r="A636">
            <v>38525</v>
          </cell>
          <cell r="B636">
            <v>4654.03</v>
          </cell>
          <cell r="C636">
            <v>3612.78</v>
          </cell>
        </row>
        <row r="637">
          <cell r="A637">
            <v>38526</v>
          </cell>
          <cell r="B637">
            <v>4637.82</v>
          </cell>
          <cell r="C637">
            <v>3599.66</v>
          </cell>
        </row>
        <row r="638">
          <cell r="A638">
            <v>38527</v>
          </cell>
          <cell r="B638">
            <v>4650.72</v>
          </cell>
          <cell r="C638">
            <v>3610.34</v>
          </cell>
        </row>
        <row r="639">
          <cell r="A639">
            <v>38530</v>
          </cell>
          <cell r="B639">
            <v>4668.01</v>
          </cell>
          <cell r="C639">
            <v>3625.06</v>
          </cell>
        </row>
        <row r="640">
          <cell r="A640">
            <v>38531</v>
          </cell>
          <cell r="B640">
            <v>4669.97</v>
          </cell>
          <cell r="C640">
            <v>3626.26</v>
          </cell>
        </row>
        <row r="641">
          <cell r="A641">
            <v>38532</v>
          </cell>
          <cell r="B641">
            <v>4662.12</v>
          </cell>
          <cell r="C641">
            <v>3619.95</v>
          </cell>
        </row>
        <row r="642">
          <cell r="A642">
            <v>38533</v>
          </cell>
          <cell r="B642">
            <v>4669.7</v>
          </cell>
          <cell r="C642">
            <v>3625.37</v>
          </cell>
        </row>
        <row r="643">
          <cell r="A643">
            <v>38534</v>
          </cell>
          <cell r="B643">
            <v>4643.8599999999997</v>
          </cell>
          <cell r="C643">
            <v>3612.22</v>
          </cell>
        </row>
        <row r="644">
          <cell r="A644">
            <v>38537</v>
          </cell>
          <cell r="B644">
            <v>4631.34</v>
          </cell>
          <cell r="C644">
            <v>3602.93</v>
          </cell>
        </row>
        <row r="645">
          <cell r="A645">
            <v>38538</v>
          </cell>
          <cell r="B645">
            <v>4626.1000000000004</v>
          </cell>
          <cell r="C645">
            <v>3598.33</v>
          </cell>
        </row>
        <row r="646">
          <cell r="A646">
            <v>38539</v>
          </cell>
          <cell r="B646">
            <v>4622.6400000000003</v>
          </cell>
          <cell r="C646">
            <v>3598.82</v>
          </cell>
        </row>
        <row r="647">
          <cell r="A647">
            <v>38540</v>
          </cell>
          <cell r="B647">
            <v>4620.66</v>
          </cell>
          <cell r="C647">
            <v>3597.34</v>
          </cell>
        </row>
        <row r="648">
          <cell r="A648">
            <v>38541</v>
          </cell>
          <cell r="B648">
            <v>4636</v>
          </cell>
          <cell r="C648">
            <v>3610.45</v>
          </cell>
        </row>
        <row r="649">
          <cell r="A649">
            <v>38544</v>
          </cell>
          <cell r="B649">
            <v>4639.46</v>
          </cell>
          <cell r="C649">
            <v>3613.41</v>
          </cell>
        </row>
        <row r="650">
          <cell r="A650">
            <v>38545</v>
          </cell>
          <cell r="B650">
            <v>4645.22</v>
          </cell>
          <cell r="C650">
            <v>3618.68</v>
          </cell>
        </row>
        <row r="651">
          <cell r="A651">
            <v>38546</v>
          </cell>
          <cell r="B651">
            <v>4653.93</v>
          </cell>
          <cell r="C651">
            <v>3625.9</v>
          </cell>
        </row>
        <row r="652">
          <cell r="A652">
            <v>38547</v>
          </cell>
          <cell r="B652">
            <v>4682.29</v>
          </cell>
          <cell r="C652">
            <v>3649.62</v>
          </cell>
        </row>
        <row r="653">
          <cell r="A653">
            <v>38548</v>
          </cell>
          <cell r="B653">
            <v>4689.68</v>
          </cell>
          <cell r="C653">
            <v>3653.19</v>
          </cell>
        </row>
        <row r="654">
          <cell r="A654">
            <v>38551</v>
          </cell>
          <cell r="B654">
            <v>4720.6400000000003</v>
          </cell>
          <cell r="C654">
            <v>3678.72</v>
          </cell>
        </row>
        <row r="655">
          <cell r="A655">
            <v>38552</v>
          </cell>
          <cell r="B655">
            <v>4759.1000000000004</v>
          </cell>
          <cell r="C655">
            <v>3708.33</v>
          </cell>
        </row>
        <row r="656">
          <cell r="A656">
            <v>38553</v>
          </cell>
          <cell r="B656">
            <v>4801.07</v>
          </cell>
          <cell r="C656">
            <v>3739.76</v>
          </cell>
        </row>
        <row r="657">
          <cell r="A657">
            <v>38554</v>
          </cell>
          <cell r="B657">
            <v>4884.55</v>
          </cell>
          <cell r="C657">
            <v>3807.43</v>
          </cell>
        </row>
        <row r="658">
          <cell r="A658">
            <v>38555</v>
          </cell>
          <cell r="B658">
            <v>4905.24</v>
          </cell>
          <cell r="C658">
            <v>3827.59</v>
          </cell>
        </row>
        <row r="659">
          <cell r="A659">
            <v>38558</v>
          </cell>
          <cell r="B659">
            <v>4878.16</v>
          </cell>
          <cell r="C659">
            <v>3801.4</v>
          </cell>
        </row>
        <row r="660">
          <cell r="A660">
            <v>38559</v>
          </cell>
          <cell r="B660">
            <v>4887.54</v>
          </cell>
          <cell r="C660">
            <v>3808.69</v>
          </cell>
        </row>
        <row r="661">
          <cell r="A661">
            <v>38560</v>
          </cell>
          <cell r="B661">
            <v>4884.7299999999996</v>
          </cell>
          <cell r="C661">
            <v>3805.49</v>
          </cell>
        </row>
        <row r="662">
          <cell r="A662">
            <v>38561</v>
          </cell>
          <cell r="B662">
            <v>4914.38</v>
          </cell>
          <cell r="C662">
            <v>3829.51</v>
          </cell>
        </row>
        <row r="663">
          <cell r="A663">
            <v>38562</v>
          </cell>
          <cell r="B663">
            <v>4902.46</v>
          </cell>
          <cell r="C663">
            <v>3820.13</v>
          </cell>
        </row>
        <row r="664">
          <cell r="A664">
            <v>38565</v>
          </cell>
          <cell r="B664">
            <v>4893.95</v>
          </cell>
          <cell r="C664">
            <v>3811.53</v>
          </cell>
        </row>
        <row r="665">
          <cell r="A665">
            <v>38566</v>
          </cell>
          <cell r="B665">
            <v>4894.1400000000003</v>
          </cell>
          <cell r="C665">
            <v>3811.14</v>
          </cell>
        </row>
        <row r="666">
          <cell r="A666">
            <v>38567</v>
          </cell>
          <cell r="B666">
            <v>4910.4399999999996</v>
          </cell>
          <cell r="C666">
            <v>3824.95</v>
          </cell>
        </row>
        <row r="667">
          <cell r="A667">
            <v>38568</v>
          </cell>
          <cell r="B667">
            <v>4937.7</v>
          </cell>
          <cell r="C667">
            <v>3846.17</v>
          </cell>
        </row>
        <row r="668">
          <cell r="A668">
            <v>38569</v>
          </cell>
          <cell r="B668">
            <v>4946.25</v>
          </cell>
          <cell r="C668">
            <v>3849.78</v>
          </cell>
        </row>
        <row r="669">
          <cell r="A669">
            <v>38572</v>
          </cell>
          <cell r="B669">
            <v>4954.7700000000004</v>
          </cell>
          <cell r="C669">
            <v>3859.79</v>
          </cell>
        </row>
        <row r="670">
          <cell r="A670">
            <v>38573</v>
          </cell>
          <cell r="B670">
            <v>4966.29</v>
          </cell>
          <cell r="C670">
            <v>3868.5</v>
          </cell>
        </row>
        <row r="671">
          <cell r="A671">
            <v>38574</v>
          </cell>
          <cell r="B671">
            <v>4983.18</v>
          </cell>
          <cell r="C671">
            <v>3882.49</v>
          </cell>
        </row>
        <row r="672">
          <cell r="A672">
            <v>38575</v>
          </cell>
          <cell r="B672">
            <v>4974.5200000000004</v>
          </cell>
          <cell r="C672">
            <v>3872.82</v>
          </cell>
        </row>
        <row r="673">
          <cell r="A673">
            <v>38576</v>
          </cell>
          <cell r="B673">
            <v>5008.13</v>
          </cell>
          <cell r="C673">
            <v>3889.68</v>
          </cell>
        </row>
        <row r="674">
          <cell r="A674">
            <v>38579</v>
          </cell>
          <cell r="B674">
            <v>5050.72</v>
          </cell>
          <cell r="C674">
            <v>3926.15</v>
          </cell>
        </row>
        <row r="675">
          <cell r="A675">
            <v>38580</v>
          </cell>
          <cell r="B675">
            <v>5078.63</v>
          </cell>
          <cell r="C675">
            <v>3940.03</v>
          </cell>
        </row>
        <row r="676">
          <cell r="A676">
            <v>38581</v>
          </cell>
          <cell r="B676">
            <v>5097.3100000000004</v>
          </cell>
          <cell r="C676">
            <v>3956.71</v>
          </cell>
        </row>
        <row r="677">
          <cell r="A677">
            <v>38582</v>
          </cell>
          <cell r="B677">
            <v>5125.71</v>
          </cell>
          <cell r="C677">
            <v>3969.1</v>
          </cell>
        </row>
        <row r="678">
          <cell r="A678">
            <v>38583</v>
          </cell>
          <cell r="B678">
            <v>5151.42</v>
          </cell>
          <cell r="C678">
            <v>3991.43</v>
          </cell>
        </row>
        <row r="679">
          <cell r="A679">
            <v>38586</v>
          </cell>
          <cell r="B679">
            <v>5162.7700000000004</v>
          </cell>
          <cell r="C679">
            <v>4002.28</v>
          </cell>
        </row>
        <row r="680">
          <cell r="A680">
            <v>38587</v>
          </cell>
          <cell r="B680">
            <v>5188.96</v>
          </cell>
          <cell r="C680">
            <v>4032.29</v>
          </cell>
        </row>
        <row r="681">
          <cell r="A681">
            <v>38588</v>
          </cell>
          <cell r="B681">
            <v>5196.3</v>
          </cell>
          <cell r="C681">
            <v>4048.28</v>
          </cell>
        </row>
        <row r="682">
          <cell r="A682">
            <v>38589</v>
          </cell>
          <cell r="B682">
            <v>5130.2</v>
          </cell>
          <cell r="C682">
            <v>3990.85</v>
          </cell>
        </row>
        <row r="683">
          <cell r="A683">
            <v>38590</v>
          </cell>
          <cell r="B683">
            <v>5043.05</v>
          </cell>
          <cell r="C683">
            <v>3926.61</v>
          </cell>
        </row>
        <row r="684">
          <cell r="A684">
            <v>38593</v>
          </cell>
          <cell r="B684">
            <v>5065.6899999999996</v>
          </cell>
          <cell r="C684">
            <v>3945.99</v>
          </cell>
        </row>
        <row r="685">
          <cell r="A685">
            <v>38594</v>
          </cell>
          <cell r="B685">
            <v>5075.12</v>
          </cell>
          <cell r="C685">
            <v>3948.04</v>
          </cell>
        </row>
        <row r="686">
          <cell r="A686">
            <v>38595</v>
          </cell>
          <cell r="B686">
            <v>5099.0200000000004</v>
          </cell>
          <cell r="C686">
            <v>3973.21</v>
          </cell>
        </row>
        <row r="687">
          <cell r="A687">
            <v>38596</v>
          </cell>
          <cell r="B687">
            <v>5098.29</v>
          </cell>
          <cell r="C687">
            <v>3966.01</v>
          </cell>
        </row>
        <row r="688">
          <cell r="A688">
            <v>38597</v>
          </cell>
          <cell r="B688">
            <v>5169.2</v>
          </cell>
          <cell r="C688">
            <v>4015.8</v>
          </cell>
        </row>
        <row r="689">
          <cell r="A689">
            <v>38600</v>
          </cell>
          <cell r="B689">
            <v>5212.03</v>
          </cell>
          <cell r="C689">
            <v>4051.61</v>
          </cell>
        </row>
        <row r="690">
          <cell r="A690">
            <v>38601</v>
          </cell>
          <cell r="B690">
            <v>5184.45</v>
          </cell>
          <cell r="C690">
            <v>4034.22</v>
          </cell>
        </row>
        <row r="691">
          <cell r="A691">
            <v>38602</v>
          </cell>
          <cell r="B691">
            <v>5115.6099999999997</v>
          </cell>
          <cell r="C691">
            <v>3974.52</v>
          </cell>
        </row>
        <row r="692">
          <cell r="A692">
            <v>38603</v>
          </cell>
          <cell r="B692">
            <v>5084.1499999999996</v>
          </cell>
          <cell r="C692">
            <v>3943.9</v>
          </cell>
        </row>
        <row r="693">
          <cell r="A693">
            <v>38604</v>
          </cell>
          <cell r="B693">
            <v>5096.87</v>
          </cell>
          <cell r="C693">
            <v>3963.18</v>
          </cell>
        </row>
        <row r="694">
          <cell r="A694">
            <v>38607</v>
          </cell>
          <cell r="B694">
            <v>5126.0200000000004</v>
          </cell>
          <cell r="C694">
            <v>3990.09</v>
          </cell>
        </row>
        <row r="695">
          <cell r="A695">
            <v>38608</v>
          </cell>
          <cell r="B695">
            <v>5166.6099999999997</v>
          </cell>
          <cell r="C695">
            <v>4018.66</v>
          </cell>
        </row>
        <row r="696">
          <cell r="A696">
            <v>38609</v>
          </cell>
          <cell r="B696">
            <v>5177.0200000000004</v>
          </cell>
          <cell r="C696">
            <v>4023.23</v>
          </cell>
        </row>
        <row r="697">
          <cell r="A697">
            <v>38610</v>
          </cell>
          <cell r="B697">
            <v>5187.82</v>
          </cell>
          <cell r="C697">
            <v>4037.81</v>
          </cell>
        </row>
        <row r="698">
          <cell r="A698">
            <v>38611</v>
          </cell>
          <cell r="B698">
            <v>5176.26</v>
          </cell>
          <cell r="C698">
            <v>4029.89</v>
          </cell>
        </row>
        <row r="699">
          <cell r="A699">
            <v>38614</v>
          </cell>
          <cell r="B699">
            <v>5179.25</v>
          </cell>
          <cell r="C699">
            <v>4032.32</v>
          </cell>
        </row>
        <row r="700">
          <cell r="A700">
            <v>38615</v>
          </cell>
          <cell r="B700">
            <v>5157.13</v>
          </cell>
          <cell r="C700">
            <v>4018.91</v>
          </cell>
        </row>
        <row r="701">
          <cell r="A701">
            <v>38616</v>
          </cell>
          <cell r="B701">
            <v>5148.1899999999996</v>
          </cell>
          <cell r="C701">
            <v>4015.43</v>
          </cell>
        </row>
        <row r="702">
          <cell r="A702">
            <v>38617</v>
          </cell>
          <cell r="B702">
            <v>5125.09</v>
          </cell>
          <cell r="C702">
            <v>4002.22</v>
          </cell>
        </row>
        <row r="703">
          <cell r="A703">
            <v>38618</v>
          </cell>
          <cell r="B703">
            <v>5084.68</v>
          </cell>
          <cell r="C703">
            <v>3971.55</v>
          </cell>
        </row>
        <row r="704">
          <cell r="A704">
            <v>38621</v>
          </cell>
          <cell r="B704">
            <v>5128.57</v>
          </cell>
          <cell r="C704">
            <v>4008.53</v>
          </cell>
        </row>
        <row r="705">
          <cell r="A705">
            <v>38622</v>
          </cell>
          <cell r="B705">
            <v>5125.78</v>
          </cell>
          <cell r="C705">
            <v>3999.58</v>
          </cell>
        </row>
        <row r="706">
          <cell r="A706">
            <v>38623</v>
          </cell>
          <cell r="B706">
            <v>5120.62</v>
          </cell>
          <cell r="C706">
            <v>3988.26</v>
          </cell>
        </row>
        <row r="707">
          <cell r="A707">
            <v>38624</v>
          </cell>
          <cell r="B707">
            <v>5111.09</v>
          </cell>
          <cell r="C707">
            <v>3977.46</v>
          </cell>
        </row>
        <row r="708">
          <cell r="A708">
            <v>38625</v>
          </cell>
          <cell r="B708">
            <v>5111.3900000000003</v>
          </cell>
          <cell r="C708">
            <v>3975.45</v>
          </cell>
        </row>
        <row r="709">
          <cell r="A709">
            <v>38628</v>
          </cell>
          <cell r="B709">
            <v>5117.78</v>
          </cell>
          <cell r="C709">
            <v>3981.87</v>
          </cell>
        </row>
        <row r="710">
          <cell r="A710">
            <v>38629</v>
          </cell>
          <cell r="B710">
            <v>5136.96</v>
          </cell>
          <cell r="C710">
            <v>3999.59</v>
          </cell>
        </row>
        <row r="711">
          <cell r="A711">
            <v>38630</v>
          </cell>
          <cell r="B711">
            <v>5138.1899999999996</v>
          </cell>
          <cell r="C711">
            <v>4001.26</v>
          </cell>
        </row>
        <row r="712">
          <cell r="A712">
            <v>38631</v>
          </cell>
          <cell r="B712">
            <v>5131.2299999999996</v>
          </cell>
          <cell r="C712">
            <v>3994.99</v>
          </cell>
        </row>
        <row r="713">
          <cell r="A713">
            <v>38632</v>
          </cell>
          <cell r="B713">
            <v>5137.38</v>
          </cell>
          <cell r="C713">
            <v>4001.45</v>
          </cell>
        </row>
        <row r="714">
          <cell r="A714">
            <v>38635</v>
          </cell>
          <cell r="B714">
            <v>5147.3500000000004</v>
          </cell>
          <cell r="C714">
            <v>4021.35</v>
          </cell>
        </row>
        <row r="715">
          <cell r="A715">
            <v>38636</v>
          </cell>
          <cell r="B715">
            <v>5168.4799999999996</v>
          </cell>
          <cell r="C715">
            <v>4031.97</v>
          </cell>
        </row>
        <row r="716">
          <cell r="A716">
            <v>38637</v>
          </cell>
          <cell r="B716">
            <v>5185.9799999999996</v>
          </cell>
          <cell r="C716">
            <v>4048.02</v>
          </cell>
        </row>
        <row r="717">
          <cell r="A717">
            <v>38638</v>
          </cell>
          <cell r="B717">
            <v>5194.26</v>
          </cell>
          <cell r="C717">
            <v>4054.88</v>
          </cell>
        </row>
        <row r="718">
          <cell r="A718">
            <v>38639</v>
          </cell>
          <cell r="B718">
            <v>5211.18</v>
          </cell>
          <cell r="C718">
            <v>4079.64</v>
          </cell>
        </row>
        <row r="719">
          <cell r="A719">
            <v>38642</v>
          </cell>
          <cell r="B719">
            <v>5229.3599999999997</v>
          </cell>
          <cell r="C719">
            <v>4094.22</v>
          </cell>
        </row>
        <row r="720">
          <cell r="A720">
            <v>38643</v>
          </cell>
          <cell r="B720">
            <v>5249.13</v>
          </cell>
          <cell r="C720">
            <v>4099.21</v>
          </cell>
        </row>
        <row r="721">
          <cell r="A721">
            <v>38644</v>
          </cell>
          <cell r="B721">
            <v>5238.09</v>
          </cell>
          <cell r="C721">
            <v>4090.25</v>
          </cell>
        </row>
        <row r="722">
          <cell r="A722">
            <v>38645</v>
          </cell>
          <cell r="B722">
            <v>5219.58</v>
          </cell>
          <cell r="C722">
            <v>4073.81</v>
          </cell>
        </row>
        <row r="723">
          <cell r="A723">
            <v>38646</v>
          </cell>
          <cell r="B723">
            <v>5205.42</v>
          </cell>
          <cell r="C723">
            <v>4060.54</v>
          </cell>
        </row>
        <row r="724">
          <cell r="A724">
            <v>38649</v>
          </cell>
          <cell r="B724">
            <v>5208.57</v>
          </cell>
          <cell r="C724">
            <v>4064.74</v>
          </cell>
        </row>
        <row r="725">
          <cell r="A725">
            <v>38650</v>
          </cell>
          <cell r="B725">
            <v>5217.45</v>
          </cell>
          <cell r="C725">
            <v>4071.8</v>
          </cell>
        </row>
        <row r="726">
          <cell r="A726">
            <v>38651</v>
          </cell>
          <cell r="B726">
            <v>5213.6899999999996</v>
          </cell>
          <cell r="C726">
            <v>4078.74</v>
          </cell>
        </row>
        <row r="727">
          <cell r="A727">
            <v>38652</v>
          </cell>
          <cell r="B727">
            <v>5236.24</v>
          </cell>
          <cell r="C727">
            <v>4098.59</v>
          </cell>
        </row>
        <row r="728">
          <cell r="A728">
            <v>38653</v>
          </cell>
          <cell r="B728">
            <v>5243.18</v>
          </cell>
          <cell r="C728">
            <v>4105.8</v>
          </cell>
        </row>
        <row r="729">
          <cell r="A729">
            <v>38656</v>
          </cell>
          <cell r="B729">
            <v>5278.51</v>
          </cell>
          <cell r="C729">
            <v>4140.53</v>
          </cell>
        </row>
      </sheetData>
      <sheetData sheetId="5"/>
      <sheetData sheetId="6"/>
      <sheetData sheetId="7" refreshError="1"/>
      <sheetData sheetId="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>
            <v>0</v>
          </cell>
          <cell r="I8">
            <v>0</v>
          </cell>
        </row>
        <row r="9">
          <cell r="B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>
            <v>0</v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>
            <v>0</v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>
            <v>0</v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>
            <v>0</v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orecasts_VD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  <sheetName val="Daily Z10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Forecasts_VDF"/>
    </sheetNames>
    <sheetDataSet>
      <sheetData sheetId="0"/>
      <sheetData sheetId="1"/>
      <sheetData sheetId="2"/>
      <sheetData sheetId="3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  <sheetName val="trafic"/>
      <sheetName val="ACTUC"/>
      <sheetName val="AcTUF"/>
      <sheetName val="ACTUM"/>
      <sheetName val="CUMUL"/>
      <sheetName val="CUMULC"/>
      <sheetName val="CUMULF"/>
      <sheetName val="QUARF"/>
      <sheetName val="QUARM"/>
      <sheetName val="QUARTC"/>
      <sheetName val="Source"/>
      <sheetName val="SourceF"/>
      <sheetName val="SourceC"/>
      <sheetName val="Statut"/>
      <sheetName val="Statut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Vir94"/>
      <sheetName val="Feuil1"/>
      <sheetName val="维保成本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Activité Internationale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6"/>
      <sheetName val="RH et QS"/>
      <sheetName val="BA clients opérateurs"/>
    </sheetNames>
    <sheetDataSet>
      <sheetData sheetId="0"/>
      <sheetData sheetId="1"/>
      <sheetData sheetId="2"/>
      <sheetData sheetId="3">
        <row r="8">
          <cell r="V8">
            <v>23227.929765999997</v>
          </cell>
        </row>
      </sheetData>
      <sheetData sheetId="4"/>
      <sheetData sheetId="5">
        <row r="8">
          <cell r="AH8">
            <v>95779.142692796609</v>
          </cell>
        </row>
      </sheetData>
      <sheetData sheetId="6"/>
      <sheetData sheetId="7">
        <row r="9">
          <cell r="AH9">
            <v>-4319.7</v>
          </cell>
        </row>
      </sheetData>
      <sheetData sheetId="8">
        <row r="7">
          <cell r="V7">
            <v>942.09999999999991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88">
          <cell r="A88" t="str">
            <v xml:space="preserve">GROUPE ELECTROGENE OLYMPIAN </v>
          </cell>
        </row>
        <row r="89">
          <cell r="A89" t="str">
            <v>ARMOIRE INVERSEUR INS</v>
          </cell>
        </row>
        <row r="90">
          <cell r="A90" t="str">
            <v>FOURNITURE DE 87 SUPPORTS GSM</v>
          </cell>
        </row>
        <row r="91">
          <cell r="A91" t="str">
            <v>MOBILIER DE BUREAU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 - Légende"/>
      <sheetName val="waccount"/>
      <sheetName val="wrubv2u"/>
      <sheetName val="Mapping Rub - Test"/>
      <sheetName val="Mapping Rub - Def"/>
      <sheetName val="Mapping Rub - Travail"/>
      <sheetName val="wfluxv2u"/>
      <sheetName val="Mapping Flux"/>
      <sheetName val="Mapping Flux - Travail"/>
      <sheetName val="wnature"/>
      <sheetName val="wnatv2u"/>
      <sheetName val="Mapping nature travail"/>
      <sheetName val="Mapping - Nature"/>
      <sheetName val="wentity"/>
      <sheetName val="Mapping - Unité"/>
      <sheetName val="sgr rattach - unité v2u"/>
      <sheetName val="wunv2u"/>
      <sheetName val="wentity pour fruv2u"/>
      <sheetName val="Boite à outils"/>
      <sheetName val="execut°2005"/>
      <sheetName val="EXECUT°SEPT-06"/>
      <sheetName val="distrib"/>
      <sheetName val="MEDIAL"/>
      <sheetName val="P.EQUIPEMENT99"/>
      <sheetName val="Sommaire_-_Légende"/>
      <sheetName val="Mapping_Rub_-_Test"/>
      <sheetName val="Mapping_Rub_-_Def"/>
      <sheetName val="Mapping_Rub_-_Travail"/>
      <sheetName val="Mapping_Flux"/>
      <sheetName val="Mapping_Flux_-_Travail"/>
      <sheetName val="Mapping_nature_travail"/>
      <sheetName val="Mapping_-_Nature"/>
      <sheetName val="Mapping_-_Unité"/>
      <sheetName val="sgr_rattach_-_unité_v2u"/>
      <sheetName val="wentity_pour_fruv2u"/>
      <sheetName val="Boite_à_outils"/>
      <sheetName val="P_EQUIPEMENT99"/>
      <sheetName val="Mapping Rub _ Def"/>
      <sheetName val="Sommaire_-_Légende1"/>
      <sheetName val="Mapping_Rub_-_Test1"/>
      <sheetName val="Mapping_Rub_-_Def1"/>
      <sheetName val="Mapping_Rub_-_Travail1"/>
      <sheetName val="Mapping_Flux1"/>
      <sheetName val="Mapping_Flux_-_Travail1"/>
      <sheetName val="Mapping_nature_travail1"/>
      <sheetName val="Mapping_-_Nature1"/>
      <sheetName val="Mapping_-_Unité1"/>
      <sheetName val="sgr_rattach_-_unité_v2u1"/>
      <sheetName val="wentity_pour_fruv2u1"/>
      <sheetName val="Boite_à_outils1"/>
      <sheetName val="P_EQUIPEMENT991"/>
      <sheetName val="SPRZEDAŻ"/>
      <sheetName val="Sommaire_-_Légende2"/>
      <sheetName val="Mapping_Rub_-_Test2"/>
      <sheetName val="Mapping_Rub_-_Def2"/>
      <sheetName val="Mapping_Rub_-_Travail2"/>
      <sheetName val="Mapping_Flux2"/>
      <sheetName val="Mapping_Flux_-_Travail2"/>
      <sheetName val="Mapping_nature_travail2"/>
      <sheetName val="Mapping_-_Nature2"/>
      <sheetName val="Mapping_-_Unité2"/>
      <sheetName val="sgr_rattach_-_unité_v2u2"/>
      <sheetName val="wentity_pour_fruv2u2"/>
      <sheetName val="Boite_à_outils2"/>
      <sheetName val="P_EQUIPEMENT992"/>
      <sheetName val="Mapping_Rub___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A8106</v>
          </cell>
          <cell r="B3" t="str">
            <v>A8106</v>
          </cell>
          <cell r="C3" t="str">
            <v>Cash</v>
          </cell>
          <cell r="D3" t="str">
            <v>A01010</v>
          </cell>
        </row>
        <row r="4">
          <cell r="B4" t="e">
            <v>#N/A</v>
          </cell>
          <cell r="C4" t="str">
            <v>to be analyzed by Bus</v>
          </cell>
          <cell r="D4" t="str">
            <v>A01005</v>
          </cell>
        </row>
        <row r="5">
          <cell r="B5" t="e">
            <v>#N/A</v>
          </cell>
          <cell r="C5" t="str">
            <v>to be analyzed by Bus</v>
          </cell>
          <cell r="D5" t="str">
            <v>A01055</v>
          </cell>
        </row>
        <row r="6">
          <cell r="A6" t="str">
            <v>A8206</v>
          </cell>
          <cell r="B6" t="str">
            <v>A8206</v>
          </cell>
          <cell r="C6" t="str">
            <v>Val. Allow. / Cash</v>
          </cell>
          <cell r="D6" t="str">
            <v>A01060</v>
          </cell>
        </row>
        <row r="7">
          <cell r="A7" t="str">
            <v>A8104</v>
          </cell>
          <cell r="B7" t="str">
            <v>A8104</v>
          </cell>
          <cell r="C7" t="str">
            <v>Marketable securities (maturity &gt; 3-mth)</v>
          </cell>
          <cell r="D7" t="str">
            <v>A01155</v>
          </cell>
        </row>
        <row r="8">
          <cell r="A8" t="str">
            <v>A81L</v>
          </cell>
          <cell r="B8" t="str">
            <v>A81L</v>
          </cell>
          <cell r="C8" t="str">
            <v>Marketable securities - suspens account</v>
          </cell>
          <cell r="D8" t="str">
            <v>A01155</v>
          </cell>
        </row>
        <row r="9">
          <cell r="A9" t="str">
            <v>A8204</v>
          </cell>
          <cell r="B9" t="str">
            <v>A8204</v>
          </cell>
          <cell r="C9" t="str">
            <v>Val. Allow. / Marketable securities</v>
          </cell>
          <cell r="D9" t="str">
            <v>A01160</v>
          </cell>
        </row>
        <row r="10">
          <cell r="A10" t="str">
            <v>A8202</v>
          </cell>
          <cell r="B10" t="str">
            <v>A8202</v>
          </cell>
          <cell r="C10" t="str">
            <v>Val. Allow. / Treasury shares</v>
          </cell>
          <cell r="D10" t="str">
            <v>LX3075</v>
          </cell>
        </row>
        <row r="11">
          <cell r="A11" t="str">
            <v>A8102</v>
          </cell>
          <cell r="B11" t="str">
            <v>A8102</v>
          </cell>
          <cell r="C11" t="str">
            <v>Treasury shares</v>
          </cell>
          <cell r="D11" t="str">
            <v>LX3070</v>
          </cell>
        </row>
        <row r="12">
          <cell r="B12" t="e">
            <v>#N/A</v>
          </cell>
        </row>
        <row r="13">
          <cell r="B13" t="e">
            <v>#N/A</v>
          </cell>
          <cell r="D13" t="str">
            <v>A01205</v>
          </cell>
        </row>
        <row r="14">
          <cell r="A14" t="str">
            <v>A5110</v>
          </cell>
          <cell r="B14" t="str">
            <v>A5110</v>
          </cell>
          <cell r="C14" t="str">
            <v>Trade accounts receivable</v>
          </cell>
          <cell r="D14" t="str">
            <v>A01210</v>
          </cell>
        </row>
        <row r="15">
          <cell r="B15" t="e">
            <v>#N/A</v>
          </cell>
        </row>
        <row r="16">
          <cell r="B16" t="e">
            <v>#N/A</v>
          </cell>
        </row>
        <row r="17">
          <cell r="A17" t="str">
            <v>A5114</v>
          </cell>
          <cell r="B17" t="str">
            <v>A5114</v>
          </cell>
          <cell r="C17" t="str">
            <v>Prepaid expenses</v>
          </cell>
          <cell r="D17" t="str">
            <v>A01210</v>
          </cell>
        </row>
        <row r="18">
          <cell r="A18" t="str">
            <v>A5116</v>
          </cell>
          <cell r="B18" t="str">
            <v>A5116</v>
          </cell>
          <cell r="C18" t="str">
            <v>Recoup. artist adv. &amp; authors rights</v>
          </cell>
          <cell r="D18" t="str">
            <v>A01210</v>
          </cell>
        </row>
        <row r="19">
          <cell r="A19" t="str">
            <v>A5150</v>
          </cell>
          <cell r="B19" t="str">
            <v>A5150</v>
          </cell>
          <cell r="C19" t="str">
            <v>Other accounts receivable</v>
          </cell>
          <cell r="D19" t="str">
            <v>A01210</v>
          </cell>
        </row>
        <row r="20">
          <cell r="A20" t="str">
            <v>A5150</v>
          </cell>
          <cell r="B20" t="str">
            <v>A5150</v>
          </cell>
          <cell r="C20" t="str">
            <v>Other accounts receivable</v>
          </cell>
          <cell r="D20" t="str">
            <v>A01210</v>
          </cell>
        </row>
        <row r="21">
          <cell r="B21" t="e">
            <v>#N/A</v>
          </cell>
        </row>
        <row r="22">
          <cell r="A22" t="str">
            <v>A5210</v>
          </cell>
          <cell r="B22" t="str">
            <v>A5210</v>
          </cell>
          <cell r="C22" t="str">
            <v>Val. Allow. / Trade accounts receivable</v>
          </cell>
          <cell r="D22" t="str">
            <v>A01230</v>
          </cell>
        </row>
        <row r="23">
          <cell r="B23" t="e">
            <v>#N/A</v>
          </cell>
        </row>
        <row r="24">
          <cell r="B24" t="e">
            <v>#N/A</v>
          </cell>
        </row>
        <row r="25">
          <cell r="A25" t="str">
            <v>A5250</v>
          </cell>
          <cell r="B25" t="str">
            <v>A5250</v>
          </cell>
          <cell r="C25" t="str">
            <v>Val. Allow. / Other accounts receivable</v>
          </cell>
          <cell r="D25" t="str">
            <v>A01230</v>
          </cell>
        </row>
        <row r="26">
          <cell r="A26" t="str">
            <v>A5250</v>
          </cell>
          <cell r="B26" t="str">
            <v>A5250</v>
          </cell>
          <cell r="C26" t="str">
            <v>Val. Allow. / Other accounts receivable</v>
          </cell>
          <cell r="D26" t="str">
            <v>A01230</v>
          </cell>
        </row>
        <row r="27">
          <cell r="A27" t="str">
            <v>A5216</v>
          </cell>
          <cell r="B27" t="str">
            <v>A5216</v>
          </cell>
          <cell r="C27" t="str">
            <v>Val. Allow. /Rec. Adv. &amp; authors rights</v>
          </cell>
          <cell r="D27" t="str">
            <v>A01230</v>
          </cell>
        </row>
        <row r="28">
          <cell r="B28" t="e">
            <v>#N/A</v>
          </cell>
        </row>
        <row r="29">
          <cell r="A29" t="str">
            <v>A5106</v>
          </cell>
          <cell r="B29" t="str">
            <v>A5106</v>
          </cell>
          <cell r="C29" t="str">
            <v>Finished products inventories</v>
          </cell>
          <cell r="D29" t="str">
            <v>A01255</v>
          </cell>
        </row>
        <row r="30">
          <cell r="A30" t="str">
            <v>A5108</v>
          </cell>
          <cell r="B30" t="str">
            <v>A5108</v>
          </cell>
          <cell r="C30" t="str">
            <v>Contracts in process</v>
          </cell>
          <cell r="D30" t="str">
            <v>A01255</v>
          </cell>
        </row>
        <row r="31">
          <cell r="A31" t="str">
            <v>A5104</v>
          </cell>
          <cell r="B31" t="str">
            <v>A5104</v>
          </cell>
          <cell r="C31" t="str">
            <v>Work in progress</v>
          </cell>
          <cell r="D31" t="str">
            <v>A01255</v>
          </cell>
        </row>
        <row r="32">
          <cell r="A32" t="str">
            <v>A5102</v>
          </cell>
          <cell r="B32" t="str">
            <v>A5102</v>
          </cell>
          <cell r="C32" t="str">
            <v>Raw materials and supplies</v>
          </cell>
          <cell r="D32" t="str">
            <v>A01255</v>
          </cell>
        </row>
        <row r="33">
          <cell r="B33" t="e">
            <v>#N/A</v>
          </cell>
        </row>
        <row r="34">
          <cell r="A34" t="str">
            <v>A5206</v>
          </cell>
          <cell r="B34" t="str">
            <v>A5206</v>
          </cell>
          <cell r="C34" t="str">
            <v>Val. Allow. / Finished product invent.</v>
          </cell>
          <cell r="D34" t="str">
            <v>A01260</v>
          </cell>
        </row>
        <row r="35">
          <cell r="A35" t="str">
            <v>A5208</v>
          </cell>
          <cell r="B35" t="str">
            <v>A5208</v>
          </cell>
          <cell r="C35" t="str">
            <v>Val. Allow. / Contracts in process</v>
          </cell>
          <cell r="D35" t="str">
            <v>A01260</v>
          </cell>
        </row>
        <row r="36">
          <cell r="A36" t="str">
            <v>A5204</v>
          </cell>
          <cell r="B36" t="str">
            <v>A5204</v>
          </cell>
          <cell r="C36" t="str">
            <v>Val. Allow. / Work in progress</v>
          </cell>
          <cell r="D36" t="str">
            <v>A01260</v>
          </cell>
        </row>
        <row r="37">
          <cell r="A37" t="str">
            <v>A5202</v>
          </cell>
          <cell r="B37" t="str">
            <v>A5202</v>
          </cell>
          <cell r="C37" t="str">
            <v>Val. Allow. / Raw materials and supplies</v>
          </cell>
          <cell r="D37" t="str">
            <v>A01260</v>
          </cell>
        </row>
        <row r="38">
          <cell r="B38" t="e">
            <v>#N/A</v>
          </cell>
        </row>
        <row r="39">
          <cell r="A39" t="str">
            <v>A6002</v>
          </cell>
          <cell r="B39" t="str">
            <v>A6002</v>
          </cell>
          <cell r="C39" t="str">
            <v>Deferred tax assets</v>
          </cell>
          <cell r="D39" t="str">
            <v>A01305</v>
          </cell>
        </row>
        <row r="40">
          <cell r="A40" t="str">
            <v>A6004</v>
          </cell>
          <cell r="B40" t="str">
            <v>A6004</v>
          </cell>
          <cell r="C40" t="str">
            <v>Depreciation of deferred tax assets</v>
          </cell>
          <cell r="D40" t="str">
            <v>A01310</v>
          </cell>
        </row>
        <row r="41">
          <cell r="B41" t="e">
            <v>#N/A</v>
          </cell>
        </row>
        <row r="42">
          <cell r="A42" t="str">
            <v>A5112</v>
          </cell>
          <cell r="B42" t="str">
            <v>A5112</v>
          </cell>
          <cell r="C42" t="str">
            <v>Foreign currency translation losses</v>
          </cell>
          <cell r="D42" t="str">
            <v>A01315</v>
          </cell>
        </row>
        <row r="43">
          <cell r="A43" t="str">
            <v>A6050</v>
          </cell>
          <cell r="B43" t="str">
            <v>A6050</v>
          </cell>
          <cell r="C43" t="str">
            <v>Other non-operating receivables</v>
          </cell>
          <cell r="D43" t="str">
            <v>A01315</v>
          </cell>
        </row>
        <row r="44">
          <cell r="B44" t="e">
            <v>#N/A</v>
          </cell>
        </row>
        <row r="45">
          <cell r="A45" t="str">
            <v>A6060</v>
          </cell>
          <cell r="B45" t="str">
            <v>A6060</v>
          </cell>
          <cell r="C45" t="str">
            <v>Allow. Other non-operating receivables</v>
          </cell>
          <cell r="D45" t="str">
            <v>A01320</v>
          </cell>
        </row>
        <row r="46">
          <cell r="A46" t="str">
            <v>A7002</v>
          </cell>
          <cell r="B46" t="str">
            <v>A7002</v>
          </cell>
          <cell r="C46" t="str">
            <v>Short Term (&gt; 3-mth) loans</v>
          </cell>
          <cell r="D46" t="str">
            <v>A01355</v>
          </cell>
        </row>
        <row r="47">
          <cell r="A47" t="str">
            <v>A8105</v>
          </cell>
          <cell r="B47" t="str">
            <v>A8105</v>
          </cell>
          <cell r="C47" t="str">
            <v>Cash equivalents &lt; 3-mth</v>
          </cell>
          <cell r="D47" t="str">
            <v>A01355</v>
          </cell>
        </row>
        <row r="48">
          <cell r="A48" t="str">
            <v>A7050</v>
          </cell>
          <cell r="B48" t="str">
            <v>A7050</v>
          </cell>
          <cell r="C48" t="str">
            <v>Val. Allow. / Short Term (&gt; 3-mth) loans</v>
          </cell>
          <cell r="D48" t="str">
            <v>A01360</v>
          </cell>
        </row>
        <row r="49">
          <cell r="A49" t="str">
            <v>A8205</v>
          </cell>
          <cell r="B49" t="str">
            <v>A8205</v>
          </cell>
          <cell r="C49" t="str">
            <v>Val. Allow. / Cash equivalents</v>
          </cell>
          <cell r="D49" t="str">
            <v>A01360</v>
          </cell>
        </row>
        <row r="50">
          <cell r="A50" t="str">
            <v>A4100</v>
          </cell>
          <cell r="B50" t="str">
            <v>A4100</v>
          </cell>
          <cell r="C50" t="str">
            <v>Investments in subsidiaries &amp; affiliates</v>
          </cell>
          <cell r="D50" t="str">
            <v>A02005</v>
          </cell>
        </row>
        <row r="51">
          <cell r="A51" t="str">
            <v>A4100</v>
          </cell>
          <cell r="B51" t="str">
            <v>A4100</v>
          </cell>
          <cell r="C51" t="str">
            <v>Investments in subsidiaries &amp; affiliates</v>
          </cell>
          <cell r="D51" t="str">
            <v>A02005</v>
          </cell>
        </row>
        <row r="52">
          <cell r="A52" t="str">
            <v>A410T</v>
          </cell>
          <cell r="B52" t="str">
            <v>A410T</v>
          </cell>
          <cell r="C52" t="str">
            <v>Elim.  Invest. - suspens Account.</v>
          </cell>
          <cell r="D52" t="str">
            <v>A02005</v>
          </cell>
        </row>
        <row r="53">
          <cell r="A53" t="str">
            <v>A410T</v>
          </cell>
          <cell r="B53" t="str">
            <v>A410T</v>
          </cell>
          <cell r="C53" t="str">
            <v>Elim.  Invest. - suspens Account.</v>
          </cell>
          <cell r="D53" t="str">
            <v>A02005</v>
          </cell>
        </row>
        <row r="54">
          <cell r="A54" t="str">
            <v>A410L</v>
          </cell>
          <cell r="B54" t="str">
            <v>A410L</v>
          </cell>
          <cell r="C54" t="str">
            <v>Elim. Profit Invest. - suspens Account.</v>
          </cell>
          <cell r="D54" t="str">
            <v>A02005</v>
          </cell>
        </row>
        <row r="55">
          <cell r="A55" t="str">
            <v>A410L</v>
          </cell>
          <cell r="B55" t="str">
            <v>A410L</v>
          </cell>
          <cell r="C55" t="str">
            <v>Elim. Profit Invest. - suspens Account.</v>
          </cell>
          <cell r="D55" t="str">
            <v>A02005</v>
          </cell>
        </row>
        <row r="56">
          <cell r="A56" t="str">
            <v>A4300</v>
          </cell>
          <cell r="B56" t="str">
            <v>A4300</v>
          </cell>
          <cell r="C56" t="str">
            <v>Invest. accounted for by equity method</v>
          </cell>
          <cell r="D56" t="str">
            <v>A02010</v>
          </cell>
        </row>
        <row r="57">
          <cell r="A57" t="str">
            <v>A4350</v>
          </cell>
          <cell r="B57" t="str">
            <v>A4350</v>
          </cell>
          <cell r="C57" t="str">
            <v>Goodwill on invest. accounted for by EM</v>
          </cell>
          <cell r="D57" t="str">
            <v>A02015</v>
          </cell>
        </row>
        <row r="58">
          <cell r="A58" t="str">
            <v>A4360</v>
          </cell>
          <cell r="B58" t="str">
            <v>A4360</v>
          </cell>
          <cell r="C58" t="str">
            <v>Acc. D&amp;A Goodwill on inv. a/c for by EM</v>
          </cell>
          <cell r="D58" t="str">
            <v>A02020</v>
          </cell>
        </row>
        <row r="59">
          <cell r="A59" t="str">
            <v>A4400</v>
          </cell>
          <cell r="B59" t="str">
            <v>A4400</v>
          </cell>
          <cell r="C59" t="str">
            <v>Portfolio inv. sec. held as fixed ass.</v>
          </cell>
          <cell r="D59" t="str">
            <v>A02025</v>
          </cell>
        </row>
        <row r="60">
          <cell r="A60" t="str">
            <v>A44L</v>
          </cell>
          <cell r="B60" t="str">
            <v>A44L</v>
          </cell>
          <cell r="C60" t="str">
            <v>Portfolio inv. Sec. - suspens account</v>
          </cell>
          <cell r="D60" t="str">
            <v>A02025</v>
          </cell>
        </row>
        <row r="61">
          <cell r="A61" t="str">
            <v>A4602</v>
          </cell>
          <cell r="B61" t="str">
            <v>A4602</v>
          </cell>
          <cell r="C61" t="str">
            <v>Long Term loans bearing interests</v>
          </cell>
          <cell r="D61" t="str">
            <v>A02030</v>
          </cell>
        </row>
        <row r="62">
          <cell r="A62" t="str">
            <v>A4650</v>
          </cell>
          <cell r="B62" t="str">
            <v>A4650</v>
          </cell>
          <cell r="C62" t="str">
            <v>Other long-term investments</v>
          </cell>
          <cell r="D62" t="str">
            <v>A02035</v>
          </cell>
        </row>
        <row r="63">
          <cell r="A63" t="str">
            <v>A4200</v>
          </cell>
          <cell r="B63" t="str">
            <v>A4200</v>
          </cell>
          <cell r="C63" t="str">
            <v>Val. Allow. / invest. in subs. and aff.</v>
          </cell>
          <cell r="D63" t="str">
            <v>A02055</v>
          </cell>
        </row>
        <row r="64">
          <cell r="A64" t="str">
            <v>A4200</v>
          </cell>
          <cell r="B64" t="str">
            <v>A4200</v>
          </cell>
          <cell r="C64" t="str">
            <v>Val. Allow. / invest. in subs. and aff.</v>
          </cell>
          <cell r="D64" t="str">
            <v>A02055</v>
          </cell>
        </row>
        <row r="65">
          <cell r="A65" t="str">
            <v>A4500</v>
          </cell>
          <cell r="B65" t="str">
            <v>A4500</v>
          </cell>
          <cell r="C65" t="str">
            <v>Val. Allow. / Portfolio invest. sec.</v>
          </cell>
          <cell r="D65" t="str">
            <v>A02060</v>
          </cell>
        </row>
        <row r="66">
          <cell r="A66" t="str">
            <v>A4702</v>
          </cell>
          <cell r="B66" t="str">
            <v>A4702</v>
          </cell>
          <cell r="C66" t="str">
            <v>Val. Allow. / LT loans bearing interests</v>
          </cell>
          <cell r="D66" t="str">
            <v>A02065</v>
          </cell>
        </row>
        <row r="67">
          <cell r="A67" t="str">
            <v>A4750</v>
          </cell>
          <cell r="B67" t="str">
            <v>A4750</v>
          </cell>
          <cell r="C67" t="str">
            <v>Val. Allow. / Other LT investments</v>
          </cell>
          <cell r="D67" t="str">
            <v>A02070</v>
          </cell>
        </row>
        <row r="68">
          <cell r="B68" t="e">
            <v>#N/A</v>
          </cell>
        </row>
        <row r="69">
          <cell r="A69" t="str">
            <v>A3150</v>
          </cell>
          <cell r="B69" t="str">
            <v>A3150</v>
          </cell>
          <cell r="C69" t="str">
            <v>Owned property - other tangible assets</v>
          </cell>
          <cell r="D69" t="str">
            <v>A02155</v>
          </cell>
        </row>
        <row r="70">
          <cell r="A70" t="str">
            <v>A3150</v>
          </cell>
          <cell r="B70" t="str">
            <v>A3150</v>
          </cell>
          <cell r="C70" t="str">
            <v>Owned property - other tangible assets</v>
          </cell>
          <cell r="D70" t="str">
            <v>A02155</v>
          </cell>
        </row>
        <row r="71">
          <cell r="A71" t="str">
            <v>A3106</v>
          </cell>
          <cell r="B71" t="str">
            <v>A3106</v>
          </cell>
          <cell r="C71" t="str">
            <v>Owned property - Equipment &amp; machinery</v>
          </cell>
          <cell r="D71" t="str">
            <v>A02155</v>
          </cell>
        </row>
        <row r="72">
          <cell r="A72" t="str">
            <v>A3104</v>
          </cell>
          <cell r="B72" t="str">
            <v>A3104</v>
          </cell>
          <cell r="C72" t="str">
            <v>Owned property - buildings</v>
          </cell>
          <cell r="D72" t="str">
            <v>A02155</v>
          </cell>
        </row>
        <row r="73">
          <cell r="A73" t="str">
            <v>A3102</v>
          </cell>
          <cell r="B73" t="str">
            <v>A3102</v>
          </cell>
          <cell r="C73" t="str">
            <v>Owned property - land</v>
          </cell>
          <cell r="D73" t="str">
            <v>A02155</v>
          </cell>
        </row>
        <row r="74">
          <cell r="A74" t="str">
            <v>A3304</v>
          </cell>
          <cell r="B74" t="str">
            <v>A3304</v>
          </cell>
          <cell r="C74" t="str">
            <v>Pub.-owned tang. ass. under construction</v>
          </cell>
          <cell r="D74" t="str">
            <v>A02155</v>
          </cell>
        </row>
        <row r="75">
          <cell r="A75" t="str">
            <v>A3302</v>
          </cell>
          <cell r="B75" t="str">
            <v>A3302</v>
          </cell>
          <cell r="C75" t="str">
            <v>Owned tangible assets under construction</v>
          </cell>
          <cell r="D75" t="str">
            <v>A02155</v>
          </cell>
        </row>
        <row r="76">
          <cell r="A76" t="str">
            <v>A3200</v>
          </cell>
          <cell r="B76" t="str">
            <v>A3200</v>
          </cell>
          <cell r="C76" t="str">
            <v>Publicly-owned utility networks</v>
          </cell>
          <cell r="D76" t="str">
            <v>A02155</v>
          </cell>
        </row>
        <row r="77">
          <cell r="A77" t="str">
            <v>A33L</v>
          </cell>
          <cell r="B77" t="str">
            <v>A33L</v>
          </cell>
          <cell r="C77" t="str">
            <v>Other tang. assets  -  suspens Account.</v>
          </cell>
          <cell r="D77" t="str">
            <v>A02155</v>
          </cell>
        </row>
        <row r="78">
          <cell r="B78" t="e">
            <v>#N/A</v>
          </cell>
        </row>
        <row r="79">
          <cell r="A79" t="str">
            <v>A3450</v>
          </cell>
          <cell r="B79" t="str">
            <v>A3450</v>
          </cell>
          <cell r="C79" t="str">
            <v>Acc. D&amp;A Owned prop. - other tang. ass.</v>
          </cell>
          <cell r="D79" t="str">
            <v>A02160</v>
          </cell>
        </row>
        <row r="80">
          <cell r="A80" t="str">
            <v>A3604</v>
          </cell>
          <cell r="B80" t="str">
            <v>A3604</v>
          </cell>
          <cell r="C80" t="str">
            <v>Acc. Dep. Pub.-owned tang. ass. /constr.</v>
          </cell>
          <cell r="D80" t="str">
            <v>A02160</v>
          </cell>
        </row>
        <row r="81">
          <cell r="A81" t="str">
            <v>A3602</v>
          </cell>
          <cell r="B81" t="str">
            <v>A3602</v>
          </cell>
          <cell r="C81" t="str">
            <v>Acc. Dep. Owned tang. ass. /constr.</v>
          </cell>
          <cell r="D81" t="str">
            <v>A02160</v>
          </cell>
        </row>
        <row r="82">
          <cell r="A82" t="str">
            <v>A3502</v>
          </cell>
          <cell r="B82" t="str">
            <v>A3502</v>
          </cell>
          <cell r="C82" t="str">
            <v>Acc. D&amp;A Publicly-owned utility netwk</v>
          </cell>
          <cell r="D82" t="str">
            <v>A02160</v>
          </cell>
        </row>
        <row r="83">
          <cell r="A83" t="str">
            <v>A3450</v>
          </cell>
          <cell r="B83" t="str">
            <v>A3450</v>
          </cell>
          <cell r="C83" t="str">
            <v>Acc. D&amp;A Owned prop. - other tang. ass.</v>
          </cell>
          <cell r="D83" t="str">
            <v>A02160</v>
          </cell>
        </row>
        <row r="84">
          <cell r="A84" t="str">
            <v>A3406</v>
          </cell>
          <cell r="B84" t="str">
            <v>A3406</v>
          </cell>
          <cell r="C84" t="str">
            <v>Acc. D&amp;A Owned prop. - equip. &amp; mach.</v>
          </cell>
          <cell r="D84" t="str">
            <v>A02160</v>
          </cell>
        </row>
        <row r="85">
          <cell r="A85" t="str">
            <v>A3404</v>
          </cell>
          <cell r="B85" t="str">
            <v>A3404</v>
          </cell>
          <cell r="C85" t="str">
            <v>Acc. D&amp;A Owned prop. - buildings</v>
          </cell>
          <cell r="D85" t="str">
            <v>A02160</v>
          </cell>
        </row>
        <row r="86">
          <cell r="A86" t="str">
            <v>A3402</v>
          </cell>
          <cell r="B86" t="str">
            <v>A3402</v>
          </cell>
          <cell r="C86" t="str">
            <v>Acc. D&amp;A Owned prop. - land</v>
          </cell>
          <cell r="D86" t="str">
            <v>A02160</v>
          </cell>
        </row>
        <row r="87">
          <cell r="B87" t="e">
            <v>#N/A</v>
          </cell>
        </row>
        <row r="88">
          <cell r="A88" t="str">
            <v>A1112</v>
          </cell>
          <cell r="B88" t="str">
            <v>A1112</v>
          </cell>
          <cell r="C88" t="str">
            <v>Audiovisual &amp; musical rights</v>
          </cell>
          <cell r="D88" t="str">
            <v>A02205</v>
          </cell>
        </row>
        <row r="89">
          <cell r="A89" t="str">
            <v>A1120</v>
          </cell>
          <cell r="B89" t="str">
            <v>A1120</v>
          </cell>
          <cell r="C89" t="str">
            <v>Catalogs</v>
          </cell>
          <cell r="D89" t="str">
            <v>A02210</v>
          </cell>
        </row>
        <row r="90">
          <cell r="B90" t="e">
            <v>#N/A</v>
          </cell>
          <cell r="D90" t="str">
            <v>A02215</v>
          </cell>
        </row>
        <row r="91">
          <cell r="A91" t="str">
            <v>A1212</v>
          </cell>
          <cell r="B91" t="str">
            <v>A1212</v>
          </cell>
          <cell r="C91" t="str">
            <v>Acc. D&amp;A Audiovisual &amp; musical rights</v>
          </cell>
          <cell r="D91" t="str">
            <v>A02220</v>
          </cell>
        </row>
        <row r="92">
          <cell r="A92" t="str">
            <v>A1220</v>
          </cell>
          <cell r="B92" t="str">
            <v>A1220</v>
          </cell>
          <cell r="C92" t="str">
            <v>Acc. D&amp;A Catalogs</v>
          </cell>
          <cell r="D92" t="str">
            <v>A02220</v>
          </cell>
        </row>
        <row r="93">
          <cell r="B93" t="e">
            <v>#N/A</v>
          </cell>
          <cell r="D93" t="str">
            <v>A02255</v>
          </cell>
        </row>
        <row r="94">
          <cell r="B94" t="e">
            <v>#N/A</v>
          </cell>
          <cell r="D94" t="str">
            <v>A02260</v>
          </cell>
        </row>
        <row r="95">
          <cell r="B95" t="e">
            <v>#N/A</v>
          </cell>
          <cell r="D95" t="str">
            <v>A02265</v>
          </cell>
        </row>
        <row r="96">
          <cell r="B96" t="e">
            <v>#N/A</v>
          </cell>
        </row>
        <row r="97">
          <cell r="A97" t="str">
            <v>A1108</v>
          </cell>
          <cell r="B97" t="str">
            <v>A1108</v>
          </cell>
          <cell r="C97" t="str">
            <v>Editorial resources</v>
          </cell>
          <cell r="D97" t="str">
            <v>A02305</v>
          </cell>
        </row>
        <row r="98">
          <cell r="A98" t="str">
            <v>A1208</v>
          </cell>
          <cell r="B98" t="str">
            <v>A1208</v>
          </cell>
          <cell r="C98" t="str">
            <v>Acc. D&amp;A Editorial resources</v>
          </cell>
          <cell r="D98" t="str">
            <v>A02310</v>
          </cell>
        </row>
        <row r="99">
          <cell r="B99" t="e">
            <v>#N/A</v>
          </cell>
        </row>
        <row r="100">
          <cell r="B100" t="e">
            <v>#N/A</v>
          </cell>
          <cell r="D100" t="str">
            <v>A02355</v>
          </cell>
        </row>
        <row r="101">
          <cell r="B101" t="e">
            <v>#N/A</v>
          </cell>
          <cell r="D101" t="str">
            <v>A02360</v>
          </cell>
        </row>
        <row r="102">
          <cell r="B102" t="e">
            <v>#N/A</v>
          </cell>
        </row>
        <row r="103">
          <cell r="A103" t="str">
            <v>A1300</v>
          </cell>
          <cell r="B103" t="str">
            <v>A1300</v>
          </cell>
          <cell r="C103" t="str">
            <v>Deferred charges</v>
          </cell>
          <cell r="D103" t="str">
            <v>A02405</v>
          </cell>
        </row>
        <row r="104">
          <cell r="B104" t="e">
            <v>#N/A</v>
          </cell>
        </row>
        <row r="105">
          <cell r="A105" t="str">
            <v>A1150</v>
          </cell>
          <cell r="B105" t="str">
            <v>A1150</v>
          </cell>
          <cell r="C105" t="str">
            <v>Other intangible assets</v>
          </cell>
          <cell r="D105" t="str">
            <v>A02410</v>
          </cell>
        </row>
        <row r="106">
          <cell r="B106" t="e">
            <v>#N/A</v>
          </cell>
        </row>
        <row r="107">
          <cell r="B107" t="e">
            <v>#N/A</v>
          </cell>
        </row>
        <row r="108">
          <cell r="B108" t="e">
            <v>#N/A</v>
          </cell>
        </row>
        <row r="109">
          <cell r="A109" t="str">
            <v>A11L</v>
          </cell>
          <cell r="B109" t="str">
            <v>A11L</v>
          </cell>
          <cell r="C109" t="str">
            <v>Other int. assets -  suspens Account.</v>
          </cell>
          <cell r="D109" t="str">
            <v>A02410</v>
          </cell>
        </row>
        <row r="110">
          <cell r="A110" t="str">
            <v>A1118</v>
          </cell>
          <cell r="B110" t="str">
            <v>A1118</v>
          </cell>
          <cell r="C110" t="str">
            <v>Other start-up costs</v>
          </cell>
          <cell r="D110" t="str">
            <v>A02410</v>
          </cell>
        </row>
        <row r="111">
          <cell r="A111" t="str">
            <v>A1116</v>
          </cell>
          <cell r="B111" t="str">
            <v>A1116</v>
          </cell>
          <cell r="C111" t="str">
            <v>Advertising costs</v>
          </cell>
          <cell r="D111" t="str">
            <v>A02410</v>
          </cell>
        </row>
        <row r="112">
          <cell r="A112" t="str">
            <v>A1114</v>
          </cell>
          <cell r="B112" t="str">
            <v>A1114</v>
          </cell>
          <cell r="C112" t="str">
            <v>R&amp;D costs</v>
          </cell>
          <cell r="D112" t="str">
            <v>A02410</v>
          </cell>
        </row>
        <row r="113">
          <cell r="A113" t="str">
            <v>A1114</v>
          </cell>
          <cell r="B113" t="str">
            <v>A1114</v>
          </cell>
          <cell r="C113" t="str">
            <v>R&amp;D costs</v>
          </cell>
          <cell r="D113" t="str">
            <v>A02410</v>
          </cell>
        </row>
        <row r="114">
          <cell r="A114" t="str">
            <v>A1110</v>
          </cell>
          <cell r="B114" t="str">
            <v>A1110</v>
          </cell>
          <cell r="C114" t="str">
            <v>Software</v>
          </cell>
          <cell r="D114" t="str">
            <v>A02410</v>
          </cell>
        </row>
        <row r="115">
          <cell r="A115" t="str">
            <v>A1106</v>
          </cell>
          <cell r="B115" t="str">
            <v>A1106</v>
          </cell>
          <cell r="C115" t="str">
            <v>Business</v>
          </cell>
          <cell r="D115" t="str">
            <v>A02410</v>
          </cell>
        </row>
        <row r="116">
          <cell r="A116" t="str">
            <v>A1104</v>
          </cell>
          <cell r="B116" t="str">
            <v>A1104</v>
          </cell>
          <cell r="C116" t="str">
            <v>Trademarks</v>
          </cell>
          <cell r="D116" t="str">
            <v>A02410</v>
          </cell>
        </row>
        <row r="117">
          <cell r="A117" t="str">
            <v>A1102</v>
          </cell>
          <cell r="B117" t="str">
            <v>A1102</v>
          </cell>
          <cell r="C117" t="str">
            <v>Fees paid to local authorities</v>
          </cell>
          <cell r="D117" t="str">
            <v>A02410</v>
          </cell>
        </row>
        <row r="118">
          <cell r="B118" t="e">
            <v>#N/A</v>
          </cell>
        </row>
        <row r="119">
          <cell r="A119" t="str">
            <v>A1250</v>
          </cell>
          <cell r="B119" t="str">
            <v>A1250</v>
          </cell>
          <cell r="C119" t="str">
            <v>Acc. D&amp;A Other intangible assets</v>
          </cell>
          <cell r="D119" t="str">
            <v>A02455</v>
          </cell>
        </row>
        <row r="120">
          <cell r="B120" t="e">
            <v>#N/A</v>
          </cell>
        </row>
        <row r="121">
          <cell r="B121" t="e">
            <v>#N/A</v>
          </cell>
        </row>
        <row r="122">
          <cell r="B122" t="e">
            <v>#N/A</v>
          </cell>
        </row>
        <row r="123">
          <cell r="A123" t="str">
            <v>A1218</v>
          </cell>
          <cell r="B123" t="str">
            <v>A1218</v>
          </cell>
          <cell r="C123" t="str">
            <v>Acc. D&amp;A Other start-up costs</v>
          </cell>
          <cell r="D123" t="str">
            <v>A02455</v>
          </cell>
        </row>
        <row r="124">
          <cell r="A124" t="str">
            <v>A1216</v>
          </cell>
          <cell r="B124" t="str">
            <v>A1216</v>
          </cell>
          <cell r="C124" t="str">
            <v>Acc. D&amp;A Advertising costs</v>
          </cell>
          <cell r="D124" t="str">
            <v>A02455</v>
          </cell>
        </row>
        <row r="125">
          <cell r="A125" t="str">
            <v>A1214</v>
          </cell>
          <cell r="B125" t="str">
            <v>A1214</v>
          </cell>
          <cell r="C125" t="str">
            <v>Acc. D&amp;A R&amp;D costs</v>
          </cell>
          <cell r="D125" t="str">
            <v>A02455</v>
          </cell>
        </row>
        <row r="126">
          <cell r="A126" t="str">
            <v>A1214</v>
          </cell>
          <cell r="B126" t="str">
            <v>A1214</v>
          </cell>
          <cell r="C126" t="str">
            <v>Acc. D&amp;A R&amp;D costs</v>
          </cell>
          <cell r="D126" t="str">
            <v>A02455</v>
          </cell>
        </row>
        <row r="127">
          <cell r="A127" t="str">
            <v>A1210</v>
          </cell>
          <cell r="B127" t="str">
            <v>A1210</v>
          </cell>
          <cell r="C127" t="str">
            <v>Acc. D&amp;A Softwares</v>
          </cell>
          <cell r="D127" t="str">
            <v>A02455</v>
          </cell>
        </row>
        <row r="128">
          <cell r="A128" t="str">
            <v>A1206</v>
          </cell>
          <cell r="B128" t="str">
            <v>A1206</v>
          </cell>
          <cell r="C128" t="str">
            <v>Acc. D&amp;A Business</v>
          </cell>
          <cell r="D128" t="str">
            <v>A02455</v>
          </cell>
        </row>
        <row r="129">
          <cell r="A129" t="str">
            <v>A1204</v>
          </cell>
          <cell r="B129" t="str">
            <v>A1204</v>
          </cell>
          <cell r="C129" t="str">
            <v>Acc. D&amp;A Trademarks</v>
          </cell>
          <cell r="D129" t="str">
            <v>A02455</v>
          </cell>
        </row>
        <row r="130">
          <cell r="A130" t="str">
            <v>A1202</v>
          </cell>
          <cell r="B130" t="str">
            <v>A1202</v>
          </cell>
          <cell r="C130" t="str">
            <v>Acc. D&amp;A Fees paid to local authorities</v>
          </cell>
          <cell r="D130" t="str">
            <v>A02455</v>
          </cell>
        </row>
        <row r="131">
          <cell r="B131" t="e">
            <v>#N/A</v>
          </cell>
        </row>
        <row r="132">
          <cell r="A132" t="str">
            <v>A2100</v>
          </cell>
          <cell r="B132" t="str">
            <v>A2100</v>
          </cell>
          <cell r="C132" t="str">
            <v>Goodwill (consolidated subs.)</v>
          </cell>
          <cell r="D132" t="str">
            <v>A02555</v>
          </cell>
        </row>
        <row r="133">
          <cell r="A133" t="str">
            <v>A2200</v>
          </cell>
          <cell r="B133" t="str">
            <v>A2200</v>
          </cell>
          <cell r="C133" t="str">
            <v>Acc. D&amp;A Goodwill (consolidated subs.)</v>
          </cell>
          <cell r="D133" t="str">
            <v>A02560</v>
          </cell>
        </row>
        <row r="137">
          <cell r="A137" t="str">
            <v>L4999</v>
          </cell>
          <cell r="B137" t="str">
            <v>L4999</v>
          </cell>
          <cell r="C137" t="str">
            <v>Account for multi-business (balance A=L)</v>
          </cell>
          <cell r="D137" t="str">
            <v>L01005</v>
          </cell>
        </row>
        <row r="138">
          <cell r="A138" t="str">
            <v>L4204</v>
          </cell>
          <cell r="B138" t="str">
            <v>L4204</v>
          </cell>
          <cell r="C138" t="str">
            <v>Other non-operating liabilities</v>
          </cell>
          <cell r="D138" t="str">
            <v>L01005</v>
          </cell>
        </row>
        <row r="139">
          <cell r="B139" t="e">
            <v>#N/A</v>
          </cell>
        </row>
        <row r="140">
          <cell r="B140" t="e">
            <v>#N/A</v>
          </cell>
          <cell r="D140" t="str">
            <v>L01010</v>
          </cell>
        </row>
        <row r="141">
          <cell r="B141" t="e">
            <v>#N/A</v>
          </cell>
        </row>
        <row r="142">
          <cell r="A142" t="str">
            <v>L4302</v>
          </cell>
          <cell r="B142" t="str">
            <v>L4302</v>
          </cell>
          <cell r="C142" t="str">
            <v>Bk o/draft &amp; other cash position item</v>
          </cell>
          <cell r="D142" t="str">
            <v>L01050</v>
          </cell>
        </row>
        <row r="143">
          <cell r="A143" t="str">
            <v>L4300</v>
          </cell>
          <cell r="B143" t="str">
            <v>L4300</v>
          </cell>
          <cell r="C143" t="str">
            <v>Short term borrowings</v>
          </cell>
          <cell r="D143" t="str">
            <v>L01055</v>
          </cell>
        </row>
        <row r="144">
          <cell r="A144" t="str">
            <v>L4399L</v>
          </cell>
          <cell r="B144" t="str">
            <v>L4399L</v>
          </cell>
          <cell r="C144" t="str">
            <v>IC ST borrowgs - suspens account</v>
          </cell>
          <cell r="D144" t="str">
            <v>L01055</v>
          </cell>
        </row>
        <row r="145">
          <cell r="B145" t="e">
            <v>#N/A</v>
          </cell>
        </row>
        <row r="146">
          <cell r="B146" t="e">
            <v>#N/A</v>
          </cell>
          <cell r="D146" t="str">
            <v>L01205</v>
          </cell>
        </row>
        <row r="147">
          <cell r="A147" t="str">
            <v>L4102</v>
          </cell>
          <cell r="B147" t="str">
            <v>L4102</v>
          </cell>
          <cell r="C147" t="str">
            <v>Trade accounts payable</v>
          </cell>
          <cell r="D147" t="str">
            <v>L01210</v>
          </cell>
        </row>
        <row r="148">
          <cell r="B148" t="e">
            <v>#N/A</v>
          </cell>
        </row>
        <row r="149">
          <cell r="B149" t="e">
            <v>#N/A</v>
          </cell>
        </row>
        <row r="150">
          <cell r="B150" t="e">
            <v>#N/A</v>
          </cell>
        </row>
        <row r="151">
          <cell r="A151" t="str">
            <v>L4104</v>
          </cell>
          <cell r="B151" t="str">
            <v>L4104</v>
          </cell>
          <cell r="C151" t="str">
            <v>Foreign exchange translation gains</v>
          </cell>
          <cell r="D151" t="str">
            <v>L01215</v>
          </cell>
        </row>
        <row r="152">
          <cell r="A152" t="str">
            <v>L4106</v>
          </cell>
          <cell r="B152" t="str">
            <v>L4106</v>
          </cell>
          <cell r="C152" t="str">
            <v>Deferred income</v>
          </cell>
          <cell r="D152" t="str">
            <v>L01220</v>
          </cell>
        </row>
        <row r="153">
          <cell r="A153" t="str">
            <v>L4108</v>
          </cell>
          <cell r="B153" t="str">
            <v>L4108</v>
          </cell>
          <cell r="C153" t="str">
            <v>Other accounts payable</v>
          </cell>
          <cell r="D153" t="str">
            <v>L01225</v>
          </cell>
        </row>
        <row r="154">
          <cell r="A154" t="str">
            <v>L4199L</v>
          </cell>
          <cell r="B154" t="str">
            <v>L4199L</v>
          </cell>
          <cell r="C154" t="str">
            <v>IC accounts payable - suspens account</v>
          </cell>
          <cell r="D154" t="str">
            <v>L01225</v>
          </cell>
        </row>
        <row r="155">
          <cell r="A155" t="str">
            <v>L4199L</v>
          </cell>
          <cell r="B155" t="str">
            <v>L4199L</v>
          </cell>
          <cell r="C155" t="str">
            <v>IC accounts payable - suspens account</v>
          </cell>
          <cell r="D155" t="str">
            <v>L01225</v>
          </cell>
        </row>
        <row r="156">
          <cell r="A156" t="str">
            <v>L4299L</v>
          </cell>
          <cell r="B156" t="str">
            <v>L4299L</v>
          </cell>
          <cell r="C156" t="str">
            <v>IC non op. liabilities - suspens account</v>
          </cell>
          <cell r="D156" t="str">
            <v>L01225</v>
          </cell>
        </row>
        <row r="157">
          <cell r="B157" t="e">
            <v>#N/A</v>
          </cell>
          <cell r="D157" t="str">
            <v>L01230</v>
          </cell>
        </row>
        <row r="158">
          <cell r="B158" t="e">
            <v>#N/A</v>
          </cell>
        </row>
        <row r="159">
          <cell r="A159" t="str">
            <v>L3300</v>
          </cell>
          <cell r="B159" t="str">
            <v>L3300</v>
          </cell>
          <cell r="C159" t="str">
            <v>Subordinated debt</v>
          </cell>
          <cell r="D159" t="str">
            <v>L02005</v>
          </cell>
        </row>
        <row r="160">
          <cell r="A160" t="str">
            <v>L3402</v>
          </cell>
          <cell r="B160" t="str">
            <v>L3402</v>
          </cell>
          <cell r="C160" t="str">
            <v>Bonds</v>
          </cell>
          <cell r="D160" t="str">
            <v>L02010</v>
          </cell>
        </row>
        <row r="161">
          <cell r="B161" t="e">
            <v>#N/A</v>
          </cell>
        </row>
        <row r="162">
          <cell r="B162" t="e">
            <v>#N/A</v>
          </cell>
        </row>
        <row r="163">
          <cell r="A163" t="str">
            <v>L3406</v>
          </cell>
          <cell r="B163" t="str">
            <v>L3406</v>
          </cell>
          <cell r="C163" t="str">
            <v>Capital leases</v>
          </cell>
          <cell r="D163" t="str">
            <v>L02015</v>
          </cell>
        </row>
        <row r="164">
          <cell r="B164" t="e">
            <v>#N/A</v>
          </cell>
        </row>
        <row r="165">
          <cell r="A165" t="str">
            <v>L3408</v>
          </cell>
          <cell r="B165" t="str">
            <v>L3408</v>
          </cell>
          <cell r="C165" t="str">
            <v>Other financial LT debts</v>
          </cell>
          <cell r="D165" t="str">
            <v>L02030</v>
          </cell>
        </row>
        <row r="166">
          <cell r="B166" t="e">
            <v>#N/A</v>
          </cell>
        </row>
        <row r="167">
          <cell r="B167" t="e">
            <v>#N/A</v>
          </cell>
        </row>
        <row r="168">
          <cell r="A168" t="str">
            <v>L3404</v>
          </cell>
          <cell r="B168" t="str">
            <v>L3404</v>
          </cell>
          <cell r="C168" t="str">
            <v>Non recourse project financing</v>
          </cell>
          <cell r="D168" t="str">
            <v>L02030</v>
          </cell>
        </row>
        <row r="169">
          <cell r="A169" t="str">
            <v>L3499L</v>
          </cell>
          <cell r="B169" t="str">
            <v>L3499L</v>
          </cell>
          <cell r="C169" t="str">
            <v>IC LT liabilities - suspens account</v>
          </cell>
          <cell r="D169" t="str">
            <v>L02030</v>
          </cell>
        </row>
        <row r="170">
          <cell r="B170" t="e">
            <v>#N/A</v>
          </cell>
        </row>
        <row r="171">
          <cell r="A171" t="str">
            <v>L4110</v>
          </cell>
          <cell r="B171" t="str">
            <v>L4110</v>
          </cell>
          <cell r="C171" t="str">
            <v>Authors rights &amp; royalties payable</v>
          </cell>
          <cell r="D171" t="str">
            <v>LX2160</v>
          </cell>
        </row>
        <row r="172">
          <cell r="A172" t="str">
            <v>L4202</v>
          </cell>
          <cell r="B172" t="str">
            <v>L4202</v>
          </cell>
          <cell r="C172" t="str">
            <v>Deferred tax liability</v>
          </cell>
          <cell r="D172" t="str">
            <v>L02305</v>
          </cell>
        </row>
        <row r="173">
          <cell r="A173" t="str">
            <v>L3102</v>
          </cell>
          <cell r="B173" t="str">
            <v>L3102</v>
          </cell>
          <cell r="C173" t="str">
            <v>Repayable grants related to assets</v>
          </cell>
          <cell r="D173" t="str">
            <v>L02310</v>
          </cell>
        </row>
        <row r="174">
          <cell r="A174" t="str">
            <v>L3104</v>
          </cell>
          <cell r="B174" t="str">
            <v>L3104</v>
          </cell>
          <cell r="C174" t="str">
            <v>Other grants</v>
          </cell>
          <cell r="D174" t="str">
            <v>L02315</v>
          </cell>
        </row>
        <row r="175">
          <cell r="B175" t="e">
            <v>#N/A</v>
          </cell>
        </row>
        <row r="176">
          <cell r="A176" t="str">
            <v>L3500</v>
          </cell>
          <cell r="B176" t="str">
            <v>L3500</v>
          </cell>
          <cell r="C176" t="str">
            <v>Other LT liabilities</v>
          </cell>
          <cell r="D176" t="str">
            <v>L02325</v>
          </cell>
        </row>
        <row r="177">
          <cell r="D177" t="str">
            <v>L02320</v>
          </cell>
        </row>
        <row r="178">
          <cell r="B178" t="e">
            <v>#N/A</v>
          </cell>
          <cell r="D178" t="str">
            <v>LX2330</v>
          </cell>
        </row>
        <row r="179">
          <cell r="B179" t="e">
            <v>#N/A</v>
          </cell>
        </row>
        <row r="180">
          <cell r="A180" t="str">
            <v>L3106</v>
          </cell>
          <cell r="B180" t="str">
            <v>L3106</v>
          </cell>
          <cell r="C180" t="str">
            <v>Other LT deferred income</v>
          </cell>
          <cell r="D180" t="str">
            <v>L02355</v>
          </cell>
        </row>
        <row r="181">
          <cell r="B181" t="e">
            <v>#N/A</v>
          </cell>
        </row>
        <row r="182">
          <cell r="A182" t="str">
            <v>L3250</v>
          </cell>
          <cell r="B182" t="str">
            <v>L3250</v>
          </cell>
          <cell r="C182" t="str">
            <v>Other reserves and allowances</v>
          </cell>
          <cell r="D182" t="str">
            <v>L02410</v>
          </cell>
        </row>
        <row r="183">
          <cell r="B183" t="e">
            <v>#N/A</v>
          </cell>
          <cell r="D183" t="str">
            <v>L02410</v>
          </cell>
        </row>
        <row r="184">
          <cell r="B184" t="e">
            <v>#N/A</v>
          </cell>
          <cell r="D184" t="str">
            <v>L02415</v>
          </cell>
        </row>
        <row r="185">
          <cell r="B185" t="e">
            <v>#N/A</v>
          </cell>
        </row>
        <row r="186">
          <cell r="B186" t="e">
            <v>#N/A</v>
          </cell>
        </row>
        <row r="187">
          <cell r="A187" t="str">
            <v>L3244</v>
          </cell>
          <cell r="B187" t="str">
            <v>L3244</v>
          </cell>
          <cell r="C187" t="str">
            <v>Res./allow. for castastrophic events</v>
          </cell>
          <cell r="D187" t="str">
            <v>L02405</v>
          </cell>
        </row>
        <row r="188">
          <cell r="A188" t="str">
            <v>L3242</v>
          </cell>
          <cell r="B188" t="str">
            <v>L3242</v>
          </cell>
          <cell r="C188" t="str">
            <v>Res./allow. for self insurance</v>
          </cell>
          <cell r="D188" t="str">
            <v>L02405</v>
          </cell>
        </row>
        <row r="189">
          <cell r="A189" t="str">
            <v>L3240</v>
          </cell>
          <cell r="B189" t="str">
            <v>L3240</v>
          </cell>
          <cell r="C189" t="str">
            <v>Res./allow. for warranties &amp; cust. care</v>
          </cell>
          <cell r="D189" t="str">
            <v>L02405</v>
          </cell>
        </row>
        <row r="190">
          <cell r="A190" t="str">
            <v>L3238</v>
          </cell>
          <cell r="B190" t="str">
            <v>L3238</v>
          </cell>
          <cell r="C190" t="str">
            <v>Res./allow. for fiscal litigation</v>
          </cell>
          <cell r="D190" t="str">
            <v>L02405</v>
          </cell>
        </row>
        <row r="191">
          <cell r="A191" t="str">
            <v>L3236</v>
          </cell>
          <cell r="B191" t="str">
            <v>L3236</v>
          </cell>
          <cell r="C191" t="str">
            <v>Res./allow. for foreign exchange losses</v>
          </cell>
          <cell r="D191" t="str">
            <v>L02405</v>
          </cell>
        </row>
        <row r="192">
          <cell r="A192" t="str">
            <v>L3234</v>
          </cell>
          <cell r="B192" t="str">
            <v>L3234</v>
          </cell>
          <cell r="C192" t="str">
            <v>Res./allow. for other employee benefits</v>
          </cell>
          <cell r="D192" t="str">
            <v>L02405</v>
          </cell>
        </row>
        <row r="193">
          <cell r="A193" t="str">
            <v>L3232</v>
          </cell>
          <cell r="B193" t="str">
            <v>L3232</v>
          </cell>
          <cell r="C193" t="str">
            <v>Res./allow. for pensions</v>
          </cell>
          <cell r="D193" t="str">
            <v>L02405</v>
          </cell>
        </row>
        <row r="194">
          <cell r="A194" t="str">
            <v>L3230</v>
          </cell>
          <cell r="B194" t="str">
            <v>L3230</v>
          </cell>
          <cell r="C194" t="str">
            <v>Res./allow for legal action by employees</v>
          </cell>
          <cell r="D194" t="str">
            <v>L02405</v>
          </cell>
        </row>
        <row r="195">
          <cell r="A195" t="str">
            <v>L3228</v>
          </cell>
          <cell r="B195" t="str">
            <v>L3228</v>
          </cell>
          <cell r="C195" t="str">
            <v>Res./allow. for expropriation</v>
          </cell>
          <cell r="D195" t="str">
            <v>L02405</v>
          </cell>
        </row>
        <row r="196">
          <cell r="A196" t="str">
            <v>L3226</v>
          </cell>
          <cell r="B196" t="str">
            <v>L3226</v>
          </cell>
          <cell r="C196" t="str">
            <v>Res./allow. for site restoration</v>
          </cell>
          <cell r="D196" t="str">
            <v>L02405</v>
          </cell>
        </row>
        <row r="197">
          <cell r="A197" t="str">
            <v>L3224</v>
          </cell>
          <cell r="B197" t="str">
            <v>L3224</v>
          </cell>
          <cell r="C197" t="str">
            <v>Res./allow. for plant dismantling</v>
          </cell>
          <cell r="D197" t="str">
            <v>L02405</v>
          </cell>
        </row>
        <row r="198">
          <cell r="A198" t="str">
            <v>L3222</v>
          </cell>
          <cell r="B198" t="str">
            <v>L3222</v>
          </cell>
          <cell r="C198" t="str">
            <v>Res./allow. for major repair</v>
          </cell>
          <cell r="D198" t="str">
            <v>L02405</v>
          </cell>
        </row>
        <row r="199">
          <cell r="A199" t="str">
            <v>L3220</v>
          </cell>
          <cell r="B199" t="str">
            <v>L3220</v>
          </cell>
          <cell r="C199" t="str">
            <v>Res./allow. for LT contracts losses</v>
          </cell>
          <cell r="D199" t="str">
            <v>L02405</v>
          </cell>
        </row>
        <row r="200">
          <cell r="A200" t="str">
            <v>L3218</v>
          </cell>
          <cell r="B200" t="str">
            <v>L3218</v>
          </cell>
          <cell r="C200" t="str">
            <v>Res./allow. for termination losses</v>
          </cell>
          <cell r="D200" t="str">
            <v>L02405</v>
          </cell>
        </row>
        <row r="201">
          <cell r="A201" t="str">
            <v>L3216</v>
          </cell>
          <cell r="B201" t="str">
            <v>L3216</v>
          </cell>
          <cell r="C201" t="str">
            <v>Res./allow. for other restructuring</v>
          </cell>
          <cell r="D201" t="str">
            <v>L02405</v>
          </cell>
        </row>
        <row r="202">
          <cell r="A202" t="str">
            <v>L3214</v>
          </cell>
          <cell r="B202" t="str">
            <v>L3214</v>
          </cell>
          <cell r="C202" t="str">
            <v>Res./allow. for technological restruct.</v>
          </cell>
          <cell r="D202" t="str">
            <v>L02405</v>
          </cell>
        </row>
        <row r="203">
          <cell r="A203" t="str">
            <v>L3212</v>
          </cell>
          <cell r="B203" t="str">
            <v>L3212</v>
          </cell>
          <cell r="C203" t="str">
            <v>Res./allow. for litigation</v>
          </cell>
          <cell r="D203" t="str">
            <v>L02405</v>
          </cell>
        </row>
        <row r="204">
          <cell r="A204" t="str">
            <v>L3210</v>
          </cell>
          <cell r="B204" t="str">
            <v>L3210</v>
          </cell>
          <cell r="C204" t="str">
            <v>Res./allow. for subsidiries' losses</v>
          </cell>
          <cell r="D204" t="str">
            <v>L02405</v>
          </cell>
        </row>
        <row r="205">
          <cell r="A205" t="str">
            <v>L3208</v>
          </cell>
          <cell r="B205" t="str">
            <v>L3208</v>
          </cell>
          <cell r="C205" t="str">
            <v>Res./allow. for general risks</v>
          </cell>
          <cell r="D205" t="str">
            <v>L02405</v>
          </cell>
        </row>
        <row r="206">
          <cell r="A206" t="str">
            <v>L3206</v>
          </cell>
          <cell r="B206" t="str">
            <v>L3206</v>
          </cell>
          <cell r="C206" t="str">
            <v>Res./allow. for replac &amp; full guarantee</v>
          </cell>
          <cell r="D206" t="str">
            <v>L02405</v>
          </cell>
        </row>
        <row r="207">
          <cell r="A207" t="str">
            <v>L3246</v>
          </cell>
          <cell r="B207" t="str">
            <v>L3246</v>
          </cell>
          <cell r="C207" t="str">
            <v>Res./allow. for write-down of  LT assets</v>
          </cell>
          <cell r="D207" t="str">
            <v>L02405</v>
          </cell>
        </row>
        <row r="208">
          <cell r="A208" t="str">
            <v>L3204</v>
          </cell>
          <cell r="B208" t="str">
            <v>L3204</v>
          </cell>
          <cell r="C208" t="str">
            <v>Amortization of assets under concession</v>
          </cell>
          <cell r="D208" t="str">
            <v>L02405</v>
          </cell>
        </row>
        <row r="209">
          <cell r="A209" t="str">
            <v>L3202</v>
          </cell>
          <cell r="B209" t="str">
            <v>L3202</v>
          </cell>
          <cell r="C209" t="str">
            <v>Regulated provisions</v>
          </cell>
          <cell r="D209" t="str">
            <v>L02405</v>
          </cell>
        </row>
        <row r="210">
          <cell r="A210" t="str">
            <v>L3202</v>
          </cell>
          <cell r="B210" t="str">
            <v>L3202</v>
          </cell>
          <cell r="C210" t="str">
            <v>Regulated provisions</v>
          </cell>
          <cell r="D210" t="str">
            <v>L02405</v>
          </cell>
        </row>
        <row r="211">
          <cell r="B211" t="e">
            <v>#N/A</v>
          </cell>
        </row>
        <row r="212">
          <cell r="A212" t="str">
            <v>L1100</v>
          </cell>
          <cell r="B212" t="str">
            <v>L1100</v>
          </cell>
          <cell r="C212" t="str">
            <v>Share capital</v>
          </cell>
          <cell r="D212" t="str">
            <v>L03005</v>
          </cell>
        </row>
        <row r="213">
          <cell r="A213" t="str">
            <v>L1200</v>
          </cell>
          <cell r="B213" t="str">
            <v>L1200</v>
          </cell>
          <cell r="C213" t="str">
            <v>Additional paid-in capital</v>
          </cell>
          <cell r="D213" t="str">
            <v>L03010</v>
          </cell>
        </row>
        <row r="214">
          <cell r="A214" t="str">
            <v>L1304</v>
          </cell>
          <cell r="B214" t="str">
            <v>L1304</v>
          </cell>
          <cell r="C214" t="str">
            <v>Minimum liability adjustment (USG)</v>
          </cell>
          <cell r="D214" t="str">
            <v>LX3015</v>
          </cell>
        </row>
        <row r="215">
          <cell r="B215" t="e">
            <v>#N/A</v>
          </cell>
          <cell r="D215" t="str">
            <v>LX3020</v>
          </cell>
        </row>
        <row r="216">
          <cell r="A216" t="str">
            <v>L1306</v>
          </cell>
          <cell r="B216" t="str">
            <v>L1306</v>
          </cell>
          <cell r="C216" t="str">
            <v>Unrealized G&amp;L on equity secs (USG)</v>
          </cell>
          <cell r="D216" t="str">
            <v>LX3025</v>
          </cell>
        </row>
        <row r="217">
          <cell r="A217" t="str">
            <v>L1502</v>
          </cell>
          <cell r="B217" t="str">
            <v>L1502</v>
          </cell>
          <cell r="C217" t="str">
            <v>Group -Foreign currency translation adj.</v>
          </cell>
          <cell r="D217" t="str">
            <v>L03030</v>
          </cell>
        </row>
        <row r="218">
          <cell r="A218" t="str">
            <v>L1302</v>
          </cell>
          <cell r="B218" t="str">
            <v>L1302</v>
          </cell>
          <cell r="C218" t="str">
            <v>Retained earnings</v>
          </cell>
          <cell r="D218" t="str">
            <v>L03055</v>
          </cell>
        </row>
        <row r="219">
          <cell r="A219" t="str">
            <v>L1308</v>
          </cell>
          <cell r="B219" t="str">
            <v>L1308</v>
          </cell>
          <cell r="C219" t="str">
            <v>Revaluation reserves</v>
          </cell>
          <cell r="D219" t="str">
            <v>L03060</v>
          </cell>
        </row>
        <row r="220">
          <cell r="A220" t="str">
            <v>L1400</v>
          </cell>
          <cell r="B220" t="str">
            <v>L1400</v>
          </cell>
          <cell r="C220" t="str">
            <v>Net income /(expense)</v>
          </cell>
          <cell r="D220" t="str">
            <v>L03065</v>
          </cell>
        </row>
        <row r="221">
          <cell r="B221" t="e">
            <v>#N/A</v>
          </cell>
        </row>
        <row r="222">
          <cell r="A222" t="str">
            <v>A8102</v>
          </cell>
          <cell r="B222" t="str">
            <v>A8102</v>
          </cell>
          <cell r="C222" t="str">
            <v>Treasury shares</v>
          </cell>
          <cell r="D222" t="str">
            <v>LX3070</v>
          </cell>
        </row>
        <row r="223">
          <cell r="A223" t="str">
            <v>A8202</v>
          </cell>
          <cell r="B223" t="str">
            <v>A8202</v>
          </cell>
          <cell r="C223" t="str">
            <v>Val. Allow. / Treasury shares</v>
          </cell>
          <cell r="D223" t="str">
            <v>LX3075</v>
          </cell>
        </row>
        <row r="224">
          <cell r="B224" t="e">
            <v>#N/A</v>
          </cell>
        </row>
        <row r="225">
          <cell r="A225" t="str">
            <v>L1504</v>
          </cell>
          <cell r="B225" t="str">
            <v>L1504</v>
          </cell>
          <cell r="C225" t="str">
            <v>Group -Other  Retained Earnings</v>
          </cell>
          <cell r="D225" t="str">
            <v>L03080</v>
          </cell>
        </row>
        <row r="226">
          <cell r="A226" t="str">
            <v>L2102</v>
          </cell>
          <cell r="B226" t="str">
            <v>L2102</v>
          </cell>
          <cell r="C226" t="str">
            <v>Min. int. in fgn currency transl. adj.</v>
          </cell>
          <cell r="D226" t="str">
            <v>L03155</v>
          </cell>
        </row>
        <row r="227">
          <cell r="A227" t="str">
            <v>L2104</v>
          </cell>
          <cell r="B227" t="str">
            <v>L2104</v>
          </cell>
          <cell r="C227" t="str">
            <v>Min. int. in other retained earnings</v>
          </cell>
          <cell r="D227" t="str">
            <v>L03160</v>
          </cell>
        </row>
        <row r="228">
          <cell r="A228" t="str">
            <v>L2106</v>
          </cell>
          <cell r="B228" t="str">
            <v>L2106</v>
          </cell>
          <cell r="C228" t="str">
            <v>Min. int. in MLA (USG)</v>
          </cell>
          <cell r="D228" t="str">
            <v>LX3165</v>
          </cell>
        </row>
        <row r="229">
          <cell r="A229" t="str">
            <v>L2108</v>
          </cell>
          <cell r="B229" t="str">
            <v>L2108</v>
          </cell>
          <cell r="C229" t="str">
            <v>Min. int. in unrealized G&amp;L (USG)</v>
          </cell>
          <cell r="D229" t="str">
            <v>LX3170</v>
          </cell>
        </row>
        <row r="230">
          <cell r="A230" t="str">
            <v>L2200</v>
          </cell>
          <cell r="B230" t="str">
            <v>L2200</v>
          </cell>
          <cell r="C230" t="str">
            <v>Min. int. in inc./(exp.) of cons. subs.</v>
          </cell>
          <cell r="D230" t="str">
            <v>L03175</v>
          </cell>
        </row>
        <row r="232">
          <cell r="A232" t="str">
            <v>R1002</v>
          </cell>
          <cell r="B232" t="str">
            <v>R1002</v>
          </cell>
          <cell r="C232" t="str">
            <v>Sales</v>
          </cell>
          <cell r="D232" t="str">
            <v>R010</v>
          </cell>
        </row>
        <row r="233">
          <cell r="A233" t="str">
            <v>R1004</v>
          </cell>
          <cell r="B233" t="str">
            <v>R1004</v>
          </cell>
          <cell r="C233" t="str">
            <v>Rev. collected on behalf of 3rd parties</v>
          </cell>
          <cell r="D233" t="str">
            <v>R010</v>
          </cell>
        </row>
        <row r="234">
          <cell r="B234" t="e">
            <v>#N/A</v>
          </cell>
        </row>
        <row r="235">
          <cell r="A235" t="str">
            <v>R2102</v>
          </cell>
          <cell r="B235" t="str">
            <v>R2102</v>
          </cell>
          <cell r="C235" t="str">
            <v>Work-in progress &amp; capitalized prod.</v>
          </cell>
          <cell r="D235" t="str">
            <v>R02000</v>
          </cell>
        </row>
        <row r="236">
          <cell r="A236" t="str">
            <v>R2202N</v>
          </cell>
          <cell r="B236" t="str">
            <v>R2202N</v>
          </cell>
          <cell r="C236" t="str">
            <v>COS - industrial costs -excl.D&amp;A</v>
          </cell>
          <cell r="D236" t="str">
            <v>R02000</v>
          </cell>
        </row>
        <row r="237">
          <cell r="A237" t="str">
            <v>R2206N</v>
          </cell>
          <cell r="B237" t="str">
            <v>R2206N</v>
          </cell>
          <cell r="C237" t="str">
            <v>COS - creation costs -excl.D&amp;A</v>
          </cell>
          <cell r="D237" t="str">
            <v>R02000</v>
          </cell>
        </row>
        <row r="238">
          <cell r="A238" t="str">
            <v>R2210N</v>
          </cell>
          <cell r="B238" t="str">
            <v>R2210N</v>
          </cell>
          <cell r="C238" t="str">
            <v>COS - re-invoicing - Industrial costs</v>
          </cell>
          <cell r="D238" t="str">
            <v>R02000</v>
          </cell>
        </row>
        <row r="239">
          <cell r="A239" t="str">
            <v>R2212N</v>
          </cell>
          <cell r="B239" t="str">
            <v>R2212N</v>
          </cell>
          <cell r="C239" t="str">
            <v>COS -  re-invoicing - Creation costs</v>
          </cell>
          <cell r="D239" t="str">
            <v>R02000</v>
          </cell>
        </row>
        <row r="240">
          <cell r="A240" t="str">
            <v>R2214N</v>
          </cell>
          <cell r="B240" t="str">
            <v>R2214N</v>
          </cell>
          <cell r="C240" t="str">
            <v>COS - coedition expenses</v>
          </cell>
          <cell r="D240" t="str">
            <v>R02000</v>
          </cell>
        </row>
        <row r="241">
          <cell r="A241" t="str">
            <v>R2216N</v>
          </cell>
          <cell r="B241" t="str">
            <v>R2216N</v>
          </cell>
          <cell r="C241" t="str">
            <v>COS - coedition revenus</v>
          </cell>
          <cell r="D241" t="str">
            <v>R02000</v>
          </cell>
        </row>
        <row r="242">
          <cell r="B242" t="e">
            <v>#N/A</v>
          </cell>
        </row>
        <row r="243">
          <cell r="A243" t="str">
            <v>R2204N</v>
          </cell>
          <cell r="B243" t="str">
            <v>R2204N</v>
          </cell>
          <cell r="C243" t="str">
            <v>COS - industrial costs - D&amp;A</v>
          </cell>
          <cell r="D243" t="str">
            <v>R02005</v>
          </cell>
        </row>
        <row r="244">
          <cell r="A244" t="str">
            <v>R2208N</v>
          </cell>
          <cell r="B244" t="str">
            <v>R2208N</v>
          </cell>
          <cell r="C244" t="str">
            <v>COS - creation costs - D&amp;A</v>
          </cell>
          <cell r="D244" t="str">
            <v>R02005</v>
          </cell>
        </row>
        <row r="245">
          <cell r="B245" t="e">
            <v>#N/A</v>
          </cell>
          <cell r="D245" t="str">
            <v>R02010</v>
          </cell>
        </row>
        <row r="246">
          <cell r="A246" t="str">
            <v>R3102N</v>
          </cell>
          <cell r="B246" t="str">
            <v>R3102N</v>
          </cell>
          <cell r="C246" t="str">
            <v>R&amp;D - costs excl. D&amp;A</v>
          </cell>
          <cell r="D246" t="str">
            <v>R03000</v>
          </cell>
        </row>
        <row r="247">
          <cell r="A247" t="str">
            <v>R3106N</v>
          </cell>
          <cell r="B247" t="str">
            <v>R3106N</v>
          </cell>
          <cell r="C247" t="str">
            <v>R&amp;D -  re-invoicing</v>
          </cell>
          <cell r="D247" t="str">
            <v>R03000</v>
          </cell>
        </row>
        <row r="248">
          <cell r="A248" t="str">
            <v>R3202</v>
          </cell>
          <cell r="B248" t="str">
            <v>R3202</v>
          </cell>
          <cell r="C248" t="str">
            <v>SEL - advertising expenses</v>
          </cell>
          <cell r="D248" t="str">
            <v>R03000</v>
          </cell>
        </row>
        <row r="249">
          <cell r="A249" t="str">
            <v>R3204N</v>
          </cell>
          <cell r="B249" t="str">
            <v>R3204N</v>
          </cell>
          <cell r="C249" t="str">
            <v>SEL - distribution costs - excl. D&amp;A</v>
          </cell>
          <cell r="D249" t="str">
            <v>R03000</v>
          </cell>
        </row>
        <row r="250">
          <cell r="A250" t="str">
            <v>R3208N</v>
          </cell>
          <cell r="B250" t="str">
            <v>R3208N</v>
          </cell>
          <cell r="C250" t="str">
            <v>SEL - selling costs - excl. D&amp;A</v>
          </cell>
          <cell r="D250" t="str">
            <v>R03000</v>
          </cell>
        </row>
        <row r="251">
          <cell r="A251" t="str">
            <v>R3212N</v>
          </cell>
          <cell r="B251" t="str">
            <v>R3212N</v>
          </cell>
          <cell r="C251" t="str">
            <v>SEL - promotional costs - excl. D&amp;A</v>
          </cell>
          <cell r="D251" t="str">
            <v>R03000</v>
          </cell>
        </row>
        <row r="252">
          <cell r="A252" t="str">
            <v>R3216N</v>
          </cell>
          <cell r="B252" t="str">
            <v>R3216N</v>
          </cell>
          <cell r="C252" t="str">
            <v>SEL - re-invoicing-Distribution costs</v>
          </cell>
          <cell r="D252" t="str">
            <v>R03000</v>
          </cell>
        </row>
        <row r="253">
          <cell r="A253" t="str">
            <v>R3218N</v>
          </cell>
          <cell r="B253" t="str">
            <v>R3218N</v>
          </cell>
          <cell r="C253" t="str">
            <v>SEL - re-invoicing-Sales costs</v>
          </cell>
          <cell r="D253" t="str">
            <v>R03000</v>
          </cell>
        </row>
        <row r="254">
          <cell r="A254" t="str">
            <v>R3220N</v>
          </cell>
          <cell r="B254" t="str">
            <v>R3220N</v>
          </cell>
          <cell r="C254" t="str">
            <v>SEL -  re-invoicing-Promotion costs</v>
          </cell>
          <cell r="D254" t="str">
            <v>R03000</v>
          </cell>
        </row>
        <row r="255">
          <cell r="A255" t="str">
            <v>R3302N</v>
          </cell>
          <cell r="B255" t="str">
            <v>R3302N</v>
          </cell>
          <cell r="C255" t="str">
            <v>G&amp;A - costs excl. D&amp;A</v>
          </cell>
          <cell r="D255" t="str">
            <v>R03000</v>
          </cell>
        </row>
        <row r="256">
          <cell r="A256" t="str">
            <v>R3306N</v>
          </cell>
          <cell r="B256" t="str">
            <v>R3306N</v>
          </cell>
          <cell r="C256" t="str">
            <v>G&amp;A -  re-invoicing</v>
          </cell>
          <cell r="D256" t="str">
            <v>R03000</v>
          </cell>
        </row>
        <row r="257">
          <cell r="A257" t="str">
            <v>R3402A</v>
          </cell>
          <cell r="B257" t="str">
            <v>R3402A</v>
          </cell>
          <cell r="C257" t="str">
            <v>Adjustment column</v>
          </cell>
          <cell r="D257" t="str">
            <v>R03000</v>
          </cell>
        </row>
        <row r="258">
          <cell r="A258" t="str">
            <v>R3499L</v>
          </cell>
          <cell r="B258" t="str">
            <v>R3499L</v>
          </cell>
          <cell r="C258" t="str">
            <v>IC Op. margin expenses - suspens account</v>
          </cell>
          <cell r="D258" t="str">
            <v>R03000</v>
          </cell>
        </row>
        <row r="259">
          <cell r="B259" t="e">
            <v>#N/A</v>
          </cell>
          <cell r="D259" t="str">
            <v>R030L</v>
          </cell>
        </row>
        <row r="260">
          <cell r="B260" t="e">
            <v>#N/A</v>
          </cell>
          <cell r="D260" t="str">
            <v>R020L0</v>
          </cell>
        </row>
        <row r="261">
          <cell r="B261" t="e">
            <v>#N/A</v>
          </cell>
          <cell r="D261" t="str">
            <v>R030L0</v>
          </cell>
        </row>
        <row r="262">
          <cell r="B262" t="e">
            <v>#N/A</v>
          </cell>
        </row>
        <row r="263">
          <cell r="A263" t="str">
            <v>R3104N</v>
          </cell>
          <cell r="B263" t="str">
            <v>R3104N</v>
          </cell>
          <cell r="C263" t="str">
            <v>R&amp;D - D&amp;A</v>
          </cell>
          <cell r="D263" t="str">
            <v>R03005</v>
          </cell>
        </row>
        <row r="264">
          <cell r="A264" t="str">
            <v>R3206N</v>
          </cell>
          <cell r="B264" t="str">
            <v>R3206N</v>
          </cell>
          <cell r="C264" t="str">
            <v>SEL - distribution costs - D&amp;A</v>
          </cell>
          <cell r="D264" t="str">
            <v>R03005</v>
          </cell>
        </row>
        <row r="265">
          <cell r="A265" t="str">
            <v>R3210N</v>
          </cell>
          <cell r="B265" t="str">
            <v>R3210N</v>
          </cell>
          <cell r="C265" t="str">
            <v>SEL - selling costs - D&amp;A</v>
          </cell>
          <cell r="D265" t="str">
            <v>R03005</v>
          </cell>
        </row>
        <row r="266">
          <cell r="A266" t="str">
            <v>R3214N</v>
          </cell>
          <cell r="B266" t="str">
            <v>R3214N</v>
          </cell>
          <cell r="C266" t="str">
            <v>SEL - promotional costs - D&amp;A</v>
          </cell>
          <cell r="D266" t="str">
            <v>R03005</v>
          </cell>
        </row>
        <row r="267">
          <cell r="A267" t="str">
            <v>R3304N</v>
          </cell>
          <cell r="B267" t="str">
            <v>R3304N</v>
          </cell>
          <cell r="C267" t="str">
            <v>G&amp;A - D&amp;A</v>
          </cell>
          <cell r="D267" t="str">
            <v>R03005</v>
          </cell>
        </row>
        <row r="268">
          <cell r="B268" t="e">
            <v>#N/A</v>
          </cell>
          <cell r="D268" t="str">
            <v>R03010</v>
          </cell>
        </row>
        <row r="269">
          <cell r="A269" t="str">
            <v>R4202</v>
          </cell>
          <cell r="B269" t="str">
            <v>R4202</v>
          </cell>
          <cell r="C269" t="str">
            <v>Net Goodwill D&amp;A (consolidated subs.)</v>
          </cell>
          <cell r="D269" t="str">
            <v>R110</v>
          </cell>
        </row>
        <row r="270">
          <cell r="B270" t="e">
            <v>#N/A</v>
          </cell>
        </row>
        <row r="271">
          <cell r="A271" t="str">
            <v>R4102</v>
          </cell>
          <cell r="B271" t="str">
            <v>R4102</v>
          </cell>
          <cell r="C271" t="str">
            <v>Restructuring charges</v>
          </cell>
          <cell r="D271" t="str">
            <v>R12000</v>
          </cell>
        </row>
        <row r="272">
          <cell r="A272" t="str">
            <v>R4104</v>
          </cell>
          <cell r="B272" t="str">
            <v>R4104</v>
          </cell>
          <cell r="C272" t="str">
            <v>Net restructuring allowances</v>
          </cell>
          <cell r="D272" t="str">
            <v>R12005</v>
          </cell>
        </row>
        <row r="273">
          <cell r="A273" t="str">
            <v>R4402</v>
          </cell>
          <cell r="B273" t="str">
            <v>R4402</v>
          </cell>
          <cell r="C273" t="str">
            <v>Other non-recurring operating expenses</v>
          </cell>
          <cell r="D273" t="str">
            <v>R12010</v>
          </cell>
        </row>
        <row r="274">
          <cell r="A274" t="str">
            <v>R4404</v>
          </cell>
          <cell r="B274" t="str">
            <v>R4404</v>
          </cell>
          <cell r="C274" t="str">
            <v>Other non-recurring operating income</v>
          </cell>
          <cell r="D274" t="str">
            <v>R12010</v>
          </cell>
        </row>
        <row r="275">
          <cell r="A275" t="str">
            <v>R4499L</v>
          </cell>
          <cell r="B275" t="str">
            <v>R4499L</v>
          </cell>
          <cell r="C275" t="str">
            <v>IC other operating exp.- suspens account</v>
          </cell>
          <cell r="D275" t="str">
            <v>R12010</v>
          </cell>
        </row>
        <row r="276">
          <cell r="B276" t="e">
            <v>#N/A</v>
          </cell>
          <cell r="D276" t="str">
            <v>R120L0</v>
          </cell>
        </row>
        <row r="277">
          <cell r="A277" t="str">
            <v>R4406</v>
          </cell>
          <cell r="B277" t="str">
            <v>R4406</v>
          </cell>
          <cell r="C277" t="str">
            <v>Net other non-recurring D&amp;A allowances</v>
          </cell>
          <cell r="D277" t="str">
            <v>R12020</v>
          </cell>
        </row>
        <row r="278">
          <cell r="B278" t="e">
            <v>#N/A</v>
          </cell>
          <cell r="D278" t="str">
            <v>R12015</v>
          </cell>
        </row>
        <row r="279">
          <cell r="A279" t="str">
            <v>R4304</v>
          </cell>
          <cell r="B279" t="str">
            <v>R4304</v>
          </cell>
          <cell r="C279" t="str">
            <v>Share of profits from GP and real estate</v>
          </cell>
          <cell r="D279" t="str">
            <v>R12025</v>
          </cell>
        </row>
        <row r="280">
          <cell r="A280" t="str">
            <v>R4408</v>
          </cell>
          <cell r="B280" t="str">
            <v>R4408</v>
          </cell>
          <cell r="C280" t="str">
            <v>G&amp;L / sales of tang. &amp; intang. assets</v>
          </cell>
          <cell r="D280" t="str">
            <v>R12030</v>
          </cell>
        </row>
        <row r="281">
          <cell r="A281" t="str">
            <v>R5102</v>
          </cell>
          <cell r="B281" t="str">
            <v>R5102</v>
          </cell>
          <cell r="C281" t="str">
            <v>Inc. from LT-ST loans, mark. sec., cash</v>
          </cell>
          <cell r="D281" t="str">
            <v>R21000</v>
          </cell>
        </row>
        <row r="282">
          <cell r="A282" t="str">
            <v>R5106</v>
          </cell>
          <cell r="B282" t="str">
            <v>R5106</v>
          </cell>
          <cell r="C282" t="str">
            <v>Interest on LT &amp; ST borrowings</v>
          </cell>
          <cell r="D282" t="str">
            <v>R21005</v>
          </cell>
        </row>
        <row r="283">
          <cell r="A283" t="str">
            <v>R5199L</v>
          </cell>
          <cell r="B283" t="str">
            <v>R5199L</v>
          </cell>
          <cell r="C283" t="str">
            <v>IC Interest on bwgs - suspens account</v>
          </cell>
          <cell r="D283" t="str">
            <v>R21005</v>
          </cell>
        </row>
        <row r="284">
          <cell r="B284" t="e">
            <v>#N/A</v>
          </cell>
          <cell r="D284" t="str">
            <v>R210L0</v>
          </cell>
        </row>
        <row r="285">
          <cell r="A285" t="str">
            <v>R5202</v>
          </cell>
          <cell r="B285" t="str">
            <v>R5202</v>
          </cell>
          <cell r="C285" t="str">
            <v>Dividends and interim dividends</v>
          </cell>
          <cell r="D285" t="str">
            <v>R22000</v>
          </cell>
        </row>
        <row r="286">
          <cell r="A286" t="str">
            <v>R5210</v>
          </cell>
          <cell r="B286" t="str">
            <v>R5210</v>
          </cell>
          <cell r="C286" t="str">
            <v>Foreign exchange income/(expenses)</v>
          </cell>
          <cell r="D286" t="str">
            <v>R22005</v>
          </cell>
        </row>
        <row r="287">
          <cell r="A287" t="str">
            <v>R5212</v>
          </cell>
          <cell r="B287" t="str">
            <v>R5212</v>
          </cell>
          <cell r="C287" t="str">
            <v>Other financial expenses</v>
          </cell>
          <cell r="D287" t="str">
            <v>R22010</v>
          </cell>
        </row>
        <row r="288">
          <cell r="A288" t="str">
            <v>R5214</v>
          </cell>
          <cell r="B288" t="str">
            <v>R5214</v>
          </cell>
          <cell r="C288" t="str">
            <v>Other financial income</v>
          </cell>
          <cell r="D288" t="str">
            <v>R22010</v>
          </cell>
        </row>
        <row r="289">
          <cell r="A289" t="str">
            <v>R5299L</v>
          </cell>
          <cell r="B289" t="str">
            <v>R5299L</v>
          </cell>
          <cell r="C289" t="str">
            <v>IC other financial exp.- suspens account</v>
          </cell>
          <cell r="D289" t="str">
            <v>R22010</v>
          </cell>
        </row>
        <row r="290">
          <cell r="B290" t="e">
            <v>#N/A</v>
          </cell>
          <cell r="D290" t="str">
            <v>R220L0</v>
          </cell>
        </row>
        <row r="291">
          <cell r="A291" t="str">
            <v>R5204</v>
          </cell>
          <cell r="B291" t="str">
            <v>R5204</v>
          </cell>
          <cell r="C291" t="str">
            <v>Capitalized interests</v>
          </cell>
          <cell r="D291" t="str">
            <v>R22015</v>
          </cell>
        </row>
        <row r="292">
          <cell r="A292" t="str">
            <v>R5208</v>
          </cell>
          <cell r="B292" t="str">
            <v>R5208</v>
          </cell>
          <cell r="C292" t="str">
            <v>Unrealized G&amp;L on derivative fin. instr.</v>
          </cell>
          <cell r="D292" t="str">
            <v>R22020</v>
          </cell>
        </row>
        <row r="293">
          <cell r="A293" t="str">
            <v>R5206</v>
          </cell>
          <cell r="B293" t="str">
            <v>R5206</v>
          </cell>
          <cell r="C293" t="str">
            <v>Net financial valuation allowances</v>
          </cell>
          <cell r="D293" t="str">
            <v>R22025</v>
          </cell>
        </row>
        <row r="294">
          <cell r="A294" t="str">
            <v>R5104</v>
          </cell>
          <cell r="B294" t="str">
            <v>R5104</v>
          </cell>
          <cell r="C294" t="str">
            <v>Inc. from sale of marketable securities</v>
          </cell>
          <cell r="D294" t="str">
            <v>R22030</v>
          </cell>
        </row>
        <row r="295">
          <cell r="A295" t="str">
            <v>R5216</v>
          </cell>
          <cell r="B295" t="str">
            <v>R5216</v>
          </cell>
          <cell r="C295" t="str">
            <v>G&amp;L / disposal of portfolio inv. sec.</v>
          </cell>
          <cell r="D295" t="str">
            <v>R22035</v>
          </cell>
        </row>
        <row r="296">
          <cell r="B296" t="e">
            <v>#N/A</v>
          </cell>
        </row>
        <row r="297">
          <cell r="A297" t="str">
            <v>R6102</v>
          </cell>
          <cell r="B297" t="str">
            <v>R6102</v>
          </cell>
          <cell r="C297" t="str">
            <v>Gains &amp; Losses from disposal of shares</v>
          </cell>
          <cell r="D297" t="str">
            <v>R23000</v>
          </cell>
        </row>
        <row r="298">
          <cell r="A298" t="str">
            <v>R6103</v>
          </cell>
          <cell r="B298" t="str">
            <v>R6103</v>
          </cell>
          <cell r="C298" t="str">
            <v>Allowance reversals / disposal of shares</v>
          </cell>
          <cell r="D298" t="str">
            <v>R23005</v>
          </cell>
        </row>
        <row r="299">
          <cell r="A299" t="str">
            <v>R6104</v>
          </cell>
          <cell r="B299" t="str">
            <v>R6104</v>
          </cell>
          <cell r="C299" t="str">
            <v>Gains &amp; losses on consolidation</v>
          </cell>
          <cell r="D299" t="str">
            <v>R23010</v>
          </cell>
        </row>
        <row r="300">
          <cell r="B300" t="e">
            <v>#N/A</v>
          </cell>
          <cell r="D300" t="str">
            <v>R230L</v>
          </cell>
        </row>
        <row r="301">
          <cell r="B301" t="e">
            <v>#N/A</v>
          </cell>
          <cell r="D301" t="str">
            <v>R230L0</v>
          </cell>
        </row>
        <row r="302">
          <cell r="B302" t="e">
            <v>#N/A</v>
          </cell>
        </row>
        <row r="303">
          <cell r="A303" t="str">
            <v>R7102</v>
          </cell>
          <cell r="B303" t="str">
            <v>R7102</v>
          </cell>
          <cell r="C303" t="str">
            <v>Income tax - payable</v>
          </cell>
          <cell r="D303" t="str">
            <v>R41000</v>
          </cell>
        </row>
        <row r="304">
          <cell r="A304" t="str">
            <v>R7104</v>
          </cell>
          <cell r="B304" t="str">
            <v>R7104</v>
          </cell>
          <cell r="C304" t="str">
            <v>Deferred taxes</v>
          </cell>
          <cell r="D304" t="str">
            <v>R41005</v>
          </cell>
        </row>
        <row r="305">
          <cell r="A305" t="str">
            <v>R7106</v>
          </cell>
          <cell r="B305" t="str">
            <v>R7106</v>
          </cell>
          <cell r="C305" t="str">
            <v>Net tax depreciation allowance</v>
          </cell>
          <cell r="D305" t="str">
            <v>R41010</v>
          </cell>
        </row>
        <row r="306">
          <cell r="B306" t="e">
            <v>#N/A</v>
          </cell>
        </row>
        <row r="307">
          <cell r="A307" t="str">
            <v>R8002</v>
          </cell>
          <cell r="B307" t="str">
            <v>R8002</v>
          </cell>
          <cell r="C307" t="str">
            <v>Income/ companies accounted for by EM</v>
          </cell>
          <cell r="D307" t="str">
            <v>R51000</v>
          </cell>
        </row>
        <row r="308">
          <cell r="A308" t="str">
            <v>R8004</v>
          </cell>
          <cell r="B308" t="str">
            <v>R8004</v>
          </cell>
          <cell r="C308" t="str">
            <v>Net goodwill D&amp;A allow. on EM co's</v>
          </cell>
          <cell r="D308" t="str">
            <v>R51005</v>
          </cell>
        </row>
        <row r="309">
          <cell r="A309" t="str">
            <v>R8006</v>
          </cell>
          <cell r="B309" t="str">
            <v>R8006</v>
          </cell>
          <cell r="C309" t="str">
            <v>&lt;Min. int. in inc./exp. of cons. subs.&gt;</v>
          </cell>
          <cell r="D309" t="str">
            <v>R520</v>
          </cell>
        </row>
        <row r="310">
          <cell r="B310" t="e">
            <v>#N/A</v>
          </cell>
        </row>
        <row r="311">
          <cell r="A311" t="str">
            <v>R6110</v>
          </cell>
          <cell r="B311" t="str">
            <v>R6110</v>
          </cell>
          <cell r="C311" t="str">
            <v>Extraordinary expenses</v>
          </cell>
          <cell r="D311" t="str">
            <v>R61005</v>
          </cell>
        </row>
        <row r="312">
          <cell r="A312" t="str">
            <v>R6112</v>
          </cell>
          <cell r="B312" t="str">
            <v>R6112</v>
          </cell>
          <cell r="C312" t="str">
            <v>Extraordinary income</v>
          </cell>
          <cell r="D312" t="str">
            <v>R61005</v>
          </cell>
        </row>
        <row r="313">
          <cell r="A313" t="str">
            <v>R6114</v>
          </cell>
          <cell r="B313" t="str">
            <v>R6114</v>
          </cell>
          <cell r="C313" t="str">
            <v>Net extraordinary D&amp;A allowance</v>
          </cell>
          <cell r="D313" t="str">
            <v>R61005</v>
          </cell>
        </row>
        <row r="314">
          <cell r="A314" t="str">
            <v>R6199L</v>
          </cell>
          <cell r="B314" t="str">
            <v>R6199L</v>
          </cell>
          <cell r="C314" t="str">
            <v>IC extraord. exp. - suspens account</v>
          </cell>
          <cell r="D314" t="str">
            <v>R61005</v>
          </cell>
        </row>
        <row r="315">
          <cell r="B315" t="e">
            <v>#N/A</v>
          </cell>
        </row>
        <row r="316">
          <cell r="B316" t="e">
            <v>#N/A</v>
          </cell>
          <cell r="D316" t="str">
            <v>R61010</v>
          </cell>
        </row>
        <row r="317">
          <cell r="B317" t="e">
            <v>#N/A</v>
          </cell>
          <cell r="D317" t="str">
            <v>R61010</v>
          </cell>
        </row>
        <row r="318">
          <cell r="B318" t="e">
            <v>#N/A</v>
          </cell>
          <cell r="D318" t="str">
            <v>R61015</v>
          </cell>
        </row>
        <row r="319">
          <cell r="B319" t="e">
            <v>#N/A</v>
          </cell>
        </row>
        <row r="320">
          <cell r="A320" t="str">
            <v>R6106</v>
          </cell>
          <cell r="B320" t="str">
            <v>R6106</v>
          </cell>
          <cell r="C320" t="str">
            <v>Impact of change in acc. method (F87)</v>
          </cell>
          <cell r="D320" t="str">
            <v>R62005</v>
          </cell>
        </row>
        <row r="321">
          <cell r="A321" t="str">
            <v>R6108</v>
          </cell>
          <cell r="B321" t="str">
            <v>R6108</v>
          </cell>
          <cell r="C321" t="str">
            <v>Impact of mergers / absorptions (F88)</v>
          </cell>
          <cell r="D321" t="str">
            <v>R62005</v>
          </cell>
        </row>
        <row r="322">
          <cell r="B322" t="e">
            <v>#N/A</v>
          </cell>
          <cell r="D322" t="str">
            <v>R62010</v>
          </cell>
        </row>
        <row r="323">
          <cell r="B323" t="e">
            <v>#N/A</v>
          </cell>
          <cell r="D323" t="str">
            <v>R62015</v>
          </cell>
        </row>
        <row r="324">
          <cell r="A324" t="str">
            <v>TR8</v>
          </cell>
          <cell r="B324" t="str">
            <v>TR8</v>
          </cell>
          <cell r="C324" t="str">
            <v>Net income (expense)</v>
          </cell>
          <cell r="D324" t="str">
            <v>R900</v>
          </cell>
        </row>
        <row r="325">
          <cell r="B325" t="e">
            <v>#N/A</v>
          </cell>
        </row>
        <row r="326">
          <cell r="B326" t="e">
            <v>#N/A</v>
          </cell>
          <cell r="D326" t="str">
            <v>R63000C</v>
          </cell>
        </row>
        <row r="327">
          <cell r="B327" t="e">
            <v>#N/A</v>
          </cell>
          <cell r="D327" t="str">
            <v>R63005C</v>
          </cell>
        </row>
        <row r="328">
          <cell r="B328" t="e">
            <v>#N/A</v>
          </cell>
          <cell r="D328" t="str">
            <v>R63010C</v>
          </cell>
        </row>
        <row r="329">
          <cell r="B329" t="e">
            <v>#N/A</v>
          </cell>
        </row>
        <row r="330">
          <cell r="B330" t="e">
            <v>#N/A</v>
          </cell>
          <cell r="C330" t="str">
            <v>Detail of BU specific P&amp;L accounts in Venus</v>
          </cell>
        </row>
        <row r="331">
          <cell r="B331" t="e">
            <v>#N/A</v>
          </cell>
        </row>
        <row r="332">
          <cell r="A332" t="str">
            <v>R2204K</v>
          </cell>
          <cell r="B332" t="str">
            <v>R2204K</v>
          </cell>
          <cell r="C332" t="str">
            <v>COS - personnel costs</v>
          </cell>
          <cell r="D332" t="str">
            <v>R02000</v>
          </cell>
        </row>
        <row r="333">
          <cell r="A333" t="str">
            <v>R2208K</v>
          </cell>
          <cell r="B333" t="str">
            <v>R2208K</v>
          </cell>
          <cell r="C333" t="str">
            <v>COS - other expenses -excl. D&amp;A</v>
          </cell>
          <cell r="D333" t="str">
            <v>R02000</v>
          </cell>
        </row>
        <row r="334">
          <cell r="A334" t="str">
            <v>R2214K</v>
          </cell>
          <cell r="B334" t="str">
            <v>R2214K</v>
          </cell>
          <cell r="C334" t="str">
            <v>COS - re-invoicing</v>
          </cell>
          <cell r="D334" t="str">
            <v>R02000</v>
          </cell>
        </row>
        <row r="335">
          <cell r="A335" t="str">
            <v>R2212K</v>
          </cell>
          <cell r="B335" t="str">
            <v>R2212K</v>
          </cell>
          <cell r="C335" t="str">
            <v>COS - net D&amp;A allowances</v>
          </cell>
          <cell r="D335" t="str">
            <v>R02005</v>
          </cell>
        </row>
        <row r="336">
          <cell r="B336" t="e">
            <v>#N/A</v>
          </cell>
          <cell r="D336" t="str">
            <v>R02010</v>
          </cell>
        </row>
        <row r="337">
          <cell r="A337" t="str">
            <v>R3104K</v>
          </cell>
          <cell r="B337" t="str">
            <v>R3104K</v>
          </cell>
          <cell r="C337" t="str">
            <v>R&amp;D - personnel costs</v>
          </cell>
          <cell r="D337" t="str">
            <v>R03000</v>
          </cell>
        </row>
        <row r="338">
          <cell r="A338" t="str">
            <v>R3106K</v>
          </cell>
          <cell r="B338" t="str">
            <v>R3106K</v>
          </cell>
          <cell r="C338" t="str">
            <v>R&amp;D - other expenses -excl. D&amp;A</v>
          </cell>
          <cell r="D338" t="str">
            <v>R03000</v>
          </cell>
        </row>
        <row r="339">
          <cell r="A339" t="str">
            <v>R3110K</v>
          </cell>
          <cell r="B339" t="str">
            <v>R3110K</v>
          </cell>
          <cell r="C339" t="str">
            <v>R&amp;D - re-invoicing</v>
          </cell>
          <cell r="D339" t="str">
            <v>R03000</v>
          </cell>
        </row>
        <row r="340">
          <cell r="A340" t="str">
            <v>R3206K</v>
          </cell>
          <cell r="B340" t="str">
            <v>R3206K</v>
          </cell>
          <cell r="C340" t="str">
            <v>SEL - personnel costs</v>
          </cell>
          <cell r="D340" t="str">
            <v>R03000</v>
          </cell>
        </row>
        <row r="341">
          <cell r="A341" t="str">
            <v>R3210K</v>
          </cell>
          <cell r="B341" t="str">
            <v>R3210K</v>
          </cell>
          <cell r="C341" t="str">
            <v>SEL - other expenses -excl. D&amp;A</v>
          </cell>
          <cell r="D341" t="str">
            <v>R03000</v>
          </cell>
        </row>
        <row r="342">
          <cell r="A342" t="str">
            <v>R3216K</v>
          </cell>
          <cell r="B342" t="str">
            <v>R3216K</v>
          </cell>
          <cell r="C342" t="str">
            <v>SEL - re-invoicing</v>
          </cell>
          <cell r="D342" t="str">
            <v>R03000</v>
          </cell>
        </row>
        <row r="343">
          <cell r="A343" t="str">
            <v>R3304K</v>
          </cell>
          <cell r="B343" t="str">
            <v>R3304K</v>
          </cell>
          <cell r="C343" t="str">
            <v>G&amp;A - personnel costs</v>
          </cell>
          <cell r="D343" t="str">
            <v>R03000</v>
          </cell>
        </row>
        <row r="344">
          <cell r="A344" t="str">
            <v>R3306K</v>
          </cell>
          <cell r="B344" t="str">
            <v>R3306K</v>
          </cell>
          <cell r="C344" t="str">
            <v>G&amp;A - other expenses</v>
          </cell>
          <cell r="D344" t="str">
            <v>R03000</v>
          </cell>
        </row>
        <row r="345">
          <cell r="A345" t="str">
            <v>R3308K</v>
          </cell>
          <cell r="B345" t="str">
            <v>R3308K</v>
          </cell>
          <cell r="C345" t="str">
            <v>G&amp;A - management fees</v>
          </cell>
          <cell r="D345" t="str">
            <v>R03000</v>
          </cell>
        </row>
        <row r="346">
          <cell r="A346" t="str">
            <v>R3312K</v>
          </cell>
          <cell r="B346" t="str">
            <v>R3312K</v>
          </cell>
          <cell r="C346" t="str">
            <v>G&amp;A - re-invoicing</v>
          </cell>
          <cell r="D346" t="str">
            <v>R03000</v>
          </cell>
        </row>
        <row r="347">
          <cell r="A347" t="str">
            <v>R3108K</v>
          </cell>
          <cell r="B347" t="str">
            <v>R3108K</v>
          </cell>
          <cell r="C347" t="str">
            <v>R&amp;D - net D&amp;A allowances</v>
          </cell>
          <cell r="D347" t="str">
            <v>R03005</v>
          </cell>
        </row>
        <row r="348">
          <cell r="A348" t="str">
            <v>R3214K</v>
          </cell>
          <cell r="B348" t="str">
            <v>R3214K</v>
          </cell>
          <cell r="C348" t="str">
            <v>SEL - net D&amp;A allowances</v>
          </cell>
          <cell r="D348" t="str">
            <v>R03005</v>
          </cell>
        </row>
        <row r="349">
          <cell r="A349" t="str">
            <v>R3310K</v>
          </cell>
          <cell r="B349" t="str">
            <v>R3310K</v>
          </cell>
          <cell r="C349" t="str">
            <v>G&amp;A - net D&amp;A allowances</v>
          </cell>
          <cell r="D349" t="str">
            <v>R03005</v>
          </cell>
        </row>
        <row r="350">
          <cell r="B350" t="e">
            <v>#N/A</v>
          </cell>
          <cell r="D350" t="str">
            <v>R03010</v>
          </cell>
        </row>
        <row r="351">
          <cell r="A351" t="str">
            <v>R2200M</v>
          </cell>
          <cell r="B351" t="str">
            <v>R2200M</v>
          </cell>
          <cell r="C351" t="str">
            <v>Cost of content purchases</v>
          </cell>
          <cell r="D351" t="str">
            <v>R02000</v>
          </cell>
        </row>
        <row r="352">
          <cell r="A352" t="str">
            <v>R2202M</v>
          </cell>
          <cell r="B352" t="str">
            <v>R2202M</v>
          </cell>
          <cell r="C352" t="str">
            <v>Interconnection &amp; access costs -excl.D&amp;A</v>
          </cell>
          <cell r="D352" t="str">
            <v>R02000</v>
          </cell>
        </row>
        <row r="353">
          <cell r="A353" t="str">
            <v>R2206M</v>
          </cell>
          <cell r="B353" t="str">
            <v>R2206M</v>
          </cell>
          <cell r="C353" t="str">
            <v>Network costs - excl. D&amp;A</v>
          </cell>
          <cell r="D353" t="str">
            <v>R02000</v>
          </cell>
        </row>
        <row r="354">
          <cell r="A354" t="str">
            <v>R2210M</v>
          </cell>
          <cell r="B354" t="str">
            <v>R2210M</v>
          </cell>
          <cell r="C354" t="str">
            <v>Equipment costs - excl. D&amp;A</v>
          </cell>
          <cell r="D354" t="str">
            <v>R02000</v>
          </cell>
        </row>
        <row r="355">
          <cell r="A355" t="str">
            <v>R2214M</v>
          </cell>
          <cell r="B355" t="str">
            <v>R2214M</v>
          </cell>
          <cell r="C355" t="str">
            <v>COS - re-invoicing</v>
          </cell>
          <cell r="D355" t="str">
            <v>R02000</v>
          </cell>
        </row>
        <row r="356">
          <cell r="A356" t="str">
            <v>R2204M</v>
          </cell>
          <cell r="B356" t="str">
            <v>R2204M</v>
          </cell>
          <cell r="C356" t="str">
            <v>Interconnection &amp; access costs - D&amp;A</v>
          </cell>
          <cell r="D356" t="str">
            <v>R02005</v>
          </cell>
        </row>
        <row r="357">
          <cell r="A357" t="str">
            <v>R2208M</v>
          </cell>
          <cell r="B357" t="str">
            <v>R2208M</v>
          </cell>
          <cell r="C357" t="str">
            <v>Network costs - D&amp;A</v>
          </cell>
          <cell r="D357" t="str">
            <v>R02005</v>
          </cell>
        </row>
        <row r="358">
          <cell r="A358" t="str">
            <v>R2212M</v>
          </cell>
          <cell r="B358" t="str">
            <v>R2212M</v>
          </cell>
          <cell r="C358" t="str">
            <v>Equipment costs - D&amp;A</v>
          </cell>
          <cell r="D358" t="str">
            <v>R02005</v>
          </cell>
        </row>
        <row r="359">
          <cell r="B359" t="e">
            <v>#N/A</v>
          </cell>
          <cell r="D359" t="str">
            <v>R02010</v>
          </cell>
        </row>
        <row r="360">
          <cell r="A360" t="str">
            <v>R3102M</v>
          </cell>
          <cell r="B360" t="str">
            <v>R3102M</v>
          </cell>
          <cell r="C360" t="str">
            <v>R&amp;D costs - excl. D&amp;A</v>
          </cell>
          <cell r="D360" t="str">
            <v>R03000</v>
          </cell>
        </row>
        <row r="361">
          <cell r="A361" t="str">
            <v>R3106M</v>
          </cell>
          <cell r="B361" t="str">
            <v>R3106M</v>
          </cell>
          <cell r="C361" t="str">
            <v>R&amp;D - re-invoicing</v>
          </cell>
          <cell r="D361" t="str">
            <v>R03000</v>
          </cell>
        </row>
        <row r="362">
          <cell r="A362" t="str">
            <v>R3204M</v>
          </cell>
          <cell r="B362" t="str">
            <v>R3204M</v>
          </cell>
          <cell r="C362" t="str">
            <v>SEL - marketing costs - excl. D&amp;A</v>
          </cell>
          <cell r="D362" t="str">
            <v>R03000</v>
          </cell>
        </row>
        <row r="363">
          <cell r="A363" t="str">
            <v>R3208M</v>
          </cell>
          <cell r="B363" t="str">
            <v>R3208M</v>
          </cell>
          <cell r="C363" t="str">
            <v>SEL - sales costs - excl. D&amp;A</v>
          </cell>
          <cell r="D363" t="str">
            <v>R03000</v>
          </cell>
        </row>
        <row r="364">
          <cell r="A364" t="str">
            <v>R3212M</v>
          </cell>
          <cell r="B364" t="str">
            <v>R3212M</v>
          </cell>
          <cell r="C364" t="str">
            <v>SEL - customer care - excl. D&amp;A</v>
          </cell>
          <cell r="D364" t="str">
            <v>R03000</v>
          </cell>
        </row>
        <row r="365">
          <cell r="A365" t="str">
            <v>R3216M</v>
          </cell>
          <cell r="B365" t="str">
            <v>R3216M</v>
          </cell>
          <cell r="C365" t="str">
            <v>SEL - re-invoicing</v>
          </cell>
          <cell r="D365" t="str">
            <v>R03000</v>
          </cell>
        </row>
        <row r="366">
          <cell r="A366" t="str">
            <v>R3302M</v>
          </cell>
          <cell r="B366" t="str">
            <v>R3302M</v>
          </cell>
          <cell r="C366" t="str">
            <v>G&amp;A costs - excl. D&amp;A</v>
          </cell>
          <cell r="D366" t="str">
            <v>R03000</v>
          </cell>
        </row>
        <row r="367">
          <cell r="A367" t="str">
            <v>R3306M</v>
          </cell>
          <cell r="B367" t="str">
            <v>R3306M</v>
          </cell>
          <cell r="C367" t="str">
            <v>G&amp;A - re-invoicing</v>
          </cell>
          <cell r="D367" t="str">
            <v>R03000</v>
          </cell>
        </row>
        <row r="368">
          <cell r="A368" t="str">
            <v>R3104M</v>
          </cell>
          <cell r="B368" t="str">
            <v>R3104M</v>
          </cell>
          <cell r="C368" t="str">
            <v>R&amp;D costs - D&amp;A</v>
          </cell>
          <cell r="D368" t="str">
            <v>R03005</v>
          </cell>
        </row>
        <row r="369">
          <cell r="A369" t="str">
            <v>R3206M</v>
          </cell>
          <cell r="B369" t="str">
            <v>R3206M</v>
          </cell>
          <cell r="C369" t="str">
            <v>SEL - marketing - D&amp;A</v>
          </cell>
          <cell r="D369" t="str">
            <v>R03005</v>
          </cell>
        </row>
        <row r="370">
          <cell r="A370" t="str">
            <v>R3210M</v>
          </cell>
          <cell r="B370" t="str">
            <v>R3210M</v>
          </cell>
          <cell r="C370" t="str">
            <v>SEL - sales costs -  D&amp;A</v>
          </cell>
          <cell r="D370" t="str">
            <v>R03005</v>
          </cell>
        </row>
        <row r="371">
          <cell r="A371" t="str">
            <v>R3214M</v>
          </cell>
          <cell r="B371" t="str">
            <v>R3214M</v>
          </cell>
          <cell r="C371" t="str">
            <v>SEL - customer care - D&amp;A</v>
          </cell>
          <cell r="D371" t="str">
            <v>R03005</v>
          </cell>
        </row>
        <row r="372">
          <cell r="A372" t="str">
            <v>R3304M</v>
          </cell>
          <cell r="B372" t="str">
            <v>R3304M</v>
          </cell>
          <cell r="C372" t="str">
            <v>G&amp;A costs - D&amp;A</v>
          </cell>
          <cell r="D372" t="str">
            <v>R03005</v>
          </cell>
        </row>
        <row r="373">
          <cell r="B373" t="e">
            <v>#N/A</v>
          </cell>
          <cell r="D373" t="str">
            <v>R03010</v>
          </cell>
        </row>
        <row r="374">
          <cell r="A374" t="str">
            <v>R2202P</v>
          </cell>
          <cell r="B374" t="str">
            <v>R2202P</v>
          </cell>
          <cell r="C374" t="str">
            <v>COS - subscription var. costs - excl.D&amp;A</v>
          </cell>
          <cell r="D374" t="str">
            <v>R02000</v>
          </cell>
        </row>
        <row r="375">
          <cell r="A375" t="str">
            <v>R2206P</v>
          </cell>
          <cell r="B375" t="str">
            <v>R2206P</v>
          </cell>
          <cell r="C375" t="str">
            <v>COS - pay-TV program - cinema - excl.D&amp;A</v>
          </cell>
          <cell r="D375" t="str">
            <v>R02000</v>
          </cell>
        </row>
        <row r="376">
          <cell r="A376" t="str">
            <v>R2210P</v>
          </cell>
          <cell r="B376" t="str">
            <v>R2210P</v>
          </cell>
          <cell r="C376" t="str">
            <v>COS - pay-TV program - sport - excl.D&amp;A</v>
          </cell>
          <cell r="D376" t="str">
            <v>R02000</v>
          </cell>
        </row>
        <row r="377">
          <cell r="A377" t="str">
            <v>R2214P</v>
          </cell>
          <cell r="B377" t="str">
            <v>R2214P</v>
          </cell>
          <cell r="C377" t="str">
            <v>COS - pay-TV program - other - excl. D&amp;A</v>
          </cell>
          <cell r="D377" t="str">
            <v>R02000</v>
          </cell>
        </row>
        <row r="378">
          <cell r="A378" t="str">
            <v>R2218P</v>
          </cell>
          <cell r="B378" t="str">
            <v>R2218P</v>
          </cell>
          <cell r="C378" t="str">
            <v>COS - prod.&amp; prog. mgt film&amp;TV -excl.D&amp;A</v>
          </cell>
          <cell r="D378" t="str">
            <v>R02000</v>
          </cell>
        </row>
        <row r="379">
          <cell r="A379" t="str">
            <v>R2222P</v>
          </cell>
          <cell r="B379" t="str">
            <v>R2222P</v>
          </cell>
          <cell r="C379" t="str">
            <v>COS - other COSs - excl. D&amp;A</v>
          </cell>
          <cell r="D379" t="str">
            <v>R02000</v>
          </cell>
        </row>
        <row r="380">
          <cell r="A380" t="str">
            <v>R2226P</v>
          </cell>
          <cell r="B380" t="str">
            <v>R2226P</v>
          </cell>
          <cell r="C380" t="str">
            <v>COS - re-invoicing</v>
          </cell>
          <cell r="D380" t="str">
            <v>R02000</v>
          </cell>
        </row>
        <row r="381">
          <cell r="A381" t="str">
            <v>R2204P</v>
          </cell>
          <cell r="B381" t="str">
            <v>R2204P</v>
          </cell>
          <cell r="C381" t="str">
            <v>COS - subscription var. costs - D&amp;A</v>
          </cell>
          <cell r="D381" t="str">
            <v>R02005</v>
          </cell>
        </row>
        <row r="382">
          <cell r="A382" t="str">
            <v>R2208P</v>
          </cell>
          <cell r="B382" t="str">
            <v>R2208P</v>
          </cell>
          <cell r="C382" t="str">
            <v>COS - pay-TV program - cinema - D&amp;A</v>
          </cell>
          <cell r="D382" t="str">
            <v>R02005</v>
          </cell>
        </row>
        <row r="383">
          <cell r="A383" t="str">
            <v>R2212P</v>
          </cell>
          <cell r="B383" t="str">
            <v>R2212P</v>
          </cell>
          <cell r="C383" t="str">
            <v>COS - pay-TV program - sport - D&amp;A</v>
          </cell>
          <cell r="D383" t="str">
            <v>R02005</v>
          </cell>
        </row>
        <row r="384">
          <cell r="A384" t="str">
            <v>R2216P</v>
          </cell>
          <cell r="B384" t="str">
            <v>R2216P</v>
          </cell>
          <cell r="C384" t="str">
            <v>COS - pay-TV program - other -D&amp;A</v>
          </cell>
          <cell r="D384" t="str">
            <v>R02005</v>
          </cell>
        </row>
        <row r="385">
          <cell r="A385" t="str">
            <v>R2220P</v>
          </cell>
          <cell r="B385" t="str">
            <v>R2220P</v>
          </cell>
          <cell r="C385" t="str">
            <v>COS - prod.&amp; prog. mgt film&amp;TV - D&amp;A</v>
          </cell>
          <cell r="D385" t="str">
            <v>R02005</v>
          </cell>
        </row>
        <row r="386">
          <cell r="A386" t="str">
            <v>R2224P</v>
          </cell>
          <cell r="B386" t="str">
            <v>R2224P</v>
          </cell>
          <cell r="C386" t="str">
            <v>COS - other COSs - D&amp;A</v>
          </cell>
          <cell r="D386" t="str">
            <v>R02005</v>
          </cell>
        </row>
        <row r="387">
          <cell r="A387" t="str">
            <v>R3102P</v>
          </cell>
          <cell r="B387" t="str">
            <v>R3102P</v>
          </cell>
          <cell r="C387" t="str">
            <v>R&amp;D - costs excl. D&amp;A</v>
          </cell>
          <cell r="D387" t="str">
            <v>R02005</v>
          </cell>
        </row>
        <row r="388">
          <cell r="B388" t="e">
            <v>#N/A</v>
          </cell>
          <cell r="D388" t="str">
            <v>R02010</v>
          </cell>
        </row>
        <row r="389">
          <cell r="A389" t="str">
            <v>R3106P</v>
          </cell>
          <cell r="B389" t="str">
            <v>R3106P</v>
          </cell>
          <cell r="C389" t="str">
            <v>R&amp;D - re-invoicing</v>
          </cell>
          <cell r="D389" t="str">
            <v>R03000</v>
          </cell>
        </row>
        <row r="390">
          <cell r="A390" t="str">
            <v>R3204P</v>
          </cell>
          <cell r="B390" t="str">
            <v>R3204P</v>
          </cell>
          <cell r="C390" t="str">
            <v>SEL - recruitment - excl. D&amp;A</v>
          </cell>
          <cell r="D390" t="str">
            <v>R03000</v>
          </cell>
        </row>
        <row r="391">
          <cell r="A391" t="str">
            <v>R3208P</v>
          </cell>
          <cell r="B391" t="str">
            <v>R3208P</v>
          </cell>
          <cell r="C391" t="str">
            <v>SEL - re-invoicing</v>
          </cell>
          <cell r="D391" t="str">
            <v>R03000</v>
          </cell>
        </row>
        <row r="392">
          <cell r="A392" t="str">
            <v>R3302P</v>
          </cell>
          <cell r="B392" t="str">
            <v>R3302P</v>
          </cell>
          <cell r="C392" t="str">
            <v>G&amp;A - costs excl. D&amp;A</v>
          </cell>
          <cell r="D392" t="str">
            <v>R03000</v>
          </cell>
        </row>
        <row r="393">
          <cell r="A393" t="str">
            <v>R3306P</v>
          </cell>
          <cell r="B393" t="str">
            <v>R3306P</v>
          </cell>
          <cell r="C393" t="str">
            <v>G&amp;A - re-invoicing</v>
          </cell>
          <cell r="D393" t="str">
            <v>R03000</v>
          </cell>
        </row>
        <row r="394">
          <cell r="A394" t="str">
            <v>R3104P</v>
          </cell>
          <cell r="B394" t="str">
            <v>R3104P</v>
          </cell>
          <cell r="C394" t="str">
            <v>R&amp;D - D&amp;A</v>
          </cell>
          <cell r="D394" t="str">
            <v>R03005</v>
          </cell>
        </row>
        <row r="395">
          <cell r="A395" t="str">
            <v>R3206P</v>
          </cell>
          <cell r="B395" t="str">
            <v>R3206P</v>
          </cell>
          <cell r="C395" t="str">
            <v>SEL - recruitment - D&amp;A</v>
          </cell>
          <cell r="D395" t="str">
            <v>R03005</v>
          </cell>
        </row>
        <row r="396">
          <cell r="A396" t="str">
            <v>R3304P</v>
          </cell>
          <cell r="B396" t="str">
            <v>R3304P</v>
          </cell>
          <cell r="C396" t="str">
            <v>G&amp;A - D&amp;A</v>
          </cell>
          <cell r="D396" t="str">
            <v>R03005</v>
          </cell>
        </row>
        <row r="397">
          <cell r="B397" t="e">
            <v>#N/A</v>
          </cell>
          <cell r="D397" t="str">
            <v>R03010</v>
          </cell>
        </row>
        <row r="398">
          <cell r="A398" t="str">
            <v>R2204Q</v>
          </cell>
          <cell r="B398" t="str">
            <v>R2204Q</v>
          </cell>
          <cell r="C398" t="str">
            <v>COS - retrocession/gr. marg. Vodaphone</v>
          </cell>
          <cell r="D398" t="str">
            <v>R02000</v>
          </cell>
        </row>
        <row r="399">
          <cell r="A399" t="str">
            <v>R2206Q</v>
          </cell>
          <cell r="B399" t="str">
            <v>R2206Q</v>
          </cell>
          <cell r="C399" t="str">
            <v>COS - cost of websites - excl. D&amp;A</v>
          </cell>
          <cell r="D399" t="str">
            <v>R02000</v>
          </cell>
        </row>
        <row r="400">
          <cell r="A400" t="str">
            <v>R2210Q</v>
          </cell>
          <cell r="B400" t="str">
            <v>R2210Q</v>
          </cell>
          <cell r="C400" t="str">
            <v>COS - creation costs - excl. D&amp;A</v>
          </cell>
          <cell r="D400" t="str">
            <v>R02000</v>
          </cell>
        </row>
        <row r="401">
          <cell r="A401" t="str">
            <v>R2214Q</v>
          </cell>
          <cell r="B401" t="str">
            <v>R2214Q</v>
          </cell>
          <cell r="C401" t="str">
            <v>COS - re-invoicing</v>
          </cell>
          <cell r="D401" t="str">
            <v>R02000</v>
          </cell>
        </row>
        <row r="402">
          <cell r="A402" t="str">
            <v>R2208Q</v>
          </cell>
          <cell r="B402" t="str">
            <v>R2208Q</v>
          </cell>
          <cell r="C402" t="str">
            <v>COS - cost of websites - D&amp;A</v>
          </cell>
          <cell r="D402" t="str">
            <v>R02005</v>
          </cell>
        </row>
        <row r="403">
          <cell r="A403" t="str">
            <v>R2212Q</v>
          </cell>
          <cell r="B403" t="str">
            <v>R2212Q</v>
          </cell>
          <cell r="C403" t="str">
            <v>COS - creation costs - D&amp;A</v>
          </cell>
          <cell r="D403" t="str">
            <v>R02005</v>
          </cell>
        </row>
        <row r="404">
          <cell r="B404" t="e">
            <v>#N/A</v>
          </cell>
          <cell r="D404" t="str">
            <v>R02010</v>
          </cell>
        </row>
        <row r="405">
          <cell r="A405" t="str">
            <v>R3102Q</v>
          </cell>
          <cell r="B405" t="str">
            <v>R3102Q</v>
          </cell>
          <cell r="C405" t="str">
            <v>R&amp;D - dvlpt of prod.&amp; services -excl.D&amp;A</v>
          </cell>
          <cell r="D405" t="str">
            <v>R03000</v>
          </cell>
        </row>
        <row r="406">
          <cell r="A406" t="str">
            <v>R3106Q</v>
          </cell>
          <cell r="B406" t="str">
            <v>R3106Q</v>
          </cell>
          <cell r="C406" t="str">
            <v>R&amp;D - re-invoicing</v>
          </cell>
          <cell r="D406" t="str">
            <v>R03000</v>
          </cell>
        </row>
        <row r="407">
          <cell r="A407" t="str">
            <v>R3204Q</v>
          </cell>
          <cell r="B407" t="str">
            <v>R3204Q</v>
          </cell>
          <cell r="C407" t="str">
            <v>SEL - selling costs - excl. D&amp;A</v>
          </cell>
          <cell r="D407" t="str">
            <v>R03000</v>
          </cell>
        </row>
        <row r="408">
          <cell r="A408" t="str">
            <v>R3208Q</v>
          </cell>
          <cell r="B408" t="str">
            <v>R3208Q</v>
          </cell>
          <cell r="C408" t="str">
            <v>SEL - marketing costs - excl. D&amp;A</v>
          </cell>
          <cell r="D408" t="str">
            <v>R03000</v>
          </cell>
        </row>
        <row r="409">
          <cell r="A409" t="str">
            <v>R3212Q</v>
          </cell>
          <cell r="B409" t="str">
            <v>R3212Q</v>
          </cell>
          <cell r="C409" t="str">
            <v>SEL - re-invoicing</v>
          </cell>
          <cell r="D409" t="str">
            <v>R03000</v>
          </cell>
        </row>
        <row r="410">
          <cell r="A410" t="str">
            <v>R3302Q</v>
          </cell>
          <cell r="B410" t="str">
            <v>R3302Q</v>
          </cell>
          <cell r="C410" t="str">
            <v>G&amp;A - costs excl. D&amp;A</v>
          </cell>
          <cell r="D410" t="str">
            <v>R03000</v>
          </cell>
        </row>
        <row r="411">
          <cell r="A411" t="str">
            <v>R3306Q</v>
          </cell>
          <cell r="B411" t="str">
            <v>R3306Q</v>
          </cell>
          <cell r="C411" t="str">
            <v>G&amp;A - re-invoicing</v>
          </cell>
          <cell r="D411" t="str">
            <v>R03000</v>
          </cell>
        </row>
        <row r="412">
          <cell r="A412" t="str">
            <v>R3104Q</v>
          </cell>
          <cell r="B412" t="str">
            <v>R3104Q</v>
          </cell>
          <cell r="C412" t="str">
            <v>R&amp;D - dvlpt of prod.&amp; services - D&amp;A</v>
          </cell>
          <cell r="D412" t="str">
            <v>R03005</v>
          </cell>
        </row>
        <row r="413">
          <cell r="A413" t="str">
            <v>R3206Q</v>
          </cell>
          <cell r="B413" t="str">
            <v>R3206Q</v>
          </cell>
          <cell r="C413" t="str">
            <v>SEL - selling costs - D&amp;A</v>
          </cell>
          <cell r="D413" t="str">
            <v>R03005</v>
          </cell>
        </row>
        <row r="414">
          <cell r="A414" t="str">
            <v>R3210Q</v>
          </cell>
          <cell r="B414" t="str">
            <v>R3210Q</v>
          </cell>
          <cell r="C414" t="str">
            <v>SEL - marketing costs - D&amp;A</v>
          </cell>
          <cell r="D414" t="str">
            <v>R03005</v>
          </cell>
        </row>
        <row r="415">
          <cell r="A415" t="str">
            <v>R3304Q</v>
          </cell>
          <cell r="B415" t="str">
            <v>R3304Q</v>
          </cell>
          <cell r="C415" t="str">
            <v>G&amp;A - D&amp;A</v>
          </cell>
          <cell r="D415" t="str">
            <v>R03005</v>
          </cell>
        </row>
        <row r="416">
          <cell r="B416" t="e">
            <v>#N/A</v>
          </cell>
          <cell r="D416" t="str">
            <v>R03010</v>
          </cell>
        </row>
        <row r="417">
          <cell r="A417" t="str">
            <v>R2202S</v>
          </cell>
          <cell r="B417" t="str">
            <v>R2202S</v>
          </cell>
          <cell r="C417" t="str">
            <v>COS - Manufacturing costs</v>
          </cell>
          <cell r="D417" t="str">
            <v>R02000</v>
          </cell>
        </row>
        <row r="418">
          <cell r="A418" t="str">
            <v>R2206S</v>
          </cell>
          <cell r="B418" t="str">
            <v>R2206S</v>
          </cell>
          <cell r="C418" t="str">
            <v>COS - Artists and repertoire costs</v>
          </cell>
          <cell r="D418" t="str">
            <v>R02000</v>
          </cell>
        </row>
        <row r="419">
          <cell r="A419" t="str">
            <v>R2210S</v>
          </cell>
          <cell r="B419" t="str">
            <v>R2210S</v>
          </cell>
          <cell r="C419" t="str">
            <v>COS - Rebilling</v>
          </cell>
          <cell r="D419" t="str">
            <v>R02000</v>
          </cell>
        </row>
        <row r="420">
          <cell r="A420" t="str">
            <v>R2204S</v>
          </cell>
          <cell r="B420" t="str">
            <v>R2204S</v>
          </cell>
          <cell r="C420" t="str">
            <v>COS - Allowance to Manufacturing costs</v>
          </cell>
          <cell r="D420" t="str">
            <v>R02005</v>
          </cell>
        </row>
        <row r="421">
          <cell r="A421" t="str">
            <v>R2208S</v>
          </cell>
          <cell r="B421" t="str">
            <v>R2208S</v>
          </cell>
          <cell r="C421" t="str">
            <v>COS - Allow. to Artists&amp;repertoire costs</v>
          </cell>
          <cell r="D421" t="str">
            <v>R02005</v>
          </cell>
        </row>
        <row r="422">
          <cell r="B422" t="e">
            <v>#N/A</v>
          </cell>
          <cell r="D422" t="str">
            <v>R02010</v>
          </cell>
        </row>
        <row r="423">
          <cell r="A423" t="str">
            <v>R3102S</v>
          </cell>
          <cell r="B423" t="str">
            <v>R3102S</v>
          </cell>
          <cell r="C423" t="str">
            <v>R&amp;D - Costs</v>
          </cell>
          <cell r="D423" t="str">
            <v>R03000</v>
          </cell>
        </row>
        <row r="424">
          <cell r="A424" t="str">
            <v>R3106S</v>
          </cell>
          <cell r="B424" t="str">
            <v>R3106S</v>
          </cell>
          <cell r="C424" t="str">
            <v>R&amp;D - Rebilling</v>
          </cell>
          <cell r="D424" t="str">
            <v>R03000</v>
          </cell>
        </row>
        <row r="425">
          <cell r="A425" t="str">
            <v>R3204S</v>
          </cell>
          <cell r="B425" t="str">
            <v>R3204S</v>
          </cell>
          <cell r="C425" t="str">
            <v>SEL - Distribution costs</v>
          </cell>
          <cell r="D425" t="str">
            <v>R03000</v>
          </cell>
        </row>
        <row r="426">
          <cell r="A426" t="str">
            <v>R3208S</v>
          </cell>
          <cell r="B426" t="str">
            <v>R3208S</v>
          </cell>
          <cell r="C426" t="str">
            <v>SEL - Marketing costs</v>
          </cell>
          <cell r="D426" t="str">
            <v>R03000</v>
          </cell>
        </row>
        <row r="427">
          <cell r="A427" t="str">
            <v>R3212S</v>
          </cell>
          <cell r="B427" t="str">
            <v>R3212S</v>
          </cell>
          <cell r="C427" t="str">
            <v>SEL - Selling costs</v>
          </cell>
          <cell r="D427" t="str">
            <v>R03000</v>
          </cell>
        </row>
        <row r="428">
          <cell r="A428" t="str">
            <v>R3216S</v>
          </cell>
          <cell r="B428" t="str">
            <v>R3216S</v>
          </cell>
          <cell r="C428" t="str">
            <v>SEL - Rebilling</v>
          </cell>
          <cell r="D428" t="str">
            <v>R03000</v>
          </cell>
        </row>
        <row r="429">
          <cell r="A429" t="str">
            <v>R3302S</v>
          </cell>
          <cell r="B429" t="str">
            <v>R3302S</v>
          </cell>
          <cell r="C429" t="str">
            <v>G&amp;A - General &amp; adm. costs</v>
          </cell>
          <cell r="D429" t="str">
            <v>R03000</v>
          </cell>
        </row>
        <row r="430">
          <cell r="A430" t="str">
            <v>R3306S</v>
          </cell>
          <cell r="B430" t="str">
            <v>R3306S</v>
          </cell>
          <cell r="C430" t="str">
            <v>G&amp;A - Rebilling</v>
          </cell>
          <cell r="D430" t="str">
            <v>R03000</v>
          </cell>
        </row>
        <row r="431">
          <cell r="A431" t="str">
            <v>R3104S</v>
          </cell>
          <cell r="B431" t="str">
            <v>R3104S</v>
          </cell>
          <cell r="C431" t="str">
            <v>R&amp;D - Allowance to R&amp;D costs</v>
          </cell>
          <cell r="D431" t="str">
            <v>R03005</v>
          </cell>
        </row>
        <row r="432">
          <cell r="A432" t="str">
            <v>R3206S</v>
          </cell>
          <cell r="B432" t="str">
            <v>R3206S</v>
          </cell>
          <cell r="C432" t="str">
            <v>SEL - Allowance to Distribution costs</v>
          </cell>
          <cell r="D432" t="str">
            <v>R03005</v>
          </cell>
        </row>
        <row r="433">
          <cell r="A433" t="str">
            <v>R3210S</v>
          </cell>
          <cell r="B433" t="str">
            <v>R3210S</v>
          </cell>
          <cell r="C433" t="str">
            <v>SEL - Allowance to Marketing costs</v>
          </cell>
          <cell r="D433" t="str">
            <v>R03005</v>
          </cell>
        </row>
        <row r="434">
          <cell r="A434" t="str">
            <v>R3214S</v>
          </cell>
          <cell r="B434" t="str">
            <v>R3214S</v>
          </cell>
          <cell r="C434" t="str">
            <v>SEL - Allowance to  selling costs</v>
          </cell>
          <cell r="D434" t="str">
            <v>R03005</v>
          </cell>
        </row>
        <row r="435">
          <cell r="A435" t="str">
            <v>R3304S</v>
          </cell>
          <cell r="B435" t="str">
            <v>R3304S</v>
          </cell>
          <cell r="C435" t="str">
            <v>G&amp;A - Allowance to general &amp; adm. costs</v>
          </cell>
          <cell r="D435" t="str">
            <v>R03005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A3" t="str">
            <v>A8106</v>
          </cell>
        </row>
      </sheetData>
      <sheetData sheetId="25">
        <row r="3">
          <cell r="A3" t="str">
            <v>A8106</v>
          </cell>
        </row>
      </sheetData>
      <sheetData sheetId="26">
        <row r="3">
          <cell r="A3" t="str">
            <v>A8106</v>
          </cell>
        </row>
      </sheetData>
      <sheetData sheetId="27">
        <row r="3">
          <cell r="A3" t="str">
            <v>A8106</v>
          </cell>
        </row>
      </sheetData>
      <sheetData sheetId="28">
        <row r="3">
          <cell r="A3" t="str">
            <v>A8106</v>
          </cell>
        </row>
      </sheetData>
      <sheetData sheetId="29">
        <row r="3">
          <cell r="A3" t="str">
            <v>A8106</v>
          </cell>
        </row>
      </sheetData>
      <sheetData sheetId="30">
        <row r="3">
          <cell r="A3" t="str">
            <v>A8106</v>
          </cell>
        </row>
      </sheetData>
      <sheetData sheetId="31"/>
      <sheetData sheetId="32"/>
      <sheetData sheetId="33"/>
      <sheetData sheetId="34"/>
      <sheetData sheetId="35"/>
      <sheetData sheetId="36"/>
      <sheetData sheetId="37">
        <row r="3">
          <cell r="A3" t="str">
            <v>A8106</v>
          </cell>
        </row>
      </sheetData>
      <sheetData sheetId="38">
        <row r="3">
          <cell r="A3" t="str">
            <v>A8106</v>
          </cell>
        </row>
      </sheetData>
      <sheetData sheetId="39">
        <row r="3">
          <cell r="A3" t="str">
            <v>A8106</v>
          </cell>
        </row>
      </sheetData>
      <sheetData sheetId="40">
        <row r="3">
          <cell r="A3" t="str">
            <v>A8106</v>
          </cell>
        </row>
      </sheetData>
      <sheetData sheetId="41">
        <row r="3">
          <cell r="A3" t="str">
            <v>A8106</v>
          </cell>
        </row>
      </sheetData>
      <sheetData sheetId="42">
        <row r="3">
          <cell r="A3" t="str">
            <v>A8106</v>
          </cell>
        </row>
      </sheetData>
      <sheetData sheetId="43"/>
      <sheetData sheetId="44"/>
      <sheetData sheetId="45"/>
      <sheetData sheetId="46"/>
      <sheetData sheetId="47">
        <row r="3">
          <cell r="A3" t="str">
            <v>A8106</v>
          </cell>
        </row>
      </sheetData>
      <sheetData sheetId="48">
        <row r="3">
          <cell r="A3" t="str">
            <v>A8106</v>
          </cell>
        </row>
      </sheetData>
      <sheetData sheetId="49">
        <row r="3">
          <cell r="A3" t="str">
            <v>A8106</v>
          </cell>
        </row>
      </sheetData>
      <sheetData sheetId="50">
        <row r="3">
          <cell r="A3" t="str">
            <v>A8106</v>
          </cell>
        </row>
      </sheetData>
      <sheetData sheetId="51" refreshError="1"/>
      <sheetData sheetId="52"/>
      <sheetData sheetId="53"/>
      <sheetData sheetId="54">
        <row r="3">
          <cell r="A3" t="str">
            <v>A8106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F "/>
      <sheetName val="PRD "/>
      <sheetName val="MOB"/>
      <sheetName val="R&amp;S"/>
      <sheetName val="F&amp;I "/>
      <sheetName val="Agrégats_Reporting_Capex "/>
      <sheetName val="Code_Bud"/>
      <sheetName val="BATIMENT"/>
      <sheetName val="A.I.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M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M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euille de calcul CPC mobile"/>
      <sheetName val="CPC Mobile"/>
      <sheetName val="Impact de la promo jawal"/>
      <sheetName val="Output Business plan"/>
      <sheetName val="Call Centers &amp; carte Kalimat"/>
      <sheetName val="Feuille de calcul BusinessPlan"/>
      <sheetName val="Interco"/>
      <sheetName val="Summary"/>
      <sheetName val="Multimédia"/>
      <sheetName val="Mobile"/>
      <sheetName val="Fixe"/>
      <sheetName val="ISBS"/>
      <sheetName val="CFNWI"/>
      <sheetName val="IncStatement"/>
      <sheetName val="BalanceSheet"/>
      <sheetName val="Storage"/>
      <sheetName val="May Memo"/>
    </sheetNames>
    <sheetDataSet>
      <sheetData sheetId="0" refreshError="1">
        <row r="8">
          <cell r="F8">
            <v>12</v>
          </cell>
        </row>
        <row r="17">
          <cell r="C17" t="str">
            <v>International Speed 97 version 3.0p   August 1999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SV161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B6" t="str">
            <v>BT.L</v>
          </cell>
          <cell r="C6" t="str">
            <v>BT Group</v>
          </cell>
          <cell r="D6" t="str">
            <v>HOWARD Stephen</v>
          </cell>
          <cell r="E6" t="str">
            <v>GBP</v>
          </cell>
          <cell r="F6">
            <v>2.1324999999999998</v>
          </cell>
          <cell r="G6">
            <v>0</v>
          </cell>
          <cell r="H6" t="str">
            <v>GBP</v>
          </cell>
          <cell r="I6" t="str">
            <v>UNITED KINGDOM</v>
          </cell>
          <cell r="J6">
            <v>8554.4144369999995</v>
          </cell>
          <cell r="K6">
            <v>26533.511190387268</v>
          </cell>
          <cell r="L6">
            <v>38737.96268367939</v>
          </cell>
          <cell r="M6">
            <v>38594.364155515555</v>
          </cell>
          <cell r="N6">
            <v>38406.560706974997</v>
          </cell>
          <cell r="O6">
            <v>38063.242408062637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0.25876580049711123</v>
          </cell>
          <cell r="Y6">
            <v>0.2656076588118701</v>
          </cell>
          <cell r="Z6">
            <v>0.27105893652484681</v>
          </cell>
          <cell r="AA6">
            <v>0.27917662401201104</v>
          </cell>
          <cell r="AB6">
            <v>0.35442666194439931</v>
          </cell>
          <cell r="AC6">
            <v>0.32196577245043589</v>
          </cell>
          <cell r="AD6">
            <v>0.31988744844911954</v>
          </cell>
          <cell r="AE6">
            <v>0.3279529218170279</v>
          </cell>
          <cell r="AF6">
            <v>0.13131620347323092</v>
          </cell>
          <cell r="AG6">
            <v>0.14258029229836788</v>
          </cell>
          <cell r="AH6">
            <v>0.15587278874612912</v>
          </cell>
          <cell r="AI6">
            <v>0.17122390928450343</v>
          </cell>
          <cell r="AJ6">
            <v>4.2336395614704943</v>
          </cell>
          <cell r="AK6">
            <v>4.5967942279373704</v>
          </cell>
          <cell r="AL6">
            <v>5.0253448358859156</v>
          </cell>
          <cell r="AM6">
            <v>5.5202655654317727</v>
          </cell>
          <cell r="AN6">
            <v>11.986642690901951</v>
          </cell>
          <cell r="AO6">
            <v>11.677875574292264</v>
          </cell>
          <cell r="AP6">
            <v>11.44302132573212</v>
          </cell>
          <cell r="AQ6">
            <v>11.110289775015852</v>
          </cell>
          <cell r="AR6">
            <v>14.195723604369949</v>
          </cell>
          <cell r="AS6">
            <v>15.697157572071031</v>
          </cell>
          <cell r="AT6">
            <v>15.120203078006819</v>
          </cell>
          <cell r="AU6">
            <v>14.299144941817671</v>
          </cell>
          <cell r="AV6">
            <v>7.0443749672060703</v>
          </cell>
          <cell r="AW6">
            <v>6.3705801219657587</v>
          </cell>
          <cell r="AX6">
            <v>6.6136677850217236</v>
          </cell>
          <cell r="AY6">
            <v>6.9934251598185604</v>
          </cell>
          <cell r="AZ6">
            <v>1.435523734712556</v>
          </cell>
          <cell r="BA6">
            <v>1.3993927129813644</v>
          </cell>
          <cell r="BB6">
            <v>1.3713170359002891</v>
          </cell>
          <cell r="BC6">
            <v>1.3327823901626203</v>
          </cell>
          <cell r="BD6">
            <v>4.6700908923042777</v>
          </cell>
          <cell r="BE6">
            <v>4.6243221195524518</v>
          </cell>
          <cell r="BF6">
            <v>4.5426170719786052</v>
          </cell>
          <cell r="BG6">
            <v>4.3806246294880493</v>
          </cell>
          <cell r="BH6">
            <v>12.776741412015031</v>
          </cell>
          <cell r="BI6">
            <v>14.012766923512691</v>
          </cell>
          <cell r="BJ6">
            <v>14.035178209929281</v>
          </cell>
          <cell r="BK6">
            <v>13.567629938130272</v>
          </cell>
          <cell r="BL6">
            <v>5539.9736551052201</v>
          </cell>
          <cell r="BM6">
            <v>6487.4014306236322</v>
          </cell>
          <cell r="BN6">
            <v>7269.1206921778758</v>
          </cell>
          <cell r="BO6">
            <v>8124.2311903741911</v>
          </cell>
          <cell r="BP6">
            <v>14.945900000000002</v>
          </cell>
          <cell r="BQ6">
            <v>14.334349999999999</v>
          </cell>
          <cell r="BR6">
            <v>13.866600000000002</v>
          </cell>
          <cell r="BS6">
            <v>13.780825</v>
          </cell>
          <cell r="BT6">
            <v>26985.247089234745</v>
          </cell>
          <cell r="BU6">
            <v>27579.366247585651</v>
          </cell>
          <cell r="BV6">
            <v>28007.061606844651</v>
          </cell>
          <cell r="BW6">
            <v>28559.232691706202</v>
          </cell>
          <cell r="BX6">
            <v>8294.9055119065633</v>
          </cell>
          <cell r="BY6">
            <v>8345.9506404910153</v>
          </cell>
          <cell r="BZ6">
            <v>8454.7211658865272</v>
          </cell>
          <cell r="CA6">
            <v>8688.9988591674828</v>
          </cell>
          <cell r="CB6">
            <v>4127.2947090314774</v>
          </cell>
          <cell r="CC6">
            <v>4126.3217949630362</v>
          </cell>
          <cell r="CD6">
            <v>4122.4654919023769</v>
          </cell>
          <cell r="CE6">
            <v>4211.6743060358813</v>
          </cell>
          <cell r="CF6">
            <v>3003.4102002428172</v>
          </cell>
          <cell r="CG6">
            <v>3065.340742555898</v>
          </cell>
          <cell r="CH6">
            <v>3129.2179213473473</v>
          </cell>
          <cell r="CI6">
            <v>3250.1942995628428</v>
          </cell>
          <cell r="CJ6">
            <v>-774.54799187248443</v>
          </cell>
          <cell r="CK6">
            <v>-790.677366638536</v>
          </cell>
          <cell r="CL6">
            <v>-810.46744146133119</v>
          </cell>
          <cell r="CM6">
            <v>-862.00175664157507</v>
          </cell>
          <cell r="CN6">
            <v>2213.5898995743501</v>
          </cell>
          <cell r="CO6">
            <v>2272.1179911180316</v>
          </cell>
          <cell r="CP6">
            <v>2318.7504798860159</v>
          </cell>
          <cell r="CQ6">
            <v>2388.1925429212679</v>
          </cell>
          <cell r="CR6">
            <v>3077.7006307915203</v>
          </cell>
          <cell r="CS6">
            <v>3083.3972663342943</v>
          </cell>
          <cell r="CT6">
            <v>3071.9915479534507</v>
          </cell>
          <cell r="CU6">
            <v>3111.8614772951469</v>
          </cell>
          <cell r="CV6">
            <v>-9.4825000000000007E-2</v>
          </cell>
          <cell r="CW6">
            <v>2.2016443147111886</v>
          </cell>
          <cell r="CX6">
            <v>1.5507802297539683</v>
          </cell>
          <cell r="CY6">
            <v>1.9715423653247797</v>
          </cell>
          <cell r="CZ6">
            <v>1.907632435605052</v>
          </cell>
          <cell r="DA6">
            <v>-1.8704249999999998</v>
          </cell>
          <cell r="DB6">
            <v>0.6153792651547576</v>
          </cell>
          <cell r="DC6">
            <v>1.303273049181513</v>
          </cell>
          <cell r="DD6">
            <v>2.7709688904493817</v>
          </cell>
          <cell r="DE6">
            <v>1.5592376734552715</v>
          </cell>
          <cell r="DF6">
            <v>1.7215750000000001</v>
          </cell>
          <cell r="DG6">
            <v>-2.3572682278100388E-2</v>
          </cell>
          <cell r="DH6">
            <v>-9.3456188156878284E-2</v>
          </cell>
          <cell r="DI6">
            <v>2.163967516738083</v>
          </cell>
          <cell r="DJ6">
            <v>0.67688416936837825</v>
          </cell>
          <cell r="DK6">
            <v>9.2681750000000012</v>
          </cell>
          <cell r="DL6">
            <v>2.6440349928835474</v>
          </cell>
          <cell r="DM6">
            <v>2.0523797157663495</v>
          </cell>
          <cell r="DN6">
            <v>2.9948053332010716</v>
          </cell>
          <cell r="DO6">
            <v>2.5630020950161878</v>
          </cell>
          <cell r="DP6">
            <v>30.738668000618976</v>
          </cell>
          <cell r="DQ6">
            <v>30.261575141240368</v>
          </cell>
          <cell r="DR6">
            <v>30.187819359886994</v>
          </cell>
          <cell r="DS6">
            <v>30.424482873767221</v>
          </cell>
          <cell r="DT6">
            <v>15.294633750742953</v>
          </cell>
          <cell r="DU6">
            <v>14.961626594027564</v>
          </cell>
          <cell r="DV6">
            <v>14.719378811574032</v>
          </cell>
          <cell r="DW6">
            <v>14.747154979618834</v>
          </cell>
          <cell r="DX6">
            <v>8.2029632423021983</v>
          </cell>
          <cell r="DY6">
            <v>8.238470640408341</v>
          </cell>
          <cell r="DZ6">
            <v>8.2791637067679247</v>
          </cell>
          <cell r="EA6">
            <v>8.3622433722276277</v>
          </cell>
          <cell r="EB6">
            <v>11.405123031166577</v>
          </cell>
          <cell r="EC6">
            <v>11.180087456158354</v>
          </cell>
          <cell r="ED6">
            <v>10.968632093852667</v>
          </cell>
          <cell r="EE6">
            <v>10.896166262193917</v>
          </cell>
          <cell r="EF6">
            <v>12204.451493292123</v>
          </cell>
          <cell r="EG6">
            <v>12060.852965128288</v>
          </cell>
          <cell r="EH6">
            <v>11873.049516587726</v>
          </cell>
          <cell r="EI6">
            <v>11529.731217675368</v>
          </cell>
          <cell r="EJ6">
            <v>24198.007860597238</v>
          </cell>
          <cell r="EK6">
            <v>22313.149607260679</v>
          </cell>
          <cell r="EL6">
            <v>21854.902845141096</v>
          </cell>
          <cell r="EM6">
            <v>21773.675363583716</v>
          </cell>
          <cell r="EN6">
            <v>-1162.792533578425</v>
          </cell>
          <cell r="EO6">
            <v>-1063.890062515494</v>
          </cell>
          <cell r="EP6">
            <v>-981.61152539446459</v>
          </cell>
          <cell r="EQ6">
            <v>-949.84396167609941</v>
          </cell>
          <cell r="ER6">
            <v>23257.440408371738</v>
          </cell>
          <cell r="ES6">
            <v>23961.882571396825</v>
          </cell>
          <cell r="ET6">
            <v>24560.702903839883</v>
          </cell>
          <cell r="EU6">
            <v>25128.20233268927</v>
          </cell>
          <cell r="EV6">
            <v>6453.5827121998955</v>
          </cell>
          <cell r="EW6">
            <v>3764.8952115087595</v>
          </cell>
          <cell r="EX6">
            <v>2712.7326363754946</v>
          </cell>
          <cell r="EY6">
            <v>2119.7129555341567</v>
          </cell>
          <cell r="EZ6">
            <v>220.29800596696745</v>
          </cell>
          <cell r="FA6">
            <v>185.91192627906918</v>
          </cell>
          <cell r="FB6">
            <v>163.33542968084194</v>
          </cell>
          <cell r="FC6">
            <v>141.91781286746377</v>
          </cell>
          <cell r="FD6">
            <v>1.4713189289225501</v>
          </cell>
          <cell r="FE6">
            <v>1.4451143416322332</v>
          </cell>
          <cell r="FF6">
            <v>1.4043100042723604</v>
          </cell>
          <cell r="FG6">
            <v>1.3269343689130215</v>
          </cell>
          <cell r="FH6">
            <v>1.5636350605344369</v>
          </cell>
          <cell r="FI6">
            <v>0.9124095013880239</v>
          </cell>
          <cell r="FJ6">
            <v>0.65803646912364111</v>
          </cell>
          <cell r="FK6">
            <v>0.5032946048312259</v>
          </cell>
          <cell r="FL6">
            <v>7.1336074771476934</v>
          </cell>
          <cell r="FM6">
            <v>7.8447491282676287</v>
          </cell>
          <cell r="FN6">
            <v>8.6131029915209716</v>
          </cell>
          <cell r="FO6">
            <v>9.1478171254937823</v>
          </cell>
          <cell r="FP6">
            <v>-4488.4449662391917</v>
          </cell>
          <cell r="FQ6">
            <v>-4801.0446217826138</v>
          </cell>
          <cell r="FR6">
            <v>-4907.8039171969549</v>
          </cell>
          <cell r="FS6">
            <v>-5021.5518934779921</v>
          </cell>
          <cell r="FT6">
            <v>3031.9125537948876</v>
          </cell>
          <cell r="FU6">
            <v>2754.2286520698653</v>
          </cell>
          <cell r="FV6">
            <v>2736.4498072282413</v>
          </cell>
          <cell r="FW6">
            <v>2805.4452090479153</v>
          </cell>
          <cell r="FX6">
            <v>16.632958562124013</v>
          </cell>
          <cell r="FY6">
            <v>17.408103502751466</v>
          </cell>
          <cell r="FZ6">
            <v>17.523451714040345</v>
          </cell>
          <cell r="GA6">
            <v>17.582937005644013</v>
          </cell>
          <cell r="GB6">
            <v>0.73484459178589967</v>
          </cell>
          <cell r="GC6">
            <v>0.75612146332350272</v>
          </cell>
          <cell r="GD6">
            <v>0.78140004339205316</v>
          </cell>
          <cell r="GE6">
            <v>0.80806731268183851</v>
          </cell>
          <cell r="GF6">
            <v>-1123.333226803436</v>
          </cell>
          <cell r="GG6">
            <v>-1219.690910868838</v>
          </cell>
          <cell r="GH6">
            <v>-1333.400434385338</v>
          </cell>
          <cell r="GI6">
            <v>-1464.7202815429343</v>
          </cell>
          <cell r="GJ6">
            <v>7.1007459045142426E-2</v>
          </cell>
          <cell r="GK6">
            <v>1</v>
          </cell>
          <cell r="GP6">
            <v>27010.860137359996</v>
          </cell>
          <cell r="GQ6">
            <v>8453.0127761243875</v>
          </cell>
          <cell r="GR6">
            <v>4057.4427883479752</v>
          </cell>
          <cell r="GS6">
            <v>2025.8322238605613</v>
          </cell>
        </row>
        <row r="7">
          <cell r="B7" t="str">
            <v>BCOM.BR</v>
          </cell>
          <cell r="C7" t="str">
            <v>Belgacom</v>
          </cell>
          <cell r="D7" t="str">
            <v>Bluestone Jakob</v>
          </cell>
          <cell r="E7" t="str">
            <v>EUR</v>
          </cell>
          <cell r="F7">
            <v>30.4</v>
          </cell>
          <cell r="G7">
            <v>-1</v>
          </cell>
          <cell r="H7" t="str">
            <v>EUR</v>
          </cell>
          <cell r="I7" t="str">
            <v>BELGIUM</v>
          </cell>
          <cell r="J7">
            <v>361.77513499999998</v>
          </cell>
          <cell r="K7">
            <v>10997.964103999999</v>
          </cell>
          <cell r="L7">
            <v>12699.251699999999</v>
          </cell>
          <cell r="M7">
            <v>12239.489457999998</v>
          </cell>
          <cell r="N7">
            <v>11782.111596999997</v>
          </cell>
          <cell r="O7">
            <v>11047.415083</v>
          </cell>
          <cell r="P7">
            <v>1809.2875959999999</v>
          </cell>
          <cell r="Q7">
            <v>1745.547309</v>
          </cell>
          <cell r="R7">
            <v>1682.1375869999999</v>
          </cell>
          <cell r="S7">
            <v>1580.281101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2.54302275362291</v>
          </cell>
          <cell r="Y7">
            <v>2.6148508243939985</v>
          </cell>
          <cell r="Z7">
            <v>2.7427069773603985</v>
          </cell>
          <cell r="AA7">
            <v>2.8796013661911841</v>
          </cell>
          <cell r="AB7">
            <v>3.5629867154911024</v>
          </cell>
          <cell r="AC7">
            <v>2.9834116764271266</v>
          </cell>
          <cell r="AD7">
            <v>2.9753181904002339</v>
          </cell>
          <cell r="AE7">
            <v>2.98818638268216</v>
          </cell>
          <cell r="AF7">
            <v>1.913584083107315</v>
          </cell>
          <cell r="AG7">
            <v>1.982988687157839</v>
          </cell>
          <cell r="AH7">
            <v>1.3713534872981252</v>
          </cell>
          <cell r="AI7">
            <v>1.4398006844776661</v>
          </cell>
          <cell r="AJ7">
            <v>6.2946844839056411</v>
          </cell>
          <cell r="AK7">
            <v>6.5229891024928914</v>
          </cell>
          <cell r="AL7">
            <v>4.5110312082175179</v>
          </cell>
          <cell r="AM7">
            <v>4.736186462097586</v>
          </cell>
          <cell r="AN7">
            <v>11.954277623623589</v>
          </cell>
          <cell r="AO7">
            <v>11.625902218358982</v>
          </cell>
          <cell r="AP7">
            <v>11.083940155086193</v>
          </cell>
          <cell r="AQ7">
            <v>10.557016799936351</v>
          </cell>
          <cell r="AR7">
            <v>9.9988692841584239</v>
          </cell>
          <cell r="AS7">
            <v>11.812764567834485</v>
          </cell>
          <cell r="AT7">
            <v>11.670951843784776</v>
          </cell>
          <cell r="AU7">
            <v>11.40427504734647</v>
          </cell>
          <cell r="AV7">
            <v>10.001130843707866</v>
          </cell>
          <cell r="AW7">
            <v>8.4654188632773195</v>
          </cell>
          <cell r="AX7">
            <v>8.5682814339820776</v>
          </cell>
          <cell r="AY7">
            <v>8.7686415475631527</v>
          </cell>
          <cell r="AZ7">
            <v>2.292076834220738</v>
          </cell>
          <cell r="BA7">
            <v>2.1655923607460958</v>
          </cell>
          <cell r="BB7">
            <v>2.0360565930363395</v>
          </cell>
          <cell r="BC7">
            <v>1.8561491580098268</v>
          </cell>
          <cell r="BD7">
            <v>5.3970470463238414</v>
          </cell>
          <cell r="BE7">
            <v>5.1621776326528641</v>
          </cell>
          <cell r="BF7">
            <v>4.8486755421074585</v>
          </cell>
          <cell r="BG7">
            <v>4.4174516971855722</v>
          </cell>
          <cell r="BH7">
            <v>9.8520183863460034</v>
          </cell>
          <cell r="BI7">
            <v>11.339956881276599</v>
          </cell>
          <cell r="BJ7">
            <v>10.945888004577938</v>
          </cell>
          <cell r="BK7">
            <v>10.219138270459434</v>
          </cell>
          <cell r="BL7">
            <v>2630</v>
          </cell>
          <cell r="BM7">
            <v>3052.2844100000002</v>
          </cell>
          <cell r="BN7">
            <v>3732.0984039999998</v>
          </cell>
          <cell r="BO7">
            <v>4426.6748900000002</v>
          </cell>
          <cell r="BP7">
            <v>36.6571</v>
          </cell>
          <cell r="BQ7">
            <v>39.303600000000003</v>
          </cell>
          <cell r="BR7">
            <v>38.503500000000003</v>
          </cell>
          <cell r="BS7">
            <v>37.650500000000001</v>
          </cell>
          <cell r="BT7">
            <v>5540.5</v>
          </cell>
          <cell r="BU7">
            <v>5651.7974850000001</v>
          </cell>
          <cell r="BV7">
            <v>5786.7308979999998</v>
          </cell>
          <cell r="BW7">
            <v>5951.7927399999999</v>
          </cell>
          <cell r="BX7">
            <v>2353</v>
          </cell>
          <cell r="BY7">
            <v>2370.9934699999999</v>
          </cell>
          <cell r="BZ7">
            <v>2429.9649450000002</v>
          </cell>
          <cell r="CA7">
            <v>2500.857019</v>
          </cell>
          <cell r="CB7">
            <v>1611</v>
          </cell>
          <cell r="CC7">
            <v>1664.8688709999999</v>
          </cell>
          <cell r="CD7">
            <v>1724.338653</v>
          </cell>
          <cell r="CE7">
            <v>1787.5461</v>
          </cell>
          <cell r="CF7">
            <v>1624</v>
          </cell>
          <cell r="CG7">
            <v>1660.3363280000001</v>
          </cell>
          <cell r="CH7">
            <v>1730.409312</v>
          </cell>
          <cell r="CI7">
            <v>1805.4358030000001</v>
          </cell>
          <cell r="CJ7">
            <v>-508</v>
          </cell>
          <cell r="CK7">
            <v>-520.65591800000004</v>
          </cell>
          <cell r="CL7">
            <v>-554.47372499999994</v>
          </cell>
          <cell r="CM7">
            <v>-589.97522900000001</v>
          </cell>
          <cell r="CN7">
            <v>920.00239999999997</v>
          </cell>
          <cell r="CO7">
            <v>945.98801000000003</v>
          </cell>
          <cell r="CP7">
            <v>992.24318700000003</v>
          </cell>
          <cell r="CQ7">
            <v>1041.7681729999999</v>
          </cell>
          <cell r="CR7">
            <v>1063.4211</v>
          </cell>
          <cell r="CS7">
            <v>1098.9799419999999</v>
          </cell>
          <cell r="CT7">
            <v>1138.2359449999999</v>
          </cell>
          <cell r="CU7">
            <v>1179.9591800000001</v>
          </cell>
          <cell r="CV7">
            <v>1.5859999999999999</v>
          </cell>
          <cell r="CW7">
            <v>2.0087985741359233</v>
          </cell>
          <cell r="CX7">
            <v>2.3874424615905951</v>
          </cell>
          <cell r="CY7">
            <v>2.8524195251078481</v>
          </cell>
          <cell r="CZ7">
            <v>2.41563923641705</v>
          </cell>
          <cell r="DA7">
            <v>73.909800000000004</v>
          </cell>
          <cell r="DB7">
            <v>0.76470335741605311</v>
          </cell>
          <cell r="DC7">
            <v>2.487205289519423</v>
          </cell>
          <cell r="DD7">
            <v>2.9174113867720877</v>
          </cell>
          <cell r="DE7">
            <v>2.0521859745702358</v>
          </cell>
          <cell r="DF7">
            <v>184.62899999999999</v>
          </cell>
          <cell r="DG7">
            <v>3.3438157045313517</v>
          </cell>
          <cell r="DH7">
            <v>3.5720399988186387</v>
          </cell>
          <cell r="DI7">
            <v>3.6656051808634942</v>
          </cell>
          <cell r="DJ7">
            <v>3.5270653767142335</v>
          </cell>
          <cell r="DK7">
            <v>16.328899999999997</v>
          </cell>
          <cell r="DL7">
            <v>2.8245154577857647</v>
          </cell>
          <cell r="DM7">
            <v>4.8896155671148449</v>
          </cell>
          <cell r="DN7">
            <v>4.9912145176563456</v>
          </cell>
          <cell r="DO7">
            <v>4.2303129270745217</v>
          </cell>
          <cell r="DP7">
            <v>42.469091237252954</v>
          </cell>
          <cell r="DQ7">
            <v>41.951139903591219</v>
          </cell>
          <cell r="DR7">
            <v>41.992015661897128</v>
          </cell>
          <cell r="DS7">
            <v>42.018550178882748</v>
          </cell>
          <cell r="DT7">
            <v>29.076798122913093</v>
          </cell>
          <cell r="DU7">
            <v>29.45733415640953</v>
          </cell>
          <cell r="DV7">
            <v>29.798148270484859</v>
          </cell>
          <cell r="DW7">
            <v>30.033742404813644</v>
          </cell>
          <cell r="DX7">
            <v>16.605042866167313</v>
          </cell>
          <cell r="DY7">
            <v>16.737825665386524</v>
          </cell>
          <cell r="DZ7">
            <v>17.146869354905331</v>
          </cell>
          <cell r="EA7">
            <v>17.503434990244635</v>
          </cell>
          <cell r="EB7">
            <v>19.193594440934934</v>
          </cell>
          <cell r="EC7">
            <v>19.444786281120614</v>
          </cell>
          <cell r="ED7">
            <v>19.669757676020414</v>
          </cell>
          <cell r="EE7">
            <v>19.825273351168477</v>
          </cell>
          <cell r="EF7">
            <v>-108</v>
          </cell>
          <cell r="EG7">
            <v>-504.02195499999999</v>
          </cell>
          <cell r="EH7">
            <v>-897.990094</v>
          </cell>
          <cell r="EI7">
            <v>-1530.8301220000001</v>
          </cell>
          <cell r="EJ7">
            <v>2991</v>
          </cell>
          <cell r="EK7">
            <v>3210.2844100000002</v>
          </cell>
          <cell r="EL7">
            <v>3890.0984039999998</v>
          </cell>
          <cell r="EM7">
            <v>4584.6748900000002</v>
          </cell>
          <cell r="EN7">
            <v>-8.1300000000000008</v>
          </cell>
          <cell r="EO7">
            <v>-0.53254299999999999</v>
          </cell>
          <cell r="EP7">
            <v>10.070658999999999</v>
          </cell>
          <cell r="EQ7">
            <v>21.889703000000001</v>
          </cell>
          <cell r="ER7">
            <v>2668</v>
          </cell>
          <cell r="ES7">
            <v>2732.8887920000002</v>
          </cell>
          <cell r="ET7">
            <v>2826.3575799999999</v>
          </cell>
          <cell r="EU7">
            <v>2942.8769179999999</v>
          </cell>
          <cell r="EV7">
            <v>406</v>
          </cell>
          <cell r="EW7">
            <v>599.02195500000005</v>
          </cell>
          <cell r="EX7">
            <v>992.990094</v>
          </cell>
          <cell r="EY7">
            <v>1625.8301220000001</v>
          </cell>
          <cell r="EZ7">
            <v>-4.1064638783269958</v>
          </cell>
          <cell r="FA7">
            <v>-16.512942022987957</v>
          </cell>
          <cell r="FB7">
            <v>-24.061265186297053</v>
          </cell>
          <cell r="FC7">
            <v>-34.581941525866156</v>
          </cell>
          <cell r="FD7">
            <v>-4.5898852528686786E-2</v>
          </cell>
          <cell r="FE7">
            <v>-0.21257838175319818</v>
          </cell>
          <cell r="FF7">
            <v>-0.36954857964010668</v>
          </cell>
          <cell r="FG7">
            <v>-0.61212220865474443</v>
          </cell>
          <cell r="FH7">
            <v>0.25201738050900063</v>
          </cell>
          <cell r="FI7">
            <v>0.35980128251193672</v>
          </cell>
          <cell r="FJ7">
            <v>0.57586721278468034</v>
          </cell>
          <cell r="FK7">
            <v>0.90953185598961617</v>
          </cell>
          <cell r="FL7">
            <v>289.42189421894216</v>
          </cell>
          <cell r="FM7">
            <v>4452.2103755001945</v>
          </cell>
          <cell r="FN7">
            <v>-241.29155251905564</v>
          </cell>
          <cell r="FO7">
            <v>-114.24810190435201</v>
          </cell>
          <cell r="FP7">
            <v>-556</v>
          </cell>
          <cell r="FQ7">
            <v>-771.01338999999996</v>
          </cell>
          <cell r="FR7">
            <v>-799.09508000000005</v>
          </cell>
          <cell r="FS7">
            <v>-829.83025799999996</v>
          </cell>
          <cell r="FT7">
            <v>1289</v>
          </cell>
          <cell r="FU7">
            <v>1079.3241619999999</v>
          </cell>
          <cell r="FV7">
            <v>1076.3961400000003</v>
          </cell>
          <cell r="FW7">
            <v>1081.051532</v>
          </cell>
          <cell r="FX7">
            <v>10.035195379478386</v>
          </cell>
          <cell r="FY7">
            <v>13.641914666020627</v>
          </cell>
          <cell r="FZ7">
            <v>13.809093494846666</v>
          </cell>
          <cell r="GA7">
            <v>13.942526130370595</v>
          </cell>
          <cell r="GB7">
            <v>4.6334309999999999</v>
          </cell>
          <cell r="GC7">
            <v>4.6058599999999998</v>
          </cell>
          <cell r="GD7">
            <v>4.7334230000000002</v>
          </cell>
          <cell r="GE7">
            <v>4.8929159999999996</v>
          </cell>
          <cell r="GF7">
            <v>-692.28714000000002</v>
          </cell>
          <cell r="GG7">
            <v>-717.39599999999996</v>
          </cell>
          <cell r="GH7">
            <v>-496.12159300000002</v>
          </cell>
          <cell r="GI7">
            <v>-520.88408700000002</v>
          </cell>
          <cell r="GJ7">
            <v>2.2518703583776601E-2</v>
          </cell>
          <cell r="GK7">
            <v>1</v>
          </cell>
          <cell r="GP7">
            <v>5453.999566869451</v>
          </cell>
          <cell r="GQ7">
            <v>1353.000233454354</v>
          </cell>
          <cell r="GR7">
            <v>565.99995081316388</v>
          </cell>
          <cell r="GS7">
            <v>790.8631475067674</v>
          </cell>
        </row>
        <row r="8">
          <cell r="B8" t="str">
            <v>DTEGn.DE</v>
          </cell>
          <cell r="C8" t="str">
            <v>Deutsche Telekom</v>
          </cell>
          <cell r="D8" t="str">
            <v>SCRUTON Steve S</v>
          </cell>
          <cell r="E8" t="str">
            <v>EUR</v>
          </cell>
          <cell r="F8">
            <v>14.75</v>
          </cell>
          <cell r="G8">
            <v>-1</v>
          </cell>
          <cell r="H8" t="str">
            <v>EUR</v>
          </cell>
          <cell r="I8" t="str">
            <v>GERMANY</v>
          </cell>
          <cell r="J8">
            <v>4197.7524249999997</v>
          </cell>
          <cell r="K8">
            <v>61916.848268749993</v>
          </cell>
          <cell r="L8">
            <v>98785.107838750002</v>
          </cell>
          <cell r="M8">
            <v>99845.79632275</v>
          </cell>
          <cell r="N8">
            <v>95034.814824749978</v>
          </cell>
          <cell r="O8">
            <v>89206.698603750003</v>
          </cell>
          <cell r="P8">
            <v>4304.7297200000003</v>
          </cell>
          <cell r="Q8">
            <v>4351.3463170000005</v>
          </cell>
          <cell r="R8">
            <v>4139.9066830000002</v>
          </cell>
          <cell r="S8">
            <v>3883.7646119999999</v>
          </cell>
          <cell r="T8">
            <v>2393.4701500000001</v>
          </cell>
          <cell r="U8">
            <v>2419.389416</v>
          </cell>
          <cell r="V8">
            <v>2301.8269930000001</v>
          </cell>
          <cell r="W8">
            <v>2159.4095969999998</v>
          </cell>
          <cell r="X8">
            <v>1.1946273844389479</v>
          </cell>
          <cell r="Y8">
            <v>1.370790414110713</v>
          </cell>
          <cell r="Z8">
            <v>1.6237442252207146</v>
          </cell>
          <cell r="AA8">
            <v>1.8747649954606365</v>
          </cell>
          <cell r="AB8">
            <v>2.7702920093006678</v>
          </cell>
          <cell r="AC8">
            <v>2.5079251578301456</v>
          </cell>
          <cell r="AD8">
            <v>2.4744476577843915</v>
          </cell>
          <cell r="AE8">
            <v>2.482227685926476</v>
          </cell>
          <cell r="AF8">
            <v>0.49967215491513894</v>
          </cell>
          <cell r="AG8">
            <v>0.64588373145898437</v>
          </cell>
          <cell r="AH8">
            <v>0.66671869053830635</v>
          </cell>
          <cell r="AI8">
            <v>0.5824008672926918</v>
          </cell>
          <cell r="AJ8">
            <v>3.3876078299331454</v>
          </cell>
          <cell r="AK8">
            <v>4.3788727556541316</v>
          </cell>
          <cell r="AL8">
            <v>4.5201267155139417</v>
          </cell>
          <cell r="AM8">
            <v>3.9484804562216396</v>
          </cell>
          <cell r="AN8">
            <v>12.346946162570417</v>
          </cell>
          <cell r="AO8">
            <v>10.760215309478159</v>
          </cell>
          <cell r="AP8">
            <v>9.0839430070921665</v>
          </cell>
          <cell r="AQ8">
            <v>7.8676527648607353</v>
          </cell>
          <cell r="AR8">
            <v>7.7292453183276812</v>
          </cell>
          <cell r="AS8">
            <v>8.324523761709937</v>
          </cell>
          <cell r="AT8">
            <v>8.1341120128497693</v>
          </cell>
          <cell r="AU8">
            <v>7.7737548284114864</v>
          </cell>
          <cell r="AV8">
            <v>12.937873735599874</v>
          </cell>
          <cell r="AW8">
            <v>12.012699208087676</v>
          </cell>
          <cell r="AX8">
            <v>12.293904957544987</v>
          </cell>
          <cell r="AY8">
            <v>12.863796480244067</v>
          </cell>
          <cell r="AZ8">
            <v>1.7057926317654464</v>
          </cell>
          <cell r="BA8">
            <v>1.6873079333407408</v>
          </cell>
          <cell r="BB8">
            <v>1.5368012497709191</v>
          </cell>
          <cell r="BC8">
            <v>1.3769522812683939</v>
          </cell>
          <cell r="BD8">
            <v>5.1014825366014254</v>
          </cell>
          <cell r="BE8">
            <v>5.0245410030322892</v>
          </cell>
          <cell r="BF8">
            <v>4.490216212438261</v>
          </cell>
          <cell r="BG8">
            <v>3.9643833415398912</v>
          </cell>
          <cell r="BH8">
            <v>8.4947207703800842</v>
          </cell>
          <cell r="BI8">
            <v>9.4841495140910386</v>
          </cell>
          <cell r="BJ8">
            <v>9.1492951964936129</v>
          </cell>
          <cell r="BK8">
            <v>8.5612864975996583</v>
          </cell>
          <cell r="BL8">
            <v>37941</v>
          </cell>
          <cell r="BM8">
            <v>35517.951086000001</v>
          </cell>
          <cell r="BN8">
            <v>36987.932906000002</v>
          </cell>
          <cell r="BO8">
            <v>39886.206854999997</v>
          </cell>
          <cell r="BP8">
            <v>8.2521000000000004</v>
          </cell>
          <cell r="BQ8">
            <v>9.0865000000000009</v>
          </cell>
          <cell r="BR8">
            <v>10.2913</v>
          </cell>
          <cell r="BS8">
            <v>11.6355</v>
          </cell>
          <cell r="BT8">
            <v>57911.557359999999</v>
          </cell>
          <cell r="BU8">
            <v>59174.614395999997</v>
          </cell>
          <cell r="BV8">
            <v>61839.365916000002</v>
          </cell>
          <cell r="BW8">
            <v>64785.613719000001</v>
          </cell>
          <cell r="BX8">
            <v>19364</v>
          </cell>
          <cell r="BY8">
            <v>19871.625340999999</v>
          </cell>
          <cell r="BZ8">
            <v>21164.863857</v>
          </cell>
          <cell r="CA8">
            <v>22502.036488000002</v>
          </cell>
          <cell r="CB8">
            <v>6917</v>
          </cell>
          <cell r="CC8">
            <v>7454.9318249999997</v>
          </cell>
          <cell r="CD8">
            <v>8654.8435150000005</v>
          </cell>
          <cell r="CE8">
            <v>9683.9464220000009</v>
          </cell>
          <cell r="CF8">
            <v>8175</v>
          </cell>
          <cell r="CG8">
            <v>9382.2478250000004</v>
          </cell>
          <cell r="CH8">
            <v>10990.695108</v>
          </cell>
          <cell r="CI8">
            <v>12535.844002</v>
          </cell>
          <cell r="CJ8">
            <v>-1608</v>
          </cell>
          <cell r="CK8">
            <v>-1609.0367389999999</v>
          </cell>
          <cell r="CL8">
            <v>-2136.9932880000001</v>
          </cell>
          <cell r="CM8">
            <v>-2607.7954009999999</v>
          </cell>
          <cell r="CN8">
            <v>5014.75</v>
          </cell>
          <cell r="CO8">
            <v>5754.2387849999996</v>
          </cell>
          <cell r="CP8">
            <v>6816.0762590000004</v>
          </cell>
          <cell r="CQ8">
            <v>7869.7993059999999</v>
          </cell>
          <cell r="CR8">
            <v>7476.3</v>
          </cell>
          <cell r="CS8">
            <v>7915.7843970000004</v>
          </cell>
          <cell r="CT8">
            <v>8732.3856049999995</v>
          </cell>
          <cell r="CU8">
            <v>9474.009231</v>
          </cell>
          <cell r="CV8">
            <v>3.6942000000000004</v>
          </cell>
          <cell r="CW8">
            <v>2.1810103087857868</v>
          </cell>
          <cell r="CX8">
            <v>4.5032004808131632</v>
          </cell>
          <cell r="CY8">
            <v>4.7643564246794767</v>
          </cell>
          <cell r="CZ8">
            <v>3.8096621650599332</v>
          </cell>
          <cell r="DA8">
            <v>5.8835999999999995</v>
          </cell>
          <cell r="DB8">
            <v>2.6214900898574598</v>
          </cell>
          <cell r="DC8">
            <v>6.5079654724152505</v>
          </cell>
          <cell r="DD8">
            <v>6.3178891205470649</v>
          </cell>
          <cell r="DE8">
            <v>5.1337729316463907</v>
          </cell>
          <cell r="DF8">
            <v>31.953500000000002</v>
          </cell>
          <cell r="DG8">
            <v>7.7769527974555359</v>
          </cell>
          <cell r="DH8">
            <v>16.095542094377251</v>
          </cell>
          <cell r="DI8">
            <v>11.890485428378071</v>
          </cell>
          <cell r="DJ8">
            <v>11.869458035861285</v>
          </cell>
          <cell r="DK8">
            <v>45.025100000000002</v>
          </cell>
          <cell r="DL8">
            <v>14.746274191136138</v>
          </cell>
          <cell r="DM8">
            <v>18.45313539590974</v>
          </cell>
          <cell r="DN8">
            <v>15.459378782751372</v>
          </cell>
          <cell r="DO8">
            <v>16.208560999763606</v>
          </cell>
          <cell r="DP8">
            <v>33.437194374908792</v>
          </cell>
          <cell r="DQ8">
            <v>33.5813347392818</v>
          </cell>
          <cell r="DR8">
            <v>34.225551222096072</v>
          </cell>
          <cell r="DS8">
            <v>34.733076058521178</v>
          </cell>
          <cell r="DT8">
            <v>11.944075268087385</v>
          </cell>
          <cell r="DU8">
            <v>12.598192486918727</v>
          </cell>
          <cell r="DV8">
            <v>13.995686059841519</v>
          </cell>
          <cell r="DW8">
            <v>14.947680304462319</v>
          </cell>
          <cell r="DX8">
            <v>8.6593250615355242</v>
          </cell>
          <cell r="DY8">
            <v>9.7241677765609005</v>
          </cell>
          <cell r="DZ8">
            <v>11.022228572425325</v>
          </cell>
          <cell r="EA8">
            <v>12.147448876743425</v>
          </cell>
          <cell r="EB8">
            <v>12.909858309498587</v>
          </cell>
          <cell r="EC8">
            <v>13.376993627752444</v>
          </cell>
          <cell r="ED8">
            <v>14.121078823579312</v>
          </cell>
          <cell r="EE8">
            <v>14.623631215554125</v>
          </cell>
          <cell r="EF8">
            <v>34957</v>
          </cell>
          <cell r="EG8">
            <v>35996.991153000003</v>
          </cell>
          <cell r="EH8">
            <v>31279.886866000001</v>
          </cell>
          <cell r="EI8">
            <v>25565.495320000002</v>
          </cell>
          <cell r="EJ8">
            <v>81043</v>
          </cell>
          <cell r="EK8">
            <v>74014.942238999996</v>
          </cell>
          <cell r="EL8">
            <v>70767.819772000003</v>
          </cell>
          <cell r="EM8">
            <v>67951.702174999999</v>
          </cell>
          <cell r="EN8">
            <v>-3371</v>
          </cell>
          <cell r="EO8">
            <v>-2857.6840000000002</v>
          </cell>
          <cell r="EP8">
            <v>-2549.1484070000001</v>
          </cell>
          <cell r="EQ8">
            <v>-2233.1024200000002</v>
          </cell>
          <cell r="ER8">
            <v>44152</v>
          </cell>
          <cell r="ES8">
            <v>44659.246173</v>
          </cell>
          <cell r="ET8">
            <v>45374.977744999997</v>
          </cell>
          <cell r="EU8">
            <v>46611.351476999997</v>
          </cell>
          <cell r="EV8">
            <v>8145</v>
          </cell>
          <cell r="EW8">
            <v>2500</v>
          </cell>
          <cell r="EX8">
            <v>2500</v>
          </cell>
          <cell r="EY8">
            <v>2500</v>
          </cell>
          <cell r="EZ8">
            <v>92.135157217785505</v>
          </cell>
          <cell r="FA8">
            <v>101.34872663639887</v>
          </cell>
          <cell r="FB8">
            <v>84.567815523764864</v>
          </cell>
          <cell r="FC8">
            <v>64.096080665026179</v>
          </cell>
          <cell r="FD8">
            <v>1.8052571782689526</v>
          </cell>
          <cell r="FE8">
            <v>1.8114769444011936</v>
          </cell>
          <cell r="FF8">
            <v>1.4779158078852743</v>
          </cell>
          <cell r="FG8">
            <v>1.1361414036295647</v>
          </cell>
          <cell r="FH8">
            <v>1.1775336128379355</v>
          </cell>
          <cell r="FI8">
            <v>0.33534847248586341</v>
          </cell>
          <cell r="FJ8">
            <v>0.28885559810147532</v>
          </cell>
          <cell r="FK8">
            <v>0.25815921433853628</v>
          </cell>
          <cell r="FL8">
            <v>5.7442895283298725</v>
          </cell>
          <cell r="FM8">
            <v>6.9537518287536333</v>
          </cell>
          <cell r="FN8">
            <v>8.3027193704693545</v>
          </cell>
          <cell r="FO8">
            <v>10.076580584243869</v>
          </cell>
          <cell r="FP8">
            <v>-6127</v>
          </cell>
          <cell r="FQ8">
            <v>-7734.9396889999998</v>
          </cell>
          <cell r="FR8">
            <v>-8640.7519130000001</v>
          </cell>
          <cell r="FS8">
            <v>-9474.4637989999992</v>
          </cell>
          <cell r="FT8">
            <v>11629</v>
          </cell>
          <cell r="FU8">
            <v>10527.648913000001</v>
          </cell>
          <cell r="FV8">
            <v>10387.118655999999</v>
          </cell>
          <cell r="FW8">
            <v>10419.777288000003</v>
          </cell>
          <cell r="FX8">
            <v>10.579926148268239</v>
          </cell>
          <cell r="FY8">
            <v>13.071381652337147</v>
          </cell>
          <cell r="FZ8">
            <v>13.972898630198173</v>
          </cell>
          <cell r="GA8">
            <v>14.624332865154869</v>
          </cell>
          <cell r="GB8">
            <v>2.9446029999999999</v>
          </cell>
          <cell r="GC8">
            <v>3.106776</v>
          </cell>
          <cell r="GD8">
            <v>3.3709349999999998</v>
          </cell>
          <cell r="GE8">
            <v>3.6823440000000001</v>
          </cell>
          <cell r="GF8">
            <v>-2097.5</v>
          </cell>
          <cell r="GG8">
            <v>-2711.26</v>
          </cell>
          <cell r="GH8">
            <v>-2798.72</v>
          </cell>
          <cell r="GI8">
            <v>-2444.7746529999999</v>
          </cell>
          <cell r="GJ8">
            <v>0.18370030050628761</v>
          </cell>
          <cell r="GK8">
            <v>1</v>
          </cell>
          <cell r="GP8">
            <v>55848.405561738262</v>
          </cell>
          <cell r="GQ8">
            <v>18288.006830141781</v>
          </cell>
          <cell r="GR8">
            <v>5241.998128128469</v>
          </cell>
          <cell r="GS8">
            <v>3457.8497101536218</v>
          </cell>
        </row>
        <row r="9">
          <cell r="B9" t="str">
            <v>FTE.PA</v>
          </cell>
          <cell r="C9" t="str">
            <v>France Telecom</v>
          </cell>
          <cell r="D9" t="str">
            <v>Cote-Colisson Nicolas</v>
          </cell>
          <cell r="E9" t="str">
            <v>EUR</v>
          </cell>
          <cell r="F9">
            <v>23.72</v>
          </cell>
          <cell r="G9">
            <v>-1</v>
          </cell>
          <cell r="H9" t="str">
            <v>EUR</v>
          </cell>
          <cell r="I9" t="str">
            <v>FRANCE</v>
          </cell>
          <cell r="J9">
            <v>2467.1147679999999</v>
          </cell>
          <cell r="K9">
            <v>58519.962296959995</v>
          </cell>
          <cell r="L9">
            <v>98638.37043096</v>
          </cell>
          <cell r="M9">
            <v>92361.245542959994</v>
          </cell>
          <cell r="N9">
            <v>88197.976599960006</v>
          </cell>
          <cell r="O9">
            <v>82492.578217959992</v>
          </cell>
          <cell r="P9">
            <v>1393.5442499999999</v>
          </cell>
          <cell r="Q9">
            <v>1308.210595</v>
          </cell>
          <cell r="R9">
            <v>1251.6135119999999</v>
          </cell>
          <cell r="S9">
            <v>1174.0521269999999</v>
          </cell>
          <cell r="T9">
            <v>2394.1634779999999</v>
          </cell>
          <cell r="U9">
            <v>2247.556924</v>
          </cell>
          <cell r="V9">
            <v>2150.3209240000001</v>
          </cell>
          <cell r="W9">
            <v>2017.067434</v>
          </cell>
          <cell r="X9">
            <v>2.0843446225927664</v>
          </cell>
          <cell r="Y9">
            <v>2.2618798470100194</v>
          </cell>
          <cell r="Z9">
            <v>2.6722739430336873</v>
          </cell>
          <cell r="AA9">
            <v>3.0257167395789351</v>
          </cell>
          <cell r="AB9">
            <v>4.4140994895134931</v>
          </cell>
          <cell r="AC9">
            <v>4.1494013937984748</v>
          </cell>
          <cell r="AD9">
            <v>4.1741533468863752</v>
          </cell>
          <cell r="AE9">
            <v>4.2596948915025097</v>
          </cell>
          <cell r="AF9">
            <v>0.50577622743167006</v>
          </cell>
          <cell r="AG9">
            <v>1.0537004738159794</v>
          </cell>
          <cell r="AH9">
            <v>1.0537004738159794</v>
          </cell>
          <cell r="AI9">
            <v>1.0537004738159794</v>
          </cell>
          <cell r="AJ9">
            <v>2.1322775186832637</v>
          </cell>
          <cell r="AK9">
            <v>4.4422448305901323</v>
          </cell>
          <cell r="AL9">
            <v>4.4422448305901323</v>
          </cell>
          <cell r="AM9">
            <v>4.4422448305901323</v>
          </cell>
          <cell r="AN9">
            <v>11.380075896707581</v>
          </cell>
          <cell r="AO9">
            <v>10.486852354847885</v>
          </cell>
          <cell r="AP9">
            <v>8.8763354751990633</v>
          </cell>
          <cell r="AQ9">
            <v>7.8394648414117327</v>
          </cell>
          <cell r="AR9">
            <v>7.4962424243821948</v>
          </cell>
          <cell r="AS9">
            <v>8.0563003932530286</v>
          </cell>
          <cell r="AT9">
            <v>7.5615076347194794</v>
          </cell>
          <cell r="AU9">
            <v>7.1165391451742561</v>
          </cell>
          <cell r="AV9">
            <v>13.340016816257318</v>
          </cell>
          <cell r="AW9">
            <v>12.41264539784884</v>
          </cell>
          <cell r="AX9">
            <v>13.22487588861766</v>
          </cell>
          <cell r="AY9">
            <v>14.051774037919859</v>
          </cell>
          <cell r="AZ9">
            <v>2.0917015592798522</v>
          </cell>
          <cell r="BA9">
            <v>1.8673527731154889</v>
          </cell>
          <cell r="BB9">
            <v>1.7220359057508892</v>
          </cell>
          <cell r="BC9">
            <v>1.5488838905327351</v>
          </cell>
          <cell r="BD9">
            <v>5.4015676912361501</v>
          </cell>
          <cell r="BE9">
            <v>4.8007617718895323</v>
          </cell>
          <cell r="BF9">
            <v>4.3440485997076843</v>
          </cell>
          <cell r="BG9">
            <v>3.8512486086066589</v>
          </cell>
          <cell r="BH9">
            <v>9.0576267126139616</v>
          </cell>
          <cell r="BI9">
            <v>9.0222525475642996</v>
          </cell>
          <cell r="BJ9">
            <v>8.5644774277002398</v>
          </cell>
          <cell r="BK9">
            <v>7.8495910472859256</v>
          </cell>
          <cell r="BL9">
            <v>20186.191999999999</v>
          </cell>
          <cell r="BM9">
            <v>21681.964938000001</v>
          </cell>
          <cell r="BN9">
            <v>24282.530396999999</v>
          </cell>
          <cell r="BO9">
            <v>27986.288665</v>
          </cell>
          <cell r="BP9">
            <v>13.697999999999999</v>
          </cell>
          <cell r="BQ9">
            <v>15.211600000000001</v>
          </cell>
          <cell r="BR9">
            <v>18.252800000000001</v>
          </cell>
          <cell r="BS9">
            <v>20.860500000000002</v>
          </cell>
          <cell r="BT9">
            <v>47157</v>
          </cell>
          <cell r="BU9">
            <v>49461.058923999997</v>
          </cell>
          <cell r="BV9">
            <v>51217.269224999996</v>
          </cell>
          <cell r="BW9">
            <v>53259.368712000003</v>
          </cell>
          <cell r="BX9">
            <v>18261.063467</v>
          </cell>
          <cell r="BY9">
            <v>19238.872898000001</v>
          </cell>
          <cell r="BZ9">
            <v>20303.174464</v>
          </cell>
          <cell r="CA9">
            <v>21419.696986999999</v>
          </cell>
          <cell r="CB9">
            <v>9035.7999999999993</v>
          </cell>
          <cell r="CC9">
            <v>10628.018948999999</v>
          </cell>
          <cell r="CD9">
            <v>11926.231644</v>
          </cell>
          <cell r="CE9">
            <v>13128.444271</v>
          </cell>
          <cell r="CF9">
            <v>7611</v>
          </cell>
          <cell r="CG9">
            <v>9310.8471699999991</v>
          </cell>
          <cell r="CH9">
            <v>11021.295721</v>
          </cell>
          <cell r="CI9">
            <v>12497.246359000001</v>
          </cell>
          <cell r="CJ9">
            <v>-2250.6826000000001</v>
          </cell>
          <cell r="CK9">
            <v>-3297.2742320000002</v>
          </cell>
          <cell r="CL9">
            <v>-3903.1302620000001</v>
          </cell>
          <cell r="CM9">
            <v>-4425.8880920000001</v>
          </cell>
          <cell r="CN9">
            <v>5142.3173999999999</v>
          </cell>
          <cell r="CO9">
            <v>5580.3171739999998</v>
          </cell>
          <cell r="CP9">
            <v>6592.806509</v>
          </cell>
          <cell r="CQ9">
            <v>7464.7904520000002</v>
          </cell>
          <cell r="CR9">
            <v>7623.1869049999996</v>
          </cell>
          <cell r="CS9">
            <v>8006.3140810000004</v>
          </cell>
          <cell r="CT9">
            <v>8844.4960680000004</v>
          </cell>
          <cell r="CU9">
            <v>9620.8824860000004</v>
          </cell>
          <cell r="CV9">
            <v>2.2463000000000002</v>
          </cell>
          <cell r="CW9">
            <v>4.8859319379943571</v>
          </cell>
          <cell r="CX9">
            <v>3.5506928869002223</v>
          </cell>
          <cell r="CY9">
            <v>3.9871307430096721</v>
          </cell>
          <cell r="CZ9">
            <v>4.1397702574694506</v>
          </cell>
          <cell r="DA9">
            <v>5.5369999999999999</v>
          </cell>
          <cell r="DB9">
            <v>5.3546138359741491</v>
          </cell>
          <cell r="DC9">
            <v>5.5320369942806593</v>
          </cell>
          <cell r="DD9">
            <v>5.4992509914138452</v>
          </cell>
          <cell r="DE9">
            <v>5.4619390963929675</v>
          </cell>
          <cell r="DF9">
            <v>14.7113</v>
          </cell>
          <cell r="DG9">
            <v>17.621228325106799</v>
          </cell>
          <cell r="DH9">
            <v>12.215001697208592</v>
          </cell>
          <cell r="DI9">
            <v>10.080406476129667</v>
          </cell>
          <cell r="DJ9">
            <v>13.261476388946349</v>
          </cell>
          <cell r="DK9">
            <v>-31.114199999999997</v>
          </cell>
          <cell r="DL9">
            <v>8.5175561897443259</v>
          </cell>
          <cell r="DM9">
            <v>18.143938837695899</v>
          </cell>
          <cell r="DN9">
            <v>13.226293564199622</v>
          </cell>
          <cell r="DO9">
            <v>13.22775953865991</v>
          </cell>
          <cell r="DP9">
            <v>38.723971980829994</v>
          </cell>
          <cell r="DQ9">
            <v>38.897009721449209</v>
          </cell>
          <cell r="DR9">
            <v>39.641267039847733</v>
          </cell>
          <cell r="DS9">
            <v>40.217707241005797</v>
          </cell>
          <cell r="DT9">
            <v>19.161100154802043</v>
          </cell>
          <cell r="DU9">
            <v>21.487649436156662</v>
          </cell>
          <cell r="DV9">
            <v>23.285567201186527</v>
          </cell>
          <cell r="DW9">
            <v>24.650018557283421</v>
          </cell>
          <cell r="DX9">
            <v>10.904674597620714</v>
          </cell>
          <cell r="DY9">
            <v>11.282243638524815</v>
          </cell>
          <cell r="DZ9">
            <v>12.872233543021348</v>
          </cell>
          <cell r="EA9">
            <v>14.015919888885371</v>
          </cell>
          <cell r="EB9">
            <v>16.16554680111118</v>
          </cell>
          <cell r="EC9">
            <v>16.187106089463633</v>
          </cell>
          <cell r="ED9">
            <v>17.26858187059074</v>
          </cell>
          <cell r="EE9">
            <v>18.064206765245221</v>
          </cell>
          <cell r="EF9">
            <v>41119.027362000001</v>
          </cell>
          <cell r="EG9">
            <v>34780.629574999999</v>
          </cell>
          <cell r="EH9">
            <v>30576.721715</v>
          </cell>
          <cell r="EI9">
            <v>24815.631227999998</v>
          </cell>
          <cell r="EJ9">
            <v>63305.219362000003</v>
          </cell>
          <cell r="EK9">
            <v>58462.594512999996</v>
          </cell>
          <cell r="EL9">
            <v>56859.252112000002</v>
          </cell>
          <cell r="EM9">
            <v>54801.919891999998</v>
          </cell>
          <cell r="EN9">
            <v>-3217</v>
          </cell>
          <cell r="EO9">
            <v>-3089.7717790000002</v>
          </cell>
          <cell r="EP9">
            <v>-2677.7759219999998</v>
          </cell>
          <cell r="EQ9">
            <v>-2404.5219109999998</v>
          </cell>
          <cell r="ER9">
            <v>28318.227362000001</v>
          </cell>
          <cell r="ES9">
            <v>27180.122620999999</v>
          </cell>
          <cell r="ET9">
            <v>26673.108637000001</v>
          </cell>
          <cell r="EU9">
            <v>26634.508642000001</v>
          </cell>
          <cell r="EV9">
            <v>2000</v>
          </cell>
          <cell r="EW9">
            <v>2000</v>
          </cell>
          <cell r="EX9">
            <v>2000</v>
          </cell>
          <cell r="EY9">
            <v>2000</v>
          </cell>
          <cell r="EZ9">
            <v>203.69878262329024</v>
          </cell>
          <cell r="FA9">
            <v>160.41271939354152</v>
          </cell>
          <cell r="FB9">
            <v>125.92065660001242</v>
          </cell>
          <cell r="FC9">
            <v>88.670675576339406</v>
          </cell>
          <cell r="FD9">
            <v>2.2517323504355136</v>
          </cell>
          <cell r="FE9">
            <v>1.8078309347641492</v>
          </cell>
          <cell r="FF9">
            <v>1.5060069433583527</v>
          </cell>
          <cell r="FG9">
            <v>1.1585425901711426</v>
          </cell>
          <cell r="FH9">
            <v>0.22134177383297551</v>
          </cell>
          <cell r="FI9">
            <v>0.18818182481582627</v>
          </cell>
          <cell r="FJ9">
            <v>0.16769756446967768</v>
          </cell>
          <cell r="FK9">
            <v>0.15234097496364349</v>
          </cell>
          <cell r="FL9">
            <v>5.676426318619832</v>
          </cell>
          <cell r="FM9">
            <v>6.226632345068098</v>
          </cell>
          <cell r="FN9">
            <v>7.5821036021698909</v>
          </cell>
          <cell r="FO9">
            <v>8.9080897491559607</v>
          </cell>
          <cell r="FP9">
            <v>-5120.2908289999996</v>
          </cell>
          <cell r="FQ9">
            <v>-5704.5492089999998</v>
          </cell>
          <cell r="FR9">
            <v>-6101.928836</v>
          </cell>
          <cell r="FS9">
            <v>-6484.6527210000004</v>
          </cell>
          <cell r="FT9">
            <v>10890.090038</v>
          </cell>
          <cell r="FU9">
            <v>10237.049457000001</v>
          </cell>
          <cell r="FV9">
            <v>10298.115366000002</v>
          </cell>
          <cell r="FW9">
            <v>10509.156173999998</v>
          </cell>
          <cell r="FX9">
            <v>10.857965580931781</v>
          </cell>
          <cell r="FY9">
            <v>11.533415040234775</v>
          </cell>
          <cell r="FZ9">
            <v>11.913811353732909</v>
          </cell>
          <cell r="GA9">
            <v>12.175609433273149</v>
          </cell>
          <cell r="GB9">
            <v>4.8389680000000004</v>
          </cell>
          <cell r="GC9">
            <v>4.7788009999999996</v>
          </cell>
          <cell r="GD9">
            <v>5.0783769999999997</v>
          </cell>
          <cell r="GE9">
            <v>5.3808439999999997</v>
          </cell>
          <cell r="GF9">
            <v>-1247.808</v>
          </cell>
          <cell r="GG9">
            <v>-2599.6</v>
          </cell>
          <cell r="GH9">
            <v>-2599.6</v>
          </cell>
          <cell r="GI9">
            <v>-2599.6</v>
          </cell>
          <cell r="GJ9">
            <v>0.16992992380502314</v>
          </cell>
          <cell r="GK9">
            <v>1</v>
          </cell>
          <cell r="GP9">
            <v>46120.984329017287</v>
          </cell>
          <cell r="GQ9">
            <v>17302.996548130042</v>
          </cell>
          <cell r="GR9">
            <v>7876.9920661695915</v>
          </cell>
          <cell r="GS9">
            <v>7464.9890107975807</v>
          </cell>
        </row>
        <row r="10">
          <cell r="B10" t="str">
            <v>KPN.AS</v>
          </cell>
          <cell r="C10" t="str">
            <v>KPN</v>
          </cell>
          <cell r="D10" t="str">
            <v>Bluestone Jakob</v>
          </cell>
          <cell r="E10" t="str">
            <v>EUR</v>
          </cell>
          <cell r="F10">
            <v>6.64</v>
          </cell>
          <cell r="G10">
            <v>-1</v>
          </cell>
          <cell r="H10" t="str">
            <v>EUR</v>
          </cell>
          <cell r="I10" t="str">
            <v>NETHERLANDS</v>
          </cell>
          <cell r="J10">
            <v>2329.3999680000002</v>
          </cell>
          <cell r="K10">
            <v>15467.215787520001</v>
          </cell>
          <cell r="L10">
            <v>21918.196540520003</v>
          </cell>
          <cell r="M10">
            <v>19676.58865152</v>
          </cell>
          <cell r="N10">
            <v>18646.659280520002</v>
          </cell>
          <cell r="O10">
            <v>17848.30037252</v>
          </cell>
          <cell r="P10">
            <v>141.53107199999999</v>
          </cell>
          <cell r="Q10">
            <v>127.413477</v>
          </cell>
          <cell r="R10">
            <v>120.92700499999999</v>
          </cell>
          <cell r="S10">
            <v>115.898959</v>
          </cell>
          <cell r="T10">
            <v>1573.5503189999999</v>
          </cell>
          <cell r="U10">
            <v>1416.590113</v>
          </cell>
          <cell r="V10">
            <v>1344.4731609999999</v>
          </cell>
          <cell r="W10">
            <v>1288.571066</v>
          </cell>
          <cell r="X10">
            <v>0.5849200217727486</v>
          </cell>
          <cell r="Y10">
            <v>0.47792012762661801</v>
          </cell>
          <cell r="Z10">
            <v>0.61160790657313158</v>
          </cell>
          <cell r="AA10">
            <v>0.67878520379545215</v>
          </cell>
          <cell r="AB10">
            <v>1.2313282559468122</v>
          </cell>
          <cell r="AC10">
            <v>0.97957299662846054</v>
          </cell>
          <cell r="AD10">
            <v>0.91675485289609138</v>
          </cell>
          <cell r="AE10">
            <v>0.85469128545982687</v>
          </cell>
          <cell r="AF10">
            <v>0.37338227180743222</v>
          </cell>
          <cell r="AG10">
            <v>0.3850000001373744</v>
          </cell>
          <cell r="AH10">
            <v>0.42350000023697087</v>
          </cell>
          <cell r="AI10">
            <v>0.46585000038945645</v>
          </cell>
          <cell r="AJ10">
            <v>5.6232269850516898</v>
          </cell>
          <cell r="AK10">
            <v>5.7981927731532288</v>
          </cell>
          <cell r="AL10">
            <v>6.3780120517616101</v>
          </cell>
          <cell r="AM10">
            <v>7.0158132588773556</v>
          </cell>
          <cell r="AN10">
            <v>11.351979335355617</v>
          </cell>
          <cell r="AO10">
            <v>13.893534957346672</v>
          </cell>
          <cell r="AP10">
            <v>10.856628779055912</v>
          </cell>
          <cell r="AQ10">
            <v>9.7821814071258455</v>
          </cell>
          <cell r="AR10">
            <v>6.2622014354986666</v>
          </cell>
          <cell r="AS10">
            <v>7.9714122218009109</v>
          </cell>
          <cell r="AT10">
            <v>7.7865058294841552</v>
          </cell>
          <cell r="AU10">
            <v>8.2178910143122881</v>
          </cell>
          <cell r="AV10">
            <v>15.968825185521501</v>
          </cell>
          <cell r="AW10">
            <v>12.544828597185241</v>
          </cell>
          <cell r="AX10">
            <v>12.842731025942719</v>
          </cell>
          <cell r="AY10">
            <v>12.168572183038188</v>
          </cell>
          <cell r="AZ10">
            <v>1.8189374722423239</v>
          </cell>
          <cell r="BA10">
            <v>1.6439648666761175</v>
          </cell>
          <cell r="BB10">
            <v>1.542151505092628</v>
          </cell>
          <cell r="BC10">
            <v>1.4489381524899081</v>
          </cell>
          <cell r="BD10">
            <v>4.5339337719227117</v>
          </cell>
          <cell r="BE10">
            <v>4.4561719958298118</v>
          </cell>
          <cell r="BF10">
            <v>4.066130844216552</v>
          </cell>
          <cell r="BG10">
            <v>3.8197915241325182</v>
          </cell>
          <cell r="BH10">
            <v>7.641645843509087</v>
          </cell>
          <cell r="BI10">
            <v>8.623209487962745</v>
          </cell>
          <cell r="BJ10">
            <v>8.731799452848902</v>
          </cell>
          <cell r="BK10">
            <v>8.9648602756891353</v>
          </cell>
          <cell r="BL10">
            <v>6965</v>
          </cell>
          <cell r="BM10">
            <v>5912.7180429999999</v>
          </cell>
          <cell r="BN10">
            <v>6404.3234769999999</v>
          </cell>
          <cell r="BO10">
            <v>6937.266603</v>
          </cell>
          <cell r="BP10">
            <v>10.976099999999999</v>
          </cell>
          <cell r="BQ10">
            <v>8.9293999999999993</v>
          </cell>
          <cell r="BR10">
            <v>10.588799999999999</v>
          </cell>
          <cell r="BS10">
            <v>11.930399999999999</v>
          </cell>
          <cell r="BT10">
            <v>12050</v>
          </cell>
          <cell r="BU10">
            <v>11968.983674999999</v>
          </cell>
          <cell r="BV10">
            <v>12091.327745000001</v>
          </cell>
          <cell r="BW10">
            <v>12318.19339</v>
          </cell>
          <cell r="BX10">
            <v>4834.2560000000003</v>
          </cell>
          <cell r="BY10">
            <v>4415.5810570000003</v>
          </cell>
          <cell r="BZ10">
            <v>4585.8483150000002</v>
          </cell>
          <cell r="CA10">
            <v>4672.5849459999999</v>
          </cell>
          <cell r="CB10">
            <v>2774.2559999999999</v>
          </cell>
          <cell r="CC10">
            <v>1934.63733</v>
          </cell>
          <cell r="CD10">
            <v>2213.081917</v>
          </cell>
          <cell r="CE10">
            <v>2397.2503860000002</v>
          </cell>
          <cell r="CF10">
            <v>2168.2559999999999</v>
          </cell>
          <cell r="CG10">
            <v>1699.430734</v>
          </cell>
          <cell r="CH10">
            <v>2174.8693709999998</v>
          </cell>
          <cell r="CI10">
            <v>2413.7743999999998</v>
          </cell>
          <cell r="CJ10">
            <v>-268</v>
          </cell>
          <cell r="CK10">
            <v>-517.89370199999996</v>
          </cell>
          <cell r="CL10">
            <v>-696.76305100000002</v>
          </cell>
          <cell r="CM10">
            <v>-795.68029799999999</v>
          </cell>
          <cell r="CN10">
            <v>1362.51268</v>
          </cell>
          <cell r="CO10">
            <v>1113.26713</v>
          </cell>
          <cell r="CP10">
            <v>1424.6794379999999</v>
          </cell>
          <cell r="CQ10">
            <v>1581.1622319999999</v>
          </cell>
          <cell r="CR10">
            <v>1826.855992</v>
          </cell>
          <cell r="CS10">
            <v>1440.2040850000001</v>
          </cell>
          <cell r="CT10">
            <v>1621.948707</v>
          </cell>
          <cell r="CU10">
            <v>1742.429742</v>
          </cell>
          <cell r="CV10">
            <v>-6.6398000000000001</v>
          </cell>
          <cell r="CW10">
            <v>-0.67233464730290393</v>
          </cell>
          <cell r="CX10">
            <v>1.0221759284002161</v>
          </cell>
          <cell r="CY10">
            <v>1.8762674355081685</v>
          </cell>
          <cell r="CZ10">
            <v>0.73645347733784661</v>
          </cell>
          <cell r="DA10">
            <v>-14.331799999999999</v>
          </cell>
          <cell r="DB10">
            <v>-8.6605869238203326</v>
          </cell>
          <cell r="DC10">
            <v>3.8560555406422736</v>
          </cell>
          <cell r="DD10">
            <v>1.8913977315012858</v>
          </cell>
          <cell r="DE10">
            <v>-1.1274230412449384</v>
          </cell>
          <cell r="DF10">
            <v>-19.023499999999999</v>
          </cell>
          <cell r="DG10">
            <v>-30.264642844784333</v>
          </cell>
          <cell r="DH10">
            <v>14.39259868928508</v>
          </cell>
          <cell r="DI10">
            <v>8.3218098519215431</v>
          </cell>
          <cell r="DJ10">
            <v>-4.7520535402268678</v>
          </cell>
          <cell r="DK10">
            <v>7.1464999999999996</v>
          </cell>
          <cell r="DL10">
            <v>-18.293081133013757</v>
          </cell>
          <cell r="DM10">
            <v>27.972828767521406</v>
          </cell>
          <cell r="DN10">
            <v>10.98371955305781</v>
          </cell>
          <cell r="DO10">
            <v>5.0861044873643948</v>
          </cell>
          <cell r="DP10">
            <v>40.118307053941912</v>
          </cell>
          <cell r="DQ10">
            <v>36.891862975993241</v>
          </cell>
          <cell r="DR10">
            <v>37.926755536804784</v>
          </cell>
          <cell r="DS10">
            <v>37.93238828181768</v>
          </cell>
          <cell r="DT10">
            <v>23.022871369294602</v>
          </cell>
          <cell r="DU10">
            <v>16.163756109392473</v>
          </cell>
          <cell r="DV10">
            <v>18.303051275035966</v>
          </cell>
          <cell r="DW10">
            <v>19.4610549623787</v>
          </cell>
          <cell r="DX10">
            <v>11.307159170124482</v>
          </cell>
          <cell r="DY10">
            <v>9.3012670100412684</v>
          </cell>
          <cell r="DZ10">
            <v>11.782655040420458</v>
          </cell>
          <cell r="EA10">
            <v>12.835991301156215</v>
          </cell>
          <cell r="EB10">
            <v>15.160630639004149</v>
          </cell>
          <cell r="EC10">
            <v>12.032801815982094</v>
          </cell>
          <cell r="ED10">
            <v>13.414148894199872</v>
          </cell>
          <cell r="EE10">
            <v>14.145172809305926</v>
          </cell>
          <cell r="EF10">
            <v>7883</v>
          </cell>
          <cell r="EG10">
            <v>5498.5495000000001</v>
          </cell>
          <cell r="EH10">
            <v>4402.9896490000001</v>
          </cell>
          <cell r="EI10">
            <v>3553.7566919999999</v>
          </cell>
          <cell r="EJ10">
            <v>16421</v>
          </cell>
          <cell r="EK10">
            <v>11661.267544</v>
          </cell>
          <cell r="EL10">
            <v>11057.313125999999</v>
          </cell>
          <cell r="EM10">
            <v>10741.023295000001</v>
          </cell>
          <cell r="EN10">
            <v>-627</v>
          </cell>
          <cell r="EO10">
            <v>-503.20659699999999</v>
          </cell>
          <cell r="EP10">
            <v>-306.21254599999997</v>
          </cell>
          <cell r="EQ10">
            <v>-251.475987</v>
          </cell>
          <cell r="ER10">
            <v>8806</v>
          </cell>
          <cell r="ES10">
            <v>8410.9263210000008</v>
          </cell>
          <cell r="ET10">
            <v>8047.7564620000003</v>
          </cell>
          <cell r="EU10">
            <v>7909.4086980000002</v>
          </cell>
          <cell r="EV10">
            <v>1573</v>
          </cell>
          <cell r="EW10">
            <v>250</v>
          </cell>
          <cell r="EX10">
            <v>250</v>
          </cell>
          <cell r="EY10">
            <v>250</v>
          </cell>
          <cell r="EZ10">
            <v>113.18018664752333</v>
          </cell>
          <cell r="FA10">
            <v>92.995293535257787</v>
          </cell>
          <cell r="FB10">
            <v>68.750269482991641</v>
          </cell>
          <cell r="FC10">
            <v>51.227045108273458</v>
          </cell>
          <cell r="FD10">
            <v>1.6306542309716323</v>
          </cell>
          <cell r="FE10">
            <v>1.2452606868767984</v>
          </cell>
          <cell r="FF10">
            <v>0.96012544387875154</v>
          </cell>
          <cell r="FG10">
            <v>0.76055475354005475</v>
          </cell>
          <cell r="FH10">
            <v>0.56699886383953035</v>
          </cell>
          <cell r="FI10">
            <v>0.12922318623925239</v>
          </cell>
          <cell r="FJ10">
            <v>0.11296463907621364</v>
          </cell>
          <cell r="FK10">
            <v>0.10428614443447627</v>
          </cell>
          <cell r="FL10">
            <v>7.7101371610845302</v>
          </cell>
          <cell r="FM10">
            <v>8.7748870609500376</v>
          </cell>
          <cell r="FN10">
            <v>14.97603012973871</v>
          </cell>
          <cell r="FO10">
            <v>18.58064064780865</v>
          </cell>
          <cell r="FP10">
            <v>-1698</v>
          </cell>
          <cell r="FQ10">
            <v>-1615.870048</v>
          </cell>
          <cell r="FR10">
            <v>-1753.5965389999999</v>
          </cell>
          <cell r="FS10">
            <v>-1885.986795</v>
          </cell>
          <cell r="FT10">
            <v>2868.2560000000003</v>
          </cell>
          <cell r="FU10">
            <v>2281.8173070000003</v>
          </cell>
          <cell r="FV10">
            <v>2135.4887250000002</v>
          </cell>
          <cell r="FW10">
            <v>1990.9178529999997</v>
          </cell>
          <cell r="FX10">
            <v>14.091286307053942</v>
          </cell>
          <cell r="FY10">
            <v>13.500478335308616</v>
          </cell>
          <cell r="FZ10">
            <v>14.502927850294572</v>
          </cell>
          <cell r="GA10">
            <v>15.31057952484378</v>
          </cell>
          <cell r="GB10">
            <v>1.3675550000000001</v>
          </cell>
          <cell r="GC10">
            <v>1.4330780000000001</v>
          </cell>
          <cell r="GD10">
            <v>1.5203249999999999</v>
          </cell>
          <cell r="GE10">
            <v>1.545676</v>
          </cell>
          <cell r="GF10">
            <v>-869.75665200000003</v>
          </cell>
          <cell r="GG10">
            <v>-896.81898799999999</v>
          </cell>
          <cell r="GH10">
            <v>-986.50088700000003</v>
          </cell>
          <cell r="GI10">
            <v>-1085.1509759999999</v>
          </cell>
          <cell r="GJ10">
            <v>3.6201776953520497E-2</v>
          </cell>
          <cell r="GK10">
            <v>1</v>
          </cell>
          <cell r="GP10">
            <v>12906.998913884074</v>
          </cell>
          <cell r="GQ10">
            <v>5642.9993860032082</v>
          </cell>
          <cell r="GR10">
            <v>3426.0013707680619</v>
          </cell>
          <cell r="GS10">
            <v>1271.6352657342986</v>
          </cell>
        </row>
        <row r="11">
          <cell r="B11" t="str">
            <v>OTEr.AT</v>
          </cell>
          <cell r="C11" t="str">
            <v>OTE</v>
          </cell>
          <cell r="D11" t="str">
            <v>HASKINS Andrew</v>
          </cell>
          <cell r="E11" t="str">
            <v>EUR</v>
          </cell>
          <cell r="F11">
            <v>14.04</v>
          </cell>
          <cell r="G11">
            <v>-1</v>
          </cell>
          <cell r="H11" t="str">
            <v>EUR</v>
          </cell>
          <cell r="I11" t="str">
            <v>GREECE</v>
          </cell>
          <cell r="J11">
            <v>491.259299</v>
          </cell>
          <cell r="K11">
            <v>6897.2805579599999</v>
          </cell>
          <cell r="L11">
            <v>11376.61379096</v>
          </cell>
          <cell r="M11">
            <v>11332.647502960001</v>
          </cell>
          <cell r="N11">
            <v>10587.334627960001</v>
          </cell>
          <cell r="O11">
            <v>9780.4117739600006</v>
          </cell>
          <cell r="P11">
            <v>2165.9332330000002</v>
          </cell>
          <cell r="Q11">
            <v>2157.5405300000002</v>
          </cell>
          <cell r="R11">
            <v>2015.2681319999999</v>
          </cell>
          <cell r="S11">
            <v>1861.235036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0.37208455976728494</v>
          </cell>
          <cell r="Y11">
            <v>0.45116367965179222</v>
          </cell>
          <cell r="Z11">
            <v>0.86320525609022625</v>
          </cell>
          <cell r="AA11">
            <v>1.0109598780337794</v>
          </cell>
          <cell r="AB11">
            <v>1.1279175806502135</v>
          </cell>
          <cell r="AC11">
            <v>1.3340092133299244</v>
          </cell>
          <cell r="AD11">
            <v>1.6090484100943201</v>
          </cell>
          <cell r="AE11">
            <v>1.6707608500658628</v>
          </cell>
          <cell r="AF11">
            <v>0.3494690082192215</v>
          </cell>
          <cell r="AG11">
            <v>0.3494690082192215</v>
          </cell>
          <cell r="AH11">
            <v>0.32899742422992789</v>
          </cell>
          <cell r="AI11">
            <v>0.48512408922360167</v>
          </cell>
          <cell r="AJ11">
            <v>2.4890955001369055</v>
          </cell>
          <cell r="AK11">
            <v>2.4890955001369055</v>
          </cell>
          <cell r="AL11">
            <v>2.3432864973641587</v>
          </cell>
          <cell r="AM11">
            <v>3.4552997807948835</v>
          </cell>
          <cell r="AN11">
            <v>37.733358268833086</v>
          </cell>
          <cell r="AO11">
            <v>31.119526312127036</v>
          </cell>
          <cell r="AP11">
            <v>16.264961202382292</v>
          </cell>
          <cell r="AQ11">
            <v>13.887791499012266</v>
          </cell>
          <cell r="AR11">
            <v>20.621646850875997</v>
          </cell>
          <cell r="AS11">
            <v>15.768071235308796</v>
          </cell>
          <cell r="AT11">
            <v>12.544297599676085</v>
          </cell>
          <cell r="AU11">
            <v>11.495483307451339</v>
          </cell>
          <cell r="AV11">
            <v>4.8492732284255977</v>
          </cell>
          <cell r="AW11">
            <v>6.3419297457303525</v>
          </cell>
          <cell r="AX11">
            <v>7.9717496500228258</v>
          </cell>
          <cell r="AY11">
            <v>8.6990687842746279</v>
          </cell>
          <cell r="AZ11">
            <v>2.1955369455892857</v>
          </cell>
          <cell r="BA11">
            <v>2.1307439142840261</v>
          </cell>
          <cell r="BB11">
            <v>1.9208347470893361</v>
          </cell>
          <cell r="BC11">
            <v>1.7039895962051199</v>
          </cell>
          <cell r="BD11">
            <v>6.8878209063147056</v>
          </cell>
          <cell r="BE11">
            <v>7.0885768755282266</v>
          </cell>
          <cell r="BF11">
            <v>5.4530765893265851</v>
          </cell>
          <cell r="BG11">
            <v>4.725394996801632</v>
          </cell>
          <cell r="BH11">
            <v>20.531697872153046</v>
          </cell>
          <cell r="BI11">
            <v>17.292658588198179</v>
          </cell>
          <cell r="BJ11">
            <v>13.393890529974119</v>
          </cell>
          <cell r="BK11">
            <v>11.916043102455905</v>
          </cell>
          <cell r="BL11">
            <v>4412.1000000000004</v>
          </cell>
          <cell r="BM11">
            <v>4601.6174799999999</v>
          </cell>
          <cell r="BN11">
            <v>5009.4072589999996</v>
          </cell>
          <cell r="BO11">
            <v>5419.9203779999998</v>
          </cell>
          <cell r="BP11">
            <v>6.0278</v>
          </cell>
          <cell r="BQ11">
            <v>6.3357999999999999</v>
          </cell>
          <cell r="BR11">
            <v>9.6771999999999991</v>
          </cell>
          <cell r="BS11">
            <v>11.0284</v>
          </cell>
          <cell r="BT11">
            <v>5181.7</v>
          </cell>
          <cell r="BU11">
            <v>5318.634223</v>
          </cell>
          <cell r="BV11">
            <v>5511.8404350000001</v>
          </cell>
          <cell r="BW11">
            <v>5739.713315</v>
          </cell>
          <cell r="BX11">
            <v>1651.7</v>
          </cell>
          <cell r="BY11">
            <v>1598.719701</v>
          </cell>
          <cell r="BZ11">
            <v>1941.5341880000001</v>
          </cell>
          <cell r="CA11">
            <v>2069.755392</v>
          </cell>
          <cell r="CB11">
            <v>648.6</v>
          </cell>
          <cell r="CC11">
            <v>647.55154700000003</v>
          </cell>
          <cell r="CD11">
            <v>966.76288199999999</v>
          </cell>
          <cell r="CE11">
            <v>1067.8441849999999</v>
          </cell>
          <cell r="CF11">
            <v>560.6</v>
          </cell>
          <cell r="CG11">
            <v>586.45750799999996</v>
          </cell>
          <cell r="CH11">
            <v>906.78895699999998</v>
          </cell>
          <cell r="CI11">
            <v>1028.9766770000001</v>
          </cell>
          <cell r="CJ11">
            <v>-213.9</v>
          </cell>
          <cell r="CK11">
            <v>-205.26012800000001</v>
          </cell>
          <cell r="CL11">
            <v>-317.37613499999998</v>
          </cell>
          <cell r="CM11">
            <v>-360.14183700000001</v>
          </cell>
          <cell r="CN11">
            <v>182.79</v>
          </cell>
          <cell r="CO11">
            <v>221.638353</v>
          </cell>
          <cell r="CP11">
            <v>424.05760900000001</v>
          </cell>
          <cell r="CQ11">
            <v>496.643441</v>
          </cell>
          <cell r="CR11">
            <v>434.59</v>
          </cell>
          <cell r="CS11">
            <v>433.90850499999999</v>
          </cell>
          <cell r="CT11">
            <v>641.39587300000005</v>
          </cell>
          <cell r="CU11">
            <v>707.09871999999996</v>
          </cell>
          <cell r="CV11">
            <v>4.8523999999999994</v>
          </cell>
          <cell r="CW11">
            <v>2.6426505393982751</v>
          </cell>
          <cell r="CX11">
            <v>3.6326283007862372</v>
          </cell>
          <cell r="CY11">
            <v>4.1342430479847536</v>
          </cell>
          <cell r="CZ11">
            <v>3.4679819172567079</v>
          </cell>
          <cell r="DA11">
            <v>-13.095899999999999</v>
          </cell>
          <cell r="DB11">
            <v>-3.2076223890537108</v>
          </cell>
          <cell r="DC11">
            <v>21.443063895789209</v>
          </cell>
          <cell r="DD11">
            <v>6.6041177535010291</v>
          </cell>
          <cell r="DE11">
            <v>7.8108867029911551</v>
          </cell>
          <cell r="DF11">
            <v>-32.204500000000003</v>
          </cell>
          <cell r="DG11">
            <v>-0.16164862781374723</v>
          </cell>
          <cell r="DH11">
            <v>49.295123527826263</v>
          </cell>
          <cell r="DI11">
            <v>10.455645834362912</v>
          </cell>
          <cell r="DJ11">
            <v>18.080173035202705</v>
          </cell>
          <cell r="DK11">
            <v>-60.908099999999997</v>
          </cell>
          <cell r="DL11">
            <v>21.252996881667485</v>
          </cell>
          <cell r="DM11">
            <v>91.328623074545249</v>
          </cell>
          <cell r="DN11">
            <v>17.116974311855813</v>
          </cell>
          <cell r="DO11">
            <v>39.53958396644569</v>
          </cell>
          <cell r="DP11">
            <v>31.875639268965784</v>
          </cell>
          <cell r="DQ11">
            <v>30.058839054704439</v>
          </cell>
          <cell r="DR11">
            <v>35.224789449116194</v>
          </cell>
          <cell r="DS11">
            <v>36.060257340570679</v>
          </cell>
          <cell r="DT11">
            <v>12.517127583611556</v>
          </cell>
          <cell r="DU11">
            <v>12.175147224821668</v>
          </cell>
          <cell r="DV11">
            <v>17.539747265923893</v>
          </cell>
          <cell r="DW11">
            <v>18.604486433308907</v>
          </cell>
          <cell r="DX11">
            <v>3.5276067699789646</v>
          </cell>
          <cell r="DY11">
            <v>4.1672042804061054</v>
          </cell>
          <cell r="DZ11">
            <v>7.6935755670147588</v>
          </cell>
          <cell r="EA11">
            <v>8.6527569190971008</v>
          </cell>
          <cell r="EB11">
            <v>8.3870158442210094</v>
          </cell>
          <cell r="EC11">
            <v>8.1582693377107613</v>
          </cell>
          <cell r="ED11">
            <v>11.636691601722685</v>
          </cell>
          <cell r="EE11">
            <v>12.31940832571008</v>
          </cell>
          <cell r="EF11">
            <v>2313.4</v>
          </cell>
          <cell r="EG11">
            <v>2277.826415</v>
          </cell>
          <cell r="EH11">
            <v>1674.785938</v>
          </cell>
          <cell r="EI11">
            <v>1021.89618</v>
          </cell>
          <cell r="EJ11">
            <v>7592.7</v>
          </cell>
          <cell r="EK11">
            <v>6929.4438950000003</v>
          </cell>
          <cell r="EL11">
            <v>6734.1931969999996</v>
          </cell>
          <cell r="EM11">
            <v>6491.8165580000004</v>
          </cell>
          <cell r="EN11">
            <v>-114.6</v>
          </cell>
          <cell r="EO11">
            <v>-81.094038999999995</v>
          </cell>
          <cell r="EP11">
            <v>-79.973924999999994</v>
          </cell>
          <cell r="EQ11">
            <v>-58.867508000000001</v>
          </cell>
          <cell r="ER11">
            <v>6744.2</v>
          </cell>
          <cell r="ES11">
            <v>6551.1469880000004</v>
          </cell>
          <cell r="ET11">
            <v>6430.0737410000002</v>
          </cell>
          <cell r="EU11">
            <v>6331.9992849999999</v>
          </cell>
          <cell r="EV11">
            <v>867.2</v>
          </cell>
          <cell r="EW11">
            <v>50</v>
          </cell>
          <cell r="EX11">
            <v>50</v>
          </cell>
          <cell r="EY11">
            <v>50</v>
          </cell>
          <cell r="EZ11">
            <v>52.433081752453475</v>
          </cell>
          <cell r="FA11">
            <v>49.500559855314179</v>
          </cell>
          <cell r="FB11">
            <v>33.432816527165897</v>
          </cell>
          <cell r="FC11">
            <v>18.854450042254847</v>
          </cell>
          <cell r="FD11">
            <v>1.400617545559121</v>
          </cell>
          <cell r="FE11">
            <v>1.4247816009117911</v>
          </cell>
          <cell r="FF11">
            <v>0.86260955297687492</v>
          </cell>
          <cell r="FG11">
            <v>0.49372799508087956</v>
          </cell>
          <cell r="FH11">
            <v>1.3370336108541474</v>
          </cell>
          <cell r="FI11">
            <v>7.7213930275731396E-2</v>
          </cell>
          <cell r="FJ11">
            <v>5.1718990179434716E-2</v>
          </cell>
          <cell r="FK11">
            <v>4.6823310649952175E-2</v>
          </cell>
          <cell r="FL11">
            <v>14.412739965095987</v>
          </cell>
          <cell r="FM11">
            <v>19.714392336531667</v>
          </cell>
          <cell r="FN11">
            <v>24.277090164075357</v>
          </cell>
          <cell r="FO11">
            <v>35.159555114852154</v>
          </cell>
          <cell r="FP11">
            <v>-883.7</v>
          </cell>
          <cell r="FQ11">
            <v>-738.11514199999999</v>
          </cell>
          <cell r="FR11">
            <v>-833.69805899999994</v>
          </cell>
          <cell r="FS11">
            <v>-888.83675100000005</v>
          </cell>
          <cell r="FT11">
            <v>554.09999999999991</v>
          </cell>
          <cell r="FU11">
            <v>655.3444310000001</v>
          </cell>
          <cell r="FV11">
            <v>790.45999400000017</v>
          </cell>
          <cell r="FW11">
            <v>820.77680399999986</v>
          </cell>
          <cell r="FX11">
            <v>17.054248605669954</v>
          </cell>
          <cell r="FY11">
            <v>13.877907580259633</v>
          </cell>
          <cell r="FZ11">
            <v>15.125584073625308</v>
          </cell>
          <cell r="GA11">
            <v>15.485734255701237</v>
          </cell>
          <cell r="GB11">
            <v>2.3768739999999999</v>
          </cell>
          <cell r="GC11">
            <v>2.3502010000000002</v>
          </cell>
          <cell r="GD11">
            <v>2.810988</v>
          </cell>
          <cell r="GE11">
            <v>3.014297</v>
          </cell>
          <cell r="GF11">
            <v>-171.6799</v>
          </cell>
          <cell r="GG11">
            <v>-171.6799</v>
          </cell>
          <cell r="GH11">
            <v>-161.62304399999999</v>
          </cell>
          <cell r="GI11">
            <v>-238.32172</v>
          </cell>
          <cell r="GJ11">
            <v>2.0850259384943566E-2</v>
          </cell>
          <cell r="GK11">
            <v>1</v>
          </cell>
          <cell r="GP11">
            <v>4941.899279367949</v>
          </cell>
          <cell r="GQ11">
            <v>1900.6007771785223</v>
          </cell>
          <cell r="GR11">
            <v>956.70066597340542</v>
          </cell>
          <cell r="GS11">
            <v>467.59047270662205</v>
          </cell>
        </row>
        <row r="12">
          <cell r="B12" t="str">
            <v>PTCO.IN</v>
          </cell>
          <cell r="C12" t="str">
            <v>Portugal Telecom</v>
          </cell>
          <cell r="D12" t="str">
            <v>SCRUTON Steve S</v>
          </cell>
          <cell r="E12" t="str">
            <v>EUR</v>
          </cell>
          <cell r="F12">
            <v>8.9600000000000009</v>
          </cell>
          <cell r="G12">
            <v>-1</v>
          </cell>
          <cell r="H12" t="str">
            <v>EUR</v>
          </cell>
          <cell r="I12" t="str">
            <v>PORTUGAL</v>
          </cell>
          <cell r="J12">
            <v>1166.48505</v>
          </cell>
          <cell r="K12">
            <v>10451.706048000002</v>
          </cell>
          <cell r="L12">
            <v>14245.418295000001</v>
          </cell>
          <cell r="M12">
            <v>14837.806322</v>
          </cell>
          <cell r="N12">
            <v>14078.318513000002</v>
          </cell>
          <cell r="O12">
            <v>13609.871798</v>
          </cell>
          <cell r="P12">
            <v>1277.6000590000001</v>
          </cell>
          <cell r="Q12">
            <v>1333.0039999999999</v>
          </cell>
          <cell r="R12">
            <v>1261.971812</v>
          </cell>
          <cell r="S12">
            <v>1218.15966</v>
          </cell>
          <cell r="T12">
            <v>606.78781200000003</v>
          </cell>
          <cell r="U12">
            <v>633.10155299999997</v>
          </cell>
          <cell r="V12">
            <v>599.36527799999999</v>
          </cell>
          <cell r="W12">
            <v>578.55698299999995</v>
          </cell>
          <cell r="X12">
            <v>0.6545047448314919</v>
          </cell>
          <cell r="Y12">
            <v>0.70965583828099632</v>
          </cell>
          <cell r="Z12">
            <v>0.74396313008897974</v>
          </cell>
          <cell r="AA12">
            <v>0.81874215361782821</v>
          </cell>
          <cell r="AB12">
            <v>1.0240165529768255</v>
          </cell>
          <cell r="AC12">
            <v>1.0388871790512875</v>
          </cell>
          <cell r="AD12">
            <v>0.98318795255884328</v>
          </cell>
          <cell r="AE12">
            <v>0.98203641872649827</v>
          </cell>
          <cell r="AF12">
            <v>0.35000000042863816</v>
          </cell>
          <cell r="AG12">
            <v>0.37345000006643891</v>
          </cell>
          <cell r="AH12">
            <v>0.41379331608236214</v>
          </cell>
          <cell r="AI12">
            <v>0.45517264794778123</v>
          </cell>
          <cell r="AJ12">
            <v>3.9062500047839075</v>
          </cell>
          <cell r="AK12">
            <v>4.1679687507415055</v>
          </cell>
          <cell r="AL12">
            <v>4.6182289741335047</v>
          </cell>
          <cell r="AM12">
            <v>5.0800518744172001</v>
          </cell>
          <cell r="AN12">
            <v>13.689740327714254</v>
          </cell>
          <cell r="AO12">
            <v>12.62583849335174</v>
          </cell>
          <cell r="AP12">
            <v>12.043607589704566</v>
          </cell>
          <cell r="AQ12">
            <v>10.943616327079139</v>
          </cell>
          <cell r="AR12">
            <v>11.293150033613831</v>
          </cell>
          <cell r="AS12">
            <v>11.554845351439917</v>
          </cell>
          <cell r="AT12">
            <v>12.472826487989444</v>
          </cell>
          <cell r="AU12">
            <v>11.876275640837035</v>
          </cell>
          <cell r="AV12">
            <v>8.8549253044856435</v>
          </cell>
          <cell r="AW12">
            <v>8.6543780516749553</v>
          </cell>
          <cell r="AX12">
            <v>8.0174289361191526</v>
          </cell>
          <cell r="AY12">
            <v>8.4201481191751828</v>
          </cell>
          <cell r="AZ12">
            <v>2.3652091675106681</v>
          </cell>
          <cell r="BA12">
            <v>2.3797511484772738</v>
          </cell>
          <cell r="BB12">
            <v>2.2323296502799357</v>
          </cell>
          <cell r="BC12">
            <v>2.107255680109593</v>
          </cell>
          <cell r="BD12">
            <v>6.1246907842125635</v>
          </cell>
          <cell r="BE12">
            <v>6.0958139862542522</v>
          </cell>
          <cell r="BF12">
            <v>5.7916042305601811</v>
          </cell>
          <cell r="BG12">
            <v>5.4393758859349521</v>
          </cell>
          <cell r="BH12">
            <v>11.92584202176643</v>
          </cell>
          <cell r="BI12">
            <v>12.243966541491364</v>
          </cell>
          <cell r="BJ12">
            <v>12.275383279925785</v>
          </cell>
          <cell r="BK12">
            <v>11.880843174290165</v>
          </cell>
          <cell r="BL12">
            <v>3285.8</v>
          </cell>
          <cell r="BM12">
            <v>3394.4264579999999</v>
          </cell>
          <cell r="BN12">
            <v>3893.4512420000001</v>
          </cell>
          <cell r="BO12">
            <v>4430.8756739999999</v>
          </cell>
          <cell r="BP12">
            <v>11.9396</v>
          </cell>
          <cell r="BQ12">
            <v>13.8573</v>
          </cell>
          <cell r="BR12">
            <v>14.902299999999999</v>
          </cell>
          <cell r="BS12">
            <v>15.934400000000002</v>
          </cell>
          <cell r="BT12">
            <v>6022.9</v>
          </cell>
          <cell r="BU12">
            <v>6235.0243350000001</v>
          </cell>
          <cell r="BV12">
            <v>6306.5589399999999</v>
          </cell>
          <cell r="BW12">
            <v>6458.5763969999998</v>
          </cell>
          <cell r="BX12">
            <v>2325.9</v>
          </cell>
          <cell r="BY12">
            <v>2434.0976209999999</v>
          </cell>
          <cell r="BZ12">
            <v>2430.8150129999999</v>
          </cell>
          <cell r="CA12">
            <v>2502.1017270000002</v>
          </cell>
          <cell r="CB12">
            <v>1271.4000000000001</v>
          </cell>
          <cell r="CC12">
            <v>1524.737014</v>
          </cell>
          <cell r="CD12">
            <v>1559.434023</v>
          </cell>
          <cell r="CE12">
            <v>1630.344024</v>
          </cell>
          <cell r="CF12">
            <v>1193.2</v>
          </cell>
          <cell r="CG12">
            <v>1299.84869</v>
          </cell>
          <cell r="CH12">
            <v>1354.080692</v>
          </cell>
          <cell r="CI12">
            <v>1473.6227879999999</v>
          </cell>
          <cell r="CJ12">
            <v>-348.3</v>
          </cell>
          <cell r="CK12">
            <v>-376.49838999999997</v>
          </cell>
          <cell r="CL12">
            <v>-372.37218999999999</v>
          </cell>
          <cell r="CM12">
            <v>-405.24626699999999</v>
          </cell>
          <cell r="CN12">
            <v>763.47</v>
          </cell>
          <cell r="CO12">
            <v>827.80292599999996</v>
          </cell>
          <cell r="CP12">
            <v>867.82186899999999</v>
          </cell>
          <cell r="CQ12">
            <v>955.05048199999999</v>
          </cell>
          <cell r="CR12">
            <v>992.16250000000002</v>
          </cell>
          <cell r="CS12">
            <v>1105.4343349999999</v>
          </cell>
          <cell r="CT12">
            <v>1130.5896660000001</v>
          </cell>
          <cell r="CU12">
            <v>1181.999417</v>
          </cell>
          <cell r="CV12">
            <v>4.2745999999999995</v>
          </cell>
          <cell r="CW12">
            <v>3.5219634229357979</v>
          </cell>
          <cell r="CX12">
            <v>1.1473027394367108</v>
          </cell>
          <cell r="CY12">
            <v>2.4104659679911009</v>
          </cell>
          <cell r="CZ12">
            <v>2.3553111566750147</v>
          </cell>
          <cell r="DA12">
            <v>2.5619999999999998</v>
          </cell>
          <cell r="DB12">
            <v>4.6518603981254358</v>
          </cell>
          <cell r="DC12">
            <v>-0.1348593405490135</v>
          </cell>
          <cell r="DD12">
            <v>2.9326260377181796</v>
          </cell>
          <cell r="DE12">
            <v>2.4640004925859529</v>
          </cell>
          <cell r="DF12">
            <v>5.6593999999999998</v>
          </cell>
          <cell r="DG12">
            <v>19.925830895076288</v>
          </cell>
          <cell r="DH12">
            <v>2.2756061328225883</v>
          </cell>
          <cell r="DI12">
            <v>4.5471626214480807</v>
          </cell>
          <cell r="DJ12">
            <v>8.6423162740629067</v>
          </cell>
          <cell r="DK12">
            <v>17.743100000000002</v>
          </cell>
          <cell r="DL12">
            <v>8.4263855816207496</v>
          </cell>
          <cell r="DM12">
            <v>4.8343563115165864</v>
          </cell>
          <cell r="DN12">
            <v>10.051442135298387</v>
          </cell>
          <cell r="DO12">
            <v>7.7485539929751184</v>
          </cell>
          <cell r="DP12">
            <v>38.61760945723821</v>
          </cell>
          <cell r="DQ12">
            <v>39.039103782423325</v>
          </cell>
          <cell r="DR12">
            <v>38.544236819580092</v>
          </cell>
          <cell r="DS12">
            <v>38.740762254700947</v>
          </cell>
          <cell r="DT12">
            <v>21.109432333261388</v>
          </cell>
          <cell r="DU12">
            <v>24.454387538489051</v>
          </cell>
          <cell r="DV12">
            <v>24.727177496259156</v>
          </cell>
          <cell r="DW12">
            <v>25.243086460311794</v>
          </cell>
          <cell r="DX12">
            <v>12.676119477328198</v>
          </cell>
          <cell r="DY12">
            <v>13.276659103849351</v>
          </cell>
          <cell r="DZ12">
            <v>13.760624094000777</v>
          </cell>
          <cell r="EA12">
            <v>14.787321900281611</v>
          </cell>
          <cell r="EB12">
            <v>16.473169071377576</v>
          </cell>
          <cell r="EC12">
            <v>17.729430962998798</v>
          </cell>
          <cell r="ED12">
            <v>17.927203674084748</v>
          </cell>
          <cell r="EE12">
            <v>18.301237677532733</v>
          </cell>
          <cell r="EF12">
            <v>3122.9</v>
          </cell>
          <cell r="EG12">
            <v>3686.197827</v>
          </cell>
          <cell r="EH12">
            <v>2964.0059310000001</v>
          </cell>
          <cell r="EI12">
            <v>2518.5630729999998</v>
          </cell>
          <cell r="EJ12">
            <v>8348.7999999999993</v>
          </cell>
          <cell r="EK12">
            <v>9848.0264580000003</v>
          </cell>
          <cell r="EL12">
            <v>9347.0512419999995</v>
          </cell>
          <cell r="EM12">
            <v>8884.4756739999993</v>
          </cell>
          <cell r="EN12">
            <v>-209.60931299999999</v>
          </cell>
          <cell r="EO12">
            <v>-246.74400499999999</v>
          </cell>
          <cell r="EP12">
            <v>-255.791935</v>
          </cell>
          <cell r="EQ12">
            <v>-211.62617800000001</v>
          </cell>
          <cell r="ER12">
            <v>4062.9</v>
          </cell>
          <cell r="ES12">
            <v>3935.0922609999998</v>
          </cell>
          <cell r="ET12">
            <v>3975.280045</v>
          </cell>
          <cell r="EU12">
            <v>4049.8470010000001</v>
          </cell>
          <cell r="EV12">
            <v>1940.1</v>
          </cell>
          <cell r="EW12">
            <v>2767.4021729999999</v>
          </cell>
          <cell r="EX12">
            <v>2489.5940690000002</v>
          </cell>
          <cell r="EY12">
            <v>1935.0369270000001</v>
          </cell>
          <cell r="EZ12">
            <v>95.042303244263181</v>
          </cell>
          <cell r="FA12">
            <v>108.59560142516423</v>
          </cell>
          <cell r="FB12">
            <v>76.127983805890437</v>
          </cell>
          <cell r="FC12">
            <v>56.841203822953396</v>
          </cell>
          <cell r="FD12">
            <v>1.3426630551614429</v>
          </cell>
          <cell r="FE12">
            <v>1.5144001601240626</v>
          </cell>
          <cell r="FF12">
            <v>1.219346562839416</v>
          </cell>
          <cell r="FG12">
            <v>1.0065790074889307</v>
          </cell>
          <cell r="FH12">
            <v>1.5259556394525717</v>
          </cell>
          <cell r="FI12">
            <v>1.8150029464687738</v>
          </cell>
          <cell r="FJ12">
            <v>1.5964728435324129</v>
          </cell>
          <cell r="FK12">
            <v>1.1868887170527636</v>
          </cell>
          <cell r="FL12">
            <v>11.096358108859411</v>
          </cell>
          <cell r="FM12">
            <v>9.864870358248421</v>
          </cell>
          <cell r="FN12">
            <v>9.5030948219692704</v>
          </cell>
          <cell r="FO12">
            <v>11.823214645023736</v>
          </cell>
          <cell r="FP12">
            <v>-783.1</v>
          </cell>
          <cell r="FQ12">
            <v>-845.75286800000003</v>
          </cell>
          <cell r="FR12">
            <v>-911.56877499999996</v>
          </cell>
          <cell r="FS12">
            <v>-951.324659</v>
          </cell>
          <cell r="FT12">
            <v>1194.5</v>
          </cell>
          <cell r="FU12">
            <v>1211.8463630000001</v>
          </cell>
          <cell r="FV12">
            <v>1146.8740479999999</v>
          </cell>
          <cell r="FW12">
            <v>1145.5308010000003</v>
          </cell>
          <cell r="FX12">
            <v>13.002042205582029</v>
          </cell>
          <cell r="FY12">
            <v>13.564547988247748</v>
          </cell>
          <cell r="FZ12">
            <v>14.454297243117496</v>
          </cell>
          <cell r="GA12">
            <v>14.729633908826859</v>
          </cell>
          <cell r="GB12">
            <v>1.4610099999999999</v>
          </cell>
          <cell r="GC12">
            <v>1.5241629999999999</v>
          </cell>
          <cell r="GD12">
            <v>1.525952</v>
          </cell>
          <cell r="GE12">
            <v>1.602816</v>
          </cell>
          <cell r="GF12">
            <v>-408.269768</v>
          </cell>
          <cell r="GG12">
            <v>-435.62384200000002</v>
          </cell>
          <cell r="GH12">
            <v>-482.683717</v>
          </cell>
          <cell r="GI12">
            <v>-530.952089</v>
          </cell>
          <cell r="GJ12">
            <v>2.7299191158681135E-2</v>
          </cell>
          <cell r="GK12">
            <v>1</v>
          </cell>
          <cell r="GP12">
            <v>5775.9991407303405</v>
          </cell>
          <cell r="GQ12">
            <v>2267.7989898792925</v>
          </cell>
          <cell r="GR12">
            <v>1203.3004162431359</v>
          </cell>
          <cell r="GS12">
            <v>648.42016220058758</v>
          </cell>
        </row>
        <row r="13">
          <cell r="B13" t="str">
            <v>SCMN.VX</v>
          </cell>
          <cell r="C13" t="str">
            <v>Swisscom</v>
          </cell>
          <cell r="D13" t="str">
            <v>Cote-Colisson Nicolas</v>
          </cell>
          <cell r="E13" t="str">
            <v>CHF</v>
          </cell>
          <cell r="F13">
            <v>416.5</v>
          </cell>
          <cell r="G13">
            <v>-1</v>
          </cell>
          <cell r="H13" t="str">
            <v>CHF</v>
          </cell>
          <cell r="I13" t="str">
            <v>SWITZERLAND</v>
          </cell>
          <cell r="J13">
            <v>61.482761000000004</v>
          </cell>
          <cell r="K13">
            <v>16528.407764771418</v>
          </cell>
          <cell r="L13">
            <v>17321.733985987274</v>
          </cell>
          <cell r="M13">
            <v>17524.12713895355</v>
          </cell>
          <cell r="N13">
            <v>16431.629647063601</v>
          </cell>
          <cell r="O13">
            <v>15218.319136392844</v>
          </cell>
          <cell r="P13">
            <v>2179.5411882415283</v>
          </cell>
          <cell r="Q13">
            <v>2203.8100882002836</v>
          </cell>
          <cell r="R13">
            <v>2072.8090551235641</v>
          </cell>
          <cell r="S13">
            <v>1927.3213703261874</v>
          </cell>
          <cell r="T13">
            <v>72.72407904033723</v>
          </cell>
          <cell r="U13">
            <v>73.533852304555836</v>
          </cell>
          <cell r="V13">
            <v>69.162781182314419</v>
          </cell>
          <cell r="W13">
            <v>64.308338313343683</v>
          </cell>
          <cell r="X13">
            <v>18.975936227292483</v>
          </cell>
          <cell r="Y13">
            <v>20.769983816140876</v>
          </cell>
          <cell r="Z13">
            <v>19.293151241154064</v>
          </cell>
          <cell r="AA13">
            <v>20.745211519879621</v>
          </cell>
          <cell r="AB13">
            <v>27.888794053689498</v>
          </cell>
          <cell r="AC13">
            <v>25.108388592515769</v>
          </cell>
          <cell r="AD13">
            <v>25.06755840238462</v>
          </cell>
          <cell r="AE13">
            <v>24.705274803806343</v>
          </cell>
          <cell r="AF13">
            <v>9.5532398374808984</v>
          </cell>
          <cell r="AG13">
            <v>9.4136155629330993</v>
          </cell>
          <cell r="AH13">
            <v>8.9830978648311053</v>
          </cell>
          <cell r="AI13">
            <v>10.372605754690776</v>
          </cell>
          <cell r="AJ13">
            <v>3.5536366845656651</v>
          </cell>
          <cell r="AK13">
            <v>3.5016989176373978</v>
          </cell>
          <cell r="AL13">
            <v>3.3415539289888718</v>
          </cell>
          <cell r="AM13">
            <v>3.858426350795547</v>
          </cell>
          <cell r="AN13">
            <v>14.166887473756134</v>
          </cell>
          <cell r="AO13">
            <v>12.943195123354434</v>
          </cell>
          <cell r="AP13">
            <v>13.933957697267521</v>
          </cell>
          <cell r="AQ13">
            <v>12.958650866664437</v>
          </cell>
          <cell r="AR13">
            <v>11.431768909333163</v>
          </cell>
          <cell r="AS13">
            <v>11.957134331152531</v>
          </cell>
          <cell r="AT13">
            <v>11.811293044564207</v>
          </cell>
          <cell r="AU13">
            <v>11.671806677881783</v>
          </cell>
          <cell r="AV13">
            <v>8.7475526135205257</v>
          </cell>
          <cell r="AW13">
            <v>8.3632078749391408</v>
          </cell>
          <cell r="AX13">
            <v>8.4664735370376736</v>
          </cell>
          <cell r="AY13">
            <v>8.567653899674438</v>
          </cell>
          <cell r="AZ13">
            <v>2.6684573377249685</v>
          </cell>
          <cell r="BA13">
            <v>2.7198019803779396</v>
          </cell>
          <cell r="BB13">
            <v>2.4929790918895698</v>
          </cell>
          <cell r="BC13">
            <v>2.2727086552755931</v>
          </cell>
          <cell r="BD13">
            <v>6.1187130518695865</v>
          </cell>
          <cell r="BE13">
            <v>6.4813809552662249</v>
          </cell>
          <cell r="BF13">
            <v>6.034067901040066</v>
          </cell>
          <cell r="BG13">
            <v>5.476539759064428</v>
          </cell>
          <cell r="BH13">
            <v>10.102021010402533</v>
          </cell>
          <cell r="BI13">
            <v>11.351785908193886</v>
          </cell>
          <cell r="BJ13">
            <v>10.66142461086006</v>
          </cell>
          <cell r="BK13">
            <v>10.018982917628637</v>
          </cell>
          <cell r="BL13">
            <v>4809.8939052907781</v>
          </cell>
          <cell r="BM13">
            <v>4319.1957555319723</v>
          </cell>
          <cell r="BN13">
            <v>5072.3584370632507</v>
          </cell>
          <cell r="BO13">
            <v>5922.4124288807416</v>
          </cell>
          <cell r="BP13">
            <v>29.887499999999999</v>
          </cell>
          <cell r="BQ13">
            <v>35.093000000000004</v>
          </cell>
          <cell r="BR13">
            <v>34.383599999999994</v>
          </cell>
          <cell r="BS13">
            <v>38.832299999999996</v>
          </cell>
          <cell r="BT13">
            <v>6491.2913319255713</v>
          </cell>
          <cell r="BU13">
            <v>6443.162871922912</v>
          </cell>
          <cell r="BV13">
            <v>6591.1622365870462</v>
          </cell>
          <cell r="BW13">
            <v>6696.1152724379626</v>
          </cell>
          <cell r="BX13">
            <v>2830.9439973973904</v>
          </cell>
          <cell r="BY13">
            <v>2703.7644076012721</v>
          </cell>
          <cell r="BZ13">
            <v>2723.1429802490875</v>
          </cell>
          <cell r="CA13">
            <v>2778.820168557058</v>
          </cell>
          <cell r="CB13">
            <v>1738.1970326017265</v>
          </cell>
          <cell r="CC13">
            <v>1719.0803816550767</v>
          </cell>
          <cell r="CD13">
            <v>1598.8301320793028</v>
          </cell>
          <cell r="CE13">
            <v>1804.3152780956552</v>
          </cell>
          <cell r="CF13">
            <v>1776.9240366700903</v>
          </cell>
          <cell r="CG13">
            <v>1881.1668011937902</v>
          </cell>
          <cell r="CH13">
            <v>1755.7635816381842</v>
          </cell>
          <cell r="CI13">
            <v>1883.2790281498349</v>
          </cell>
          <cell r="CJ13">
            <v>-383.0326609884907</v>
          </cell>
          <cell r="CK13">
            <v>-391.1723278761321</v>
          </cell>
          <cell r="CL13">
            <v>-347.02322954946442</v>
          </cell>
          <cell r="CM13">
            <v>-395.48859576946626</v>
          </cell>
          <cell r="CN13">
            <v>1166.6929518138654</v>
          </cell>
          <cell r="CO13">
            <v>1276.9959509416574</v>
          </cell>
          <cell r="CP13">
            <v>1186.1962066967287</v>
          </cell>
          <cell r="CQ13">
            <v>1275.4728817712055</v>
          </cell>
          <cell r="CR13">
            <v>1439.9662452850739</v>
          </cell>
          <cell r="CS13">
            <v>1439.6583901298332</v>
          </cell>
          <cell r="CT13">
            <v>1344.6606928616993</v>
          </cell>
          <cell r="CU13">
            <v>1425.4090697536581</v>
          </cell>
          <cell r="CV13">
            <v>-32.216799999999999</v>
          </cell>
          <cell r="CW13">
            <v>-0.74143121209108642</v>
          </cell>
          <cell r="CX13">
            <v>2.2969986574305636</v>
          </cell>
          <cell r="CY13">
            <v>1.5923297300790153</v>
          </cell>
          <cell r="CZ13">
            <v>1.0409157131806808</v>
          </cell>
          <cell r="DA13">
            <v>-5.4945000000000004</v>
          </cell>
          <cell r="DB13">
            <v>-4.4924798905608867</v>
          </cell>
          <cell r="DC13">
            <v>0.71672563605524431</v>
          </cell>
          <cell r="DD13">
            <v>2.0445929101702092</v>
          </cell>
          <cell r="DE13">
            <v>-0.61754484497924977</v>
          </cell>
          <cell r="DF13">
            <v>-0.8468</v>
          </cell>
          <cell r="DG13">
            <v>-1.0997976977348856</v>
          </cell>
          <cell r="DH13">
            <v>-6.9950335574186937</v>
          </cell>
          <cell r="DI13">
            <v>12.852218750037949</v>
          </cell>
          <cell r="DJ13">
            <v>1.2522013558991887</v>
          </cell>
          <cell r="DK13">
            <v>-11.277699999999999</v>
          </cell>
          <cell r="DL13">
            <v>9.4543297751394704</v>
          </cell>
          <cell r="DM13">
            <v>-7.1104175528491567</v>
          </cell>
          <cell r="DN13">
            <v>7.5262991544283295</v>
          </cell>
          <cell r="DO13">
            <v>3.016048000743865</v>
          </cell>
          <cell r="DP13">
            <v>43.611414934871227</v>
          </cell>
          <cell r="DQ13">
            <v>41.963309966652368</v>
          </cell>
          <cell r="DR13">
            <v>41.315065272299407</v>
          </cell>
          <cell r="DS13">
            <v>41.498989421448961</v>
          </cell>
          <cell r="DT13">
            <v>26.777368996718703</v>
          </cell>
          <cell r="DU13">
            <v>26.680691080249392</v>
          </cell>
          <cell r="DV13">
            <v>24.257180671480317</v>
          </cell>
          <cell r="DW13">
            <v>26.945702167381135</v>
          </cell>
          <cell r="DX13">
            <v>17.973202744357163</v>
          </cell>
          <cell r="DY13">
            <v>19.819395789393539</v>
          </cell>
          <cell r="DZ13">
            <v>17.996768462354677</v>
          </cell>
          <cell r="EA13">
            <v>19.047952878308553</v>
          </cell>
          <cell r="EB13">
            <v>22.183047588744156</v>
          </cell>
          <cell r="EC13">
            <v>22.343970170354833</v>
          </cell>
          <cell r="ED13">
            <v>20.400964876840519</v>
          </cell>
          <cell r="EE13">
            <v>21.287104713098618</v>
          </cell>
          <cell r="EF13">
            <v>-1313.4908879853374</v>
          </cell>
          <cell r="EG13">
            <v>-1134.556861713593</v>
          </cell>
          <cell r="EH13">
            <v>-2100.4243916490709</v>
          </cell>
          <cell r="EI13">
            <v>-3173.1016603914154</v>
          </cell>
          <cell r="EJ13">
            <v>5866.4956662893028</v>
          </cell>
          <cell r="EK13">
            <v>4631.5935883501061</v>
          </cell>
          <cell r="EL13">
            <v>5384.7562698813845</v>
          </cell>
          <cell r="EM13">
            <v>6234.8102616988754</v>
          </cell>
          <cell r="EN13">
            <v>-84.553958882594202</v>
          </cell>
          <cell r="EO13">
            <v>16.731474775031163</v>
          </cell>
          <cell r="EP13">
            <v>27.788748949774075</v>
          </cell>
          <cell r="EQ13">
            <v>56.764774899474425</v>
          </cell>
          <cell r="ER13">
            <v>3995.3359197195273</v>
          </cell>
          <cell r="ES13">
            <v>4084.1633505741597</v>
          </cell>
          <cell r="ET13">
            <v>3898.0195618456128</v>
          </cell>
          <cell r="EU13">
            <v>3784.6704876310232</v>
          </cell>
          <cell r="EV13">
            <v>2370.0926489838616</v>
          </cell>
          <cell r="EW13">
            <v>1446.9546945317272</v>
          </cell>
          <cell r="EX13">
            <v>2412.8222244672052</v>
          </cell>
          <cell r="EY13">
            <v>3485.4994932095497</v>
          </cell>
          <cell r="EZ13">
            <v>-27.308105206655934</v>
          </cell>
          <cell r="FA13">
            <v>-26.267780529754102</v>
          </cell>
          <cell r="FB13">
            <v>-41.409226451771737</v>
          </cell>
          <cell r="FC13">
            <v>-53.577856971218907</v>
          </cell>
          <cell r="FD13">
            <v>-0.4639762881896945</v>
          </cell>
          <cell r="FE13">
            <v>-0.41962119869761511</v>
          </cell>
          <cell r="FF13">
            <v>-0.77132357973246923</v>
          </cell>
          <cell r="FG13">
            <v>-1.1418880920383898</v>
          </cell>
          <cell r="FH13">
            <v>1.363535090976606</v>
          </cell>
          <cell r="FI13">
            <v>0.84170275571328701</v>
          </cell>
          <cell r="FJ13">
            <v>1.5091173077463167</v>
          </cell>
          <cell r="FK13">
            <v>1.9317574569829514</v>
          </cell>
          <cell r="FL13">
            <v>33.480916030534345</v>
          </cell>
          <cell r="FM13">
            <v>-161.59749477889264</v>
          </cell>
          <cell r="FN13">
            <v>-97.994443188894508</v>
          </cell>
          <cell r="FO13">
            <v>-48.953249149285128</v>
          </cell>
          <cell r="FP13">
            <v>-733.23127702768704</v>
          </cell>
          <cell r="FQ13">
            <v>-768.85902479636661</v>
          </cell>
          <cell r="FR13">
            <v>-834.89704859226788</v>
          </cell>
          <cell r="FS13">
            <v>-864.38306658584406</v>
          </cell>
          <cell r="FT13">
            <v>1714.6800593812127</v>
          </cell>
          <cell r="FU13">
            <v>1543.7330549287735</v>
          </cell>
          <cell r="FV13">
            <v>1541.2227021073554</v>
          </cell>
          <cell r="FW13">
            <v>1518.9485062017475</v>
          </cell>
          <cell r="FX13">
            <v>11.295614994531171</v>
          </cell>
          <cell r="FY13">
            <v>11.93294411579738</v>
          </cell>
          <cell r="FZ13">
            <v>12.666916981011589</v>
          </cell>
          <cell r="GA13">
            <v>12.908724408370798</v>
          </cell>
          <cell r="GB13">
            <v>33.261183795216354</v>
          </cell>
          <cell r="GC13">
            <v>35.38373730689564</v>
          </cell>
          <cell r="GD13">
            <v>36.184214153787636</v>
          </cell>
          <cell r="GE13">
            <v>36.884881829444438</v>
          </cell>
          <cell r="GF13">
            <v>-587.35956170351699</v>
          </cell>
          <cell r="GG13">
            <v>-578.77507580169629</v>
          </cell>
          <cell r="GH13">
            <v>-552.30565906302115</v>
          </cell>
          <cell r="GI13">
            <v>-637.73644056287765</v>
          </cell>
          <cell r="GJ13">
            <v>3.224159193573041E-2</v>
          </cell>
          <cell r="GK13">
            <v>1</v>
          </cell>
          <cell r="GP13">
            <v>9576.5489559737089</v>
          </cell>
          <cell r="GQ13">
            <v>2995.5335905290067</v>
          </cell>
          <cell r="GR13">
            <v>1753.0417904835413</v>
          </cell>
          <cell r="GS13">
            <v>1314.99403398454</v>
          </cell>
        </row>
        <row r="14">
          <cell r="B14" t="str">
            <v>TDC.CO</v>
          </cell>
          <cell r="C14" t="str">
            <v>TDC</v>
          </cell>
          <cell r="D14" t="str">
            <v>Bluestone Jakob</v>
          </cell>
          <cell r="E14" t="str">
            <v>DKK</v>
          </cell>
          <cell r="F14">
            <v>257</v>
          </cell>
          <cell r="G14">
            <v>-1</v>
          </cell>
          <cell r="H14" t="str">
            <v>DKK</v>
          </cell>
          <cell r="I14" t="str">
            <v>DENMARK</v>
          </cell>
          <cell r="J14">
            <v>216.45954</v>
          </cell>
          <cell r="K14">
            <v>7468.6801058270839</v>
          </cell>
          <cell r="L14">
            <v>9516.1699582422589</v>
          </cell>
          <cell r="M14">
            <v>9283.1748867931565</v>
          </cell>
          <cell r="N14">
            <v>9033.1761127023219</v>
          </cell>
          <cell r="O14">
            <v>8802.0400085754336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650.1178197738376</v>
          </cell>
          <cell r="U14">
            <v>633.23564319642026</v>
          </cell>
          <cell r="V14">
            <v>615.12142530679751</v>
          </cell>
          <cell r="W14">
            <v>598.37394437660589</v>
          </cell>
          <cell r="X14">
            <v>2.2120112113495938</v>
          </cell>
          <cell r="Y14">
            <v>2.1630836774356696</v>
          </cell>
          <cell r="Z14">
            <v>2.8404173065323675</v>
          </cell>
          <cell r="AA14">
            <v>3.274338275188867</v>
          </cell>
          <cell r="AB14">
            <v>3.3975311276163094</v>
          </cell>
          <cell r="AC14">
            <v>3.2806722803506614</v>
          </cell>
          <cell r="AD14">
            <v>3.1085336708426854</v>
          </cell>
          <cell r="AE14">
            <v>3.0907327128164255</v>
          </cell>
          <cell r="AF14">
            <v>1.6862677997018587</v>
          </cell>
          <cell r="AG14">
            <v>1.6309582158716376</v>
          </cell>
          <cell r="AH14">
            <v>1.6936873780205468</v>
          </cell>
          <cell r="AI14">
            <v>1.7564165401694558</v>
          </cell>
          <cell r="AJ14">
            <v>4.8871922089084485</v>
          </cell>
          <cell r="AK14">
            <v>4.7268923044562507</v>
          </cell>
          <cell r="AL14">
            <v>4.9086958546276458</v>
          </cell>
          <cell r="AM14">
            <v>5.0904994047990391</v>
          </cell>
          <cell r="AN14">
            <v>15.59839103297443</v>
          </cell>
          <cell r="AO14">
            <v>15.951216406412257</v>
          </cell>
          <cell r="AP14">
            <v>12.147445998375954</v>
          </cell>
          <cell r="AQ14">
            <v>10.537645455084876</v>
          </cell>
          <cell r="AR14">
            <v>11.09435333762943</v>
          </cell>
          <cell r="AS14">
            <v>10.922127766505854</v>
          </cell>
          <cell r="AT14">
            <v>11.458936096457764</v>
          </cell>
          <cell r="AU14">
            <v>11.407021050795711</v>
          </cell>
          <cell r="AV14">
            <v>9.013594299437317</v>
          </cell>
          <cell r="AW14">
            <v>9.1557251606837262</v>
          </cell>
          <cell r="AX14">
            <v>8.7268136551448645</v>
          </cell>
          <cell r="AY14">
            <v>8.7665306791929147</v>
          </cell>
          <cell r="AZ14">
            <v>1.6268412013540745</v>
          </cell>
          <cell r="BA14">
            <v>1.5046132787797772</v>
          </cell>
          <cell r="BB14">
            <v>1.4051201276496117</v>
          </cell>
          <cell r="BC14">
            <v>1.3228725058854232</v>
          </cell>
          <cell r="BD14">
            <v>5.7014744778796667</v>
          </cell>
          <cell r="BE14">
            <v>5.3789913430512355</v>
          </cell>
          <cell r="BF14">
            <v>4.8946352320252631</v>
          </cell>
          <cell r="BG14">
            <v>4.5261260817992435</v>
          </cell>
          <cell r="BH14">
            <v>12.939634654240756</v>
          </cell>
          <cell r="BI14">
            <v>13.072448872707284</v>
          </cell>
          <cell r="BJ14">
            <v>13.424810693585506</v>
          </cell>
          <cell r="BK14">
            <v>13.156645054230797</v>
          </cell>
          <cell r="BL14">
            <v>4831.8767790813972</v>
          </cell>
          <cell r="BM14">
            <v>4903.0244132826401</v>
          </cell>
          <cell r="BN14">
            <v>5150.1709975045742</v>
          </cell>
          <cell r="BO14">
            <v>5477.6655892806539</v>
          </cell>
          <cell r="BP14">
            <v>6.8040000000000003</v>
          </cell>
          <cell r="BQ14">
            <v>6.09</v>
          </cell>
          <cell r="BR14">
            <v>8.0245999999999995</v>
          </cell>
          <cell r="BS14">
            <v>9.2042000000000002</v>
          </cell>
          <cell r="BT14">
            <v>5849.4768575578437</v>
          </cell>
          <cell r="BU14">
            <v>6169.807895302969</v>
          </cell>
          <cell r="BV14">
            <v>6428.7571823573526</v>
          </cell>
          <cell r="BW14">
            <v>6653.7326684282889</v>
          </cell>
          <cell r="BX14">
            <v>1669.0717454165028</v>
          </cell>
          <cell r="BY14">
            <v>1725.8207523954241</v>
          </cell>
          <cell r="BZ14">
            <v>1845.5259042796222</v>
          </cell>
          <cell r="CA14">
            <v>1944.7182534244409</v>
          </cell>
          <cell r="CB14">
            <v>1221.1934199089856</v>
          </cell>
          <cell r="CC14">
            <v>688.28092720089126</v>
          </cell>
          <cell r="CD14">
            <v>888.20756195207207</v>
          </cell>
          <cell r="CE14">
            <v>1014.3446482847876</v>
          </cell>
          <cell r="CF14">
            <v>683.63202442574266</v>
          </cell>
          <cell r="CG14">
            <v>667.35149880630581</v>
          </cell>
          <cell r="CH14">
            <v>876.80196407319511</v>
          </cell>
          <cell r="CI14">
            <v>1010.9824401948608</v>
          </cell>
          <cell r="CJ14">
            <v>-228.39646503398927</v>
          </cell>
          <cell r="CK14">
            <v>-200.20544961504049</v>
          </cell>
          <cell r="CL14">
            <v>-263.04058923538412</v>
          </cell>
          <cell r="CM14">
            <v>-303.29473208530948</v>
          </cell>
          <cell r="CN14">
            <v>478.81092928357589</v>
          </cell>
          <cell r="CO14">
            <v>468.22009779923343</v>
          </cell>
          <cell r="CP14">
            <v>614.83542358003524</v>
          </cell>
          <cell r="CQ14">
            <v>708.76175685177554</v>
          </cell>
          <cell r="CR14">
            <v>543.76402696958814</v>
          </cell>
          <cell r="CS14">
            <v>481.79664905404957</v>
          </cell>
          <cell r="CT14">
            <v>621.74529333959924</v>
          </cell>
          <cell r="CU14">
            <v>710.04125379935135</v>
          </cell>
          <cell r="CV14">
            <v>5.2070999999999996</v>
          </cell>
          <cell r="CW14">
            <v>5.4762339529771822</v>
          </cell>
          <cell r="CX14">
            <v>4.1970397044536867</v>
          </cell>
          <cell r="CY14">
            <v>3.499517553538098</v>
          </cell>
          <cell r="CZ14">
            <v>4.3877268015276769</v>
          </cell>
          <cell r="DA14">
            <v>6.6739000000000006</v>
          </cell>
          <cell r="DB14">
            <v>3.4000340090089907</v>
          </cell>
          <cell r="DC14">
            <v>6.9361288950807136</v>
          </cell>
          <cell r="DD14">
            <v>5.3747470525772485</v>
          </cell>
          <cell r="DE14">
            <v>5.2270095675525994</v>
          </cell>
          <cell r="DF14">
            <v>314.92469999999997</v>
          </cell>
          <cell r="DG14">
            <v>-43.63866395118734</v>
          </cell>
          <cell r="DH14">
            <v>29.047243189527961</v>
          </cell>
          <cell r="DI14">
            <v>14.201307412368308</v>
          </cell>
          <cell r="DJ14">
            <v>-5.9987355425284647</v>
          </cell>
          <cell r="DK14">
            <v>20.259</v>
          </cell>
          <cell r="DL14">
            <v>-2.2119026188873789</v>
          </cell>
          <cell r="DM14">
            <v>31.313334577036585</v>
          </cell>
          <cell r="DN14">
            <v>15.276662610756929</v>
          </cell>
          <cell r="DO14">
            <v>13.96690133406733</v>
          </cell>
          <cell r="DP14">
            <v>28.533692602954243</v>
          </cell>
          <cell r="DQ14">
            <v>27.972033840944693</v>
          </cell>
          <cell r="DR14">
            <v>28.707351233366833</v>
          </cell>
          <cell r="DS14">
            <v>29.227478023757339</v>
          </cell>
          <cell r="DT14">
            <v>20.876968139999338</v>
          </cell>
          <cell r="DU14">
            <v>11.155629784273748</v>
          </cell>
          <cell r="DV14">
            <v>13.816162856323286</v>
          </cell>
          <cell r="DW14">
            <v>15.244746052059091</v>
          </cell>
          <cell r="DX14">
            <v>8.1855342100366801</v>
          </cell>
          <cell r="DY14">
            <v>7.5888926485974721</v>
          </cell>
          <cell r="DZ14">
            <v>9.5638302418288266</v>
          </cell>
          <cell r="EA14">
            <v>10.652092474571806</v>
          </cell>
          <cell r="EB14">
            <v>9.2959428716606567</v>
          </cell>
          <cell r="EC14">
            <v>7.8089408492092263</v>
          </cell>
          <cell r="ED14">
            <v>9.6713139990086265</v>
          </cell>
          <cell r="EE14">
            <v>10.671322236441364</v>
          </cell>
          <cell r="EF14">
            <v>2697.6076721890113</v>
          </cell>
          <cell r="EG14">
            <v>2447.7304241624934</v>
          </cell>
          <cell r="EH14">
            <v>2179.6174321820358</v>
          </cell>
          <cell r="EI14">
            <v>1931.7338471249561</v>
          </cell>
          <cell r="EJ14">
            <v>8905.6094022452453</v>
          </cell>
          <cell r="EK14">
            <v>7485.0109303574227</v>
          </cell>
          <cell r="EL14">
            <v>7464.0445223303868</v>
          </cell>
          <cell r="EM14">
            <v>7543.6555291836421</v>
          </cell>
          <cell r="EN14">
            <v>-120.83048350022945</v>
          </cell>
          <cell r="EO14">
            <v>-84.298304185817031</v>
          </cell>
          <cell r="EP14">
            <v>-74.774473670108421</v>
          </cell>
          <cell r="EQ14">
            <v>-66.731083881158355</v>
          </cell>
          <cell r="ER14">
            <v>3519.7919843616837</v>
          </cell>
          <cell r="ES14">
            <v>3297.7346492520792</v>
          </cell>
          <cell r="ET14">
            <v>3250.0298535036482</v>
          </cell>
          <cell r="EU14">
            <v>3292.0611884239311</v>
          </cell>
          <cell r="EV14">
            <v>1376.1249509748354</v>
          </cell>
          <cell r="EW14">
            <v>134.25609277803272</v>
          </cell>
          <cell r="EX14">
            <v>134.25609277803272</v>
          </cell>
          <cell r="EY14">
            <v>134.25609277803272</v>
          </cell>
          <cell r="EZ14">
            <v>55.829397054737427</v>
          </cell>
          <cell r="FA14">
            <v>49.922868373476142</v>
          </cell>
          <cell r="FB14">
            <v>42.321263376267147</v>
          </cell>
          <cell r="FC14">
            <v>35.265640365216932</v>
          </cell>
          <cell r="FD14">
            <v>1.6162323037323036</v>
          </cell>
          <cell r="FE14">
            <v>1.4182993342530301</v>
          </cell>
          <cell r="FF14">
            <v>1.1810278182103449</v>
          </cell>
          <cell r="FG14">
            <v>0.99332324552586437</v>
          </cell>
          <cell r="FH14">
            <v>1.1268689533861038</v>
          </cell>
          <cell r="FI14">
            <v>0.19506002196519803</v>
          </cell>
          <cell r="FJ14">
            <v>0.15115396280005688</v>
          </cell>
          <cell r="FK14">
            <v>0.13235747140289436</v>
          </cell>
          <cell r="FL14">
            <v>13.813333333333334</v>
          </cell>
          <cell r="FM14">
            <v>20.472781381120463</v>
          </cell>
          <cell r="FN14">
            <v>24.681228950159539</v>
          </cell>
          <cell r="FO14">
            <v>29.142614510619925</v>
          </cell>
          <cell r="FP14">
            <v>-705.24725536300593</v>
          </cell>
          <cell r="FQ14">
            <v>-815.48249008492826</v>
          </cell>
          <cell r="FR14">
            <v>-909.61354657911909</v>
          </cell>
          <cell r="FS14">
            <v>-972.40494005993583</v>
          </cell>
          <cell r="FT14">
            <v>735.42802501950769</v>
          </cell>
          <cell r="FU14">
            <v>710.13281269545519</v>
          </cell>
          <cell r="FV14">
            <v>672.87176846511909</v>
          </cell>
          <cell r="FW14">
            <v>669.01858127919559</v>
          </cell>
          <cell r="FX14">
            <v>12.056586811721257</v>
          </cell>
          <cell r="FY14">
            <v>13.217307636202893</v>
          </cell>
          <cell r="FZ14">
            <v>14.149135218163181</v>
          </cell>
          <cell r="GA14">
            <v>14.614427547922997</v>
          </cell>
          <cell r="GB14">
            <v>6.3251015052503465</v>
          </cell>
          <cell r="GC14">
            <v>7.4441226821529298</v>
          </cell>
          <cell r="GD14">
            <v>7.7723582878130246</v>
          </cell>
          <cell r="GE14">
            <v>8.1034994638330211</v>
          </cell>
          <cell r="GF14">
            <v>-365.00875224027646</v>
          </cell>
          <cell r="GG14">
            <v>-353.03646516679538</v>
          </cell>
          <cell r="GH14">
            <v>-366.61479075013369</v>
          </cell>
          <cell r="GI14">
            <v>-380.19311633347195</v>
          </cell>
          <cell r="GJ14">
            <v>1.7079557469238848E-2</v>
          </cell>
          <cell r="GK14">
            <v>1</v>
          </cell>
          <cell r="GP14">
            <v>5559.9639734940356</v>
          </cell>
          <cell r="GQ14">
            <v>1564.6486585908106</v>
          </cell>
          <cell r="GR14">
            <v>294.31687723314269</v>
          </cell>
          <cell r="GS14">
            <v>398.14976782076673</v>
          </cell>
        </row>
        <row r="16">
          <cell r="B16" t="str">
            <v>TLIT.MI</v>
          </cell>
          <cell r="C16" t="str">
            <v>Telecom Italia</v>
          </cell>
          <cell r="D16" t="str">
            <v>SCRUTON Steve S</v>
          </cell>
          <cell r="E16" t="str">
            <v>EUR</v>
          </cell>
          <cell r="F16">
            <v>2.6619999999999999</v>
          </cell>
          <cell r="G16">
            <v>-1</v>
          </cell>
          <cell r="H16" t="str">
            <v>EUR</v>
          </cell>
          <cell r="I16" t="str">
            <v>ITALY</v>
          </cell>
          <cell r="J16">
            <v>11217.996104</v>
          </cell>
          <cell r="K16">
            <v>46567.291809845156</v>
          </cell>
          <cell r="L16">
            <v>77210.616445845153</v>
          </cell>
          <cell r="M16">
            <v>88073.333443845157</v>
          </cell>
          <cell r="N16">
            <v>85543.649641845157</v>
          </cell>
          <cell r="O16">
            <v>83213.813254845154</v>
          </cell>
          <cell r="P16">
            <v>1504.186729</v>
          </cell>
          <cell r="Q16">
            <v>1719.2420870000001</v>
          </cell>
          <cell r="R16">
            <v>1669.1605050000001</v>
          </cell>
          <cell r="S16">
            <v>1623.0354150000001</v>
          </cell>
          <cell r="T16">
            <v>385.86209300000002</v>
          </cell>
          <cell r="U16">
            <v>441.02925299999998</v>
          </cell>
          <cell r="V16">
            <v>428.18205499999999</v>
          </cell>
          <cell r="W16">
            <v>416.34979800000002</v>
          </cell>
          <cell r="X16">
            <v>0.30284776073229414</v>
          </cell>
          <cell r="Y16">
            <v>0.33571807451930991</v>
          </cell>
          <cell r="Z16">
            <v>0.39116915180914741</v>
          </cell>
          <cell r="AA16">
            <v>0.42340128575248792</v>
          </cell>
          <cell r="AB16">
            <v>0.48834925143596747</v>
          </cell>
          <cell r="AC16">
            <v>0.51122199008030611</v>
          </cell>
          <cell r="AD16">
            <v>0.56817150575826236</v>
          </cell>
          <cell r="AE16">
            <v>0.57219171922436607</v>
          </cell>
          <cell r="AF16">
            <v>0.16274730077228416</v>
          </cell>
          <cell r="AG16">
            <v>0.19700747241407671</v>
          </cell>
          <cell r="AH16">
            <v>0.20655543445712005</v>
          </cell>
          <cell r="AI16">
            <v>0.21658079459785845</v>
          </cell>
          <cell r="AJ16">
            <v>3.9205599360493939</v>
          </cell>
          <cell r="AK16">
            <v>4.745882726065596</v>
          </cell>
          <cell r="AL16">
            <v>4.9758918093452786</v>
          </cell>
          <cell r="AM16">
            <v>5.2174013466815756</v>
          </cell>
          <cell r="AN16">
            <v>13.706965824738187</v>
          </cell>
          <cell r="AO16">
            <v>12.364910386191548</v>
          </cell>
          <cell r="AP16">
            <v>10.61209424939876</v>
          </cell>
          <cell r="AQ16">
            <v>9.8042307525790289</v>
          </cell>
          <cell r="AR16">
            <v>13.084986539484992</v>
          </cell>
          <cell r="AS16">
            <v>13.652409002537572</v>
          </cell>
          <cell r="AT16">
            <v>11.224243099012572</v>
          </cell>
          <cell r="AU16">
            <v>10.676200320696399</v>
          </cell>
          <cell r="AV16">
            <v>7.6423464172654674</v>
          </cell>
          <cell r="AW16">
            <v>7.3247146332499273</v>
          </cell>
          <cell r="AX16">
            <v>8.9092867214179705</v>
          </cell>
          <cell r="AY16">
            <v>9.3666282943515515</v>
          </cell>
          <cell r="AZ16">
            <v>2.471767981747452</v>
          </cell>
          <cell r="BA16">
            <v>2.9188937460013427</v>
          </cell>
          <cell r="BB16">
            <v>2.7502649687138279</v>
          </cell>
          <cell r="BC16">
            <v>2.586243953463478</v>
          </cell>
          <cell r="BD16">
            <v>5.5678190019574938</v>
          </cell>
          <cell r="BE16">
            <v>6.4637811810615933</v>
          </cell>
          <cell r="BF16">
            <v>6.1910146816219296</v>
          </cell>
          <cell r="BG16">
            <v>5.8689904188235094</v>
          </cell>
          <cell r="BH16">
            <v>14.093900743998168</v>
          </cell>
          <cell r="BI16">
            <v>15.357468124755574</v>
          </cell>
          <cell r="BJ16">
            <v>13.421252299387715</v>
          </cell>
          <cell r="BK16">
            <v>12.963986517046306</v>
          </cell>
          <cell r="BL16">
            <v>19861</v>
          </cell>
          <cell r="BM16">
            <v>22829.552956</v>
          </cell>
          <cell r="BN16">
            <v>24984.966355</v>
          </cell>
          <cell r="BO16">
            <v>27388.877507000001</v>
          </cell>
          <cell r="BP16">
            <v>10.7173</v>
          </cell>
          <cell r="BQ16">
            <v>9.8869000000000007</v>
          </cell>
          <cell r="BR16">
            <v>9.5490000000000013</v>
          </cell>
          <cell r="BS16">
            <v>9.9702999999999999</v>
          </cell>
          <cell r="BT16">
            <v>31237</v>
          </cell>
          <cell r="BU16">
            <v>30173.531860999999</v>
          </cell>
          <cell r="BV16">
            <v>31103.784768000001</v>
          </cell>
          <cell r="BW16">
            <v>32175.546759000001</v>
          </cell>
          <cell r="BX16">
            <v>13867.3</v>
          </cell>
          <cell r="BY16">
            <v>13625.667543</v>
          </cell>
          <cell r="BZ16">
            <v>13817.387624000001</v>
          </cell>
          <cell r="CA16">
            <v>14178.556671</v>
          </cell>
          <cell r="CB16">
            <v>7221.3</v>
          </cell>
          <cell r="CC16">
            <v>8550.1310850000009</v>
          </cell>
          <cell r="CD16">
            <v>8984.7600010000006</v>
          </cell>
          <cell r="CE16">
            <v>9361.3835830000007</v>
          </cell>
          <cell r="CF16">
            <v>6951.3</v>
          </cell>
          <cell r="CG16">
            <v>6330.7914719999999</v>
          </cell>
          <cell r="CH16">
            <v>6880.8483990000004</v>
          </cell>
          <cell r="CI16">
            <v>7436.1748639999996</v>
          </cell>
          <cell r="CJ16">
            <v>-3054</v>
          </cell>
          <cell r="CK16">
            <v>-2736.6980079999998</v>
          </cell>
          <cell r="CL16">
            <v>-2408.2969400000002</v>
          </cell>
          <cell r="CM16">
            <v>-2602.6612030000001</v>
          </cell>
          <cell r="CN16">
            <v>3397.3449999999998</v>
          </cell>
          <cell r="CO16">
            <v>3766.0840520000002</v>
          </cell>
          <cell r="CP16">
            <v>4388.1340209999998</v>
          </cell>
          <cell r="CQ16">
            <v>4749.7139740000002</v>
          </cell>
          <cell r="CR16">
            <v>5703.9449999999997</v>
          </cell>
          <cell r="CS16">
            <v>5557.5852050000003</v>
          </cell>
          <cell r="CT16">
            <v>5840.0940010000004</v>
          </cell>
          <cell r="CU16">
            <v>6084.8993289999999</v>
          </cell>
          <cell r="CV16">
            <v>1.2545000000000002</v>
          </cell>
          <cell r="CW16">
            <v>-3.4045143227582741</v>
          </cell>
          <cell r="CX16">
            <v>3.0830096764455277</v>
          </cell>
          <cell r="CY16">
            <v>3.445760697594082</v>
          </cell>
          <cell r="CZ16">
            <v>0.99166664643679781</v>
          </cell>
          <cell r="DA16">
            <v>3.7816000000000001</v>
          </cell>
          <cell r="DB16">
            <v>-1.7424621736026467</v>
          </cell>
          <cell r="DC16">
            <v>1.4070509235233288</v>
          </cell>
          <cell r="DD16">
            <v>2.6138735977318248</v>
          </cell>
          <cell r="DE16">
            <v>0.7426500359444077</v>
          </cell>
          <cell r="DF16">
            <v>6.3677000000000001</v>
          </cell>
          <cell r="DG16">
            <v>18.401549374766319</v>
          </cell>
          <cell r="DH16">
            <v>5.0833011994692754</v>
          </cell>
          <cell r="DI16">
            <v>4.1918045886376802</v>
          </cell>
          <cell r="DJ16">
            <v>9.0372486633955731</v>
          </cell>
          <cell r="DK16">
            <v>19.362099999999998</v>
          </cell>
          <cell r="DL16">
            <v>10.853741730674997</v>
          </cell>
          <cell r="DM16">
            <v>16.517155762088123</v>
          </cell>
          <cell r="DN16">
            <v>8.2399478062796589</v>
          </cell>
          <cell r="DO16">
            <v>11.817368801266539</v>
          </cell>
          <cell r="DP16">
            <v>44.393827832378271</v>
          </cell>
          <cell r="DQ16">
            <v>45.157681923909927</v>
          </cell>
          <cell r="DR16">
            <v>44.423492919149567</v>
          </cell>
          <cell r="DS16">
            <v>44.066249370056276</v>
          </cell>
          <cell r="DT16">
            <v>23.117776995230017</v>
          </cell>
          <cell r="DU16">
            <v>28.336527272935015</v>
          </cell>
          <cell r="DV16">
            <v>28.886388161493599</v>
          </cell>
          <cell r="DW16">
            <v>29.094714856341881</v>
          </cell>
          <cell r="DX16">
            <v>10.876028427825975</v>
          </cell>
          <cell r="DY16">
            <v>12.481416061431485</v>
          </cell>
          <cell r="DZ16">
            <v>14.108038792483455</v>
          </cell>
          <cell r="EA16">
            <v>14.761874940544503</v>
          </cell>
          <cell r="EB16">
            <v>18.260220251624677</v>
          </cell>
          <cell r="EC16">
            <v>18.418742726579215</v>
          </cell>
          <cell r="ED16">
            <v>18.776152306096105</v>
          </cell>
          <cell r="EE16">
            <v>18.911564656777617</v>
          </cell>
          <cell r="EF16">
            <v>29525</v>
          </cell>
          <cell r="EG16">
            <v>40227.828800000003</v>
          </cell>
          <cell r="EH16">
            <v>37735.379381999999</v>
          </cell>
          <cell r="EI16">
            <v>35439.835828000003</v>
          </cell>
          <cell r="EJ16">
            <v>59264</v>
          </cell>
          <cell r="EK16">
            <v>70594.552956</v>
          </cell>
          <cell r="EL16">
            <v>67720.345736999996</v>
          </cell>
          <cell r="EM16">
            <v>67828.713334999993</v>
          </cell>
          <cell r="EN16">
            <v>-1834</v>
          </cell>
          <cell r="EO16">
            <v>-2230.3396130000001</v>
          </cell>
          <cell r="EP16">
            <v>-2114.3698639999998</v>
          </cell>
          <cell r="EQ16">
            <v>-1944.03359</v>
          </cell>
          <cell r="ER16">
            <v>17717</v>
          </cell>
          <cell r="ES16">
            <v>16952.863686000001</v>
          </cell>
          <cell r="ET16">
            <v>17155.581009000001</v>
          </cell>
          <cell r="EU16">
            <v>17495.458912999999</v>
          </cell>
          <cell r="EV16">
            <v>9878</v>
          </cell>
          <cell r="EW16">
            <v>7537.1711999999998</v>
          </cell>
          <cell r="EX16">
            <v>5000</v>
          </cell>
          <cell r="EY16">
            <v>5000</v>
          </cell>
          <cell r="EZ16">
            <v>148.65817431146468</v>
          </cell>
          <cell r="FA16">
            <v>176.20944605236974</v>
          </cell>
          <cell r="FB16">
            <v>151.03234019143827</v>
          </cell>
          <cell r="FC16">
            <v>129.39499188655086</v>
          </cell>
          <cell r="FD16">
            <v>2.1291094877878174</v>
          </cell>
          <cell r="FE16">
            <v>2.9523565486277037</v>
          </cell>
          <cell r="FF16">
            <v>2.731006787162563</v>
          </cell>
          <cell r="FG16">
            <v>2.4995376222240302</v>
          </cell>
          <cell r="FH16">
            <v>1.3678977469430711</v>
          </cell>
          <cell r="FI16">
            <v>0.88152697602764285</v>
          </cell>
          <cell r="FJ16">
            <v>0.55649789192404719</v>
          </cell>
          <cell r="FK16">
            <v>0.53410908287957071</v>
          </cell>
          <cell r="FL16">
            <v>7.5612322791712101</v>
          </cell>
          <cell r="FM16">
            <v>6.1092344249189461</v>
          </cell>
          <cell r="FN16">
            <v>6.5349908070766949</v>
          </cell>
          <cell r="FO16">
            <v>7.2933702092050785</v>
          </cell>
          <cell r="FP16">
            <v>-5335</v>
          </cell>
          <cell r="FQ16">
            <v>-5154.0832419999997</v>
          </cell>
          <cell r="FR16">
            <v>-5035.3449460000002</v>
          </cell>
          <cell r="FS16">
            <v>-5157.0509910000001</v>
          </cell>
          <cell r="FT16">
            <v>5478.2999999999993</v>
          </cell>
          <cell r="FU16">
            <v>5734.8862930000005</v>
          </cell>
          <cell r="FV16">
            <v>6373.7457380000005</v>
          </cell>
          <cell r="FW16">
            <v>6418.8444770000006</v>
          </cell>
          <cell r="FX16">
            <v>17.079104907641579</v>
          </cell>
          <cell r="FY16">
            <v>17.081471488797682</v>
          </cell>
          <cell r="FZ16">
            <v>16.188849632152909</v>
          </cell>
          <cell r="GA16">
            <v>16.027858142169698</v>
          </cell>
          <cell r="GB16">
            <v>0.52785300000000002</v>
          </cell>
          <cell r="GC16">
            <v>0.52822400000000003</v>
          </cell>
          <cell r="GD16">
            <v>0.53011200000000003</v>
          </cell>
          <cell r="GE16">
            <v>0.55001100000000003</v>
          </cell>
          <cell r="GF16">
            <v>-1825.698586</v>
          </cell>
          <cell r="GG16">
            <v>-2210.0290580000001</v>
          </cell>
          <cell r="GH16">
            <v>-2317.1380589999999</v>
          </cell>
          <cell r="GI16">
            <v>-2429.6025100000002</v>
          </cell>
          <cell r="GJ16">
            <v>0.16204085115337397</v>
          </cell>
          <cell r="GK16">
            <v>1</v>
          </cell>
          <cell r="GP16">
            <v>30849.98691416184</v>
          </cell>
          <cell r="GQ16">
            <v>13362.002512969542</v>
          </cell>
          <cell r="GR16">
            <v>6788.9970357542752</v>
          </cell>
          <cell r="GS16">
            <v>2846.2510294306148</v>
          </cell>
        </row>
        <row r="17">
          <cell r="B17" t="str">
            <v>TEF.MC</v>
          </cell>
          <cell r="C17" t="str">
            <v>Telefonica</v>
          </cell>
          <cell r="D17" t="str">
            <v>SCRUTON Steve S</v>
          </cell>
          <cell r="E17" t="str">
            <v>EUR</v>
          </cell>
          <cell r="F17">
            <v>13.69</v>
          </cell>
          <cell r="G17">
            <v>-1</v>
          </cell>
          <cell r="H17" t="str">
            <v>EUR</v>
          </cell>
          <cell r="I17" t="str">
            <v>SPAIN</v>
          </cell>
          <cell r="J17">
            <v>4955.891361</v>
          </cell>
          <cell r="K17">
            <v>67846.152732089991</v>
          </cell>
          <cell r="L17">
            <v>96402.716472089989</v>
          </cell>
          <cell r="M17">
            <v>102809.12055309</v>
          </cell>
          <cell r="N17">
            <v>98386.693216089989</v>
          </cell>
          <cell r="O17">
            <v>94558.685066089995</v>
          </cell>
          <cell r="P17">
            <v>8547.5570040000002</v>
          </cell>
          <cell r="Q17">
            <v>9125.3006750000004</v>
          </cell>
          <cell r="R17">
            <v>8726.4764090000008</v>
          </cell>
          <cell r="S17">
            <v>8381.258178</v>
          </cell>
          <cell r="T17">
            <v>1779.693264</v>
          </cell>
          <cell r="U17">
            <v>1899.9857079999999</v>
          </cell>
          <cell r="V17">
            <v>1816.9462080000001</v>
          </cell>
          <cell r="W17">
            <v>1745.0680609999999</v>
          </cell>
          <cell r="X17">
            <v>0.70944755320273056</v>
          </cell>
          <cell r="Y17">
            <v>0.78601036589591211</v>
          </cell>
          <cell r="Z17">
            <v>0.91942953630052349</v>
          </cell>
          <cell r="AA17">
            <v>1.1203078505093971</v>
          </cell>
          <cell r="AB17">
            <v>1.7391422394418383</v>
          </cell>
          <cell r="AC17">
            <v>1.5039785574508682</v>
          </cell>
          <cell r="AD17">
            <v>1.5317237879218315</v>
          </cell>
          <cell r="AE17">
            <v>1.5261396019532314</v>
          </cell>
          <cell r="AF17">
            <v>0.5129453290693311</v>
          </cell>
          <cell r="AG17">
            <v>0.5417374422546386</v>
          </cell>
          <cell r="AH17">
            <v>0.6035585338974101</v>
          </cell>
          <cell r="AI17">
            <v>0.65724848382123358</v>
          </cell>
          <cell r="AJ17">
            <v>3.7468614249038064</v>
          </cell>
          <cell r="AK17">
            <v>3.9571763495590848</v>
          </cell>
          <cell r="AL17">
            <v>4.4087548129832737</v>
          </cell>
          <cell r="AM17">
            <v>4.8009385231646</v>
          </cell>
          <cell r="AN17">
            <v>19.296704792620474</v>
          </cell>
          <cell r="AO17">
            <v>17.417073099787725</v>
          </cell>
          <cell r="AP17">
            <v>14.889667407340397</v>
          </cell>
          <cell r="AQ17">
            <v>12.219855456493713</v>
          </cell>
          <cell r="AR17">
            <v>10.035240003239991</v>
          </cell>
          <cell r="AS17">
            <v>12.493700178446463</v>
          </cell>
          <cell r="AT17">
            <v>12.334765956314138</v>
          </cell>
          <cell r="AU17">
            <v>12.011165084178064</v>
          </cell>
          <cell r="AV17">
            <v>9.9648837464488995</v>
          </cell>
          <cell r="AW17">
            <v>8.0040339188317677</v>
          </cell>
          <cell r="AX17">
            <v>8.1071663908475085</v>
          </cell>
          <cell r="AY17">
            <v>8.3255870100167808</v>
          </cell>
          <cell r="AZ17">
            <v>3.1793098873121401</v>
          </cell>
          <cell r="BA17">
            <v>2.8747523537567798</v>
          </cell>
          <cell r="BB17">
            <v>2.5747999899651601</v>
          </cell>
          <cell r="BC17">
            <v>2.3770960390431588</v>
          </cell>
          <cell r="BD17">
            <v>7.2947255831900657</v>
          </cell>
          <cell r="BE17">
            <v>7.1045728002866779</v>
          </cell>
          <cell r="BF17">
            <v>6.3401001046312899</v>
          </cell>
          <cell r="BG17">
            <v>5.7365479992405914</v>
          </cell>
          <cell r="BH17">
            <v>11.184907352603549</v>
          </cell>
          <cell r="BI17">
            <v>13.793301271228138</v>
          </cell>
          <cell r="BJ17">
            <v>12.960869251789466</v>
          </cell>
          <cell r="BK17">
            <v>12.502169558993623</v>
          </cell>
          <cell r="BL17">
            <v>20000.7</v>
          </cell>
          <cell r="BM17">
            <v>12726.829669999999</v>
          </cell>
          <cell r="BN17">
            <v>13430.381074000001</v>
          </cell>
          <cell r="BO17">
            <v>16220.665896</v>
          </cell>
          <cell r="BP17">
            <v>12.636200000000001</v>
          </cell>
          <cell r="BQ17">
            <v>14.027800000000001</v>
          </cell>
          <cell r="BR17">
            <v>16.383099999999999</v>
          </cell>
          <cell r="BS17">
            <v>20.030200000000001</v>
          </cell>
          <cell r="BT17">
            <v>30321.9</v>
          </cell>
          <cell r="BU17">
            <v>35762.774633000001</v>
          </cell>
          <cell r="BV17">
            <v>38211.392573999998</v>
          </cell>
          <cell r="BW17">
            <v>39779.07645</v>
          </cell>
          <cell r="BX17">
            <v>13215.4</v>
          </cell>
          <cell r="BY17">
            <v>14470.837788999999</v>
          </cell>
          <cell r="BZ17">
            <v>15518.160848</v>
          </cell>
          <cell r="CA17">
            <v>16483.551619999998</v>
          </cell>
          <cell r="CB17">
            <v>6802.6</v>
          </cell>
          <cell r="CC17">
            <v>8202.9310110000006</v>
          </cell>
          <cell r="CD17">
            <v>9165.6587490000002</v>
          </cell>
          <cell r="CE17">
            <v>10527.027579</v>
          </cell>
          <cell r="CF17">
            <v>5995.3</v>
          </cell>
          <cell r="CG17">
            <v>6727.1408920000003</v>
          </cell>
          <cell r="CH17">
            <v>7735.4696329999997</v>
          </cell>
          <cell r="CI17">
            <v>9303.9029310000005</v>
          </cell>
          <cell r="CJ17">
            <v>-1138.7</v>
          </cell>
          <cell r="CK17">
            <v>-2416.8193120000001</v>
          </cell>
          <cell r="CL17">
            <v>-2707.4143720000002</v>
          </cell>
          <cell r="CM17">
            <v>-3256.3660260000001</v>
          </cell>
          <cell r="CN17">
            <v>3515.9450000000002</v>
          </cell>
          <cell r="CO17">
            <v>3895.3819819999999</v>
          </cell>
          <cell r="CP17">
            <v>4556.5928960000001</v>
          </cell>
          <cell r="CQ17">
            <v>5552.123998</v>
          </cell>
          <cell r="CR17">
            <v>4702.88</v>
          </cell>
          <cell r="CS17">
            <v>5331.9051570000001</v>
          </cell>
          <cell r="CT17">
            <v>5957.6781870000004</v>
          </cell>
          <cell r="CU17">
            <v>6842.5679270000001</v>
          </cell>
          <cell r="CV17">
            <v>6.7672999999999996</v>
          </cell>
          <cell r="CW17">
            <v>17.943712738977439</v>
          </cell>
          <cell r="CX17">
            <v>6.8468343581500051</v>
          </cell>
          <cell r="CY17">
            <v>4.1026609353847334</v>
          </cell>
          <cell r="CZ17">
            <v>9.4710864445045786</v>
          </cell>
          <cell r="DA17">
            <v>4.8681999999999999</v>
          </cell>
          <cell r="DB17">
            <v>9.499809230140599</v>
          </cell>
          <cell r="DC17">
            <v>7.237473560764542</v>
          </cell>
          <cell r="DD17">
            <v>6.2210385718770311</v>
          </cell>
          <cell r="DE17">
            <v>7.644082372505153</v>
          </cell>
          <cell r="DF17">
            <v>45.109300000000005</v>
          </cell>
          <cell r="DG17">
            <v>20.585232278834582</v>
          </cell>
          <cell r="DH17">
            <v>11.736387112228513</v>
          </cell>
          <cell r="DI17">
            <v>14.852929476002259</v>
          </cell>
          <cell r="DJ17">
            <v>15.667214048259567</v>
          </cell>
          <cell r="DK17">
            <v>15.661</v>
          </cell>
          <cell r="DL17">
            <v>10.791891852688252</v>
          </cell>
          <cell r="DM17">
            <v>16.974225302046392</v>
          </cell>
          <cell r="DN17">
            <v>21.848146734239208</v>
          </cell>
          <cell r="DO17">
            <v>16.449875357318049</v>
          </cell>
          <cell r="DP17">
            <v>43.583680442188644</v>
          </cell>
          <cell r="DQ17">
            <v>40.463409054528661</v>
          </cell>
          <cell r="DR17">
            <v>40.611345995693831</v>
          </cell>
          <cell r="DS17">
            <v>41.437743384311268</v>
          </cell>
          <cell r="DT17">
            <v>22.434609968372694</v>
          </cell>
          <cell r="DU17">
            <v>22.937065412790339</v>
          </cell>
          <cell r="DV17">
            <v>23.986717393902431</v>
          </cell>
          <cell r="DW17">
            <v>26.463730479594883</v>
          </cell>
          <cell r="DX17">
            <v>11.595398045636982</v>
          </cell>
          <cell r="DY17">
            <v>10.892281211328461</v>
          </cell>
          <cell r="DZ17">
            <v>11.924697293289494</v>
          </cell>
          <cell r="EA17">
            <v>13.957397942555803</v>
          </cell>
          <cell r="EB17">
            <v>15.509846018884041</v>
          </cell>
          <cell r="EC17">
            <v>14.909092517894289</v>
          </cell>
          <cell r="ED17">
            <v>15.591366306429135</v>
          </cell>
          <cell r="EE17">
            <v>17.201424813370696</v>
          </cell>
          <cell r="EF17">
            <v>21788.7</v>
          </cell>
          <cell r="EG17">
            <v>27737.652854</v>
          </cell>
          <cell r="EH17">
            <v>23631.010283</v>
          </cell>
          <cell r="EI17">
            <v>20076.342217000001</v>
          </cell>
          <cell r="EJ17">
            <v>44932.800000000003</v>
          </cell>
          <cell r="EK17">
            <v>43765.029670000004</v>
          </cell>
          <cell r="EL17">
            <v>42468.581074000002</v>
          </cell>
          <cell r="EM17">
            <v>40622.759887</v>
          </cell>
          <cell r="EN17">
            <v>-1183.8</v>
          </cell>
          <cell r="EO17">
            <v>-1444.8086020000001</v>
          </cell>
          <cell r="EP17">
            <v>-1530.489086</v>
          </cell>
          <cell r="EQ17">
            <v>-1362.289808</v>
          </cell>
          <cell r="ER17">
            <v>23348.1</v>
          </cell>
          <cell r="ES17">
            <v>25697.824025000002</v>
          </cell>
          <cell r="ET17">
            <v>24565.011713</v>
          </cell>
          <cell r="EU17">
            <v>24272.291197999999</v>
          </cell>
          <cell r="EV17">
            <v>3143.4</v>
          </cell>
          <cell r="EW17">
            <v>3300.5471459999999</v>
          </cell>
          <cell r="EX17">
            <v>5407.1897170000002</v>
          </cell>
          <cell r="EY17">
            <v>4325.7517740000003</v>
          </cell>
          <cell r="EZ17">
            <v>108.93968711095111</v>
          </cell>
          <cell r="FA17">
            <v>217.94628806405643</v>
          </cell>
          <cell r="FB17">
            <v>175.95189706677417</v>
          </cell>
          <cell r="FC17">
            <v>123.77014819071519</v>
          </cell>
          <cell r="FD17">
            <v>1.6487355660819953</v>
          </cell>
          <cell r="FE17">
            <v>1.9167966125005398</v>
          </cell>
          <cell r="FF17">
            <v>1.5227970965416042</v>
          </cell>
          <cell r="FG17">
            <v>1.2179621649402765</v>
          </cell>
          <cell r="FH17">
            <v>0.46208802516684794</v>
          </cell>
          <cell r="FI17">
            <v>0.40236192911704588</v>
          </cell>
          <cell r="FJ17">
            <v>0.58994010851537981</v>
          </cell>
          <cell r="FK17">
            <v>0.41091863221003538</v>
          </cell>
          <cell r="FL17">
            <v>11.163541138705863</v>
          </cell>
          <cell r="FM17">
            <v>10.015747254666469</v>
          </cell>
          <cell r="FN17">
            <v>10.139347604599644</v>
          </cell>
          <cell r="FO17">
            <v>12.099886179284987</v>
          </cell>
          <cell r="FP17">
            <v>-3457.7</v>
          </cell>
          <cell r="FQ17">
            <v>-4600.4641369999999</v>
          </cell>
          <cell r="FR17">
            <v>-5219.6897879999997</v>
          </cell>
          <cell r="FS17">
            <v>-5663.8035250000003</v>
          </cell>
          <cell r="FT17">
            <v>8619</v>
          </cell>
          <cell r="FU17">
            <v>7453.5543399999997</v>
          </cell>
          <cell r="FV17">
            <v>7591.0566880000006</v>
          </cell>
          <cell r="FW17">
            <v>7563.3820689999984</v>
          </cell>
          <cell r="FX17">
            <v>11.403309159386449</v>
          </cell>
          <cell r="FY17">
            <v>12.863834487704805</v>
          </cell>
          <cell r="FZ17">
            <v>13.660035493057663</v>
          </cell>
          <cell r="GA17">
            <v>14.238147364027101</v>
          </cell>
          <cell r="GB17">
            <v>1.916129</v>
          </cell>
          <cell r="GC17">
            <v>2.066268</v>
          </cell>
          <cell r="GD17">
            <v>2.2616740000000002</v>
          </cell>
          <cell r="GE17">
            <v>2.410784</v>
          </cell>
          <cell r="GF17">
            <v>-2542.1013250000001</v>
          </cell>
          <cell r="GG17">
            <v>-2684.7919099999999</v>
          </cell>
          <cell r="GH17">
            <v>-2991.1705240000001</v>
          </cell>
          <cell r="GI17">
            <v>-3257.2520829999999</v>
          </cell>
          <cell r="GJ17">
            <v>0.18915234327282909</v>
          </cell>
          <cell r="GK17">
            <v>1</v>
          </cell>
          <cell r="GP17">
            <v>28399.987636664035</v>
          </cell>
          <cell r="GQ17">
            <v>12601.913640169279</v>
          </cell>
          <cell r="GR17">
            <v>4687.9145581985449</v>
          </cell>
          <cell r="GS17">
            <v>3039.8708294066282</v>
          </cell>
        </row>
        <row r="18">
          <cell r="B18" t="str">
            <v>TELA.VI</v>
          </cell>
          <cell r="C18" t="str">
            <v>Telekom Austria</v>
          </cell>
          <cell r="D18" t="str">
            <v>Cote-Colisson Nicolas</v>
          </cell>
          <cell r="E18" t="str">
            <v>EUR</v>
          </cell>
          <cell r="F18">
            <v>14.83</v>
          </cell>
          <cell r="G18">
            <v>-1</v>
          </cell>
          <cell r="H18" t="str">
            <v>EUR</v>
          </cell>
          <cell r="I18" t="str">
            <v>AUSTRIA</v>
          </cell>
          <cell r="J18">
            <v>500</v>
          </cell>
          <cell r="K18">
            <v>7415</v>
          </cell>
          <cell r="L18">
            <v>9559.2691070000001</v>
          </cell>
          <cell r="M18">
            <v>9186.8326429999997</v>
          </cell>
          <cell r="N18">
            <v>8658.8379619999996</v>
          </cell>
          <cell r="O18">
            <v>8138.9583560000001</v>
          </cell>
          <cell r="P18">
            <v>32.242956</v>
          </cell>
          <cell r="Q18">
            <v>30.779271999999999</v>
          </cell>
          <cell r="R18">
            <v>28.704242000000001</v>
          </cell>
          <cell r="S18">
            <v>26.661104000000002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0.39654293400000001</v>
          </cell>
          <cell r="Y18">
            <v>0.61926928000000003</v>
          </cell>
          <cell r="Z18">
            <v>0.81360882600000006</v>
          </cell>
          <cell r="AA18">
            <v>1.006452532</v>
          </cell>
          <cell r="AB18">
            <v>1.7639777839999999</v>
          </cell>
          <cell r="AC18">
            <v>1.8322413780000004</v>
          </cell>
          <cell r="AD18">
            <v>1.9331986000000001</v>
          </cell>
          <cell r="AE18">
            <v>1.9152744319999999</v>
          </cell>
          <cell r="AF18">
            <v>0.20672486000000001</v>
          </cell>
          <cell r="AG18">
            <v>0.28277577400000004</v>
          </cell>
          <cell r="AH18">
            <v>0.37703436599999995</v>
          </cell>
          <cell r="AI18">
            <v>0.39588608399999997</v>
          </cell>
          <cell r="AJ18">
            <v>1.393963991908294</v>
          </cell>
          <cell r="AK18">
            <v>1.9067820229265005</v>
          </cell>
          <cell r="AL18">
            <v>2.5423760350640592</v>
          </cell>
          <cell r="AM18">
            <v>2.6694948347943357</v>
          </cell>
          <cell r="AN18">
            <v>37.398220289558857</v>
          </cell>
          <cell r="AO18">
            <v>23.947578991807895</v>
          </cell>
          <cell r="AP18">
            <v>18.22743255245857</v>
          </cell>
          <cell r="AQ18">
            <v>14.734922441429159</v>
          </cell>
          <cell r="AR18">
            <v>10.376852694765262</v>
          </cell>
          <cell r="AS18">
            <v>9.4351993600398352</v>
          </cell>
          <cell r="AT18">
            <v>8.5891924640323492</v>
          </cell>
          <cell r="AU18">
            <v>8.381625229312851</v>
          </cell>
          <cell r="AV18">
            <v>9.6368333387296037</v>
          </cell>
          <cell r="AW18">
            <v>10.598610181309175</v>
          </cell>
          <cell r="AX18">
            <v>11.642538040538124</v>
          </cell>
          <cell r="AY18">
            <v>11.93086033604467</v>
          </cell>
          <cell r="AZ18">
            <v>2.3868276331232692</v>
          </cell>
          <cell r="BA18">
            <v>2.300156634356592</v>
          </cell>
          <cell r="BB18">
            <v>2.1468762274966333</v>
          </cell>
          <cell r="BC18">
            <v>1.9943926991123491</v>
          </cell>
          <cell r="BD18">
            <v>6.1984014268918832</v>
          </cell>
          <cell r="BE18">
            <v>5.8080254375336002</v>
          </cell>
          <cell r="BF18">
            <v>5.3714072382843048</v>
          </cell>
          <cell r="BG18">
            <v>4.9594360694434529</v>
          </cell>
          <cell r="BH18">
            <v>10.838310089510742</v>
          </cell>
          <cell r="BI18">
            <v>10.027972027384262</v>
          </cell>
          <cell r="BJ18">
            <v>8.9580428642975409</v>
          </cell>
          <cell r="BK18">
            <v>8.4989996420523415</v>
          </cell>
          <cell r="BL18">
            <v>2553.1920369999998</v>
          </cell>
          <cell r="BM18">
            <v>2491.4387900000002</v>
          </cell>
          <cell r="BN18">
            <v>2534.7260209999999</v>
          </cell>
          <cell r="BO18">
            <v>2665.0092450000002</v>
          </cell>
          <cell r="BP18">
            <v>5.4136999999999995</v>
          </cell>
          <cell r="BQ18">
            <v>11.521599999999999</v>
          </cell>
          <cell r="BR18">
            <v>15.9726</v>
          </cell>
          <cell r="BS18">
            <v>21.523600000000002</v>
          </cell>
          <cell r="BT18">
            <v>4005.0102379999998</v>
          </cell>
          <cell r="BU18">
            <v>3994.0030630000001</v>
          </cell>
          <cell r="BV18">
            <v>4033.226439</v>
          </cell>
          <cell r="BW18">
            <v>4080.9206530000001</v>
          </cell>
          <cell r="BX18">
            <v>1542.215234</v>
          </cell>
          <cell r="BY18">
            <v>1581.748004</v>
          </cell>
          <cell r="BZ18">
            <v>1612.0241080000001</v>
          </cell>
          <cell r="CA18">
            <v>1641.1056100000001</v>
          </cell>
          <cell r="CB18">
            <v>421.22709200000003</v>
          </cell>
          <cell r="CC18">
            <v>539.81775600000003</v>
          </cell>
          <cell r="CD18">
            <v>642.36908600000004</v>
          </cell>
          <cell r="CE18">
            <v>740.75137800000005</v>
          </cell>
          <cell r="CF18">
            <v>309.354467</v>
          </cell>
          <cell r="CG18">
            <v>412.84618699999999</v>
          </cell>
          <cell r="CH18">
            <v>542.40588400000001</v>
          </cell>
          <cell r="CI18">
            <v>670.96835499999997</v>
          </cell>
          <cell r="CJ18">
            <v>-110.583</v>
          </cell>
          <cell r="CK18">
            <v>-103.211547</v>
          </cell>
          <cell r="CL18">
            <v>-135.601471</v>
          </cell>
          <cell r="CM18">
            <v>-167.74208899999999</v>
          </cell>
          <cell r="CN18">
            <v>198.271467</v>
          </cell>
          <cell r="CO18">
            <v>309.63463999999999</v>
          </cell>
          <cell r="CP18">
            <v>406.80441300000001</v>
          </cell>
          <cell r="CQ18">
            <v>503.22626600000001</v>
          </cell>
          <cell r="CR18">
            <v>271.36047600000001</v>
          </cell>
          <cell r="CS18">
            <v>404.863317</v>
          </cell>
          <cell r="CT18">
            <v>481.776815</v>
          </cell>
          <cell r="CU18">
            <v>555.56353300000001</v>
          </cell>
          <cell r="CV18">
            <v>2.0670999999999999</v>
          </cell>
          <cell r="CW18">
            <v>-0.27483512764992213</v>
          </cell>
          <cell r="CX18">
            <v>0.9820567330896921</v>
          </cell>
          <cell r="CY18">
            <v>1.1825325138904219</v>
          </cell>
          <cell r="CZ18">
            <v>0.62784528362523417</v>
          </cell>
          <cell r="DA18">
            <v>2.1469999999999998</v>
          </cell>
          <cell r="DB18">
            <v>2.5633756643335062</v>
          </cell>
          <cell r="DC18">
            <v>1.9140914939318066</v>
          </cell>
          <cell r="DD18">
            <v>1.8040364195347536</v>
          </cell>
          <cell r="DE18">
            <v>2.0932855504699432</v>
          </cell>
          <cell r="DF18">
            <v>13.906699999999999</v>
          </cell>
          <cell r="DG18">
            <v>28.153617431615743</v>
          </cell>
          <cell r="DH18">
            <v>18.997398447931005</v>
          </cell>
          <cell r="DI18">
            <v>15.315539639776503</v>
          </cell>
          <cell r="DJ18">
            <v>20.703183351733955</v>
          </cell>
          <cell r="DK18">
            <v>32.969000000000001</v>
          </cell>
          <cell r="DL18">
            <v>56.167019231264362</v>
          </cell>
          <cell r="DM18">
            <v>31.382074369973594</v>
          </cell>
          <cell r="DN18">
            <v>23.702263279036757</v>
          </cell>
          <cell r="DO18">
            <v>36.406278480494848</v>
          </cell>
          <cell r="DP18">
            <v>38.507148355509401</v>
          </cell>
          <cell r="DQ18">
            <v>39.603074385524074</v>
          </cell>
          <cell r="DR18">
            <v>39.968599144651201</v>
          </cell>
          <cell r="DS18">
            <v>40.214102393624756</v>
          </cell>
          <cell r="DT18">
            <v>10.517503501073449</v>
          </cell>
          <cell r="DU18">
            <v>13.5157071110138</v>
          </cell>
          <cell r="DV18">
            <v>15.926928371501733</v>
          </cell>
          <cell r="DW18">
            <v>18.151575122036562</v>
          </cell>
          <cell r="DX18">
            <v>4.9505857717610162</v>
          </cell>
          <cell r="DY18">
            <v>7.7524887967267935</v>
          </cell>
          <cell r="DZ18">
            <v>10.086327141623698</v>
          </cell>
          <cell r="EA18">
            <v>12.331194570765893</v>
          </cell>
          <cell r="EB18">
            <v>6.7755251516038699</v>
          </cell>
          <cell r="EC18">
            <v>10.136780333260351</v>
          </cell>
          <cell r="ED18">
            <v>11.945196291023322</v>
          </cell>
          <cell r="EE18">
            <v>13.613681329275284</v>
          </cell>
          <cell r="EF18">
            <v>2112.026151</v>
          </cell>
          <cell r="EG18">
            <v>1741.053371</v>
          </cell>
          <cell r="EH18">
            <v>1215.13372</v>
          </cell>
          <cell r="EI18">
            <v>697.29725199999996</v>
          </cell>
          <cell r="EJ18">
            <v>4675.2181870000004</v>
          </cell>
          <cell r="EK18">
            <v>4052.4921610000001</v>
          </cell>
          <cell r="EL18">
            <v>3624.8597410000002</v>
          </cell>
          <cell r="EM18">
            <v>3314.0092450000002</v>
          </cell>
          <cell r="EN18">
            <v>-164.31049999999999</v>
          </cell>
          <cell r="EO18">
            <v>-126.971569</v>
          </cell>
          <cell r="EP18">
            <v>-99.963201999999995</v>
          </cell>
          <cell r="EQ18">
            <v>-69.783023</v>
          </cell>
          <cell r="ER18">
            <v>3920.0551989999999</v>
          </cell>
          <cell r="ES18">
            <v>3440.5407190000001</v>
          </cell>
          <cell r="ET18">
            <v>2980.7090349999999</v>
          </cell>
          <cell r="EU18">
            <v>2596.0811079999999</v>
          </cell>
          <cell r="EV18">
            <v>10</v>
          </cell>
          <cell r="EW18">
            <v>-180</v>
          </cell>
          <cell r="EX18">
            <v>-125</v>
          </cell>
          <cell r="EY18">
            <v>-48.297252</v>
          </cell>
          <cell r="EZ18">
            <v>82.721006504533449</v>
          </cell>
          <cell r="FA18">
            <v>69.881442722500111</v>
          </cell>
          <cell r="FB18">
            <v>47.939450257452499</v>
          </cell>
          <cell r="FC18">
            <v>26.164909307847445</v>
          </cell>
          <cell r="FD18">
            <v>1.3694756117290436</v>
          </cell>
          <cell r="FE18">
            <v>1.1007147577219258</v>
          </cell>
          <cell r="FF18">
            <v>0.75379376398259179</v>
          </cell>
          <cell r="FG18">
            <v>0.42489480734880913</v>
          </cell>
          <cell r="FH18">
            <v>2.3740163417598978E-2</v>
          </cell>
          <cell r="FI18">
            <v>-0.33344586760869716</v>
          </cell>
          <cell r="FJ18">
            <v>-0.19459217874005846</v>
          </cell>
          <cell r="FK18">
            <v>-6.5200353903357836E-2</v>
          </cell>
          <cell r="FL18">
            <v>9.3859810176464684</v>
          </cell>
          <cell r="FM18">
            <v>12.457497504815429</v>
          </cell>
          <cell r="FN18">
            <v>16.126175189946398</v>
          </cell>
          <cell r="FO18">
            <v>23.517261641130109</v>
          </cell>
          <cell r="FP18">
            <v>-549.64334199999996</v>
          </cell>
          <cell r="FQ18">
            <v>-562.41576799999996</v>
          </cell>
          <cell r="FR18">
            <v>-509.82333699999998</v>
          </cell>
          <cell r="FS18">
            <v>-515.72630500000002</v>
          </cell>
          <cell r="FT18">
            <v>881.98889199999996</v>
          </cell>
          <cell r="FU18">
            <v>916.1206890000002</v>
          </cell>
          <cell r="FV18">
            <v>966.59930000000008</v>
          </cell>
          <cell r="FW18">
            <v>957.63721599999997</v>
          </cell>
          <cell r="FX18">
            <v>13.723893556748505</v>
          </cell>
          <cell r="FY18">
            <v>14.081505675600427</v>
          </cell>
          <cell r="FZ18">
            <v>12.640583034718125</v>
          </cell>
          <cell r="GA18">
            <v>12.637498958007797</v>
          </cell>
          <cell r="GB18">
            <v>2.678086</v>
          </cell>
          <cell r="GC18">
            <v>2.8677809999999999</v>
          </cell>
          <cell r="GD18">
            <v>2.9206029999999998</v>
          </cell>
          <cell r="GE18">
            <v>2.9781490000000002</v>
          </cell>
          <cell r="GF18">
            <v>-103.36243</v>
          </cell>
          <cell r="GG18">
            <v>-141.38788700000001</v>
          </cell>
          <cell r="GH18">
            <v>-188.51718299999999</v>
          </cell>
          <cell r="GI18">
            <v>-197.94304199999999</v>
          </cell>
          <cell r="GJ18">
            <v>1.6902303145190551E-2</v>
          </cell>
          <cell r="GK18">
            <v>1</v>
          </cell>
          <cell r="GP18">
            <v>3923.8993152543762</v>
          </cell>
          <cell r="GQ18">
            <v>1509.7998316152211</v>
          </cell>
          <cell r="GR18">
            <v>369.80010131098521</v>
          </cell>
          <cell r="GS18">
            <v>149.11104618369694</v>
          </cell>
        </row>
        <row r="19">
          <cell r="B19" t="str">
            <v>TEL.OL</v>
          </cell>
          <cell r="C19" t="str">
            <v>Telenor</v>
          </cell>
          <cell r="D19" t="str">
            <v>Bluestone Jakob</v>
          </cell>
          <cell r="E19" t="str">
            <v>NOK</v>
          </cell>
          <cell r="F19">
            <v>55</v>
          </cell>
          <cell r="G19">
            <v>-1</v>
          </cell>
          <cell r="H19" t="str">
            <v>NOK</v>
          </cell>
          <cell r="I19" t="str">
            <v>NORWAY</v>
          </cell>
          <cell r="J19">
            <v>1750.434718</v>
          </cell>
          <cell r="K19">
            <v>11858.207162096516</v>
          </cell>
          <cell r="L19">
            <v>13002.548977753242</v>
          </cell>
          <cell r="M19">
            <v>12890.564492432488</v>
          </cell>
          <cell r="N19">
            <v>12916.803145137872</v>
          </cell>
          <cell r="O19">
            <v>12797.385756657333</v>
          </cell>
          <cell r="P19">
            <v>1134.1677737533903</v>
          </cell>
          <cell r="Q19">
            <v>1124.9595694065799</v>
          </cell>
          <cell r="R19">
            <v>1127.1171082651601</v>
          </cell>
          <cell r="S19">
            <v>1117.2977147135475</v>
          </cell>
          <cell r="T19">
            <v>1711.3947858571964</v>
          </cell>
          <cell r="U19">
            <v>1697.5001281284406</v>
          </cell>
          <cell r="V19">
            <v>1700.7557317947133</v>
          </cell>
          <cell r="W19">
            <v>1685.9388244594033</v>
          </cell>
          <cell r="X19">
            <v>0.42739907131896521</v>
          </cell>
          <cell r="Y19">
            <v>0.49991702206922661</v>
          </cell>
          <cell r="Z19">
            <v>0.54681846040701265</v>
          </cell>
          <cell r="AA19">
            <v>0.58574247557310122</v>
          </cell>
          <cell r="AB19">
            <v>0.50487795965596749</v>
          </cell>
          <cell r="AC19">
            <v>0.34713871601142154</v>
          </cell>
          <cell r="AD19">
            <v>0.35869067014147804</v>
          </cell>
          <cell r="AE19">
            <v>0.40046020084978828</v>
          </cell>
          <cell r="AF19">
            <v>0.19015885314894521</v>
          </cell>
          <cell r="AG19">
            <v>0.24995851103461331</v>
          </cell>
          <cell r="AH19">
            <v>0.27340923020350633</v>
          </cell>
          <cell r="AI19">
            <v>0.29287123778655061</v>
          </cell>
          <cell r="AJ19">
            <v>2.8070066067907007</v>
          </cell>
          <cell r="AK19">
            <v>3.6897319282219168</v>
          </cell>
          <cell r="AL19">
            <v>4.0358968453478976</v>
          </cell>
          <cell r="AM19">
            <v>4.3231828852159762</v>
          </cell>
          <cell r="AN19">
            <v>15.850374962133186</v>
          </cell>
          <cell r="AO19">
            <v>13.551119965535008</v>
          </cell>
          <cell r="AP19">
            <v>12.388820110116061</v>
          </cell>
          <cell r="AQ19">
            <v>11.56555281780593</v>
          </cell>
          <cell r="AR19">
            <v>14.923829770246055</v>
          </cell>
          <cell r="AS19">
            <v>22.035564163052957</v>
          </cell>
          <cell r="AT19">
            <v>21.253347802549101</v>
          </cell>
          <cell r="AU19">
            <v>18.720923429134785</v>
          </cell>
          <cell r="AV19">
            <v>6.7006928877848804</v>
          </cell>
          <cell r="AW19">
            <v>4.5381184370886247</v>
          </cell>
          <cell r="AX19">
            <v>4.7051410878433995</v>
          </cell>
          <cell r="AY19">
            <v>5.3416168480435715</v>
          </cell>
          <cell r="AZ19">
            <v>1.7220267248480894</v>
          </cell>
          <cell r="BA19">
            <v>1.5836995304796038</v>
          </cell>
          <cell r="BB19">
            <v>1.5143121733657894</v>
          </cell>
          <cell r="BC19">
            <v>1.4305751283889603</v>
          </cell>
          <cell r="BD19">
            <v>4.9285467715579623</v>
          </cell>
          <cell r="BE19">
            <v>4.8099590121149873</v>
          </cell>
          <cell r="BF19">
            <v>4.4758091181165094</v>
          </cell>
          <cell r="BG19">
            <v>4.1429471468339907</v>
          </cell>
          <cell r="BH19">
            <v>14.712828334494779</v>
          </cell>
          <cell r="BI19">
            <v>21.214019549709818</v>
          </cell>
          <cell r="BJ19">
            <v>20.572593363607623</v>
          </cell>
          <cell r="BK19">
            <v>18.256435280861055</v>
          </cell>
          <cell r="BL19">
            <v>5105.3377936500219</v>
          </cell>
          <cell r="BM19">
            <v>5367.4728720092198</v>
          </cell>
          <cell r="BN19">
            <v>5793.8331412289708</v>
          </cell>
          <cell r="BO19">
            <v>6377.4319397026429</v>
          </cell>
          <cell r="BP19">
            <v>16.891999999999999</v>
          </cell>
          <cell r="BQ19">
            <v>16.2059</v>
          </cell>
          <cell r="BR19">
            <v>16.8978</v>
          </cell>
          <cell r="BS19">
            <v>16.911300000000001</v>
          </cell>
          <cell r="BT19">
            <v>7550.7242658503328</v>
          </cell>
          <cell r="BU19">
            <v>8139.5266237963333</v>
          </cell>
          <cell r="BV19">
            <v>8529.8152998587539</v>
          </cell>
          <cell r="BW19">
            <v>8945.6229894539592</v>
          </cell>
          <cell r="BX19">
            <v>2638.21154194769</v>
          </cell>
          <cell r="BY19">
            <v>2679.9738750298366</v>
          </cell>
          <cell r="BZ19">
            <v>2885.9146590624637</v>
          </cell>
          <cell r="CA19">
            <v>3088.9570402646823</v>
          </cell>
          <cell r="CB19">
            <v>1127.2660736684841</v>
          </cell>
          <cell r="CC19">
            <v>1355.2017533308303</v>
          </cell>
          <cell r="CD19">
            <v>1470.6542930505323</v>
          </cell>
          <cell r="CE19">
            <v>1566.3091211044127</v>
          </cell>
          <cell r="CF19">
            <v>1233.0704396301567</v>
          </cell>
          <cell r="CG19">
            <v>1313.9151769089383</v>
          </cell>
          <cell r="CH19">
            <v>1427.9400463403231</v>
          </cell>
          <cell r="CI19">
            <v>1522.5705289940454</v>
          </cell>
          <cell r="CJ19">
            <v>-184.63416132310508</v>
          </cell>
          <cell r="CK19">
            <v>-367.89624953450272</v>
          </cell>
          <cell r="CL19">
            <v>-399.82321297529046</v>
          </cell>
          <cell r="CM19">
            <v>-426.31974811833271</v>
          </cell>
          <cell r="CN19">
            <v>748.1341728776747</v>
          </cell>
          <cell r="CO19">
            <v>875.07211154914648</v>
          </cell>
          <cell r="CP19">
            <v>957.17001753974341</v>
          </cell>
          <cell r="CQ19">
            <v>1025.3039650504234</v>
          </cell>
          <cell r="CR19">
            <v>952.01758485559958</v>
          </cell>
          <cell r="CS19">
            <v>975.74526235878295</v>
          </cell>
          <cell r="CT19">
            <v>1058.8710910210175</v>
          </cell>
          <cell r="CU19">
            <v>1127.7425671409817</v>
          </cell>
          <cell r="CV19">
            <v>15.4003</v>
          </cell>
          <cell r="CW19">
            <v>7.7979586754210857</v>
          </cell>
          <cell r="CX19">
            <v>4.7949800289539155</v>
          </cell>
          <cell r="CY19">
            <v>4.8747560759268822</v>
          </cell>
          <cell r="CZ19">
            <v>5.8133977021360721</v>
          </cell>
          <cell r="DA19">
            <v>16.9542</v>
          </cell>
          <cell r="DB19">
            <v>1.5829789392595615</v>
          </cell>
          <cell r="DC19">
            <v>7.6844325219526297</v>
          </cell>
          <cell r="DD19">
            <v>7.0356335924424087</v>
          </cell>
          <cell r="DE19">
            <v>5.3984160184933501</v>
          </cell>
          <cell r="DF19">
            <v>21.058199999999999</v>
          </cell>
          <cell r="DG19">
            <v>20.220219962849654</v>
          </cell>
          <cell r="DH19">
            <v>8.5192141639384147</v>
          </cell>
          <cell r="DI19">
            <v>6.5042361420961043</v>
          </cell>
          <cell r="DJ19">
            <v>11.587876588863111</v>
          </cell>
          <cell r="DK19">
            <v>27.770899999999997</v>
          </cell>
          <cell r="DL19">
            <v>16.967269144144154</v>
          </cell>
          <cell r="DM19">
            <v>9.3818446396672925</v>
          </cell>
          <cell r="DN19">
            <v>7.1182701361465206</v>
          </cell>
          <cell r="DO19">
            <v>11.077061311337189</v>
          </cell>
          <cell r="DP19">
            <v>34.939847477672195</v>
          </cell>
          <cell r="DQ19">
            <v>32.925426734213175</v>
          </cell>
          <cell r="DR19">
            <v>33.83326083403297</v>
          </cell>
          <cell r="DS19">
            <v>34.530373612953163</v>
          </cell>
          <cell r="DT19">
            <v>14.92924432119408</v>
          </cell>
          <cell r="DU19">
            <v>16.649638436820478</v>
          </cell>
          <cell r="DV19">
            <v>17.241338075337751</v>
          </cell>
          <cell r="DW19">
            <v>17.50922348226549</v>
          </cell>
          <cell r="DX19">
            <v>9.908111414705763</v>
          </cell>
          <cell r="DY19">
            <v>10.750896851800045</v>
          </cell>
          <cell r="DZ19">
            <v>11.221462410277434</v>
          </cell>
          <cell r="EA19">
            <v>11.461515494886822</v>
          </cell>
          <cell r="EB19">
            <v>12.608294930875577</v>
          </cell>
          <cell r="EC19">
            <v>11.987739674026502</v>
          </cell>
          <cell r="ED19">
            <v>12.413763414531982</v>
          </cell>
          <cell r="EE19">
            <v>12.606640906625321</v>
          </cell>
          <cell r="EF19">
            <v>1721.5688277605334</v>
          </cell>
          <cell r="EG19">
            <v>1604.8978890578337</v>
          </cell>
          <cell r="EH19">
            <v>1632.2346065709103</v>
          </cell>
          <cell r="EI19">
            <v>1507.8197043066725</v>
          </cell>
          <cell r="EJ19">
            <v>8207.0438980118834</v>
          </cell>
          <cell r="EK19">
            <v>7033.9565386931727</v>
          </cell>
          <cell r="EL19">
            <v>7426.0677479230526</v>
          </cell>
          <cell r="EM19">
            <v>8008.4231991383822</v>
          </cell>
          <cell r="EN19">
            <v>-127.85207435182326</v>
          </cell>
          <cell r="EO19">
            <v>-95.486743592235953</v>
          </cell>
          <cell r="EP19">
            <v>-96.909731144365523</v>
          </cell>
          <cell r="EQ19">
            <v>-97.934076421352344</v>
          </cell>
          <cell r="ER19">
            <v>4618.3174641826718</v>
          </cell>
          <cell r="ES19">
            <v>4997.9793075106645</v>
          </cell>
          <cell r="ET19">
            <v>5440.9457856707486</v>
          </cell>
          <cell r="EU19">
            <v>5879.9557199121064</v>
          </cell>
          <cell r="EV19">
            <v>1380.1372766013292</v>
          </cell>
          <cell r="EW19">
            <v>61.585777626119103</v>
          </cell>
          <cell r="EX19">
            <v>0</v>
          </cell>
          <cell r="EY19">
            <v>123.17155525223821</v>
          </cell>
          <cell r="EZ19">
            <v>33.720958286086514</v>
          </cell>
          <cell r="FA19">
            <v>29.900437828520747</v>
          </cell>
          <cell r="FB19">
            <v>28.171929822347032</v>
          </cell>
          <cell r="FC19">
            <v>23.643054423203719</v>
          </cell>
          <cell r="FD19">
            <v>0.65255147299126948</v>
          </cell>
          <cell r="FE19">
            <v>0.59884833356443301</v>
          </cell>
          <cell r="FF19">
            <v>0.5655865815176836</v>
          </cell>
          <cell r="FG19">
            <v>0.48813229988380563</v>
          </cell>
          <cell r="FH19">
            <v>1.2243225524475525</v>
          </cell>
          <cell r="FI19">
            <v>4.5443991992153841E-2</v>
          </cell>
          <cell r="FJ19">
            <v>0</v>
          </cell>
          <cell r="FK19">
            <v>7.8638088479871263E-2</v>
          </cell>
          <cell r="FL19">
            <v>20.634874759152215</v>
          </cell>
          <cell r="FM19">
            <v>28.066449584607529</v>
          </cell>
          <cell r="FN19">
            <v>29.779410436742864</v>
          </cell>
          <cell r="FO19">
            <v>31.541187226545429</v>
          </cell>
          <cell r="FP19">
            <v>-1569.821471689776</v>
          </cell>
          <cell r="FQ19">
            <v>-1704.4339650269992</v>
          </cell>
          <cell r="FR19">
            <v>-1858.226844048844</v>
          </cell>
          <cell r="FS19">
            <v>-1961.6578534016269</v>
          </cell>
          <cell r="FT19">
            <v>883.75590893480876</v>
          </cell>
          <cell r="FU19">
            <v>607.6436604683347</v>
          </cell>
          <cell r="FV19">
            <v>627.86460203832917</v>
          </cell>
          <cell r="FW19">
            <v>700.97943874472253</v>
          </cell>
          <cell r="FX19">
            <v>20.790342971330695</v>
          </cell>
          <cell r="FY19">
            <v>20.94020996311993</v>
          </cell>
          <cell r="FZ19">
            <v>21.785077152603932</v>
          </cell>
          <cell r="GA19">
            <v>21.928689099845091</v>
          </cell>
          <cell r="GB19">
            <v>1.145696972510208</v>
          </cell>
          <cell r="GC19">
            <v>1.2210434762891071</v>
          </cell>
          <cell r="GD19">
            <v>1.316839044842538</v>
          </cell>
          <cell r="GE19">
            <v>1.4142638035572905</v>
          </cell>
          <cell r="GF19">
            <v>-332.86065848697729</v>
          </cell>
          <cell r="GG19">
            <v>-437.53605577457324</v>
          </cell>
          <cell r="GH19">
            <v>-478.58500876987171</v>
          </cell>
          <cell r="GI19">
            <v>-512.65198252521168</v>
          </cell>
          <cell r="GJ19">
            <v>2.3716577544246366E-2</v>
          </cell>
          <cell r="GK19">
            <v>1</v>
          </cell>
          <cell r="GP19">
            <v>6543.0716088695899</v>
          </cell>
          <cell r="GQ19">
            <v>2255.7646856185497</v>
          </cell>
          <cell r="GR19">
            <v>931.17696584657961</v>
          </cell>
          <cell r="GS19">
            <v>585.52782588028629</v>
          </cell>
        </row>
        <row r="20">
          <cell r="B20" t="str">
            <v>TLSN.ST</v>
          </cell>
          <cell r="C20" t="str">
            <v>TeliaSonera</v>
          </cell>
          <cell r="D20" t="str">
            <v>Bluestone Jakob</v>
          </cell>
          <cell r="E20" t="str">
            <v>SEK</v>
          </cell>
          <cell r="F20">
            <v>37.799999999999997</v>
          </cell>
          <cell r="G20">
            <v>-1</v>
          </cell>
          <cell r="H20" t="str">
            <v>SEK</v>
          </cell>
          <cell r="I20" t="str">
            <v>SWEDEN</v>
          </cell>
          <cell r="J20">
            <v>4675.2320689999997</v>
          </cell>
          <cell r="K20">
            <v>19256.520906810929</v>
          </cell>
          <cell r="L20">
            <v>15803.557836169888</v>
          </cell>
          <cell r="M20">
            <v>14870.401482380488</v>
          </cell>
          <cell r="N20">
            <v>14206.746619089261</v>
          </cell>
          <cell r="O20">
            <v>13651.787427131832</v>
          </cell>
          <cell r="P20">
            <v>877.26361591123839</v>
          </cell>
          <cell r="Q20">
            <v>825.79544425006338</v>
          </cell>
          <cell r="R20">
            <v>789.19160796514018</v>
          </cell>
          <cell r="S20">
            <v>758.58287360612746</v>
          </cell>
          <cell r="T20">
            <v>5099.7301265517835</v>
          </cell>
          <cell r="U20">
            <v>4800.5341028360463</v>
          </cell>
          <cell r="V20">
            <v>4587.7477939018354</v>
          </cell>
          <cell r="W20">
            <v>4409.8123570029429</v>
          </cell>
          <cell r="X20">
            <v>0.32327242777938642</v>
          </cell>
          <cell r="Y20">
            <v>0.31531048288113495</v>
          </cell>
          <cell r="Z20">
            <v>0.35179359467021842</v>
          </cell>
          <cell r="AA20">
            <v>0.37825094737203224</v>
          </cell>
          <cell r="AB20">
            <v>0.3912951890347876</v>
          </cell>
          <cell r="AC20">
            <v>0.31889935898710864</v>
          </cell>
          <cell r="AD20">
            <v>0.32126264500236523</v>
          </cell>
          <cell r="AE20">
            <v>0.31510933811244574</v>
          </cell>
          <cell r="AF20">
            <v>0.13075674233520676</v>
          </cell>
          <cell r="AG20">
            <v>0.16344592791900844</v>
          </cell>
          <cell r="AH20">
            <v>0.19068691590550987</v>
          </cell>
          <cell r="AI20">
            <v>0.21792790389201125</v>
          </cell>
          <cell r="AJ20">
            <v>3.174603127750395</v>
          </cell>
          <cell r="AK20">
            <v>3.9682539096879936</v>
          </cell>
          <cell r="AL20">
            <v>4.6296295613026599</v>
          </cell>
          <cell r="AM20">
            <v>5.2910052129173257</v>
          </cell>
          <cell r="AN20">
            <v>12.741072514721997</v>
          </cell>
          <cell r="AO20">
            <v>13.062798948870032</v>
          </cell>
          <cell r="AP20">
            <v>11.70810812575627</v>
          </cell>
          <cell r="AQ20">
            <v>10.889166234648638</v>
          </cell>
          <cell r="AR20">
            <v>8.6546689448751728</v>
          </cell>
          <cell r="AS20">
            <v>10.47902009670849</v>
          </cell>
          <cell r="AT20">
            <v>10.344151803296436</v>
          </cell>
          <cell r="AU20">
            <v>10.467768127231937</v>
          </cell>
          <cell r="AV20">
            <v>11.554456980034413</v>
          </cell>
          <cell r="AW20">
            <v>9.5428770130339267</v>
          </cell>
          <cell r="AX20">
            <v>9.6672981895076564</v>
          </cell>
          <cell r="AY20">
            <v>9.5531348024274294</v>
          </cell>
          <cell r="AZ20">
            <v>1.7700761843758004</v>
          </cell>
          <cell r="BA20">
            <v>1.6169816542945545</v>
          </cell>
          <cell r="BB20">
            <v>1.5415154607861159</v>
          </cell>
          <cell r="BC20">
            <v>1.4652222148361203</v>
          </cell>
          <cell r="BD20">
            <v>4.8031107537157229</v>
          </cell>
          <cell r="BE20">
            <v>4.6452824884936552</v>
          </cell>
          <cell r="BF20">
            <v>4.2625908294727974</v>
          </cell>
          <cell r="BG20">
            <v>3.9835156014883206</v>
          </cell>
          <cell r="BH20">
            <v>8.6386760568943952</v>
          </cell>
          <cell r="BI20">
            <v>9.9739198649958531</v>
          </cell>
          <cell r="BJ20">
            <v>9.4586952009468792</v>
          </cell>
          <cell r="BK20">
            <v>9.2666992983692928</v>
          </cell>
          <cell r="BL20">
            <v>14068.662935238754</v>
          </cell>
          <cell r="BM20">
            <v>15205.045281557686</v>
          </cell>
          <cell r="BN20">
            <v>16176.069891855223</v>
          </cell>
          <cell r="BO20">
            <v>17137.313225265181</v>
          </cell>
          <cell r="BP20">
            <v>12.078800000000001</v>
          </cell>
          <cell r="BQ20">
            <v>11.1808</v>
          </cell>
          <cell r="BR20">
            <v>12.404900000000001</v>
          </cell>
          <cell r="BS20">
            <v>13.4</v>
          </cell>
          <cell r="BT20">
            <v>8928.1794623675214</v>
          </cell>
          <cell r="BU20">
            <v>9196.3946794857384</v>
          </cell>
          <cell r="BV20">
            <v>9216.0909056626297</v>
          </cell>
          <cell r="BW20">
            <v>9317.212972135243</v>
          </cell>
          <cell r="BX20">
            <v>3290.2755415215306</v>
          </cell>
          <cell r="BY20">
            <v>3201.1834628387851</v>
          </cell>
          <cell r="BZ20">
            <v>3332.8900632121822</v>
          </cell>
          <cell r="CA20">
            <v>3427.0701543207847</v>
          </cell>
          <cell r="CB20">
            <v>1500.4336404408359</v>
          </cell>
          <cell r="CC20">
            <v>1927.0999750580149</v>
          </cell>
          <cell r="CD20">
            <v>2108.8836765406618</v>
          </cell>
          <cell r="CE20">
            <v>2234.7570203469654</v>
          </cell>
          <cell r="CF20">
            <v>2295.8705013862318</v>
          </cell>
          <cell r="CG20">
            <v>2281.097257695872</v>
          </cell>
          <cell r="CH20">
            <v>2515.5608528260504</v>
          </cell>
          <cell r="CI20">
            <v>2693.9956571408393</v>
          </cell>
          <cell r="CJ20">
            <v>-346.94122811645764</v>
          </cell>
          <cell r="CK20">
            <v>-576.48445611291595</v>
          </cell>
          <cell r="CL20">
            <v>-653.03065814836771</v>
          </cell>
          <cell r="CM20">
            <v>-713.88879861603675</v>
          </cell>
          <cell r="CN20">
            <v>1511.3736213776738</v>
          </cell>
          <cell r="CO20">
            <v>1474.1496812577575</v>
          </cell>
          <cell r="CP20">
            <v>1644.7166954709926</v>
          </cell>
          <cell r="CQ20">
            <v>1768.4109592833563</v>
          </cell>
          <cell r="CR20">
            <v>1459.2452659973619</v>
          </cell>
          <cell r="CS20">
            <v>1389.473333231897</v>
          </cell>
          <cell r="CT20">
            <v>1518.3962470656909</v>
          </cell>
          <cell r="CU20">
            <v>1609.0250546280224</v>
          </cell>
          <cell r="CV20">
            <v>0.39079999999999998</v>
          </cell>
          <cell r="CW20">
            <v>3.0041423142170203</v>
          </cell>
          <cell r="CX20">
            <v>0.21417334578764269</v>
          </cell>
          <cell r="CY20">
            <v>1.0972338218851547</v>
          </cell>
          <cell r="CZ20">
            <v>1.4318555755122873</v>
          </cell>
          <cell r="DA20">
            <v>-0.31029999999999996</v>
          </cell>
          <cell r="DB20">
            <v>-2.7077391409458187</v>
          </cell>
          <cell r="DC20">
            <v>4.1143096577351628</v>
          </cell>
          <cell r="DD20">
            <v>2.8257785082125793</v>
          </cell>
          <cell r="DE20">
            <v>1.3670735251830166</v>
          </cell>
          <cell r="DF20">
            <v>7.5529000000000002</v>
          </cell>
          <cell r="DG20">
            <v>28.436201583151785</v>
          </cell>
          <cell r="DH20">
            <v>9.4330187242711361</v>
          </cell>
          <cell r="DI20">
            <v>5.9687191477901536</v>
          </cell>
          <cell r="DJ20">
            <v>14.201332827214273</v>
          </cell>
          <cell r="DK20">
            <v>22.335899999999999</v>
          </cell>
          <cell r="DL20">
            <v>-2.4629211197946717</v>
          </cell>
          <cell r="DM20">
            <v>11.570535637039654</v>
          </cell>
          <cell r="DN20">
            <v>7.5207033620426529</v>
          </cell>
          <cell r="DO20">
            <v>5.3748865072869023</v>
          </cell>
          <cell r="DP20">
            <v>36.852703906659997</v>
          </cell>
          <cell r="DQ20">
            <v>34.809113510315271</v>
          </cell>
          <cell r="DR20">
            <v>36.163814976742032</v>
          </cell>
          <cell r="DS20">
            <v>36.782138227064657</v>
          </cell>
          <cell r="DT20">
            <v>16.805594542148235</v>
          </cell>
          <cell r="DU20">
            <v>20.954950741259161</v>
          </cell>
          <cell r="DV20">
            <v>22.88262668117676</v>
          </cell>
          <cell r="DW20">
            <v>23.985252103074146</v>
          </cell>
          <cell r="DX20">
            <v>16.92812770787312</v>
          </cell>
          <cell r="DY20">
            <v>16.029647841736516</v>
          </cell>
          <cell r="DZ20">
            <v>17.846142277746324</v>
          </cell>
          <cell r="EA20">
            <v>18.980042256972109</v>
          </cell>
          <cell r="EB20">
            <v>16.344264495893185</v>
          </cell>
          <cell r="EC20">
            <v>15.108891926217288</v>
          </cell>
          <cell r="ED20">
            <v>16.47549120997434</v>
          </cell>
          <cell r="EE20">
            <v>17.269381513979489</v>
          </cell>
          <cell r="EF20">
            <v>769.50343999950496</v>
          </cell>
          <cell r="EG20">
            <v>-411.38076584445764</v>
          </cell>
          <cell r="EH20">
            <v>-1251.218101784975</v>
          </cell>
          <cell r="EI20">
            <v>-1953.5039962822807</v>
          </cell>
          <cell r="EJ20">
            <v>16757.348489187745</v>
          </cell>
          <cell r="EK20">
            <v>16202.610276346057</v>
          </cell>
          <cell r="EL20">
            <v>17173.634886643591</v>
          </cell>
          <cell r="EM20">
            <v>18134.87822005355</v>
          </cell>
          <cell r="EN20">
            <v>-92.292468660376755</v>
          </cell>
          <cell r="EO20">
            <v>-32.606824572315702</v>
          </cell>
          <cell r="EP20">
            <v>-7.6098768910133998</v>
          </cell>
          <cell r="EQ20">
            <v>17.585243205725995</v>
          </cell>
          <cell r="ER20">
            <v>5180.3642798720566</v>
          </cell>
          <cell r="ES20">
            <v>5081.4575912476639</v>
          </cell>
          <cell r="ET20">
            <v>5035.333189153137</v>
          </cell>
          <cell r="EU20">
            <v>5082.4473083316252</v>
          </cell>
          <cell r="EV20">
            <v>1919.1821139494875</v>
          </cell>
          <cell r="EW20">
            <v>1408.9457606328276</v>
          </cell>
          <cell r="EX20">
            <v>2248.7830965733447</v>
          </cell>
          <cell r="EY20">
            <v>2951.0689910706506</v>
          </cell>
          <cell r="EZ20">
            <v>5.4696273806665481</v>
          </cell>
          <cell r="FA20">
            <v>-2.7055543619026539</v>
          </cell>
          <cell r="FB20">
            <v>-7.7349944093340808</v>
          </cell>
          <cell r="FC20">
            <v>-11.399126400994239</v>
          </cell>
          <cell r="FD20">
            <v>0.23387203603126244</v>
          </cell>
          <cell r="FE20">
            <v>-0.12850896258212216</v>
          </cell>
          <cell r="FF20">
            <v>-0.37541535365828194</v>
          </cell>
          <cell r="FG20">
            <v>-0.57002159521576767</v>
          </cell>
          <cell r="FH20">
            <v>1.2790849673202616</v>
          </cell>
          <cell r="FI20">
            <v>0.7311222971659328</v>
          </cell>
          <cell r="FJ20">
            <v>1.0663381397413862</v>
          </cell>
          <cell r="FK20">
            <v>1.3205323729612768</v>
          </cell>
          <cell r="FL20">
            <v>35.650531286894925</v>
          </cell>
          <cell r="FM20">
            <v>98.175259468740123</v>
          </cell>
          <cell r="FN20">
            <v>437.96898569384666</v>
          </cell>
          <cell r="FO20">
            <v>-194.88329585370101</v>
          </cell>
          <cell r="FP20">
            <v>-1113.9384971842169</v>
          </cell>
          <cell r="FQ20">
            <v>-1133.7704968057958</v>
          </cell>
          <cell r="FR20">
            <v>-1177.881984576994</v>
          </cell>
          <cell r="FS20">
            <v>-1239.9720729200778</v>
          </cell>
          <cell r="FT20">
            <v>1829.395816220856</v>
          </cell>
          <cell r="FU20">
            <v>1490.9285099200736</v>
          </cell>
          <cell r="FV20">
            <v>1501.9774204868204</v>
          </cell>
          <cell r="FW20">
            <v>1473.2092827846702</v>
          </cell>
          <cell r="FX20">
            <v>12.476658896469239</v>
          </cell>
          <cell r="FY20">
            <v>12.32842365209576</v>
          </cell>
          <cell r="FZ20">
            <v>12.780711438656379</v>
          </cell>
          <cell r="GA20">
            <v>13.308401091919134</v>
          </cell>
          <cell r="GB20">
            <v>0.59353624383744308</v>
          </cell>
          <cell r="GC20">
            <v>0.58724553687085412</v>
          </cell>
          <cell r="GD20">
            <v>0.61360010349723193</v>
          </cell>
          <cell r="GE20">
            <v>0.63327855765329966</v>
          </cell>
          <cell r="GF20">
            <v>-611.31811500352853</v>
          </cell>
          <cell r="GG20">
            <v>-764.14764375441064</v>
          </cell>
          <cell r="GH20">
            <v>-891.50558438014582</v>
          </cell>
          <cell r="GI20">
            <v>-1018.8635250058809</v>
          </cell>
          <cell r="GJ20">
            <v>2.7359161042015943E-2</v>
          </cell>
          <cell r="GK20">
            <v>1</v>
          </cell>
          <cell r="GP20">
            <v>8893.4239615258775</v>
          </cell>
          <cell r="GQ20">
            <v>3300.5170459150049</v>
          </cell>
          <cell r="GR20">
            <v>1395.0657215573322</v>
          </cell>
          <cell r="GS20">
            <v>1235.4293558780978</v>
          </cell>
        </row>
        <row r="21">
          <cell r="B21" t="str">
            <v>European wireline aggregate</v>
          </cell>
          <cell r="K21">
            <v>367724.74873501837</v>
          </cell>
          <cell r="L21">
            <v>535217.53406295716</v>
          </cell>
          <cell r="M21">
            <v>543525.49259620032</v>
          </cell>
          <cell r="N21">
            <v>521911.31249409314</v>
          </cell>
          <cell r="O21">
            <v>498429.50726294523</v>
          </cell>
          <cell r="P21">
            <v>25367.585196906151</v>
          </cell>
          <cell r="Q21">
            <v>26052.949363856929</v>
          </cell>
          <cell r="R21">
            <v>24885.283658353863</v>
          </cell>
          <cell r="S21">
            <v>23667.548150645856</v>
          </cell>
          <cell r="T21">
            <v>16667.493927223157</v>
          </cell>
          <cell r="U21">
            <v>16262.456693465461</v>
          </cell>
          <cell r="V21">
            <v>15613.902351185661</v>
          </cell>
          <cell r="W21">
            <v>14963.456403152297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3.5293637863329943</v>
          </cell>
          <cell r="AK21">
            <v>4.3298074962693107</v>
          </cell>
          <cell r="AL21">
            <v>4.5263438323381626</v>
          </cell>
          <cell r="AM21">
            <v>4.7096766169660649</v>
          </cell>
          <cell r="AN21">
            <v>13.815925475070806</v>
          </cell>
          <cell r="AO21">
            <v>12.776689930419062</v>
          </cell>
          <cell r="AP21">
            <v>11.079088384271699</v>
          </cell>
          <cell r="AQ21">
            <v>9.8373625685894481</v>
          </cell>
          <cell r="AR21">
            <v>9.5827180002077004</v>
          </cell>
          <cell r="AS21">
            <v>10.675262617961728</v>
          </cell>
          <cell r="AT21">
            <v>10.159027638261458</v>
          </cell>
          <cell r="AU21">
            <v>9.7721170085860649</v>
          </cell>
          <cell r="AV21">
            <v>10.43545265527302</v>
          </cell>
          <cell r="AW21">
            <v>9.36745104815917</v>
          </cell>
          <cell r="AX21">
            <v>9.8434617525180066</v>
          </cell>
          <cell r="AY21">
            <v>10.233197158009581</v>
          </cell>
          <cell r="AZ21">
            <v>2.0969804478353833</v>
          </cell>
          <cell r="BA21">
            <v>2.0489621719582805</v>
          </cell>
          <cell r="BB21">
            <v>1.8987266276832167</v>
          </cell>
          <cell r="BC21">
            <v>1.7505909281476368</v>
          </cell>
          <cell r="BD21">
            <v>5.5671657515602995</v>
          </cell>
          <cell r="BE21">
            <v>5.5312308208164875</v>
          </cell>
          <cell r="BF21">
            <v>5.0648397209671563</v>
          </cell>
          <cell r="BG21">
            <v>4.6194161264651434</v>
          </cell>
          <cell r="BH21">
            <v>10.372551975648786</v>
          </cell>
          <cell r="BI21">
            <v>11.514331719153519</v>
          </cell>
          <cell r="BJ21">
            <v>10.908094388886324</v>
          </cell>
          <cell r="BK21">
            <v>10.367818500218823</v>
          </cell>
          <cell r="BL21">
            <v>152190.72910536616</v>
          </cell>
          <cell r="BM21">
            <v>148490.92358400516</v>
          </cell>
          <cell r="BN21">
            <v>160721.37029482989</v>
          </cell>
          <cell r="BO21">
            <v>178400.84008650339</v>
          </cell>
          <cell r="BP21">
            <v>12.608558440609935</v>
          </cell>
          <cell r="BQ21">
            <v>13.366595991164655</v>
          </cell>
          <cell r="BR21">
            <v>14.737806821331253</v>
          </cell>
          <cell r="BS21">
            <v>16.550556075743422</v>
          </cell>
          <cell r="BT21">
            <v>255232.48660493598</v>
          </cell>
          <cell r="BU21">
            <v>265268.68091309362</v>
          </cell>
          <cell r="BV21">
            <v>274874.3841713104</v>
          </cell>
          <cell r="BW21">
            <v>284720.7187291616</v>
          </cell>
          <cell r="BX21">
            <v>96138.243039189678</v>
          </cell>
          <cell r="BY21">
            <v>98264.836562356344</v>
          </cell>
          <cell r="BZ21">
            <v>103045.96813468987</v>
          </cell>
          <cell r="CA21">
            <v>107898.81093573444</v>
          </cell>
          <cell r="CB21">
            <v>46417.567967651514</v>
          </cell>
          <cell r="CC21">
            <v>50963.610220207847</v>
          </cell>
          <cell r="CD21">
            <v>56026.521625524947</v>
          </cell>
          <cell r="CE21">
            <v>61155.938301867704</v>
          </cell>
          <cell r="CF21">
            <v>43580.917669355047</v>
          </cell>
          <cell r="CG21">
            <v>46618.818283160806</v>
          </cell>
          <cell r="CH21">
            <v>53042.147443225098</v>
          </cell>
          <cell r="CI21">
            <v>59526.968133042436</v>
          </cell>
          <cell r="CJ21">
            <v>-11417.718107334527</v>
          </cell>
          <cell r="CK21">
            <v>-14109.783825777125</v>
          </cell>
          <cell r="CL21">
            <v>-15705.806565369838</v>
          </cell>
          <cell r="CM21">
            <v>-17912.490073230721</v>
          </cell>
          <cell r="CN21">
            <v>26616.005521927138</v>
          </cell>
          <cell r="CO21">
            <v>28780.908884665827</v>
          </cell>
          <cell r="CP21">
            <v>33190.88502417352</v>
          </cell>
          <cell r="CQ21">
            <v>37380.420429878024</v>
          </cell>
          <cell r="CR21">
            <v>37567.395726899151</v>
          </cell>
          <cell r="CS21">
            <v>38665.049925108855</v>
          </cell>
          <cell r="CT21">
            <v>42004.265739241448</v>
          </cell>
          <cell r="CU21">
            <v>45373.488987617158</v>
          </cell>
          <cell r="CW21">
            <v>3.9321774597182326</v>
          </cell>
          <cell r="CX21">
            <v>3.6211222618337473</v>
          </cell>
          <cell r="CY21">
            <v>3.5821215525542129</v>
          </cell>
          <cell r="CZ21">
            <v>3.7116888867589921</v>
          </cell>
          <cell r="DA21">
            <v>15.839560773959207</v>
          </cell>
          <cell r="DB21">
            <v>2.2120162132563479</v>
          </cell>
          <cell r="DC21">
            <v>4.8655569373481313</v>
          </cell>
          <cell r="DD21">
            <v>4.7093960966056301</v>
          </cell>
          <cell r="DE21">
            <v>3.9218395993841426</v>
          </cell>
          <cell r="DF21">
            <v>32.905258924482695</v>
          </cell>
          <cell r="DG21">
            <v>9.7937967274039011</v>
          </cell>
          <cell r="DH21">
            <v>9.9343656845361892</v>
          </cell>
          <cell r="DI21">
            <v>9.1553366647089121</v>
          </cell>
          <cell r="DJ21">
            <v>9.6273082208482776</v>
          </cell>
          <cell r="DK21">
            <v>16.329618218290818</v>
          </cell>
          <cell r="DL21">
            <v>8.1338402223999111</v>
          </cell>
          <cell r="DM21">
            <v>15.322574270256226</v>
          </cell>
          <cell r="DN21">
            <v>12.622548035863417</v>
          </cell>
          <cell r="DO21">
            <v>11.986868669635697</v>
          </cell>
          <cell r="DP21">
            <v>37.666930381005201</v>
          </cell>
          <cell r="DQ21">
            <v>37.043512345337717</v>
          </cell>
          <cell r="DR21">
            <v>37.488385265637689</v>
          </cell>
          <cell r="DS21">
            <v>37.89636785736424</v>
          </cell>
          <cell r="DT21">
            <v>18.186387079909377</v>
          </cell>
          <cell r="DU21">
            <v>19.21207209414381</v>
          </cell>
          <cell r="DV21">
            <v>20.382591049520077</v>
          </cell>
          <cell r="DW21">
            <v>21.479272240824109</v>
          </cell>
          <cell r="DX21">
            <v>10.42814176046679</v>
          </cell>
          <cell r="DY21">
            <v>10.849719908734693</v>
          </cell>
          <cell r="DZ21">
            <v>12.074928380189808</v>
          </cell>
          <cell r="EA21">
            <v>13.128802356471944</v>
          </cell>
          <cell r="EB21">
            <v>14.718892656109329</v>
          </cell>
          <cell r="EC21">
            <v>14.575806609366056</v>
          </cell>
          <cell r="ED21">
            <v>15.281258697814149</v>
          </cell>
          <cell r="EE21">
            <v>15.936138820574676</v>
          </cell>
          <cell r="EF21">
            <v>158792.69405825585</v>
          </cell>
          <cell r="EG21">
            <v>166010.25119079056</v>
          </cell>
          <cell r="EH21">
            <v>144915.18245190664</v>
          </cell>
          <cell r="EI21">
            <v>122000.66678043331</v>
          </cell>
          <cell r="EJ21">
            <v>352508.24286533147</v>
          </cell>
          <cell r="EK21">
            <v>340204.95478700736</v>
          </cell>
          <cell r="EL21">
            <v>331772.92067691952</v>
          </cell>
          <cell r="EM21">
            <v>326916.5375246582</v>
          </cell>
          <cell r="EN21">
            <v>-12317.771331973448</v>
          </cell>
          <cell r="EO21">
            <v>-11840.703207090832</v>
          </cell>
          <cell r="EP21">
            <v>-10736.77108615018</v>
          </cell>
          <cell r="EQ21">
            <v>-9553.9698258734097</v>
          </cell>
          <cell r="ER21">
            <v>180307.73261750769</v>
          </cell>
          <cell r="ES21">
            <v>180983.86905598143</v>
          </cell>
          <cell r="ET21">
            <v>180213.88726101303</v>
          </cell>
          <cell r="EU21">
            <v>182011.16027698794</v>
          </cell>
          <cell r="EV21">
            <v>41461.819702709407</v>
          </cell>
          <cell r="EW21">
            <v>25640.780011077466</v>
          </cell>
          <cell r="EX21">
            <v>26073.367930194079</v>
          </cell>
          <cell r="EY21">
            <v>26452.030658844626</v>
          </cell>
          <cell r="EZ21">
            <v>104.33795474382606</v>
          </cell>
          <cell r="FA21">
            <v>111.79824812448841</v>
          </cell>
          <cell r="FB21">
            <v>90.165472199541284</v>
          </cell>
          <cell r="FC21">
            <v>68.385701951446734</v>
          </cell>
          <cell r="FD21">
            <v>1.6517120454710805</v>
          </cell>
          <cell r="FE21">
            <v>1.6894166519622176</v>
          </cell>
          <cell r="FF21">
            <v>1.4063158906177691</v>
          </cell>
          <cell r="FG21">
            <v>1.1306951923047426</v>
          </cell>
          <cell r="FH21">
            <v>0.89323550366973603</v>
          </cell>
          <cell r="FI21">
            <v>0.50311938067744078</v>
          </cell>
          <cell r="FJ21">
            <v>0.465375453869251</v>
          </cell>
          <cell r="FK21">
            <v>0.4325341314898406</v>
          </cell>
          <cell r="FL21">
            <v>7.8048407011455074</v>
          </cell>
          <cell r="FM21">
            <v>8.2989020874630341</v>
          </cell>
          <cell r="FN21">
            <v>9.5974820835673089</v>
          </cell>
          <cell r="FO21">
            <v>11.293610185321104</v>
          </cell>
          <cell r="FP21">
            <v>-33121.117638503878</v>
          </cell>
          <cell r="FQ21">
            <v>-36950.794091496697</v>
          </cell>
          <cell r="FR21">
            <v>-39493.920613994182</v>
          </cell>
          <cell r="FS21">
            <v>-41911.645630445477</v>
          </cell>
          <cell r="FT21">
            <v>51599.407293351273</v>
          </cell>
          <cell r="FU21">
            <v>47204.258645082511</v>
          </cell>
          <cell r="FV21">
            <v>47846.240955325869</v>
          </cell>
          <cell r="FW21">
            <v>48074.67523205826</v>
          </cell>
          <cell r="FX21">
            <v>12.976842438466978</v>
          </cell>
          <cell r="FY21">
            <v>13.929572825674956</v>
          </cell>
          <cell r="FZ21">
            <v>14.367988757140905</v>
          </cell>
          <cell r="GA21">
            <v>14.720265464879501</v>
          </cell>
          <cell r="GF21">
            <v>-12978.344115237735</v>
          </cell>
          <cell r="GG21">
            <v>-15921.773736366315</v>
          </cell>
          <cell r="GH21">
            <v>-16644.486484348508</v>
          </cell>
          <cell r="GI21">
            <v>-17318.646505970377</v>
          </cell>
          <cell r="GJ21">
            <v>1.0000000000000002</v>
          </cell>
          <cell r="GK21">
            <v>0</v>
          </cell>
          <cell r="GP21">
            <v>219341.16959068141</v>
          </cell>
          <cell r="GQ21">
            <v>82992.582496740273</v>
          </cell>
          <cell r="GR21">
            <v>34925.305697667063</v>
          </cell>
          <cell r="GS21">
            <v>22879.818510177345</v>
          </cell>
        </row>
        <row r="22">
          <cell r="AQ22">
            <v>9.8373625685894481</v>
          </cell>
          <cell r="GK22">
            <v>0</v>
          </cell>
        </row>
        <row r="23">
          <cell r="B23" t="str">
            <v>European wireless</v>
          </cell>
          <cell r="GK23">
            <v>0</v>
          </cell>
        </row>
        <row r="24">
          <cell r="B24" t="str">
            <v>COSr.AT</v>
          </cell>
          <cell r="C24" t="str">
            <v>CosmOTE</v>
          </cell>
          <cell r="D24" t="str">
            <v>Bluestone Jakob</v>
          </cell>
          <cell r="E24" t="str">
            <v>EUR</v>
          </cell>
          <cell r="F24">
            <v>13.98</v>
          </cell>
          <cell r="G24">
            <v>-1</v>
          </cell>
          <cell r="H24" t="str">
            <v>EUR</v>
          </cell>
          <cell r="I24" t="str">
            <v>GREECE</v>
          </cell>
          <cell r="J24">
            <v>332.47649999999999</v>
          </cell>
          <cell r="K24">
            <v>4648.0214699999997</v>
          </cell>
          <cell r="L24">
            <v>4777.0276380000005</v>
          </cell>
          <cell r="M24">
            <v>4688.7689359999995</v>
          </cell>
          <cell r="N24">
            <v>4520.0950579999999</v>
          </cell>
          <cell r="O24">
            <v>4313.3075289999997</v>
          </cell>
          <cell r="P24">
            <v>45.763168</v>
          </cell>
          <cell r="Q24">
            <v>44.957464000000002</v>
          </cell>
          <cell r="R24">
            <v>43.417659999999998</v>
          </cell>
          <cell r="S24">
            <v>41.529919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0.92316479510581961</v>
          </cell>
          <cell r="Y24">
            <v>1.0363569876367202</v>
          </cell>
          <cell r="Z24">
            <v>1.1887741990787319</v>
          </cell>
          <cell r="AA24">
            <v>1.3776690623247059</v>
          </cell>
          <cell r="AB24">
            <v>0.85151627257866347</v>
          </cell>
          <cell r="AC24">
            <v>1.1857973029672777</v>
          </cell>
          <cell r="AD24">
            <v>1.1030638375945367</v>
          </cell>
          <cell r="AE24">
            <v>1.2502011630897223</v>
          </cell>
          <cell r="AF24">
            <v>0.89329621792818448</v>
          </cell>
          <cell r="AG24">
            <v>0.54590324428944603</v>
          </cell>
          <cell r="AH24">
            <v>0.64515837961479983</v>
          </cell>
          <cell r="AI24">
            <v>0.74441351494015373</v>
          </cell>
          <cell r="AJ24">
            <v>6.3898155788854396</v>
          </cell>
          <cell r="AK24">
            <v>3.9048872982077687</v>
          </cell>
          <cell r="AL24">
            <v>4.6148668069728176</v>
          </cell>
          <cell r="AM24">
            <v>5.324846315737866</v>
          </cell>
          <cell r="AN24">
            <v>15.143558413530613</v>
          </cell>
          <cell r="AO24">
            <v>13.489560225651205</v>
          </cell>
          <cell r="AP24">
            <v>11.760012970364031</v>
          </cell>
          <cell r="AQ24">
            <v>10.147574901921564</v>
          </cell>
          <cell r="AR24">
            <v>16.862393423724075</v>
          </cell>
          <cell r="AS24">
            <v>12.282460619586258</v>
          </cell>
          <cell r="AT24">
            <v>13.144929690931361</v>
          </cell>
          <cell r="AU24">
            <v>11.414689658362384</v>
          </cell>
          <cell r="AV24">
            <v>5.9303562363399598</v>
          </cell>
          <cell r="AW24">
            <v>8.14169107455022</v>
          </cell>
          <cell r="AX24">
            <v>7.6074959966495399</v>
          </cell>
          <cell r="AY24">
            <v>8.7606411556480772</v>
          </cell>
          <cell r="AZ24">
            <v>3.0086300880162491</v>
          </cell>
          <cell r="BA24">
            <v>2.7321325594889125</v>
          </cell>
          <cell r="BB24">
            <v>2.5326896968796881</v>
          </cell>
          <cell r="BC24">
            <v>2.2712825105499501</v>
          </cell>
          <cell r="BD24">
            <v>7.0819776615821617</v>
          </cell>
          <cell r="BE24">
            <v>6.5277730481537244</v>
          </cell>
          <cell r="BF24">
            <v>5.9462175173289058</v>
          </cell>
          <cell r="BG24">
            <v>5.2629446967434825</v>
          </cell>
          <cell r="BH24">
            <v>16.873448413800826</v>
          </cell>
          <cell r="BI24">
            <v>11.892890459937069</v>
          </cell>
          <cell r="BJ24">
            <v>12.324972729389941</v>
          </cell>
          <cell r="BK24">
            <v>10.376946335936909</v>
          </cell>
          <cell r="BL24">
            <v>1003.846</v>
          </cell>
          <cell r="BM24">
            <v>1170.9103439999999</v>
          </cell>
          <cell r="BN24">
            <v>1354.649829</v>
          </cell>
          <cell r="BO24">
            <v>1567.192417</v>
          </cell>
          <cell r="BP24">
            <v>27.114500000000003</v>
          </cell>
          <cell r="BQ24">
            <v>30.292300000000001</v>
          </cell>
          <cell r="BR24">
            <v>33.050600000000003</v>
          </cell>
          <cell r="BS24">
            <v>37.370999999999995</v>
          </cell>
          <cell r="BT24">
            <v>1587.7750000000001</v>
          </cell>
          <cell r="BU24">
            <v>1716.1571899999999</v>
          </cell>
          <cell r="BV24">
            <v>1784.7014830000001</v>
          </cell>
          <cell r="BW24">
            <v>1899.0625379999999</v>
          </cell>
          <cell r="BX24">
            <v>674.53300000000002</v>
          </cell>
          <cell r="BY24">
            <v>718.28001700000004</v>
          </cell>
          <cell r="BZ24">
            <v>760.16308600000002</v>
          </cell>
          <cell r="CA24">
            <v>819.56162900000004</v>
          </cell>
          <cell r="CB24">
            <v>486.375</v>
          </cell>
          <cell r="CC24">
            <v>524.75651300000004</v>
          </cell>
          <cell r="CD24">
            <v>570.74244299999998</v>
          </cell>
          <cell r="CE24">
            <v>618.21785499999999</v>
          </cell>
          <cell r="CF24">
            <v>481.62400000000002</v>
          </cell>
          <cell r="CG24">
            <v>512.59462399999995</v>
          </cell>
          <cell r="CH24">
            <v>560.90068299999996</v>
          </cell>
          <cell r="CI24">
            <v>613.39011700000003</v>
          </cell>
          <cell r="CJ24">
            <v>-173.12385</v>
          </cell>
          <cell r="CK24">
            <v>-164.03028</v>
          </cell>
          <cell r="CL24">
            <v>-162.66119800000001</v>
          </cell>
          <cell r="CM24">
            <v>-153.34752900000001</v>
          </cell>
          <cell r="CN24">
            <v>306.93060000000003</v>
          </cell>
          <cell r="CO24">
            <v>344.56434400000001</v>
          </cell>
          <cell r="CP24">
            <v>395.239485</v>
          </cell>
          <cell r="CQ24">
            <v>458.04258800000002</v>
          </cell>
          <cell r="CR24">
            <v>316.14375000000001</v>
          </cell>
          <cell r="CS24">
            <v>356.834429</v>
          </cell>
          <cell r="CT24">
            <v>405.22713499999998</v>
          </cell>
          <cell r="CU24">
            <v>463.66339099999999</v>
          </cell>
          <cell r="CV24">
            <v>16.991300000000003</v>
          </cell>
          <cell r="CW24">
            <v>8.0856664199902184</v>
          </cell>
          <cell r="CX24">
            <v>3.9940568031533417</v>
          </cell>
          <cell r="CY24">
            <v>6.4078534191479548</v>
          </cell>
          <cell r="CZ24">
            <v>6.1492106625127434</v>
          </cell>
          <cell r="DA24">
            <v>17.075499999999998</v>
          </cell>
          <cell r="DB24">
            <v>6.4855265791295693</v>
          </cell>
          <cell r="DC24">
            <v>5.8310224437164067</v>
          </cell>
          <cell r="DD24">
            <v>7.8139209985263562</v>
          </cell>
          <cell r="DE24">
            <v>6.7069742106713619</v>
          </cell>
          <cell r="DF24">
            <v>17.287500000000001</v>
          </cell>
          <cell r="DG24">
            <v>7.8913416602415936</v>
          </cell>
          <cell r="DH24">
            <v>8.7632890418265106</v>
          </cell>
          <cell r="DI24">
            <v>8.3181849505451879</v>
          </cell>
          <cell r="DJ24">
            <v>8.3236869392969481</v>
          </cell>
          <cell r="DK24">
            <v>18.182200000000002</v>
          </cell>
          <cell r="DL24">
            <v>12.261320311497116</v>
          </cell>
          <cell r="DM24">
            <v>14.707018263038833</v>
          </cell>
          <cell r="DN24">
            <v>15.88988584984115</v>
          </cell>
          <cell r="DO24">
            <v>14.276050900640939</v>
          </cell>
          <cell r="DP24">
            <v>42.482908472548061</v>
          </cell>
          <cell r="DQ24">
            <v>41.853975916972971</v>
          </cell>
          <cell r="DR24">
            <v>42.593290432089589</v>
          </cell>
          <cell r="DS24">
            <v>43.156115851936214</v>
          </cell>
          <cell r="DT24">
            <v>30.632488860197444</v>
          </cell>
          <cell r="DU24">
            <v>30.577415405636593</v>
          </cell>
          <cell r="DV24">
            <v>31.979714727451704</v>
          </cell>
          <cell r="DW24">
            <v>32.553843942973934</v>
          </cell>
          <cell r="DX24">
            <v>19.330862370298057</v>
          </cell>
          <cell r="DY24">
            <v>20.077668060231709</v>
          </cell>
          <cell r="DZ24">
            <v>22.145971680127751</v>
          </cell>
          <cell r="EA24">
            <v>24.119405171479407</v>
          </cell>
          <cell r="EB24">
            <v>19.911117759128338</v>
          </cell>
          <cell r="EC24">
            <v>20.792642485156037</v>
          </cell>
          <cell r="ED24">
            <v>22.705597482825645</v>
          </cell>
          <cell r="EE24">
            <v>24.415382944066057</v>
          </cell>
          <cell r="EF24">
            <v>83.242999999999995</v>
          </cell>
          <cell r="EG24">
            <v>-4.2099979999999997</v>
          </cell>
          <cell r="EH24">
            <v>-171.34407200000001</v>
          </cell>
          <cell r="EI24">
            <v>-376.24385999999998</v>
          </cell>
          <cell r="EJ24">
            <v>1352.249</v>
          </cell>
          <cell r="EK24">
            <v>1669.3133439999999</v>
          </cell>
          <cell r="EL24">
            <v>1853.052829</v>
          </cell>
          <cell r="EM24">
            <v>2065.595417</v>
          </cell>
          <cell r="EN24">
            <v>-4.7510000000000003</v>
          </cell>
          <cell r="EO24">
            <v>-12.16189</v>
          </cell>
          <cell r="EP24">
            <v>-9.8417600000000007</v>
          </cell>
          <cell r="EQ24">
            <v>-4.8277380000000001</v>
          </cell>
          <cell r="ER24">
            <v>902.33500000000004</v>
          </cell>
          <cell r="ES24">
            <v>868.81149600000003</v>
          </cell>
          <cell r="ET24">
            <v>910.14993700000002</v>
          </cell>
          <cell r="EU24">
            <v>954.357755</v>
          </cell>
          <cell r="EV24">
            <v>265.16000000000003</v>
          </cell>
          <cell r="EW24">
            <v>502.612998</v>
          </cell>
          <cell r="EX24">
            <v>669.747072</v>
          </cell>
          <cell r="EY24">
            <v>874.64685999999995</v>
          </cell>
          <cell r="EZ24">
            <v>8.2924074011352324</v>
          </cell>
          <cell r="FA24">
            <v>-0.35954913384897047</v>
          </cell>
          <cell r="FB24">
            <v>-12.648587725913337</v>
          </cell>
          <cell r="FC24">
            <v>-24.007508964357118</v>
          </cell>
          <cell r="FD24">
            <v>0.12340834325377704</v>
          </cell>
          <cell r="FE24">
            <v>-5.8612211120443848E-3</v>
          </cell>
          <cell r="FF24">
            <v>-0.22540435750651538</v>
          </cell>
          <cell r="FG24">
            <v>-0.45907939889655325</v>
          </cell>
          <cell r="FH24">
            <v>0.5451760472886148</v>
          </cell>
          <cell r="FI24">
            <v>0.95780230554279933</v>
          </cell>
          <cell r="FJ24">
            <v>1.1734663861331232</v>
          </cell>
          <cell r="FK24">
            <v>1.4147874457621414</v>
          </cell>
          <cell r="FL24">
            <v>141.97705746158704</v>
          </cell>
          <cell r="FM24">
            <v>59.059900804891349</v>
          </cell>
          <cell r="FN24">
            <v>77.238531116385687</v>
          </cell>
          <cell r="FO24">
            <v>169.76099966485339</v>
          </cell>
          <cell r="FP24">
            <v>-218.3</v>
          </cell>
          <cell r="FQ24">
            <v>-160</v>
          </cell>
          <cell r="FR24">
            <v>-230.759084</v>
          </cell>
          <cell r="FS24">
            <v>-250.551593</v>
          </cell>
          <cell r="FT24">
            <v>283.10915</v>
          </cell>
          <cell r="FU24">
            <v>394.2497370000001</v>
          </cell>
          <cell r="FV24">
            <v>366.74280399999998</v>
          </cell>
          <cell r="FW24">
            <v>415.66250700000001</v>
          </cell>
          <cell r="FX24">
            <v>13.748799420572814</v>
          </cell>
          <cell r="FY24">
            <v>9.3231552990784028</v>
          </cell>
          <cell r="FZ24">
            <v>12.929842116346803</v>
          </cell>
          <cell r="GA24">
            <v>13.193435602382463</v>
          </cell>
          <cell r="GB24">
            <v>1.5002679999999999</v>
          </cell>
          <cell r="GC24">
            <v>1.6305689999999999</v>
          </cell>
          <cell r="GD24">
            <v>1.7716970000000001</v>
          </cell>
          <cell r="GE24">
            <v>1.99814</v>
          </cell>
          <cell r="GF24">
            <v>-297</v>
          </cell>
          <cell r="GG24">
            <v>-181.5</v>
          </cell>
          <cell r="GH24">
            <v>-214.5</v>
          </cell>
          <cell r="GI24">
            <v>-247.5</v>
          </cell>
          <cell r="GJ24">
            <v>1.9498753016032499E-2</v>
          </cell>
          <cell r="GK24">
            <v>2</v>
          </cell>
          <cell r="GP24">
            <v>1357.1735676071642</v>
          </cell>
          <cell r="GQ24">
            <v>576.15214113969193</v>
          </cell>
          <cell r="GR24">
            <v>414.68613449856127</v>
          </cell>
          <cell r="GS24">
            <v>259.70966863030139</v>
          </cell>
        </row>
        <row r="25">
          <cell r="B25" t="str">
            <v>OOM.L</v>
          </cell>
          <cell r="C25" t="str">
            <v>O2</v>
          </cell>
          <cell r="D25" t="str">
            <v>HOWARD Stephen</v>
          </cell>
          <cell r="E25" t="str">
            <v>GBP</v>
          </cell>
          <cell r="F25">
            <v>1.2450000000000001</v>
          </cell>
          <cell r="G25">
            <v>-1</v>
          </cell>
          <cell r="H25" t="str">
            <v>GBP</v>
          </cell>
          <cell r="I25" t="str">
            <v>UNITED KINGDOM</v>
          </cell>
          <cell r="J25">
            <v>8670.0339160000003</v>
          </cell>
          <cell r="K25">
            <v>15700.213035219926</v>
          </cell>
          <cell r="L25">
            <v>15920.766320563574</v>
          </cell>
          <cell r="M25">
            <v>15483.943646674979</v>
          </cell>
          <cell r="N25">
            <v>14872.205213291893</v>
          </cell>
          <cell r="O25">
            <v>14228.080094973173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0.11815209055196761</v>
          </cell>
          <cell r="Y25">
            <v>0.14160730543297106</v>
          </cell>
          <cell r="Z25">
            <v>0.15425913277472875</v>
          </cell>
          <cell r="AA25">
            <v>0.16288452975277873</v>
          </cell>
          <cell r="AB25">
            <v>6.1152555298786535E-2</v>
          </cell>
          <cell r="AC25">
            <v>0.10129281097997596</v>
          </cell>
          <cell r="AD25">
            <v>0.12055548871367268</v>
          </cell>
          <cell r="AE25">
            <v>0.12680570617036666</v>
          </cell>
          <cell r="AF25">
            <v>2.2031395692380374E-2</v>
          </cell>
          <cell r="AG25">
            <v>5.1406589948887547E-2</v>
          </cell>
          <cell r="AH25">
            <v>6.3156667651490417E-2</v>
          </cell>
          <cell r="AI25">
            <v>6.9472334416639456E-2</v>
          </cell>
          <cell r="AJ25">
            <v>1.2166264715087574</v>
          </cell>
          <cell r="AK25">
            <v>2.838795100187101</v>
          </cell>
          <cell r="AL25">
            <v>3.4876625516584383</v>
          </cell>
          <cell r="AM25">
            <v>3.8364288068242818</v>
          </cell>
          <cell r="AN25">
            <v>15.326512320382285</v>
          </cell>
          <cell r="AO25">
            <v>12.787895836213155</v>
          </cell>
          <cell r="AP25">
            <v>11.739074626901546</v>
          </cell>
          <cell r="AQ25">
            <v>11.117442977992591</v>
          </cell>
          <cell r="AR25">
            <v>32.189029153965599</v>
          </cell>
          <cell r="AS25">
            <v>18.561676074127572</v>
          </cell>
          <cell r="AT25">
            <v>15.329615023599345</v>
          </cell>
          <cell r="AU25">
            <v>14.354402473265777</v>
          </cell>
          <cell r="AV25">
            <v>3.1066485267910071</v>
          </cell>
          <cell r="AW25">
            <v>5.3874445174369932</v>
          </cell>
          <cell r="AX25">
            <v>6.5233210257435621</v>
          </cell>
          <cell r="AY25">
            <v>6.9665038434197495</v>
          </cell>
          <cell r="AZ25">
            <v>1.6937835504402472</v>
          </cell>
          <cell r="BA25">
            <v>1.5112791864758726</v>
          </cell>
          <cell r="BB25">
            <v>1.3649909147036854</v>
          </cell>
          <cell r="BC25">
            <v>1.2329565148913126</v>
          </cell>
          <cell r="BD25">
            <v>6.7707639954545051</v>
          </cell>
          <cell r="BE25">
            <v>5.5728428729589474</v>
          </cell>
          <cell r="BF25">
            <v>4.803694275248815</v>
          </cell>
          <cell r="BG25">
            <v>4.2729408086847371</v>
          </cell>
          <cell r="BH25">
            <v>30.028149027225755</v>
          </cell>
          <cell r="BI25">
            <v>17.631211787612965</v>
          </cell>
          <cell r="BJ25">
            <v>14.228777396474685</v>
          </cell>
          <cell r="BK25">
            <v>12.941562319434505</v>
          </cell>
          <cell r="BL25">
            <v>14934.801472752735</v>
          </cell>
          <cell r="BM25">
            <v>14994.319078637267</v>
          </cell>
          <cell r="BN25">
            <v>15004.565539692028</v>
          </cell>
          <cell r="BO25">
            <v>15034.837440029451</v>
          </cell>
          <cell r="BP25">
            <v>6.7392750000000001</v>
          </cell>
          <cell r="BQ25">
            <v>8.3024249999999995</v>
          </cell>
          <cell r="BR25">
            <v>9.2305249999999983</v>
          </cell>
          <cell r="BS25">
            <v>10.04185</v>
          </cell>
          <cell r="BT25">
            <v>9399.5282433965422</v>
          </cell>
          <cell r="BU25">
            <v>10245.587833960539</v>
          </cell>
          <cell r="BV25">
            <v>10895.460953687283</v>
          </cell>
          <cell r="BW25">
            <v>11539.806897591521</v>
          </cell>
          <cell r="BX25">
            <v>2351.3987980162719</v>
          </cell>
          <cell r="BY25">
            <v>2778.4640621768776</v>
          </cell>
          <cell r="BZ25">
            <v>3095.9932837361021</v>
          </cell>
          <cell r="CA25">
            <v>3329.8097801997747</v>
          </cell>
          <cell r="CB25">
            <v>459.57083602043582</v>
          </cell>
          <cell r="CC25">
            <v>599.23029066433207</v>
          </cell>
          <cell r="CD25">
            <v>812.98882982727901</v>
          </cell>
          <cell r="CE25">
            <v>999.99738160336415</v>
          </cell>
          <cell r="CF25">
            <v>1005.110433136932</v>
          </cell>
          <cell r="CG25">
            <v>1305.3836686185789</v>
          </cell>
          <cell r="CH25">
            <v>1559.9229085307986</v>
          </cell>
          <cell r="CI25">
            <v>1762.322509485623</v>
          </cell>
          <cell r="CJ25">
            <v>19.272199194930462</v>
          </cell>
          <cell r="CK25">
            <v>-77.643528852227931</v>
          </cell>
          <cell r="CL25">
            <v>-222.49099588477949</v>
          </cell>
          <cell r="CM25">
            <v>-350.10811213732035</v>
          </cell>
          <cell r="CN25">
            <v>1024.3826323318624</v>
          </cell>
          <cell r="CO25">
            <v>1227.7401408572302</v>
          </cell>
          <cell r="CP25">
            <v>1337.4319130096455</v>
          </cell>
          <cell r="CQ25">
            <v>1412.2143973483028</v>
          </cell>
          <cell r="CR25">
            <v>1046.887969844616</v>
          </cell>
          <cell r="CS25">
            <v>1269.1483778659187</v>
          </cell>
          <cell r="CT25">
            <v>1365.8210656635354</v>
          </cell>
          <cell r="CU25">
            <v>1426.2200550336283</v>
          </cell>
          <cell r="CV25">
            <v>17.69435</v>
          </cell>
          <cell r="CW25">
            <v>9.0010856785113731</v>
          </cell>
          <cell r="CX25">
            <v>6.3429559168156402</v>
          </cell>
          <cell r="CY25">
            <v>5.9138933785649215</v>
          </cell>
          <cell r="CZ25">
            <v>7.0773204812015251</v>
          </cell>
          <cell r="DA25">
            <v>37.728074999999997</v>
          </cell>
          <cell r="DB25">
            <v>18.16217923224653</v>
          </cell>
          <cell r="DC25">
            <v>11.428228490759949</v>
          </cell>
          <cell r="DD25">
            <v>7.5522288013982291</v>
          </cell>
          <cell r="DE25">
            <v>12.296023443378431</v>
          </cell>
          <cell r="DF25">
            <v>74.526949999999999</v>
          </cell>
          <cell r="DG25">
            <v>30.389102984264639</v>
          </cell>
          <cell r="DH25">
            <v>35.672185217133347</v>
          </cell>
          <cell r="DI25">
            <v>23.002597934317919</v>
          </cell>
          <cell r="DJ25">
            <v>29.583229893178924</v>
          </cell>
          <cell r="DK25">
            <v>-69.033349999999999</v>
          </cell>
          <cell r="DL25">
            <v>19.851713813465693</v>
          </cell>
          <cell r="DM25">
            <v>8.9344453685310583</v>
          </cell>
          <cell r="DN25">
            <v>5.5914984240485808</v>
          </cell>
          <cell r="DO25">
            <v>11.295979506196659</v>
          </cell>
          <cell r="DP25">
            <v>25.016136311609063</v>
          </cell>
          <cell r="DQ25">
            <v>27.118639820423397</v>
          </cell>
          <cell r="DR25">
            <v>28.415441043715955</v>
          </cell>
          <cell r="DS25">
            <v>28.854987000646787</v>
          </cell>
          <cell r="DT25">
            <v>4.8892968255433296</v>
          </cell>
          <cell r="DU25">
            <v>5.8486667663722844</v>
          </cell>
          <cell r="DV25">
            <v>7.4617203740438747</v>
          </cell>
          <cell r="DW25">
            <v>8.6656335801604634</v>
          </cell>
          <cell r="DX25">
            <v>10.898234526307453</v>
          </cell>
          <cell r="DY25">
            <v>11.983110786359191</v>
          </cell>
          <cell r="DZ25">
            <v>12.275129236794951</v>
          </cell>
          <cell r="EA25">
            <v>12.237764547369045</v>
          </cell>
          <cell r="EB25">
            <v>11.137665026753732</v>
          </cell>
          <cell r="EC25">
            <v>12.387267557837296</v>
          </cell>
          <cell r="ED25">
            <v>12.535688682371065</v>
          </cell>
          <cell r="EE25">
            <v>12.359132762709361</v>
          </cell>
          <cell r="EF25">
            <v>220.55328534364921</v>
          </cell>
          <cell r="EG25">
            <v>-216.26938854494648</v>
          </cell>
          <cell r="EH25">
            <v>-828.0078219280324</v>
          </cell>
          <cell r="EI25">
            <v>-1472.1329402467525</v>
          </cell>
          <cell r="EJ25">
            <v>16987.108873812878</v>
          </cell>
          <cell r="EK25">
            <v>17064.080546892819</v>
          </cell>
          <cell r="EL25">
            <v>16067.445506612439</v>
          </cell>
          <cell r="EM25">
            <v>15762.090239838148</v>
          </cell>
          <cell r="EN25">
            <v>-42.444291528835059</v>
          </cell>
          <cell r="EO25">
            <v>-32.371840251484613</v>
          </cell>
          <cell r="EP25">
            <v>-21.044877894464161</v>
          </cell>
          <cell r="EQ25">
            <v>-5.6538287157247646</v>
          </cell>
          <cell r="ER25">
            <v>6297.9288765455276</v>
          </cell>
          <cell r="ES25">
            <v>6704.5553454771161</v>
          </cell>
          <cell r="ET25">
            <v>7029.4480049070416</v>
          </cell>
          <cell r="EU25">
            <v>7359.5425036194783</v>
          </cell>
          <cell r="EV25">
            <v>1831.7541157164928</v>
          </cell>
          <cell r="EW25">
            <v>2286.0308568004975</v>
          </cell>
          <cell r="EX25">
            <v>1890.8877888484424</v>
          </cell>
          <cell r="EY25">
            <v>2199.3857400554493</v>
          </cell>
          <cell r="EZ25">
            <v>1.4767741355385928</v>
          </cell>
          <cell r="FA25">
            <v>-1.4423421791328304</v>
          </cell>
          <cell r="FB25">
            <v>-5.5183725229342917</v>
          </cell>
          <cell r="FC25">
            <v>-9.7914789309745185</v>
          </cell>
          <cell r="FD25">
            <v>9.3796630979702894E-2</v>
          </cell>
          <cell r="FE25">
            <v>-7.7837749096349024E-2</v>
          </cell>
          <cell r="FF25">
            <v>-0.26744496710562327</v>
          </cell>
          <cell r="FG25">
            <v>-0.44210721855661994</v>
          </cell>
          <cell r="FH25">
            <v>3.9857927704425524</v>
          </cell>
          <cell r="FI25">
            <v>3.8149454265172524</v>
          </cell>
          <cell r="FJ25">
            <v>2.3258471942968333</v>
          </cell>
          <cell r="FK25">
            <v>2.1993914989347512</v>
          </cell>
          <cell r="FL25">
            <v>55.3996477104305</v>
          </cell>
          <cell r="FM25">
            <v>85.829660612187581</v>
          </cell>
          <cell r="FN25">
            <v>147.1138630151188</v>
          </cell>
          <cell r="FO25">
            <v>588.94776400613443</v>
          </cell>
          <cell r="FP25">
            <v>-1840.4762687206578</v>
          </cell>
          <cell r="FQ25">
            <v>-1822.6084266812809</v>
          </cell>
          <cell r="FR25">
            <v>-1828.2821119438254</v>
          </cell>
          <cell r="FS25">
            <v>-1880.2918948230449</v>
          </cell>
          <cell r="FT25">
            <v>530.19472849054478</v>
          </cell>
          <cell r="FU25">
            <v>878.21210664336877</v>
          </cell>
          <cell r="FV25">
            <v>1045.2201759074974</v>
          </cell>
          <cell r="FW25">
            <v>1099.4097732394093</v>
          </cell>
          <cell r="FX25">
            <v>19.580517458561275</v>
          </cell>
          <cell r="FY25">
            <v>17.789203081544738</v>
          </cell>
          <cell r="FZ25">
            <v>16.780218108395783</v>
          </cell>
          <cell r="GA25">
            <v>16.293963248340678</v>
          </cell>
          <cell r="GB25">
            <v>0.26839846379179799</v>
          </cell>
          <cell r="GC25">
            <v>0.30346223028177444</v>
          </cell>
          <cell r="GD25">
            <v>0.32447983619624582</v>
          </cell>
          <cell r="GE25">
            <v>0.33836781928779258</v>
          </cell>
          <cell r="GF25">
            <v>-191.01294786975416</v>
          </cell>
          <cell r="GG25">
            <v>-445.69687836275978</v>
          </cell>
          <cell r="GH25">
            <v>-547.57045055996196</v>
          </cell>
          <cell r="GI25">
            <v>-602.32749561595813</v>
          </cell>
          <cell r="GJ25">
            <v>6.4391655251463009E-2</v>
          </cell>
          <cell r="GK25">
            <v>2</v>
          </cell>
          <cell r="GP25">
            <v>7986.3886782981026</v>
          </cell>
          <cell r="GQ25">
            <v>1707.2763109600364</v>
          </cell>
          <cell r="GR25">
            <v>263.32370789751144</v>
          </cell>
          <cell r="GS25">
            <v>3308.0188923627907</v>
          </cell>
        </row>
        <row r="26">
          <cell r="B26" t="str">
            <v>BOUY.PA</v>
          </cell>
          <cell r="C26" t="str">
            <v>Bouygues</v>
          </cell>
          <cell r="D26" t="str">
            <v>Cote-Colisson Nicolas</v>
          </cell>
          <cell r="E26" t="str">
            <v>EUR</v>
          </cell>
          <cell r="F26">
            <v>31.61</v>
          </cell>
          <cell r="G26">
            <v>-1</v>
          </cell>
          <cell r="H26" t="str">
            <v>EUR</v>
          </cell>
          <cell r="I26" t="str">
            <v>FRANCE</v>
          </cell>
          <cell r="J26">
            <v>332.494866</v>
          </cell>
          <cell r="K26">
            <v>10510.162714259999</v>
          </cell>
          <cell r="L26">
            <v>17326.502531259997</v>
          </cell>
          <cell r="M26">
            <v>19024.877436259998</v>
          </cell>
          <cell r="N26">
            <v>18423.724022259998</v>
          </cell>
          <cell r="O26">
            <v>17442.427009259998</v>
          </cell>
          <cell r="P26">
            <v>4629.0054920000002</v>
          </cell>
          <cell r="Q26">
            <v>5115.0919169999997</v>
          </cell>
          <cell r="R26">
            <v>4943.03773</v>
          </cell>
          <cell r="S26">
            <v>4662.1838639999996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2.19435053171618</v>
          </cell>
          <cell r="Y26">
            <v>2.5428995165296779</v>
          </cell>
          <cell r="Z26">
            <v>2.5343003010458514</v>
          </cell>
          <cell r="AA26">
            <v>2.9696753603407515</v>
          </cell>
          <cell r="AB26">
            <v>2.8044438887666909</v>
          </cell>
          <cell r="AC26">
            <v>2.5420599968000701</v>
          </cell>
          <cell r="AD26">
            <v>2.6137179724152491</v>
          </cell>
          <cell r="AE26">
            <v>3.0692883961703035</v>
          </cell>
          <cell r="AF26">
            <v>5.6085076513632544</v>
          </cell>
          <cell r="AG26">
            <v>0.60091153407463438</v>
          </cell>
          <cell r="AH26">
            <v>0.63095711077836614</v>
          </cell>
          <cell r="AI26">
            <v>0.6625049663172845</v>
          </cell>
          <cell r="AJ26">
            <v>17.742827115986255</v>
          </cell>
          <cell r="AK26">
            <v>1.9010171909985274</v>
          </cell>
          <cell r="AL26">
            <v>1.9960680505484534</v>
          </cell>
          <cell r="AM26">
            <v>2.0958714530758762</v>
          </cell>
          <cell r="AN26">
            <v>14.405173441126623</v>
          </cell>
          <cell r="AO26">
            <v>12.430691733796269</v>
          </cell>
          <cell r="AP26">
            <v>12.472870711870739</v>
          </cell>
          <cell r="AQ26">
            <v>10.644261127712271</v>
          </cell>
          <cell r="AR26">
            <v>20.322512510472329</v>
          </cell>
          <cell r="AS26">
            <v>22.641736400100402</v>
          </cell>
          <cell r="AT26">
            <v>24.564987999897525</v>
          </cell>
          <cell r="AU26">
            <v>18.71775095763314</v>
          </cell>
          <cell r="AV26">
            <v>4.9206514179026497</v>
          </cell>
          <cell r="AW26">
            <v>4.4166223929520072</v>
          </cell>
          <cell r="AX26">
            <v>4.0708344738624405</v>
          </cell>
          <cell r="AY26">
            <v>5.3425221986522793</v>
          </cell>
          <cell r="AZ26">
            <v>0.74037681561769353</v>
          </cell>
          <cell r="BA26">
            <v>0.76193294907508102</v>
          </cell>
          <cell r="BB26">
            <v>0.7144594582672521</v>
          </cell>
          <cell r="BC26">
            <v>0.65636498997034431</v>
          </cell>
          <cell r="BD26">
            <v>6.4220934994229548</v>
          </cell>
          <cell r="BE26">
            <v>6.5625856402496572</v>
          </cell>
          <cell r="BF26">
            <v>6.0714660833447027</v>
          </cell>
          <cell r="BG26">
            <v>5.145366510090593</v>
          </cell>
          <cell r="BH26">
            <v>18.581433159150052</v>
          </cell>
          <cell r="BI26">
            <v>22.50873703257982</v>
          </cell>
          <cell r="BJ26">
            <v>21.19989702966939</v>
          </cell>
          <cell r="BK26">
            <v>17.091661103971163</v>
          </cell>
          <cell r="BL26">
            <v>4707.7602859999997</v>
          </cell>
          <cell r="BM26">
            <v>5519.9074049999999</v>
          </cell>
          <cell r="BN26">
            <v>6335.9931299999998</v>
          </cell>
          <cell r="BO26">
            <v>7342.6427050000002</v>
          </cell>
          <cell r="BP26">
            <v>10.731300000000001</v>
          </cell>
          <cell r="BQ26">
            <v>12.465299999999999</v>
          </cell>
          <cell r="BR26">
            <v>11.7141</v>
          </cell>
          <cell r="BS26">
            <v>13.072800000000001</v>
          </cell>
          <cell r="BT26">
            <v>23402.27593</v>
          </cell>
          <cell r="BU26">
            <v>24969.227881999999</v>
          </cell>
          <cell r="BV26">
            <v>25786.941175</v>
          </cell>
          <cell r="BW26">
            <v>26574.279975000001</v>
          </cell>
          <cell r="BX26">
            <v>2697.9523939999999</v>
          </cell>
          <cell r="BY26">
            <v>2898.9911109999998</v>
          </cell>
          <cell r="BZ26">
            <v>3034.4769729999998</v>
          </cell>
          <cell r="CA26">
            <v>3389.928973</v>
          </cell>
          <cell r="CB26">
            <v>1456.0648200000001</v>
          </cell>
          <cell r="CC26">
            <v>1696.312046</v>
          </cell>
          <cell r="CD26">
            <v>1800.812066</v>
          </cell>
          <cell r="CE26">
            <v>2078.227613</v>
          </cell>
          <cell r="CF26">
            <v>1393.246594</v>
          </cell>
          <cell r="CG26">
            <v>1639.9186440000001</v>
          </cell>
          <cell r="CH26">
            <v>1661.34727</v>
          </cell>
          <cell r="CI26">
            <v>1970.6601149999999</v>
          </cell>
          <cell r="CJ26">
            <v>-487.63630799999999</v>
          </cell>
          <cell r="CK26">
            <v>-573.97152500000004</v>
          </cell>
          <cell r="CL26">
            <v>-581.47154499999999</v>
          </cell>
          <cell r="CM26">
            <v>-689.73104000000001</v>
          </cell>
          <cell r="CN26">
            <v>729.61028599999997</v>
          </cell>
          <cell r="CO26">
            <v>845.501034</v>
          </cell>
          <cell r="CP26">
            <v>842.641839</v>
          </cell>
          <cell r="CQ26">
            <v>987.40181099999995</v>
          </cell>
          <cell r="CR26">
            <v>981.54213300000004</v>
          </cell>
          <cell r="CS26">
            <v>1137.7028299999999</v>
          </cell>
          <cell r="CT26">
            <v>1205.627843</v>
          </cell>
          <cell r="CU26">
            <v>1385.9479490000001</v>
          </cell>
          <cell r="CV26">
            <v>7.2416999999999998</v>
          </cell>
          <cell r="CW26">
            <v>6.6957246239083901</v>
          </cell>
          <cell r="CX26">
            <v>3.2748841768930959</v>
          </cell>
          <cell r="CY26">
            <v>3.0532461940981079</v>
          </cell>
          <cell r="CZ26">
            <v>4.3280612436221304</v>
          </cell>
          <cell r="DA26">
            <v>11.7072</v>
          </cell>
          <cell r="DB26">
            <v>7.4515294431099619</v>
          </cell>
          <cell r="DC26">
            <v>4.6735521708193346</v>
          </cell>
          <cell r="DD26">
            <v>11.713781424697615</v>
          </cell>
          <cell r="DE26">
            <v>7.907617926893451</v>
          </cell>
          <cell r="DF26">
            <v>27.927000000000003</v>
          </cell>
          <cell r="DG26">
            <v>16.499761734508496</v>
          </cell>
          <cell r="DH26">
            <v>6.1604243303239485</v>
          </cell>
          <cell r="DI26">
            <v>15.405024890587327</v>
          </cell>
          <cell r="DJ26">
            <v>12.591118618435587</v>
          </cell>
          <cell r="DK26">
            <v>41.864699999999999</v>
          </cell>
          <cell r="DL26">
            <v>15.883924640832163</v>
          </cell>
          <cell r="DM26">
            <v>-0.33816576030348244</v>
          </cell>
          <cell r="DN26">
            <v>17.17930030293688</v>
          </cell>
          <cell r="DO26">
            <v>10.611680486822877</v>
          </cell>
          <cell r="DP26">
            <v>11.528589792163858</v>
          </cell>
          <cell r="DQ26">
            <v>11.610255329880848</v>
          </cell>
          <cell r="DR26">
            <v>11.76749484324986</v>
          </cell>
          <cell r="DS26">
            <v>12.756428306577288</v>
          </cell>
          <cell r="DT26">
            <v>6.2218940771202167</v>
          </cell>
          <cell r="DU26">
            <v>6.7936103351551775</v>
          </cell>
          <cell r="DV26">
            <v>6.9834264319253823</v>
          </cell>
          <cell r="DW26">
            <v>7.8204474964330615</v>
          </cell>
          <cell r="DX26">
            <v>3.1176894426096955</v>
          </cell>
          <cell r="DY26">
            <v>3.3861721235261388</v>
          </cell>
          <cell r="DZ26">
            <v>3.2677076093729447</v>
          </cell>
          <cell r="EA26">
            <v>3.7156295934599446</v>
          </cell>
          <cell r="EB26">
            <v>4.1942165622521141</v>
          </cell>
          <cell r="EC26">
            <v>4.5564197474450365</v>
          </cell>
          <cell r="ED26">
            <v>4.6753425883983306</v>
          </cell>
          <cell r="EE26">
            <v>5.2153734750437017</v>
          </cell>
          <cell r="EF26">
            <v>2187.3343249999998</v>
          </cell>
          <cell r="EG26">
            <v>3399.622805</v>
          </cell>
          <cell r="EH26">
            <v>2970.5235779999998</v>
          </cell>
          <cell r="EI26">
            <v>2270.0804309999999</v>
          </cell>
          <cell r="EJ26">
            <v>6945.0946110000004</v>
          </cell>
          <cell r="EK26">
            <v>8969.5302100000008</v>
          </cell>
          <cell r="EL26">
            <v>9356.5167089999995</v>
          </cell>
          <cell r="EM26">
            <v>9662.7231350000002</v>
          </cell>
          <cell r="EN26">
            <v>-187.51750000000001</v>
          </cell>
          <cell r="EO26">
            <v>-155.11340300000001</v>
          </cell>
          <cell r="EP26">
            <v>-239.97359599999999</v>
          </cell>
          <cell r="EQ26">
            <v>-209.93664999999999</v>
          </cell>
          <cell r="ER26">
            <v>4441</v>
          </cell>
          <cell r="ES26">
            <v>4766.1186230000003</v>
          </cell>
          <cell r="ET26">
            <v>5170.4113379999999</v>
          </cell>
          <cell r="EU26">
            <v>5587.385276</v>
          </cell>
          <cell r="EV26">
            <v>50</v>
          </cell>
          <cell r="EW26">
            <v>50</v>
          </cell>
          <cell r="EX26">
            <v>50</v>
          </cell>
          <cell r="EY26">
            <v>50</v>
          </cell>
          <cell r="EZ26">
            <v>46.462313119568215</v>
          </cell>
          <cell r="FA26">
            <v>61.588402767781574</v>
          </cell>
          <cell r="FB26">
            <v>46.883314376320989</v>
          </cell>
          <cell r="FC26">
            <v>30.916395120985253</v>
          </cell>
          <cell r="FD26">
            <v>0.81073866605816758</v>
          </cell>
          <cell r="FE26">
            <v>1.1726916968114844</v>
          </cell>
          <cell r="FF26">
            <v>0.97892440919175172</v>
          </cell>
          <cell r="FG26">
            <v>0.66965427567381652</v>
          </cell>
          <cell r="FH26">
            <v>3.4339130588980235E-2</v>
          </cell>
          <cell r="FI26">
            <v>2.9475708857873664E-2</v>
          </cell>
          <cell r="FJ26">
            <v>2.776525154624325E-2</v>
          </cell>
          <cell r="FK26">
            <v>2.4058962400092025E-2</v>
          </cell>
          <cell r="FL26">
            <v>14.387736579252602</v>
          </cell>
          <cell r="FM26">
            <v>18.689494620912932</v>
          </cell>
          <cell r="FN26">
            <v>12.645045219891609</v>
          </cell>
          <cell r="FO26">
            <v>16.147390048378881</v>
          </cell>
          <cell r="FP26">
            <v>-1277.852891</v>
          </cell>
          <cell r="FQ26">
            <v>-1479.7976880000001</v>
          </cell>
          <cell r="FR26">
            <v>-1583.957621</v>
          </cell>
          <cell r="FS26">
            <v>-1679.675299</v>
          </cell>
          <cell r="FT26">
            <v>932.46319499999981</v>
          </cell>
          <cell r="FU26">
            <v>845.22189799999978</v>
          </cell>
          <cell r="FV26">
            <v>869.04780699999992</v>
          </cell>
          <cell r="FW26">
            <v>1020.5226339999999</v>
          </cell>
          <cell r="FX26">
            <v>5.460378703431517</v>
          </cell>
          <cell r="FY26">
            <v>5.926485572534534</v>
          </cell>
          <cell r="FZ26">
            <v>6.1424796770220267</v>
          </cell>
          <cell r="GA26">
            <v>6.320680374332512</v>
          </cell>
          <cell r="GB26">
            <v>5.7582519999999997</v>
          </cell>
          <cell r="GC26">
            <v>5.9885289999999998</v>
          </cell>
          <cell r="GD26">
            <v>6.0729930000000003</v>
          </cell>
          <cell r="GE26">
            <v>6.7420520000000002</v>
          </cell>
          <cell r="GF26">
            <v>-1864.8</v>
          </cell>
          <cell r="GG26">
            <v>-199.8</v>
          </cell>
          <cell r="GH26">
            <v>-209.79</v>
          </cell>
          <cell r="GI26">
            <v>-220.27950000000001</v>
          </cell>
          <cell r="GJ26">
            <v>7.911701159801475E-2</v>
          </cell>
          <cell r="GK26">
            <v>2</v>
          </cell>
        </row>
        <row r="27">
          <cell r="B27" t="str">
            <v>TEL2b.ST</v>
          </cell>
          <cell r="C27" t="str">
            <v>Tele2</v>
          </cell>
          <cell r="D27" t="str">
            <v>Bluestone Jakob</v>
          </cell>
          <cell r="E27" t="str">
            <v>SEK</v>
          </cell>
          <cell r="F27">
            <v>72</v>
          </cell>
          <cell r="G27">
            <v>-1</v>
          </cell>
          <cell r="H27" t="str">
            <v>SEK</v>
          </cell>
          <cell r="I27" t="str">
            <v>SWEDEN</v>
          </cell>
          <cell r="J27" t="e">
            <v>#VALUE!</v>
          </cell>
          <cell r="K27" t="e">
            <v>#VALUE!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411.77209027013583</v>
          </cell>
          <cell r="U27">
            <v>416.72541496813938</v>
          </cell>
          <cell r="V27">
            <v>413.72361255860829</v>
          </cell>
          <cell r="W27">
            <v>413.25563111989317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 t="str">
            <v>-</v>
          </cell>
          <cell r="BA27" t="str">
            <v>-</v>
          </cell>
          <cell r="BB27" t="str">
            <v>-</v>
          </cell>
          <cell r="BC27" t="str">
            <v>-</v>
          </cell>
          <cell r="BD27" t="str">
            <v>-</v>
          </cell>
          <cell r="BE27" t="str">
            <v>-</v>
          </cell>
          <cell r="BF27" t="str">
            <v>-</v>
          </cell>
          <cell r="BG27" t="str">
            <v>-</v>
          </cell>
          <cell r="BH27" t="str">
            <v>-</v>
          </cell>
          <cell r="BI27" t="str">
            <v>-</v>
          </cell>
          <cell r="BJ27" t="str">
            <v>-</v>
          </cell>
          <cell r="BK27" t="str">
            <v>-</v>
          </cell>
          <cell r="BL27">
            <v>3421.2502136936359</v>
          </cell>
          <cell r="BM27">
            <v>3757.5505334738277</v>
          </cell>
          <cell r="BN27">
            <v>3879.578122245191</v>
          </cell>
          <cell r="BO27">
            <v>3994.7007326195499</v>
          </cell>
          <cell r="BP27">
            <v>10.738200000000001</v>
          </cell>
          <cell r="BQ27">
            <v>7.3463000000000003</v>
          </cell>
          <cell r="BR27">
            <v>7.4209999999999994</v>
          </cell>
          <cell r="BS27">
            <v>7.7099000000000002</v>
          </cell>
          <cell r="BT27">
            <v>4689.0458132963322</v>
          </cell>
          <cell r="BU27">
            <v>5209.5975083081976</v>
          </cell>
          <cell r="BV27">
            <v>5602.6944870127636</v>
          </cell>
          <cell r="BW27">
            <v>6008.575770967881</v>
          </cell>
          <cell r="BX27">
            <v>723.41168764609358</v>
          </cell>
          <cell r="BY27">
            <v>612.0259405962222</v>
          </cell>
          <cell r="BZ27">
            <v>663.47602936241299</v>
          </cell>
          <cell r="CA27">
            <v>722.9633430373043</v>
          </cell>
          <cell r="CB27">
            <v>300.52258390238381</v>
          </cell>
          <cell r="CC27">
            <v>364.83948411719001</v>
          </cell>
          <cell r="CD27">
            <v>395.57822434986383</v>
          </cell>
          <cell r="CE27">
            <v>423.38891039330343</v>
          </cell>
          <cell r="CF27">
            <v>501.01625844204528</v>
          </cell>
          <cell r="CG27">
            <v>329.92540089381032</v>
          </cell>
          <cell r="CH27">
            <v>361.32106671444586</v>
          </cell>
          <cell r="CI27">
            <v>390.0984798641785</v>
          </cell>
          <cell r="CJ27">
            <v>-84.882919818693622</v>
          </cell>
          <cell r="CK27">
            <v>-98.411356688515497</v>
          </cell>
          <cell r="CL27">
            <v>-101.16989870619621</v>
          </cell>
          <cell r="CM27">
            <v>-109.22757429659161</v>
          </cell>
          <cell r="CN27">
            <v>360.73170607827257</v>
          </cell>
          <cell r="CO27">
            <v>237.5462886740533</v>
          </cell>
          <cell r="CP27">
            <v>260.15116800824967</v>
          </cell>
          <cell r="CQ27">
            <v>280.87090545862293</v>
          </cell>
          <cell r="CR27">
            <v>366.77266766331542</v>
          </cell>
          <cell r="CS27">
            <v>262.68442857745248</v>
          </cell>
          <cell r="CT27">
            <v>284.81632154061907</v>
          </cell>
          <cell r="CU27">
            <v>304.84001556163253</v>
          </cell>
          <cell r="CV27">
            <v>15.407100000000002</v>
          </cell>
          <cell r="CW27">
            <v>11.101441865545027</v>
          </cell>
          <cell r="CX27">
            <v>7.545630503655218</v>
          </cell>
          <cell r="CY27">
            <v>7.2443943694585613</v>
          </cell>
          <cell r="CZ27">
            <v>8.6164711248482178</v>
          </cell>
          <cell r="DA27">
            <v>15.060699999999999</v>
          </cell>
          <cell r="DB27">
            <v>-15.397283310739567</v>
          </cell>
          <cell r="DC27">
            <v>8.4065209255786044</v>
          </cell>
          <cell r="DD27">
            <v>8.9660079704849949</v>
          </cell>
          <cell r="DE27">
            <v>-2.0663073368680784E-2</v>
          </cell>
          <cell r="DF27">
            <v>46.390700000000002</v>
          </cell>
          <cell r="DG27">
            <v>21.401686149383607</v>
          </cell>
          <cell r="DH27">
            <v>8.4252778470655443</v>
          </cell>
          <cell r="DI27">
            <v>7.0303885127010517</v>
          </cell>
          <cell r="DJ27">
            <v>12.103917168368454</v>
          </cell>
          <cell r="DK27">
            <v>22.961300000000001</v>
          </cell>
          <cell r="DL27">
            <v>-34.148763562660093</v>
          </cell>
          <cell r="DM27">
            <v>9.5159892669228157</v>
          </cell>
          <cell r="DN27">
            <v>7.964499106041373</v>
          </cell>
          <cell r="DO27">
            <v>-8.002898143148272</v>
          </cell>
          <cell r="DP27">
            <v>15.427695024748449</v>
          </cell>
          <cell r="DQ27">
            <v>11.748046554847496</v>
          </cell>
          <cell r="DR27">
            <v>11.842088318404171</v>
          </cell>
          <cell r="DS27">
            <v>12.032191497534315</v>
          </cell>
          <cell r="DT27">
            <v>6.4090349266841722</v>
          </cell>
          <cell r="DU27">
            <v>7.0032182627419646</v>
          </cell>
          <cell r="DV27">
            <v>7.0604996447125146</v>
          </cell>
          <cell r="DW27">
            <v>7.0464104395425231</v>
          </cell>
          <cell r="DX27">
            <v>7.6930727581158633</v>
          </cell>
          <cell r="DY27">
            <v>4.5597819849847818</v>
          </cell>
          <cell r="DZ27">
            <v>4.6433223980227538</v>
          </cell>
          <cell r="EA27">
            <v>4.6745005166736764</v>
          </cell>
          <cell r="EB27">
            <v>7.8219041200938815</v>
          </cell>
          <cell r="EC27">
            <v>5.0423171494252061</v>
          </cell>
          <cell r="ED27">
            <v>5.083559744348598</v>
          </cell>
          <cell r="EE27">
            <v>5.0734155177763185</v>
          </cell>
          <cell r="EF27">
            <v>305.42596181232119</v>
          </cell>
          <cell r="EG27">
            <v>358.59971333136554</v>
          </cell>
          <cell r="EH27">
            <v>326.37547928799478</v>
          </cell>
          <cell r="EI27">
            <v>321.35171593185567</v>
          </cell>
          <cell r="EJ27">
            <v>3960.730747740301</v>
          </cell>
          <cell r="EK27">
            <v>4147.9683790583967</v>
          </cell>
          <cell r="EL27">
            <v>4269.99596782976</v>
          </cell>
          <cell r="EM27">
            <v>4385.1185782041184</v>
          </cell>
          <cell r="EN27">
            <v>-11.768106983849693</v>
          </cell>
          <cell r="EO27">
            <v>-19.223273802616191</v>
          </cell>
          <cell r="EP27">
            <v>-18.566348323618378</v>
          </cell>
          <cell r="EQ27">
            <v>-17.599621326289327</v>
          </cell>
          <cell r="ER27">
            <v>982.3100412907869</v>
          </cell>
          <cell r="ES27">
            <v>1065.3096051448561</v>
          </cell>
          <cell r="ET27">
            <v>1191.9720967395981</v>
          </cell>
          <cell r="EU27">
            <v>1351.4518207754734</v>
          </cell>
          <cell r="EV27">
            <v>234.05457223434391</v>
          </cell>
          <cell r="EW27">
            <v>31.818132253203441</v>
          </cell>
          <cell r="EX27">
            <v>64.042366296574187</v>
          </cell>
          <cell r="EY27">
            <v>69.066129652713315</v>
          </cell>
          <cell r="EZ27">
            <v>8.9273202114784365</v>
          </cell>
          <cell r="FA27">
            <v>9.5434435315456092</v>
          </cell>
          <cell r="FB27">
            <v>8.41265387637341</v>
          </cell>
          <cell r="FC27">
            <v>8.044450321592107</v>
          </cell>
          <cell r="FD27">
            <v>0.42220213887633679</v>
          </cell>
          <cell r="FE27">
            <v>0.58592240874957946</v>
          </cell>
          <cell r="FF27">
            <v>0.49191751449051596</v>
          </cell>
          <cell r="FG27">
            <v>0.44449240618728603</v>
          </cell>
          <cell r="FH27">
            <v>0.77882523567802764</v>
          </cell>
          <cell r="FI27">
            <v>8.7211317958620804E-2</v>
          </cell>
          <cell r="FJ27">
            <v>0.16189558058163681</v>
          </cell>
          <cell r="FK27">
            <v>0.16312692174330909</v>
          </cell>
          <cell r="FL27">
            <v>61.472222222222221</v>
          </cell>
          <cell r="FM27">
            <v>31.837758067667359</v>
          </cell>
          <cell r="FN27">
            <v>35.735407835605486</v>
          </cell>
          <cell r="FO27">
            <v>41.078346495863649</v>
          </cell>
          <cell r="FP27">
            <v>-170.20169545160388</v>
          </cell>
          <cell r="FQ27">
            <v>-317.00138206201154</v>
          </cell>
          <cell r="FR27">
            <v>-394.56029649832715</v>
          </cell>
          <cell r="FS27">
            <v>-459.59897633868309</v>
          </cell>
          <cell r="FT27">
            <v>468.32707237579609</v>
          </cell>
          <cell r="FU27">
            <v>196.61320184569513</v>
          </cell>
          <cell r="FV27">
            <v>167.74583415788959</v>
          </cell>
          <cell r="FW27">
            <v>154.13679240202964</v>
          </cell>
          <cell r="FX27">
            <v>3.6297725001742842</v>
          </cell>
          <cell r="FY27">
            <v>6.0849495869203309</v>
          </cell>
          <cell r="FZ27">
            <v>7.0423311035954459</v>
          </cell>
          <cell r="GA27">
            <v>7.6490501885549049</v>
          </cell>
          <cell r="GB27">
            <v>3.8949324285308045</v>
          </cell>
          <cell r="GC27">
            <v>0.91775892349367183</v>
          </cell>
          <cell r="GD27">
            <v>0.99977086106412028</v>
          </cell>
          <cell r="GE27">
            <v>1.0989744774426236</v>
          </cell>
          <cell r="GF27">
            <v>-241.1811008271643</v>
          </cell>
          <cell r="GG27">
            <v>-115.10298269740541</v>
          </cell>
          <cell r="GH27">
            <v>-138.12357923688648</v>
          </cell>
          <cell r="GI27">
            <v>-165.74829508426379</v>
          </cell>
          <cell r="GJ27" t="e">
            <v>#VALUE!</v>
          </cell>
          <cell r="GK27">
            <v>2</v>
          </cell>
          <cell r="GP27">
            <v>4063.04795224586</v>
          </cell>
          <cell r="GQ27">
            <v>628.72178567147046</v>
          </cell>
          <cell r="GR27">
            <v>205.28802984232181</v>
          </cell>
          <cell r="GS27">
            <v>293.37011407513791</v>
          </cell>
        </row>
        <row r="28">
          <cell r="B28" t="str">
            <v>TEM.MC</v>
          </cell>
          <cell r="C28" t="str">
            <v>Telefonica Moviles</v>
          </cell>
          <cell r="D28" t="str">
            <v>SCRUTON Steve S</v>
          </cell>
          <cell r="E28" t="str">
            <v>EUR</v>
          </cell>
          <cell r="F28">
            <v>9.07</v>
          </cell>
          <cell r="G28">
            <v>-1</v>
          </cell>
          <cell r="H28" t="str">
            <v>EUR</v>
          </cell>
          <cell r="I28" t="str">
            <v>SPAIN</v>
          </cell>
          <cell r="J28">
            <v>4330.5508959999997</v>
          </cell>
          <cell r="K28">
            <v>39278.096626719998</v>
          </cell>
          <cell r="L28">
            <v>47945.282327719993</v>
          </cell>
          <cell r="M28">
            <v>49126.894593719997</v>
          </cell>
          <cell r="N28">
            <v>47297.737833719999</v>
          </cell>
          <cell r="O28">
            <v>45515.673970719996</v>
          </cell>
          <cell r="P28">
            <v>962.77737200000001</v>
          </cell>
          <cell r="Q28">
            <v>986.76481000000001</v>
          </cell>
          <cell r="R28">
            <v>949.63183100000003</v>
          </cell>
          <cell r="S28">
            <v>913.45486600000004</v>
          </cell>
          <cell r="T28">
            <v>471.491671</v>
          </cell>
          <cell r="U28">
            <v>483.23880700000001</v>
          </cell>
          <cell r="V28">
            <v>465.05403200000001</v>
          </cell>
          <cell r="W28">
            <v>447.33743600000003</v>
          </cell>
          <cell r="X28">
            <v>0.40992590611039897</v>
          </cell>
          <cell r="Y28">
            <v>0.4409935033355627</v>
          </cell>
          <cell r="Z28">
            <v>0.52377023673710454</v>
          </cell>
          <cell r="AA28">
            <v>0.63644954745729887</v>
          </cell>
          <cell r="AB28">
            <v>0.50462401954875913</v>
          </cell>
          <cell r="AC28">
            <v>0.59780643390918808</v>
          </cell>
          <cell r="AD28">
            <v>0.63638983426925178</v>
          </cell>
          <cell r="AE28">
            <v>0.64653358111692771</v>
          </cell>
          <cell r="AF28">
            <v>0.1929921883084133</v>
          </cell>
          <cell r="AG28">
            <v>0.20264179779310923</v>
          </cell>
          <cell r="AH28">
            <v>0.22290597759551192</v>
          </cell>
          <cell r="AI28">
            <v>0.24519657533197134</v>
          </cell>
          <cell r="AJ28">
            <v>2.1278080298612272</v>
          </cell>
          <cell r="AK28">
            <v>2.234198432118073</v>
          </cell>
          <cell r="AL28">
            <v>2.4576182755844753</v>
          </cell>
          <cell r="AM28">
            <v>2.7033801028883282</v>
          </cell>
          <cell r="AN28">
            <v>22.125949750434458</v>
          </cell>
          <cell r="AO28">
            <v>20.567196413091864</v>
          </cell>
          <cell r="AP28">
            <v>17.316753346854448</v>
          </cell>
          <cell r="AQ28">
            <v>14.250933222021862</v>
          </cell>
          <cell r="AR28">
            <v>21.715290121065845</v>
          </cell>
          <cell r="AS28">
            <v>18.605950742607757</v>
          </cell>
          <cell r="AT28">
            <v>17.572000103644847</v>
          </cell>
          <cell r="AU28">
            <v>16.151137503004819</v>
          </cell>
          <cell r="AV28">
            <v>4.6050501486503617</v>
          </cell>
          <cell r="AW28">
            <v>5.3746245694932053</v>
          </cell>
          <cell r="AX28">
            <v>5.6908718079996845</v>
          </cell>
          <cell r="AY28">
            <v>6.1915143736096372</v>
          </cell>
          <cell r="AZ28">
            <v>4.053678035080658</v>
          </cell>
          <cell r="BA28">
            <v>3.0690302851374498</v>
          </cell>
          <cell r="BB28">
            <v>2.7416525441376778</v>
          </cell>
          <cell r="BC28">
            <v>2.4982174641585013</v>
          </cell>
          <cell r="BD28">
            <v>10.198953909321419</v>
          </cell>
          <cell r="BE28">
            <v>8.7175711068977417</v>
          </cell>
          <cell r="BF28">
            <v>7.5803534121930616</v>
          </cell>
          <cell r="BG28">
            <v>6.7484965279196274</v>
          </cell>
          <cell r="BH28">
            <v>21.939908629350658</v>
          </cell>
          <cell r="BI28">
            <v>18.976476651485711</v>
          </cell>
          <cell r="BJ28">
            <v>17.162240713522507</v>
          </cell>
          <cell r="BK28">
            <v>16.256488591948663</v>
          </cell>
          <cell r="BL28">
            <v>4662.8</v>
          </cell>
          <cell r="BM28">
            <v>4702.169664</v>
          </cell>
          <cell r="BN28">
            <v>6027.1269990000001</v>
          </cell>
          <cell r="BO28">
            <v>7758.6005969999997</v>
          </cell>
          <cell r="BP28">
            <v>22.032799999999998</v>
          </cell>
          <cell r="BQ28">
            <v>17.6525</v>
          </cell>
          <cell r="BR28">
            <v>19.406300000000002</v>
          </cell>
          <cell r="BS28">
            <v>22.740099999999998</v>
          </cell>
          <cell r="BT28">
            <v>11827.6</v>
          </cell>
          <cell r="BU28">
            <v>16007.301991</v>
          </cell>
          <cell r="BV28">
            <v>17251.543393</v>
          </cell>
          <cell r="BW28">
            <v>18219.260182000002</v>
          </cell>
          <cell r="BX28">
            <v>4701</v>
          </cell>
          <cell r="BY28">
            <v>5635.3878839999998</v>
          </cell>
          <cell r="BZ28">
            <v>6239.5161889999999</v>
          </cell>
          <cell r="CA28">
            <v>6744.5650720000003</v>
          </cell>
          <cell r="CB28">
            <v>2995.2</v>
          </cell>
          <cell r="CC28">
            <v>3407.2815639999999</v>
          </cell>
          <cell r="CD28">
            <v>4002.4029110000001</v>
          </cell>
          <cell r="CE28">
            <v>4607.2757179999999</v>
          </cell>
          <cell r="CF28">
            <v>2697.7</v>
          </cell>
          <cell r="CG28">
            <v>2950.654282</v>
          </cell>
          <cell r="CH28">
            <v>3523.4815610000001</v>
          </cell>
          <cell r="CI28">
            <v>4297.3997639999998</v>
          </cell>
          <cell r="CJ28">
            <v>-898.1</v>
          </cell>
          <cell r="CK28">
            <v>-1061.3339989999999</v>
          </cell>
          <cell r="CL28">
            <v>-1233.2185460000001</v>
          </cell>
          <cell r="CM28">
            <v>-1504.089917</v>
          </cell>
          <cell r="CN28">
            <v>1775.2049999999999</v>
          </cell>
          <cell r="CO28">
            <v>1909.744811</v>
          </cell>
          <cell r="CP28">
            <v>2268.2136679999999</v>
          </cell>
          <cell r="CQ28">
            <v>2756.177158</v>
          </cell>
          <cell r="CR28">
            <v>2008.4349999999999</v>
          </cell>
          <cell r="CS28">
            <v>2214.733017</v>
          </cell>
          <cell r="CT28">
            <v>2601.5618920000002</v>
          </cell>
          <cell r="CU28">
            <v>2994.7292170000001</v>
          </cell>
          <cell r="CV28">
            <v>17.449200000000001</v>
          </cell>
          <cell r="CW28">
            <v>35.338547050965531</v>
          </cell>
          <cell r="CX28">
            <v>7.7729613816217551</v>
          </cell>
          <cell r="CY28">
            <v>5.6094505109187196</v>
          </cell>
          <cell r="CZ28">
            <v>15.490085559299601</v>
          </cell>
          <cell r="DA28">
            <v>5.3327</v>
          </cell>
          <cell r="DB28">
            <v>19.876364262922792</v>
          </cell>
          <cell r="DC28">
            <v>10.72026127456536</v>
          </cell>
          <cell r="DD28">
            <v>8.0943596859381444</v>
          </cell>
          <cell r="DE28">
            <v>12.785836772568175</v>
          </cell>
          <cell r="DF28">
            <v>1.8533000000000002</v>
          </cell>
          <cell r="DG28">
            <v>13.758065037393166</v>
          </cell>
          <cell r="DH28">
            <v>17.466162858033769</v>
          </cell>
          <cell r="DI28">
            <v>15.112741531783286</v>
          </cell>
          <cell r="DJ28">
            <v>15.435518669722413</v>
          </cell>
          <cell r="DK28">
            <v>4.3967999999999998</v>
          </cell>
          <cell r="DL28">
            <v>7.5788323602062917</v>
          </cell>
          <cell r="DM28">
            <v>18.770510852300461</v>
          </cell>
          <cell r="DN28">
            <v>21.513118313508016</v>
          </cell>
          <cell r="DO28">
            <v>15.794039744373194</v>
          </cell>
          <cell r="DP28">
            <v>39.746017788900538</v>
          </cell>
          <cell r="DQ28">
            <v>35.205107563838425</v>
          </cell>
          <cell r="DR28">
            <v>36.16787232805936</v>
          </cell>
          <cell r="DS28">
            <v>37.018874557065693</v>
          </cell>
          <cell r="DT28">
            <v>25.323818864351178</v>
          </cell>
          <cell r="DU28">
            <v>21.285795482060131</v>
          </cell>
          <cell r="DV28">
            <v>23.200259940939652</v>
          </cell>
          <cell r="DW28">
            <v>25.287940739502851</v>
          </cell>
          <cell r="DX28">
            <v>15.009004362677128</v>
          </cell>
          <cell r="DY28">
            <v>11.93046031163616</v>
          </cell>
          <cell r="DZ28">
            <v>13.147888373398244</v>
          </cell>
          <cell r="EA28">
            <v>15.127821494766334</v>
          </cell>
          <cell r="EB28">
            <v>16.980917514964997</v>
          </cell>
          <cell r="EC28">
            <v>13.835767065837947</v>
          </cell>
          <cell r="ED28">
            <v>15.080168960741286</v>
          </cell>
          <cell r="EE28">
            <v>16.437161482323464</v>
          </cell>
          <cell r="EF28">
            <v>8175.9</v>
          </cell>
          <cell r="EG28">
            <v>9345.2719639999996</v>
          </cell>
          <cell r="EH28">
            <v>7535.063408</v>
          </cell>
          <cell r="EI28">
            <v>5771.459914</v>
          </cell>
          <cell r="EJ28">
            <v>15804.9</v>
          </cell>
          <cell r="EK28">
            <v>18883.341627999998</v>
          </cell>
          <cell r="EL28">
            <v>13562.190406</v>
          </cell>
          <cell r="EM28">
            <v>13530.060509999999</v>
          </cell>
          <cell r="EN28">
            <v>-353.9</v>
          </cell>
          <cell r="EO28">
            <v>-450.718324</v>
          </cell>
          <cell r="EP28">
            <v>-493.075738</v>
          </cell>
          <cell r="EQ28">
            <v>-339.077853</v>
          </cell>
          <cell r="ER28">
            <v>5640</v>
          </cell>
          <cell r="ES28">
            <v>5956.9163769999996</v>
          </cell>
          <cell r="ET28">
            <v>5970.1821739999996</v>
          </cell>
          <cell r="EU28">
            <v>6273.5213960000001</v>
          </cell>
          <cell r="EV28">
            <v>2966.2</v>
          </cell>
          <cell r="EW28">
            <v>4835.8999999999996</v>
          </cell>
          <cell r="EX28">
            <v>0</v>
          </cell>
          <cell r="EY28">
            <v>0</v>
          </cell>
          <cell r="EZ28">
            <v>175.3431414600669</v>
          </cell>
          <cell r="FA28">
            <v>198.74382746219854</v>
          </cell>
          <cell r="FB28">
            <v>125.0191577056563</v>
          </cell>
          <cell r="FC28">
            <v>74.387898202049968</v>
          </cell>
          <cell r="FD28">
            <v>1.7391831525207402</v>
          </cell>
          <cell r="FE28">
            <v>1.6583192064796652</v>
          </cell>
          <cell r="FF28">
            <v>1.2076358454336562</v>
          </cell>
          <cell r="FG28">
            <v>0.8557201023918003</v>
          </cell>
          <cell r="FH28">
            <v>0.99031784188034189</v>
          </cell>
          <cell r="FI28">
            <v>1.4192839391655276</v>
          </cell>
          <cell r="FJ28">
            <v>0</v>
          </cell>
          <cell r="FK28">
            <v>0</v>
          </cell>
          <cell r="FL28">
            <v>13.283413393614016</v>
          </cell>
          <cell r="FM28">
            <v>12.503125752659658</v>
          </cell>
          <cell r="FN28">
            <v>12.65427541478425</v>
          </cell>
          <cell r="FO28">
            <v>19.890904145839333</v>
          </cell>
          <cell r="FP28">
            <v>-1617.6</v>
          </cell>
          <cell r="FQ28">
            <v>-1985.2226969999999</v>
          </cell>
          <cell r="FR28">
            <v>-2250.3790760000002</v>
          </cell>
          <cell r="FS28">
            <v>-2440.6285760000001</v>
          </cell>
          <cell r="FT28">
            <v>2185.3000000000002</v>
          </cell>
          <cell r="FU28">
            <v>2588.8311879999992</v>
          </cell>
          <cell r="FV28">
            <v>2755.9185669999997</v>
          </cell>
          <cell r="FW28">
            <v>2799.846579</v>
          </cell>
          <cell r="FX28">
            <v>13.676485508471711</v>
          </cell>
          <cell r="FY28">
            <v>12.401981908732518</v>
          </cell>
          <cell r="FZ28">
            <v>13.044508683861386</v>
          </cell>
          <cell r="GA28">
            <v>13.395870916928102</v>
          </cell>
          <cell r="GB28">
            <v>0.78194799999999998</v>
          </cell>
          <cell r="GC28">
            <v>0.95549099999999998</v>
          </cell>
          <cell r="GD28">
            <v>1.0403469999999999</v>
          </cell>
          <cell r="GE28">
            <v>1.129974</v>
          </cell>
          <cell r="GF28">
            <v>-835.76249399999995</v>
          </cell>
          <cell r="GG28">
            <v>-877.55061899999998</v>
          </cell>
          <cell r="GH28">
            <v>-965.30568100000005</v>
          </cell>
          <cell r="GI28">
            <v>-1061.836249</v>
          </cell>
          <cell r="GJ28">
            <v>0.20429950744060477</v>
          </cell>
          <cell r="GK28">
            <v>2</v>
          </cell>
          <cell r="GP28">
            <v>10070.396392653163</v>
          </cell>
          <cell r="GQ28">
            <v>4463.0015180471028</v>
          </cell>
          <cell r="GR28">
            <v>2940.7000067744493</v>
          </cell>
          <cell r="GS28">
            <v>1700.440051802354</v>
          </cell>
        </row>
        <row r="29">
          <cell r="B29" t="str">
            <v>TIM.MI</v>
          </cell>
          <cell r="C29" t="str">
            <v>TIM</v>
          </cell>
          <cell r="D29" t="str">
            <v>SCRUTON Steve S</v>
          </cell>
          <cell r="E29" t="str">
            <v>EUR</v>
          </cell>
          <cell r="F29">
            <v>4.5979999999999999</v>
          </cell>
          <cell r="G29">
            <v>-1</v>
          </cell>
          <cell r="H29" t="str">
            <v>EUR</v>
          </cell>
          <cell r="I29" t="str">
            <v>ITALY</v>
          </cell>
          <cell r="J29">
            <v>8476.8030159999998</v>
          </cell>
          <cell r="K29">
            <v>39641.044364946996</v>
          </cell>
          <cell r="L29">
            <v>40052.749056946996</v>
          </cell>
          <cell r="M29">
            <v>38900.576447946994</v>
          </cell>
          <cell r="N29">
            <v>39424.939935946997</v>
          </cell>
          <cell r="O29">
            <v>39451.339541946996</v>
          </cell>
          <cell r="P29">
            <v>1528.415827</v>
          </cell>
          <cell r="Q29">
            <v>1488.220644</v>
          </cell>
          <cell r="R29">
            <v>1506.513811</v>
          </cell>
          <cell r="S29">
            <v>1507.4347990000001</v>
          </cell>
          <cell r="T29">
            <v>799.71113500000001</v>
          </cell>
          <cell r="U29">
            <v>778.67985899999996</v>
          </cell>
          <cell r="V29">
            <v>788.25137099999995</v>
          </cell>
          <cell r="W29">
            <v>788.73325799999998</v>
          </cell>
          <cell r="X29">
            <v>0.30795989137327384</v>
          </cell>
          <cell r="Y29">
            <v>0.31412026868786214</v>
          </cell>
          <cell r="Z29">
            <v>0.31691846559714842</v>
          </cell>
          <cell r="AA29">
            <v>0.32624944248203114</v>
          </cell>
          <cell r="AB29">
            <v>0.18120038853100559</v>
          </cell>
          <cell r="AC29">
            <v>0.19051644387061217</v>
          </cell>
          <cell r="AD29">
            <v>0.23012813808672314</v>
          </cell>
          <cell r="AE29">
            <v>0.24202978942975592</v>
          </cell>
          <cell r="AF29">
            <v>0.285474799925444</v>
          </cell>
          <cell r="AG29">
            <v>0.285474799925444</v>
          </cell>
          <cell r="AH29">
            <v>0.285474799925444</v>
          </cell>
          <cell r="AI29">
            <v>0.285474799925444</v>
          </cell>
          <cell r="AJ29">
            <v>6.1045658200161697</v>
          </cell>
          <cell r="AK29">
            <v>6.1045658200161697</v>
          </cell>
          <cell r="AL29">
            <v>6.1045658200161697</v>
          </cell>
          <cell r="AM29">
            <v>6.1045658200161697</v>
          </cell>
          <cell r="AN29">
            <v>15.185141346722583</v>
          </cell>
          <cell r="AO29">
            <v>14.887337576650927</v>
          </cell>
          <cell r="AP29">
            <v>14.755891458748035</v>
          </cell>
          <cell r="AQ29">
            <v>14.333861980107626</v>
          </cell>
          <cell r="AR29">
            <v>26.471966594719344</v>
          </cell>
          <cell r="AS29">
            <v>24.521907645108151</v>
          </cell>
          <cell r="AT29">
            <v>20.181255360252116</v>
          </cell>
          <cell r="AU29">
            <v>19.365704608846084</v>
          </cell>
          <cell r="AV29">
            <v>3.7775810740086122</v>
          </cell>
          <cell r="AW29">
            <v>4.0779861602630616</v>
          </cell>
          <cell r="AX29">
            <v>4.9550931403878105</v>
          </cell>
          <cell r="AY29">
            <v>5.1637677027419331</v>
          </cell>
          <cell r="AZ29">
            <v>3.1048642679803873</v>
          </cell>
          <cell r="BA29">
            <v>2.9654890499314566</v>
          </cell>
          <cell r="BB29">
            <v>2.8840766414422188</v>
          </cell>
          <cell r="BC29">
            <v>2.7898104727863902</v>
          </cell>
          <cell r="BD29">
            <v>6.8093759022351232</v>
          </cell>
          <cell r="BE29">
            <v>6.555882389060935</v>
          </cell>
          <cell r="BF29">
            <v>6.5249926961589804</v>
          </cell>
          <cell r="BG29">
            <v>6.3831464812892591</v>
          </cell>
          <cell r="BH29">
            <v>26.076008500616535</v>
          </cell>
          <cell r="BI29">
            <v>24.087486226943557</v>
          </cell>
          <cell r="BJ29">
            <v>20.210135510893622</v>
          </cell>
          <cell r="BK29">
            <v>19.229183323944262</v>
          </cell>
          <cell r="BL29">
            <v>8247</v>
          </cell>
          <cell r="BM29">
            <v>9097.8417200000004</v>
          </cell>
          <cell r="BN29">
            <v>9449.5871330000009</v>
          </cell>
          <cell r="BO29">
            <v>9876.4448389999998</v>
          </cell>
          <cell r="BP29">
            <v>32.192799999999998</v>
          </cell>
          <cell r="BQ29">
            <v>31.926700000000004</v>
          </cell>
          <cell r="BR29">
            <v>31.604700000000001</v>
          </cell>
          <cell r="BS29">
            <v>30.132999999999999</v>
          </cell>
          <cell r="BT29">
            <v>12900</v>
          </cell>
          <cell r="BU29">
            <v>13117.760947000001</v>
          </cell>
          <cell r="BV29">
            <v>13669.865554</v>
          </cell>
          <cell r="BW29">
            <v>14141.225694999999</v>
          </cell>
          <cell r="BX29">
            <v>5882</v>
          </cell>
          <cell r="BY29">
            <v>5933.6904080000004</v>
          </cell>
          <cell r="BZ29">
            <v>6042.1431519999996</v>
          </cell>
          <cell r="CA29">
            <v>6180.5474240000003</v>
          </cell>
          <cell r="CB29">
            <v>3903</v>
          </cell>
          <cell r="CC29">
            <v>4151.2846790000003</v>
          </cell>
          <cell r="CD29">
            <v>4204.5422490000001</v>
          </cell>
          <cell r="CE29">
            <v>4328.3786879999998</v>
          </cell>
          <cell r="CF29">
            <v>4154</v>
          </cell>
          <cell r="CG29">
            <v>4233.8544069999998</v>
          </cell>
          <cell r="CH29">
            <v>4264.0908579999996</v>
          </cell>
          <cell r="CI29">
            <v>4379.6482340000002</v>
          </cell>
          <cell r="CJ29">
            <v>-1856</v>
          </cell>
          <cell r="CK29">
            <v>-1738.0490420000001</v>
          </cell>
          <cell r="CL29">
            <v>-1492.4318000000001</v>
          </cell>
          <cell r="CM29">
            <v>-1532.876882</v>
          </cell>
          <cell r="CN29">
            <v>2610.5153359999999</v>
          </cell>
          <cell r="CO29">
            <v>2662.7356410000002</v>
          </cell>
          <cell r="CP29">
            <v>2686.4554050000002</v>
          </cell>
          <cell r="CQ29">
            <v>2765.5522580000002</v>
          </cell>
          <cell r="CR29">
            <v>2707.9</v>
          </cell>
          <cell r="CS29">
            <v>2702.885041</v>
          </cell>
          <cell r="CT29">
            <v>2732.9524620000002</v>
          </cell>
          <cell r="CU29">
            <v>2813.4461470000001</v>
          </cell>
          <cell r="CV29">
            <v>9.4891000000000005</v>
          </cell>
          <cell r="CW29">
            <v>1.6880693565891676</v>
          </cell>
          <cell r="CX29">
            <v>4.2088326600147781</v>
          </cell>
          <cell r="CY29">
            <v>3.4481695459109432</v>
          </cell>
          <cell r="CZ29">
            <v>3.1096029424905396</v>
          </cell>
          <cell r="DA29">
            <v>9.9438999999999993</v>
          </cell>
          <cell r="DB29">
            <v>0.87878966337981979</v>
          </cell>
          <cell r="DC29">
            <v>1.82774524019284</v>
          </cell>
          <cell r="DD29">
            <v>2.2906486741246255</v>
          </cell>
          <cell r="DE29">
            <v>1.6640268072095665</v>
          </cell>
          <cell r="DF29">
            <v>7.8014999999999999</v>
          </cell>
          <cell r="DG29">
            <v>6.3613804509352008</v>
          </cell>
          <cell r="DH29">
            <v>1.2829177981797528</v>
          </cell>
          <cell r="DI29">
            <v>2.9453013352274553</v>
          </cell>
          <cell r="DJ29">
            <v>3.5083930377587365</v>
          </cell>
          <cell r="DK29">
            <v>7.4047000000000001</v>
          </cell>
          <cell r="DL29">
            <v>2.0003830002399212</v>
          </cell>
          <cell r="DM29">
            <v>0.89080431548555339</v>
          </cell>
          <cell r="DN29">
            <v>2.9442831194139956</v>
          </cell>
          <cell r="DO29">
            <v>1.9417004181297841</v>
          </cell>
          <cell r="DP29">
            <v>45.596899224806201</v>
          </cell>
          <cell r="DQ29">
            <v>45.234018457677571</v>
          </cell>
          <cell r="DR29">
            <v>44.200457774304745</v>
          </cell>
          <cell r="DS29">
            <v>43.705882059327394</v>
          </cell>
          <cell r="DT29">
            <v>30.255813953488371</v>
          </cell>
          <cell r="DU29">
            <v>31.646290062553618</v>
          </cell>
          <cell r="DV29">
            <v>30.757743976272618</v>
          </cell>
          <cell r="DW29">
            <v>30.608228603058159</v>
          </cell>
          <cell r="DX29">
            <v>20.236552992248061</v>
          </cell>
          <cell r="DY29">
            <v>20.298705333618397</v>
          </cell>
          <cell r="DZ29">
            <v>19.652390832870367</v>
          </cell>
          <cell r="EA29">
            <v>19.556665862265628</v>
          </cell>
          <cell r="EB29">
            <v>20.991472868217055</v>
          </cell>
          <cell r="EC29">
            <v>20.604774335502306</v>
          </cell>
          <cell r="ED29">
            <v>19.992533585674504</v>
          </cell>
          <cell r="EE29">
            <v>19.895348590573501</v>
          </cell>
          <cell r="EF29">
            <v>-317</v>
          </cell>
          <cell r="EG29">
            <v>-1450.0087020000001</v>
          </cell>
          <cell r="EH29">
            <v>-934.36686899999995</v>
          </cell>
          <cell r="EI29">
            <v>-908.40636400000005</v>
          </cell>
          <cell r="EJ29">
            <v>8904</v>
          </cell>
          <cell r="EK29">
            <v>9988.8417200000004</v>
          </cell>
          <cell r="EL29">
            <v>9942.5871330000009</v>
          </cell>
          <cell r="EM29">
            <v>10369.444839</v>
          </cell>
          <cell r="EN29">
            <v>-11</v>
          </cell>
          <cell r="EO29">
            <v>30.520911999999999</v>
          </cell>
          <cell r="EP29">
            <v>49.090347999999999</v>
          </cell>
          <cell r="EQ29">
            <v>32.444674999999997</v>
          </cell>
          <cell r="ER29">
            <v>4354</v>
          </cell>
          <cell r="ES29">
            <v>4111.8154409999997</v>
          </cell>
          <cell r="ET29">
            <v>4873.1749950000003</v>
          </cell>
          <cell r="EU29">
            <v>5617.037953</v>
          </cell>
          <cell r="EV29">
            <v>974</v>
          </cell>
          <cell r="EW29">
            <v>2341.0087020000001</v>
          </cell>
          <cell r="EX29">
            <v>1427.366869</v>
          </cell>
          <cell r="EY29">
            <v>1401.4063639999999</v>
          </cell>
          <cell r="EZ29">
            <v>-3.8438219958772888</v>
          </cell>
          <cell r="FA29">
            <v>-15.937941619850472</v>
          </cell>
          <cell r="FB29">
            <v>-9.8879120944553112</v>
          </cell>
          <cell r="FC29">
            <v>-9.1977060451235921</v>
          </cell>
          <cell r="FD29">
            <v>-5.3893233594015641E-2</v>
          </cell>
          <cell r="FE29">
            <v>-0.24436878271320825</v>
          </cell>
          <cell r="FF29">
            <v>-0.1546416305430825</v>
          </cell>
          <cell r="FG29">
            <v>-0.14697830170714665</v>
          </cell>
          <cell r="FH29">
            <v>0.24955162695362543</v>
          </cell>
          <cell r="FI29">
            <v>0.56392391344356652</v>
          </cell>
          <cell r="FJ29">
            <v>0.33948210874548401</v>
          </cell>
          <cell r="FK29">
            <v>0.32377166255929962</v>
          </cell>
          <cell r="FL29">
            <v>534.72727272727275</v>
          </cell>
          <cell r="FM29">
            <v>-194.41392865324602</v>
          </cell>
          <cell r="FN29">
            <v>-123.08210061986115</v>
          </cell>
          <cell r="FO29">
            <v>-190.49497102375045</v>
          </cell>
          <cell r="FP29">
            <v>-2490</v>
          </cell>
          <cell r="FQ29">
            <v>-2580.6709999999998</v>
          </cell>
          <cell r="FR29">
            <v>-2598.9604570000001</v>
          </cell>
          <cell r="FS29">
            <v>-2596.0316929999999</v>
          </cell>
          <cell r="FT29">
            <v>1536</v>
          </cell>
          <cell r="FU29">
            <v>1614.970366</v>
          </cell>
          <cell r="FV29">
            <v>1950.7508949999992</v>
          </cell>
          <cell r="FW29">
            <v>2051.6388489999999</v>
          </cell>
          <cell r="FX29">
            <v>19.302325581395348</v>
          </cell>
          <cell r="FY29">
            <v>19.673105878562247</v>
          </cell>
          <cell r="FZ29">
            <v>19.012333711208349</v>
          </cell>
          <cell r="GA29">
            <v>18.357897320865863</v>
          </cell>
          <cell r="GB29">
            <v>0.50507599999999997</v>
          </cell>
          <cell r="GC29">
            <v>0.51810699999999998</v>
          </cell>
          <cell r="GD29">
            <v>0.52813699999999997</v>
          </cell>
          <cell r="GE29">
            <v>0.53907099999999997</v>
          </cell>
          <cell r="GF29">
            <v>-2419.9136450000001</v>
          </cell>
          <cell r="GG29">
            <v>-2419.9136450000001</v>
          </cell>
          <cell r="GH29">
            <v>-2419.9136450000001</v>
          </cell>
          <cell r="GI29">
            <v>-2419.9136450000001</v>
          </cell>
          <cell r="GJ29">
            <v>0.16177225678919857</v>
          </cell>
          <cell r="GK29">
            <v>2</v>
          </cell>
          <cell r="GP29">
            <v>11781.994737375684</v>
          </cell>
          <cell r="GQ29">
            <v>5350.0012278989552</v>
          </cell>
          <cell r="GR29">
            <v>3620.5433134047303</v>
          </cell>
          <cell r="GS29">
            <v>2430.541061983321</v>
          </cell>
        </row>
        <row r="30">
          <cell r="B30" t="str">
            <v>VOD.L</v>
          </cell>
          <cell r="C30" t="str">
            <v>Vodafone</v>
          </cell>
          <cell r="D30" t="str">
            <v>HOWARD Stephen</v>
          </cell>
          <cell r="E30" t="str">
            <v>GBP</v>
          </cell>
          <cell r="F30">
            <v>1.45</v>
          </cell>
          <cell r="G30">
            <v>-1</v>
          </cell>
          <cell r="H30" t="str">
            <v>GBP</v>
          </cell>
          <cell r="I30" t="str">
            <v>UNITED KINGDOM</v>
          </cell>
          <cell r="J30">
            <v>64517.758799000003</v>
          </cell>
          <cell r="K30">
            <v>136070.09009946929</v>
          </cell>
          <cell r="L30">
            <v>120466.40836889559</v>
          </cell>
          <cell r="M30">
            <v>113240.00520003244</v>
          </cell>
          <cell r="N30">
            <v>105080.42539933689</v>
          </cell>
          <cell r="O30">
            <v>96779.239060985885</v>
          </cell>
          <cell r="P30">
            <v>11346.780242353936</v>
          </cell>
          <cell r="Q30">
            <v>10661.664562490889</v>
          </cell>
          <cell r="R30">
            <v>9888.0769370306625</v>
          </cell>
          <cell r="S30">
            <v>9101.0639808926553</v>
          </cell>
          <cell r="T30">
            <v>38490.848491364253</v>
          </cell>
          <cell r="U30">
            <v>36166.780934626076</v>
          </cell>
          <cell r="V30">
            <v>33542.596502121844</v>
          </cell>
          <cell r="W30">
            <v>30872.870304417236</v>
          </cell>
          <cell r="X30">
            <v>0.14815517393357253</v>
          </cell>
          <cell r="Y30">
            <v>0.16096069089274642</v>
          </cell>
          <cell r="Z30">
            <v>0.18024588899188587</v>
          </cell>
          <cell r="AA30">
            <v>0.20127033687966533</v>
          </cell>
          <cell r="AB30">
            <v>0.11640815189441353</v>
          </cell>
          <cell r="AC30">
            <v>0.10588429972172041</v>
          </cell>
          <cell r="AD30">
            <v>0.10174449254239708</v>
          </cell>
          <cell r="AE30">
            <v>0.10122135473608707</v>
          </cell>
          <cell r="AF30">
            <v>5.3230217095712982E-2</v>
          </cell>
          <cell r="AG30">
            <v>6.5546412790420561E-2</v>
          </cell>
          <cell r="AH30">
            <v>7.3713201849705395E-2</v>
          </cell>
          <cell r="AI30">
            <v>8.2311341754357989E-2</v>
          </cell>
          <cell r="AJ30">
            <v>2.523915656180646</v>
          </cell>
          <cell r="AK30">
            <v>3.1078892117001224</v>
          </cell>
          <cell r="AL30">
            <v>3.495118268654577</v>
          </cell>
          <cell r="AM30">
            <v>3.9027998657512746</v>
          </cell>
          <cell r="AN30">
            <v>14.235298460726288</v>
          </cell>
          <cell r="AO30">
            <v>13.10278371537645</v>
          </cell>
          <cell r="AP30">
            <v>11.700866695163088</v>
          </cell>
          <cell r="AQ30">
            <v>10.478608781313662</v>
          </cell>
          <cell r="AR30">
            <v>16.541654630942606</v>
          </cell>
          <cell r="AS30">
            <v>18.095918277173418</v>
          </cell>
          <cell r="AT30">
            <v>17.561162129733088</v>
          </cell>
          <cell r="AU30">
            <v>16.381206711984092</v>
          </cell>
          <cell r="AV30">
            <v>6.0453444489731565</v>
          </cell>
          <cell r="AW30">
            <v>5.5261080685881616</v>
          </cell>
          <cell r="AX30">
            <v>5.6943839628180628</v>
          </cell>
          <cell r="AY30">
            <v>6.1045563833122518</v>
          </cell>
          <cell r="AZ30">
            <v>2.4339512044706577</v>
          </cell>
          <cell r="BA30">
            <v>2.1784060467553217</v>
          </cell>
          <cell r="BB30">
            <v>1.9079978943743632</v>
          </cell>
          <cell r="BC30">
            <v>1.6601747786182248</v>
          </cell>
          <cell r="BD30">
            <v>6.4312181152395933</v>
          </cell>
          <cell r="BE30">
            <v>5.7484144415883973</v>
          </cell>
          <cell r="BF30">
            <v>5.0401442160379295</v>
          </cell>
          <cell r="BG30">
            <v>4.4009212270256777</v>
          </cell>
          <cell r="BH30">
            <v>16.039960533047168</v>
          </cell>
          <cell r="BI30">
            <v>16.576355012443482</v>
          </cell>
          <cell r="BJ30">
            <v>16.007799632559173</v>
          </cell>
          <cell r="BK30">
            <v>14.819405611209396</v>
          </cell>
          <cell r="BL30">
            <v>153972.17261182229</v>
          </cell>
          <cell r="BM30">
            <v>138740.53495159111</v>
          </cell>
          <cell r="BN30">
            <v>124749.24556674152</v>
          </cell>
          <cell r="BO30">
            <v>111356.29391846768</v>
          </cell>
          <cell r="BP30">
            <v>5.3707250000000002</v>
          </cell>
          <cell r="BQ30">
            <v>6.4485000000000001</v>
          </cell>
          <cell r="BR30">
            <v>8.3398999999999983</v>
          </cell>
          <cell r="BS30">
            <v>11.237150000000002</v>
          </cell>
          <cell r="BT30">
            <v>49494.175621772563</v>
          </cell>
          <cell r="BU30">
            <v>51982.96496133053</v>
          </cell>
          <cell r="BV30">
            <v>55073.658995725986</v>
          </cell>
          <cell r="BW30">
            <v>58294.60868062092</v>
          </cell>
          <cell r="BX30">
            <v>18731.507190439559</v>
          </cell>
          <cell r="BY30">
            <v>19699.346028492346</v>
          </cell>
          <cell r="BZ30">
            <v>20848.694183187657</v>
          </cell>
          <cell r="CA30">
            <v>21990.677421507324</v>
          </cell>
          <cell r="CB30">
            <v>-6925.4453285039981</v>
          </cell>
          <cell r="CC30">
            <v>-6316.7793058428351</v>
          </cell>
          <cell r="CD30">
            <v>-5507.2287148952337</v>
          </cell>
          <cell r="CE30">
            <v>-4618.6646646328882</v>
          </cell>
          <cell r="CF30">
            <v>15053.158587102354</v>
          </cell>
          <cell r="CG30">
            <v>16584.709665777329</v>
          </cell>
          <cell r="CH30">
            <v>18592.779571716961</v>
          </cell>
          <cell r="CI30">
            <v>20639.415830353973</v>
          </cell>
          <cell r="CJ30">
            <v>-4045.1639711333269</v>
          </cell>
          <cell r="CK30">
            <v>-5184.5911820361907</v>
          </cell>
          <cell r="CL30">
            <v>-6135.617259321124</v>
          </cell>
          <cell r="CM30">
            <v>-6811.0072242240767</v>
          </cell>
          <cell r="CN30">
            <v>9558.6397766701248</v>
          </cell>
          <cell r="CO30">
            <v>10384.823031138611</v>
          </cell>
          <cell r="CP30">
            <v>11629.060790489822</v>
          </cell>
          <cell r="CQ30">
            <v>12985.511048195724</v>
          </cell>
          <cell r="CR30">
            <v>8071.5933010693616</v>
          </cell>
          <cell r="CS30">
            <v>8360.0286336488225</v>
          </cell>
          <cell r="CT30">
            <v>8987.1839431393273</v>
          </cell>
          <cell r="CU30">
            <v>9728.6996703111727</v>
          </cell>
          <cell r="CV30">
            <v>4.0186500000000001</v>
          </cell>
          <cell r="CW30">
            <v>5.0284489200849407</v>
          </cell>
          <cell r="CX30">
            <v>5.9455901307179886</v>
          </cell>
          <cell r="CY30">
            <v>5.8484396054834491</v>
          </cell>
          <cell r="CZ30">
            <v>5.6066903000584034</v>
          </cell>
          <cell r="DA30">
            <v>5.0564999999999998</v>
          </cell>
          <cell r="DB30">
            <v>5.1669031659490088</v>
          </cell>
          <cell r="DC30">
            <v>5.834448275759712</v>
          </cell>
          <cell r="DD30">
            <v>5.4774808833857804</v>
          </cell>
          <cell r="DE30">
            <v>5.4925915808261578</v>
          </cell>
          <cell r="DF30">
            <v>-2.75665</v>
          </cell>
          <cell r="DG30">
            <v>-8.7888358623812053</v>
          </cell>
          <cell r="DH30">
            <v>-12.815875808717763</v>
          </cell>
          <cell r="DI30">
            <v>-16.134504235480065</v>
          </cell>
          <cell r="DJ30">
            <v>-12.631225869693495</v>
          </cell>
          <cell r="DK30">
            <v>14.410074999999999</v>
          </cell>
          <cell r="DL30">
            <v>8.6433140464709197</v>
          </cell>
          <cell r="DM30">
            <v>11.981309220392092</v>
          </cell>
          <cell r="DN30">
            <v>11.664314789851289</v>
          </cell>
          <cell r="DO30">
            <v>10.752698573840931</v>
          </cell>
          <cell r="DP30">
            <v>37.845881773207147</v>
          </cell>
          <cell r="DQ30">
            <v>37.895772284529059</v>
          </cell>
          <cell r="DR30">
            <v>37.856017855660596</v>
          </cell>
          <cell r="DS30">
            <v>37.723346839821502</v>
          </cell>
          <cell r="DT30">
            <v>-13.992445053388231</v>
          </cell>
          <cell r="DU30">
            <v>-12.151633348620663</v>
          </cell>
          <cell r="DV30">
            <v>-9.9997509069129116</v>
          </cell>
          <cell r="DW30">
            <v>-7.9229705270640007</v>
          </cell>
          <cell r="DX30">
            <v>19.31265579553418</v>
          </cell>
          <cell r="DY30">
            <v>19.977358041934984</v>
          </cell>
          <cell r="DZ30">
            <v>21.115467907066609</v>
          </cell>
          <cell r="EA30">
            <v>22.275663808534222</v>
          </cell>
          <cell r="EB30">
            <v>16.30816798071621</v>
          </cell>
          <cell r="EC30">
            <v>16.082246635734883</v>
          </cell>
          <cell r="ED30">
            <v>16.318479845032236</v>
          </cell>
          <cell r="EE30">
            <v>16.688849776163465</v>
          </cell>
          <cell r="EF30">
            <v>11540.386518436597</v>
          </cell>
          <cell r="EG30">
            <v>2675.0314726983293</v>
          </cell>
          <cell r="EH30">
            <v>-7335.1451350412035</v>
          </cell>
          <cell r="EI30">
            <v>-17519.044714958807</v>
          </cell>
          <cell r="EJ30">
            <v>167508.86806573375</v>
          </cell>
          <cell r="EK30">
            <v>144083.04704934321</v>
          </cell>
          <cell r="EL30">
            <v>128276.42164581369</v>
          </cell>
          <cell r="EM30">
            <v>114883.46999753987</v>
          </cell>
          <cell r="EN30">
            <v>-925.43985073711735</v>
          </cell>
          <cell r="EO30">
            <v>-721.47777586838947</v>
          </cell>
          <cell r="EP30">
            <v>-162.95240875697468</v>
          </cell>
          <cell r="EQ30">
            <v>446.82822808990295</v>
          </cell>
          <cell r="ER30">
            <v>26260.680758723163</v>
          </cell>
          <cell r="ES30">
            <v>26577.926985854901</v>
          </cell>
          <cell r="ET30">
            <v>27291.690476375257</v>
          </cell>
          <cell r="EU30">
            <v>28470.555570276509</v>
          </cell>
          <cell r="EV30">
            <v>1996.3089354748724</v>
          </cell>
          <cell r="EW30">
            <v>2667.4806250537558</v>
          </cell>
          <cell r="EX30">
            <v>10862.321214113383</v>
          </cell>
          <cell r="EY30">
            <v>21046.220794030989</v>
          </cell>
          <cell r="EZ30">
            <v>7.4951118261680634</v>
          </cell>
          <cell r="FA30">
            <v>1.9280821380944597</v>
          </cell>
          <cell r="FB30">
            <v>-5.8799114188765671</v>
          </cell>
          <cell r="FC30">
            <v>-15.732424363714742</v>
          </cell>
          <cell r="FD30">
            <v>0.61609492504301711</v>
          </cell>
          <cell r="FE30">
            <v>0.13579290748176467</v>
          </cell>
          <cell r="FF30">
            <v>-0.35182755670886329</v>
          </cell>
          <cell r="FG30">
            <v>-0.79665780090179628</v>
          </cell>
          <cell r="FH30">
            <v>-0.28825712149634508</v>
          </cell>
          <cell r="FI30">
            <v>-0.42228491702827337</v>
          </cell>
          <cell r="FJ30">
            <v>-1.9723751775070451</v>
          </cell>
          <cell r="FK30">
            <v>-4.5567761078631666</v>
          </cell>
          <cell r="FL30">
            <v>20.240653323411372</v>
          </cell>
          <cell r="FM30">
            <v>27.304161940098155</v>
          </cell>
          <cell r="FN30">
            <v>127.94345503834286</v>
          </cell>
          <cell r="FO30">
            <v>-49.215058581936198</v>
          </cell>
          <cell r="FP30">
            <v>-7175.9501531451051</v>
          </cell>
          <cell r="FQ30">
            <v>-7683.3371364091745</v>
          </cell>
          <cell r="FR30">
            <v>-8148.7502948895053</v>
          </cell>
          <cell r="FS30">
            <v>-8649.0952471123655</v>
          </cell>
          <cell r="FT30">
            <v>7510.3930661611275</v>
          </cell>
          <cell r="FU30">
            <v>6831.4177100469806</v>
          </cell>
          <cell r="FV30">
            <v>6564.326628977029</v>
          </cell>
          <cell r="FW30">
            <v>6530.5749501708815</v>
          </cell>
          <cell r="FX30">
            <v>14.498574959572403</v>
          </cell>
          <cell r="FY30">
            <v>14.780490382040947</v>
          </cell>
          <cell r="FZ30">
            <v>14.796093892221492</v>
          </cell>
          <cell r="GA30">
            <v>14.836869897348869</v>
          </cell>
          <cell r="GB30">
            <v>0.24912699184966733</v>
          </cell>
          <cell r="GC30">
            <v>0.26989914994420322</v>
          </cell>
          <cell r="GD30">
            <v>0.29180109526324194</v>
          </cell>
          <cell r="GE30">
            <v>0.31310269339603858</v>
          </cell>
          <cell r="GF30">
            <v>-3434.2943073996166</v>
          </cell>
          <cell r="GG30">
            <v>-4228.9076505520425</v>
          </cell>
          <cell r="GH30">
            <v>-4755.8105772412937</v>
          </cell>
          <cell r="GI30">
            <v>-5310.5432937297264</v>
          </cell>
          <cell r="GJ30">
            <v>0.47092081590468643</v>
          </cell>
          <cell r="GK30">
            <v>2</v>
          </cell>
          <cell r="GP30">
            <v>47582.020745099624</v>
          </cell>
          <cell r="GQ30">
            <v>17829.93645366023</v>
          </cell>
          <cell r="GR30">
            <v>-7121.7675332081817</v>
          </cell>
          <cell r="GS30">
            <v>8354.7185653624692</v>
          </cell>
        </row>
        <row r="31">
          <cell r="B31" t="str">
            <v>European wireless aggregate</v>
          </cell>
          <cell r="K31" t="e">
            <v>#VALUE!</v>
          </cell>
          <cell r="L31">
            <v>246488.73624338617</v>
          </cell>
          <cell r="M31">
            <v>240465.0662606344</v>
          </cell>
          <cell r="N31">
            <v>229619.12746255577</v>
          </cell>
          <cell r="O31">
            <v>217730.06720688604</v>
          </cell>
          <cell r="P31">
            <v>18512.742101353935</v>
          </cell>
          <cell r="Q31">
            <v>18296.699397490887</v>
          </cell>
          <cell r="R31">
            <v>17330.677969030661</v>
          </cell>
          <cell r="S31">
            <v>16225.667428892655</v>
          </cell>
          <cell r="T31">
            <v>40173.823387634387</v>
          </cell>
          <cell r="U31">
            <v>37845.425015594214</v>
          </cell>
          <cell r="V31">
            <v>35209.625517680455</v>
          </cell>
          <cell r="W31">
            <v>32522.196629537131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2.1755327864654466</v>
          </cell>
          <cell r="BA31">
            <v>1.951057209176402</v>
          </cell>
          <cell r="BB31">
            <v>1.7654200896145267</v>
          </cell>
          <cell r="BC31">
            <v>1.5930284859011148</v>
          </cell>
          <cell r="BD31">
            <v>6.8925142213944772</v>
          </cell>
          <cell r="BE31">
            <v>6.2823675720456205</v>
          </cell>
          <cell r="BF31">
            <v>5.6439021463281067</v>
          </cell>
          <cell r="BG31">
            <v>5.0426095860732065</v>
          </cell>
          <cell r="BH31">
            <v>18.332042025988489</v>
          </cell>
          <cell r="BI31">
            <v>18.013017290086324</v>
          </cell>
          <cell r="BJ31">
            <v>16.736389662549037</v>
          </cell>
          <cell r="BK31">
            <v>15.472803029962474</v>
          </cell>
          <cell r="BL31">
            <v>190949.63058426866</v>
          </cell>
          <cell r="BM31">
            <v>177983.2336967022</v>
          </cell>
          <cell r="BN31">
            <v>166800.74631967873</v>
          </cell>
          <cell r="BO31">
            <v>156930.7126491167</v>
          </cell>
          <cell r="BP31" t="e">
            <v>#VALUE!</v>
          </cell>
          <cell r="BQ31" t="e">
            <v>#VALUE!</v>
          </cell>
          <cell r="BR31" t="e">
            <v>#VALUE!</v>
          </cell>
          <cell r="BS31" t="e">
            <v>#VALUE!</v>
          </cell>
          <cell r="BT31">
            <v>113300.40060846544</v>
          </cell>
          <cell r="BU31">
            <v>123248.59831359927</v>
          </cell>
          <cell r="BV31">
            <v>130064.86604142604</v>
          </cell>
          <cell r="BW31">
            <v>136676.81973918033</v>
          </cell>
          <cell r="BX31">
            <v>35761.803070101923</v>
          </cell>
          <cell r="BY31">
            <v>38276.185451265446</v>
          </cell>
          <cell r="BZ31">
            <v>40684.462896286175</v>
          </cell>
          <cell r="CA31">
            <v>43178.053642744402</v>
          </cell>
          <cell r="CB31">
            <v>2675.2879114188217</v>
          </cell>
          <cell r="CC31">
            <v>4426.9252709386865</v>
          </cell>
          <cell r="CD31">
            <v>6279.8380082819103</v>
          </cell>
          <cell r="CE31">
            <v>8436.8215013637782</v>
          </cell>
          <cell r="CF31">
            <v>25285.855872681332</v>
          </cell>
          <cell r="CG31">
            <v>27557.04069228972</v>
          </cell>
          <cell r="CH31">
            <v>30523.843918962208</v>
          </cell>
          <cell r="CI31">
            <v>34052.935049703774</v>
          </cell>
          <cell r="CJ31">
            <v>-7525.6348497570907</v>
          </cell>
          <cell r="CK31">
            <v>-8898.0309135769348</v>
          </cell>
          <cell r="CL31">
            <v>-9929.0612429120993</v>
          </cell>
          <cell r="CM31">
            <v>-11150.388278657989</v>
          </cell>
          <cell r="CN31">
            <v>16366.01533708026</v>
          </cell>
          <cell r="CO31">
            <v>17612.655290669893</v>
          </cell>
          <cell r="CP31">
            <v>19419.194268507716</v>
          </cell>
          <cell r="CQ31">
            <v>21645.770166002651</v>
          </cell>
          <cell r="CR31">
            <v>15499.274821577292</v>
          </cell>
          <cell r="CS31">
            <v>16304.016757092193</v>
          </cell>
          <cell r="CT31">
            <v>17583.190662343481</v>
          </cell>
          <cell r="CU31">
            <v>19117.546444906435</v>
          </cell>
          <cell r="CV31" t="e">
            <v>#N/A</v>
          </cell>
          <cell r="CW31">
            <v>8.7803729304647646</v>
          </cell>
          <cell r="CX31">
            <v>5.5305032439258497</v>
          </cell>
          <cell r="CY31">
            <v>5.0835816765830941</v>
          </cell>
          <cell r="CZ31">
            <v>6.4521587974765424</v>
          </cell>
          <cell r="DA31">
            <v>17.040413654803956</v>
          </cell>
          <cell r="DB31">
            <v>7.0309161320381861</v>
          </cell>
          <cell r="DC31">
            <v>6.2918428694704431</v>
          </cell>
          <cell r="DD31">
            <v>6.1290983558390622</v>
          </cell>
          <cell r="DE31">
            <v>6.4832304350699985</v>
          </cell>
          <cell r="DF31">
            <v>728.84331948639169</v>
          </cell>
          <cell r="DG31">
            <v>65.474723376255042</v>
          </cell>
          <cell r="DH31">
            <v>41.855523279486761</v>
          </cell>
          <cell r="DI31">
            <v>34.347756904512806</v>
          </cell>
          <cell r="DJ31">
            <v>46.645737680316017</v>
          </cell>
          <cell r="DK31">
            <v>0.11755808353095176</v>
          </cell>
          <cell r="DL31">
            <v>7.6172478634132688</v>
          </cell>
          <cell r="DM31">
            <v>10.257050671938245</v>
          </cell>
          <cell r="DN31">
            <v>11.465851088918726</v>
          </cell>
          <cell r="DO31">
            <v>9.7682388495034189</v>
          </cell>
          <cell r="DP31">
            <v>31.563703992261011</v>
          </cell>
          <cell r="DQ31">
            <v>31.056081752649067</v>
          </cell>
          <cell r="DR31">
            <v>31.280132855653775</v>
          </cell>
          <cell r="DS31">
            <v>31.591350841452751</v>
          </cell>
          <cell r="DT31">
            <v>2.3612342913630733</v>
          </cell>
          <cell r="DU31">
            <v>3.5918666268922741</v>
          </cell>
          <cell r="DV31">
            <v>4.8282354792736752</v>
          </cell>
          <cell r="DW31">
            <v>6.1728254414052959</v>
          </cell>
          <cell r="DX31">
            <v>14.444799179163223</v>
          </cell>
          <cell r="DY31">
            <v>14.290349368400491</v>
          </cell>
          <cell r="DZ31">
            <v>14.930391934069762</v>
          </cell>
          <cell r="EA31">
            <v>15.837191856899484</v>
          </cell>
          <cell r="EB31">
            <v>13.67980584211565</v>
          </cell>
          <cell r="EC31">
            <v>13.228561606524336</v>
          </cell>
          <cell r="ED31">
            <v>13.518785816258161</v>
          </cell>
          <cell r="EE31">
            <v>13.987409482740636</v>
          </cell>
          <cell r="EF31">
            <v>22195.843090592567</v>
          </cell>
          <cell r="EG31">
            <v>14108.037866484747</v>
          </cell>
          <cell r="EH31">
            <v>1563.0985673187597</v>
          </cell>
          <cell r="EI31">
            <v>-11912.935818273705</v>
          </cell>
          <cell r="EJ31">
            <v>221462.95129828693</v>
          </cell>
          <cell r="EK31">
            <v>204806.12287729443</v>
          </cell>
          <cell r="EL31">
            <v>183328.21019725589</v>
          </cell>
          <cell r="EM31">
            <v>170658.50271658215</v>
          </cell>
          <cell r="EN31">
            <v>-1536.8207492498022</v>
          </cell>
          <cell r="EO31">
            <v>-1360.5455949224902</v>
          </cell>
          <cell r="EP31">
            <v>-896.36438097505732</v>
          </cell>
          <cell r="EQ31">
            <v>-97.822787952111184</v>
          </cell>
          <cell r="ER31">
            <v>48878.254676559474</v>
          </cell>
          <cell r="ES31">
            <v>50051.453873476872</v>
          </cell>
          <cell r="ET31">
            <v>52437.029022021903</v>
          </cell>
          <cell r="EU31">
            <v>55613.852274671459</v>
          </cell>
          <cell r="EV31">
            <v>8317.4776234257079</v>
          </cell>
          <cell r="EW31">
            <v>12714.851314107455</v>
          </cell>
          <cell r="EX31">
            <v>14964.365310258399</v>
          </cell>
          <cell r="EY31">
            <v>25640.72588773915</v>
          </cell>
          <cell r="EZ31">
            <v>11.623925651323656</v>
          </cell>
          <cell r="FA31">
            <v>7.9266105989095479</v>
          </cell>
          <cell r="FB31">
            <v>0.93710525990275462</v>
          </cell>
          <cell r="FC31">
            <v>-7.5912073660877226</v>
          </cell>
          <cell r="FD31">
            <v>0.62065783000603347</v>
          </cell>
          <cell r="FE31">
            <v>0.36858526261577412</v>
          </cell>
          <cell r="FF31">
            <v>3.8420036939001721E-2</v>
          </cell>
          <cell r="FG31">
            <v>-0.27590256654089695</v>
          </cell>
          <cell r="FH31">
            <v>3.109002805987557</v>
          </cell>
          <cell r="FI31">
            <v>2.8721630784183971</v>
          </cell>
          <cell r="FJ31">
            <v>2.3829221853371458</v>
          </cell>
          <cell r="FK31">
            <v>3.0391452377645338</v>
          </cell>
          <cell r="FL31">
            <v>23.269989741847915</v>
          </cell>
          <cell r="FM31">
            <v>28.132967828576174</v>
          </cell>
          <cell r="FN31">
            <v>45.388308326163042</v>
          </cell>
          <cell r="FO31">
            <v>441.39054454144235</v>
          </cell>
          <cell r="FP31">
            <v>-14790.381008317367</v>
          </cell>
          <cell r="FQ31">
            <v>-16028.638330152467</v>
          </cell>
          <cell r="FR31">
            <v>-17035.648941331659</v>
          </cell>
          <cell r="FS31">
            <v>-17955.873279274092</v>
          </cell>
          <cell r="FT31">
            <v>13445.78721202747</v>
          </cell>
          <cell r="FU31">
            <v>13349.516207536044</v>
          </cell>
          <cell r="FV31">
            <v>13719.752712042415</v>
          </cell>
          <cell r="FW31">
            <v>14071.792084812321</v>
          </cell>
          <cell r="FX31">
            <v>13.054129490176116</v>
          </cell>
          <cell r="FY31">
            <v>13.005128293117362</v>
          </cell>
          <cell r="FZ31">
            <v>13.097809931166005</v>
          </cell>
          <cell r="GA31">
            <v>13.137467870220563</v>
          </cell>
          <cell r="GF31">
            <v>-9283.9644950965339</v>
          </cell>
          <cell r="GG31">
            <v>-8468.4717756122081</v>
          </cell>
          <cell r="GH31">
            <v>-9251.0139330381426</v>
          </cell>
          <cell r="GI31">
            <v>-10028.148478429948</v>
          </cell>
          <cell r="GK31">
            <v>0</v>
          </cell>
          <cell r="GP31">
            <v>82841.022073279601</v>
          </cell>
          <cell r="GQ31">
            <v>30555.089437377486</v>
          </cell>
          <cell r="GR31">
            <v>322.77365920939246</v>
          </cell>
          <cell r="GS31">
            <v>16346.798354216375</v>
          </cell>
        </row>
        <row r="32">
          <cell r="CV32">
            <v>0</v>
          </cell>
          <cell r="GK32">
            <v>0</v>
          </cell>
        </row>
        <row r="33">
          <cell r="B33" t="str">
            <v>European altnets and ISPs</v>
          </cell>
          <cell r="D33">
            <v>85</v>
          </cell>
          <cell r="CV33" t="e">
            <v>#N/A</v>
          </cell>
          <cell r="GK33">
            <v>0</v>
          </cell>
        </row>
        <row r="34">
          <cell r="B34" t="str">
            <v>CW.L</v>
          </cell>
          <cell r="C34" t="str">
            <v>Cable &amp; Wireless</v>
          </cell>
          <cell r="D34" t="str">
            <v>SCRUTON Steve S</v>
          </cell>
          <cell r="E34" t="str">
            <v>GBP</v>
          </cell>
          <cell r="F34">
            <v>1.3049999999999999</v>
          </cell>
          <cell r="G34">
            <v>-1</v>
          </cell>
          <cell r="H34" t="str">
            <v>GBP</v>
          </cell>
          <cell r="I34" t="str">
            <v>UNITED KINGDOM</v>
          </cell>
          <cell r="J34">
            <v>2355.2195160000001</v>
          </cell>
          <cell r="K34">
            <v>4470.5123665269675</v>
          </cell>
          <cell r="L34">
            <v>3371.9669877840911</v>
          </cell>
          <cell r="M34">
            <v>3778.1728384228663</v>
          </cell>
          <cell r="N34">
            <v>3906.5111149148852</v>
          </cell>
          <cell r="O34">
            <v>3843.314954190123</v>
          </cell>
          <cell r="P34">
            <v>1490.8682396078282</v>
          </cell>
          <cell r="Q34">
            <v>1490.8682396078282</v>
          </cell>
          <cell r="R34">
            <v>1490.8682396078282</v>
          </cell>
          <cell r="S34">
            <v>1490.8682396078282</v>
          </cell>
          <cell r="T34">
            <v>714.74405165198709</v>
          </cell>
          <cell r="U34">
            <v>714.74405165198709</v>
          </cell>
          <cell r="V34">
            <v>714.74405165198709</v>
          </cell>
          <cell r="W34">
            <v>714.74405165198709</v>
          </cell>
          <cell r="X34">
            <v>9.0373602229950459E-2</v>
          </cell>
          <cell r="Y34">
            <v>9.5528934089757475E-2</v>
          </cell>
          <cell r="Z34">
            <v>0.10468582722576517</v>
          </cell>
          <cell r="AA34">
            <v>0.11546805437210068</v>
          </cell>
          <cell r="AB34">
            <v>-7.8939189706115371E-3</v>
          </cell>
          <cell r="AC34">
            <v>9.8960030608361699E-3</v>
          </cell>
          <cell r="AD34">
            <v>4.7781764090014875E-2</v>
          </cell>
          <cell r="AE34">
            <v>6.5498628112372864E-2</v>
          </cell>
          <cell r="AF34">
            <v>4.8102292732643076E-2</v>
          </cell>
          <cell r="AG34">
            <v>5.0105628476568721E-2</v>
          </cell>
          <cell r="AH34">
            <v>5.479122228299925E-2</v>
          </cell>
          <cell r="AI34">
            <v>6.0451952824479765E-2</v>
          </cell>
          <cell r="AJ34">
            <v>2.5341940547248578</v>
          </cell>
          <cell r="AK34">
            <v>2.6397366649303988</v>
          </cell>
          <cell r="AL34">
            <v>2.8865898457779262</v>
          </cell>
          <cell r="AM34">
            <v>3.1848165802779285</v>
          </cell>
          <cell r="AN34">
            <v>21.003144288428555</v>
          </cell>
          <cell r="AO34">
            <v>19.869684777569542</v>
          </cell>
          <cell r="AP34">
            <v>18.131678927341298</v>
          </cell>
          <cell r="AQ34">
            <v>16.438570978115685</v>
          </cell>
          <cell r="AR34">
            <v>181.51838202753518</v>
          </cell>
          <cell r="AS34">
            <v>81.435644299226468</v>
          </cell>
          <cell r="AT34">
            <v>36.20041612638181</v>
          </cell>
          <cell r="AU34">
            <v>28.013259086013605</v>
          </cell>
          <cell r="AV34">
            <v>0.55090839221358112</v>
          </cell>
          <cell r="AW34">
            <v>1.2279635147548023</v>
          </cell>
          <cell r="AX34">
            <v>2.7623991848845879</v>
          </cell>
          <cell r="AY34">
            <v>3.5697381619523081</v>
          </cell>
          <cell r="AZ34">
            <v>0.69945142030377583</v>
          </cell>
          <cell r="BA34">
            <v>0.87229552031928126</v>
          </cell>
          <cell r="BB34">
            <v>0.93339847857812486</v>
          </cell>
          <cell r="BC34">
            <v>0.91981967086718708</v>
          </cell>
          <cell r="BD34">
            <v>5.6942778636648015</v>
          </cell>
          <cell r="BE34">
            <v>5.2279207035366211</v>
          </cell>
          <cell r="BF34">
            <v>4.8033008637310752</v>
          </cell>
          <cell r="BG34">
            <v>4.290642381485358</v>
          </cell>
          <cell r="BH34" t="str">
            <v>-</v>
          </cell>
          <cell r="BI34">
            <v>162.10283461493788</v>
          </cell>
          <cell r="BJ34">
            <v>34.713267358134644</v>
          </cell>
          <cell r="BK34">
            <v>24.913938078815761</v>
          </cell>
          <cell r="BL34">
            <v>3048.1382710119683</v>
          </cell>
          <cell r="BM34">
            <v>3050.8979943018426</v>
          </cell>
          <cell r="BN34">
            <v>3242.830115167143</v>
          </cell>
          <cell r="BO34">
            <v>3497.424327754874</v>
          </cell>
          <cell r="BP34">
            <v>17.178850000000001</v>
          </cell>
          <cell r="BQ34">
            <v>21.151074999999999</v>
          </cell>
          <cell r="BR34">
            <v>20.188375000000004</v>
          </cell>
          <cell r="BS34">
            <v>20.195699999999999</v>
          </cell>
          <cell r="BT34">
            <v>4820.8737446263622</v>
          </cell>
          <cell r="BU34">
            <v>4331.2991416486511</v>
          </cell>
          <cell r="BV34">
            <v>4185.2554986652603</v>
          </cell>
          <cell r="BW34">
            <v>4178.3352497416417</v>
          </cell>
          <cell r="BX34">
            <v>592.16762309767478</v>
          </cell>
          <cell r="BY34">
            <v>722.69130552553736</v>
          </cell>
          <cell r="BZ34">
            <v>813.297194105058</v>
          </cell>
          <cell r="CA34">
            <v>895.74348372040822</v>
          </cell>
          <cell r="CB34">
            <v>69.232374962735676</v>
          </cell>
          <cell r="CC34">
            <v>387.32475963617446</v>
          </cell>
          <cell r="CD34">
            <v>435.95522020316065</v>
          </cell>
          <cell r="CE34">
            <v>477.9447660106714</v>
          </cell>
          <cell r="CF34">
            <v>486.64128444452211</v>
          </cell>
          <cell r="CG34">
            <v>510.01639885177968</v>
          </cell>
          <cell r="CH34">
            <v>547.59892868872328</v>
          </cell>
          <cell r="CI34">
            <v>592.96935203857981</v>
          </cell>
          <cell r="CJ34">
            <v>-93.682794450998415</v>
          </cell>
          <cell r="CK34">
            <v>-141.5849167933722</v>
          </cell>
          <cell r="CL34">
            <v>-139.35111509271258</v>
          </cell>
          <cell r="CM34">
            <v>-181.45246401852265</v>
          </cell>
          <cell r="CN34">
            <v>212.84967170320044</v>
          </cell>
          <cell r="CO34">
            <v>224.9916099108745</v>
          </cell>
          <cell r="CP34">
            <v>246.55810333072625</v>
          </cell>
          <cell r="CQ34">
            <v>271.95261513172068</v>
          </cell>
          <cell r="CR34">
            <v>188.60069324070392</v>
          </cell>
          <cell r="CS34">
            <v>272.48936442424582</v>
          </cell>
          <cell r="CT34">
            <v>304.08768696180914</v>
          </cell>
          <cell r="CU34">
            <v>332.43063033642557</v>
          </cell>
          <cell r="CV34">
            <v>-13.663575</v>
          </cell>
          <cell r="CW34">
            <v>-10.15530853765712</v>
          </cell>
          <cell r="CX34">
            <v>-3.3718207449370823</v>
          </cell>
          <cell r="CY34">
            <v>-0.16534830253075938</v>
          </cell>
          <cell r="CZ34">
            <v>-4.6561887461882776</v>
          </cell>
          <cell r="DA34">
            <v>27.349574999999994</v>
          </cell>
          <cell r="DB34">
            <v>22.041678291204619</v>
          </cell>
          <cell r="DC34">
            <v>12.537287758517095</v>
          </cell>
          <cell r="DD34">
            <v>10.137289322149101</v>
          </cell>
          <cell r="DE34">
            <v>14.792363982723572</v>
          </cell>
          <cell r="DF34">
            <v>-130.80157499999999</v>
          </cell>
          <cell r="DG34">
            <v>459.45612127946208</v>
          </cell>
          <cell r="DH34">
            <v>12.555474277623318</v>
          </cell>
          <cell r="DI34">
            <v>9.6316189970022918</v>
          </cell>
          <cell r="DJ34">
            <v>90.40988613743562</v>
          </cell>
          <cell r="DK34">
            <v>3.2797500000000035</v>
          </cell>
          <cell r="DL34">
            <v>5.704466495304203</v>
          </cell>
          <cell r="DM34">
            <v>9.5854656217602354</v>
          </cell>
          <cell r="DN34">
            <v>10.299605430907661</v>
          </cell>
          <cell r="DO34">
            <v>8.5109131598347858</v>
          </cell>
          <cell r="DP34">
            <v>12.28340866129798</v>
          </cell>
          <cell r="DQ34">
            <v>16.685324238548311</v>
          </cell>
          <cell r="DR34">
            <v>19.43243833893607</v>
          </cell>
          <cell r="DS34">
            <v>21.437807887143443</v>
          </cell>
          <cell r="DT34">
            <v>1.4360959989857913</v>
          </cell>
          <cell r="DU34">
            <v>8.942461533348272</v>
          </cell>
          <cell r="DV34">
            <v>10.416454152970903</v>
          </cell>
          <cell r="DW34">
            <v>11.438640928590498</v>
          </cell>
          <cell r="DX34">
            <v>4.4151679338305749</v>
          </cell>
          <cell r="DY34">
            <v>5.1945525476966816</v>
          </cell>
          <cell r="DZ34">
            <v>5.8911123444998106</v>
          </cell>
          <cell r="EA34">
            <v>6.5086355899406652</v>
          </cell>
          <cell r="EB34">
            <v>3.912168275531581</v>
          </cell>
          <cell r="EC34">
            <v>6.2911693584970534</v>
          </cell>
          <cell r="ED34">
            <v>7.2656899216496393</v>
          </cell>
          <cell r="EE34">
            <v>7.9560545161372742</v>
          </cell>
          <cell r="EF34">
            <v>-1874.6695666987175</v>
          </cell>
          <cell r="EG34">
            <v>-1468.4637160599425</v>
          </cell>
          <cell r="EH34">
            <v>-1340.1254395679234</v>
          </cell>
          <cell r="EI34">
            <v>-1403.3216002926854</v>
          </cell>
          <cell r="EJ34">
            <v>4270.0684252505398</v>
          </cell>
          <cell r="EK34">
            <v>4016.6897124477914</v>
          </cell>
          <cell r="EL34">
            <v>4008.4818628057392</v>
          </cell>
          <cell r="EM34">
            <v>4118.6727594634549</v>
          </cell>
          <cell r="EN34">
            <v>47.496073104898194</v>
          </cell>
          <cell r="EO34">
            <v>41.11952310156034</v>
          </cell>
          <cell r="EP34">
            <v>32.396502121178919</v>
          </cell>
          <cell r="EQ34">
            <v>33.027540102825732</v>
          </cell>
          <cell r="ER34">
            <v>1868.9032661557439</v>
          </cell>
          <cell r="ES34">
            <v>2084.8798027251314</v>
          </cell>
          <cell r="ET34">
            <v>2283.4924198107901</v>
          </cell>
          <cell r="EU34">
            <v>2440.2661302339993</v>
          </cell>
          <cell r="EV34">
            <v>3096.5997209372895</v>
          </cell>
          <cell r="EW34">
            <v>2434.2554342058916</v>
          </cell>
          <cell r="EX34">
            <v>2105.7771872065191</v>
          </cell>
          <cell r="EY34">
            <v>2024.5700320012663</v>
          </cell>
          <cell r="EZ34">
            <v>-61.502117030810929</v>
          </cell>
          <cell r="FA34">
            <v>-48.132180059857454</v>
          </cell>
          <cell r="FB34">
            <v>-41.325798514698022</v>
          </cell>
          <cell r="FC34">
            <v>-40.124430689070245</v>
          </cell>
          <cell r="FD34">
            <v>-3.1657751852291005</v>
          </cell>
          <cell r="FE34">
            <v>-2.0319377095481777</v>
          </cell>
          <cell r="FF34">
            <v>-1.6477684286647276</v>
          </cell>
          <cell r="FG34">
            <v>-1.5666556618018439</v>
          </cell>
          <cell r="FH34">
            <v>44.727625227417583</v>
          </cell>
          <cell r="FI34">
            <v>6.2847916990704631</v>
          </cell>
          <cell r="FJ34">
            <v>4.8302602873414386</v>
          </cell>
          <cell r="FK34">
            <v>4.2359916374857054</v>
          </cell>
          <cell r="FL34">
            <v>-12.46771752666444</v>
          </cell>
          <cell r="FM34">
            <v>-17.575381497994897</v>
          </cell>
          <cell r="FN34">
            <v>-25.104475509822784</v>
          </cell>
          <cell r="FO34">
            <v>-27.12110804896945</v>
          </cell>
          <cell r="FP34">
            <v>-517.07674066398329</v>
          </cell>
          <cell r="FQ34">
            <v>-557.79912919288813</v>
          </cell>
          <cell r="FR34">
            <v>-561.4095357186344</v>
          </cell>
          <cell r="FS34">
            <v>-560.02737250039877</v>
          </cell>
          <cell r="FT34">
            <v>-18.591912017306925</v>
          </cell>
          <cell r="FU34">
            <v>23.307259539277084</v>
          </cell>
          <cell r="FV34">
            <v>112.53654329371102</v>
          </cell>
          <cell r="FW34">
            <v>154.26364720148683</v>
          </cell>
          <cell r="FX34">
            <v>10.725788893358768</v>
          </cell>
          <cell r="FY34">
            <v>12.878333057840225</v>
          </cell>
          <cell r="FZ34">
            <v>13.413984782952348</v>
          </cell>
          <cell r="GA34">
            <v>13.403122033710121</v>
          </cell>
          <cell r="GB34">
            <v>0.22697850783149345</v>
          </cell>
          <cell r="GC34">
            <v>0.24708195697660523</v>
          </cell>
          <cell r="GD34">
            <v>0.28097448283248988</v>
          </cell>
          <cell r="GE34">
            <v>0.3113391053565025</v>
          </cell>
          <cell r="GF34">
            <v>-113.29145860826596</v>
          </cell>
          <cell r="GG34">
            <v>-118.00975404946001</v>
          </cell>
          <cell r="GH34">
            <v>-129.04535602641391</v>
          </cell>
          <cell r="GI34">
            <v>-142.37761907252607</v>
          </cell>
          <cell r="GJ34">
            <v>0.27085660154635388</v>
          </cell>
          <cell r="GK34">
            <v>3</v>
          </cell>
          <cell r="GP34">
            <v>5583.8236811709103</v>
          </cell>
          <cell r="GQ34">
            <v>464.99379609054432</v>
          </cell>
          <cell r="GR34">
            <v>-224.76894432422927</v>
          </cell>
          <cell r="GS34">
            <v>206.09042111662782</v>
          </cell>
        </row>
        <row r="35">
          <cell r="B35" t="str">
            <v>CTM.L</v>
          </cell>
          <cell r="C35" t="str">
            <v>COLT</v>
          </cell>
          <cell r="D35" t="str">
            <v>SCRUTON Steve S</v>
          </cell>
          <cell r="E35" t="str">
            <v>GBP</v>
          </cell>
          <cell r="F35">
            <v>0.49249999999999999</v>
          </cell>
          <cell r="G35">
            <v>-1</v>
          </cell>
          <cell r="H35" t="str">
            <v>GBP</v>
          </cell>
          <cell r="I35" t="str">
            <v>UNITED KINGDOM</v>
          </cell>
          <cell r="J35">
            <v>1507.2217780000001</v>
          </cell>
          <cell r="K35">
            <v>1079.6892891133948</v>
          </cell>
          <cell r="L35">
            <v>1624.6358115716471</v>
          </cell>
          <cell r="M35">
            <v>1667.2668048937546</v>
          </cell>
          <cell r="N35">
            <v>1687.302449351329</v>
          </cell>
          <cell r="O35">
            <v>1681.8012269994897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-7.4122356331751765E-2</v>
          </cell>
          <cell r="Y35">
            <v>-5.2267977573575861E-2</v>
          </cell>
          <cell r="Z35">
            <v>-3.4700144955969646E-2</v>
          </cell>
          <cell r="AA35">
            <v>-1.879939369893429E-2</v>
          </cell>
          <cell r="AB35">
            <v>2.4118851639388605E-2</v>
          </cell>
          <cell r="AC35">
            <v>1.5226507133390353E-2</v>
          </cell>
          <cell r="AD35">
            <v>3.222323452650986E-2</v>
          </cell>
          <cell r="AE35">
            <v>4.6726404821471043E-2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>
            <v>-35.656966359160343</v>
          </cell>
          <cell r="AS35">
            <v>-35.940575446103566</v>
          </cell>
          <cell r="AT35">
            <v>-238.99922137283639</v>
          </cell>
          <cell r="AU35">
            <v>61.032558734569811</v>
          </cell>
          <cell r="AV35">
            <v>-2.8045010613840349</v>
          </cell>
          <cell r="AW35">
            <v>-2.7823705869695896</v>
          </cell>
          <cell r="AX35">
            <v>-0.41841140496437434</v>
          </cell>
          <cell r="AY35">
            <v>1.6384697294914232</v>
          </cell>
          <cell r="AZ35">
            <v>0.92005710421986464</v>
          </cell>
          <cell r="BA35">
            <v>0.91510459927811949</v>
          </cell>
          <cell r="BB35">
            <v>0.9059515644655165</v>
          </cell>
          <cell r="BC35">
            <v>0.88025747436915058</v>
          </cell>
          <cell r="BD35">
            <v>7.2691331172596474</v>
          </cell>
          <cell r="BE35">
            <v>6.9014337448538825</v>
          </cell>
          <cell r="BF35">
            <v>6.2018750528605846</v>
          </cell>
          <cell r="BG35">
            <v>5.6116811453055284</v>
          </cell>
          <cell r="BH35">
            <v>44.691222568919301</v>
          </cell>
          <cell r="BI35">
            <v>72.648667423251098</v>
          </cell>
          <cell r="BJ35">
            <v>34.741346287708318</v>
          </cell>
          <cell r="BK35">
            <v>23.880044793644586</v>
          </cell>
          <cell r="BL35">
            <v>1088.1069120401744</v>
          </cell>
          <cell r="BM35">
            <v>971.14674086744299</v>
          </cell>
          <cell r="BN35">
            <v>893.08582381571125</v>
          </cell>
          <cell r="BO35">
            <v>850.79499426368056</v>
          </cell>
          <cell r="BP35">
            <v>-3.7811999999999997</v>
          </cell>
          <cell r="BQ35">
            <v>-2.6068000000000002</v>
          </cell>
          <cell r="BR35">
            <v>-1.0581</v>
          </cell>
          <cell r="BS35">
            <v>0.46100000000000002</v>
          </cell>
          <cell r="BT35">
            <v>1765.7988880475079</v>
          </cell>
          <cell r="BU35">
            <v>1821.9412362357029</v>
          </cell>
          <cell r="BV35">
            <v>1862.4643033171265</v>
          </cell>
          <cell r="BW35">
            <v>1910.5787522051742</v>
          </cell>
          <cell r="BX35">
            <v>223.49787593160903</v>
          </cell>
          <cell r="BY35">
            <v>241.58267202622463</v>
          </cell>
          <cell r="BZ35">
            <v>272.06327682675078</v>
          </cell>
          <cell r="CA35">
            <v>299.69650510282582</v>
          </cell>
          <cell r="CB35">
            <v>-100.11216591606555</v>
          </cell>
          <cell r="CC35">
            <v>-64.590564698497502</v>
          </cell>
          <cell r="CD35">
            <v>-24.97581309194533</v>
          </cell>
          <cell r="CE35">
            <v>10.445841773345029</v>
          </cell>
          <cell r="CF35">
            <v>-166.74452194013799</v>
          </cell>
          <cell r="CG35">
            <v>-117.58124506376794</v>
          </cell>
          <cell r="CH35">
            <v>-78.060917051731735</v>
          </cell>
          <cell r="CI35">
            <v>-42.29082955203063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-111.71882969989245</v>
          </cell>
          <cell r="CO35">
            <v>-78.779434090909135</v>
          </cell>
          <cell r="CP35">
            <v>-52.300814177394301</v>
          </cell>
          <cell r="CQ35">
            <v>-28.334855596229737</v>
          </cell>
          <cell r="CR35">
            <v>-67.075151163763934</v>
          </cell>
          <cell r="CS35">
            <v>-43.275678202542764</v>
          </cell>
          <cell r="CT35">
            <v>-16.733794567972588</v>
          </cell>
          <cell r="CU35">
            <v>6.9987144099477927</v>
          </cell>
          <cell r="CV35">
            <v>4.1060999999999996</v>
          </cell>
          <cell r="CW35">
            <v>3.1794304871418859</v>
          </cell>
          <cell r="CX35">
            <v>2.2241698181851177</v>
          </cell>
          <cell r="CY35">
            <v>2.5833756277827007</v>
          </cell>
          <cell r="CZ35">
            <v>2.6615699771552386</v>
          </cell>
          <cell r="DA35">
            <v>-5.8847999999999994</v>
          </cell>
          <cell r="DB35">
            <v>8.0917082631020634</v>
          </cell>
          <cell r="DC35">
            <v>12.617049287879965</v>
          </cell>
          <cell r="DD35">
            <v>10.156912244232004</v>
          </cell>
          <cell r="DE35">
            <v>10.273060007088546</v>
          </cell>
          <cell r="DF35">
            <v>-13.619300000000001</v>
          </cell>
          <cell r="DG35">
            <v>-35.481802728501052</v>
          </cell>
          <cell r="DH35">
            <v>-61.332102903063316</v>
          </cell>
          <cell r="DI35">
            <v>-141.82383065924608</v>
          </cell>
          <cell r="DJ35">
            <v>-147.07809293805076</v>
          </cell>
          <cell r="DK35">
            <v>-18.843499999999999</v>
          </cell>
          <cell r="DL35">
            <v>-29.484193217443831</v>
          </cell>
          <cell r="DM35">
            <v>-33.611081647221894</v>
          </cell>
          <cell r="DN35">
            <v>-45.823299231779913</v>
          </cell>
          <cell r="DO35">
            <v>-36.700801835162537</v>
          </cell>
          <cell r="DP35">
            <v>12.657040246453928</v>
          </cell>
          <cell r="DQ35">
            <v>13.259630290017284</v>
          </cell>
          <cell r="DR35">
            <v>14.607704230475438</v>
          </cell>
          <cell r="DS35">
            <v>15.686163407654282</v>
          </cell>
          <cell r="DT35">
            <v>-5.669511210688456</v>
          </cell>
          <cell r="DU35">
            <v>-3.5451508212167977</v>
          </cell>
          <cell r="DV35">
            <v>-1.3410089550421109</v>
          </cell>
          <cell r="DW35">
            <v>0.54673704296609205</v>
          </cell>
          <cell r="DX35">
            <v>-6.326815044233209</v>
          </cell>
          <cell r="DY35">
            <v>-4.3239283750816595</v>
          </cell>
          <cell r="DZ35">
            <v>-2.8081512265359598</v>
          </cell>
          <cell r="EA35">
            <v>-1.4830509113286161</v>
          </cell>
          <cell r="EB35">
            <v>-3.7985725111612658</v>
          </cell>
          <cell r="EC35">
            <v>-2.3752510422319806</v>
          </cell>
          <cell r="ED35">
            <v>-0.8984759889448084</v>
          </cell>
          <cell r="EE35">
            <v>0.36631384086470836</v>
          </cell>
          <cell r="EF35">
            <v>544.94652245825216</v>
          </cell>
          <cell r="EG35">
            <v>587.57751578035982</v>
          </cell>
          <cell r="EH35">
            <v>607.61316023793415</v>
          </cell>
          <cell r="EI35">
            <v>602.11193788609489</v>
          </cell>
          <cell r="EJ35">
            <v>2291.5313915348142</v>
          </cell>
          <cell r="EK35">
            <v>2079.2023295663794</v>
          </cell>
          <cell r="EL35">
            <v>1971.4694997369586</v>
          </cell>
          <cell r="EM35">
            <v>1693.5487615924044</v>
          </cell>
          <cell r="EN35">
            <v>-66.632356024072408</v>
          </cell>
          <cell r="EO35">
            <v>-52.990680365270443</v>
          </cell>
          <cell r="EP35">
            <v>-53.085103959786402</v>
          </cell>
          <cell r="EQ35">
            <v>-52.736672779881253</v>
          </cell>
          <cell r="ER35">
            <v>1823.2256781316016</v>
          </cell>
          <cell r="ES35">
            <v>1735.6853902787861</v>
          </cell>
          <cell r="ET35">
            <v>1662.1420163508835</v>
          </cell>
          <cell r="EU35">
            <v>1602.1608046241686</v>
          </cell>
          <cell r="EV35">
            <v>658.47795703638781</v>
          </cell>
          <cell r="EW35">
            <v>520.47807437308222</v>
          </cell>
          <cell r="EX35">
            <v>470.77051422880731</v>
          </cell>
          <cell r="EY35">
            <v>240.64182944262896</v>
          </cell>
          <cell r="EZ35">
            <v>50.082075247228275</v>
          </cell>
          <cell r="FA35">
            <v>60.503473991533625</v>
          </cell>
          <cell r="FB35">
            <v>68.0352485768843</v>
          </cell>
          <cell r="FC35">
            <v>70.77050781277714</v>
          </cell>
          <cell r="FD35">
            <v>2.4382626465094788</v>
          </cell>
          <cell r="FE35">
            <v>2.4322005831468587</v>
          </cell>
          <cell r="FF35">
            <v>2.2333523558376482</v>
          </cell>
          <cell r="FG35">
            <v>2.0090722702272101</v>
          </cell>
          <cell r="FH35">
            <v>-6.5774019671940618</v>
          </cell>
          <cell r="FI35">
            <v>-8.0581130820364155</v>
          </cell>
          <cell r="FJ35">
            <v>-18.84905658509393</v>
          </cell>
          <cell r="FK35">
            <v>23.03709310021161</v>
          </cell>
          <cell r="FL35">
            <v>3.354194407456724</v>
          </cell>
          <cell r="FM35">
            <v>4.5589652814602371</v>
          </cell>
          <cell r="FN35">
            <v>5.1250399176546226</v>
          </cell>
          <cell r="FO35">
            <v>5.6828861076188026</v>
          </cell>
          <cell r="FP35">
            <v>-187.14541748037152</v>
          </cell>
          <cell r="FQ35">
            <v>-218.63294887190634</v>
          </cell>
          <cell r="FR35">
            <v>-223.4957159907936</v>
          </cell>
          <cell r="FS35">
            <v>-229.26945014826046</v>
          </cell>
          <cell r="FT35">
            <v>36.35245845123751</v>
          </cell>
          <cell r="FU35">
            <v>22.949723154318292</v>
          </cell>
          <cell r="FV35">
            <v>48.567560835957181</v>
          </cell>
          <cell r="FW35">
            <v>70.427054954565364</v>
          </cell>
          <cell r="FX35">
            <v>10.598342696166453</v>
          </cell>
          <cell r="FY35">
            <v>12.000000028739784</v>
          </cell>
          <cell r="FZ35">
            <v>11.999999978133188</v>
          </cell>
          <cell r="GA35">
            <v>11.999999993909677</v>
          </cell>
          <cell r="GB35">
            <v>0.1404048800366666</v>
          </cell>
          <cell r="GC35">
            <v>0.15067805308676424</v>
          </cell>
          <cell r="GD35">
            <v>0.16217010182934127</v>
          </cell>
          <cell r="GE35">
            <v>0.17288980809852145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0.11952608839173139</v>
          </cell>
          <cell r="GK35">
            <v>3</v>
          </cell>
          <cell r="GP35">
            <v>1696.1531438095442</v>
          </cell>
          <cell r="GQ35">
            <v>237.47266746668873</v>
          </cell>
          <cell r="GR35">
            <v>-115.89645130922248</v>
          </cell>
          <cell r="GS35">
            <v>-137.65851127129983</v>
          </cell>
        </row>
        <row r="36">
          <cell r="B36" t="str">
            <v>EQUT.PA</v>
          </cell>
          <cell r="C36" t="str">
            <v>Equant</v>
          </cell>
          <cell r="D36" t="str">
            <v>Cote-Colisson Nicolas</v>
          </cell>
          <cell r="E36" t="str">
            <v>USD</v>
          </cell>
          <cell r="F36">
            <v>4.29</v>
          </cell>
          <cell r="G36">
            <v>-1</v>
          </cell>
          <cell r="H36" t="str">
            <v>EUR</v>
          </cell>
          <cell r="I36" t="str">
            <v>FRANCE</v>
          </cell>
          <cell r="J36">
            <v>282.09439400000002</v>
          </cell>
          <cell r="K36">
            <v>964.63668268303377</v>
          </cell>
          <cell r="L36">
            <v>722.12383664262086</v>
          </cell>
          <cell r="M36">
            <v>779.63813419951384</v>
          </cell>
          <cell r="N36">
            <v>723.31246284325061</v>
          </cell>
          <cell r="O36">
            <v>637.42053426328164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-0.58188377049208539</v>
          </cell>
          <cell r="Y36">
            <v>-0.18699883692889313</v>
          </cell>
          <cell r="Z36">
            <v>8.1035599503840386E-2</v>
          </cell>
          <cell r="AA36">
            <v>0.28006301143300666</v>
          </cell>
          <cell r="AB36">
            <v>7.0382565352498816E-2</v>
          </cell>
          <cell r="AC36">
            <v>6.7171508238075231E-2</v>
          </cell>
          <cell r="AD36">
            <v>0.10119864644362483</v>
          </cell>
          <cell r="AE36">
            <v>0.14837033394019472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 t="str">
            <v>-</v>
          </cell>
          <cell r="AO36" t="str">
            <v>-</v>
          </cell>
          <cell r="AP36">
            <v>42.198155485294933</v>
          </cell>
          <cell r="AQ36">
            <v>12.20994093511392</v>
          </cell>
          <cell r="AR36">
            <v>37.901621808705315</v>
          </cell>
          <cell r="AS36">
            <v>39.198261853864373</v>
          </cell>
          <cell r="AT36">
            <v>29.697022804784975</v>
          </cell>
          <cell r="AU36">
            <v>20.317018433583709</v>
          </cell>
          <cell r="AV36">
            <v>2.6384095251837434</v>
          </cell>
          <cell r="AW36">
            <v>2.5511335266041004</v>
          </cell>
          <cell r="AX36">
            <v>3.3673409168776125</v>
          </cell>
          <cell r="AY36">
            <v>4.9219820480500029</v>
          </cell>
          <cell r="AZ36">
            <v>0.31637794769713345</v>
          </cell>
          <cell r="BA36">
            <v>0.33146871194442523</v>
          </cell>
          <cell r="BB36">
            <v>0.29713527568249842</v>
          </cell>
          <cell r="BC36">
            <v>0.25246816615890977</v>
          </cell>
          <cell r="BD36">
            <v>6.7613731046620016</v>
          </cell>
          <cell r="BE36">
            <v>4.280684681515746</v>
          </cell>
          <cell r="BF36">
            <v>2.9146094232459903</v>
          </cell>
          <cell r="BG36">
            <v>2.0769445950731273</v>
          </cell>
          <cell r="BH36">
            <v>36.370739641978389</v>
          </cell>
          <cell r="BI36">
            <v>41.144663803562302</v>
          </cell>
          <cell r="BJ36">
            <v>25.337093192380564</v>
          </cell>
          <cell r="BK36">
            <v>15.229460549110831</v>
          </cell>
          <cell r="BL36">
            <v>903.81834522338681</v>
          </cell>
          <cell r="BM36">
            <v>851.06702084412723</v>
          </cell>
          <cell r="BN36">
            <v>873.92670917858993</v>
          </cell>
          <cell r="BO36">
            <v>952.93091467059901</v>
          </cell>
          <cell r="BP36">
            <v>-22.7743</v>
          </cell>
          <cell r="BQ36">
            <v>-7.4468000000000005</v>
          </cell>
          <cell r="BR36">
            <v>2.9015</v>
          </cell>
          <cell r="BS36">
            <v>10.496700000000001</v>
          </cell>
          <cell r="BT36">
            <v>2282.4720935793707</v>
          </cell>
          <cell r="BU36">
            <v>2352.0715714798134</v>
          </cell>
          <cell r="BV36">
            <v>2434.2867442509264</v>
          </cell>
          <cell r="BW36">
            <v>2524.7560671156984</v>
          </cell>
          <cell r="BX36">
            <v>106.80135905304689</v>
          </cell>
          <cell r="BY36">
            <v>182.12930692280099</v>
          </cell>
          <cell r="BZ36">
            <v>248.16788729026342</v>
          </cell>
          <cell r="CA36">
            <v>306.90300346737877</v>
          </cell>
          <cell r="CB36">
            <v>-261.87543979913119</v>
          </cell>
          <cell r="CC36">
            <v>-81.236656171535614</v>
          </cell>
          <cell r="CD36">
            <v>31.233716472041763</v>
          </cell>
          <cell r="CE36">
            <v>109.5433374516759</v>
          </cell>
          <cell r="CF36">
            <v>-252.53253756326967</v>
          </cell>
          <cell r="CG36">
            <v>-81.155882985931214</v>
          </cell>
          <cell r="CH36">
            <v>35.168751345103821</v>
          </cell>
          <cell r="CI36">
            <v>121.54493085169982</v>
          </cell>
          <cell r="CJ36">
            <v>88.38638794786975</v>
          </cell>
          <cell r="CK36">
            <v>28.404558606671717</v>
          </cell>
          <cell r="CL36">
            <v>-12.309063010641266</v>
          </cell>
          <cell r="CM36">
            <v>-42.540726156789283</v>
          </cell>
          <cell r="CN36">
            <v>-164.14614961539993</v>
          </cell>
          <cell r="CO36">
            <v>-52.751323582160936</v>
          </cell>
          <cell r="CP36">
            <v>22.859688334462557</v>
          </cell>
          <cell r="CQ36">
            <v>79.004205492009092</v>
          </cell>
          <cell r="CR36">
            <v>-170.21903630783947</v>
          </cell>
          <cell r="CS36">
            <v>-52.803826870192495</v>
          </cell>
          <cell r="CT36">
            <v>20.301915427842651</v>
          </cell>
          <cell r="CU36">
            <v>71.203169263879474</v>
          </cell>
          <cell r="CV36">
            <v>-2.9001000000000001</v>
          </cell>
          <cell r="CW36">
            <v>3.0493024688550179</v>
          </cell>
          <cell r="CX36">
            <v>3.4954366936796362</v>
          </cell>
          <cell r="CY36">
            <v>3.716461221277001</v>
          </cell>
          <cell r="CZ36">
            <v>3.4200276089262758</v>
          </cell>
          <cell r="DA36">
            <v>-54.050899999999999</v>
          </cell>
          <cell r="DB36">
            <v>70.530888874119711</v>
          </cell>
          <cell r="DC36">
            <v>36.259172937749213</v>
          </cell>
          <cell r="DD36">
            <v>23.667492526306305</v>
          </cell>
          <cell r="DE36">
            <v>42.17005120051931</v>
          </cell>
          <cell r="DF36">
            <v>19.0779</v>
          </cell>
          <cell r="DG36">
            <v>-68.97889460964825</v>
          </cell>
          <cell r="DH36">
            <v>-138.44781154715437</v>
          </cell>
          <cell r="DI36">
            <v>250.72143127677879</v>
          </cell>
          <cell r="DJ36">
            <v>-174.78773828555245</v>
          </cell>
          <cell r="DK36">
            <v>25.1737</v>
          </cell>
          <cell r="DL36">
            <v>-67.863197701707236</v>
          </cell>
          <cell r="DM36">
            <v>-143.33481471580191</v>
          </cell>
          <cell r="DN36">
            <v>245.60491086356939</v>
          </cell>
          <cell r="DO36">
            <v>-178.36819366348834</v>
          </cell>
          <cell r="DP36">
            <v>4.6791967075295577</v>
          </cell>
          <cell r="DQ36">
            <v>7.743357350652972</v>
          </cell>
          <cell r="DR36">
            <v>10.194685892135075</v>
          </cell>
          <cell r="DS36">
            <v>12.155748726172474</v>
          </cell>
          <cell r="DT36">
            <v>-11.473324932900203</v>
          </cell>
          <cell r="DU36">
            <v>-3.4538343627198946</v>
          </cell>
          <cell r="DV36">
            <v>1.2830746643059479</v>
          </cell>
          <cell r="DW36">
            <v>4.3387691539174744</v>
          </cell>
          <cell r="DX36">
            <v>-7.191595028791177</v>
          </cell>
          <cell r="DY36">
            <v>-2.242760136290082</v>
          </cell>
          <cell r="DZ36">
            <v>0.93907130655213311</v>
          </cell>
          <cell r="EA36">
            <v>3.1291817265445423</v>
          </cell>
          <cell r="EB36">
            <v>-7.4576612255925614</v>
          </cell>
          <cell r="EC36">
            <v>-2.2449923510180771</v>
          </cell>
          <cell r="ED36">
            <v>0.83399852033824029</v>
          </cell>
          <cell r="EE36">
            <v>2.8201999468892271</v>
          </cell>
          <cell r="EF36">
            <v>-242.51284604041288</v>
          </cell>
          <cell r="EG36">
            <v>-184.99854848351998</v>
          </cell>
          <cell r="EH36">
            <v>-241.32421983978321</v>
          </cell>
          <cell r="EI36">
            <v>-327.21614841975213</v>
          </cell>
          <cell r="EJ36">
            <v>984.56442947670473</v>
          </cell>
          <cell r="EK36">
            <v>931.81310509744537</v>
          </cell>
          <cell r="EL36">
            <v>954.67279343190785</v>
          </cell>
          <cell r="EM36">
            <v>1033.6769989239169</v>
          </cell>
          <cell r="EN36">
            <v>5.5965389980471079</v>
          </cell>
          <cell r="EO36">
            <v>5.6604639113626396</v>
          </cell>
          <cell r="EP36">
            <v>3.9350348730620537</v>
          </cell>
          <cell r="EQ36">
            <v>5.6248049101271373</v>
          </cell>
          <cell r="ER36">
            <v>734.87769558805951</v>
          </cell>
          <cell r="ES36">
            <v>667.48093419951374</v>
          </cell>
          <cell r="ET36">
            <v>657.85801602168112</v>
          </cell>
          <cell r="EU36">
            <v>679.0206950699453</v>
          </cell>
          <cell r="EV36">
            <v>323.25893029373083</v>
          </cell>
          <cell r="EW36">
            <v>265.7446327368379</v>
          </cell>
          <cell r="EX36">
            <v>322.07030409310107</v>
          </cell>
          <cell r="EY36">
            <v>407.96223267306999</v>
          </cell>
          <cell r="EZ36">
            <v>-26.832034038927773</v>
          </cell>
          <cell r="FA36">
            <v>-21.737247943179604</v>
          </cell>
          <cell r="FB36">
            <v>-27.613782403630346</v>
          </cell>
          <cell r="FC36">
            <v>-34.337866825619926</v>
          </cell>
          <cell r="FD36">
            <v>-2.270690637185242</v>
          </cell>
          <cell r="FE36">
            <v>-1.0157538707481886</v>
          </cell>
          <cell r="FF36">
            <v>-0.97242323523318841</v>
          </cell>
          <cell r="FG36">
            <v>-1.0661875078538698</v>
          </cell>
          <cell r="FH36">
            <v>-1.2343995700462906</v>
          </cell>
          <cell r="FI36">
            <v>-3.271240413634255</v>
          </cell>
          <cell r="FJ36">
            <v>10.311622838140183</v>
          </cell>
          <cell r="FK36">
            <v>3.7242085384977339</v>
          </cell>
          <cell r="FL36">
            <v>-19.083465529377147</v>
          </cell>
          <cell r="FM36">
            <v>-32.175685557715553</v>
          </cell>
          <cell r="FN36">
            <v>-63.066248532926259</v>
          </cell>
          <cell r="FO36">
            <v>-54.562426318967539</v>
          </cell>
          <cell r="FP36">
            <v>-175.33321987963811</v>
          </cell>
          <cell r="FQ36">
            <v>-191.58515961898686</v>
          </cell>
          <cell r="FR36">
            <v>-207.31125343748755</v>
          </cell>
          <cell r="FS36">
            <v>-222.50783787015263</v>
          </cell>
          <cell r="FT36">
            <v>19.854527121278551</v>
          </cell>
          <cell r="FU36">
            <v>18.948705910485842</v>
          </cell>
          <cell r="FV36">
            <v>28.547570842134604</v>
          </cell>
          <cell r="FW36">
            <v>41.854439440436863</v>
          </cell>
          <cell r="FX36">
            <v>7.6817245815558115</v>
          </cell>
          <cell r="FY36">
            <v>8.1453796705025621</v>
          </cell>
          <cell r="FZ36">
            <v>8.5163037562068684</v>
          </cell>
          <cell r="GA36">
            <v>8.8130430011936696</v>
          </cell>
          <cell r="GB36">
            <v>0.69877645370850106</v>
          </cell>
          <cell r="GC36">
            <v>0.71956239288988078</v>
          </cell>
          <cell r="GD36">
            <v>0.81925232154955951</v>
          </cell>
          <cell r="GE36">
            <v>0.94419353553066843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5.5892132122089426E-2</v>
          </cell>
          <cell r="GK36">
            <v>3</v>
          </cell>
          <cell r="GP36">
            <v>2350.6430939469255</v>
          </cell>
          <cell r="GQ36">
            <v>232.43406084786622</v>
          </cell>
          <cell r="GR36">
            <v>-219.91943072487101</v>
          </cell>
          <cell r="GS36">
            <v>-131.13469492025877</v>
          </cell>
        </row>
        <row r="37">
          <cell r="B37" t="str">
            <v>KCOM.L</v>
          </cell>
          <cell r="C37" t="str">
            <v>Kingston</v>
          </cell>
          <cell r="D37" t="str">
            <v>SCRUTON Steve S</v>
          </cell>
          <cell r="E37" t="str">
            <v>GBP</v>
          </cell>
          <cell r="F37">
            <v>0.6825</v>
          </cell>
          <cell r="G37">
            <v>-1</v>
          </cell>
          <cell r="H37" t="str">
            <v>GBP</v>
          </cell>
          <cell r="I37" t="str">
            <v>UNITED KINGDOM</v>
          </cell>
          <cell r="J37">
            <v>514.53655600000002</v>
          </cell>
          <cell r="K37">
            <v>510.78047605347166</v>
          </cell>
          <cell r="L37">
            <v>601.1902627336558</v>
          </cell>
          <cell r="M37">
            <v>566.67878038326126</v>
          </cell>
          <cell r="N37">
            <v>547.67492910805299</v>
          </cell>
          <cell r="O37">
            <v>529.59209005072171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2.2440472850948835E-2</v>
          </cell>
          <cell r="Y37">
            <v>4.6166297375741482E-2</v>
          </cell>
          <cell r="Z37">
            <v>5.826715104962616E-2</v>
          </cell>
          <cell r="AA37">
            <v>6.8383156938945339E-2</v>
          </cell>
          <cell r="AB37">
            <v>4.3059223477176604E-2</v>
          </cell>
          <cell r="AC37">
            <v>5.6857130671088184E-2</v>
          </cell>
          <cell r="AD37">
            <v>6.4906353914874468E-2</v>
          </cell>
          <cell r="AE37">
            <v>7.2541847064425041E-2</v>
          </cell>
          <cell r="AF37">
            <v>0</v>
          </cell>
          <cell r="AG37">
            <v>1.8751661368844683E-2</v>
          </cell>
          <cell r="AH37">
            <v>2.9133574111399801E-2</v>
          </cell>
          <cell r="AI37">
            <v>3.419157811611935E-2</v>
          </cell>
          <cell r="AJ37">
            <v>0</v>
          </cell>
          <cell r="AK37">
            <v>1.8889553756149313</v>
          </cell>
          <cell r="AL37">
            <v>2.9347811026514528</v>
          </cell>
          <cell r="AM37">
            <v>3.4443009615409212</v>
          </cell>
          <cell r="AN37">
            <v>44.23703895779974</v>
          </cell>
          <cell r="AO37">
            <v>21.502700631575767</v>
          </cell>
          <cell r="AP37">
            <v>17.037044953397292</v>
          </cell>
          <cell r="AQ37">
            <v>14.516733596040108</v>
          </cell>
          <cell r="AR37">
            <v>38.54914767315492</v>
          </cell>
          <cell r="AS37">
            <v>23.59396967217431</v>
          </cell>
          <cell r="AT37">
            <v>19.08981201951169</v>
          </cell>
          <cell r="AU37">
            <v>16.243305234666728</v>
          </cell>
          <cell r="AV37">
            <v>2.5940910768732399</v>
          </cell>
          <cell r="AW37">
            <v>4.2383711342112811</v>
          </cell>
          <cell r="AX37">
            <v>5.2383962659134635</v>
          </cell>
          <cell r="AY37">
            <v>6.1563824945293986</v>
          </cell>
          <cell r="AZ37">
            <v>1.3383602128120597</v>
          </cell>
          <cell r="BA37">
            <v>1.2443556251836208</v>
          </cell>
          <cell r="BB37">
            <v>1.1670551152096442</v>
          </cell>
          <cell r="BC37">
            <v>1.0974850808958576</v>
          </cell>
          <cell r="BD37">
            <v>7.3577261163267282</v>
          </cell>
          <cell r="BE37">
            <v>5.9476715094622312</v>
          </cell>
          <cell r="BF37">
            <v>5.2579777211671468</v>
          </cell>
          <cell r="BG37">
            <v>4.7173600604921022</v>
          </cell>
          <cell r="BH37">
            <v>27.134980199794139</v>
          </cell>
          <cell r="BI37">
            <v>19.370274546514374</v>
          </cell>
          <cell r="BJ37">
            <v>16.399077258654753</v>
          </cell>
          <cell r="BK37">
            <v>14.188505249179793</v>
          </cell>
          <cell r="BL37">
            <v>243.02725753402623</v>
          </cell>
          <cell r="BM37">
            <v>259.04340994793961</v>
          </cell>
          <cell r="BN37">
            <v>274.03369883519002</v>
          </cell>
          <cell r="BO37">
            <v>291.62651568326305</v>
          </cell>
          <cell r="BP37">
            <v>4.5371750000000004</v>
          </cell>
          <cell r="BQ37">
            <v>9.2045750000000002</v>
          </cell>
          <cell r="BR37">
            <v>11.365075000000001</v>
          </cell>
          <cell r="BS37">
            <v>12.986525000000002</v>
          </cell>
          <cell r="BT37">
            <v>449.19914457893287</v>
          </cell>
          <cell r="BU37">
            <v>455.39938014073789</v>
          </cell>
          <cell r="BV37">
            <v>469.27940417764358</v>
          </cell>
          <cell r="BW37">
            <v>482.55060526055178</v>
          </cell>
          <cell r="BX37">
            <v>81.708703644135383</v>
          </cell>
          <cell r="BY37">
            <v>95.27741730217015</v>
          </cell>
          <cell r="BZ37">
            <v>104.1607549806206</v>
          </cell>
          <cell r="CA37">
            <v>112.2645045660297</v>
          </cell>
          <cell r="CB37">
            <v>-15.062901806673715</v>
          </cell>
          <cell r="CC37">
            <v>41.540938463443091</v>
          </cell>
          <cell r="CD37">
            <v>49.469383761458317</v>
          </cell>
          <cell r="CE37">
            <v>56.145022660366294</v>
          </cell>
          <cell r="CF37">
            <v>16.494919295215425</v>
          </cell>
          <cell r="CG37">
            <v>33.934639611015918</v>
          </cell>
          <cell r="CH37">
            <v>42.829398794687357</v>
          </cell>
          <cell r="CI37">
            <v>50.265191773693779</v>
          </cell>
          <cell r="CJ37">
            <v>-5.6524200270515355</v>
          </cell>
          <cell r="CK37">
            <v>-10.180391956030055</v>
          </cell>
          <cell r="CL37">
            <v>-12.848819565680929</v>
          </cell>
          <cell r="CM37">
            <v>-15.079557713921334</v>
          </cell>
          <cell r="CN37">
            <v>11.546443615738715</v>
          </cell>
          <cell r="CO37">
            <v>23.754247654985861</v>
          </cell>
          <cell r="CP37">
            <v>29.98057922900643</v>
          </cell>
          <cell r="CQ37">
            <v>35.18563405977244</v>
          </cell>
          <cell r="CR37">
            <v>14.756584018273491</v>
          </cell>
          <cell r="CS37">
            <v>29.078657397124477</v>
          </cell>
          <cell r="CT37">
            <v>34.628568960284575</v>
          </cell>
          <cell r="CU37">
            <v>39.301516553146563</v>
          </cell>
          <cell r="CV37">
            <v>-5.1860000000000008</v>
          </cell>
          <cell r="CW37">
            <v>1.3802865915109663</v>
          </cell>
          <cell r="CX37">
            <v>3.0478794311525519</v>
          </cell>
          <cell r="CY37">
            <v>2.8279956385821805</v>
          </cell>
          <cell r="CZ37">
            <v>2.4160404499723853</v>
          </cell>
          <cell r="DA37">
            <v>30.469075</v>
          </cell>
          <cell r="DB37">
            <v>16.606203565694017</v>
          </cell>
          <cell r="DC37">
            <v>9.3236549961016806</v>
          </cell>
          <cell r="DD37">
            <v>7.7800411363347308</v>
          </cell>
          <cell r="DE37">
            <v>11.170966485882701</v>
          </cell>
          <cell r="DF37">
            <v>22.45170000000001</v>
          </cell>
          <cell r="DG37">
            <v>-375.78310604825236</v>
          </cell>
          <cell r="DH37">
            <v>19.085859856036762</v>
          </cell>
          <cell r="DI37">
            <v>13.494485662279416</v>
          </cell>
          <cell r="DJ37">
            <v>-255.04848920516636</v>
          </cell>
          <cell r="DK37">
            <v>-274.39985000000001</v>
          </cell>
          <cell r="DL37">
            <v>105.72782794008489</v>
          </cell>
          <cell r="DM37">
            <v>26.211445062179024</v>
          </cell>
          <cell r="DN37">
            <v>17.361421842477554</v>
          </cell>
          <cell r="DO37">
            <v>44.979205069461415</v>
          </cell>
          <cell r="DP37">
            <v>18.189861808558632</v>
          </cell>
          <cell r="DQ37">
            <v>20.921727489555508</v>
          </cell>
          <cell r="DR37">
            <v>22.195893118972467</v>
          </cell>
          <cell r="DS37">
            <v>23.264814786712954</v>
          </cell>
          <cell r="DT37">
            <v>-3.3532792723354965</v>
          </cell>
          <cell r="DU37">
            <v>9.1218697861655329</v>
          </cell>
          <cell r="DV37">
            <v>10.541562941196522</v>
          </cell>
          <cell r="DW37">
            <v>11.635053826126891</v>
          </cell>
          <cell r="DX37">
            <v>2.5704509358676626</v>
          </cell>
          <cell r="DY37">
            <v>5.2161352629959188</v>
          </cell>
          <cell r="DZ37">
            <v>6.3886415986109242</v>
          </cell>
          <cell r="EA37">
            <v>7.2915946381984247</v>
          </cell>
          <cell r="EB37">
            <v>3.285087292876729</v>
          </cell>
          <cell r="EC37">
            <v>6.385308954118015</v>
          </cell>
          <cell r="ED37">
            <v>7.3790941285750709</v>
          </cell>
          <cell r="EE37">
            <v>8.1445378214634765</v>
          </cell>
          <cell r="EF37">
            <v>90.409786680184169</v>
          </cell>
          <cell r="EG37">
            <v>55.898304329789589</v>
          </cell>
          <cell r="EH37">
            <v>36.894453054581341</v>
          </cell>
          <cell r="EI37">
            <v>18.811613997250017</v>
          </cell>
          <cell r="EJ37">
            <v>389.8290531978102</v>
          </cell>
          <cell r="EK37">
            <v>405.84520561172349</v>
          </cell>
          <cell r="EL37">
            <v>420.8354944989739</v>
          </cell>
          <cell r="EM37">
            <v>438.42831134704693</v>
          </cell>
          <cell r="EN37">
            <v>-8.9054338002670317</v>
          </cell>
          <cell r="EO37">
            <v>-7.6062999433063689</v>
          </cell>
          <cell r="EP37">
            <v>-6.6399864212765571</v>
          </cell>
          <cell r="EQ37">
            <v>-5.8798323411781146</v>
          </cell>
          <cell r="ER37">
            <v>326.82191274824652</v>
          </cell>
          <cell r="ES37">
            <v>316.56408945936806</v>
          </cell>
          <cell r="ET37">
            <v>319.78796294014802</v>
          </cell>
          <cell r="EU37">
            <v>323.52799609581137</v>
          </cell>
          <cell r="EV37">
            <v>56.39200898359973</v>
          </cell>
          <cell r="EW37">
            <v>90.90349133399431</v>
          </cell>
          <cell r="EX37">
            <v>109.90734260920254</v>
          </cell>
          <cell r="EY37">
            <v>127.99018166653387</v>
          </cell>
          <cell r="EZ37">
            <v>37.201500604320444</v>
          </cell>
          <cell r="FA37">
            <v>21.578740158270602</v>
          </cell>
          <cell r="FB37">
            <v>13.463473000366458</v>
          </cell>
          <cell r="FC37">
            <v>6.450584218371076</v>
          </cell>
          <cell r="FD37">
            <v>1.1064890598918871</v>
          </cell>
          <cell r="FE37">
            <v>0.58668996192990197</v>
          </cell>
          <cell r="FF37">
            <v>0.35420685133710539</v>
          </cell>
          <cell r="FG37">
            <v>0.16756510947042699</v>
          </cell>
          <cell r="FH37">
            <v>-3.743767947728033</v>
          </cell>
          <cell r="FI37">
            <v>2.1882868971289926</v>
          </cell>
          <cell r="FJ37">
            <v>2.2217245142809228</v>
          </cell>
          <cell r="FK37">
            <v>2.2796354084809067</v>
          </cell>
          <cell r="FL37">
            <v>9.1751514273999017</v>
          </cell>
          <cell r="FM37">
            <v>12.526118876762856</v>
          </cell>
          <cell r="FN37">
            <v>15.686892769367347</v>
          </cell>
          <cell r="FO37">
            <v>19.093147227993203</v>
          </cell>
          <cell r="FP37">
            <v>-53.900739065103053</v>
          </cell>
          <cell r="FQ37">
            <v>-55.841953146596417</v>
          </cell>
          <cell r="FR37">
            <v>-57.91524360906304</v>
          </cell>
          <cell r="FS37">
            <v>-59.859514697700398</v>
          </cell>
          <cell r="FT37">
            <v>22.155544551980796</v>
          </cell>
          <cell r="FU37">
            <v>29.255072199543683</v>
          </cell>
          <cell r="FV37">
            <v>33.396691805876628</v>
          </cell>
          <cell r="FW37">
            <v>37.32543215440797</v>
          </cell>
          <cell r="FX37">
            <v>11.999296907750825</v>
          </cell>
          <cell r="FY37">
            <v>12.262193490324661</v>
          </cell>
          <cell r="FZ37">
            <v>12.341313744751407</v>
          </cell>
          <cell r="GA37">
            <v>12.404816001708138</v>
          </cell>
          <cell r="GB37">
            <v>0.18845192713522785</v>
          </cell>
          <cell r="GC37">
            <v>0.20135848257343278</v>
          </cell>
          <cell r="GD37">
            <v>0.21988561127495929</v>
          </cell>
          <cell r="GE37">
            <v>0.23711168471762792</v>
          </cell>
          <cell r="GF37">
            <v>0</v>
          </cell>
          <cell r="GG37">
            <v>-9.6484152600035902</v>
          </cell>
          <cell r="GH37">
            <v>-14.990288887250415</v>
          </cell>
          <cell r="GI37">
            <v>-17.592816848073021</v>
          </cell>
          <cell r="GJ37">
            <v>4.0625110387251098E-2</v>
          </cell>
          <cell r="GK37">
            <v>3</v>
          </cell>
          <cell r="GP37">
            <v>473.76879424866883</v>
          </cell>
          <cell r="GQ37">
            <v>62.626874333350933</v>
          </cell>
          <cell r="GR37">
            <v>-12.301096519422526</v>
          </cell>
          <cell r="GS37">
            <v>-6.6206729052454545</v>
          </cell>
        </row>
        <row r="38">
          <cell r="B38" t="str">
            <v>TOIGn.DE</v>
          </cell>
          <cell r="C38" t="str">
            <v>T- Online</v>
          </cell>
          <cell r="D38" t="str">
            <v>Cote-Colisson Nicolas</v>
          </cell>
          <cell r="E38" t="str">
            <v>EUR</v>
          </cell>
          <cell r="F38">
            <v>8.1199999999999992</v>
          </cell>
          <cell r="G38">
            <v>-1</v>
          </cell>
          <cell r="H38" t="str">
            <v>EUR</v>
          </cell>
          <cell r="I38" t="str">
            <v>GERMANY</v>
          </cell>
          <cell r="J38">
            <v>1223.890578</v>
          </cell>
          <cell r="K38">
            <v>9937.9914933599994</v>
          </cell>
          <cell r="L38">
            <v>5645.5920373599993</v>
          </cell>
          <cell r="M38">
            <v>5305.4074813599991</v>
          </cell>
          <cell r="N38">
            <v>4924.1887043599991</v>
          </cell>
          <cell r="O38">
            <v>4487.1802003600005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179.50626</v>
          </cell>
          <cell r="U38">
            <v>170.40573900000001</v>
          </cell>
          <cell r="V38">
            <v>160.207483</v>
          </cell>
          <cell r="W38">
            <v>148.51675599999999</v>
          </cell>
          <cell r="X38">
            <v>0.25913049230124885</v>
          </cell>
          <cell r="Y38">
            <v>0.29647359128538037</v>
          </cell>
          <cell r="Z38">
            <v>0.33872993015230157</v>
          </cell>
          <cell r="AA38">
            <v>0.3917436743270688</v>
          </cell>
          <cell r="AB38">
            <v>0.15604456103591313</v>
          </cell>
          <cell r="AC38">
            <v>0.16099716473182943</v>
          </cell>
          <cell r="AD38">
            <v>0.19354342884728049</v>
          </cell>
          <cell r="AE38">
            <v>0.22636479680457186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31.335563514309221</v>
          </cell>
          <cell r="AO38">
            <v>27.388611460451553</v>
          </cell>
          <cell r="AP38">
            <v>23.971899962749205</v>
          </cell>
          <cell r="AQ38">
            <v>20.727839483173302</v>
          </cell>
          <cell r="AR38">
            <v>32.020390761906569</v>
          </cell>
          <cell r="AS38">
            <v>30.674228811860011</v>
          </cell>
          <cell r="AT38">
            <v>26.51664810643803</v>
          </cell>
          <cell r="AU38">
            <v>23.272057374732899</v>
          </cell>
          <cell r="AV38">
            <v>3.1230099827190796</v>
          </cell>
          <cell r="AW38">
            <v>3.2600656601132081</v>
          </cell>
          <cell r="AX38">
            <v>3.7712157131851365</v>
          </cell>
          <cell r="AY38">
            <v>4.296998687729805</v>
          </cell>
          <cell r="AZ38">
            <v>2.7456187352462784</v>
          </cell>
          <cell r="BA38">
            <v>2.3452339787494423</v>
          </cell>
          <cell r="BB38">
            <v>2.0137964365916678</v>
          </cell>
          <cell r="BC38">
            <v>1.6789060696508309</v>
          </cell>
          <cell r="BD38">
            <v>11.824775731583259</v>
          </cell>
          <cell r="BE38">
            <v>9.9561099534688644</v>
          </cell>
          <cell r="BF38">
            <v>8.0410908299532409</v>
          </cell>
          <cell r="BG38">
            <v>6.3885372148122279</v>
          </cell>
          <cell r="BH38">
            <v>29.560941679220935</v>
          </cell>
          <cell r="BI38">
            <v>26.92513727382827</v>
          </cell>
          <cell r="BJ38">
            <v>20.788045816836494</v>
          </cell>
          <cell r="BK38">
            <v>16.196531908294048</v>
          </cell>
          <cell r="BL38">
            <v>5794.2473680000003</v>
          </cell>
          <cell r="BM38">
            <v>6157.413603</v>
          </cell>
          <cell r="BN38">
            <v>6572.312723</v>
          </cell>
          <cell r="BO38">
            <v>7052.1114020000005</v>
          </cell>
          <cell r="BP38">
            <v>35.092399999999998</v>
          </cell>
          <cell r="BQ38">
            <v>20.092099999999999</v>
          </cell>
          <cell r="BR38">
            <v>23.087</v>
          </cell>
          <cell r="BS38">
            <v>26.949499999999997</v>
          </cell>
          <cell r="BT38">
            <v>2056.2184999999999</v>
          </cell>
          <cell r="BU38">
            <v>2262.2081760000001</v>
          </cell>
          <cell r="BV38">
            <v>2445.2266450000002</v>
          </cell>
          <cell r="BW38">
            <v>2672.6809090000002</v>
          </cell>
          <cell r="BX38">
            <v>477.43755700000003</v>
          </cell>
          <cell r="BY38">
            <v>532.87955899999997</v>
          </cell>
          <cell r="BZ38">
            <v>612.378197</v>
          </cell>
          <cell r="CA38">
            <v>702.37991099999999</v>
          </cell>
          <cell r="CB38">
            <v>382.31540699999999</v>
          </cell>
          <cell r="CC38">
            <v>457.56768699999998</v>
          </cell>
          <cell r="CD38">
            <v>526.89714300000003</v>
          </cell>
          <cell r="CE38">
            <v>616.54735400000004</v>
          </cell>
          <cell r="CF38">
            <v>507.49240700000001</v>
          </cell>
          <cell r="CG38">
            <v>595.35448299999996</v>
          </cell>
          <cell r="CH38">
            <v>680.16249100000005</v>
          </cell>
          <cell r="CI38">
            <v>786.55521299999998</v>
          </cell>
          <cell r="CJ38">
            <v>-190.045039</v>
          </cell>
          <cell r="CK38">
            <v>-232.18824900000001</v>
          </cell>
          <cell r="CL38">
            <v>-265.263372</v>
          </cell>
          <cell r="CM38">
            <v>-306.75653299999999</v>
          </cell>
          <cell r="CN38">
            <v>317.14736799999997</v>
          </cell>
          <cell r="CO38">
            <v>362.85123499999997</v>
          </cell>
          <cell r="CP38">
            <v>414.56837000000002</v>
          </cell>
          <cell r="CQ38">
            <v>479.451392</v>
          </cell>
          <cell r="CR38">
            <v>239.14647400000001</v>
          </cell>
          <cell r="CS38">
            <v>279.11628899999999</v>
          </cell>
          <cell r="CT38">
            <v>321.40725700000002</v>
          </cell>
          <cell r="CU38">
            <v>376.093886</v>
          </cell>
          <cell r="CV38">
            <v>11.0869</v>
          </cell>
          <cell r="CW38">
            <v>10.01788846856499</v>
          </cell>
          <cell r="CX38">
            <v>8.0902576050100947</v>
          </cell>
          <cell r="CY38">
            <v>9.301970615488699</v>
          </cell>
          <cell r="CZ38">
            <v>9.1338014186717658</v>
          </cell>
          <cell r="DA38">
            <v>38.830300000000001</v>
          </cell>
          <cell r="DB38">
            <v>11.612409033837267</v>
          </cell>
          <cell r="DC38">
            <v>14.918687845558736</v>
          </cell>
          <cell r="DD38">
            <v>14.697080079093666</v>
          </cell>
          <cell r="DE38">
            <v>13.73265236941586</v>
          </cell>
          <cell r="DF38">
            <v>-558.96209999999996</v>
          </cell>
          <cell r="DG38">
            <v>19.683297775127315</v>
          </cell>
          <cell r="DH38">
            <v>15.151737758090448</v>
          </cell>
          <cell r="DI38">
            <v>17.014746082994051</v>
          </cell>
          <cell r="DJ38">
            <v>17.268547523444028</v>
          </cell>
          <cell r="DK38">
            <v>-4.8099999999999997E-2</v>
          </cell>
          <cell r="DL38">
            <v>14.410924261556545</v>
          </cell>
          <cell r="DM38">
            <v>14.252985800089689</v>
          </cell>
          <cell r="DN38">
            <v>15.650741034584954</v>
          </cell>
          <cell r="DO38">
            <v>14.76985266125557</v>
          </cell>
          <cell r="DP38">
            <v>23.219203455274819</v>
          </cell>
          <cell r="DQ38">
            <v>23.555725978421183</v>
          </cell>
          <cell r="DR38">
            <v>25.043821530907618</v>
          </cell>
          <cell r="DS38">
            <v>26.279976357626609</v>
          </cell>
          <cell r="DT38">
            <v>18.593131371982111</v>
          </cell>
          <cell r="DU38">
            <v>20.226595052320238</v>
          </cell>
          <cell r="DV38">
            <v>21.547987957574378</v>
          </cell>
          <cell r="DW38">
            <v>23.068498447526419</v>
          </cell>
          <cell r="DX38">
            <v>15.42381648642885</v>
          </cell>
          <cell r="DY38">
            <v>16.039692493799912</v>
          </cell>
          <cell r="DZ38">
            <v>16.954189945856736</v>
          </cell>
          <cell r="EA38">
            <v>17.938968710611611</v>
          </cell>
          <cell r="EB38">
            <v>11.630401827432252</v>
          </cell>
          <cell r="EC38">
            <v>12.338222978821026</v>
          </cell>
          <cell r="ED38">
            <v>13.14427264471429</v>
          </cell>
          <cell r="EE38">
            <v>14.071784055236051</v>
          </cell>
          <cell r="EF38">
            <v>-4112.893196</v>
          </cell>
          <cell r="EG38">
            <v>-4462.1782730000004</v>
          </cell>
          <cell r="EH38">
            <v>-4853.5953060000002</v>
          </cell>
          <cell r="EI38">
            <v>-5302.2945369999998</v>
          </cell>
          <cell r="EJ38">
            <v>5894.2473680000003</v>
          </cell>
          <cell r="EK38">
            <v>6257.413603</v>
          </cell>
          <cell r="EL38">
            <v>6672.312723</v>
          </cell>
          <cell r="EM38">
            <v>7152.1114020000005</v>
          </cell>
          <cell r="EN38">
            <v>113.777</v>
          </cell>
          <cell r="EO38">
            <v>121.386796</v>
          </cell>
          <cell r="EP38">
            <v>131.86534800000001</v>
          </cell>
          <cell r="EQ38">
            <v>143.60785899999999</v>
          </cell>
          <cell r="ER38">
            <v>98.506900000000002</v>
          </cell>
          <cell r="ES38">
            <v>133.225425</v>
          </cell>
          <cell r="ET38">
            <v>157.983217</v>
          </cell>
          <cell r="EU38">
            <v>190.728295</v>
          </cell>
          <cell r="EV38">
            <v>4212.893196</v>
          </cell>
          <cell r="EW38">
            <v>4562.1782730000004</v>
          </cell>
          <cell r="EX38">
            <v>4953.5953060000002</v>
          </cell>
          <cell r="EY38">
            <v>5402.2945369999998</v>
          </cell>
          <cell r="EZ38">
            <v>-70.982354303931743</v>
          </cell>
          <cell r="FA38">
            <v>-72.4683862527271</v>
          </cell>
          <cell r="FB38">
            <v>-73.849122988544067</v>
          </cell>
          <cell r="FC38">
            <v>-75.187333760726645</v>
          </cell>
          <cell r="FD38">
            <v>-8.6145154181911163</v>
          </cell>
          <cell r="FE38">
            <v>-8.3737088383981355</v>
          </cell>
          <cell r="FF38">
            <v>-7.9258133777091349</v>
          </cell>
          <cell r="FG38">
            <v>-7.5490407028454998</v>
          </cell>
          <cell r="FH38">
            <v>11.019417786633957</v>
          </cell>
          <cell r="FI38">
            <v>9.9704992345755414</v>
          </cell>
          <cell r="FJ38">
            <v>9.4014465096463802</v>
          </cell>
          <cell r="FK38">
            <v>8.7621729327866014</v>
          </cell>
          <cell r="FL38">
            <v>-4.196257213672359</v>
          </cell>
          <cell r="FM38">
            <v>-4.3899301782378366</v>
          </cell>
          <cell r="FN38">
            <v>-4.6439660326835819</v>
          </cell>
          <cell r="FO38">
            <v>-4.8909573326345601</v>
          </cell>
          <cell r="FP38">
            <v>-96.411050000000003</v>
          </cell>
          <cell r="FQ38">
            <v>-103.648397</v>
          </cell>
          <cell r="FR38">
            <v>-110.238846</v>
          </cell>
          <cell r="FS38">
            <v>-118.577636</v>
          </cell>
          <cell r="FT38">
            <v>190.98146800000001</v>
          </cell>
          <cell r="FU38">
            <v>197.04291299999994</v>
          </cell>
          <cell r="FV38">
            <v>236.875979</v>
          </cell>
          <cell r="FW38">
            <v>277.04574200000002</v>
          </cell>
          <cell r="FX38">
            <v>4.6887551104126333</v>
          </cell>
          <cell r="FY38">
            <v>4.5817355847095129</v>
          </cell>
          <cell r="FZ38">
            <v>4.5083283476162181</v>
          </cell>
          <cell r="GA38">
            <v>4.4366551802237604</v>
          </cell>
          <cell r="GB38">
            <v>0.33686100000000002</v>
          </cell>
          <cell r="GC38">
            <v>0.358018</v>
          </cell>
          <cell r="GD38">
            <v>0.40858499999999998</v>
          </cell>
          <cell r="GE38">
            <v>0.46188699999999999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0.38034380682796481</v>
          </cell>
          <cell r="GK38">
            <v>3</v>
          </cell>
          <cell r="GP38">
            <v>1850.999982896273</v>
          </cell>
          <cell r="GQ38">
            <v>343.90011186318839</v>
          </cell>
          <cell r="GR38">
            <v>-83.299995141211014</v>
          </cell>
          <cell r="GS38">
            <v>317.29998929485077</v>
          </cell>
        </row>
        <row r="39">
          <cell r="B39" t="str">
            <v>TRR.MC</v>
          </cell>
          <cell r="C39" t="str">
            <v>Terra Lycos</v>
          </cell>
          <cell r="D39" t="str">
            <v>Cote-Colisson Nicolas</v>
          </cell>
          <cell r="E39" t="str">
            <v>EUR</v>
          </cell>
          <cell r="F39">
            <v>3.5</v>
          </cell>
          <cell r="G39">
            <v>-1</v>
          </cell>
          <cell r="H39" t="str">
            <v>EUR</v>
          </cell>
          <cell r="I39" t="str">
            <v>SPAIN</v>
          </cell>
          <cell r="J39">
            <v>574.94151299999999</v>
          </cell>
          <cell r="K39">
            <v>2012.2952955000001</v>
          </cell>
          <cell r="L39">
            <v>1543.9695375000001</v>
          </cell>
          <cell r="M39">
            <v>1528.7596775000002</v>
          </cell>
          <cell r="N39">
            <v>1508.2534805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-0.21012151022046655</v>
          </cell>
          <cell r="Y39">
            <v>-0.12851331366639374</v>
          </cell>
          <cell r="Z39">
            <v>-8.8339740393732893E-2</v>
          </cell>
          <cell r="AA39">
            <v>0</v>
          </cell>
          <cell r="AB39">
            <v>-4.4464355803091923E-2</v>
          </cell>
          <cell r="AC39">
            <v>1.5862799595756448E-2</v>
          </cell>
          <cell r="AD39">
            <v>1.5898905877057456E-2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>
            <v>-213.1594229756798</v>
          </cell>
          <cell r="AS39">
            <v>180.15130448631783</v>
          </cell>
          <cell r="AT39">
            <v>130.70220271690781</v>
          </cell>
          <cell r="AU39" t="str">
            <v>-</v>
          </cell>
          <cell r="AV39">
            <v>-0.46913243901682639</v>
          </cell>
          <cell r="AW39">
            <v>0.55508895861253571</v>
          </cell>
          <cell r="AX39">
            <v>0.76509804671458581</v>
          </cell>
          <cell r="AY39">
            <v>0</v>
          </cell>
          <cell r="AZ39">
            <v>2.8192118056823579</v>
          </cell>
          <cell r="BA39">
            <v>2.7367052506099037</v>
          </cell>
          <cell r="BB39">
            <v>2.6600947134744479</v>
          </cell>
          <cell r="BC39" t="str">
            <v>-</v>
          </cell>
          <cell r="BD39">
            <v>186.02042620481927</v>
          </cell>
          <cell r="BE39">
            <v>120.67521152267119</v>
          </cell>
          <cell r="BF39">
            <v>57.458838328021571</v>
          </cell>
          <cell r="BG39" t="str">
            <v>-</v>
          </cell>
          <cell r="BH39" t="str">
            <v>-</v>
          </cell>
          <cell r="BI39">
            <v>167.62381249628572</v>
          </cell>
          <cell r="BJ39">
            <v>164.99980477939843</v>
          </cell>
          <cell r="BK39" t="str">
            <v>-</v>
          </cell>
          <cell r="BL39">
            <v>1357.2993469999999</v>
          </cell>
          <cell r="BM39">
            <v>1283.4117080000001</v>
          </cell>
          <cell r="BN39">
            <v>1232.6215239999999</v>
          </cell>
          <cell r="BO39">
            <v>0</v>
          </cell>
          <cell r="BP39">
            <v>-12.833900000000002</v>
          </cell>
          <cell r="BQ39">
            <v>-9.1757000000000009</v>
          </cell>
          <cell r="BR39">
            <v>-5.6128</v>
          </cell>
          <cell r="BS39">
            <v>0</v>
          </cell>
          <cell r="BT39">
            <v>547.66</v>
          </cell>
          <cell r="BU39">
            <v>558.61320000000001</v>
          </cell>
          <cell r="BV39">
            <v>566.99239799999998</v>
          </cell>
          <cell r="BW39">
            <v>0</v>
          </cell>
          <cell r="BX39">
            <v>8.3000000000000007</v>
          </cell>
          <cell r="BY39">
            <v>12.668381999999999</v>
          </cell>
          <cell r="BZ39">
            <v>26.249286000000001</v>
          </cell>
          <cell r="CA39">
            <v>0</v>
          </cell>
          <cell r="CB39">
            <v>-130.12000399999999</v>
          </cell>
          <cell r="CC39">
            <v>-106.499138</v>
          </cell>
          <cell r="CD39">
            <v>-91.169835000000006</v>
          </cell>
          <cell r="CE39">
            <v>0</v>
          </cell>
          <cell r="CF39">
            <v>-174.36241100000001</v>
          </cell>
          <cell r="CG39">
            <v>-113.67329100000001</v>
          </cell>
          <cell r="CH39">
            <v>-78.138744000000003</v>
          </cell>
          <cell r="CI39">
            <v>0</v>
          </cell>
          <cell r="CJ39">
            <v>7.9233520000000004</v>
          </cell>
          <cell r="CK39">
            <v>39.785651999999999</v>
          </cell>
          <cell r="CL39">
            <v>27.348559999999999</v>
          </cell>
          <cell r="CM39">
            <v>0</v>
          </cell>
          <cell r="CN39">
            <v>-120.807579</v>
          </cell>
          <cell r="CO39">
            <v>-73.887638999999993</v>
          </cell>
          <cell r="CP39">
            <v>-50.790184000000004</v>
          </cell>
          <cell r="CQ39">
            <v>0</v>
          </cell>
          <cell r="CR39">
            <v>-51.514004</v>
          </cell>
          <cell r="CS39">
            <v>-28.063137999999999</v>
          </cell>
          <cell r="CT39">
            <v>-12.733834999999999</v>
          </cell>
          <cell r="CU39">
            <v>0</v>
          </cell>
          <cell r="CV39">
            <v>0.189</v>
          </cell>
          <cell r="CW39">
            <v>2</v>
          </cell>
          <cell r="CX39">
            <v>1.4999999999999858</v>
          </cell>
          <cell r="CY39">
            <v>0</v>
          </cell>
          <cell r="CZ39">
            <v>0</v>
          </cell>
          <cell r="DA39">
            <v>-128.3974</v>
          </cell>
          <cell r="DB39">
            <v>52.631108433734937</v>
          </cell>
          <cell r="DC39">
            <v>107.20314559507287</v>
          </cell>
          <cell r="DD39">
            <v>0</v>
          </cell>
          <cell r="DE39">
            <v>0</v>
          </cell>
          <cell r="DF39">
            <v>-31.611899999999999</v>
          </cell>
          <cell r="DG39">
            <v>-18.153139620253924</v>
          </cell>
          <cell r="DH39">
            <v>-14.393828239248279</v>
          </cell>
          <cell r="DI39">
            <v>0</v>
          </cell>
          <cell r="DJ39">
            <v>0</v>
          </cell>
          <cell r="DK39">
            <v>-29.947099999999999</v>
          </cell>
          <cell r="DL39">
            <v>-38.838573199120241</v>
          </cell>
          <cell r="DM39">
            <v>-31.26024232551265</v>
          </cell>
          <cell r="DN39">
            <v>0</v>
          </cell>
          <cell r="DO39">
            <v>0</v>
          </cell>
          <cell r="DP39">
            <v>1.5155388379651611</v>
          </cell>
          <cell r="DQ39">
            <v>2.267827183460756</v>
          </cell>
          <cell r="DR39">
            <v>4.6295657741781584</v>
          </cell>
          <cell r="DS39">
            <v>0</v>
          </cell>
          <cell r="DT39">
            <v>-23.759267428696639</v>
          </cell>
          <cell r="DU39">
            <v>-19.06491611727041</v>
          </cell>
          <cell r="DV39">
            <v>-16.079551563934729</v>
          </cell>
          <cell r="DW39">
            <v>0</v>
          </cell>
          <cell r="DX39">
            <v>-22.058864806631853</v>
          </cell>
          <cell r="DY39">
            <v>-13.22697691354232</v>
          </cell>
          <cell r="DZ39">
            <v>-8.9578245103737704</v>
          </cell>
          <cell r="EA39">
            <v>0</v>
          </cell>
          <cell r="EB39">
            <v>-9.4062016579629706</v>
          </cell>
          <cell r="EC39">
            <v>-5.023715515494442</v>
          </cell>
          <cell r="ED39">
            <v>-2.2458563897712081</v>
          </cell>
          <cell r="EE39">
            <v>0</v>
          </cell>
          <cell r="EF39">
            <v>-468.32575800000001</v>
          </cell>
          <cell r="EG39">
            <v>-483.535618</v>
          </cell>
          <cell r="EH39">
            <v>-504.04181499999999</v>
          </cell>
          <cell r="EI39">
            <v>0</v>
          </cell>
          <cell r="EJ39">
            <v>1371.2993469999999</v>
          </cell>
          <cell r="EK39">
            <v>1297.4117080000001</v>
          </cell>
          <cell r="EL39">
            <v>1246.6215239999999</v>
          </cell>
          <cell r="EM39">
            <v>0</v>
          </cell>
          <cell r="EN39">
            <v>16.124074</v>
          </cell>
          <cell r="EO39">
            <v>2.0498470000000002</v>
          </cell>
          <cell r="EP39">
            <v>6.2550910000000002</v>
          </cell>
          <cell r="EQ39">
            <v>0</v>
          </cell>
          <cell r="ER39">
            <v>26.174661</v>
          </cell>
          <cell r="ES39">
            <v>28.776993000000001</v>
          </cell>
          <cell r="ET39">
            <v>34.250776999999999</v>
          </cell>
          <cell r="EU39">
            <v>0</v>
          </cell>
          <cell r="EV39">
            <v>482.32575800000001</v>
          </cell>
          <cell r="EW39">
            <v>497.535618</v>
          </cell>
          <cell r="EX39">
            <v>518.04181500000004</v>
          </cell>
          <cell r="EY39">
            <v>0</v>
          </cell>
          <cell r="EZ39">
            <v>-34.504235122128883</v>
          </cell>
          <cell r="FA39">
            <v>-37.675799198802387</v>
          </cell>
          <cell r="FB39">
            <v>-40.89185570639119</v>
          </cell>
          <cell r="FC39">
            <v>0</v>
          </cell>
          <cell r="FD39">
            <v>-56.424790120481923</v>
          </cell>
          <cell r="FE39">
            <v>-38.168695733993495</v>
          </cell>
          <cell r="FF39">
            <v>-19.202115249915749</v>
          </cell>
          <cell r="FG39">
            <v>0</v>
          </cell>
          <cell r="FH39">
            <v>-3.706776384667188</v>
          </cell>
          <cell r="FI39">
            <v>-4.6717337561924674</v>
          </cell>
          <cell r="FJ39">
            <v>-5.6821624718307326</v>
          </cell>
          <cell r="FK39">
            <v>0</v>
          </cell>
          <cell r="FL39">
            <v>-0.5147582428609544</v>
          </cell>
          <cell r="FM39">
            <v>-6.1801597875353611</v>
          </cell>
          <cell r="FN39">
            <v>-4.1964674854450559</v>
          </cell>
          <cell r="FO39">
            <v>0</v>
          </cell>
          <cell r="FP39">
            <v>-41.787756000000002</v>
          </cell>
          <cell r="FQ39">
            <v>-43.333852</v>
          </cell>
          <cell r="FR39">
            <v>-44.456904999999999</v>
          </cell>
          <cell r="FS39">
            <v>0</v>
          </cell>
          <cell r="FT39">
            <v>-25.564404</v>
          </cell>
          <cell r="FU39">
            <v>9.1201819999999998</v>
          </cell>
          <cell r="FV39">
            <v>9.1409410000000051</v>
          </cell>
          <cell r="FW39">
            <v>0</v>
          </cell>
          <cell r="FX39">
            <v>7.6302370083628528</v>
          </cell>
          <cell r="FY39">
            <v>7.7573985004292769</v>
          </cell>
          <cell r="FZ39">
            <v>7.8408291110809563</v>
          </cell>
          <cell r="GA39">
            <v>0</v>
          </cell>
          <cell r="GB39">
            <v>3.1389E-2</v>
          </cell>
          <cell r="GC39">
            <v>8.0681000000000003E-2</v>
          </cell>
          <cell r="GD39">
            <v>0.11872199999999999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0.1095965347635071</v>
          </cell>
          <cell r="GK39">
            <v>3</v>
          </cell>
          <cell r="GP39">
            <v>546.62687520586087</v>
          </cell>
          <cell r="GQ39">
            <v>-29.228027918048845</v>
          </cell>
          <cell r="GR39">
            <v>-190.26702598843951</v>
          </cell>
          <cell r="GS39">
            <v>-172.45193132618351</v>
          </cell>
        </row>
        <row r="40">
          <cell r="B40" t="str">
            <v>THUS.L</v>
          </cell>
          <cell r="C40" t="str">
            <v>Thus</v>
          </cell>
          <cell r="D40" t="str">
            <v>SCRUTON Steve S</v>
          </cell>
          <cell r="E40" t="str">
            <v>GBP</v>
          </cell>
          <cell r="F40">
            <v>0.14499999999999999</v>
          </cell>
          <cell r="G40">
            <v>-1</v>
          </cell>
          <cell r="H40" t="str">
            <v>GBP</v>
          </cell>
          <cell r="I40" t="str">
            <v>UNITED KINGDOM</v>
          </cell>
          <cell r="J40">
            <v>1348.6131559999999</v>
          </cell>
          <cell r="K40">
            <v>284.42698113235429</v>
          </cell>
          <cell r="L40">
            <v>328.40350304015988</v>
          </cell>
          <cell r="M40">
            <v>323.05451324426696</v>
          </cell>
          <cell r="N40">
            <v>311.6317578757085</v>
          </cell>
          <cell r="O40">
            <v>292.1854856323742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-1.7494285595601199E-2</v>
          </cell>
          <cell r="Y40">
            <v>-1.3832570844163465E-2</v>
          </cell>
          <cell r="Z40">
            <v>-6.519276458749358E-3</v>
          </cell>
          <cell r="AA40">
            <v>1.5611650790081529E-3</v>
          </cell>
          <cell r="AB40">
            <v>3.2449740040477798E-3</v>
          </cell>
          <cell r="AC40">
            <v>7.4096032116906267E-3</v>
          </cell>
          <cell r="AD40">
            <v>1.262426822866195E-2</v>
          </cell>
          <cell r="AE40">
            <v>1.7948458519610012E-2</v>
          </cell>
          <cell r="AF40">
            <v>0</v>
          </cell>
          <cell r="AG40">
            <v>0</v>
          </cell>
          <cell r="AH40">
            <v>0</v>
          </cell>
          <cell r="AI40">
            <v>1.7474960413398734E-3</v>
          </cell>
          <cell r="AJ40">
            <v>0</v>
          </cell>
          <cell r="AK40">
            <v>0</v>
          </cell>
          <cell r="AL40">
            <v>0</v>
          </cell>
          <cell r="AM40">
            <v>0.82857686075577197</v>
          </cell>
          <cell r="AN40" t="str">
            <v>-</v>
          </cell>
          <cell r="AO40" t="str">
            <v>-</v>
          </cell>
          <cell r="AP40" t="str">
            <v>-</v>
          </cell>
          <cell r="AQ40">
            <v>135.09353673124315</v>
          </cell>
          <cell r="AR40">
            <v>-168.65515638314301</v>
          </cell>
          <cell r="AS40">
            <v>59.642494583002275</v>
          </cell>
          <cell r="AT40">
            <v>23.053116465425258</v>
          </cell>
          <cell r="AU40">
            <v>13.994524901921931</v>
          </cell>
          <cell r="AV40">
            <v>-0.59292583840617719</v>
          </cell>
          <cell r="AW40">
            <v>1.6766568987290373</v>
          </cell>
          <cell r="AX40">
            <v>4.3378083024036513</v>
          </cell>
          <cell r="AY40">
            <v>7.1456516531166088</v>
          </cell>
          <cell r="AZ40">
            <v>0.64012100104385772</v>
          </cell>
          <cell r="BA40">
            <v>0.6034594553864745</v>
          </cell>
          <cell r="BB40">
            <v>0.54424074614467099</v>
          </cell>
          <cell r="BC40">
            <v>0.4734473262294685</v>
          </cell>
          <cell r="BD40">
            <v>5.64713390557446</v>
          </cell>
          <cell r="BE40">
            <v>5.3943587846003531</v>
          </cell>
          <cell r="BF40">
            <v>4.4072190884421589</v>
          </cell>
          <cell r="BG40">
            <v>3.4779387145285083</v>
          </cell>
          <cell r="BH40">
            <v>75.042823673111343</v>
          </cell>
          <cell r="BI40">
            <v>32.329089151688784</v>
          </cell>
          <cell r="BJ40">
            <v>18.304088378626798</v>
          </cell>
          <cell r="BK40">
            <v>12.071023371572087</v>
          </cell>
          <cell r="BL40">
            <v>512.17054091701232</v>
          </cell>
          <cell r="BM40">
            <v>478.58612589130587</v>
          </cell>
          <cell r="BN40">
            <v>465.40798589479317</v>
          </cell>
          <cell r="BO40">
            <v>465.44085044881655</v>
          </cell>
          <cell r="BP40">
            <v>-3.3313249999999996</v>
          </cell>
          <cell r="BQ40">
            <v>-2.7753000000000001</v>
          </cell>
          <cell r="BR40">
            <v>-1.0688500000000001</v>
          </cell>
          <cell r="BS40">
            <v>1.0123250000000001</v>
          </cell>
          <cell r="BT40">
            <v>513.03347727168136</v>
          </cell>
          <cell r="BU40">
            <v>535.33756138989099</v>
          </cell>
          <cell r="BV40">
            <v>572.59909347704377</v>
          </cell>
          <cell r="BW40">
            <v>617.14465251992772</v>
          </cell>
          <cell r="BX40">
            <v>58.154013793790625</v>
          </cell>
          <cell r="BY40">
            <v>59.887472477083449</v>
          </cell>
          <cell r="BZ40">
            <v>70.709386491122345</v>
          </cell>
          <cell r="CA40">
            <v>84.011108192280133</v>
          </cell>
          <cell r="CB40">
            <v>-29.107442062940908</v>
          </cell>
          <cell r="CC40">
            <v>-21.425872182107142</v>
          </cell>
          <cell r="CD40">
            <v>-7.8726181004643143</v>
          </cell>
          <cell r="CE40">
            <v>6.88909050466303</v>
          </cell>
          <cell r="CF40">
            <v>-33.7043197401957</v>
          </cell>
          <cell r="CG40">
            <v>-26.649695953130617</v>
          </cell>
          <cell r="CH40">
            <v>-12.559975116675307</v>
          </cell>
          <cell r="CI40">
            <v>3.0077255852696196</v>
          </cell>
          <cell r="CJ40">
            <v>-0.54071245665776602</v>
          </cell>
          <cell r="CK40">
            <v>-0.6181648798373921</v>
          </cell>
          <cell r="CL40">
            <v>-0.6181648798373921</v>
          </cell>
          <cell r="CM40">
            <v>-0.6181648798373921</v>
          </cell>
          <cell r="CN40">
            <v>-23.593023709049071</v>
          </cell>
          <cell r="CO40">
            <v>-18.654787021740873</v>
          </cell>
          <cell r="CP40">
            <v>-8.7919819998704742</v>
          </cell>
          <cell r="CQ40">
            <v>2.1054077642381741</v>
          </cell>
          <cell r="CR40">
            <v>-19.349164722360616</v>
          </cell>
          <cell r="CS40">
            <v>-14.998110491112357</v>
          </cell>
          <cell r="CT40">
            <v>-5.5108319067095799</v>
          </cell>
          <cell r="CU40">
            <v>4.8223634987146804</v>
          </cell>
          <cell r="CV40">
            <v>9.6532499999999999</v>
          </cell>
          <cell r="CW40">
            <v>4.3474909740438505</v>
          </cell>
          <cell r="CX40">
            <v>6.9603806597114328</v>
          </cell>
          <cell r="CY40">
            <v>7.7795371229783257</v>
          </cell>
          <cell r="CZ40">
            <v>6.3523494214849023</v>
          </cell>
          <cell r="DA40">
            <v>7.5102750000000009</v>
          </cell>
          <cell r="DB40">
            <v>2.9808066033748304</v>
          </cell>
          <cell r="DC40">
            <v>18.070413671540436</v>
          </cell>
          <cell r="DD40">
            <v>18.811818856366187</v>
          </cell>
          <cell r="DE40">
            <v>13.045255423685532</v>
          </cell>
          <cell r="DF40">
            <v>-20.835000000000001</v>
          </cell>
          <cell r="DG40">
            <v>-26.390398250122459</v>
          </cell>
          <cell r="DH40">
            <v>-63.256487140631876</v>
          </cell>
          <cell r="DI40">
            <v>-187.50698200712571</v>
          </cell>
          <cell r="DJ40">
            <v>-161.85658640791161</v>
          </cell>
          <cell r="DK40">
            <v>-12.7194</v>
          </cell>
          <cell r="DL40">
            <v>-20.930919021685824</v>
          </cell>
          <cell r="DM40">
            <v>-52.870102512432744</v>
          </cell>
          <cell r="DN40">
            <v>-123.94690712821286</v>
          </cell>
          <cell r="DO40">
            <v>-144.68730925062835</v>
          </cell>
          <cell r="DP40">
            <v>11.33532534817307</v>
          </cell>
          <cell r="DQ40">
            <v>11.186861673146614</v>
          </cell>
          <cell r="DR40">
            <v>12.348847089810695</v>
          </cell>
          <cell r="DS40">
            <v>13.612871447438719</v>
          </cell>
          <cell r="DT40">
            <v>-5.6735950678569083</v>
          </cell>
          <cell r="DU40">
            <v>-4.0023106405011797</v>
          </cell>
          <cell r="DV40">
            <v>-1.374891820498479</v>
          </cell>
          <cell r="DW40">
            <v>1.1162845657875291</v>
          </cell>
          <cell r="DX40">
            <v>-4.5987298596023551</v>
          </cell>
          <cell r="DY40">
            <v>-3.4846774011723847</v>
          </cell>
          <cell r="DZ40">
            <v>-1.5354516100404823</v>
          </cell>
          <cell r="EA40">
            <v>0.34115304339774544</v>
          </cell>
          <cell r="EB40">
            <v>-3.7715208811050154</v>
          </cell>
          <cell r="EC40">
            <v>-2.8016174415583559</v>
          </cell>
          <cell r="ED40">
            <v>-0.96242414098940865</v>
          </cell>
          <cell r="EE40">
            <v>0.78139921961957948</v>
          </cell>
          <cell r="EF40">
            <v>43.976521907805605</v>
          </cell>
          <cell r="EG40">
            <v>38.627532111912657</v>
          </cell>
          <cell r="EH40">
            <v>27.204776743354202</v>
          </cell>
          <cell r="EI40">
            <v>7.7585045000199315</v>
          </cell>
          <cell r="EJ40">
            <v>597.36420652420225</v>
          </cell>
          <cell r="EK40">
            <v>557.14251882104168</v>
          </cell>
          <cell r="EL40">
            <v>535.23734522682457</v>
          </cell>
          <cell r="EM40">
            <v>526.5431761831436</v>
          </cell>
          <cell r="EN40">
            <v>-6.062655695269223</v>
          </cell>
          <cell r="EO40">
            <v>-5.2238237710234774</v>
          </cell>
          <cell r="EP40">
            <v>-4.6873570162109939</v>
          </cell>
          <cell r="EQ40">
            <v>-3.8813660102726093</v>
          </cell>
          <cell r="ER40">
            <v>557.07107059697728</v>
          </cell>
          <cell r="ES40">
            <v>518.99596516619533</v>
          </cell>
          <cell r="ET40">
            <v>493.47992796784723</v>
          </cell>
          <cell r="EU40">
            <v>475.54532739408575</v>
          </cell>
          <cell r="EV40">
            <v>41.217143699384259</v>
          </cell>
          <cell r="EW40">
            <v>39.928860817823143</v>
          </cell>
          <cell r="EX40">
            <v>42.624582588677235</v>
          </cell>
          <cell r="EY40">
            <v>53.343821234307143</v>
          </cell>
          <cell r="EZ40">
            <v>8.5863044424749884</v>
          </cell>
          <cell r="FA40">
            <v>8.0711767479622996</v>
          </cell>
          <cell r="FB40">
            <v>5.8453609666903992</v>
          </cell>
          <cell r="FC40">
            <v>1.6669152465965418</v>
          </cell>
          <cell r="FD40">
            <v>0.75620785288772596</v>
          </cell>
          <cell r="FE40">
            <v>0.64500187625540339</v>
          </cell>
          <cell r="FF40">
            <v>0.38474067013394037</v>
          </cell>
          <cell r="FG40">
            <v>9.2350936286457283E-2</v>
          </cell>
          <cell r="FH40">
            <v>-1.416034552615711</v>
          </cell>
          <cell r="FI40">
            <v>-1.8635815839118066</v>
          </cell>
          <cell r="FJ40">
            <v>-5.4142830307192602</v>
          </cell>
          <cell r="FK40">
            <v>7.7432313014613792</v>
          </cell>
          <cell r="FL40">
            <v>9.5921683032683234</v>
          </cell>
          <cell r="FM40">
            <v>11.464298012746704</v>
          </cell>
          <cell r="FN40">
            <v>15.085129262946563</v>
          </cell>
          <cell r="FO40">
            <v>21.644727132131397</v>
          </cell>
          <cell r="FP40">
            <v>-53.237086704396027</v>
          </cell>
          <cell r="FQ40">
            <v>-49.276619225220223</v>
          </cell>
          <cell r="FR40">
            <v>-53.06596739323863</v>
          </cell>
          <cell r="FS40">
            <v>-59.187416022976393</v>
          </cell>
          <cell r="FT40">
            <v>4.3762146327368328</v>
          </cell>
          <cell r="FU40">
            <v>9.9926883720258317</v>
          </cell>
          <cell r="FV40">
            <v>17.025254218046321</v>
          </cell>
          <cell r="FW40">
            <v>24.205527289466346</v>
          </cell>
          <cell r="FX40">
            <v>10.376922571897557</v>
          </cell>
          <cell r="FY40">
            <v>9.2047752258003115</v>
          </cell>
          <cell r="FZ40">
            <v>9.2675604969965111</v>
          </cell>
          <cell r="GA40">
            <v>9.590525621716413</v>
          </cell>
          <cell r="GB40">
            <v>4.6264550486230148E-2</v>
          </cell>
          <cell r="GC40">
            <v>4.648236269977285E-2</v>
          </cell>
          <cell r="GD40">
            <v>5.1772399565581308E-2</v>
          </cell>
          <cell r="GE40">
            <v>5.8773662269339631E-2</v>
          </cell>
          <cell r="GF40">
            <v>0</v>
          </cell>
          <cell r="GG40">
            <v>0</v>
          </cell>
          <cell r="GH40">
            <v>0</v>
          </cell>
          <cell r="GI40">
            <v>-2.3566961514088729</v>
          </cell>
          <cell r="GJ40">
            <v>2.3159725961102325E-2</v>
          </cell>
          <cell r="GK40">
            <v>3</v>
          </cell>
          <cell r="GP40">
            <v>467.86892068559882</v>
          </cell>
          <cell r="GQ40">
            <v>54.091586868130157</v>
          </cell>
          <cell r="GR40">
            <v>-36.768069302015931</v>
          </cell>
          <cell r="GS40">
            <v>-27.031234557334702</v>
          </cell>
        </row>
        <row r="42">
          <cell r="B42" t="str">
            <v>European alternative carriers aggregate</v>
          </cell>
          <cell r="K42">
            <v>19260.332584369222</v>
          </cell>
          <cell r="L42">
            <v>13837.881976632174</v>
          </cell>
          <cell r="M42">
            <v>13948.978230003662</v>
          </cell>
          <cell r="N42">
            <v>13608.874898953225</v>
          </cell>
          <cell r="O42">
            <v>11471.494491495989</v>
          </cell>
          <cell r="P42">
            <v>1490.8682396078282</v>
          </cell>
          <cell r="Q42">
            <v>1490.8682396078282</v>
          </cell>
          <cell r="R42">
            <v>1490.8682396078282</v>
          </cell>
          <cell r="S42">
            <v>1490.8682396078282</v>
          </cell>
          <cell r="T42">
            <v>894.25031165198709</v>
          </cell>
          <cell r="U42">
            <v>885.14979065198713</v>
          </cell>
          <cell r="V42">
            <v>874.95153465198712</v>
          </cell>
          <cell r="W42">
            <v>863.26080765198708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0.588211330785679</v>
          </cell>
          <cell r="AK42">
            <v>0.66280355622241416</v>
          </cell>
          <cell r="AL42">
            <v>0.74783570991165993</v>
          </cell>
          <cell r="AM42">
            <v>0.84280544669174096</v>
          </cell>
          <cell r="AN42">
            <v>158.8115590620562</v>
          </cell>
          <cell r="AO42">
            <v>49.701017520387886</v>
          </cell>
          <cell r="AP42">
            <v>31.989457017467142</v>
          </cell>
          <cell r="AQ42">
            <v>22.946330116839405</v>
          </cell>
          <cell r="AR42">
            <v>59.99855652887679</v>
          </cell>
          <cell r="AS42">
            <v>47.868575647778087</v>
          </cell>
          <cell r="AT42">
            <v>33.342135052683297</v>
          </cell>
          <cell r="AU42">
            <v>27.436024508369879</v>
          </cell>
          <cell r="AV42">
            <v>1.6667067640514128</v>
          </cell>
          <cell r="AW42">
            <v>2.0890531762593127</v>
          </cell>
          <cell r="AX42">
            <v>2.999208054372998</v>
          </cell>
          <cell r="AY42">
            <v>3.644842931580452</v>
          </cell>
          <cell r="AZ42">
            <v>1.1127943120480464</v>
          </cell>
          <cell r="BA42">
            <v>1.132509958109702</v>
          </cell>
          <cell r="BB42">
            <v>1.0855744978367943</v>
          </cell>
          <cell r="BC42">
            <v>0.92616273773462443</v>
          </cell>
          <cell r="BD42">
            <v>8.9388125914824315</v>
          </cell>
          <cell r="BE42">
            <v>7.5517603440360324</v>
          </cell>
          <cell r="BF42">
            <v>6.3384770415673026</v>
          </cell>
          <cell r="BG42">
            <v>4.7778015749770022</v>
          </cell>
          <cell r="BH42">
            <v>60.278999325007661</v>
          </cell>
          <cell r="BI42">
            <v>44.907389807658305</v>
          </cell>
          <cell r="BJ42">
            <v>27.996584486248807</v>
          </cell>
          <cell r="BK42">
            <v>18.957330037631458</v>
          </cell>
          <cell r="BL42">
            <v>7906.744513451039</v>
          </cell>
          <cell r="BM42">
            <v>8178.454846839245</v>
          </cell>
          <cell r="BN42">
            <v>8544.3759317299828</v>
          </cell>
          <cell r="BO42">
            <v>7809.1787681320802</v>
          </cell>
          <cell r="BP42">
            <v>14.975945399821869</v>
          </cell>
          <cell r="BQ42">
            <v>11.94705272196723</v>
          </cell>
          <cell r="BR42">
            <v>14.1066623017258</v>
          </cell>
          <cell r="BS42">
            <v>16.913022741209829</v>
          </cell>
          <cell r="BT42">
            <v>12435.255848103854</v>
          </cell>
          <cell r="BU42">
            <v>12316.870266894797</v>
          </cell>
          <cell r="BV42">
            <v>12536.104086888001</v>
          </cell>
          <cell r="BW42">
            <v>12386.046235842996</v>
          </cell>
          <cell r="BX42">
            <v>1548.0671325202568</v>
          </cell>
          <cell r="BY42">
            <v>1847.1161152538166</v>
          </cell>
          <cell r="BZ42">
            <v>2147.0259826938154</v>
          </cell>
          <cell r="CA42">
            <v>2400.9985160489227</v>
          </cell>
          <cell r="CB42">
            <v>-84.730171622075673</v>
          </cell>
          <cell r="CC42">
            <v>612.68115404747732</v>
          </cell>
          <cell r="CD42">
            <v>919.53719724425105</v>
          </cell>
          <cell r="CE42">
            <v>1277.5154124007217</v>
          </cell>
          <cell r="CF42">
            <v>383.28482049613422</v>
          </cell>
          <cell r="CG42">
            <v>800.24540645996569</v>
          </cell>
          <cell r="CH42">
            <v>1136.9999336601072</v>
          </cell>
          <cell r="CI42">
            <v>1512.0515836972124</v>
          </cell>
          <cell r="CJ42">
            <v>-193.61122598683798</v>
          </cell>
          <cell r="CK42">
            <v>-316.38151202256796</v>
          </cell>
          <cell r="CL42">
            <v>-403.04197454887213</v>
          </cell>
          <cell r="CM42">
            <v>-546.44744576907067</v>
          </cell>
          <cell r="CN42">
            <v>121.27790129459768</v>
          </cell>
          <cell r="CO42">
            <v>387.52390887104934</v>
          </cell>
          <cell r="CP42">
            <v>602.08376071693056</v>
          </cell>
          <cell r="CQ42">
            <v>839.36439885151071</v>
          </cell>
          <cell r="CR42">
            <v>134.34639506501338</v>
          </cell>
          <cell r="CS42">
            <v>441.54355725752271</v>
          </cell>
          <cell r="CT42">
            <v>645.44696687525413</v>
          </cell>
          <cell r="CU42">
            <v>830.85028006211417</v>
          </cell>
          <cell r="CW42">
            <v>-0.9520156453162798</v>
          </cell>
          <cell r="CX42">
            <v>1.7799474642715012</v>
          </cell>
          <cell r="CY42">
            <v>-1.1970054652143176</v>
          </cell>
          <cell r="CZ42">
            <v>-0.13208324188838105</v>
          </cell>
          <cell r="DA42">
            <v>13.304343929304736</v>
          </cell>
          <cell r="DB42">
            <v>19.317571987120957</v>
          </cell>
          <cell r="DC42">
            <v>16.236654802764662</v>
          </cell>
          <cell r="DD42">
            <v>11.829038651709965</v>
          </cell>
          <cell r="DE42">
            <v>15.753473970469045</v>
          </cell>
          <cell r="DF42">
            <v>-90.40668526390769</v>
          </cell>
          <cell r="DG42">
            <v>-823.09679340700029</v>
          </cell>
          <cell r="DH42">
            <v>50.084132859258006</v>
          </cell>
          <cell r="DI42">
            <v>38.930259290139759</v>
          </cell>
          <cell r="DJ42">
            <v>-347.04497281999909</v>
          </cell>
          <cell r="DK42">
            <v>150.09173980050937</v>
          </cell>
          <cell r="DL42">
            <v>219.53381839096153</v>
          </cell>
          <cell r="DM42">
            <v>55.366868194260803</v>
          </cell>
          <cell r="DN42">
            <v>39.409905002592751</v>
          </cell>
          <cell r="DO42">
            <v>90.570770845378291</v>
          </cell>
          <cell r="DP42">
            <v>12.449017144720093</v>
          </cell>
          <cell r="DQ42">
            <v>14.996635307741148</v>
          </cell>
          <cell r="DR42">
            <v>17.126740236143007</v>
          </cell>
          <cell r="DS42">
            <v>19.384704935953362</v>
          </cell>
          <cell r="DT42">
            <v>-0.6813705536665372</v>
          </cell>
          <cell r="DU42">
            <v>4.9743249768103643</v>
          </cell>
          <cell r="DV42">
            <v>7.3351113780718427</v>
          </cell>
          <cell r="DW42">
            <v>10.3141501983403</v>
          </cell>
          <cell r="DX42">
            <v>0.97527467690252889</v>
          </cell>
          <cell r="DY42">
            <v>3.1462855455466925</v>
          </cell>
          <cell r="DZ42">
            <v>4.8027980347313273</v>
          </cell>
          <cell r="EA42">
            <v>6.7766935700800213</v>
          </cell>
          <cell r="EB42">
            <v>1.0803669559038362</v>
          </cell>
          <cell r="EC42">
            <v>3.5848681336223907</v>
          </cell>
          <cell r="ED42">
            <v>5.14870459276381</v>
          </cell>
          <cell r="EE42">
            <v>6.707953968860398</v>
          </cell>
          <cell r="EF42">
            <v>-6019.0685356928889</v>
          </cell>
          <cell r="EG42">
            <v>-5917.0728033214009</v>
          </cell>
          <cell r="EH42">
            <v>-6267.3743903718369</v>
          </cell>
          <cell r="EI42">
            <v>-6404.1502293290723</v>
          </cell>
          <cell r="EJ42">
            <v>15798.90422098407</v>
          </cell>
          <cell r="EK42">
            <v>15545.51818254438</v>
          </cell>
          <cell r="EL42">
            <v>15809.631242700405</v>
          </cell>
          <cell r="EM42">
            <v>14962.981409509966</v>
          </cell>
          <cell r="EN42">
            <v>101.39324058333665</v>
          </cell>
          <cell r="EO42">
            <v>104.3958259333227</v>
          </cell>
          <cell r="EP42">
            <v>110.03952859696702</v>
          </cell>
          <cell r="EQ42">
            <v>119.76233288162088</v>
          </cell>
          <cell r="ER42">
            <v>5435.5811842206294</v>
          </cell>
          <cell r="ES42">
            <v>5485.6085998289955</v>
          </cell>
          <cell r="ET42">
            <v>5608.9943370913497</v>
          </cell>
          <cell r="EU42">
            <v>5711.2492484180102</v>
          </cell>
          <cell r="EV42">
            <v>8871.1647149503933</v>
          </cell>
          <cell r="EW42">
            <v>8411.0243844676297</v>
          </cell>
          <cell r="EX42">
            <v>8522.7870517263091</v>
          </cell>
          <cell r="EY42">
            <v>8256.8026340178076</v>
          </cell>
          <cell r="EZ42">
            <v>-76.125749674258273</v>
          </cell>
          <cell r="FA42">
            <v>-72.349519733647384</v>
          </cell>
          <cell r="FB42">
            <v>-73.350873609125941</v>
          </cell>
          <cell r="FC42">
            <v>-82.007985980079127</v>
          </cell>
          <cell r="FD42">
            <v>-3.8881185507077021</v>
          </cell>
          <cell r="FE42">
            <v>-3.2034113905764512</v>
          </cell>
          <cell r="FF42">
            <v>-2.9190957356316347</v>
          </cell>
          <cell r="FG42">
            <v>-2.667286208851027</v>
          </cell>
          <cell r="FH42">
            <v>-104.69900562126435</v>
          </cell>
          <cell r="FI42">
            <v>13.728224426201056</v>
          </cell>
          <cell r="FJ42">
            <v>9.2685614864391983</v>
          </cell>
          <cell r="FK42">
            <v>6.4631726191870582</v>
          </cell>
          <cell r="FL42">
            <v>-15.267952021396109</v>
          </cell>
          <cell r="FM42">
            <v>-17.693390504267519</v>
          </cell>
          <cell r="FN42">
            <v>-19.511406583333848</v>
          </cell>
          <cell r="FO42">
            <v>-20.048027274336668</v>
          </cell>
          <cell r="FP42">
            <v>-1124.892009793492</v>
          </cell>
          <cell r="FQ42">
            <v>-1220.118059055598</v>
          </cell>
          <cell r="FR42">
            <v>-1257.8934671492173</v>
          </cell>
          <cell r="FS42">
            <v>-1249.4292272394887</v>
          </cell>
          <cell r="FT42">
            <v>229.56389673992678</v>
          </cell>
          <cell r="FU42">
            <v>310.61654417565069</v>
          </cell>
          <cell r="FV42">
            <v>486.09054099572575</v>
          </cell>
          <cell r="FW42">
            <v>605.12184304036339</v>
          </cell>
          <cell r="FX42">
            <v>9.0459900747841644</v>
          </cell>
          <cell r="FY42">
            <v>9.9060721808122256</v>
          </cell>
          <cell r="FZ42">
            <v>10.034165785723628</v>
          </cell>
          <cell r="GA42">
            <v>10.087393535023828</v>
          </cell>
          <cell r="GF42">
            <v>-113.29145860826596</v>
          </cell>
          <cell r="GG42">
            <v>-127.6581693094636</v>
          </cell>
          <cell r="GH42">
            <v>-144.03564491366433</v>
          </cell>
          <cell r="GI42">
            <v>-162.32713207200797</v>
          </cell>
          <cell r="GK42">
            <v>0</v>
          </cell>
          <cell r="GP42">
            <v>12969.884491963781</v>
          </cell>
          <cell r="GQ42">
            <v>1366.2910695517198</v>
          </cell>
          <cell r="GR42">
            <v>-883.22101330941177</v>
          </cell>
          <cell r="GS42">
            <v>48.493365431156349</v>
          </cell>
        </row>
        <row r="43"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GK43">
            <v>0</v>
          </cell>
        </row>
        <row r="44">
          <cell r="B44" t="str">
            <v>EMEA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GK44">
            <v>0</v>
          </cell>
        </row>
        <row r="45">
          <cell r="B45" t="str">
            <v>MTAV.BU</v>
          </cell>
          <cell r="C45" t="str">
            <v>Matav</v>
          </cell>
          <cell r="D45" t="str">
            <v>DROUET Herve</v>
          </cell>
          <cell r="E45" t="str">
            <v>HUF</v>
          </cell>
          <cell r="F45">
            <v>860</v>
          </cell>
          <cell r="G45">
            <v>0</v>
          </cell>
          <cell r="H45" t="str">
            <v>HUF</v>
          </cell>
          <cell r="I45" t="str">
            <v>HUNGARY</v>
          </cell>
          <cell r="J45">
            <v>1042.8116</v>
          </cell>
          <cell r="K45">
            <v>3584.1174843537397</v>
          </cell>
          <cell r="L45">
            <v>4725.7766980238675</v>
          </cell>
          <cell r="M45">
            <v>4666.450812993764</v>
          </cell>
          <cell r="N45">
            <v>4588.9845501337504</v>
          </cell>
          <cell r="O45">
            <v>4612.2168366010974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0.26344376498911509</v>
          </cell>
          <cell r="Y45">
            <v>0.28256904672285904</v>
          </cell>
          <cell r="Z45">
            <v>0.30645197063277363</v>
          </cell>
          <cell r="AA45">
            <v>0.34279527213751154</v>
          </cell>
          <cell r="AB45">
            <v>0.49799115099017449</v>
          </cell>
          <cell r="AC45">
            <v>0.52808683726284933</v>
          </cell>
          <cell r="AD45">
            <v>0.49646837975082153</v>
          </cell>
          <cell r="AE45">
            <v>0.48397181195920974</v>
          </cell>
          <cell r="AF45">
            <v>0.27819471495264636</v>
          </cell>
          <cell r="AG45">
            <v>0.31793681708873872</v>
          </cell>
          <cell r="AH45">
            <v>0.31793681708873872</v>
          </cell>
          <cell r="AI45">
            <v>0.2112790673772014</v>
          </cell>
          <cell r="AJ45">
            <v>8.0941731703201274</v>
          </cell>
          <cell r="AK45">
            <v>9.250483623223003</v>
          </cell>
          <cell r="AL45">
            <v>9.250483623223003</v>
          </cell>
          <cell r="AM45">
            <v>6.1472388463810184</v>
          </cell>
          <cell r="AN45">
            <v>13.046332989045839</v>
          </cell>
          <cell r="AO45">
            <v>12.163310602476862</v>
          </cell>
          <cell r="AP45">
            <v>11.215379280606795</v>
          </cell>
          <cell r="AQ45">
            <v>10.026319967905499</v>
          </cell>
          <cell r="AR45">
            <v>9.5566801219070356</v>
          </cell>
          <cell r="AS45">
            <v>8.4022814519518292</v>
          </cell>
          <cell r="AT45">
            <v>8.7851936154507726</v>
          </cell>
          <cell r="AU45">
            <v>8.8724509488529186</v>
          </cell>
          <cell r="AV45">
            <v>10.463884814012692</v>
          </cell>
          <cell r="AW45">
            <v>11.901529432434122</v>
          </cell>
          <cell r="AX45">
            <v>11.382788402537551</v>
          </cell>
          <cell r="AY45">
            <v>11.270842811808226</v>
          </cell>
          <cell r="AZ45">
            <v>1.9660945533870493</v>
          </cell>
          <cell r="BA45">
            <v>1.9350931742856887</v>
          </cell>
          <cell r="BB45">
            <v>1.8442106538510836</v>
          </cell>
          <cell r="BC45">
            <v>1.7640124017164076</v>
          </cell>
          <cell r="BD45">
            <v>5.3042837482617866</v>
          </cell>
          <cell r="BE45">
            <v>4.8351753951730121</v>
          </cell>
          <cell r="BF45">
            <v>4.8111990910286027</v>
          </cell>
          <cell r="BG45">
            <v>4.7482129917330935</v>
          </cell>
          <cell r="BH45">
            <v>9.100090625048102</v>
          </cell>
          <cell r="BI45">
            <v>8.4737470607026708</v>
          </cell>
          <cell r="BJ45">
            <v>8.8637836820342635</v>
          </cell>
          <cell r="BK45">
            <v>9.1386868443335842</v>
          </cell>
          <cell r="BL45">
            <v>2304.627672848258</v>
          </cell>
          <cell r="BM45">
            <v>2263.4617839857574</v>
          </cell>
          <cell r="BN45">
            <v>2249.4666100301447</v>
          </cell>
          <cell r="BO45">
            <v>2384.076449492954</v>
          </cell>
          <cell r="BP45">
            <v>9.4925999999999995</v>
          </cell>
          <cell r="BQ45">
            <v>13.066600000000001</v>
          </cell>
          <cell r="BR45">
            <v>13.963900000000001</v>
          </cell>
          <cell r="BS45">
            <v>14.780999999999999</v>
          </cell>
          <cell r="BT45">
            <v>2403.6365341039332</v>
          </cell>
          <cell r="BU45">
            <v>2411.4863692371382</v>
          </cell>
          <cell r="BV45">
            <v>2488.3190759965655</v>
          </cell>
          <cell r="BW45">
            <v>2614.6170129605375</v>
          </cell>
          <cell r="BX45">
            <v>890.93587792555479</v>
          </cell>
          <cell r="BY45">
            <v>965.10476489690791</v>
          </cell>
          <cell r="BZ45">
            <v>953.81306474944802</v>
          </cell>
          <cell r="CA45">
            <v>971.3584551980349</v>
          </cell>
          <cell r="CB45">
            <v>340.75609696068051</v>
          </cell>
          <cell r="CC45">
            <v>460.64359040768585</v>
          </cell>
          <cell r="CD45">
            <v>478.60987326441966</v>
          </cell>
          <cell r="CE45">
            <v>514.09184841140313</v>
          </cell>
          <cell r="CF45">
            <v>341.75921410668741</v>
          </cell>
          <cell r="CG45">
            <v>403.24257885610712</v>
          </cell>
          <cell r="CH45">
            <v>433.59042670674046</v>
          </cell>
          <cell r="CI45">
            <v>478.09170621671024</v>
          </cell>
          <cell r="CJ45">
            <v>-32.323551700811407</v>
          </cell>
          <cell r="CK45">
            <v>-55.310916582232693</v>
          </cell>
          <cell r="CL45">
            <v>-60.486290852685322</v>
          </cell>
          <cell r="CM45">
            <v>-67.606495573321325</v>
          </cell>
          <cell r="CN45">
            <v>274.72221407832308</v>
          </cell>
          <cell r="CO45">
            <v>294.66627972353939</v>
          </cell>
          <cell r="CP45">
            <v>319.57166981871569</v>
          </cell>
          <cell r="CQ45">
            <v>357.47088621015382</v>
          </cell>
          <cell r="CR45">
            <v>334.02056779102986</v>
          </cell>
          <cell r="CS45">
            <v>433.60354740307707</v>
          </cell>
          <cell r="CT45">
            <v>448.69522500625038</v>
          </cell>
          <cell r="CU45">
            <v>478.5000841269989</v>
          </cell>
          <cell r="CV45">
            <v>-0.95739999999999992</v>
          </cell>
          <cell r="CW45">
            <v>0.32658162005061797</v>
          </cell>
          <cell r="CX45">
            <v>3.1861140804927146</v>
          </cell>
          <cell r="CY45">
            <v>5.0756327105433598</v>
          </cell>
          <cell r="CZ45">
            <v>2.8441900165423419</v>
          </cell>
          <cell r="DA45">
            <v>-10.9697</v>
          </cell>
          <cell r="DB45">
            <v>8.324828846723193</v>
          </cell>
          <cell r="DC45">
            <v>-1.1699973472482128</v>
          </cell>
          <cell r="DD45">
            <v>1.8394999080030345</v>
          </cell>
          <cell r="DE45">
            <v>2.9226656037630789</v>
          </cell>
          <cell r="DF45">
            <v>-30.148099999999999</v>
          </cell>
          <cell r="DG45">
            <v>35.182787488271714</v>
          </cell>
          <cell r="DH45">
            <v>3.9002567778774448</v>
          </cell>
          <cell r="DI45">
            <v>7.413548513943951</v>
          </cell>
          <cell r="DJ45">
            <v>14.691797915530287</v>
          </cell>
          <cell r="DK45">
            <v>4.9882</v>
          </cell>
          <cell r="DL45">
            <v>7.2597207736285583</v>
          </cell>
          <cell r="DM45">
            <v>8.452066561040823</v>
          </cell>
          <cell r="DN45">
            <v>11.859379278813194</v>
          </cell>
          <cell r="DO45">
            <v>9.1730976413388845</v>
          </cell>
          <cell r="DP45">
            <v>37.066164758462222</v>
          </cell>
          <cell r="DQ45">
            <v>40.021157789177721</v>
          </cell>
          <cell r="DR45">
            <v>38.331622095829822</v>
          </cell>
          <cell r="DS45">
            <v>37.151079886004538</v>
          </cell>
          <cell r="DT45">
            <v>14.176689866619668</v>
          </cell>
          <cell r="DU45">
            <v>19.102060715914732</v>
          </cell>
          <cell r="DV45">
            <v>19.234264523440896</v>
          </cell>
          <cell r="DW45">
            <v>19.662223792741855</v>
          </cell>
          <cell r="DX45">
            <v>11.429440773612576</v>
          </cell>
          <cell r="DY45">
            <v>12.219280336083989</v>
          </cell>
          <cell r="DZ45">
            <v>12.842873444223709</v>
          </cell>
          <cell r="EA45">
            <v>13.672017142020684</v>
          </cell>
          <cell r="EB45">
            <v>13.896467417256641</v>
          </cell>
          <cell r="EC45">
            <v>17.980758794014889</v>
          </cell>
          <cell r="ED45">
            <v>18.032061456047355</v>
          </cell>
          <cell r="EE45">
            <v>18.300962693774874</v>
          </cell>
          <cell r="EF45">
            <v>1141.6592136701277</v>
          </cell>
          <cell r="EG45">
            <v>1082.3333286400239</v>
          </cell>
          <cell r="EH45">
            <v>1004.8670657800108</v>
          </cell>
          <cell r="EI45">
            <v>1028.099352247358</v>
          </cell>
          <cell r="EJ45">
            <v>3595.9751443020023</v>
          </cell>
          <cell r="EK45">
            <v>3405.7423524269898</v>
          </cell>
          <cell r="EL45">
            <v>3368.2339710615179</v>
          </cell>
          <cell r="EM45">
            <v>3502.8438105243267</v>
          </cell>
          <cell r="EN45">
            <v>-144.27302378824083</v>
          </cell>
          <cell r="EO45">
            <v>-124.13028241163373</v>
          </cell>
          <cell r="EP45">
            <v>-109.75047609502374</v>
          </cell>
          <cell r="EQ45">
            <v>-100.73117173203745</v>
          </cell>
          <cell r="ER45">
            <v>2279.5537406807393</v>
          </cell>
          <cell r="ES45">
            <v>2189.7424436836336</v>
          </cell>
          <cell r="ET45">
            <v>2145.6941495404594</v>
          </cell>
          <cell r="EU45">
            <v>2143.0391916809076</v>
          </cell>
          <cell r="EV45">
            <v>149.68825778361662</v>
          </cell>
          <cell r="EW45">
            <v>59.947239801208099</v>
          </cell>
          <cell r="EX45">
            <v>113.90029525136215</v>
          </cell>
          <cell r="EY45">
            <v>90.668008784015015</v>
          </cell>
          <cell r="EZ45">
            <v>49.537685723402191</v>
          </cell>
          <cell r="FA45">
            <v>47.817610012135034</v>
          </cell>
          <cell r="FB45">
            <v>44.671348367626791</v>
          </cell>
          <cell r="FC45">
            <v>43.123589953082849</v>
          </cell>
          <cell r="FD45">
            <v>1.2814156910240884</v>
          </cell>
          <cell r="FE45">
            <v>1.1214671898916988</v>
          </cell>
          <cell r="FF45">
            <v>1.0535262127532021</v>
          </cell>
          <cell r="FG45">
            <v>1.0584139631931808</v>
          </cell>
          <cell r="FH45">
            <v>0.43928269844248446</v>
          </cell>
          <cell r="FI45">
            <v>0.13013800918873672</v>
          </cell>
          <cell r="FJ45">
            <v>0.23798149936709551</v>
          </cell>
          <cell r="FK45">
            <v>0.17636538891676365</v>
          </cell>
          <cell r="FL45">
            <v>6.1753462603878111</v>
          </cell>
          <cell r="FM45">
            <v>7.7749340946190939</v>
          </cell>
          <cell r="FN45">
            <v>8.6907419328515818</v>
          </cell>
          <cell r="FO45">
            <v>9.6430770981401714</v>
          </cell>
          <cell r="FP45">
            <v>-339.30137727483788</v>
          </cell>
          <cell r="FQ45">
            <v>-359.09876860966364</v>
          </cell>
          <cell r="FR45">
            <v>-375.6037884594009</v>
          </cell>
          <cell r="FS45">
            <v>-399.06054004063088</v>
          </cell>
          <cell r="FT45">
            <v>519.31094894990542</v>
          </cell>
          <cell r="FU45">
            <v>550.69507970501149</v>
          </cell>
          <cell r="FV45">
            <v>517.72298543736179</v>
          </cell>
          <cell r="FW45">
            <v>504.69141958408267</v>
          </cell>
          <cell r="FX45">
            <v>14.116168250093942</v>
          </cell>
          <cell r="FY45">
            <v>14.891179696912934</v>
          </cell>
          <cell r="FZ45">
            <v>15.094679459826612</v>
          </cell>
          <cell r="GA45">
            <v>15.262676639159997</v>
          </cell>
          <cell r="GB45">
            <v>0.84903867209883743</v>
          </cell>
          <cell r="GC45">
            <v>0.82418376316665642</v>
          </cell>
          <cell r="GD45">
            <v>0.81998646924935659</v>
          </cell>
          <cell r="GE45">
            <v>0.83923683879583477</v>
          </cell>
          <cell r="GF45">
            <v>-290.10467581131309</v>
          </cell>
          <cell r="GG45">
            <v>-331.54820092721496</v>
          </cell>
          <cell r="GH45">
            <v>-331.54820092721496</v>
          </cell>
          <cell r="GI45">
            <v>-220.32426229812719</v>
          </cell>
          <cell r="GJ45">
            <v>6.2862979738055352E-2</v>
          </cell>
          <cell r="GK45">
            <v>4</v>
          </cell>
          <cell r="GP45">
            <v>2426.8714008961124</v>
          </cell>
          <cell r="GQ45">
            <v>1000.7108567819661</v>
          </cell>
          <cell r="GR45">
            <v>487.82652577908476</v>
          </cell>
          <cell r="GS45">
            <v>261.66961056416159</v>
          </cell>
        </row>
        <row r="46">
          <cell r="B46" t="str">
            <v>TKC_NQ.N</v>
          </cell>
          <cell r="C46" t="str">
            <v>Turkcell</v>
          </cell>
          <cell r="D46" t="str">
            <v>DROUET Herve</v>
          </cell>
          <cell r="E46" t="str">
            <v>USD</v>
          </cell>
          <cell r="F46">
            <v>16.79</v>
          </cell>
          <cell r="G46">
            <v>-1</v>
          </cell>
          <cell r="H46" t="str">
            <v>USD</v>
          </cell>
          <cell r="I46" t="str">
            <v>TURKEY</v>
          </cell>
          <cell r="J46">
            <v>589.79999999999995</v>
          </cell>
          <cell r="K46">
            <v>7893.4614005021704</v>
          </cell>
          <cell r="L46">
            <v>7644.9284356940716</v>
          </cell>
          <cell r="M46">
            <v>7210.3991550755236</v>
          </cell>
          <cell r="N46">
            <v>6799.9507688015601</v>
          </cell>
          <cell r="O46">
            <v>6408.6923821290484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130.58786018891237</v>
          </cell>
          <cell r="U46">
            <v>179.49782790642061</v>
          </cell>
          <cell r="V46">
            <v>243.08078593918137</v>
          </cell>
          <cell r="W46">
            <v>325.73863138177035</v>
          </cell>
          <cell r="X46">
            <v>0.9255143992043936</v>
          </cell>
          <cell r="Y46">
            <v>0.99375376241535407</v>
          </cell>
          <cell r="Z46">
            <v>1.1895013916046169</v>
          </cell>
          <cell r="AA46">
            <v>1.3342158368563859</v>
          </cell>
          <cell r="AB46">
            <v>1.1324913591231882</v>
          </cell>
          <cell r="AC46">
            <v>1.0034354677694792</v>
          </cell>
          <cell r="AD46">
            <v>0.95555930363966823</v>
          </cell>
          <cell r="AE46">
            <v>0.95588456120771603</v>
          </cell>
          <cell r="AF46">
            <v>0.34748521553130196</v>
          </cell>
          <cell r="AG46">
            <v>0.46198940096772745</v>
          </cell>
          <cell r="AH46">
            <v>0.56122948547314899</v>
          </cell>
          <cell r="AI46">
            <v>0.63500815661037902</v>
          </cell>
          <cell r="AJ46">
            <v>2.5964120139654256</v>
          </cell>
          <cell r="AK46">
            <v>3.451988105920563</v>
          </cell>
          <cell r="AL46">
            <v>4.1935107266250107</v>
          </cell>
          <cell r="AM46">
            <v>4.7447854846667727</v>
          </cell>
          <cell r="AN46">
            <v>14.46037452758771</v>
          </cell>
          <cell r="AO46">
            <v>13.467405457305945</v>
          </cell>
          <cell r="AP46">
            <v>11.251172077333207</v>
          </cell>
          <cell r="AQ46">
            <v>10.030824453938349</v>
          </cell>
          <cell r="AR46">
            <v>10.740055666164984</v>
          </cell>
          <cell r="AS46">
            <v>13.862482017923872</v>
          </cell>
          <cell r="AT46">
            <v>12.559633505400983</v>
          </cell>
          <cell r="AU46">
            <v>12.022360418955653</v>
          </cell>
          <cell r="AV46">
            <v>9.3109387053770831</v>
          </cell>
          <cell r="AW46">
            <v>7.2137153989236769</v>
          </cell>
          <cell r="AX46">
            <v>7.9620157671796141</v>
          </cell>
          <cell r="AY46">
            <v>8.3178341453089377</v>
          </cell>
          <cell r="AZ46">
            <v>2.8425152652332986</v>
          </cell>
          <cell r="BA46">
            <v>2.4553656656609379</v>
          </cell>
          <cell r="BB46">
            <v>2.1953293365897202</v>
          </cell>
          <cell r="BC46">
            <v>1.9086043346118757</v>
          </cell>
          <cell r="BD46">
            <v>6.6452941314131939</v>
          </cell>
          <cell r="BE46">
            <v>6.1743936084235251</v>
          </cell>
          <cell r="BF46">
            <v>5.4901359916763735</v>
          </cell>
          <cell r="BG46">
            <v>4.8101673444650963</v>
          </cell>
          <cell r="BH46">
            <v>11.445473365506883</v>
          </cell>
          <cell r="BI46">
            <v>12.183304289775398</v>
          </cell>
          <cell r="BJ46">
            <v>12.065445296825265</v>
          </cell>
          <cell r="BK46">
            <v>11.367349433404074</v>
          </cell>
          <cell r="BL46">
            <v>1444.4623155713205</v>
          </cell>
          <cell r="BM46">
            <v>1725.2006751424815</v>
          </cell>
          <cell r="BN46">
            <v>2066.2445275198279</v>
          </cell>
          <cell r="BO46">
            <v>2452.121665935993</v>
          </cell>
          <cell r="BP46">
            <v>123.71259999999999</v>
          </cell>
          <cell r="BQ46">
            <v>150.09719999999999</v>
          </cell>
          <cell r="BR46">
            <v>230.33440000000002</v>
          </cell>
          <cell r="BS46">
            <v>292.0018</v>
          </cell>
          <cell r="BT46">
            <v>2689.4942409628948</v>
          </cell>
          <cell r="BU46">
            <v>2936.5887354031324</v>
          </cell>
          <cell r="BV46">
            <v>3097.4627157147979</v>
          </cell>
          <cell r="BW46">
            <v>3357.7899127177075</v>
          </cell>
          <cell r="BX46">
            <v>1150.427397871747</v>
          </cell>
          <cell r="BY46">
            <v>1167.7906548164681</v>
          </cell>
          <cell r="BZ46">
            <v>1238.5760168984893</v>
          </cell>
          <cell r="CA46">
            <v>1332.3221258618628</v>
          </cell>
          <cell r="CB46">
            <v>783.23846478817097</v>
          </cell>
          <cell r="CC46">
            <v>812.15395081901875</v>
          </cell>
          <cell r="CD46">
            <v>893.95156271172914</v>
          </cell>
          <cell r="CE46">
            <v>986.58500019927453</v>
          </cell>
          <cell r="CF46">
            <v>683.52481527240843</v>
          </cell>
          <cell r="CG46">
            <v>874.79995376828344</v>
          </cell>
          <cell r="CH46">
            <v>1047.1162998684788</v>
          </cell>
          <cell r="CI46">
            <v>1174.5082101151806</v>
          </cell>
          <cell r="CJ46">
            <v>-122.11573472559883</v>
          </cell>
          <cell r="CK46">
            <v>-272.48134869076563</v>
          </cell>
          <cell r="CL46">
            <v>-331.01315053206326</v>
          </cell>
          <cell r="CM46">
            <v>-374.52781076880154</v>
          </cell>
          <cell r="CN46">
            <v>545.86839265075128</v>
          </cell>
          <cell r="CO46">
            <v>586.11596907257581</v>
          </cell>
          <cell r="CP46">
            <v>701.56792076840293</v>
          </cell>
          <cell r="CQ46">
            <v>786.92050057789641</v>
          </cell>
          <cell r="CR46">
            <v>719.58985452951254</v>
          </cell>
          <cell r="CS46">
            <v>577.03940775576905</v>
          </cell>
          <cell r="CT46">
            <v>628.458464788171</v>
          </cell>
          <cell r="CU46">
            <v>687.52750149455983</v>
          </cell>
          <cell r="CV46">
            <v>37.203399999999995</v>
          </cell>
          <cell r="CW46">
            <v>9.1873963021305087</v>
          </cell>
          <cell r="CX46">
            <v>5.4782604854465973</v>
          </cell>
          <cell r="CY46">
            <v>8.4045304462311918</v>
          </cell>
          <cell r="CZ46">
            <v>7.6781620017704739</v>
          </cell>
          <cell r="DA46">
            <v>62.237900000000003</v>
          </cell>
          <cell r="DB46">
            <v>1.5092875027874442</v>
          </cell>
          <cell r="DC46">
            <v>6.0614770113180896</v>
          </cell>
          <cell r="DD46">
            <v>7.568861957954141</v>
          </cell>
          <cell r="DE46">
            <v>5.0146787292248689</v>
          </cell>
          <cell r="DF46">
            <v>117.2958</v>
          </cell>
          <cell r="DG46">
            <v>3.6917857499079787</v>
          </cell>
          <cell r="DH46">
            <v>10.071687986030398</v>
          </cell>
          <cell r="DI46">
            <v>10.362243476206842</v>
          </cell>
          <cell r="DJ46">
            <v>7.9974497682545547</v>
          </cell>
          <cell r="DK46">
            <v>83.450100000000006</v>
          </cell>
          <cell r="DL46">
            <v>7.3731282052036846</v>
          </cell>
          <cell r="DM46">
            <v>19.697800057983272</v>
          </cell>
          <cell r="DN46">
            <v>12.165975279486801</v>
          </cell>
          <cell r="DO46">
            <v>12.965970344964475</v>
          </cell>
          <cell r="DP46">
            <v>42.774860059186075</v>
          </cell>
          <cell r="DQ46">
            <v>39.766911884450671</v>
          </cell>
          <cell r="DR46">
            <v>39.986793403989836</v>
          </cell>
          <cell r="DS46">
            <v>39.678543342323522</v>
          </cell>
          <cell r="DT46">
            <v>29.122146939706973</v>
          </cell>
          <cell r="DU46">
            <v>27.656373568004135</v>
          </cell>
          <cell r="DV46">
            <v>28.860769111967599</v>
          </cell>
          <cell r="DW46">
            <v>29.381975223124023</v>
          </cell>
          <cell r="DX46">
            <v>20.296321305946321</v>
          </cell>
          <cell r="DY46">
            <v>19.959075712796885</v>
          </cell>
          <cell r="DZ46">
            <v>22.649761600326574</v>
          </cell>
          <cell r="EA46">
            <v>23.435668133894165</v>
          </cell>
          <cell r="EB46">
            <v>26.755582650806659</v>
          </cell>
          <cell r="EC46">
            <v>19.649990507661386</v>
          </cell>
          <cell r="ED46">
            <v>20.289460195912071</v>
          </cell>
          <cell r="EE46">
            <v>20.475596132162213</v>
          </cell>
          <cell r="EF46">
            <v>-117.94510461918615</v>
          </cell>
          <cell r="EG46">
            <v>-503.56441752022641</v>
          </cell>
          <cell r="EH46">
            <v>-850.42984576142828</v>
          </cell>
          <cell r="EI46">
            <v>-1159.0303869913514</v>
          </cell>
          <cell r="EJ46">
            <v>2066.0397736240084</v>
          </cell>
          <cell r="EK46">
            <v>1977.7214993423934</v>
          </cell>
          <cell r="EL46">
            <v>2218.091803435495</v>
          </cell>
          <cell r="EM46">
            <v>2603.96894185166</v>
          </cell>
          <cell r="EN46">
            <v>54.852993503646722</v>
          </cell>
          <cell r="EO46">
            <v>-35.362860786736277</v>
          </cell>
          <cell r="EP46">
            <v>45.535633494081537</v>
          </cell>
          <cell r="EQ46">
            <v>65.689914311904658</v>
          </cell>
          <cell r="ER46">
            <v>1364.035047626639</v>
          </cell>
          <cell r="ES46">
            <v>1360.980306882946</v>
          </cell>
          <cell r="ET46">
            <v>1404.3759866087441</v>
          </cell>
          <cell r="EU46">
            <v>1492.2279127974175</v>
          </cell>
          <cell r="EV46">
            <v>739.52256267187431</v>
          </cell>
          <cell r="EW46">
            <v>756.0852417201387</v>
          </cell>
          <cell r="EX46">
            <v>1002.2771216770952</v>
          </cell>
          <cell r="EY46">
            <v>1310.8776629070185</v>
          </cell>
          <cell r="EZ46">
            <v>-8.1653292957342369</v>
          </cell>
          <cell r="FA46">
            <v>-29.188744519743356</v>
          </cell>
          <cell r="FB46">
            <v>-41.158238264385069</v>
          </cell>
          <cell r="FC46">
            <v>-47.266430662564247</v>
          </cell>
          <cell r="FD46">
            <v>-0.10252285788514837</v>
          </cell>
          <cell r="FE46">
            <v>-0.43121120677178859</v>
          </cell>
          <cell r="FF46">
            <v>-0.68661901583641549</v>
          </cell>
          <cell r="FG46">
            <v>-0.86993255196568087</v>
          </cell>
          <cell r="FH46">
            <v>0.94418570578231276</v>
          </cell>
          <cell r="FI46">
            <v>0.93096295469308821</v>
          </cell>
          <cell r="FJ46">
            <v>1.121176094414746</v>
          </cell>
          <cell r="FK46">
            <v>1.3287022026913464</v>
          </cell>
          <cell r="FL46">
            <v>-20.972919149713579</v>
          </cell>
          <cell r="FM46">
            <v>33.023082093360415</v>
          </cell>
          <cell r="FN46">
            <v>-27.200149023060643</v>
          </cell>
          <cell r="FO46">
            <v>-20.281989097075328</v>
          </cell>
          <cell r="FP46">
            <v>-360.36825953529154</v>
          </cell>
          <cell r="FQ46">
            <v>-303.48306723526366</v>
          </cell>
          <cell r="FR46">
            <v>-343.97398907974974</v>
          </cell>
          <cell r="FS46">
            <v>-394.01360089275033</v>
          </cell>
          <cell r="FT46">
            <v>667.94340361085642</v>
          </cell>
          <cell r="FU46">
            <v>591.82623889043884</v>
          </cell>
          <cell r="FV46">
            <v>563.58887728667628</v>
          </cell>
          <cell r="FW46">
            <v>563.78071420031085</v>
          </cell>
          <cell r="FX46">
            <v>13.399108800704187</v>
          </cell>
          <cell r="FY46">
            <v>10.334544418035499</v>
          </cell>
          <cell r="FZ46">
            <v>11.105024358634491</v>
          </cell>
          <cell r="GA46">
            <v>11.734313674611228</v>
          </cell>
          <cell r="GB46">
            <v>1.5479327248814314</v>
          </cell>
          <cell r="GC46">
            <v>1.5965804471722929</v>
          </cell>
          <cell r="GD46">
            <v>1.7736399505798892</v>
          </cell>
          <cell r="GE46">
            <v>1.9202271730899525</v>
          </cell>
          <cell r="GF46">
            <v>-204.94678012036189</v>
          </cell>
          <cell r="GG46">
            <v>-272.48134869076563</v>
          </cell>
          <cell r="GH46">
            <v>-331.01315053206326</v>
          </cell>
          <cell r="GI46">
            <v>-374.52781076880154</v>
          </cell>
          <cell r="GJ46">
            <v>9.7133173401652187E-2</v>
          </cell>
          <cell r="GK46">
            <v>4</v>
          </cell>
          <cell r="GP46">
            <v>1960.2241933967341</v>
          </cell>
          <cell r="GQ46">
            <v>709.0990439790869</v>
          </cell>
          <cell r="GR46">
            <v>360.44804583805626</v>
          </cell>
          <cell r="GS46">
            <v>297.5568793098239</v>
          </cell>
        </row>
        <row r="47">
          <cell r="B47" t="str">
            <v>MBT_NQ.N</v>
          </cell>
          <cell r="C47" t="str">
            <v>MTS</v>
          </cell>
          <cell r="D47" t="str">
            <v>DROUET Herve</v>
          </cell>
          <cell r="E47" t="str">
            <v>USD</v>
          </cell>
          <cell r="F47">
            <v>32.17</v>
          </cell>
          <cell r="G47">
            <v>-1</v>
          </cell>
          <cell r="H47" t="str">
            <v>USD</v>
          </cell>
          <cell r="I47" t="str">
            <v>RUSSIAN FEDERATION</v>
          </cell>
          <cell r="J47">
            <v>398.66</v>
          </cell>
          <cell r="K47">
            <v>10222.703120640868</v>
          </cell>
          <cell r="L47">
            <v>11489.801283328685</v>
          </cell>
          <cell r="M47">
            <v>11880.690363078396</v>
          </cell>
          <cell r="N47">
            <v>11621.488547287872</v>
          </cell>
          <cell r="O47">
            <v>11309.814084731577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2.0449219084243082</v>
          </cell>
          <cell r="Y47">
            <v>2.8267581136354831</v>
          </cell>
          <cell r="Z47">
            <v>3.2255807303196327</v>
          </cell>
          <cell r="AA47">
            <v>3.4395362701869243</v>
          </cell>
          <cell r="AB47">
            <v>-0.2027156843665886</v>
          </cell>
          <cell r="AC47">
            <v>0.51737156107610427</v>
          </cell>
          <cell r="AD47">
            <v>2.2640094645866817</v>
          </cell>
          <cell r="AE47">
            <v>2.4954735584726153</v>
          </cell>
          <cell r="AF47">
            <v>-2.1034076607314026E-3</v>
          </cell>
          <cell r="AG47">
            <v>-2.8366859516225228E-3</v>
          </cell>
          <cell r="AH47">
            <v>-3.2369107667675275E-3</v>
          </cell>
          <cell r="AI47">
            <v>-3.4516171200543459E-3</v>
          </cell>
          <cell r="AJ47">
            <v>-8.2027668037630737E-3</v>
          </cell>
          <cell r="AK47">
            <v>-1.1062369787404526E-2</v>
          </cell>
          <cell r="AL47">
            <v>-1.2623147039005911E-2</v>
          </cell>
          <cell r="AM47">
            <v>-1.3460448423886166E-2</v>
          </cell>
          <cell r="AN47">
            <v>12.539677241150043</v>
          </cell>
          <cell r="AO47">
            <v>9.0714025339856477</v>
          </cell>
          <cell r="AP47">
            <v>7.9497810964589943</v>
          </cell>
          <cell r="AQ47">
            <v>7.4552668443306871</v>
          </cell>
          <cell r="AR47">
            <v>-64.95293569478703</v>
          </cell>
          <cell r="AS47">
            <v>110.81710158056995</v>
          </cell>
          <cell r="AT47">
            <v>12.821085876025121</v>
          </cell>
          <cell r="AU47">
            <v>11.391326680922644</v>
          </cell>
          <cell r="AV47">
            <v>-1.5395762936705224</v>
          </cell>
          <cell r="AW47">
            <v>0.9023877955091133</v>
          </cell>
          <cell r="AX47">
            <v>7.799651368609557</v>
          </cell>
          <cell r="AY47">
            <v>8.7786087433935727</v>
          </cell>
          <cell r="AZ47">
            <v>3.7084004245954589</v>
          </cell>
          <cell r="BA47">
            <v>2.8255528087452118</v>
          </cell>
          <cell r="BB47">
            <v>2.4210747814020439</v>
          </cell>
          <cell r="BC47">
            <v>2.1657728644025434</v>
          </cell>
          <cell r="BD47">
            <v>6.8775747969582151</v>
          </cell>
          <cell r="BE47">
            <v>5.1373687427304304</v>
          </cell>
          <cell r="BF47">
            <v>4.4834718182384297</v>
          </cell>
          <cell r="BG47">
            <v>4.0863638958876454</v>
          </cell>
          <cell r="BH47" t="str">
            <v>-</v>
          </cell>
          <cell r="BI47">
            <v>57.601854024448187</v>
          </cell>
          <cell r="BJ47">
            <v>12.875996740353804</v>
          </cell>
          <cell r="BK47">
            <v>11.368412695059236</v>
          </cell>
          <cell r="BL47">
            <v>2088.6285919253914</v>
          </cell>
          <cell r="BM47">
            <v>2769.727727870551</v>
          </cell>
          <cell r="BN47">
            <v>3546.7186289904748</v>
          </cell>
          <cell r="BO47">
            <v>4375.4313283647525</v>
          </cell>
          <cell r="BP47">
            <v>29.380200000000002</v>
          </cell>
          <cell r="BQ47">
            <v>31.865100000000002</v>
          </cell>
          <cell r="BR47">
            <v>29.762899999999998</v>
          </cell>
          <cell r="BS47">
            <v>28.331800000000001</v>
          </cell>
          <cell r="BT47">
            <v>3098.3173249372285</v>
          </cell>
          <cell r="BU47">
            <v>4204.731310031485</v>
          </cell>
          <cell r="BV47">
            <v>4800.1361364632739</v>
          </cell>
          <cell r="BW47">
            <v>5222.0684221433976</v>
          </cell>
          <cell r="BX47">
            <v>1670.6181499342392</v>
          </cell>
          <cell r="BY47">
            <v>2312.6022207165915</v>
          </cell>
          <cell r="BZ47">
            <v>2592.0735132119089</v>
          </cell>
          <cell r="CA47">
            <v>2767.6962632019449</v>
          </cell>
          <cell r="CB47">
            <v>1167.4377266749032</v>
          </cell>
          <cell r="CC47">
            <v>1675.6433231039018</v>
          </cell>
          <cell r="CD47">
            <v>1884.9602933322706</v>
          </cell>
          <cell r="CE47">
            <v>1992.4240723765492</v>
          </cell>
          <cell r="CF47">
            <v>1089.9820652823721</v>
          </cell>
          <cell r="CG47">
            <v>1561.6364018970944</v>
          </cell>
          <cell r="CH47">
            <v>1779.7254832410028</v>
          </cell>
          <cell r="CI47">
            <v>1894.9896935156032</v>
          </cell>
          <cell r="CJ47">
            <v>-291.47742218325294</v>
          </cell>
          <cell r="CK47">
            <v>-406.02546490773585</v>
          </cell>
          <cell r="CL47">
            <v>-462.72862540353117</v>
          </cell>
          <cell r="CM47">
            <v>-492.69732015463711</v>
          </cell>
          <cell r="CN47">
            <v>815.22856801243472</v>
          </cell>
          <cell r="CO47">
            <v>1126.9153895819218</v>
          </cell>
          <cell r="CP47">
            <v>1285.9100139492248</v>
          </cell>
          <cell r="CQ47">
            <v>1371.2055294727193</v>
          </cell>
          <cell r="CR47">
            <v>855.50049101271372</v>
          </cell>
          <cell r="CS47">
            <v>1239.9760591447132</v>
          </cell>
          <cell r="CT47">
            <v>1394.8706165557369</v>
          </cell>
          <cell r="CU47">
            <v>1474.3938137180662</v>
          </cell>
          <cell r="CV47">
            <v>52.658700000000003</v>
          </cell>
          <cell r="CW47">
            <v>35.710157129133705</v>
          </cell>
          <cell r="CX47">
            <v>14.160353718947391</v>
          </cell>
          <cell r="CY47">
            <v>8.7900066515822317</v>
          </cell>
          <cell r="CZ47">
            <v>19.006921470377506</v>
          </cell>
          <cell r="DA47">
            <v>56.582200000000007</v>
          </cell>
          <cell r="DB47">
            <v>38.427935839654481</v>
          </cell>
          <cell r="DC47">
            <v>12.08471089371865</v>
          </cell>
          <cell r="DD47">
            <v>6.7753768978726612</v>
          </cell>
          <cell r="DE47">
            <v>18.326061901364127</v>
          </cell>
          <cell r="DF47">
            <v>58.7483</v>
          </cell>
          <cell r="DG47">
            <v>43.531709213858477</v>
          </cell>
          <cell r="DH47">
            <v>12.491737790631817</v>
          </cell>
          <cell r="DI47">
            <v>5.7011163271933896</v>
          </cell>
          <cell r="DJ47">
            <v>19.504066972551939</v>
          </cell>
          <cell r="DK47">
            <v>97.7316</v>
          </cell>
          <cell r="DL47">
            <v>38.233059266972703</v>
          </cell>
          <cell r="DM47">
            <v>14.108834242319546</v>
          </cell>
          <cell r="DN47">
            <v>6.6330858767900054</v>
          </cell>
          <cell r="DO47">
            <v>18.925336397805182</v>
          </cell>
          <cell r="DP47">
            <v>53.920175847968892</v>
          </cell>
          <cell r="DQ47">
            <v>55.000000004739306</v>
          </cell>
          <cell r="DR47">
            <v>53.999999990036549</v>
          </cell>
          <cell r="DS47">
            <v>52.999999989773102</v>
          </cell>
          <cell r="DT47">
            <v>37.679734005249294</v>
          </cell>
          <cell r="DU47">
            <v>39.851376926421359</v>
          </cell>
          <cell r="DV47">
            <v>39.268892376062979</v>
          </cell>
          <cell r="DW47">
            <v>38.153925060192122</v>
          </cell>
          <cell r="DX47">
            <v>26.311977842003358</v>
          </cell>
          <cell r="DY47">
            <v>26.801127265691644</v>
          </cell>
          <cell r="DZ47">
            <v>26.789032173089147</v>
          </cell>
          <cell r="EA47">
            <v>26.257900483615419</v>
          </cell>
          <cell r="EB47">
            <v>27.611777661606887</v>
          </cell>
          <cell r="EC47">
            <v>29.490018926689238</v>
          </cell>
          <cell r="ED47">
            <v>29.05898034765892</v>
          </cell>
          <cell r="EE47">
            <v>28.233904547594978</v>
          </cell>
          <cell r="EF47">
            <v>1267.0981626878163</v>
          </cell>
          <cell r="EG47">
            <v>1657.9872424375274</v>
          </cell>
          <cell r="EH47">
            <v>1398.7854266470047</v>
          </cell>
          <cell r="EI47">
            <v>1087.1109640907098</v>
          </cell>
          <cell r="EJ47">
            <v>3632.7264756287113</v>
          </cell>
          <cell r="EK47">
            <v>4246.694384440636</v>
          </cell>
          <cell r="EL47">
            <v>4942.3174126180702</v>
          </cell>
          <cell r="EM47">
            <v>5683.5162368976917</v>
          </cell>
          <cell r="EN47">
            <v>-76.57167908811924</v>
          </cell>
          <cell r="EO47">
            <v>-114.00692120680721</v>
          </cell>
          <cell r="EP47">
            <v>-105.23480929416922</v>
          </cell>
          <cell r="EQ47">
            <v>-97.434378860946154</v>
          </cell>
          <cell r="ER47">
            <v>2612.8890837352037</v>
          </cell>
          <cell r="ES47">
            <v>3544.4860707026419</v>
          </cell>
          <cell r="ET47">
            <v>3915.5557618269499</v>
          </cell>
          <cell r="EU47">
            <v>4252.8562257383119</v>
          </cell>
          <cell r="EV47">
            <v>276.99972101550355</v>
          </cell>
          <cell r="EW47">
            <v>-181.02058586744252</v>
          </cell>
          <cell r="EX47">
            <v>-3.1866430194093498</v>
          </cell>
          <cell r="EY47">
            <v>220.97394523932886</v>
          </cell>
          <cell r="EZ47">
            <v>60.666514266174453</v>
          </cell>
          <cell r="FA47">
            <v>59.861019036417609</v>
          </cell>
          <cell r="FB47">
            <v>39.438860901270594</v>
          </cell>
          <cell r="FC47">
            <v>24.845801076644943</v>
          </cell>
          <cell r="FD47">
            <v>0.75846067082276891</v>
          </cell>
          <cell r="FE47">
            <v>0.71693576508102519</v>
          </cell>
          <cell r="FF47">
            <v>0.53963956636157728</v>
          </cell>
          <cell r="FG47">
            <v>0.39278550126487949</v>
          </cell>
          <cell r="FH47">
            <v>0.23727151751764466</v>
          </cell>
          <cell r="FI47">
            <v>-0.10803049991099924</v>
          </cell>
          <cell r="FJ47">
            <v>-1.6905624116760245E-3</v>
          </cell>
          <cell r="FK47">
            <v>0.11090708464275514</v>
          </cell>
          <cell r="FL47">
            <v>21.817702965762052</v>
          </cell>
          <cell r="FM47">
            <v>20.284752857430107</v>
          </cell>
          <cell r="FN47">
            <v>24.631331881508228</v>
          </cell>
          <cell r="FO47">
            <v>28.405746468111357</v>
          </cell>
          <cell r="FP47">
            <v>-1459.9553624805706</v>
          </cell>
          <cell r="FQ47">
            <v>-1700.321409270256</v>
          </cell>
          <cell r="FR47">
            <v>-1226.7748746562511</v>
          </cell>
          <cell r="FS47">
            <v>-1280.1534542266149</v>
          </cell>
          <cell r="FT47">
            <v>-80.814634729584213</v>
          </cell>
          <cell r="FU47">
            <v>206.25534653859972</v>
          </cell>
          <cell r="FV47">
            <v>902.57001315212665</v>
          </cell>
          <cell r="FW47">
            <v>994.84548882069294</v>
          </cell>
          <cell r="FX47">
            <v>47.120911429243264</v>
          </cell>
          <cell r="FY47">
            <v>40.438289248440093</v>
          </cell>
          <cell r="FZ47">
            <v>25.557085044678235</v>
          </cell>
          <cell r="GA47">
            <v>24.514298755610255</v>
          </cell>
          <cell r="GB47">
            <v>3.3075987405842735</v>
          </cell>
          <cell r="GC47">
            <v>4.4251739667609895</v>
          </cell>
          <cell r="GD47">
            <v>5.0000581881949699</v>
          </cell>
          <cell r="GE47">
            <v>5.3850416483998247</v>
          </cell>
          <cell r="GF47">
            <v>0.83854449802718101</v>
          </cell>
          <cell r="GG47">
            <v>1.1308732214738351</v>
          </cell>
          <cell r="GH47">
            <v>1.2904268462795425</v>
          </cell>
          <cell r="GI47">
            <v>1.3760216810808656</v>
          </cell>
          <cell r="GJ47">
            <v>0.16004788810559886</v>
          </cell>
          <cell r="GK47">
            <v>4</v>
          </cell>
          <cell r="GP47">
            <v>2029.5714066327228</v>
          </cell>
          <cell r="GQ47">
            <v>1066.9272432845107</v>
          </cell>
          <cell r="GR47">
            <v>735.40171874275393</v>
          </cell>
          <cell r="GS47">
            <v>412.29048266055332</v>
          </cell>
        </row>
        <row r="48">
          <cell r="B48" t="str">
            <v>VIP_NQ.N</v>
          </cell>
          <cell r="C48" t="str">
            <v>Vimpelcom</v>
          </cell>
          <cell r="D48" t="str">
            <v>DROUET Herve</v>
          </cell>
          <cell r="E48" t="str">
            <v>USD</v>
          </cell>
          <cell r="F48">
            <v>34.44</v>
          </cell>
          <cell r="G48">
            <v>-1</v>
          </cell>
          <cell r="H48" t="str">
            <v>USD</v>
          </cell>
          <cell r="I48" t="str">
            <v>RUSSIAN FEDERATION</v>
          </cell>
          <cell r="J48">
            <v>205.12</v>
          </cell>
          <cell r="K48">
            <v>5630.9695109800323</v>
          </cell>
          <cell r="L48">
            <v>6610.7176278346815</v>
          </cell>
          <cell r="M48">
            <v>6835.385790123948</v>
          </cell>
          <cell r="N48">
            <v>7078.5102530787926</v>
          </cell>
          <cell r="O48">
            <v>6839.11470885975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1.3616426845906484</v>
          </cell>
          <cell r="Y48">
            <v>2.3196684582938691</v>
          </cell>
          <cell r="Z48">
            <v>2.9948829085840485</v>
          </cell>
          <cell r="AA48">
            <v>3.4931827243995666</v>
          </cell>
          <cell r="AB48">
            <v>-0.89235634707760481</v>
          </cell>
          <cell r="AC48">
            <v>-0.26180616751591973</v>
          </cell>
          <cell r="AD48">
            <v>1.054239483257541</v>
          </cell>
          <cell r="AE48">
            <v>3.7264503424383917</v>
          </cell>
          <cell r="AF48">
            <v>0</v>
          </cell>
          <cell r="AG48">
            <v>0</v>
          </cell>
          <cell r="AH48">
            <v>-1.4974414542920242</v>
          </cell>
          <cell r="AI48">
            <v>-1.9212504976425591</v>
          </cell>
          <cell r="AJ48">
            <v>0</v>
          </cell>
          <cell r="AK48">
            <v>0</v>
          </cell>
          <cell r="AL48">
            <v>-5.4547478991929719</v>
          </cell>
          <cell r="AM48">
            <v>-6.9985621713631607</v>
          </cell>
          <cell r="AN48">
            <v>20.160997271658349</v>
          </cell>
          <cell r="AO48">
            <v>11.834481928161747</v>
          </cell>
          <cell r="AP48">
            <v>9.1663264598163163</v>
          </cell>
          <cell r="AQ48">
            <v>7.8587570748175732</v>
          </cell>
          <cell r="AR48">
            <v>-21.462416109421561</v>
          </cell>
          <cell r="AS48">
            <v>-37.384623608421798</v>
          </cell>
          <cell r="AT48">
            <v>53.346440755938737</v>
          </cell>
          <cell r="AU48">
            <v>8.5496775483201137</v>
          </cell>
          <cell r="AV48">
            <v>-4.6593076702162177</v>
          </cell>
          <cell r="AW48">
            <v>-2.6748965309222097</v>
          </cell>
          <cell r="AX48">
            <v>1.8745393053962573</v>
          </cell>
          <cell r="AY48">
            <v>11.69634754466834</v>
          </cell>
          <cell r="AZ48">
            <v>3.8634881947462745</v>
          </cell>
          <cell r="BA48">
            <v>2.6784994616606461</v>
          </cell>
          <cell r="BB48">
            <v>2.3181063715091468</v>
          </cell>
          <cell r="BC48">
            <v>2.0294744364172623</v>
          </cell>
          <cell r="BD48">
            <v>8.135907676038169</v>
          </cell>
          <cell r="BE48">
            <v>5.4551923867670125</v>
          </cell>
          <cell r="BF48">
            <v>4.636212744228521</v>
          </cell>
          <cell r="BG48">
            <v>4.0589488718744393</v>
          </cell>
          <cell r="BH48" t="str">
            <v>-</v>
          </cell>
          <cell r="BI48" t="str">
            <v>-</v>
          </cell>
          <cell r="BJ48">
            <v>32.733660991183719</v>
          </cell>
          <cell r="BK48">
            <v>8.9473935843700225</v>
          </cell>
          <cell r="BL48">
            <v>1721.3447052728068</v>
          </cell>
          <cell r="BM48">
            <v>2197.3448088956197</v>
          </cell>
          <cell r="BN48">
            <v>2504.708680403332</v>
          </cell>
          <cell r="BO48">
            <v>2827.3729671993938</v>
          </cell>
          <cell r="BP48">
            <v>21.568899999999999</v>
          </cell>
          <cell r="BQ48">
            <v>22.091699999999999</v>
          </cell>
          <cell r="BR48">
            <v>23.451499999999999</v>
          </cell>
          <cell r="BS48">
            <v>24.757100000000001</v>
          </cell>
          <cell r="BT48">
            <v>1711.0748874098281</v>
          </cell>
          <cell r="BU48">
            <v>2551.9459264278025</v>
          </cell>
          <cell r="BV48">
            <v>3053.5743916145229</v>
          </cell>
          <cell r="BW48">
            <v>3369.8944840779559</v>
          </cell>
          <cell r="BX48">
            <v>812.53596907257577</v>
          </cell>
          <cell r="BY48">
            <v>1253.0054497628632</v>
          </cell>
          <cell r="BZ48">
            <v>1526.7871954087123</v>
          </cell>
          <cell r="CA48">
            <v>1684.9472424375274</v>
          </cell>
          <cell r="CB48">
            <v>537.37674863496875</v>
          </cell>
          <cell r="CC48">
            <v>827.80834562193604</v>
          </cell>
          <cell r="CD48">
            <v>1037.8144769040691</v>
          </cell>
          <cell r="CE48">
            <v>1180.9801123908971</v>
          </cell>
          <cell r="CF48">
            <v>466.80084492447492</v>
          </cell>
          <cell r="CG48">
            <v>733.7274807699971</v>
          </cell>
          <cell r="CH48">
            <v>929.96367223307163</v>
          </cell>
          <cell r="CI48">
            <v>1078.0684452592561</v>
          </cell>
          <cell r="CJ48">
            <v>-123.55027699175002</v>
          </cell>
          <cell r="CK48">
            <v>-190.76914511179305</v>
          </cell>
          <cell r="CL48">
            <v>-241.7905551791479</v>
          </cell>
          <cell r="CM48">
            <v>-280.29779602247817</v>
          </cell>
          <cell r="CN48">
            <v>279.30014746323383</v>
          </cell>
          <cell r="CO48">
            <v>475.81039416523845</v>
          </cell>
          <cell r="CP48">
            <v>614.31038220876007</v>
          </cell>
          <cell r="CQ48">
            <v>716.52164042883908</v>
          </cell>
          <cell r="CR48">
            <v>395.1468303375712</v>
          </cell>
          <cell r="CS48">
            <v>612.57817544139334</v>
          </cell>
          <cell r="CT48">
            <v>767.98271252640382</v>
          </cell>
          <cell r="CU48">
            <v>873.92528316926371</v>
          </cell>
          <cell r="CV48">
            <v>60.724199999999996</v>
          </cell>
          <cell r="CW48">
            <v>49.14285430784733</v>
          </cell>
          <cell r="CX48">
            <v>19.656704320882554</v>
          </cell>
          <cell r="CY48">
            <v>10.359010520001917</v>
          </cell>
          <cell r="CZ48">
            <v>25.347524591713409</v>
          </cell>
          <cell r="DA48">
            <v>66.22590000000001</v>
          </cell>
          <cell r="DB48">
            <v>54.209228570279407</v>
          </cell>
          <cell r="DC48">
            <v>21.850004379283703</v>
          </cell>
          <cell r="DD48">
            <v>10.359010574913597</v>
          </cell>
          <cell r="DE48">
            <v>27.520861279659798</v>
          </cell>
          <cell r="DF48">
            <v>57.546299999999995</v>
          </cell>
          <cell r="DG48">
            <v>54.046178537630169</v>
          </cell>
          <cell r="DH48">
            <v>25.368931394905729</v>
          </cell>
          <cell r="DI48">
            <v>13.794916015616693</v>
          </cell>
          <cell r="DJ48">
            <v>30.013336698339202</v>
          </cell>
          <cell r="DK48">
            <v>49.790500000000002</v>
          </cell>
          <cell r="DL48">
            <v>70.358089133437574</v>
          </cell>
          <cell r="DM48">
            <v>29.108230871354948</v>
          </cell>
          <cell r="DN48">
            <v>16.638373887248534</v>
          </cell>
          <cell r="DO48">
            <v>36.894515436749685</v>
          </cell>
          <cell r="DP48">
            <v>47.486873605080341</v>
          </cell>
          <cell r="DQ48">
            <v>49.099999995564652</v>
          </cell>
          <cell r="DR48">
            <v>49.999999986948104</v>
          </cell>
          <cell r="DS48">
            <v>50.000000011826764</v>
          </cell>
          <cell r="DT48">
            <v>31.405799511699513</v>
          </cell>
          <cell r="DU48">
            <v>32.438318423960375</v>
          </cell>
          <cell r="DV48">
            <v>33.986873866706205</v>
          </cell>
          <cell r="DW48">
            <v>35.045017521194808</v>
          </cell>
          <cell r="DX48">
            <v>16.323081445373191</v>
          </cell>
          <cell r="DY48">
            <v>18.6450029852817</v>
          </cell>
          <cell r="DZ48">
            <v>20.117747381420578</v>
          </cell>
          <cell r="EA48">
            <v>21.262435480228042</v>
          </cell>
          <cell r="EB48">
            <v>23.093485460226244</v>
          </cell>
          <cell r="EC48">
            <v>24.004355621236705</v>
          </cell>
          <cell r="ED48">
            <v>25.150286648832768</v>
          </cell>
          <cell r="EE48">
            <v>25.933312965684156</v>
          </cell>
          <cell r="EF48">
            <v>979.74811685464908</v>
          </cell>
          <cell r="EG48">
            <v>1204.416279143916</v>
          </cell>
          <cell r="EH48">
            <v>1447.5407420987606</v>
          </cell>
          <cell r="EI48">
            <v>1208.1451978797179</v>
          </cell>
          <cell r="EJ48">
            <v>2944.8909967717505</v>
          </cell>
          <cell r="EK48">
            <v>3577.4865736718343</v>
          </cell>
          <cell r="EL48">
            <v>4008.9243728827064</v>
          </cell>
          <cell r="EM48">
            <v>4439.2738966163161</v>
          </cell>
          <cell r="EN48">
            <v>-79.324060420070936</v>
          </cell>
          <cell r="EO48">
            <v>-96.920927025626725</v>
          </cell>
          <cell r="EP48">
            <v>-110.69086604758677</v>
          </cell>
          <cell r="EQ48">
            <v>-105.75173010242715</v>
          </cell>
          <cell r="ER48">
            <v>1844.8049101271372</v>
          </cell>
          <cell r="ES48">
            <v>2411.2093204734765</v>
          </cell>
          <cell r="ET48">
            <v>2854.9096616316606</v>
          </cell>
          <cell r="EU48">
            <v>2842.2842230281772</v>
          </cell>
          <cell r="EV48">
            <v>243.79817464429479</v>
          </cell>
          <cell r="EW48">
            <v>175.72548483519986</v>
          </cell>
          <cell r="EX48">
            <v>56.674950380614554</v>
          </cell>
          <cell r="EY48">
            <v>403.755730740106</v>
          </cell>
          <cell r="EZ48">
            <v>56.917601329559034</v>
          </cell>
          <cell r="FA48">
            <v>54.812347805770763</v>
          </cell>
          <cell r="FB48">
            <v>57.792778594341911</v>
          </cell>
          <cell r="FC48">
            <v>42.730308731657203</v>
          </cell>
          <cell r="FD48">
            <v>1.205790456234114</v>
          </cell>
          <cell r="FE48">
            <v>0.96122190000997765</v>
          </cell>
          <cell r="FF48">
            <v>0.9480959405814654</v>
          </cell>
          <cell r="FG48">
            <v>0.71702256750303694</v>
          </cell>
          <cell r="FH48">
            <v>0.45368203083513559</v>
          </cell>
          <cell r="FI48">
            <v>0.21227798169052831</v>
          </cell>
          <cell r="FJ48">
            <v>5.4609905375075367E-2</v>
          </cell>
          <cell r="FK48">
            <v>0.34188190512599026</v>
          </cell>
          <cell r="FL48">
            <v>10.243247317014349</v>
          </cell>
          <cell r="FM48">
            <v>12.928120770363224</v>
          </cell>
          <cell r="FN48">
            <v>13.79325367959752</v>
          </cell>
          <cell r="FO48">
            <v>15.933046587564581</v>
          </cell>
          <cell r="FP48">
            <v>-872.02582599338405</v>
          </cell>
          <cell r="FQ48">
            <v>-1115.9379857319357</v>
          </cell>
          <cell r="FR48">
            <v>-1068.7510374237775</v>
          </cell>
          <cell r="FS48">
            <v>-640.27995217408625</v>
          </cell>
          <cell r="FT48">
            <v>-183.0401339125583</v>
          </cell>
          <cell r="FU48">
            <v>-53.701681080865455</v>
          </cell>
          <cell r="FV48">
            <v>216.2456028057868</v>
          </cell>
          <cell r="FW48">
            <v>764.36949424096292</v>
          </cell>
          <cell r="FX48">
            <v>50.963627156811917</v>
          </cell>
          <cell r="FY48">
            <v>43.728904056130155</v>
          </cell>
          <cell r="FZ48">
            <v>35.000000011746707</v>
          </cell>
          <cell r="GA48">
            <v>19.000000005913378</v>
          </cell>
          <cell r="GB48">
            <v>3.4368450838946236</v>
          </cell>
          <cell r="GC48">
            <v>5.5849420110796695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307.15519110438004</v>
          </cell>
          <cell r="GI48">
            <v>394.08690207644173</v>
          </cell>
          <cell r="GJ48">
            <v>9.208127025144483E-2</v>
          </cell>
          <cell r="GK48">
            <v>4</v>
          </cell>
          <cell r="GP48">
            <v>1064.6031446476811</v>
          </cell>
          <cell r="GQ48">
            <v>488.81429974063951</v>
          </cell>
          <cell r="GR48">
            <v>341.09131641617017</v>
          </cell>
          <cell r="GS48">
            <v>186.46052150385626</v>
          </cell>
        </row>
        <row r="49">
          <cell r="B49" t="str">
            <v>ORTE.CA</v>
          </cell>
          <cell r="C49" t="str">
            <v>Orascom Telecom</v>
          </cell>
          <cell r="D49" t="str">
            <v>KHADR Karim</v>
          </cell>
          <cell r="E49" t="str">
            <v>EGP</v>
          </cell>
          <cell r="F49">
            <v>471.28</v>
          </cell>
          <cell r="G49">
            <v>-1</v>
          </cell>
          <cell r="H49" t="str">
            <v>EGP</v>
          </cell>
          <cell r="I49" t="str">
            <v>EGYPT</v>
          </cell>
          <cell r="J49">
            <v>110</v>
          </cell>
          <cell r="K49">
            <v>7124.5219126517404</v>
          </cell>
          <cell r="L49">
            <v>8344.7482990878707</v>
          </cell>
          <cell r="M49">
            <v>8351.9361530923979</v>
          </cell>
          <cell r="N49">
            <v>8409.75936611424</v>
          </cell>
          <cell r="O49">
            <v>8019.1832168149313</v>
          </cell>
          <cell r="P49">
            <v>419.3736622143673</v>
          </cell>
          <cell r="Q49">
            <v>545.7443733774578</v>
          </cell>
          <cell r="R49">
            <v>715.35300664202987</v>
          </cell>
          <cell r="S49">
            <v>939.94624710879987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2.642342752631206</v>
          </cell>
          <cell r="Y49">
            <v>4.5952985877487444</v>
          </cell>
          <cell r="Z49">
            <v>6.1675866604181468</v>
          </cell>
          <cell r="AA49">
            <v>8.1670269260643611</v>
          </cell>
          <cell r="AB49">
            <v>0.20331336380715315</v>
          </cell>
          <cell r="AC49">
            <v>2.6332931165042002</v>
          </cell>
          <cell r="AD49">
            <v>6.5577708264175465</v>
          </cell>
          <cell r="AE49">
            <v>9.7053379229385559</v>
          </cell>
          <cell r="AF49">
            <v>0</v>
          </cell>
          <cell r="AG49">
            <v>-0.9190597172998749</v>
          </cell>
          <cell r="AH49">
            <v>-0.92513799862544233</v>
          </cell>
          <cell r="AI49">
            <v>-2.0417567315160903</v>
          </cell>
          <cell r="AJ49">
            <v>0</v>
          </cell>
          <cell r="AK49">
            <v>-1.418994427169334</v>
          </cell>
          <cell r="AL49">
            <v>-1.4283790701532386</v>
          </cell>
          <cell r="AM49">
            <v>-3.1523973569080725</v>
          </cell>
          <cell r="AN49">
            <v>24.511725800754398</v>
          </cell>
          <cell r="AO49">
            <v>14.094488048454981</v>
          </cell>
          <cell r="AP49">
            <v>10.501414019809753</v>
          </cell>
          <cell r="AQ49">
            <v>7.930472326153847</v>
          </cell>
          <cell r="AR49">
            <v>-552.97438675583692</v>
          </cell>
          <cell r="AS49">
            <v>33.31455881529164</v>
          </cell>
          <cell r="AT49">
            <v>11.209182587343916</v>
          </cell>
          <cell r="AU49">
            <v>7.4504595668014426</v>
          </cell>
          <cell r="AV49">
            <v>-0.18084020235851267</v>
          </cell>
          <cell r="AW49">
            <v>3.0016906588629122</v>
          </cell>
          <cell r="AX49">
            <v>8.9212571229688216</v>
          </cell>
          <cell r="AY49">
            <v>13.421990832027427</v>
          </cell>
          <cell r="AZ49">
            <v>4.8569022321719331</v>
          </cell>
          <cell r="BA49">
            <v>3.294331701025599</v>
          </cell>
          <cell r="BB49">
            <v>2.4355695346789124</v>
          </cell>
          <cell r="BC49">
            <v>1.8028396245840645</v>
          </cell>
          <cell r="BD49">
            <v>9.5606429028499438</v>
          </cell>
          <cell r="BE49">
            <v>7.2959764133867484</v>
          </cell>
          <cell r="BF49">
            <v>5.7639875283449937</v>
          </cell>
          <cell r="BG49">
            <v>4.2134196769544854</v>
          </cell>
          <cell r="BH49">
            <v>373.12524249749822</v>
          </cell>
          <cell r="BI49">
            <v>28.83336147615638</v>
          </cell>
          <cell r="BJ49">
            <v>11.658284483773441</v>
          </cell>
          <cell r="BK49">
            <v>7.5115020400377261</v>
          </cell>
          <cell r="BL49">
            <v>1317.776238766751</v>
          </cell>
          <cell r="BM49">
            <v>1949.6297945822034</v>
          </cell>
          <cell r="BN49">
            <v>2696.5763915897855</v>
          </cell>
          <cell r="BO49">
            <v>3717.7774139374055</v>
          </cell>
          <cell r="BP49">
            <v>26.177199999999999</v>
          </cell>
          <cell r="BQ49">
            <v>28.6065</v>
          </cell>
          <cell r="BR49">
            <v>28.858699999999999</v>
          </cell>
          <cell r="BS49">
            <v>31.136299999999999</v>
          </cell>
          <cell r="BT49">
            <v>1718.1215310064467</v>
          </cell>
          <cell r="BU49">
            <v>2535.2444474526515</v>
          </cell>
          <cell r="BV49">
            <v>3452.8923302626713</v>
          </cell>
          <cell r="BW49">
            <v>4448.084625755354</v>
          </cell>
          <cell r="BX49">
            <v>872.82292455462118</v>
          </cell>
          <cell r="BY49">
            <v>1144.7317918638225</v>
          </cell>
          <cell r="BZ49">
            <v>1459.0176201385577</v>
          </cell>
          <cell r="CA49">
            <v>1903.2481527240841</v>
          </cell>
          <cell r="CB49">
            <v>615.20424276323843</v>
          </cell>
          <cell r="CC49">
            <v>849.24152100148569</v>
          </cell>
          <cell r="CD49">
            <v>1081.9933484873682</v>
          </cell>
          <cell r="CE49">
            <v>1482.4632642010667</v>
          </cell>
          <cell r="CF49">
            <v>532.56381254990447</v>
          </cell>
          <cell r="CG49">
            <v>789.81694480367321</v>
          </cell>
          <cell r="CH49">
            <v>1060.0539572507796</v>
          </cell>
          <cell r="CI49">
            <v>1497.2882697326559</v>
          </cell>
          <cell r="CJ49">
            <v>-110.06087854004527</v>
          </cell>
          <cell r="CK49">
            <v>-157.9633889882208</v>
          </cell>
          <cell r="CL49">
            <v>-212.01079147764207</v>
          </cell>
          <cell r="CM49">
            <v>-374.32206739880633</v>
          </cell>
          <cell r="CN49">
            <v>290.65770278943268</v>
          </cell>
          <cell r="CO49">
            <v>505.4828446523619</v>
          </cell>
          <cell r="CP49">
            <v>678.43453264599611</v>
          </cell>
          <cell r="CQ49">
            <v>898.37296186707965</v>
          </cell>
          <cell r="CR49">
            <v>488.06470035278477</v>
          </cell>
          <cell r="CS49">
            <v>679.39321682867467</v>
          </cell>
          <cell r="CT49">
            <v>865.59467881738055</v>
          </cell>
          <cell r="CU49">
            <v>1111.8474481164424</v>
          </cell>
          <cell r="CV49">
            <v>93.058199999999999</v>
          </cell>
          <cell r="CW49">
            <v>47.559087160007124</v>
          </cell>
          <cell r="CX49">
            <v>36.195637218811328</v>
          </cell>
          <cell r="CY49">
            <v>28.8219903867369</v>
          </cell>
          <cell r="CZ49">
            <v>37.311334175777262</v>
          </cell>
          <cell r="DA49">
            <v>121.7621</v>
          </cell>
          <cell r="DB49">
            <v>31.152809998425454</v>
          </cell>
          <cell r="DC49">
            <v>27.454975087485181</v>
          </cell>
          <cell r="DD49">
            <v>30.447235623058447</v>
          </cell>
          <cell r="DE49">
            <v>29.675050017537444</v>
          </cell>
          <cell r="DF49">
            <v>221.42259999999999</v>
          </cell>
          <cell r="DG49">
            <v>38.042208094510272</v>
          </cell>
          <cell r="DH49">
            <v>27.407024000828997</v>
          </cell>
          <cell r="DI49">
            <v>37.012234527463363</v>
          </cell>
          <cell r="DJ49">
            <v>34.066891369856506</v>
          </cell>
          <cell r="DK49">
            <v>146.55959999999999</v>
          </cell>
          <cell r="DL49">
            <v>73.910011605149009</v>
          </cell>
          <cell r="DM49">
            <v>34.215144949692416</v>
          </cell>
          <cell r="DN49">
            <v>32.418519199382558</v>
          </cell>
          <cell r="DO49">
            <v>45.666028164517428</v>
          </cell>
          <cell r="DP49">
            <v>50.801000325241027</v>
          </cell>
          <cell r="DQ49">
            <v>45.152718626956059</v>
          </cell>
          <cell r="DR49">
            <v>42.254941092459902</v>
          </cell>
          <cell r="DS49">
            <v>42.788038287398436</v>
          </cell>
          <cell r="DT49">
            <v>35.806794319308835</v>
          </cell>
          <cell r="DU49">
            <v>33.497421593991923</v>
          </cell>
          <cell r="DV49">
            <v>31.335855421969033</v>
          </cell>
          <cell r="DW49">
            <v>33.328126349424423</v>
          </cell>
          <cell r="DX49">
            <v>16.917179462803791</v>
          </cell>
          <cell r="DY49">
            <v>19.938229039817365</v>
          </cell>
          <cell r="DZ49">
            <v>19.648296782957772</v>
          </cell>
          <cell r="EA49">
            <v>20.196849598258755</v>
          </cell>
          <cell r="EB49">
            <v>28.40687876525735</v>
          </cell>
          <cell r="EC49">
            <v>26.797937276277697</v>
          </cell>
          <cell r="ED49">
            <v>25.068684338371256</v>
          </cell>
          <cell r="EE49">
            <v>24.9960947612959</v>
          </cell>
          <cell r="EF49">
            <v>800.85272422176388</v>
          </cell>
          <cell r="EG49">
            <v>681.66986706320017</v>
          </cell>
          <cell r="EH49">
            <v>569.88444682047009</v>
          </cell>
          <cell r="EI49">
            <v>-45.284942945609011</v>
          </cell>
          <cell r="EJ49">
            <v>2342.1680994284252</v>
          </cell>
          <cell r="EK49">
            <v>2858.5543237786869</v>
          </cell>
          <cell r="EL49">
            <v>3903.9618328594261</v>
          </cell>
          <cell r="EM49">
            <v>4798.4839515199155</v>
          </cell>
          <cell r="EN49">
            <v>-36.006866042089555</v>
          </cell>
          <cell r="EO49">
            <v>-59.424576197812371</v>
          </cell>
          <cell r="EP49">
            <v>-21.939391236588474</v>
          </cell>
          <cell r="EQ49">
            <v>14.825005531589154</v>
          </cell>
          <cell r="ER49">
            <v>1407.3366472935068</v>
          </cell>
          <cell r="ES49">
            <v>1972.4018187590275</v>
          </cell>
          <cell r="ET49">
            <v>2458.365057123106</v>
          </cell>
          <cell r="EU49">
            <v>2868.0418498733575</v>
          </cell>
          <cell r="EV49">
            <v>223.53913630247965</v>
          </cell>
          <cell r="EW49">
            <v>227.25466199585233</v>
          </cell>
          <cell r="EX49">
            <v>637.50099444917055</v>
          </cell>
          <cell r="EY49">
            <v>1125.9914805281189</v>
          </cell>
          <cell r="EZ49">
            <v>60.773043302954598</v>
          </cell>
          <cell r="FA49">
            <v>34.964066970944032</v>
          </cell>
          <cell r="FB49">
            <v>21.133628870958511</v>
          </cell>
          <cell r="FC49">
            <v>-1.218064932447068</v>
          </cell>
          <cell r="FD49">
            <v>0.91754318280585745</v>
          </cell>
          <cell r="FE49">
            <v>0.59548435005314482</v>
          </cell>
          <cell r="FF49">
            <v>0.39059462953322671</v>
          </cell>
          <cell r="FG49">
            <v>-2.3793504215828872E-2</v>
          </cell>
          <cell r="FH49">
            <v>0.36335759860568578</v>
          </cell>
          <cell r="FI49">
            <v>0.2675972104235525</v>
          </cell>
          <cell r="FJ49">
            <v>0.58919123240489413</v>
          </cell>
          <cell r="FK49">
            <v>0.75954089906905142</v>
          </cell>
          <cell r="FL49">
            <v>24.240458015267173</v>
          </cell>
          <cell r="FM49">
            <v>19.263608848521567</v>
          </cell>
          <cell r="FN49">
            <v>66.502192536014576</v>
          </cell>
          <cell r="FO49">
            <v>-128.38094047713093</v>
          </cell>
          <cell r="FP49">
            <v>-740.39757599578911</v>
          </cell>
          <cell r="FQ49">
            <v>-697.1061600601397</v>
          </cell>
          <cell r="FR49">
            <v>-525.6520377549856</v>
          </cell>
          <cell r="FS49">
            <v>-461.33891380203647</v>
          </cell>
          <cell r="FT49">
            <v>22.364470018786847</v>
          </cell>
          <cell r="FU49">
            <v>289.66224281546204</v>
          </cell>
          <cell r="FV49">
            <v>721.35479090593014</v>
          </cell>
          <cell r="FW49">
            <v>1067.5871715232411</v>
          </cell>
          <cell r="FX49">
            <v>43.093434465143837</v>
          </cell>
          <cell r="FY49">
            <v>27.496605337626281</v>
          </cell>
          <cell r="FZ49">
            <v>15.223528204107012</v>
          </cell>
          <cell r="GA49">
            <v>10.371630771833482</v>
          </cell>
          <cell r="GB49">
            <v>4.9843308288863026</v>
          </cell>
          <cell r="GC49">
            <v>7.2815738298799264</v>
          </cell>
          <cell r="GD49">
            <v>9.5950799778461562</v>
          </cell>
          <cell r="GE49">
            <v>11.992344143180892</v>
          </cell>
          <cell r="GF49">
            <v>0</v>
          </cell>
          <cell r="GG49">
            <v>101.09656890298623</v>
          </cell>
          <cell r="GH49">
            <v>101.76517984879865</v>
          </cell>
          <cell r="GI49">
            <v>224.59324046676991</v>
          </cell>
          <cell r="GJ49">
            <v>0.11251111695068906</v>
          </cell>
          <cell r="GK49">
            <v>4</v>
          </cell>
          <cell r="GP49">
            <v>889.95004149341844</v>
          </cell>
          <cell r="GQ49">
            <v>393.58525399724346</v>
          </cell>
          <cell r="GR49">
            <v>191.40043132102051</v>
          </cell>
          <cell r="GS49">
            <v>117.8853724573826</v>
          </cell>
        </row>
        <row r="50">
          <cell r="B50" t="str">
            <v>MTNJ.J</v>
          </cell>
          <cell r="C50" t="str">
            <v>MTN</v>
          </cell>
          <cell r="D50" t="str">
            <v>Disilvestro Franca</v>
          </cell>
          <cell r="E50" t="str">
            <v>ZAR</v>
          </cell>
          <cell r="F50">
            <v>47.38</v>
          </cell>
          <cell r="G50">
            <v>-1</v>
          </cell>
          <cell r="H50" t="str">
            <v>ZAR</v>
          </cell>
          <cell r="I50" t="str">
            <v>SOUTH AFRICA</v>
          </cell>
          <cell r="J50">
            <v>1662.50757</v>
          </cell>
          <cell r="K50">
            <v>9582.1658507983266</v>
          </cell>
          <cell r="L50">
            <v>9606.7905838968982</v>
          </cell>
          <cell r="M50">
            <v>9092.4500722110188</v>
          </cell>
          <cell r="N50">
            <v>8289.6664817789315</v>
          </cell>
          <cell r="O50">
            <v>7530.4149668468908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0.43779143156600875</v>
          </cell>
          <cell r="Y50">
            <v>0.59875946636892374</v>
          </cell>
          <cell r="Z50">
            <v>0.61843015658706213</v>
          </cell>
          <cell r="AA50">
            <v>0.74985761260401529</v>
          </cell>
          <cell r="AB50">
            <v>0.57047405995412337</v>
          </cell>
          <cell r="AC50">
            <v>0.78612278741083863</v>
          </cell>
          <cell r="AD50">
            <v>0.88783109904160085</v>
          </cell>
          <cell r="AE50">
            <v>0.88076543285110209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13.165361682756744</v>
          </cell>
          <cell r="AO50">
            <v>9.6260399407649277</v>
          </cell>
          <cell r="AP50">
            <v>9.3198600954171713</v>
          </cell>
          <cell r="AQ50">
            <v>7.6863693070514154</v>
          </cell>
          <cell r="AR50">
            <v>10.456846200036228</v>
          </cell>
          <cell r="AS50">
            <v>7.5149694419121689</v>
          </cell>
          <cell r="AT50">
            <v>6.6763198894578624</v>
          </cell>
          <cell r="AU50">
            <v>5.4458615601313927</v>
          </cell>
          <cell r="AV50">
            <v>9.5631128245582833</v>
          </cell>
          <cell r="AW50">
            <v>13.306774002603955</v>
          </cell>
          <cell r="AX50">
            <v>14.97831165308652</v>
          </cell>
          <cell r="AY50">
            <v>18.362567409368243</v>
          </cell>
          <cell r="AZ50">
            <v>2.690085794438283</v>
          </cell>
          <cell r="BA50">
            <v>1.9606958105725873</v>
          </cell>
          <cell r="BB50">
            <v>1.469080185205007</v>
          </cell>
          <cell r="BC50">
            <v>1.1865293050926835</v>
          </cell>
          <cell r="BD50">
            <v>6.630367681564751</v>
          </cell>
          <cell r="BE50">
            <v>4.6663424808868861</v>
          </cell>
          <cell r="BF50">
            <v>3.4540567412895316</v>
          </cell>
          <cell r="BG50">
            <v>2.8445306204132166</v>
          </cell>
          <cell r="BH50">
            <v>10.129285003304465</v>
          </cell>
          <cell r="BI50">
            <v>6.9570785698753657</v>
          </cell>
          <cell r="BJ50">
            <v>5.6162065668307779</v>
          </cell>
          <cell r="BK50">
            <v>5.1427452970516274</v>
          </cell>
          <cell r="BL50">
            <v>3104.9900867975257</v>
          </cell>
          <cell r="BM50">
            <v>3662.7532424477768</v>
          </cell>
          <cell r="BN50">
            <v>4144.3877789006738</v>
          </cell>
          <cell r="BO50">
            <v>4670.1848698741169</v>
          </cell>
          <cell r="BP50">
            <v>29.291875000000001</v>
          </cell>
          <cell r="BQ50">
            <v>36.329899999999995</v>
          </cell>
          <cell r="BR50">
            <v>44.312174999999996</v>
          </cell>
          <cell r="BS50">
            <v>48.226724999999995</v>
          </cell>
          <cell r="BT50">
            <v>3571.183716057983</v>
          </cell>
          <cell r="BU50">
            <v>4637.3588514761632</v>
          </cell>
          <cell r="BV50">
            <v>5642.759711323808</v>
          </cell>
          <cell r="BW50">
            <v>6346.589953173273</v>
          </cell>
          <cell r="BX50">
            <v>1448.9076692696653</v>
          </cell>
          <cell r="BY50">
            <v>1948.5175186890494</v>
          </cell>
          <cell r="BZ50">
            <v>2399.9798216065442</v>
          </cell>
          <cell r="CA50">
            <v>2647.3313076000459</v>
          </cell>
          <cell r="CB50">
            <v>1019.8979127498227</v>
          </cell>
          <cell r="CC50">
            <v>1405.6033152791981</v>
          </cell>
          <cell r="CD50">
            <v>1747.5104991885244</v>
          </cell>
          <cell r="CE50">
            <v>1899.2587720567415</v>
          </cell>
          <cell r="CF50">
            <v>987.98943435364947</v>
          </cell>
          <cell r="CG50">
            <v>1373.9243630103631</v>
          </cell>
          <cell r="CH50">
            <v>1706.9370655712103</v>
          </cell>
          <cell r="CI50">
            <v>2194.7479352189698</v>
          </cell>
          <cell r="CJ50">
            <v>-201.72891149318352</v>
          </cell>
          <cell r="CK50">
            <v>-248.43955092361173</v>
          </cell>
          <cell r="CL50">
            <v>-483.44514337137508</v>
          </cell>
          <cell r="CM50">
            <v>-691.13396892693288</v>
          </cell>
          <cell r="CN50">
            <v>727.83156905962653</v>
          </cell>
          <cell r="CO50">
            <v>995.44214544749605</v>
          </cell>
          <cell r="CP50">
            <v>1028.1448168422762</v>
          </cell>
          <cell r="CQ50">
            <v>1246.6439573763028</v>
          </cell>
          <cell r="CR50">
            <v>780.72689260766515</v>
          </cell>
          <cell r="CS50">
            <v>1051.3586745087259</v>
          </cell>
          <cell r="CT50">
            <v>1288.8211075895872</v>
          </cell>
          <cell r="CU50">
            <v>1394.9036138596678</v>
          </cell>
          <cell r="CV50">
            <v>28.733324999999997</v>
          </cell>
          <cell r="CW50">
            <v>29.854950632309311</v>
          </cell>
          <cell r="CX50">
            <v>21.680462781688888</v>
          </cell>
          <cell r="CY50">
            <v>12.473156360655025</v>
          </cell>
          <cell r="CZ50">
            <v>21.12749870470239</v>
          </cell>
          <cell r="DA50">
            <v>43.710174999999992</v>
          </cell>
          <cell r="DB50">
            <v>34.481827932570525</v>
          </cell>
          <cell r="DC50">
            <v>23.169527529895433</v>
          </cell>
          <cell r="DD50">
            <v>10.306398569131517</v>
          </cell>
          <cell r="DE50">
            <v>22.251968678701587</v>
          </cell>
          <cell r="DF50">
            <v>54.751175000000011</v>
          </cell>
          <cell r="DG50">
            <v>37.818040188889711</v>
          </cell>
          <cell r="DH50">
            <v>24.324585762762837</v>
          </cell>
          <cell r="DI50">
            <v>8.6836830416002044</v>
          </cell>
          <cell r="DJ50">
            <v>23.029467981939348</v>
          </cell>
          <cell r="DK50">
            <v>56.947125</v>
          </cell>
          <cell r="DL50">
            <v>36.76820129327831</v>
          </cell>
          <cell r="DM50">
            <v>3.2852407891649875</v>
          </cell>
          <cell r="DN50">
            <v>21.251786417121593</v>
          </cell>
          <cell r="DO50">
            <v>19.647560768997124</v>
          </cell>
          <cell r="DP50">
            <v>40.572196349198983</v>
          </cell>
          <cell r="DQ50">
            <v>42.017829137134768</v>
          </cell>
          <cell r="DR50">
            <v>42.532022350522908</v>
          </cell>
          <cell r="DS50">
            <v>41.712657145533548</v>
          </cell>
          <cell r="DT50">
            <v>28.559099554688473</v>
          </cell>
          <cell r="DU50">
            <v>30.310427989237166</v>
          </cell>
          <cell r="DV50">
            <v>30.969075214768505</v>
          </cell>
          <cell r="DW50">
            <v>29.925657495914297</v>
          </cell>
          <cell r="DX50">
            <v>20.380681223060581</v>
          </cell>
          <cell r="DY50">
            <v>21.465713077835826</v>
          </cell>
          <cell r="DZ50">
            <v>18.220602496665066</v>
          </cell>
          <cell r="EA50">
            <v>19.642736754294091</v>
          </cell>
          <cell r="EB50">
            <v>21.86185183072752</v>
          </cell>
          <cell r="EC50">
            <v>22.671497034870562</v>
          </cell>
          <cell r="ED50">
            <v>22.840262097342187</v>
          </cell>
          <cell r="EE50">
            <v>21.978788989860938</v>
          </cell>
          <cell r="EF50">
            <v>24.624733098571944</v>
          </cell>
          <cell r="EG50">
            <v>-489.71577858730814</v>
          </cell>
          <cell r="EH50">
            <v>-1292.4993690193944</v>
          </cell>
          <cell r="EI50">
            <v>-2051.7508839514362</v>
          </cell>
          <cell r="EJ50">
            <v>4410.9624244362503</v>
          </cell>
          <cell r="EK50">
            <v>4994.8042639633404</v>
          </cell>
          <cell r="EL50">
            <v>5489.2242384382425</v>
          </cell>
          <cell r="EM50">
            <v>6050.6006245013286</v>
          </cell>
          <cell r="EN50">
            <v>-32.064111814224759</v>
          </cell>
          <cell r="EO50">
            <v>-31.857930699594188</v>
          </cell>
          <cell r="EP50">
            <v>-40.779258789878178</v>
          </cell>
          <cell r="EQ50">
            <v>295.25246412102302</v>
          </cell>
          <cell r="ER50">
            <v>1493.6628051990717</v>
          </cell>
          <cell r="ES50">
            <v>1635.6786615909239</v>
          </cell>
          <cell r="ET50">
            <v>1719.9347039120221</v>
          </cell>
          <cell r="EU50">
            <v>1839.5071535946433</v>
          </cell>
          <cell r="EV50">
            <v>1281.347604540153</v>
          </cell>
          <cell r="EW50">
            <v>1821.7668000116357</v>
          </cell>
          <cell r="EX50">
            <v>2637.3358284353158</v>
          </cell>
          <cell r="EY50">
            <v>3432.1666386394731</v>
          </cell>
          <cell r="EZ50">
            <v>0.79306962052074692</v>
          </cell>
          <cell r="FA50">
            <v>-13.370154803549818</v>
          </cell>
          <cell r="FB50">
            <v>-31.186738258412642</v>
          </cell>
          <cell r="FC50">
            <v>-43.932969274656152</v>
          </cell>
          <cell r="FD50">
            <v>1.6995377704767247E-2</v>
          </cell>
          <cell r="FE50">
            <v>-0.25132736754493534</v>
          </cell>
          <cell r="FF50">
            <v>-0.53854593167129072</v>
          </cell>
          <cell r="FG50">
            <v>-0.77502610952441131</v>
          </cell>
          <cell r="FH50">
            <v>1.2563488840617552</v>
          </cell>
          <cell r="FI50">
            <v>1.2960746323010586</v>
          </cell>
          <cell r="FJ50">
            <v>1.5091959846078129</v>
          </cell>
          <cell r="FK50">
            <v>1.807108483128246</v>
          </cell>
          <cell r="FL50">
            <v>45.187831107390267</v>
          </cell>
          <cell r="FM50">
            <v>61.162714460731436</v>
          </cell>
          <cell r="FN50">
            <v>58.852953506900015</v>
          </cell>
          <cell r="FO50">
            <v>-8.9663309516526617</v>
          </cell>
          <cell r="FP50">
            <v>-298.76131461411791</v>
          </cell>
          <cell r="FQ50">
            <v>-393.14288274541792</v>
          </cell>
          <cell r="FR50">
            <v>-440.50875519708796</v>
          </cell>
          <cell r="FS50">
            <v>-491.91813916382904</v>
          </cell>
          <cell r="FT50">
            <v>948.41744316236395</v>
          </cell>
          <cell r="FU50">
            <v>1306.9350850200199</v>
          </cell>
          <cell r="FV50">
            <v>1476.0259230380811</v>
          </cell>
          <cell r="FW50">
            <v>1464.2791995092839</v>
          </cell>
          <cell r="FX50">
            <v>8.3658903704876533</v>
          </cell>
          <cell r="FY50">
            <v>8.4777325916943607</v>
          </cell>
          <cell r="FZ50">
            <v>7.806619061114394</v>
          </cell>
          <cell r="GA50">
            <v>7.7509047030503631</v>
          </cell>
          <cell r="GB50">
            <v>0.69593896834370672</v>
          </cell>
          <cell r="GC50">
            <v>0.92545287005737886</v>
          </cell>
          <cell r="GD50">
            <v>1.0110330940207861</v>
          </cell>
          <cell r="GE50">
            <v>1.1999925612244156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0.12248677368828512</v>
          </cell>
          <cell r="GK50">
            <v>4</v>
          </cell>
          <cell r="GP50">
            <v>2774.0942106932939</v>
          </cell>
          <cell r="GQ50">
            <v>1008.2150893419102</v>
          </cell>
          <cell r="GR50">
            <v>659.05665191222147</v>
          </cell>
          <cell r="GS50">
            <v>463.74316768123441</v>
          </cell>
        </row>
        <row r="51">
          <cell r="B51" t="str">
            <v>VODE.CA</v>
          </cell>
          <cell r="C51" t="str">
            <v>Vodafone Egypt</v>
          </cell>
          <cell r="D51" t="str">
            <v>KHADR Karim</v>
          </cell>
          <cell r="E51" t="str">
            <v>EGP</v>
          </cell>
          <cell r="F51">
            <v>74.69</v>
          </cell>
          <cell r="G51">
            <v>-1</v>
          </cell>
          <cell r="H51" t="str">
            <v>EGP</v>
          </cell>
          <cell r="I51" t="str">
            <v>EGYPT</v>
          </cell>
          <cell r="J51">
            <v>240</v>
          </cell>
          <cell r="K51">
            <v>2463.5293050537421</v>
          </cell>
          <cell r="L51">
            <v>2545.574246570071</v>
          </cell>
          <cell r="M51">
            <v>2439.5923092014032</v>
          </cell>
          <cell r="N51">
            <v>2321.124701775193</v>
          </cell>
          <cell r="O51">
            <v>2188.9301076151769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0.54855944605887441</v>
          </cell>
          <cell r="Y51">
            <v>0.80574641108090694</v>
          </cell>
          <cell r="Z51">
            <v>1.066565334796284</v>
          </cell>
          <cell r="AA51">
            <v>1.2644316601364138</v>
          </cell>
          <cell r="AB51">
            <v>0.5889196441332859</v>
          </cell>
          <cell r="AC51">
            <v>0.82513926090639278</v>
          </cell>
          <cell r="AD51">
            <v>0.99225061551813443</v>
          </cell>
          <cell r="AE51">
            <v>1.1618119796813164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18.712111351779111</v>
          </cell>
          <cell r="AO51">
            <v>12.739374692285439</v>
          </cell>
          <cell r="AP51">
            <v>9.6240756218506789</v>
          </cell>
          <cell r="AQ51">
            <v>8.1180389271623525</v>
          </cell>
          <cell r="AR51">
            <v>20.403928417319634</v>
          </cell>
          <cell r="AS51">
            <v>12.978571889709036</v>
          </cell>
          <cell r="AT51">
            <v>10.06612492557303</v>
          </cell>
          <cell r="AU51">
            <v>8.3421570777619198</v>
          </cell>
          <cell r="AV51">
            <v>4.9010169980363285</v>
          </cell>
          <cell r="AW51">
            <v>7.7050079816017325</v>
          </cell>
          <cell r="AX51">
            <v>9.9343094526821947</v>
          </cell>
          <cell r="AY51">
            <v>11.987307247735085</v>
          </cell>
          <cell r="AZ51">
            <v>4.4667927682794177</v>
          </cell>
          <cell r="BA51">
            <v>3.382552897809247</v>
          </cell>
          <cell r="BB51">
            <v>2.6704779181764358</v>
          </cell>
          <cell r="BC51">
            <v>2.1913173728001283</v>
          </cell>
          <cell r="BD51">
            <v>8.3485520075927049</v>
          </cell>
          <cell r="BE51">
            <v>6.3937356533101743</v>
          </cell>
          <cell r="BF51">
            <v>5.2625961207872693</v>
          </cell>
          <cell r="BG51">
            <v>4.3919240964043738</v>
          </cell>
          <cell r="BH51">
            <v>18.010197938495192</v>
          </cell>
          <cell r="BI51">
            <v>12.31909380222668</v>
          </cell>
          <cell r="BJ51">
            <v>9.7468852856423851</v>
          </cell>
          <cell r="BK51">
            <v>7.8502737745611739</v>
          </cell>
          <cell r="BL51">
            <v>246.91282559071189</v>
          </cell>
          <cell r="BM51">
            <v>268.85208369122597</v>
          </cell>
          <cell r="BN51">
            <v>363.09265576748908</v>
          </cell>
          <cell r="BO51">
            <v>474.60421665138898</v>
          </cell>
          <cell r="BP51">
            <v>37.512349999999998</v>
          </cell>
          <cell r="BQ51">
            <v>57.795225000000002</v>
          </cell>
          <cell r="BR51">
            <v>69.481674999999996</v>
          </cell>
          <cell r="BS51">
            <v>76.383724999999998</v>
          </cell>
          <cell r="BT51">
            <v>569.88859314165393</v>
          </cell>
          <cell r="BU51">
            <v>721.22813239119955</v>
          </cell>
          <cell r="BV51">
            <v>869.17951501362631</v>
          </cell>
          <cell r="BW51">
            <v>998.91057990294632</v>
          </cell>
          <cell r="BX51">
            <v>304.91206669790927</v>
          </cell>
          <cell r="BY51">
            <v>381.55977060740287</v>
          </cell>
          <cell r="BZ51">
            <v>441.06077086302406</v>
          </cell>
          <cell r="CA51">
            <v>498.39889296065769</v>
          </cell>
          <cell r="CB51">
            <v>204.09865836630527</v>
          </cell>
          <cell r="CC51">
            <v>259.4697539233054</v>
          </cell>
          <cell r="CD51">
            <v>313.37512351591926</v>
          </cell>
          <cell r="CE51">
            <v>362.85354609222435</v>
          </cell>
          <cell r="CF51">
            <v>183.88761150790432</v>
          </cell>
          <cell r="CG51">
            <v>251.25146088925965</v>
          </cell>
          <cell r="CH51">
            <v>319.96960041311695</v>
          </cell>
          <cell r="CI51">
            <v>379.32949800656644</v>
          </cell>
          <cell r="CJ51">
            <v>-52.233344453774471</v>
          </cell>
          <cell r="CK51">
            <v>-57.872322229841998</v>
          </cell>
          <cell r="CL51">
            <v>-63.993920062008769</v>
          </cell>
          <cell r="CM51">
            <v>-75.865899573827122</v>
          </cell>
          <cell r="CN51">
            <v>131.65426705412986</v>
          </cell>
          <cell r="CO51">
            <v>193.37913865941766</v>
          </cell>
          <cell r="CP51">
            <v>255.97568035110817</v>
          </cell>
          <cell r="CQ51">
            <v>303.46359843273933</v>
          </cell>
          <cell r="CR51">
            <v>169.7145448842077</v>
          </cell>
          <cell r="CS51">
            <v>235.32703583095463</v>
          </cell>
          <cell r="CT51">
            <v>280.416196286895</v>
          </cell>
          <cell r="CU51">
            <v>313.12739507503034</v>
          </cell>
          <cell r="CV51">
            <v>38.5379</v>
          </cell>
          <cell r="CW51">
            <v>26.555986743873646</v>
          </cell>
          <cell r="CX51">
            <v>20.513811924099599</v>
          </cell>
          <cell r="CY51">
            <v>14.925692868783983</v>
          </cell>
          <cell r="CZ51">
            <v>20.571745886951433</v>
          </cell>
          <cell r="DA51">
            <v>49.015450000000001</v>
          </cell>
          <cell r="DB51">
            <v>25.137642055154259</v>
          </cell>
          <cell r="DC51">
            <v>15.594149289088293</v>
          </cell>
          <cell r="DD51">
            <v>13.000050307226402</v>
          </cell>
          <cell r="DE51">
            <v>17.796978918945101</v>
          </cell>
          <cell r="DF51">
            <v>38.131574999999998</v>
          </cell>
          <cell r="DG51">
            <v>27.129573511268788</v>
          </cell>
          <cell r="DH51">
            <v>20.775203574805602</v>
          </cell>
          <cell r="DI51">
            <v>15.788880119513252</v>
          </cell>
          <cell r="DJ51">
            <v>21.142651197658722</v>
          </cell>
          <cell r="DK51">
            <v>16.643324999999997</v>
          </cell>
          <cell r="DL51">
            <v>46.884064593143421</v>
          </cell>
          <cell r="DM51">
            <v>32.369852366514294</v>
          </cell>
          <cell r="DN51">
            <v>18.551730389580172</v>
          </cell>
          <cell r="DO51">
            <v>32.096269984314318</v>
          </cell>
          <cell r="DP51">
            <v>53.503802386533998</v>
          </cell>
          <cell r="DQ51">
            <v>52.90417185230401</v>
          </cell>
          <cell r="DR51">
            <v>50.744496763261786</v>
          </cell>
          <cell r="DS51">
            <v>49.894245089393479</v>
          </cell>
          <cell r="DT51">
            <v>35.813781995733621</v>
          </cell>
          <cell r="DU51">
            <v>35.976099970344343</v>
          </cell>
          <cell r="DV51">
            <v>36.054131293120321</v>
          </cell>
          <cell r="DW51">
            <v>36.324927715499719</v>
          </cell>
          <cell r="DX51">
            <v>23.1017550866131</v>
          </cell>
          <cell r="DY51">
            <v>26.812478600672133</v>
          </cell>
          <cell r="DZ51">
            <v>29.45026613369911</v>
          </cell>
          <cell r="EA51">
            <v>30.379455832995955</v>
          </cell>
          <cell r="EB51">
            <v>29.780302137407883</v>
          </cell>
          <cell r="EC51">
            <v>32.628654549391797</v>
          </cell>
          <cell r="ED51">
            <v>32.26217270922438</v>
          </cell>
          <cell r="EE51">
            <v>31.346889438837824</v>
          </cell>
          <cell r="EF51">
            <v>82.044941516328834</v>
          </cell>
          <cell r="EG51">
            <v>-23.936995852338864</v>
          </cell>
          <cell r="EH51">
            <v>-142.40460327854885</v>
          </cell>
          <cell r="EI51">
            <v>-274.599197438565</v>
          </cell>
          <cell r="EJ51">
            <v>355.13956989661085</v>
          </cell>
          <cell r="EK51">
            <v>287.74881682400201</v>
          </cell>
          <cell r="EL51">
            <v>363.09265576748908</v>
          </cell>
          <cell r="EM51">
            <v>474.60421665138898</v>
          </cell>
          <cell r="EN51">
            <v>-20.602724599698476</v>
          </cell>
          <cell r="EO51">
            <v>-8.218293034045729</v>
          </cell>
          <cell r="EP51">
            <v>6.5944768971976488</v>
          </cell>
          <cell r="EQ51">
            <v>16.475951811269049</v>
          </cell>
          <cell r="ER51">
            <v>360.84073074010604</v>
          </cell>
          <cell r="ES51">
            <v>401.82472335182695</v>
          </cell>
          <cell r="ET51">
            <v>450.21090094126345</v>
          </cell>
          <cell r="EU51">
            <v>486.91937011347659</v>
          </cell>
          <cell r="EV51">
            <v>26.181802789570103</v>
          </cell>
          <cell r="EW51">
            <v>42.833728985114874</v>
          </cell>
          <cell r="EX51">
            <v>142.40460327854885</v>
          </cell>
          <cell r="EY51">
            <v>274.599197438565</v>
          </cell>
          <cell r="EZ51">
            <v>33.228302871689756</v>
          </cell>
          <cell r="FA51">
            <v>-8.9034072281285628</v>
          </cell>
          <cell r="FB51">
            <v>-39.219907375306271</v>
          </cell>
          <cell r="FC51">
            <v>-57.858566739255572</v>
          </cell>
          <cell r="FD51">
            <v>0.26907738485015292</v>
          </cell>
          <cell r="FE51">
            <v>-6.2734590216976208E-2</v>
          </cell>
          <cell r="FF51">
            <v>-0.32286844055504099</v>
          </cell>
          <cell r="FG51">
            <v>-0.55096269537709652</v>
          </cell>
          <cell r="FH51">
            <v>0.12828013177127512</v>
          </cell>
          <cell r="FI51">
            <v>0.16508178058308776</v>
          </cell>
          <cell r="FJ51">
            <v>0.45442216880790409</v>
          </cell>
          <cell r="FK51">
            <v>0.75677694319341648</v>
          </cell>
          <cell r="FL51">
            <v>14.799599209435227</v>
          </cell>
          <cell r="FM51">
            <v>46.428104842054694</v>
          </cell>
          <cell r="FN51">
            <v>-66.883359778006763</v>
          </cell>
          <cell r="FO51">
            <v>-30.250081978254393</v>
          </cell>
          <cell r="FP51">
            <v>-111.33800765214619</v>
          </cell>
          <cell r="FQ51">
            <v>-125.65402576002661</v>
          </cell>
          <cell r="FR51">
            <v>-138.92670307666302</v>
          </cell>
          <cell r="FS51">
            <v>-143.69811826331465</v>
          </cell>
          <cell r="FT51">
            <v>141.34071459198861</v>
          </cell>
          <cell r="FU51">
            <v>198.03342261753426</v>
          </cell>
          <cell r="FV51">
            <v>238.14014772435226</v>
          </cell>
          <cell r="FW51">
            <v>278.83487512351593</v>
          </cell>
          <cell r="FX51">
            <v>19.536802278909896</v>
          </cell>
          <cell r="FY51">
            <v>17.422230237113233</v>
          </cell>
          <cell r="FZ51">
            <v>15.98366053006726</v>
          </cell>
          <cell r="GA51">
            <v>14.385483661337963</v>
          </cell>
          <cell r="GB51">
            <v>0.96861527488218746</v>
          </cell>
          <cell r="GC51">
            <v>1.3144547983271924</v>
          </cell>
          <cell r="GD51">
            <v>1.598588895042734</v>
          </cell>
          <cell r="GE51">
            <v>1.8292039046835038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3.2864386243054662E-2</v>
          </cell>
          <cell r="GK51">
            <v>4</v>
          </cell>
          <cell r="GP51">
            <v>411.35934148103439</v>
          </cell>
          <cell r="GQ51">
            <v>204.61775386237417</v>
          </cell>
          <cell r="GR51">
            <v>147.7567010774367</v>
          </cell>
          <cell r="GS51">
            <v>112.86909649920376</v>
          </cell>
        </row>
        <row r="52">
          <cell r="B52" t="str">
            <v>EMOB.CA</v>
          </cell>
          <cell r="C52" t="str">
            <v>MobiNil</v>
          </cell>
          <cell r="D52" t="str">
            <v>KHADR Karim</v>
          </cell>
          <cell r="E52" t="str">
            <v>EGP</v>
          </cell>
          <cell r="F52">
            <v>176.81</v>
          </cell>
          <cell r="G52">
            <v>-1</v>
          </cell>
          <cell r="H52" t="str">
            <v>EGP</v>
          </cell>
          <cell r="I52" t="str">
            <v>EGYPT</v>
          </cell>
          <cell r="J52">
            <v>100</v>
          </cell>
          <cell r="K52">
            <v>2429.9137346953639</v>
          </cell>
          <cell r="L52">
            <v>2620.5262319639269</v>
          </cell>
          <cell r="M52">
            <v>2396.4836810561278</v>
          </cell>
          <cell r="N52">
            <v>2287.8298073632664</v>
          </cell>
          <cell r="O52">
            <v>2181.6762015230079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1.2000784935936639</v>
          </cell>
          <cell r="Y52">
            <v>1.8987760056841372</v>
          </cell>
          <cell r="Z52">
            <v>2.3840022909712095</v>
          </cell>
          <cell r="AA52">
            <v>2.9204158848000179</v>
          </cell>
          <cell r="AB52">
            <v>1.3867491599543178</v>
          </cell>
          <cell r="AC52">
            <v>2.1321290420112171</v>
          </cell>
          <cell r="AD52">
            <v>2.4743285173004743</v>
          </cell>
          <cell r="AE52">
            <v>2.8995106653161802</v>
          </cell>
          <cell r="AF52">
            <v>0.95995887796008728</v>
          </cell>
          <cell r="AG52">
            <v>1.519154370505154</v>
          </cell>
          <cell r="AH52">
            <v>1.9073353984599504</v>
          </cell>
          <cell r="AI52">
            <v>2.3364662737978588</v>
          </cell>
          <cell r="AJ52">
            <v>3.9505883038289689</v>
          </cell>
          <cell r="AK52">
            <v>6.2518860188903336</v>
          </cell>
          <cell r="AL52">
            <v>7.8493955206153485</v>
          </cell>
          <cell r="AM52">
            <v>9.6154288954244667</v>
          </cell>
          <cell r="AN52">
            <v>20.247956676724776</v>
          </cell>
          <cell r="AO52">
            <v>12.797263750022244</v>
          </cell>
          <cell r="AP52">
            <v>10.192581374179177</v>
          </cell>
          <cell r="AQ52">
            <v>8.3204373299789722</v>
          </cell>
          <cell r="AR52">
            <v>18.929337324422612</v>
          </cell>
          <cell r="AS52">
            <v>11.829506834329809</v>
          </cell>
          <cell r="AT52">
            <v>9.6251721801274446</v>
          </cell>
          <cell r="AU52">
            <v>7.9876206544081905</v>
          </cell>
          <cell r="AV52">
            <v>5.2828051128329836</v>
          </cell>
          <cell r="AW52">
            <v>8.4534377806685139</v>
          </cell>
          <cell r="AX52">
            <v>10.389424534811379</v>
          </cell>
          <cell r="AY52">
            <v>12.519372705163736</v>
          </cell>
          <cell r="AZ52">
            <v>4.2167638017280646</v>
          </cell>
          <cell r="BA52">
            <v>3.1256107218257903</v>
          </cell>
          <cell r="BB52">
            <v>2.4589337197168817</v>
          </cell>
          <cell r="BC52">
            <v>2.0135832480518063</v>
          </cell>
          <cell r="BD52">
            <v>8.5674651071388137</v>
          </cell>
          <cell r="BE52">
            <v>6.2512214436515805</v>
          </cell>
          <cell r="BF52">
            <v>5.1227785824912759</v>
          </cell>
          <cell r="BG52">
            <v>4.2391226277604863</v>
          </cell>
          <cell r="BH52">
            <v>18.896901527960921</v>
          </cell>
          <cell r="BI52">
            <v>11.239862287113482</v>
          </cell>
          <cell r="BJ52">
            <v>9.2462653660045095</v>
          </cell>
          <cell r="BK52">
            <v>7.5242910040653515</v>
          </cell>
          <cell r="BL52">
            <v>279.49128166577106</v>
          </cell>
          <cell r="BM52">
            <v>373.40638572149101</v>
          </cell>
          <cell r="BN52">
            <v>459.92456918884227</v>
          </cell>
          <cell r="BO52">
            <v>561.12857831974372</v>
          </cell>
          <cell r="BP52">
            <v>30.378899999999998</v>
          </cell>
          <cell r="BQ52">
            <v>51.5319</v>
          </cell>
          <cell r="BR52">
            <v>64.726600000000005</v>
          </cell>
          <cell r="BS52">
            <v>79.2684</v>
          </cell>
          <cell r="BT52">
            <v>621.45435580006017</v>
          </cell>
          <cell r="BU52">
            <v>766.72493612904202</v>
          </cell>
          <cell r="BV52">
            <v>930.41540283024949</v>
          </cell>
          <cell r="BW52">
            <v>1083.4795152541301</v>
          </cell>
          <cell r="BX52">
            <v>305.86949572521536</v>
          </cell>
          <cell r="BY52">
            <v>383.36246806452101</v>
          </cell>
          <cell r="BZ52">
            <v>446.59939338050873</v>
          </cell>
          <cell r="CA52">
            <v>514.65276971135415</v>
          </cell>
          <cell r="CB52">
            <v>209.98713606609869</v>
          </cell>
          <cell r="CC52">
            <v>245.16952884603492</v>
          </cell>
          <cell r="CD52">
            <v>292.99995396068653</v>
          </cell>
          <cell r="CE52">
            <v>350.81396489193133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-76.089371102978262</v>
          </cell>
          <cell r="CK52">
            <v>-47.473574121233192</v>
          </cell>
          <cell r="CL52">
            <v>-59.604231219052309</v>
          </cell>
          <cell r="CM52">
            <v>-73.014571099130208</v>
          </cell>
          <cell r="CN52">
            <v>120.00784935936639</v>
          </cell>
          <cell r="CO52">
            <v>189.87760056841373</v>
          </cell>
          <cell r="CP52">
            <v>238.40022909712096</v>
          </cell>
          <cell r="CQ52">
            <v>292.04158848000179</v>
          </cell>
          <cell r="CR52">
            <v>139.19379774860886</v>
          </cell>
          <cell r="CS52">
            <v>233.89933840819415</v>
          </cell>
          <cell r="CT52">
            <v>272.16367841745699</v>
          </cell>
          <cell r="CU52">
            <v>312.91765573313143</v>
          </cell>
          <cell r="CV52">
            <v>31.612299999999998</v>
          </cell>
          <cell r="CW52">
            <v>23.375905080262967</v>
          </cell>
          <cell r="CX52">
            <v>21.349307814042191</v>
          </cell>
          <cell r="CY52">
            <v>16.451158478059554</v>
          </cell>
          <cell r="CZ52">
            <v>20.356760398942015</v>
          </cell>
          <cell r="DA52">
            <v>20.904900000000001</v>
          </cell>
          <cell r="DB52">
            <v>25.335305881212548</v>
          </cell>
          <cell r="DC52">
            <v>16.495335507216311</v>
          </cell>
          <cell r="DD52">
            <v>15.23812556387935</v>
          </cell>
          <cell r="DE52">
            <v>18.939483738123556</v>
          </cell>
          <cell r="DF52">
            <v>30.250899999999998</v>
          </cell>
          <cell r="DG52">
            <v>16.754546701785443</v>
          </cell>
          <cell r="DH52">
            <v>19.509123070791091</v>
          </cell>
          <cell r="DI52">
            <v>19.731747445599268</v>
          </cell>
          <cell r="DJ52">
            <v>18.65737257493447</v>
          </cell>
          <cell r="DK52">
            <v>-4.5872999999999999</v>
          </cell>
          <cell r="DL52">
            <v>58.220984362298424</v>
          </cell>
          <cell r="DM52">
            <v>25.554688064021704</v>
          </cell>
          <cell r="DN52">
            <v>22.500548588410993</v>
          </cell>
          <cell r="DO52">
            <v>34.507040241341343</v>
          </cell>
          <cell r="DP52">
            <v>49.218336450701841</v>
          </cell>
          <cell r="DQ52">
            <v>50</v>
          </cell>
          <cell r="DR52">
            <v>48.00000000236335</v>
          </cell>
          <cell r="DS52">
            <v>47.499999996828947</v>
          </cell>
          <cell r="DT52">
            <v>33.789631387451024</v>
          </cell>
          <cell r="DU52">
            <v>31.976203889209646</v>
          </cell>
          <cell r="DV52">
            <v>31.491305181470985</v>
          </cell>
          <cell r="DW52">
            <v>32.378458471330482</v>
          </cell>
          <cell r="DX52">
            <v>19.310806697117492</v>
          </cell>
          <cell r="DY52">
            <v>24.764761340233335</v>
          </cell>
          <cell r="DZ52">
            <v>25.62298822353182</v>
          </cell>
          <cell r="EA52">
            <v>26.954047987838834</v>
          </cell>
          <cell r="EB52">
            <v>22.398072593667926</v>
          </cell>
          <cell r="EC52">
            <v>30.506290768248633</v>
          </cell>
          <cell r="ED52">
            <v>29.251845744337075</v>
          </cell>
          <cell r="EE52">
            <v>28.88080958870151</v>
          </cell>
          <cell r="EF52">
            <v>190.61249726856312</v>
          </cell>
          <cell r="EG52">
            <v>-33.430053639235943</v>
          </cell>
          <cell r="EH52">
            <v>-142.08392733209737</v>
          </cell>
          <cell r="EI52">
            <v>-248.23753317235608</v>
          </cell>
          <cell r="EJ52">
            <v>472.2172699649139</v>
          </cell>
          <cell r="EK52">
            <v>476.4954287771821</v>
          </cell>
          <cell r="EL52">
            <v>509.39965230011035</v>
          </cell>
          <cell r="EM52">
            <v>610.6036614310118</v>
          </cell>
          <cell r="EN52">
            <v>-10.307308981514185</v>
          </cell>
          <cell r="EO52">
            <v>-7.8016585147305184</v>
          </cell>
          <cell r="EP52">
            <v>5.0212019971441881</v>
          </cell>
          <cell r="EQ52">
            <v>14.258890328858129</v>
          </cell>
          <cell r="ER52">
            <v>397.60235089103247</v>
          </cell>
          <cell r="ES52">
            <v>429.29004561327798</v>
          </cell>
          <cell r="ET52">
            <v>462.45756068599951</v>
          </cell>
          <cell r="EU52">
            <v>490.63899282473864</v>
          </cell>
          <cell r="EV52">
            <v>2.1134911680105106</v>
          </cell>
          <cell r="EW52">
            <v>136.51909669492701</v>
          </cell>
          <cell r="EX52">
            <v>191.55901044336545</v>
          </cell>
          <cell r="EY52">
            <v>297.71261628362413</v>
          </cell>
          <cell r="EZ52">
            <v>68.199800771068993</v>
          </cell>
          <cell r="FA52">
            <v>-8.9527268192381939</v>
          </cell>
          <cell r="FB52">
            <v>-30.892876104159281</v>
          </cell>
          <cell r="FC52">
            <v>-44.238975301469097</v>
          </cell>
          <cell r="FD52">
            <v>0.62318243542600305</v>
          </cell>
          <cell r="FE52">
            <v>-8.7202207894825967E-2</v>
          </cell>
          <cell r="FF52">
            <v>-0.3181462613654738</v>
          </cell>
          <cell r="FG52">
            <v>-0.48233983722963636</v>
          </cell>
          <cell r="FH52">
            <v>1.006486019860396E-2</v>
          </cell>
          <cell r="FI52">
            <v>0.5568354980225142</v>
          </cell>
          <cell r="FJ52">
            <v>0.65378512130779387</v>
          </cell>
          <cell r="FK52">
            <v>0.84863388028277287</v>
          </cell>
          <cell r="FL52">
            <v>29.675009866666667</v>
          </cell>
          <cell r="FM52">
            <v>49.138586025097631</v>
          </cell>
          <cell r="FN52">
            <v>-88.942725991607674</v>
          </cell>
          <cell r="FO52">
            <v>-36.093465749558661</v>
          </cell>
          <cell r="FP52">
            <v>-91.105208626805322</v>
          </cell>
          <cell r="FQ52">
            <v>-122.6759897421661</v>
          </cell>
          <cell r="FR52">
            <v>-139.56231043140897</v>
          </cell>
          <cell r="FS52">
            <v>-151.68713208060589</v>
          </cell>
          <cell r="FT52">
            <v>138.67491599543177</v>
          </cell>
          <cell r="FU52">
            <v>213.21290420112172</v>
          </cell>
          <cell r="FV52">
            <v>247.43285173004742</v>
          </cell>
          <cell r="FW52">
            <v>289.95106653161804</v>
          </cell>
          <cell r="FX52">
            <v>14.660000010703362</v>
          </cell>
          <cell r="FY52">
            <v>15.999999994981168</v>
          </cell>
          <cell r="FZ52">
            <v>15.000000000738545</v>
          </cell>
          <cell r="GA52">
            <v>13.999999994926316</v>
          </cell>
          <cell r="GB52">
            <v>2.1589021479057608</v>
          </cell>
          <cell r="GC52">
            <v>3.2807054047405373</v>
          </cell>
          <cell r="GD52">
            <v>3.9199967291472833</v>
          </cell>
          <cell r="GE52">
            <v>4.5588038848934707</v>
          </cell>
          <cell r="GF52">
            <v>-95.995887796008731</v>
          </cell>
          <cell r="GG52">
            <v>-151.91543705051541</v>
          </cell>
          <cell r="GH52">
            <v>-190.73353984599504</v>
          </cell>
          <cell r="GI52">
            <v>-233.64662737978585</v>
          </cell>
          <cell r="GJ52">
            <v>3.2283658635236322E-2</v>
          </cell>
          <cell r="GK52">
            <v>4</v>
          </cell>
          <cell r="GP52">
            <v>472.18562079688616</v>
          </cell>
          <cell r="GQ52">
            <v>252.98353972851004</v>
          </cell>
          <cell r="GR52">
            <v>161.21741659067132</v>
          </cell>
          <cell r="GS52">
            <v>125.77764737751515</v>
          </cell>
        </row>
        <row r="53">
          <cell r="B53" t="str">
            <v>TPSA.WA</v>
          </cell>
          <cell r="C53" t="str">
            <v>TPSA</v>
          </cell>
          <cell r="D53" t="str">
            <v>DROUET Herve</v>
          </cell>
          <cell r="E53" t="str">
            <v>PLN</v>
          </cell>
          <cell r="F53">
            <v>19</v>
          </cell>
          <cell r="G53">
            <v>-1</v>
          </cell>
          <cell r="H53" t="str">
            <v>PLN</v>
          </cell>
          <cell r="I53" t="str">
            <v>POLAND</v>
          </cell>
          <cell r="J53">
            <v>1400</v>
          </cell>
          <cell r="K53">
            <v>6360.9101277733125</v>
          </cell>
          <cell r="L53">
            <v>8487.5106453029384</v>
          </cell>
          <cell r="M53">
            <v>7612.4550111628423</v>
          </cell>
          <cell r="N53">
            <v>7143.7900083835248</v>
          </cell>
          <cell r="O53">
            <v>6742.4176317407837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50.45684349474319</v>
          </cell>
          <cell r="U53">
            <v>50.45684349474319</v>
          </cell>
          <cell r="V53">
            <v>50.45684349474319</v>
          </cell>
          <cell r="W53">
            <v>50.45684349474319</v>
          </cell>
          <cell r="X53">
            <v>0.41537221398279112</v>
          </cell>
          <cell r="Y53">
            <v>0.44111239725445761</v>
          </cell>
          <cell r="Z53">
            <v>0.52415291781606532</v>
          </cell>
          <cell r="AA53">
            <v>0.56700392917603415</v>
          </cell>
          <cell r="AB53">
            <v>0.67674344592475477</v>
          </cell>
          <cell r="AC53">
            <v>0.76652198549405703</v>
          </cell>
          <cell r="AD53">
            <v>0.70249857306500785</v>
          </cell>
          <cell r="AE53">
            <v>0.63663472198982374</v>
          </cell>
          <cell r="AF53">
            <v>7.8913546697939596E-2</v>
          </cell>
          <cell r="AG53">
            <v>0.36931453408432302</v>
          </cell>
          <cell r="AH53">
            <v>0.39344531331977295</v>
          </cell>
          <cell r="AI53">
            <v>0.42143992970985245</v>
          </cell>
          <cell r="AJ53">
            <v>1.7368421052631577</v>
          </cell>
          <cell r="AK53">
            <v>8.1284020263157899</v>
          </cell>
          <cell r="AL53">
            <v>8.6595066992481193</v>
          </cell>
          <cell r="AM53">
            <v>9.2756522218045099</v>
          </cell>
          <cell r="AN53">
            <v>10.938399539435808</v>
          </cell>
          <cell r="AO53">
            <v>10.300112312424655</v>
          </cell>
          <cell r="AP53">
            <v>8.6682856847478096</v>
          </cell>
          <cell r="AQ53">
            <v>8.0131847423462919</v>
          </cell>
          <cell r="AR53">
            <v>7.2636939168731072</v>
          </cell>
          <cell r="AS53">
            <v>6.2764424138681116</v>
          </cell>
          <cell r="AT53">
            <v>6.206295909610847</v>
          </cell>
          <cell r="AU53">
            <v>6.4526454839427432</v>
          </cell>
          <cell r="AV53">
            <v>13.767099928000304</v>
          </cell>
          <cell r="AW53">
            <v>15.932592606767972</v>
          </cell>
          <cell r="AX53">
            <v>16.1126703361249</v>
          </cell>
          <cell r="AY53">
            <v>15.497519621812117</v>
          </cell>
          <cell r="AZ53">
            <v>1.9119263089851326</v>
          </cell>
          <cell r="BA53">
            <v>1.691584204221066</v>
          </cell>
          <cell r="BB53">
            <v>1.5298077154563985</v>
          </cell>
          <cell r="BC53">
            <v>1.3779092295601072</v>
          </cell>
          <cell r="BD53">
            <v>4.4752238053208924</v>
          </cell>
          <cell r="BE53">
            <v>3.8357918463779122</v>
          </cell>
          <cell r="BF53">
            <v>3.6198913095280343</v>
          </cell>
          <cell r="BG53">
            <v>3.4357506085705127</v>
          </cell>
          <cell r="BH53">
            <v>8.9583543664815721</v>
          </cell>
          <cell r="BI53">
            <v>7.0936880715973585</v>
          </cell>
          <cell r="BJ53">
            <v>7.2636548236421552</v>
          </cell>
          <cell r="BK53">
            <v>7.5647972499017122</v>
          </cell>
          <cell r="BL53">
            <v>4089.1565107114152</v>
          </cell>
          <cell r="BM53">
            <v>4230.4428478902782</v>
          </cell>
          <cell r="BN53">
            <v>4481.6340692202111</v>
          </cell>
          <cell r="BO53">
            <v>4765.5409545207804</v>
          </cell>
          <cell r="BP53">
            <v>9.8384999999999998</v>
          </cell>
          <cell r="BQ53">
            <v>11.764900000000001</v>
          </cell>
          <cell r="BR53">
            <v>13.9147</v>
          </cell>
          <cell r="BS53">
            <v>14.885999999999999</v>
          </cell>
          <cell r="BT53">
            <v>4439.2456996986375</v>
          </cell>
          <cell r="BU53">
            <v>4500.1927732401564</v>
          </cell>
          <cell r="BV53">
            <v>4669.7306702053511</v>
          </cell>
          <cell r="BW53">
            <v>4893.2233612320588</v>
          </cell>
          <cell r="BX53">
            <v>1896.5555723071482</v>
          </cell>
          <cell r="BY53">
            <v>1984.5850129618434</v>
          </cell>
          <cell r="BZ53">
            <v>1973.4819080285979</v>
          </cell>
          <cell r="CA53">
            <v>1962.429291265134</v>
          </cell>
          <cell r="CB53">
            <v>836.96185891754112</v>
          </cell>
          <cell r="CC53">
            <v>905.27772329654283</v>
          </cell>
          <cell r="CD53">
            <v>969.23379285205726</v>
          </cell>
          <cell r="CE53">
            <v>1005.7283582679996</v>
          </cell>
          <cell r="CF53">
            <v>793.43984225382894</v>
          </cell>
          <cell r="CG53">
            <v>837.56575702937698</v>
          </cell>
          <cell r="CH53">
            <v>1002.5183247328869</v>
          </cell>
          <cell r="CI53">
            <v>1092.4034834386048</v>
          </cell>
          <cell r="CJ53">
            <v>-162.37060063000297</v>
          </cell>
          <cell r="CK53">
            <v>-179.23907213246142</v>
          </cell>
          <cell r="CL53">
            <v>-200.50366499440375</v>
          </cell>
          <cell r="CM53">
            <v>-218.48069678337373</v>
          </cell>
          <cell r="CN53">
            <v>581.52109957590756</v>
          </cell>
          <cell r="CO53">
            <v>617.55735615624064</v>
          </cell>
          <cell r="CP53">
            <v>733.81408494249149</v>
          </cell>
          <cell r="CQ53">
            <v>793.80550084644779</v>
          </cell>
          <cell r="CR53">
            <v>657.74486033888286</v>
          </cell>
          <cell r="CS53">
            <v>711.5482905656047</v>
          </cell>
          <cell r="CT53">
            <v>775.38703432947216</v>
          </cell>
          <cell r="CU53">
            <v>804.58268661439968</v>
          </cell>
          <cell r="CV53">
            <v>1.5091999999999999</v>
          </cell>
          <cell r="CW53">
            <v>1.372915077569516</v>
          </cell>
          <cell r="CX53">
            <v>3.7673474339439537</v>
          </cell>
          <cell r="CY53">
            <v>4.7859867476442588</v>
          </cell>
          <cell r="CZ53">
            <v>3.2988022583945451</v>
          </cell>
          <cell r="DA53">
            <v>7.7581999999999995</v>
          </cell>
          <cell r="DB53">
            <v>4.6415429075778576</v>
          </cell>
          <cell r="DC53">
            <v>-0.55946733754051081</v>
          </cell>
          <cell r="DD53">
            <v>-0.56005665511800373</v>
          </cell>
          <cell r="DE53">
            <v>1.1446264795690979</v>
          </cell>
          <cell r="DF53">
            <v>15.5497</v>
          </cell>
          <cell r="DG53">
            <v>8.1623629142857084</v>
          </cell>
          <cell r="DH53">
            <v>7.0648009897581687</v>
          </cell>
          <cell r="DI53">
            <v>3.7653005585529371</v>
          </cell>
          <cell r="DJ53">
            <v>6.3142980939687448</v>
          </cell>
          <cell r="DK53">
            <v>38.411099999999998</v>
          </cell>
          <cell r="DL53">
            <v>6.1968957973517433</v>
          </cell>
          <cell r="DM53">
            <v>18.825252039721164</v>
          </cell>
          <cell r="DN53">
            <v>8.1752881465416039</v>
          </cell>
          <cell r="DO53">
            <v>10.930135214933486</v>
          </cell>
          <cell r="DP53">
            <v>42.722473604826554</v>
          </cell>
          <cell r="DQ53">
            <v>44.099999999176354</v>
          </cell>
          <cell r="DR53">
            <v>42.261150533159423</v>
          </cell>
          <cell r="DS53">
            <v>40.10504214487802</v>
          </cell>
          <cell r="DT53">
            <v>18.853695324283564</v>
          </cell>
          <cell r="DU53">
            <v>20.116420982666913</v>
          </cell>
          <cell r="DV53">
            <v>20.755667966808787</v>
          </cell>
          <cell r="DW53">
            <v>20.553493761109824</v>
          </cell>
          <cell r="DX53">
            <v>13.099547511312219</v>
          </cell>
          <cell r="DY53">
            <v>13.722908934667634</v>
          </cell>
          <cell r="DZ53">
            <v>15.714269981875036</v>
          </cell>
          <cell r="EA53">
            <v>16.222547843116985</v>
          </cell>
          <cell r="EB53">
            <v>14.81659058392588</v>
          </cell>
          <cell r="EC53">
            <v>15.811506893587742</v>
          </cell>
          <cell r="ED53">
            <v>16.604534374471207</v>
          </cell>
          <cell r="EE53">
            <v>16.44279500888786</v>
          </cell>
          <cell r="EF53">
            <v>2177.0573610243696</v>
          </cell>
          <cell r="EG53">
            <v>1302.001726884273</v>
          </cell>
          <cell r="EH53">
            <v>833.33672410495592</v>
          </cell>
          <cell r="EI53">
            <v>431.96434746221445</v>
          </cell>
          <cell r="EJ53">
            <v>6991.5011054777569</v>
          </cell>
          <cell r="EK53">
            <v>7073.2435846936296</v>
          </cell>
          <cell r="EL53">
            <v>7324.4348060235616</v>
          </cell>
          <cell r="EM53">
            <v>7608.3416913241317</v>
          </cell>
          <cell r="EN53">
            <v>-78.674414738248856</v>
          </cell>
          <cell r="EO53">
            <v>-67.711966267165764</v>
          </cell>
          <cell r="EP53">
            <v>33.284532119961511</v>
          </cell>
          <cell r="EQ53">
            <v>86.67512517060527</v>
          </cell>
          <cell r="ER53">
            <v>6076.8213596607293</v>
          </cell>
          <cell r="ES53">
            <v>5729.7292311331321</v>
          </cell>
          <cell r="ET53">
            <v>5514.9613566997741</v>
          </cell>
          <cell r="EU53">
            <v>5410.920407159515</v>
          </cell>
          <cell r="EV53">
            <v>725.28723374197205</v>
          </cell>
          <cell r="EW53">
            <v>1540.7990099190779</v>
          </cell>
          <cell r="EX53">
            <v>2009.464012698395</v>
          </cell>
          <cell r="EY53">
            <v>2410.8363893411365</v>
          </cell>
          <cell r="EZ53">
            <v>53.239766081871338</v>
          </cell>
          <cell r="FA53">
            <v>30.776960561790386</v>
          </cell>
          <cell r="FB53">
            <v>18.59448386980764</v>
          </cell>
          <cell r="FC53">
            <v>9.0643297704206276</v>
          </cell>
          <cell r="FD53">
            <v>1.1479006430462739</v>
          </cell>
          <cell r="FE53">
            <v>0.65605742176856086</v>
          </cell>
          <cell r="FF53">
            <v>0.42226722257485216</v>
          </cell>
          <cell r="FG53">
            <v>0.22011715244208199</v>
          </cell>
          <cell r="FH53">
            <v>0.86657142857142855</v>
          </cell>
          <cell r="FI53">
            <v>1.7020180329946732</v>
          </cell>
          <cell r="FJ53">
            <v>2.0732500533079508</v>
          </cell>
          <cell r="FK53">
            <v>2.3971049135901099</v>
          </cell>
          <cell r="FL53">
            <v>24.106382978723406</v>
          </cell>
          <cell r="FM53">
            <v>29.309221432610933</v>
          </cell>
          <cell r="FN53">
            <v>-59.291261806412919</v>
          </cell>
          <cell r="FO53">
            <v>-22.6412051601013</v>
          </cell>
          <cell r="FP53">
            <v>-786.74414738248856</v>
          </cell>
          <cell r="FQ53">
            <v>-732.21516113770213</v>
          </cell>
          <cell r="FR53">
            <v>-789.48024074318312</v>
          </cell>
          <cell r="FS53">
            <v>-852.65998369600698</v>
          </cell>
          <cell r="FT53">
            <v>947.44082429465675</v>
          </cell>
          <cell r="FU53">
            <v>1073.1307796916799</v>
          </cell>
          <cell r="FV53">
            <v>983.49800229101095</v>
          </cell>
          <cell r="FW53">
            <v>891.28861078575324</v>
          </cell>
          <cell r="FX53">
            <v>17.722473604826547</v>
          </cell>
          <cell r="FY53">
            <v>16.270751010750686</v>
          </cell>
          <cell r="FZ53">
            <v>16.906333501851954</v>
          </cell>
          <cell r="GA53">
            <v>17.425323161240627</v>
          </cell>
          <cell r="GB53">
            <v>1.172224866403939</v>
          </cell>
          <cell r="GC53">
            <v>1.2120460768594774</v>
          </cell>
          <cell r="GD53">
            <v>1.2414729384231391</v>
          </cell>
          <cell r="GE53">
            <v>1.2503617124968032</v>
          </cell>
          <cell r="GF53">
            <v>-110.47896537711543</v>
          </cell>
          <cell r="GG53">
            <v>-517.0403477180522</v>
          </cell>
          <cell r="GH53">
            <v>-550.82343864768211</v>
          </cell>
          <cell r="GI53">
            <v>-590.01590159379339</v>
          </cell>
          <cell r="GJ53">
            <v>0.10254937302480192</v>
          </cell>
          <cell r="GK53">
            <v>4</v>
          </cell>
          <cell r="GP53">
            <v>4373.2446908247102</v>
          </cell>
          <cell r="GQ53">
            <v>1760.0104421817998</v>
          </cell>
          <cell r="GR53">
            <v>724.33062043219593</v>
          </cell>
          <cell r="GS53">
            <v>420.14050865566969</v>
          </cell>
        </row>
        <row r="54">
          <cell r="B54" t="str">
            <v>TKGJ.J</v>
          </cell>
          <cell r="C54" t="str">
            <v>Telkom SA</v>
          </cell>
          <cell r="D54" t="str">
            <v>Disilvestro Franca</v>
          </cell>
          <cell r="E54" t="str">
            <v>ZAR</v>
          </cell>
          <cell r="F54">
            <v>111.8</v>
          </cell>
          <cell r="G54">
            <v>-1</v>
          </cell>
          <cell r="H54" t="str">
            <v>ZAR</v>
          </cell>
          <cell r="I54" t="str">
            <v>SOUTH AFRICA</v>
          </cell>
          <cell r="J54">
            <v>557.03181700000005</v>
          </cell>
          <cell r="K54">
            <v>7575.7703557646128</v>
          </cell>
          <cell r="L54">
            <v>8825.3617355192619</v>
          </cell>
          <cell r="M54">
            <v>8303.3009435703643</v>
          </cell>
          <cell r="N54">
            <v>7948.0064821782407</v>
          </cell>
          <cell r="O54">
            <v>7291.7129689258836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1.1630172430391472</v>
          </cell>
          <cell r="Y54">
            <v>1.0398301740796423</v>
          </cell>
          <cell r="Z54">
            <v>0.88129154594358305</v>
          </cell>
          <cell r="AA54">
            <v>0.80856701057614977</v>
          </cell>
          <cell r="AB54">
            <v>1.9720522779043212</v>
          </cell>
          <cell r="AC54">
            <v>1.7763585704928824</v>
          </cell>
          <cell r="AD54">
            <v>1.6243537223690527</v>
          </cell>
          <cell r="AE54">
            <v>1.6259392235837424</v>
          </cell>
          <cell r="AF54">
            <v>0.51649942961041684</v>
          </cell>
          <cell r="AG54">
            <v>0.61905941392467134</v>
          </cell>
          <cell r="AH54">
            <v>0.46891668598794434</v>
          </cell>
          <cell r="AI54">
            <v>0.41248198794685564</v>
          </cell>
          <cell r="AJ54">
            <v>3.7977209213638612</v>
          </cell>
          <cell r="AK54">
            <v>4.5518247514857642</v>
          </cell>
          <cell r="AL54">
            <v>3.4478541633555149</v>
          </cell>
          <cell r="AM54">
            <v>3.0329006877957188</v>
          </cell>
          <cell r="AN54">
            <v>11.693934191427459</v>
          </cell>
          <cell r="AO54">
            <v>13.079296449184902</v>
          </cell>
          <cell r="AP54">
            <v>15.432176975025492</v>
          </cell>
          <cell r="AQ54">
            <v>16.82018549570089</v>
          </cell>
          <cell r="AR54">
            <v>9.5142508753952679</v>
          </cell>
          <cell r="AS54">
            <v>10.162814455438447</v>
          </cell>
          <cell r="AT54">
            <v>11.115199787888919</v>
          </cell>
          <cell r="AU54">
            <v>11.134440882136397</v>
          </cell>
          <cell r="AV54">
            <v>10.510548997463294</v>
          </cell>
          <cell r="AW54">
            <v>9.8397939309505755</v>
          </cell>
          <cell r="AX54">
            <v>8.9966893900512375</v>
          </cell>
          <cell r="AY54">
            <v>8.9811424802151993</v>
          </cell>
          <cell r="AZ54">
            <v>1.684153772471553</v>
          </cell>
          <cell r="BA54">
            <v>1.5642460356925252</v>
          </cell>
          <cell r="BB54">
            <v>1.4765802078067665</v>
          </cell>
          <cell r="BC54">
            <v>1.3124230694798862</v>
          </cell>
          <cell r="BD54">
            <v>4.1628574064482562</v>
          </cell>
          <cell r="BE54">
            <v>3.9267086517403547</v>
          </cell>
          <cell r="BF54">
            <v>3.7951269070919036</v>
          </cell>
          <cell r="BG54">
            <v>3.3780954764291242</v>
          </cell>
          <cell r="BH54">
            <v>8.0340418458719789</v>
          </cell>
          <cell r="BI54">
            <v>8.3915104694941025</v>
          </cell>
          <cell r="BJ54">
            <v>8.7841066975789452</v>
          </cell>
          <cell r="BK54">
            <v>8.0509152419985419</v>
          </cell>
          <cell r="BL54">
            <v>2878.8842814672716</v>
          </cell>
          <cell r="BM54">
            <v>3009.5519703319978</v>
          </cell>
          <cell r="BN54">
            <v>3152.3765782213181</v>
          </cell>
          <cell r="BO54">
            <v>3308.6276252495099</v>
          </cell>
          <cell r="BP54">
            <v>19.461950000000002</v>
          </cell>
          <cell r="BQ54">
            <v>18.6279</v>
          </cell>
          <cell r="BR54">
            <v>17.352500000000003</v>
          </cell>
          <cell r="BS54">
            <v>18.379950000000001</v>
          </cell>
          <cell r="BT54">
            <v>5240.235113785212</v>
          </cell>
          <cell r="BU54">
            <v>5308.1809089542076</v>
          </cell>
          <cell r="BV54">
            <v>5382.7123241640802</v>
          </cell>
          <cell r="BW54">
            <v>5555.9164864540153</v>
          </cell>
          <cell r="BX54">
            <v>2120.0249909710569</v>
          </cell>
          <cell r="BY54">
            <v>2114.5701604039969</v>
          </cell>
          <cell r="BZ54">
            <v>2094.2663254095419</v>
          </cell>
          <cell r="CA54">
            <v>2158.5277917111207</v>
          </cell>
          <cell r="CB54">
            <v>1223.2347736421798</v>
          </cell>
          <cell r="CC54">
            <v>1157.1997116455661</v>
          </cell>
          <cell r="CD54">
            <v>1058.2736585946575</v>
          </cell>
          <cell r="CE54">
            <v>1038.4057212213017</v>
          </cell>
          <cell r="CF54">
            <v>972.21447209532357</v>
          </cell>
          <cell r="CG54">
            <v>956.46794262550873</v>
          </cell>
          <cell r="CH54">
            <v>879.35548310369268</v>
          </cell>
          <cell r="CI54">
            <v>860.57276686459159</v>
          </cell>
          <cell r="CJ54">
            <v>-337.88634803880836</v>
          </cell>
          <cell r="CK54">
            <v>-375.0401714105563</v>
          </cell>
          <cell r="CL54">
            <v>-386.43350881919918</v>
          </cell>
          <cell r="CM54">
            <v>-405.7344987557006</v>
          </cell>
          <cell r="CN54">
            <v>647.83760809242688</v>
          </cell>
          <cell r="CO54">
            <v>579.2184912390095</v>
          </cell>
          <cell r="CP54">
            <v>490.90743114369309</v>
          </cell>
          <cell r="CQ54">
            <v>450.39755106749095</v>
          </cell>
          <cell r="CR54">
            <v>803.49617924140341</v>
          </cell>
          <cell r="CS54">
            <v>703.73238883185547</v>
          </cell>
          <cell r="CT54">
            <v>593.32688076827287</v>
          </cell>
          <cell r="CU54">
            <v>548.79039840193457</v>
          </cell>
          <cell r="CV54">
            <v>7.7854749999999999</v>
          </cell>
          <cell r="CW54">
            <v>1.2966173023468741</v>
          </cell>
          <cell r="CX54">
            <v>1.4040858156161988</v>
          </cell>
          <cell r="CY54">
            <v>3.21778597589892</v>
          </cell>
          <cell r="CZ54">
            <v>1.9690356406157861</v>
          </cell>
          <cell r="DA54">
            <v>14.353725000000001</v>
          </cell>
          <cell r="DB54">
            <v>-0.25730029552913436</v>
          </cell>
          <cell r="DC54">
            <v>-0.96018734089086877</v>
          </cell>
          <cell r="DD54">
            <v>3.0684476717168394</v>
          </cell>
          <cell r="DE54">
            <v>0.60175446467005145</v>
          </cell>
          <cell r="DF54">
            <v>23.247199999999999</v>
          </cell>
          <cell r="DG54">
            <v>-5.3983964010436409</v>
          </cell>
          <cell r="DH54">
            <v>-8.5487450485304208</v>
          </cell>
          <cell r="DI54">
            <v>-1.8773912789003475</v>
          </cell>
          <cell r="DJ54">
            <v>-5.3140041365893893</v>
          </cell>
          <cell r="DK54">
            <v>54.455524999999994</v>
          </cell>
          <cell r="DL54">
            <v>-10.592024296870932</v>
          </cell>
          <cell r="DM54">
            <v>-15.24658853801607</v>
          </cell>
          <cell r="DN54">
            <v>-8.2520405082938169</v>
          </cell>
          <cell r="DO54">
            <v>-11.411648227780631</v>
          </cell>
          <cell r="DP54">
            <v>40.456676941727636</v>
          </cell>
          <cell r="DQ54">
            <v>39.836060538874875</v>
          </cell>
          <cell r="DR54">
            <v>38.907268293123494</v>
          </cell>
          <cell r="DS54">
            <v>38.850976197606066</v>
          </cell>
          <cell r="DT54">
            <v>23.343127685707845</v>
          </cell>
          <cell r="DU54">
            <v>21.800306573830621</v>
          </cell>
          <cell r="DV54">
            <v>19.660602218027773</v>
          </cell>
          <cell r="DW54">
            <v>18.6900887324901</v>
          </cell>
          <cell r="DX54">
            <v>12.362758426395686</v>
          </cell>
          <cell r="DY54">
            <v>10.911807663938951</v>
          </cell>
          <cell r="DZ54">
            <v>9.1200755600463861</v>
          </cell>
          <cell r="EA54">
            <v>8.1066292512785907</v>
          </cell>
          <cell r="EB54">
            <v>15.333208564014392</v>
          </cell>
          <cell r="EC54">
            <v>13.257505742593493</v>
          </cell>
          <cell r="ED54">
            <v>11.02282353275149</v>
          </cell>
          <cell r="EE54">
            <v>9.8775854485925194</v>
          </cell>
          <cell r="EF54">
            <v>1249.5913797546484</v>
          </cell>
          <cell r="EG54">
            <v>727.53058780575157</v>
          </cell>
          <cell r="EH54">
            <v>372.2361264136278</v>
          </cell>
          <cell r="EI54">
            <v>-284.05738683872886</v>
          </cell>
          <cell r="EJ54">
            <v>4466.3834180933563</v>
          </cell>
          <cell r="EK54">
            <v>4556.1544063850242</v>
          </cell>
          <cell r="EL54">
            <v>4342.3233542077769</v>
          </cell>
          <cell r="EM54">
            <v>4351.0722591438289</v>
          </cell>
          <cell r="EN54">
            <v>-302.24080840209399</v>
          </cell>
          <cell r="EO54">
            <v>-244.04805047589389</v>
          </cell>
          <cell r="EP54">
            <v>-223.24817761022524</v>
          </cell>
          <cell r="EQ54">
            <v>-225.30915041929561</v>
          </cell>
          <cell r="ER54">
            <v>4191.6565308382033</v>
          </cell>
          <cell r="ES54">
            <v>3754.4830217170129</v>
          </cell>
          <cell r="ET54">
            <v>3490.4479221007532</v>
          </cell>
          <cell r="EU54">
            <v>2881.7931029868528</v>
          </cell>
          <cell r="EV54">
            <v>337.90775674978795</v>
          </cell>
          <cell r="EW54">
            <v>819.07184821686315</v>
          </cell>
          <cell r="EX54">
            <v>817.71064957283079</v>
          </cell>
          <cell r="EY54">
            <v>1326.5020206418117</v>
          </cell>
          <cell r="EZ54">
            <v>43.405404927139799</v>
          </cell>
          <cell r="FA54">
            <v>24.174049658477713</v>
          </cell>
          <cell r="FB54">
            <v>11.808111029160624</v>
          </cell>
          <cell r="FC54">
            <v>-8.5853537784357812</v>
          </cell>
          <cell r="FD54">
            <v>0.58942294787868754</v>
          </cell>
          <cell r="FE54">
            <v>0.3440560173547299</v>
          </cell>
          <cell r="FF54">
            <v>0.17774058719147651</v>
          </cell>
          <cell r="FG54">
            <v>-0.13159774357760259</v>
          </cell>
          <cell r="FH54">
            <v>0.27624113050977783</v>
          </cell>
          <cell r="FI54">
            <v>0.70780509187314178</v>
          </cell>
          <cell r="FJ54">
            <v>0.77268355205846839</v>
          </cell>
          <cell r="FK54">
            <v>1.2774409785432141</v>
          </cell>
          <cell r="FL54">
            <v>7.0143572013962654</v>
          </cell>
          <cell r="FM54">
            <v>8.6645648522107983</v>
          </cell>
          <cell r="FN54">
            <v>9.3808887840776709</v>
          </cell>
          <cell r="FO54">
            <v>9.5802935109122096</v>
          </cell>
          <cell r="FP54">
            <v>-683.6427793522156</v>
          </cell>
          <cell r="FQ54">
            <v>-750.04174682826772</v>
          </cell>
          <cell r="FR54">
            <v>-803.01611116839558</v>
          </cell>
          <cell r="FS54">
            <v>-847.09341291099872</v>
          </cell>
          <cell r="FT54">
            <v>1098.4958635800331</v>
          </cell>
          <cell r="FU54">
            <v>989.48824216517289</v>
          </cell>
          <cell r="FV54">
            <v>904.81670542194706</v>
          </cell>
          <cell r="FW54">
            <v>905.69988004442143</v>
          </cell>
          <cell r="FX54">
            <v>13.046032563573194</v>
          </cell>
          <cell r="FY54">
            <v>14.129920582831783</v>
          </cell>
          <cell r="FZ54">
            <v>14.918428903649456</v>
          </cell>
          <cell r="GA54">
            <v>15.246690892066379</v>
          </cell>
          <cell r="GB54">
            <v>2.8156865590707287</v>
          </cell>
          <cell r="GC54">
            <v>2.8142654974732118</v>
          </cell>
          <cell r="GD54">
            <v>2.796520368263185</v>
          </cell>
          <cell r="GE54">
            <v>2.876409563960173</v>
          </cell>
          <cell r="GF54">
            <v>-287.70661575535411</v>
          </cell>
          <cell r="GG54">
            <v>-344.83579016941479</v>
          </cell>
          <cell r="GH54">
            <v>-261.2015136174831</v>
          </cell>
          <cell r="GI54">
            <v>-229.76559122580912</v>
          </cell>
          <cell r="GJ54">
            <v>0.11185593931928095</v>
          </cell>
          <cell r="GK54">
            <v>4</v>
          </cell>
        </row>
        <row r="55">
          <cell r="B55" t="str">
            <v>SPTT.PR</v>
          </cell>
          <cell r="C55" t="str">
            <v>Cesky Telecom</v>
          </cell>
          <cell r="D55" t="str">
            <v>DROUET Herve</v>
          </cell>
          <cell r="E55" t="str">
            <v>CZK</v>
          </cell>
          <cell r="F55">
            <v>457</v>
          </cell>
          <cell r="G55">
            <v>-1</v>
          </cell>
          <cell r="H55" t="str">
            <v>CZK</v>
          </cell>
          <cell r="I55" t="str">
            <v>CZECH REPUBLIC</v>
          </cell>
          <cell r="J55">
            <v>322.08989000000003</v>
          </cell>
          <cell r="K55">
            <v>4859.3592562404465</v>
          </cell>
          <cell r="L55">
            <v>5678.3141105105387</v>
          </cell>
          <cell r="M55">
            <v>5442.9527620334011</v>
          </cell>
          <cell r="N55">
            <v>5338.4675833385509</v>
          </cell>
          <cell r="O55">
            <v>5430.9442029126212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0.57069996822860802</v>
          </cell>
          <cell r="Y55">
            <v>0.71009604881921606</v>
          </cell>
          <cell r="Z55">
            <v>0.91286666241372771</v>
          </cell>
          <cell r="AA55">
            <v>1.0497832643224174</v>
          </cell>
          <cell r="AB55">
            <v>2.1441222405485365</v>
          </cell>
          <cell r="AC55">
            <v>2.0615358442078531</v>
          </cell>
          <cell r="AD55">
            <v>1.9151349930271784</v>
          </cell>
          <cell r="AE55">
            <v>1.7080598256215327</v>
          </cell>
          <cell r="AF55">
            <v>1.1984699332800768</v>
          </cell>
          <cell r="AG55">
            <v>1.4201920977409286</v>
          </cell>
          <cell r="AH55">
            <v>1.8257333248274554</v>
          </cell>
          <cell r="AI55">
            <v>2.0995665285423382</v>
          </cell>
          <cell r="AJ55">
            <v>7.9437437864418481</v>
          </cell>
          <cell r="AK55">
            <v>9.4133710314340018</v>
          </cell>
          <cell r="AL55">
            <v>12.10139474680388</v>
          </cell>
          <cell r="AM55">
            <v>13.916426355129774</v>
          </cell>
          <cell r="AN55">
            <v>26.435897940014364</v>
          </cell>
          <cell r="AO55">
            <v>21.246373838508607</v>
          </cell>
          <cell r="AP55">
            <v>16.527020577757977</v>
          </cell>
          <cell r="AQ55">
            <v>14.371505649977003</v>
          </cell>
          <cell r="AR55">
            <v>6.9034368131507371</v>
          </cell>
          <cell r="AS55">
            <v>7.6547019526951781</v>
          </cell>
          <cell r="AT55">
            <v>8.1960525448596702</v>
          </cell>
          <cell r="AU55">
            <v>9.3168000679614416</v>
          </cell>
          <cell r="AV55">
            <v>14.485538537776502</v>
          </cell>
          <cell r="AW55">
            <v>13.063865924236351</v>
          </cell>
          <cell r="AX55">
            <v>12.200995473451075</v>
          </cell>
          <cell r="AY55">
            <v>10.733298908482476</v>
          </cell>
          <cell r="AZ55">
            <v>2.7679322786887881</v>
          </cell>
          <cell r="BA55">
            <v>2.6849309255187572</v>
          </cell>
          <cell r="BB55">
            <v>2.5680844741419087</v>
          </cell>
          <cell r="BC55">
            <v>2.5430364186312482</v>
          </cell>
          <cell r="BD55">
            <v>5.9178420688112841</v>
          </cell>
          <cell r="BE55">
            <v>5.7343500625486863</v>
          </cell>
          <cell r="BF55">
            <v>5.5510122826132298</v>
          </cell>
          <cell r="BG55">
            <v>5.54057304291159</v>
          </cell>
          <cell r="BH55">
            <v>8.2222897714995931</v>
          </cell>
          <cell r="BI55">
            <v>8.1972198262521356</v>
          </cell>
          <cell r="BJ55">
            <v>8.6544629917648113</v>
          </cell>
          <cell r="BK55">
            <v>9.8717732177310324</v>
          </cell>
          <cell r="BL55">
            <v>2977.744378825887</v>
          </cell>
          <cell r="BM55">
            <v>2820.444088101016</v>
          </cell>
          <cell r="BN55">
            <v>2657.0396944752888</v>
          </cell>
          <cell r="BO55">
            <v>2407.1140248087145</v>
          </cell>
          <cell r="BP55">
            <v>4.6337999999999999</v>
          </cell>
          <cell r="BQ55">
            <v>6.4311999999999996</v>
          </cell>
          <cell r="BR55">
            <v>8.7978000000000005</v>
          </cell>
          <cell r="BS55">
            <v>10.827399999999999</v>
          </cell>
          <cell r="BT55">
            <v>2051.4642479621803</v>
          </cell>
          <cell r="BU55">
            <v>2027.2226411119923</v>
          </cell>
          <cell r="BV55">
            <v>2078.7741357777295</v>
          </cell>
          <cell r="BW55">
            <v>2135.6140097418452</v>
          </cell>
          <cell r="BX55">
            <v>959.52444226872387</v>
          </cell>
          <cell r="BY55">
            <v>949.18390099369503</v>
          </cell>
          <cell r="BZ55">
            <v>961.71064150940413</v>
          </cell>
          <cell r="CA55">
            <v>980.2134473907488</v>
          </cell>
          <cell r="CB55">
            <v>274.56957806120681</v>
          </cell>
          <cell r="CC55">
            <v>340.35621714700005</v>
          </cell>
          <cell r="CD55">
            <v>413.39266522212534</v>
          </cell>
          <cell r="CE55">
            <v>476.42636800505466</v>
          </cell>
          <cell r="CF55">
            <v>261.26531691431899</v>
          </cell>
          <cell r="CG55">
            <v>311.17654186725633</v>
          </cell>
          <cell r="CH55">
            <v>389.43724884246035</v>
          </cell>
          <cell r="CI55">
            <v>447.84712066649399</v>
          </cell>
          <cell r="CJ55">
            <v>-77.448626924563087</v>
          </cell>
          <cell r="CK55">
            <v>-82.461783580627298</v>
          </cell>
          <cell r="CL55">
            <v>-95.412125960955635</v>
          </cell>
          <cell r="CM55">
            <v>-109.7225445700587</v>
          </cell>
          <cell r="CN55">
            <v>183.81668998975587</v>
          </cell>
          <cell r="CO55">
            <v>228.71475825361594</v>
          </cell>
          <cell r="CP55">
            <v>294.02512288150473</v>
          </cell>
          <cell r="CQ55">
            <v>338.12457612944837</v>
          </cell>
          <cell r="CR55">
            <v>200.70028561522631</v>
          </cell>
          <cell r="CS55">
            <v>250.16181960865728</v>
          </cell>
          <cell r="CT55">
            <v>312.1114622408889</v>
          </cell>
          <cell r="CU55">
            <v>359.70190785768176</v>
          </cell>
          <cell r="CV55">
            <v>20.718399999999999</v>
          </cell>
          <cell r="CW55">
            <v>-1.1816733766756329</v>
          </cell>
          <cell r="CX55">
            <v>2.5429616668773747</v>
          </cell>
          <cell r="CY55">
            <v>2.734297727966009</v>
          </cell>
          <cell r="CZ55">
            <v>1.3490314873911871</v>
          </cell>
          <cell r="DA55">
            <v>22.0501</v>
          </cell>
          <cell r="DB55">
            <v>-1.0776735661448527</v>
          </cell>
          <cell r="DC55">
            <v>1.319737987822478</v>
          </cell>
          <cell r="DD55">
            <v>1.9239472958627601</v>
          </cell>
          <cell r="DE55">
            <v>0.71361962626647824</v>
          </cell>
          <cell r="DF55">
            <v>90.320400000000006</v>
          </cell>
          <cell r="DG55">
            <v>23.95991557051822</v>
          </cell>
          <cell r="DH55">
            <v>21.458825899331458</v>
          </cell>
          <cell r="DI55">
            <v>15.247900624714731</v>
          </cell>
          <cell r="DJ55">
            <v>20.165867055474536</v>
          </cell>
          <cell r="DK55">
            <v>-412.80900000000003</v>
          </cell>
          <cell r="DL55">
            <v>24.425457920258637</v>
          </cell>
          <cell r="DM55">
            <v>28.555378378979725</v>
          </cell>
          <cell r="DN55">
            <v>14.9985323756556</v>
          </cell>
          <cell r="DO55">
            <v>22.526661067153952</v>
          </cell>
          <cell r="DP55">
            <v>46.772662171513176</v>
          </cell>
          <cell r="DQ55">
            <v>46.821887332169851</v>
          </cell>
          <cell r="DR55">
            <v>46.263354202721032</v>
          </cell>
          <cell r="DS55">
            <v>45.898436839213176</v>
          </cell>
          <cell r="DT55">
            <v>13.384078144864098</v>
          </cell>
          <cell r="DU55">
            <v>16.78928649693378</v>
          </cell>
          <cell r="DV55">
            <v>19.886367552262392</v>
          </cell>
          <cell r="DW55">
            <v>22.308636571579967</v>
          </cell>
          <cell r="DX55">
            <v>8.9602677781175064</v>
          </cell>
          <cell r="DY55">
            <v>11.282172644251796</v>
          </cell>
          <cell r="DZ55">
            <v>14.144159185985899</v>
          </cell>
          <cell r="EA55">
            <v>15.832663327130037</v>
          </cell>
          <cell r="EB55">
            <v>9.7832699650794162</v>
          </cell>
          <cell r="EC55">
            <v>12.340125575523171</v>
          </cell>
          <cell r="ED55">
            <v>15.014207501870759</v>
          </cell>
          <cell r="EE55">
            <v>16.843020612192124</v>
          </cell>
          <cell r="EF55">
            <v>818.95485427009226</v>
          </cell>
          <cell r="EG55">
            <v>583.59350579295415</v>
          </cell>
          <cell r="EH55">
            <v>479.10832709810472</v>
          </cell>
          <cell r="EI55">
            <v>571.58494667217474</v>
          </cell>
          <cell r="EJ55">
            <v>3818.9830451906428</v>
          </cell>
          <cell r="EK55">
            <v>3606.759858015073</v>
          </cell>
          <cell r="EL55">
            <v>3339.8678868991547</v>
          </cell>
          <cell r="EM55">
            <v>3240.3116876776489</v>
          </cell>
          <cell r="EN55">
            <v>13.304261146887862</v>
          </cell>
          <cell r="EO55">
            <v>-29.179675279743794</v>
          </cell>
          <cell r="EP55">
            <v>-23.955416346651973</v>
          </cell>
          <cell r="EQ55">
            <v>-28.579247338560698</v>
          </cell>
          <cell r="ER55">
            <v>3262.8452864830319</v>
          </cell>
          <cell r="ES55">
            <v>2885.1672461200742</v>
          </cell>
          <cell r="ET55">
            <v>2607.222721728222</v>
          </cell>
          <cell r="EU55">
            <v>2436.6188922481315</v>
          </cell>
          <cell r="EV55">
            <v>22.283812094663293</v>
          </cell>
          <cell r="EW55">
            <v>202.72226412110317</v>
          </cell>
          <cell r="EX55">
            <v>203.71986529274815</v>
          </cell>
          <cell r="EY55">
            <v>261.61271619675983</v>
          </cell>
          <cell r="EZ55">
            <v>27.502523725458364</v>
          </cell>
          <cell r="FA55">
            <v>20.691546705536126</v>
          </cell>
          <cell r="FB55">
            <v>18.031658619715081</v>
          </cell>
          <cell r="FC55">
            <v>23.745653125742422</v>
          </cell>
          <cell r="FD55">
            <v>0.8535007741269568</v>
          </cell>
          <cell r="FE55">
            <v>0.61483713027790876</v>
          </cell>
          <cell r="FF55">
            <v>0.49818345188126917</v>
          </cell>
          <cell r="FG55">
            <v>0.58312293939007775</v>
          </cell>
          <cell r="FH55">
            <v>8.1159071780690165E-2</v>
          </cell>
          <cell r="FI55">
            <v>0.59561792589070672</v>
          </cell>
          <cell r="FJ55">
            <v>0.49279990292833281</v>
          </cell>
          <cell r="FK55">
            <v>0.54911468752708548</v>
          </cell>
          <cell r="FL55">
            <v>-72.121588089330032</v>
          </cell>
          <cell r="FM55">
            <v>32.528939814920008</v>
          </cell>
          <cell r="FN55">
            <v>40.145853764040865</v>
          </cell>
          <cell r="FO55">
            <v>34.298084752854592</v>
          </cell>
          <cell r="FP55">
            <v>-191.47571873932904</v>
          </cell>
          <cell r="FQ55">
            <v>-202.72226412110317</v>
          </cell>
          <cell r="FR55">
            <v>-249.45289630917378</v>
          </cell>
          <cell r="FS55">
            <v>-320.34210147283136</v>
          </cell>
          <cell r="FT55">
            <v>690.60009660483172</v>
          </cell>
          <cell r="FU55">
            <v>663.99985329196454</v>
          </cell>
          <cell r="FV55">
            <v>616.8456192392747</v>
          </cell>
          <cell r="FW55">
            <v>550.14880134785869</v>
          </cell>
          <cell r="FX55">
            <v>9.3336122688724021</v>
          </cell>
          <cell r="FY55">
            <v>10.000000000488548</v>
          </cell>
          <cell r="FZ55">
            <v>12.000000000762288</v>
          </cell>
          <cell r="GA55">
            <v>15.000000000541043</v>
          </cell>
          <cell r="GB55">
            <v>2.6972948125335803</v>
          </cell>
          <cell r="GC55">
            <v>2.6003370877702712</v>
          </cell>
          <cell r="GD55">
            <v>2.6152417888083255</v>
          </cell>
          <cell r="GE55">
            <v>2.6139022841035238</v>
          </cell>
          <cell r="GF55">
            <v>-386.0150489784873</v>
          </cell>
          <cell r="GG55">
            <v>-457.42951654024495</v>
          </cell>
          <cell r="GH55">
            <v>-588.05024576300946</v>
          </cell>
          <cell r="GI55">
            <v>-676.24915222588368</v>
          </cell>
          <cell r="GJ55">
            <v>7.3323440641900828E-2</v>
          </cell>
          <cell r="GK55">
            <v>4</v>
          </cell>
          <cell r="GP55">
            <v>1699.379918854276</v>
          </cell>
          <cell r="GQ55">
            <v>786.17259819428568</v>
          </cell>
          <cell r="GR55">
            <v>144.26702448145696</v>
          </cell>
          <cell r="GS55">
            <v>-58.763235709252562</v>
          </cell>
        </row>
        <row r="56">
          <cell r="B56" t="str">
            <v>EMEA aggregate</v>
          </cell>
          <cell r="K56">
            <v>67727.422059454373</v>
          </cell>
          <cell r="L56">
            <v>76580.049897732824</v>
          </cell>
          <cell r="M56">
            <v>74232.09705359918</v>
          </cell>
          <cell r="N56">
            <v>71827.578550233928</v>
          </cell>
          <cell r="O56">
            <v>68555.117308700763</v>
          </cell>
          <cell r="P56">
            <v>419.3736622143673</v>
          </cell>
          <cell r="Q56">
            <v>545.7443733774578</v>
          </cell>
          <cell r="R56">
            <v>715.35300664202987</v>
          </cell>
          <cell r="S56">
            <v>939.94624710879987</v>
          </cell>
          <cell r="T56">
            <v>181.04470368365557</v>
          </cell>
          <cell r="U56">
            <v>229.95467140116381</v>
          </cell>
          <cell r="V56">
            <v>293.53762943392456</v>
          </cell>
          <cell r="W56">
            <v>376.19547487651352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2.0293248842899865</v>
          </cell>
          <cell r="AK56">
            <v>2.9131821926423451</v>
          </cell>
          <cell r="AL56">
            <v>2.7214372487350489</v>
          </cell>
          <cell r="AM56">
            <v>2.5166662622587941</v>
          </cell>
          <cell r="AN56">
            <v>14.728327888801608</v>
          </cell>
          <cell r="AO56">
            <v>11.690887865183067</v>
          </cell>
          <cell r="AP56">
            <v>10.19828202715671</v>
          </cell>
          <cell r="AQ56">
            <v>8.9646202937913007</v>
          </cell>
          <cell r="AR56">
            <v>16.186845628595151</v>
          </cell>
          <cell r="AS56">
            <v>13.057925964905731</v>
          </cell>
          <cell r="AT56">
            <v>9.9588559118113746</v>
          </cell>
          <cell r="AU56">
            <v>8.3171883769222514</v>
          </cell>
          <cell r="AV56">
            <v>6.1778559142704905</v>
          </cell>
          <cell r="AW56">
            <v>7.6581840231563856</v>
          </cell>
          <cell r="AX56">
            <v>10.041314071167379</v>
          </cell>
          <cell r="AY56">
            <v>12.023293866647359</v>
          </cell>
          <cell r="AZ56">
            <v>2.723900307971344</v>
          </cell>
          <cell r="BA56">
            <v>2.2769949785463188</v>
          </cell>
          <cell r="BB56">
            <v>1.9697160207152622</v>
          </cell>
          <cell r="BC56">
            <v>1.7127565754266274</v>
          </cell>
          <cell r="BD56">
            <v>6.1593518150328874</v>
          </cell>
          <cell r="BE56">
            <v>5.0826448032414211</v>
          </cell>
          <cell r="BF56">
            <v>4.4648438619067363</v>
          </cell>
          <cell r="BG56">
            <v>3.9351714884330282</v>
          </cell>
          <cell r="BH56">
            <v>15.594420562678016</v>
          </cell>
          <cell r="BI56">
            <v>12.31140811098871</v>
          </cell>
          <cell r="BJ56">
            <v>9.7218774406875266</v>
          </cell>
          <cell r="BK56">
            <v>8.2841290736566133</v>
          </cell>
          <cell r="BL56">
            <v>32230.23329081116</v>
          </cell>
          <cell r="BM56">
            <v>35211.268089390949</v>
          </cell>
          <cell r="BN56">
            <v>38564.575625932164</v>
          </cell>
          <cell r="BO56">
            <v>40218.599712935647</v>
          </cell>
          <cell r="BP56">
            <v>31.573949756533782</v>
          </cell>
          <cell r="BQ56">
            <v>37.528202977533915</v>
          </cell>
          <cell r="BR56">
            <v>47.234529675114395</v>
          </cell>
          <cell r="BS56">
            <v>54.96240195717828</v>
          </cell>
          <cell r="BT56">
            <v>28114.116244866058</v>
          </cell>
          <cell r="BU56">
            <v>32600.905031854967</v>
          </cell>
          <cell r="BV56">
            <v>36465.95640936667</v>
          </cell>
          <cell r="BW56">
            <v>40026.188363413225</v>
          </cell>
          <cell r="BX56">
            <v>12433.134556598457</v>
          </cell>
          <cell r="BY56">
            <v>14605.013713777162</v>
          </cell>
          <cell r="BZ56">
            <v>16087.366271204737</v>
          </cell>
          <cell r="CA56">
            <v>17421.125740062518</v>
          </cell>
          <cell r="CB56">
            <v>7212.7631976251168</v>
          </cell>
          <cell r="CC56">
            <v>8938.566981091677</v>
          </cell>
          <cell r="CD56">
            <v>10172.115248033826</v>
          </cell>
          <cell r="CE56">
            <v>11290.031028114443</v>
          </cell>
          <cell r="CF56">
            <v>6313.4274292608725</v>
          </cell>
          <cell r="CG56">
            <v>8093.6094255169201</v>
          </cell>
          <cell r="CH56">
            <v>9548.6675619634407</v>
          </cell>
          <cell r="CI56">
            <v>11097.847129034632</v>
          </cell>
          <cell r="CJ56">
            <v>-1587.285066784769</v>
          </cell>
          <cell r="CK56">
            <v>-2073.0767386790794</v>
          </cell>
          <cell r="CL56">
            <v>-2597.4220078720641</v>
          </cell>
          <cell r="CM56">
            <v>-3163.4036696270678</v>
          </cell>
          <cell r="CN56">
            <v>4598.4461081253885</v>
          </cell>
          <cell r="CO56">
            <v>5793.1803675198316</v>
          </cell>
          <cell r="CP56">
            <v>6641.0618846492953</v>
          </cell>
          <cell r="CQ56">
            <v>7554.9682908891191</v>
          </cell>
          <cell r="CR56">
            <v>5543.8990044596067</v>
          </cell>
          <cell r="CS56">
            <v>6728.6179543276194</v>
          </cell>
          <cell r="CT56">
            <v>7627.8280573265147</v>
          </cell>
          <cell r="CU56">
            <v>8360.217788167176</v>
          </cell>
          <cell r="CW56">
            <v>15.959202657875622</v>
          </cell>
          <cell r="CX56">
            <v>11.855656687245599</v>
          </cell>
          <cell r="CY56">
            <v>9.7631662641160659</v>
          </cell>
          <cell r="CZ56">
            <v>12.496738834742843</v>
          </cell>
          <cell r="DA56">
            <v>62.076833996110224</v>
          </cell>
          <cell r="DB56">
            <v>17.468476250231319</v>
          </cell>
          <cell r="DC56">
            <v>10.149614279576099</v>
          </cell>
          <cell r="DD56">
            <v>8.2907260664855755</v>
          </cell>
          <cell r="DE56">
            <v>11.900457087182261</v>
          </cell>
          <cell r="DF56">
            <v>82.472416278787421</v>
          </cell>
          <cell r="DG56">
            <v>23.927082259331627</v>
          </cell>
          <cell r="DH56">
            <v>13.800291137847395</v>
          </cell>
          <cell r="DI56">
            <v>10.990003090032815</v>
          </cell>
          <cell r="DJ56">
            <v>16.108626366761555</v>
          </cell>
          <cell r="DK56">
            <v>96.545864426713024</v>
          </cell>
          <cell r="DL56">
            <v>25.981260436723701</v>
          </cell>
          <cell r="DM56">
            <v>14.635855667177466</v>
          </cell>
          <cell r="DN56">
            <v>13.761449932461915</v>
          </cell>
          <cell r="DO56">
            <v>17.99778316800078</v>
          </cell>
          <cell r="DP56">
            <v>44.22381428713372</v>
          </cell>
          <cell r="DQ56">
            <v>44.799411855303781</v>
          </cell>
          <cell r="DR56">
            <v>44.116123242752863</v>
          </cell>
          <cell r="DS56">
            <v>43.524318583346954</v>
          </cell>
          <cell r="DT56">
            <v>25.655308297098777</v>
          </cell>
          <cell r="DU56">
            <v>27.418155944927395</v>
          </cell>
          <cell r="DV56">
            <v>27.894826434391856</v>
          </cell>
          <cell r="DW56">
            <v>28.206610446160624</v>
          </cell>
          <cell r="DX56">
            <v>16.356360157560044</v>
          </cell>
          <cell r="DY56">
            <v>17.769998599300248</v>
          </cell>
          <cell r="DZ56">
            <v>18.211676145544526</v>
          </cell>
          <cell r="EA56">
            <v>18.875063051956491</v>
          </cell>
          <cell r="EB56">
            <v>19.719271828336353</v>
          </cell>
          <cell r="EC56">
            <v>20.639359391259102</v>
          </cell>
          <cell r="ED56">
            <v>20.917668994325968</v>
          </cell>
          <cell r="EE56">
            <v>20.886869647095867</v>
          </cell>
          <cell r="EF56">
            <v>8614.2988797477446</v>
          </cell>
          <cell r="EG56">
            <v>6188.8852921685375</v>
          </cell>
          <cell r="EH56">
            <v>3678.3411135714655</v>
          </cell>
          <cell r="EI56">
            <v>263.9444770141281</v>
          </cell>
          <cell r="EJ56">
            <v>35096.987322814428</v>
          </cell>
          <cell r="EK56">
            <v>37061.405492318794</v>
          </cell>
          <cell r="EL56">
            <v>39809.871986493548</v>
          </cell>
          <cell r="EM56">
            <v>43363.620978139254</v>
          </cell>
          <cell r="EN56">
            <v>-711.90774322376626</v>
          </cell>
          <cell r="EO56">
            <v>-818.66314189979028</v>
          </cell>
          <cell r="EP56">
            <v>-545.16255091173866</v>
          </cell>
          <cell r="EQ56">
            <v>-64.628327178017742</v>
          </cell>
          <cell r="ER56">
            <v>25292.048493275404</v>
          </cell>
          <cell r="ES56">
            <v>26314.992890027977</v>
          </cell>
          <cell r="ET56">
            <v>27024.135782798956</v>
          </cell>
          <cell r="EU56">
            <v>27144.847322045527</v>
          </cell>
          <cell r="EV56">
            <v>4028.6695535019262</v>
          </cell>
          <cell r="EW56">
            <v>5601.7047904336778</v>
          </cell>
          <cell r="EX56">
            <v>7809.3606884600385</v>
          </cell>
          <cell r="EY56">
            <v>11155.696406739957</v>
          </cell>
          <cell r="EZ56">
            <v>26.727386060229609</v>
          </cell>
          <cell r="FA56">
            <v>17.576433988281241</v>
          </cell>
          <cell r="FB56">
            <v>9.5381345544951888</v>
          </cell>
          <cell r="FC56">
            <v>0.65627465624874737</v>
          </cell>
          <cell r="FD56">
            <v>0.69285012886601494</v>
          </cell>
          <cell r="FE56">
            <v>0.42375073474463465</v>
          </cell>
          <cell r="FF56">
            <v>0.22864781292108946</v>
          </cell>
          <cell r="FG56">
            <v>1.5150827848463763E-2</v>
          </cell>
          <cell r="FH56">
            <v>0.5585473199547728</v>
          </cell>
          <cell r="FI56">
            <v>0.62668935661424507</v>
          </cell>
          <cell r="FJ56">
            <v>0.7677223957887731</v>
          </cell>
          <cell r="FK56">
            <v>0.9881014834201991</v>
          </cell>
          <cell r="FL56">
            <v>17.464530586922532</v>
          </cell>
          <cell r="FM56">
            <v>17.840077275110684</v>
          </cell>
          <cell r="FN56">
            <v>29.509301848228507</v>
          </cell>
          <cell r="FO56">
            <v>269.55866724008331</v>
          </cell>
          <cell r="FP56">
            <v>-5935.115577646975</v>
          </cell>
          <cell r="FQ56">
            <v>-6502.3994612419419</v>
          </cell>
          <cell r="FR56">
            <v>-6101.702744300077</v>
          </cell>
          <cell r="FS56">
            <v>-5982.2453487237044</v>
          </cell>
          <cell r="FT56">
            <v>4910.7339121667119</v>
          </cell>
          <cell r="FU56">
            <v>6029.5375138561394</v>
          </cell>
          <cell r="FV56">
            <v>7388.2415190325955</v>
          </cell>
          <cell r="FW56">
            <v>8275.4767217117424</v>
          </cell>
          <cell r="FX56">
            <v>21.110802580290216</v>
          </cell>
          <cell r="FY56">
            <v>19.945456897249702</v>
          </cell>
          <cell r="FZ56">
            <v>16.732600334960061</v>
          </cell>
          <cell r="GA56">
            <v>14.945828202297426</v>
          </cell>
          <cell r="GF56">
            <v>-1374.4094293406133</v>
          </cell>
          <cell r="GG56">
            <v>-1973.0231989717481</v>
          </cell>
          <cell r="GH56">
            <v>-1843.1592915339897</v>
          </cell>
          <cell r="GI56">
            <v>-1704.4731812679083</v>
          </cell>
          <cell r="GK56">
            <v>0</v>
          </cell>
          <cell r="GP56">
            <v>18101.483969716872</v>
          </cell>
          <cell r="GQ56">
            <v>7671.136121092326</v>
          </cell>
          <cell r="GR56">
            <v>3952.7964525910684</v>
          </cell>
          <cell r="GS56">
            <v>2339.6300510001483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CV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GK57">
            <v>0</v>
          </cell>
        </row>
        <row r="58">
          <cell r="B58" t="str">
            <v>US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CV58" t="e">
            <v>#N/A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GK58">
            <v>0</v>
          </cell>
        </row>
        <row r="59">
          <cell r="B59" t="str">
            <v>BLS.N</v>
          </cell>
          <cell r="C59" t="str">
            <v xml:space="preserve">BellSouth </v>
          </cell>
          <cell r="D59" t="str">
            <v>HASKINS Andrew</v>
          </cell>
          <cell r="E59" t="str">
            <v>USD</v>
          </cell>
          <cell r="F59">
            <v>26.62</v>
          </cell>
          <cell r="G59">
            <v>-1</v>
          </cell>
          <cell r="H59" t="str">
            <v>USD</v>
          </cell>
          <cell r="I59" t="str">
            <v>UNITED STATES</v>
          </cell>
          <cell r="J59">
            <v>1831.018</v>
          </cell>
          <cell r="K59">
            <v>38851.938272687417</v>
          </cell>
          <cell r="L59">
            <v>34223.403830058589</v>
          </cell>
          <cell r="M59">
            <v>36292.4763421147</v>
          </cell>
          <cell r="N59">
            <v>44801.732115101026</v>
          </cell>
          <cell r="O59">
            <v>53942.265498385874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20480.433529950977</v>
          </cell>
          <cell r="U59">
            <v>21784.891579450799</v>
          </cell>
          <cell r="V59">
            <v>27149.598285440996</v>
          </cell>
          <cell r="W59">
            <v>32912.297404647084</v>
          </cell>
          <cell r="X59">
            <v>1.4981352831493904</v>
          </cell>
          <cell r="Y59">
            <v>1.2696122201451299</v>
          </cell>
          <cell r="Z59">
            <v>1.4298569204225546</v>
          </cell>
          <cell r="AA59">
            <v>1.2194803539111498</v>
          </cell>
          <cell r="AB59">
            <v>2.4752161465597822</v>
          </cell>
          <cell r="AC59">
            <v>1.927901328655768</v>
          </cell>
          <cell r="AD59">
            <v>2.4419700409250833</v>
          </cell>
          <cell r="AE59">
            <v>2.3918314470886624</v>
          </cell>
          <cell r="AF59">
            <v>0.86330889580271697</v>
          </cell>
          <cell r="AG59">
            <v>8.919823953720508</v>
          </cell>
          <cell r="AH59">
            <v>8.9210385266989576</v>
          </cell>
          <cell r="AI59">
            <v>8.9210385266989576</v>
          </cell>
          <cell r="AJ59">
            <v>4.06861072588016</v>
          </cell>
          <cell r="AK59">
            <v>42.037434790158017</v>
          </cell>
          <cell r="AL59">
            <v>42.043158841736201</v>
          </cell>
          <cell r="AM59">
            <v>42.043158841736201</v>
          </cell>
          <cell r="AN59">
            <v>14.163449682277884</v>
          </cell>
          <cell r="AO59">
            <v>16.712791010869442</v>
          </cell>
          <cell r="AP59">
            <v>14.839781097720534</v>
          </cell>
          <cell r="AQ59">
            <v>17.399840540340101</v>
          </cell>
          <cell r="AR59">
            <v>4.4358610937467535</v>
          </cell>
          <cell r="AS59">
            <v>6.1647215504808086</v>
          </cell>
          <cell r="AT59">
            <v>3.3388525982756492</v>
          </cell>
          <cell r="AU59">
            <v>2.2771167705157809</v>
          </cell>
          <cell r="AV59">
            <v>22.543537294477119</v>
          </cell>
          <cell r="AW59">
            <v>16.221332817895181</v>
          </cell>
          <cell r="AX59">
            <v>29.950408727730302</v>
          </cell>
          <cell r="AY59">
            <v>43.915183136326114</v>
          </cell>
          <cell r="AZ59">
            <v>2.1150232155172417</v>
          </cell>
          <cell r="BA59">
            <v>2.2578800340772287</v>
          </cell>
          <cell r="BB59">
            <v>2.7643903170016446</v>
          </cell>
          <cell r="BC59">
            <v>3.2958867460299142</v>
          </cell>
          <cell r="BD59">
            <v>4.8106410392156871</v>
          </cell>
          <cell r="BE59">
            <v>5.054031647912443</v>
          </cell>
          <cell r="BF59">
            <v>6.3541910726548094</v>
          </cell>
          <cell r="BG59">
            <v>7.7566396927271288</v>
          </cell>
          <cell r="BH59">
            <v>7.5512258328954047</v>
          </cell>
          <cell r="BI59">
            <v>10.28109059443605</v>
          </cell>
          <cell r="BJ59">
            <v>10.019864756993242</v>
          </cell>
          <cell r="BK59">
            <v>12.317029936896406</v>
          </cell>
          <cell r="BL59">
            <v>18471.164959547248</v>
          </cell>
          <cell r="BM59">
            <v>4282.7691259814274</v>
          </cell>
          <cell r="BN59">
            <v>-9717.8051636044784</v>
          </cell>
          <cell r="BO59">
            <v>-24050.974228209318</v>
          </cell>
          <cell r="BP59">
            <v>14.133100000000001</v>
          </cell>
          <cell r="BQ59">
            <v>20.336399999999998</v>
          </cell>
          <cell r="BR59">
            <v>34.737000000000002</v>
          </cell>
          <cell r="BS59">
            <v>36.179099999999998</v>
          </cell>
          <cell r="BT59">
            <v>16181.100793113068</v>
          </cell>
          <cell r="BU59">
            <v>16073.695588059461</v>
          </cell>
          <cell r="BV59">
            <v>16206.731675899722</v>
          </cell>
          <cell r="BW59">
            <v>16366.540981228329</v>
          </cell>
          <cell r="BX59">
            <v>7114.1046590410897</v>
          </cell>
          <cell r="BY59">
            <v>7180.896138057471</v>
          </cell>
          <cell r="BZ59">
            <v>7050.7373169662433</v>
          </cell>
          <cell r="CA59">
            <v>6954.3343039336805</v>
          </cell>
          <cell r="CB59">
            <v>4215.8542903830057</v>
          </cell>
          <cell r="CC59">
            <v>4136.562153760312</v>
          </cell>
          <cell r="CD59">
            <v>4073.3718042325931</v>
          </cell>
          <cell r="CE59">
            <v>4037.4674026543385</v>
          </cell>
          <cell r="CF59">
            <v>4156.2313180024703</v>
          </cell>
          <cell r="CG59">
            <v>3522.2467091785893</v>
          </cell>
          <cell r="CH59">
            <v>3966.8087250408512</v>
          </cell>
          <cell r="CI59">
            <v>3383.1673914949583</v>
          </cell>
          <cell r="CJ59">
            <v>-36.803634769439235</v>
          </cell>
          <cell r="CK59">
            <v>-1055.9814722410424</v>
          </cell>
          <cell r="CL59">
            <v>0</v>
          </cell>
          <cell r="CM59">
            <v>0</v>
          </cell>
          <cell r="CN59">
            <v>2743.1126698816306</v>
          </cell>
          <cell r="CO59">
            <v>2324.6828281056955</v>
          </cell>
          <cell r="CP59">
            <v>2618.0937587182652</v>
          </cell>
          <cell r="CQ59">
            <v>2232.8904786576859</v>
          </cell>
          <cell r="CR59">
            <v>2782.4638316527835</v>
          </cell>
          <cell r="CS59">
            <v>2730.1310214818063</v>
          </cell>
          <cell r="CT59">
            <v>2688.4253907775696</v>
          </cell>
          <cell r="CU59">
            <v>2664.7284859112829</v>
          </cell>
          <cell r="CV59">
            <v>-0.2016</v>
          </cell>
          <cell r="CW59">
            <v>-0.66376945812808685</v>
          </cell>
          <cell r="CX59">
            <v>0.82766335290740756</v>
          </cell>
          <cell r="CY59">
            <v>0.98606744730803086</v>
          </cell>
          <cell r="CZ59">
            <v>0.38055973820767974</v>
          </cell>
          <cell r="DA59">
            <v>-4.7288999999999994</v>
          </cell>
          <cell r="DB59">
            <v>0.93885994397760442</v>
          </cell>
          <cell r="DC59">
            <v>-1.8125707236093973</v>
          </cell>
          <cell r="DD59">
            <v>-1.3672756294662634</v>
          </cell>
          <cell r="DE59">
            <v>-0.75428353125433034</v>
          </cell>
          <cell r="DF59">
            <v>-4.8227000000000002</v>
          </cell>
          <cell r="DG59">
            <v>-1.8808082813386306</v>
          </cell>
          <cell r="DH59">
            <v>-1.5276054650907582</v>
          </cell>
          <cell r="DI59">
            <v>-0.88144179573657766</v>
          </cell>
          <cell r="DJ59">
            <v>-1.4308195645719906</v>
          </cell>
          <cell r="DK59">
            <v>-3.8643999999999998</v>
          </cell>
          <cell r="DL59">
            <v>-15.253833587301784</v>
          </cell>
          <cell r="DM59">
            <v>12.621546778992652</v>
          </cell>
          <cell r="DN59">
            <v>-14.713120138568385</v>
          </cell>
          <cell r="DO59">
            <v>-6.62987821833255</v>
          </cell>
          <cell r="DP59">
            <v>43.965517241379303</v>
          </cell>
          <cell r="DQ59">
            <v>44.674829747254179</v>
          </cell>
          <cell r="DR59">
            <v>43.504991987070824</v>
          </cell>
          <cell r="DS59">
            <v>42.491167265642645</v>
          </cell>
          <cell r="DT59">
            <v>26.054187192118228</v>
          </cell>
          <cell r="DU59">
            <v>25.734978811177729</v>
          </cell>
          <cell r="DV59">
            <v>25.133826398137483</v>
          </cell>
          <cell r="DW59">
            <v>24.669033042993803</v>
          </cell>
          <cell r="DX59">
            <v>16.952571428571428</v>
          </cell>
          <cell r="DY59">
            <v>14.46265306798901</v>
          </cell>
          <cell r="DZ59">
            <v>16.154359873875809</v>
          </cell>
          <cell r="EA59">
            <v>13.643020117804422</v>
          </cell>
          <cell r="EB59">
            <v>17.195763546798027</v>
          </cell>
          <cell r="EC59">
            <v>16.985086015377306</v>
          </cell>
          <cell r="ED59">
            <v>16.588325422672373</v>
          </cell>
          <cell r="EE59">
            <v>16.281561809349967</v>
          </cell>
          <cell r="EF59">
            <v>15851.899087322146</v>
          </cell>
          <cell r="EG59">
            <v>19225.429648878082</v>
          </cell>
          <cell r="EH59">
            <v>33099.392127854604</v>
          </cell>
          <cell r="EI59">
            <v>48002.624630345541</v>
          </cell>
          <cell r="EJ59">
            <v>34877.844645490411</v>
          </cell>
          <cell r="EK59">
            <v>24305.297336096606</v>
          </cell>
          <cell r="EL59">
            <v>24178.685525487224</v>
          </cell>
          <cell r="EM59">
            <v>24748.74896337332</v>
          </cell>
          <cell r="EN59">
            <v>-390.57829500617748</v>
          </cell>
          <cell r="EO59">
            <v>-761.51958869714235</v>
          </cell>
          <cell r="EP59">
            <v>-966.39244350563933</v>
          </cell>
          <cell r="EQ59">
            <v>-1771.0822677454066</v>
          </cell>
          <cell r="ER59">
            <v>17567.255191104381</v>
          </cell>
          <cell r="ES59">
            <v>17117.813837631023</v>
          </cell>
          <cell r="ET59">
            <v>16719.894542266149</v>
          </cell>
          <cell r="EU59">
            <v>16373.890019528913</v>
          </cell>
          <cell r="EV59">
            <v>554.78059862101952</v>
          </cell>
          <cell r="EW59">
            <v>797.09856123709699</v>
          </cell>
          <cell r="EX59">
            <v>797.09856123709699</v>
          </cell>
          <cell r="EY59">
            <v>797.09856123709699</v>
          </cell>
          <cell r="EZ59">
            <v>85.819703965822285</v>
          </cell>
          <cell r="FA59">
            <v>448.90184558973709</v>
          </cell>
          <cell r="FB59">
            <v>-340.60563646428932</v>
          </cell>
          <cell r="FC59">
            <v>-199.5870278470608</v>
          </cell>
          <cell r="FD59">
            <v>2.2282352941176473</v>
          </cell>
          <cell r="FE59">
            <v>2.6773022864077825</v>
          </cell>
          <cell r="FF59">
            <v>4.6944582729251989</v>
          </cell>
          <cell r="FG59">
            <v>6.9025477540234332</v>
          </cell>
          <cell r="FH59">
            <v>0.13159387407827569</v>
          </cell>
          <cell r="FI59">
            <v>0.19269589857667202</v>
          </cell>
          <cell r="FJ59">
            <v>0.19568519633018552</v>
          </cell>
          <cell r="FK59">
            <v>0.19742538619954261</v>
          </cell>
          <cell r="FL59">
            <v>18.214285714285715</v>
          </cell>
          <cell r="FM59">
            <v>9.4296932667786244</v>
          </cell>
          <cell r="FN59">
            <v>7.295935894727533</v>
          </cell>
          <cell r="FO59">
            <v>3.9266015083458377</v>
          </cell>
          <cell r="FP59">
            <v>-2545.1357060300506</v>
          </cell>
          <cell r="FQ59">
            <v>-2594.892630823801</v>
          </cell>
          <cell r="FR59">
            <v>-2579.4462165716786</v>
          </cell>
          <cell r="FS59">
            <v>-2574.8478713482918</v>
          </cell>
          <cell r="FT59">
            <v>4532.1653182415994</v>
          </cell>
          <cell r="FU59">
            <v>3530.0220349926271</v>
          </cell>
          <cell r="FV59">
            <v>4471.2911003945646</v>
          </cell>
          <cell r="FW59">
            <v>4379.4864325853887</v>
          </cell>
          <cell r="FX59">
            <v>15.729064039408868</v>
          </cell>
          <cell r="FY59">
            <v>16.143721377624249</v>
          </cell>
          <cell r="FZ59">
            <v>15.915893889990498</v>
          </cell>
          <cell r="GA59">
            <v>15.732388867638704</v>
          </cell>
          <cell r="GB59">
            <v>3.0722195209437646</v>
          </cell>
          <cell r="GC59">
            <v>2.9239025945558166</v>
          </cell>
          <cell r="GD59">
            <v>3.0472209158662467</v>
          </cell>
          <cell r="GE59">
            <v>2.8044972300824993</v>
          </cell>
          <cell r="GF59">
            <v>-1580.7341277748992</v>
          </cell>
          <cell r="GG59">
            <v>-16332.358216093418</v>
          </cell>
          <cell r="GH59">
            <v>-16334.582121079271</v>
          </cell>
          <cell r="GI59">
            <v>-16334.582121079271</v>
          </cell>
          <cell r="GJ59">
            <v>0.1342168287217799</v>
          </cell>
          <cell r="GK59">
            <v>5</v>
          </cell>
          <cell r="GP59">
            <v>16213.78778929629</v>
          </cell>
          <cell r="GQ59">
            <v>7467.2221261653222</v>
          </cell>
          <cell r="GR59">
            <v>4429.4745599875241</v>
          </cell>
          <cell r="GS59">
            <v>2853.3786338064469</v>
          </cell>
        </row>
        <row r="60">
          <cell r="B60" t="str">
            <v>NXTL.O</v>
          </cell>
          <cell r="C60" t="str">
            <v>Nextel</v>
          </cell>
          <cell r="D60" t="str">
            <v>HASKINS Andrew</v>
          </cell>
          <cell r="E60" t="str">
            <v>USD</v>
          </cell>
          <cell r="F60">
            <v>28.96</v>
          </cell>
          <cell r="G60">
            <v>-1</v>
          </cell>
          <cell r="H60" t="str">
            <v>USD</v>
          </cell>
          <cell r="I60" t="str">
            <v>UNITED STATES</v>
          </cell>
          <cell r="J60">
            <v>1095.7239999999999</v>
          </cell>
          <cell r="K60">
            <v>25293.664692519229</v>
          </cell>
          <cell r="L60">
            <v>29329.814032920171</v>
          </cell>
          <cell r="M60">
            <v>27791.056729504602</v>
          </cell>
          <cell r="N60">
            <v>26827.624133753136</v>
          </cell>
          <cell r="O60">
            <v>26541.587974174003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973.24408513012634</v>
          </cell>
          <cell r="U60">
            <v>915.53837232473791</v>
          </cell>
          <cell r="V60">
            <v>879.40820134709656</v>
          </cell>
          <cell r="W60">
            <v>868.68141564704479</v>
          </cell>
          <cell r="X60">
            <v>1.3267891447661551</v>
          </cell>
          <cell r="Y60">
            <v>1.6859710174988158</v>
          </cell>
          <cell r="Z60">
            <v>1.825770771558769</v>
          </cell>
          <cell r="AA60">
            <v>2.0121255914284855</v>
          </cell>
          <cell r="AB60">
            <v>2.4696006503836094</v>
          </cell>
          <cell r="AC60">
            <v>1.1154687801619991</v>
          </cell>
          <cell r="AD60">
            <v>0.67066630974174646</v>
          </cell>
          <cell r="AE60">
            <v>0.72005636322624544</v>
          </cell>
          <cell r="AF60">
            <v>0</v>
          </cell>
          <cell r="AG60">
            <v>0</v>
          </cell>
          <cell r="AH60">
            <v>0.36515415402076862</v>
          </cell>
          <cell r="AI60">
            <v>0.60363767713756034</v>
          </cell>
          <cell r="AJ60">
            <v>0</v>
          </cell>
          <cell r="AK60">
            <v>0</v>
          </cell>
          <cell r="AL60">
            <v>1.5818513257139339</v>
          </cell>
          <cell r="AM60">
            <v>2.6149642536357955</v>
          </cell>
          <cell r="AN60">
            <v>17.398374432355528</v>
          </cell>
          <cell r="AO60">
            <v>13.691797838655635</v>
          </cell>
          <cell r="AP60">
            <v>12.643413232931849</v>
          </cell>
          <cell r="AQ60">
            <v>11.472432154216639</v>
          </cell>
          <cell r="AR60">
            <v>11.05764755890179</v>
          </cell>
          <cell r="AS60">
            <v>30.456789167780858</v>
          </cell>
          <cell r="AT60">
            <v>47.755800870003952</v>
          </cell>
          <cell r="AU60">
            <v>38.750090906786312</v>
          </cell>
          <cell r="AV60">
            <v>9.0435148585918288</v>
          </cell>
          <cell r="AW60">
            <v>3.2833401922020857</v>
          </cell>
          <cell r="AX60">
            <v>2.0939864514514155</v>
          </cell>
          <cell r="AY60">
            <v>2.5806391071585066</v>
          </cell>
          <cell r="AZ60">
            <v>2.7586678550637376</v>
          </cell>
          <cell r="BA60">
            <v>2.3312054706715424</v>
          </cell>
          <cell r="BB60">
            <v>2.0511707664008965</v>
          </cell>
          <cell r="BC60">
            <v>1.8100686268243416</v>
          </cell>
          <cell r="BD60">
            <v>7.0998945822941675</v>
          </cell>
          <cell r="BE60">
            <v>6.00422697437181</v>
          </cell>
          <cell r="BF60">
            <v>5.4496822187000351</v>
          </cell>
          <cell r="BG60">
            <v>4.8739132139335632</v>
          </cell>
          <cell r="BH60">
            <v>10.838805030597415</v>
          </cell>
          <cell r="BI60">
            <v>22.737696578556076</v>
          </cell>
          <cell r="BJ60">
            <v>36.506865710124529</v>
          </cell>
          <cell r="BK60">
            <v>33.640251662822024</v>
          </cell>
          <cell r="BL60">
            <v>7764.3638332469809</v>
          </cell>
          <cell r="BM60">
            <v>10033.114982264557</v>
          </cell>
          <cell r="BN60">
            <v>11639.92445338966</v>
          </cell>
          <cell r="BO60">
            <v>13189.615252480968</v>
          </cell>
          <cell r="BP60">
            <v>13.651199999999999</v>
          </cell>
          <cell r="BQ60">
            <v>15.0593</v>
          </cell>
          <cell r="BR60">
            <v>14.497999999999999</v>
          </cell>
          <cell r="BS60">
            <v>14.6478</v>
          </cell>
          <cell r="BT60">
            <v>10631.875808855764</v>
          </cell>
          <cell r="BU60">
            <v>11921.324430273804</v>
          </cell>
          <cell r="BV60">
            <v>13079.176328564025</v>
          </cell>
          <cell r="BW60">
            <v>14663.304794547847</v>
          </cell>
          <cell r="BX60">
            <v>4131.0210585468885</v>
          </cell>
          <cell r="BY60">
            <v>4628.5819720218406</v>
          </cell>
          <cell r="BZ60">
            <v>4922.7868813518789</v>
          </cell>
          <cell r="CA60">
            <v>5445.6423020206439</v>
          </cell>
          <cell r="CB60">
            <v>2685.9402949264677</v>
          </cell>
          <cell r="CC60">
            <v>3168.3199673189588</v>
          </cell>
          <cell r="CD60">
            <v>3182.5315332190821</v>
          </cell>
          <cell r="CE60">
            <v>3409.3478490295324</v>
          </cell>
          <cell r="CF60">
            <v>2179.3604431868002</v>
          </cell>
          <cell r="CG60">
            <v>2766.7696943127016</v>
          </cell>
          <cell r="CH60">
            <v>2995.3994643497667</v>
          </cell>
          <cell r="CI60">
            <v>3300.1658052688213</v>
          </cell>
          <cell r="CJ60">
            <v>370.38460244709256</v>
          </cell>
          <cell r="CK60">
            <v>-498.01854529512576</v>
          </cell>
          <cell r="CL60">
            <v>-988.48182296440939</v>
          </cell>
          <cell r="CM60">
            <v>-1089.0547160336375</v>
          </cell>
          <cell r="CN60">
            <v>1453.7947088597505</v>
          </cell>
          <cell r="CO60">
            <v>1847.3589071778724</v>
          </cell>
          <cell r="CP60">
            <v>2000.5408528954604</v>
          </cell>
          <cell r="CQ60">
            <v>2204.7343015423858</v>
          </cell>
          <cell r="CR60">
            <v>1799.5799976087042</v>
          </cell>
          <cell r="CS60">
            <v>2122.7743780638475</v>
          </cell>
          <cell r="CT60">
            <v>2132.2961268980907</v>
          </cell>
          <cell r="CU60">
            <v>2284.2630584671792</v>
          </cell>
          <cell r="CV60">
            <v>23.273800000000001</v>
          </cell>
          <cell r="CW60">
            <v>12.128138482806577</v>
          </cell>
          <cell r="CX60">
            <v>9.712443487821659</v>
          </cell>
          <cell r="CY60">
            <v>12.111836603381462</v>
          </cell>
          <cell r="CZ60">
            <v>11.311659028948711</v>
          </cell>
          <cell r="DA60">
            <v>22.926299999999998</v>
          </cell>
          <cell r="DB60">
            <v>12.044501986876142</v>
          </cell>
          <cell r="DC60">
            <v>6.3562644263060406</v>
          </cell>
          <cell r="DD60">
            <v>10.621126473083891</v>
          </cell>
          <cell r="DE60">
            <v>9.6471213055145455</v>
          </cell>
          <cell r="DF60">
            <v>33.610099999999996</v>
          </cell>
          <cell r="DG60">
            <v>17.959433919795927</v>
          </cell>
          <cell r="DH60">
            <v>0.44855210479732932</v>
          </cell>
          <cell r="DI60">
            <v>7.1269149556871554</v>
          </cell>
          <cell r="DJ60">
            <v>8.274200696780639</v>
          </cell>
          <cell r="DK60">
            <v>102.84699999999999</v>
          </cell>
          <cell r="DL60">
            <v>27.071511260816507</v>
          </cell>
          <cell r="DM60">
            <v>8.2919428987189718</v>
          </cell>
          <cell r="DN60">
            <v>10.206912213334121</v>
          </cell>
          <cell r="DO60">
            <v>14.890572012020513</v>
          </cell>
          <cell r="DP60">
            <v>38.85505373478852</v>
          </cell>
          <cell r="DQ60">
            <v>38.82607170951335</v>
          </cell>
          <cell r="DR60">
            <v>37.63835548727063</v>
          </cell>
          <cell r="DS60">
            <v>37.137892025851215</v>
          </cell>
          <cell r="DT60">
            <v>25.263089441744874</v>
          </cell>
          <cell r="DU60">
            <v>26.576912538955121</v>
          </cell>
          <cell r="DV60">
            <v>24.332813116592451</v>
          </cell>
          <cell r="DW60">
            <v>23.250883049892042</v>
          </cell>
          <cell r="DX60">
            <v>13.673924855751419</v>
          </cell>
          <cell r="DY60">
            <v>15.496255621452313</v>
          </cell>
          <cell r="DZ60">
            <v>15.295618031591303</v>
          </cell>
          <cell r="EA60">
            <v>15.03572579601671</v>
          </cell>
          <cell r="EB60">
            <v>16.926269926044036</v>
          </cell>
          <cell r="EC60">
            <v>17.806531400765614</v>
          </cell>
          <cell r="ED60">
            <v>16.302984785374459</v>
          </cell>
          <cell r="EE60">
            <v>15.578091640818384</v>
          </cell>
          <cell r="EF60">
            <v>5009.3934255310669</v>
          </cell>
          <cell r="EG60">
            <v>3412.9304093101114</v>
          </cell>
          <cell r="EH60">
            <v>2413.3676425810049</v>
          </cell>
          <cell r="EI60">
            <v>2116.604697301821</v>
          </cell>
          <cell r="EJ60">
            <v>14911.946631860028</v>
          </cell>
          <cell r="EK60">
            <v>13485.900319636523</v>
          </cell>
          <cell r="EL60">
            <v>14093.147024032522</v>
          </cell>
          <cell r="EM60">
            <v>15346.074877844643</v>
          </cell>
          <cell r="EN60">
            <v>-506.57985173966762</v>
          </cell>
          <cell r="EO60">
            <v>-421.82909409748515</v>
          </cell>
          <cell r="EP60">
            <v>-223.63394842772308</v>
          </cell>
          <cell r="EQ60">
            <v>-158.66236817982542</v>
          </cell>
          <cell r="ER60">
            <v>7552.1096951098007</v>
          </cell>
          <cell r="ES60">
            <v>9000.1652026623087</v>
          </cell>
          <cell r="ET60">
            <v>10459.349740544418</v>
          </cell>
          <cell r="EU60">
            <v>11990.659835000597</v>
          </cell>
          <cell r="EV60">
            <v>2138.1893730819816</v>
          </cell>
          <cell r="EW60">
            <v>39.854928061854849</v>
          </cell>
          <cell r="EX60">
            <v>39.854928061854849</v>
          </cell>
          <cell r="EY60">
            <v>39.854928061854849</v>
          </cell>
          <cell r="EZ60">
            <v>64.517757450788963</v>
          </cell>
          <cell r="FA60">
            <v>34.016657990495638</v>
          </cell>
          <cell r="FB60">
            <v>20.733533557240648</v>
          </cell>
          <cell r="FC60">
            <v>16.047509019671271</v>
          </cell>
          <cell r="FD60">
            <v>1.212628392481047</v>
          </cell>
          <cell r="FE60">
            <v>0.73735982854794024</v>
          </cell>
          <cell r="FF60">
            <v>0.49024418500080469</v>
          </cell>
          <cell r="FG60">
            <v>0.38867861308416091</v>
          </cell>
          <cell r="FH60">
            <v>0.79606735008996854</v>
          </cell>
          <cell r="FI60">
            <v>1.2579199220077573E-2</v>
          </cell>
          <cell r="FJ60">
            <v>1.2523026919246954E-2</v>
          </cell>
          <cell r="FK60">
            <v>1.1689897841664796E-2</v>
          </cell>
          <cell r="FL60">
            <v>8.1547283105721071</v>
          </cell>
          <cell r="FM60">
            <v>10.972647540883395</v>
          </cell>
          <cell r="FN60">
            <v>22.012699395426939</v>
          </cell>
          <cell r="FO60">
            <v>34.322204846007587</v>
          </cell>
          <cell r="FP60">
            <v>-1795.4049579530508</v>
          </cell>
          <cell r="FQ60">
            <v>-2908.3175130524887</v>
          </cell>
          <cell r="FR60">
            <v>-3199.4398868120043</v>
          </cell>
          <cell r="FS60">
            <v>-3567.6045474472921</v>
          </cell>
          <cell r="FT60">
            <v>2706.0007030409297</v>
          </cell>
          <cell r="FU60">
            <v>1222.2459136742264</v>
          </cell>
          <cell r="FV60">
            <v>734.86517157546541</v>
          </cell>
          <cell r="FW60">
            <v>788.98303853971447</v>
          </cell>
          <cell r="FX60">
            <v>16.887000847560483</v>
          </cell>
          <cell r="FY60">
            <v>24.395926224999915</v>
          </cell>
          <cell r="FZ60">
            <v>24.46209001575005</v>
          </cell>
          <cell r="GA60">
            <v>24.330153382434016</v>
          </cell>
          <cell r="GB60">
            <v>2.5451054162847235</v>
          </cell>
          <cell r="GC60">
            <v>2.7563508827866565</v>
          </cell>
          <cell r="GD60">
            <v>3.1173305169184169</v>
          </cell>
          <cell r="GE60">
            <v>3.5341907456857036</v>
          </cell>
          <cell r="GF60">
            <v>0</v>
          </cell>
          <cell r="GG60">
            <v>0</v>
          </cell>
          <cell r="GH60">
            <v>-400.10817026025268</v>
          </cell>
          <cell r="GI60">
            <v>-661.42029014387617</v>
          </cell>
          <cell r="GJ60">
            <v>0.10277688041729933</v>
          </cell>
          <cell r="GK60">
            <v>5</v>
          </cell>
          <cell r="GP60">
            <v>8624.6029641787354</v>
          </cell>
          <cell r="GQ60">
            <v>3360.5673143557469</v>
          </cell>
          <cell r="GR60">
            <v>2010.2823775496522</v>
          </cell>
          <cell r="GS60">
            <v>716.69519828232637</v>
          </cell>
        </row>
        <row r="61">
          <cell r="B61" t="str">
            <v>SBC.N</v>
          </cell>
          <cell r="C61" t="str">
            <v>SBC</v>
          </cell>
          <cell r="D61" t="str">
            <v>HASKINS Andrew</v>
          </cell>
          <cell r="E61" t="str">
            <v>USD</v>
          </cell>
          <cell r="F61">
            <v>23.63</v>
          </cell>
          <cell r="G61">
            <v>-1</v>
          </cell>
          <cell r="H61" t="str">
            <v>USD</v>
          </cell>
          <cell r="I61" t="str">
            <v>UNITED STATES</v>
          </cell>
          <cell r="J61">
            <v>3303.116</v>
          </cell>
          <cell r="K61">
            <v>62215.639934637911</v>
          </cell>
          <cell r="L61">
            <v>48636.538342832093</v>
          </cell>
          <cell r="M61">
            <v>48087.750464309902</v>
          </cell>
          <cell r="N61">
            <v>47298.57926587222</v>
          </cell>
          <cell r="O61">
            <v>46957.679253915747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34388.156631461476</v>
          </cell>
          <cell r="U61">
            <v>34020.731219959351</v>
          </cell>
          <cell r="V61">
            <v>33492.363950420469</v>
          </cell>
          <cell r="W61">
            <v>33264.123983101505</v>
          </cell>
          <cell r="X61">
            <v>1.0486292252352416</v>
          </cell>
          <cell r="Y61">
            <v>0.9725010777440195</v>
          </cell>
          <cell r="Z61">
            <v>1.332683509168815</v>
          </cell>
          <cell r="AA61">
            <v>1.5964502814605526</v>
          </cell>
          <cell r="AB61">
            <v>2.0445740888285417</v>
          </cell>
          <cell r="AC61">
            <v>1.5404595376523058</v>
          </cell>
          <cell r="AD61">
            <v>2.0700413701956513</v>
          </cell>
          <cell r="AE61">
            <v>2.1120482010475645</v>
          </cell>
          <cell r="AF61">
            <v>1.0013153769147614</v>
          </cell>
          <cell r="AG61">
            <v>0.98956443797121829</v>
          </cell>
          <cell r="AH61">
            <v>1.0192513711103548</v>
          </cell>
          <cell r="AI61">
            <v>1.0498289122436657</v>
          </cell>
          <cell r="AJ61">
            <v>5.3161244439628188</v>
          </cell>
          <cell r="AK61">
            <v>5.2537370531391963</v>
          </cell>
          <cell r="AL61">
            <v>5.4113491647333714</v>
          </cell>
          <cell r="AM61">
            <v>5.5736896396753739</v>
          </cell>
          <cell r="AN61">
            <v>17.961962673515227</v>
          </cell>
          <cell r="AO61">
            <v>19.368039206420747</v>
          </cell>
          <cell r="AP61">
            <v>14.133467453034012</v>
          </cell>
          <cell r="AQ61">
            <v>11.798324834018961</v>
          </cell>
          <cell r="AR61">
            <v>4.3139586457190306</v>
          </cell>
          <cell r="AS61">
            <v>7.0421804726104931</v>
          </cell>
          <cell r="AT61">
            <v>4.7657797704132561</v>
          </cell>
          <cell r="AU61">
            <v>4.6350508473680385</v>
          </cell>
          <cell r="AV61">
            <v>23.180565279464439</v>
          </cell>
          <cell r="AW61">
            <v>14.200147296556093</v>
          </cell>
          <cell r="AX61">
            <v>20.982925107202064</v>
          </cell>
          <cell r="AY61">
            <v>21.574736349825347</v>
          </cell>
          <cell r="AZ61">
            <v>1.4959906141172434</v>
          </cell>
          <cell r="BA61">
            <v>1.4425051714975539</v>
          </cell>
          <cell r="BB61">
            <v>1.3978382593543213</v>
          </cell>
          <cell r="BC61">
            <v>1.3709368044875407</v>
          </cell>
          <cell r="BD61">
            <v>4.5134232693246545</v>
          </cell>
          <cell r="BE61">
            <v>4.3309255182630952</v>
          </cell>
          <cell r="BF61">
            <v>4.1217056946079484</v>
          </cell>
          <cell r="BG61">
            <v>3.9860603080738701</v>
          </cell>
          <cell r="BH61">
            <v>7.2017157952260007</v>
          </cell>
          <cell r="BI61">
            <v>9.4506208542563073</v>
          </cell>
          <cell r="BJ61">
            <v>6.9174375189730588</v>
          </cell>
          <cell r="BK61">
            <v>6.730990443366859</v>
          </cell>
          <cell r="BL61">
            <v>32285.680124347375</v>
          </cell>
          <cell r="BM61">
            <v>31755.841320792315</v>
          </cell>
          <cell r="BN61">
            <v>32145.494196325373</v>
          </cell>
          <cell r="BO61">
            <v>33424.962936511103</v>
          </cell>
          <cell r="BP61">
            <v>8.1630000000000003</v>
          </cell>
          <cell r="BQ61">
            <v>9.4588999999999999</v>
          </cell>
          <cell r="BR61">
            <v>10.3856</v>
          </cell>
          <cell r="BS61">
            <v>11.908899999999999</v>
          </cell>
          <cell r="BT61">
            <v>32511.259017177472</v>
          </cell>
          <cell r="BU61">
            <v>33336.275955521902</v>
          </cell>
          <cell r="BV61">
            <v>33836.94712127855</v>
          </cell>
          <cell r="BW61">
            <v>34252.256632258577</v>
          </cell>
          <cell r="BX61">
            <v>10775.975449364314</v>
          </cell>
          <cell r="BY61">
            <v>11103.342752381332</v>
          </cell>
          <cell r="BZ61">
            <v>11475.486793671036</v>
          </cell>
          <cell r="CA61">
            <v>11780.473857558485</v>
          </cell>
          <cell r="CB61">
            <v>4746.7219321669127</v>
          </cell>
          <cell r="CC61">
            <v>5164.9584711649595</v>
          </cell>
          <cell r="CD61">
            <v>5364.2794707265548</v>
          </cell>
          <cell r="CE61">
            <v>5781.5728229245542</v>
          </cell>
          <cell r="CF61">
            <v>5248.0969271850463</v>
          </cell>
          <cell r="CG61">
            <v>4867.096772547925</v>
          </cell>
          <cell r="CH61">
            <v>6669.709426487585</v>
          </cell>
          <cell r="CI61">
            <v>7989.7885879398982</v>
          </cell>
          <cell r="CJ61">
            <v>41.895500378621819</v>
          </cell>
          <cell r="CK61">
            <v>-1410.9007428958589</v>
          </cell>
          <cell r="CL61">
            <v>0</v>
          </cell>
          <cell r="CM61">
            <v>0</v>
          </cell>
          <cell r="CN61">
            <v>3463.74397194213</v>
          </cell>
          <cell r="CO61">
            <v>3212.2838699135145</v>
          </cell>
          <cell r="CP61">
            <v>4402.0082220716595</v>
          </cell>
          <cell r="CQ61">
            <v>5273.2604678968546</v>
          </cell>
          <cell r="CR61">
            <v>3132.8364752301623</v>
          </cell>
          <cell r="CS61">
            <v>3408.8725909688733</v>
          </cell>
          <cell r="CT61">
            <v>3540.424450998366</v>
          </cell>
          <cell r="CU61">
            <v>3815.8380630504957</v>
          </cell>
          <cell r="CV61">
            <v>0.71360000000000001</v>
          </cell>
          <cell r="CW61">
            <v>2.5376345404173151</v>
          </cell>
          <cell r="CX61">
            <v>1.5018809132269553</v>
          </cell>
          <cell r="CY61">
            <v>1.2273846972407796</v>
          </cell>
          <cell r="CZ61">
            <v>1.7540725902218952</v>
          </cell>
          <cell r="DA61">
            <v>-4.4863999999999997</v>
          </cell>
          <cell r="DB61">
            <v>3.0379366077372509</v>
          </cell>
          <cell r="DC61">
            <v>3.351639678149084</v>
          </cell>
          <cell r="DD61">
            <v>2.6577265903495686</v>
          </cell>
          <cell r="DE61">
            <v>3.0153768315843053</v>
          </cell>
          <cell r="DF61">
            <v>-5.2355</v>
          </cell>
          <cell r="DG61">
            <v>8.8110604534005006</v>
          </cell>
          <cell r="DH61">
            <v>3.8591016883169402</v>
          </cell>
          <cell r="DI61">
            <v>7.7791128235434712</v>
          </cell>
          <cell r="DJ61">
            <v>6.7949548332701255</v>
          </cell>
          <cell r="DK61">
            <v>-11.135100000000001</v>
          </cell>
          <cell r="DL61">
            <v>-7.2597773988364764</v>
          </cell>
          <cell r="DM61">
            <v>37.036712829186428</v>
          </cell>
          <cell r="DN61">
            <v>19.792153986826705</v>
          </cell>
          <cell r="DO61">
            <v>15.03883637769809</v>
          </cell>
          <cell r="DP61">
            <v>33.145364944712775</v>
          </cell>
          <cell r="DQ61">
            <v>33.307087951862684</v>
          </cell>
          <cell r="DR61">
            <v>33.914072544844373</v>
          </cell>
          <cell r="DS61">
            <v>34.393278037230701</v>
          </cell>
          <cell r="DT61">
            <v>14.60024027263589</v>
          </cell>
          <cell r="DU61">
            <v>15.493507667311663</v>
          </cell>
          <cell r="DV61">
            <v>15.853319897625157</v>
          </cell>
          <cell r="DW61">
            <v>16.879392458713223</v>
          </cell>
          <cell r="DX61">
            <v>10.653982886704096</v>
          </cell>
          <cell r="DY61">
            <v>9.6360009564338398</v>
          </cell>
          <cell r="DZ61">
            <v>13.009472179313223</v>
          </cell>
          <cell r="EA61">
            <v>15.395366572521031</v>
          </cell>
          <cell r="EB61">
            <v>9.6361585799396874</v>
          </cell>
          <cell r="EC61">
            <v>10.225715060425696</v>
          </cell>
          <cell r="ED61">
            <v>10.463191133374886</v>
          </cell>
          <cell r="EE61">
            <v>11.140399022518013</v>
          </cell>
          <cell r="EF61">
            <v>20809.055039655654</v>
          </cell>
          <cell r="EG61">
            <v>19892.841749631341</v>
          </cell>
          <cell r="EH61">
            <v>18575.303281654778</v>
          </cell>
          <cell r="EI61">
            <v>18006.16330237934</v>
          </cell>
          <cell r="EJ61">
            <v>53779.44282810569</v>
          </cell>
          <cell r="EK61">
            <v>53242.88019289785</v>
          </cell>
          <cell r="EL61">
            <v>52314.99459965725</v>
          </cell>
          <cell r="EM61">
            <v>53025.32336136463</v>
          </cell>
          <cell r="EN61">
            <v>-302.89745327009683</v>
          </cell>
          <cell r="EO61">
            <v>-1084.5979785580487</v>
          </cell>
          <cell r="EP61">
            <v>-810.6032824518752</v>
          </cell>
          <cell r="EQ61">
            <v>-730.12696982981936</v>
          </cell>
          <cell r="ER61">
            <v>39891.594595671755</v>
          </cell>
          <cell r="ES61">
            <v>38557.335777768923</v>
          </cell>
          <cell r="ET61">
            <v>37084.028477940294</v>
          </cell>
          <cell r="EU61">
            <v>35885.275602407237</v>
          </cell>
          <cell r="EV61">
            <v>684.70766410266629</v>
          </cell>
          <cell r="EW61">
            <v>1594.197122474194</v>
          </cell>
          <cell r="EX61">
            <v>1594.197122474194</v>
          </cell>
          <cell r="EY61">
            <v>1594.197122474194</v>
          </cell>
          <cell r="EZ61">
            <v>64.452893541378629</v>
          </cell>
          <cell r="FA61">
            <v>62.643094694538583</v>
          </cell>
          <cell r="FB61">
            <v>57.785091646773203</v>
          </cell>
          <cell r="FC61">
            <v>53.870406188874661</v>
          </cell>
          <cell r="FD61">
            <v>1.9310599896442044</v>
          </cell>
          <cell r="FE61">
            <v>1.7916083645499394</v>
          </cell>
          <cell r="FF61">
            <v>1.6186941448008494</v>
          </cell>
          <cell r="FG61">
            <v>1.5284752990497392</v>
          </cell>
          <cell r="FH61">
            <v>0.14424853064651552</v>
          </cell>
          <cell r="FI61">
            <v>0.30865632925691694</v>
          </cell>
          <cell r="FJ61">
            <v>0.29718755914450351</v>
          </cell>
          <cell r="FK61">
            <v>0.27573761868968111</v>
          </cell>
          <cell r="FL61">
            <v>35.576315789473689</v>
          </cell>
          <cell r="FM61">
            <v>10.23728881289545</v>
          </cell>
          <cell r="FN61">
            <v>14.156723815576612</v>
          </cell>
          <cell r="FO61">
            <v>16.134829069941521</v>
          </cell>
          <cell r="FP61">
            <v>-4064.4055637479573</v>
          </cell>
          <cell r="FQ61">
            <v>-4604.1254633135386</v>
          </cell>
          <cell r="FR61">
            <v>-4637.9000231158579</v>
          </cell>
          <cell r="FS61">
            <v>-4804.1336519070574</v>
          </cell>
          <cell r="FT61">
            <v>6753.4653859949776</v>
          </cell>
          <cell r="FU61">
            <v>5088.3165461719336</v>
          </cell>
          <cell r="FV61">
            <v>6837.5867705551782</v>
          </cell>
          <cell r="FW61">
            <v>6976.3402056514278</v>
          </cell>
          <cell r="FX61">
            <v>12.501532350994189</v>
          </cell>
          <cell r="FY61">
            <v>13.811157159415401</v>
          </cell>
          <cell r="FZ61">
            <v>13.706614862424422</v>
          </cell>
          <cell r="GA61">
            <v>14.025743481620864</v>
          </cell>
          <cell r="GB61">
            <v>2.8597672472201188</v>
          </cell>
          <cell r="GC61">
            <v>2.7670599019568769</v>
          </cell>
          <cell r="GD61">
            <v>3.179079351161771</v>
          </cell>
          <cell r="GE61">
            <v>3.4085759834203495</v>
          </cell>
          <cell r="GF61">
            <v>-3307.4608425331789</v>
          </cell>
          <cell r="GG61">
            <v>-3268.6461280937388</v>
          </cell>
          <cell r="GH61">
            <v>-3366.7055119365505</v>
          </cell>
          <cell r="GI61">
            <v>-3467.7066772946478</v>
          </cell>
          <cell r="GJ61">
            <v>0.17783810911228384</v>
          </cell>
          <cell r="GK61">
            <v>5</v>
          </cell>
          <cell r="GP61">
            <v>32280.90249695917</v>
          </cell>
          <cell r="GQ61">
            <v>11282.137255180744</v>
          </cell>
          <cell r="GR61">
            <v>5008.9663662731436</v>
          </cell>
          <cell r="GS61">
            <v>3897.763877461326</v>
          </cell>
        </row>
        <row r="62">
          <cell r="B62" t="str">
            <v>FON.N</v>
          </cell>
          <cell r="C62" t="str">
            <v>Sprint FON</v>
          </cell>
          <cell r="D62" t="str">
            <v>HASKINS Andrew</v>
          </cell>
          <cell r="E62" t="str">
            <v>USD</v>
          </cell>
          <cell r="F62">
            <v>22.68</v>
          </cell>
          <cell r="G62">
            <v>-1</v>
          </cell>
          <cell r="H62" t="str">
            <v>USD</v>
          </cell>
          <cell r="I62" t="str">
            <v>UNITED STATES</v>
          </cell>
          <cell r="J62">
            <v>1395.896</v>
          </cell>
          <cell r="K62">
            <v>25235.280602606512</v>
          </cell>
          <cell r="L62">
            <v>35952.823001873177</v>
          </cell>
          <cell r="M62">
            <v>34498.703863536728</v>
          </cell>
          <cell r="N62">
            <v>33202.057509066995</v>
          </cell>
          <cell r="O62">
            <v>32044.744777011678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0.71704108714489645</v>
          </cell>
          <cell r="Y62">
            <v>1.0177681482767562</v>
          </cell>
          <cell r="Z62">
            <v>1.2746241230848856</v>
          </cell>
          <cell r="AA62">
            <v>1.5063365347544486</v>
          </cell>
          <cell r="AB62">
            <v>1.8470024802121436</v>
          </cell>
          <cell r="AC62">
            <v>1.7895523461483693</v>
          </cell>
          <cell r="AD62">
            <v>1.7563390480290031</v>
          </cell>
          <cell r="AE62">
            <v>1.7492419964971389</v>
          </cell>
          <cell r="AF62">
            <v>0.27909093643411192</v>
          </cell>
          <cell r="AG62">
            <v>0.39495480406457556</v>
          </cell>
          <cell r="AH62">
            <v>0.55645903866455804</v>
          </cell>
          <cell r="AI62">
            <v>0.73068563260258712</v>
          </cell>
          <cell r="AJ62">
            <v>1.5437986521314599</v>
          </cell>
          <cell r="AK62">
            <v>2.1847025989383302</v>
          </cell>
          <cell r="AL62">
            <v>3.0780674028069726</v>
          </cell>
          <cell r="AM62">
            <v>4.0418062627053599</v>
          </cell>
          <cell r="AN62">
            <v>25.212216835217699</v>
          </cell>
          <cell r="AO62">
            <v>17.762587087704237</v>
          </cell>
          <cell r="AP62">
            <v>14.183158031799946</v>
          </cell>
          <cell r="AQ62">
            <v>12.00143191893326</v>
          </cell>
          <cell r="AR62">
            <v>16.401681274375139</v>
          </cell>
          <cell r="AS62">
            <v>15.078583936622424</v>
          </cell>
          <cell r="AT62">
            <v>14.61980808462463</v>
          </cell>
          <cell r="AU62">
            <v>13.985667617935921</v>
          </cell>
          <cell r="AV62">
            <v>6.0969359376732397</v>
          </cell>
          <cell r="AW62">
            <v>6.6319224948652451</v>
          </cell>
          <cell r="AX62">
            <v>6.8400350689396578</v>
          </cell>
          <cell r="AY62">
            <v>7.1501770764060621</v>
          </cell>
          <cell r="AZ62">
            <v>1.64610695269894</v>
          </cell>
          <cell r="BA62">
            <v>1.5111625088190459</v>
          </cell>
          <cell r="BB62">
            <v>1.3897133153329746</v>
          </cell>
          <cell r="BC62">
            <v>1.2788758842998575</v>
          </cell>
          <cell r="BD62">
            <v>5.6631850764695901</v>
          </cell>
          <cell r="BE62">
            <v>5.0749011523049656</v>
          </cell>
          <cell r="BF62">
            <v>4.5821528888113994</v>
          </cell>
          <cell r="BG62">
            <v>4.1580069519424789</v>
          </cell>
          <cell r="BH62">
            <v>13.944805311591576</v>
          </cell>
          <cell r="BI62">
            <v>13.810369852143895</v>
          </cell>
          <cell r="BJ62">
            <v>13.542647604583438</v>
          </cell>
          <cell r="BK62">
            <v>13.123626405293262</v>
          </cell>
          <cell r="BL62">
            <v>12659.797848630982</v>
          </cell>
          <cell r="BM62">
            <v>13486.771595392769</v>
          </cell>
          <cell r="BN62">
            <v>14436.143641146227</v>
          </cell>
          <cell r="BO62">
            <v>15456.104792953649</v>
          </cell>
          <cell r="BP62">
            <v>6.1474000000000002</v>
          </cell>
          <cell r="BQ62">
            <v>7.6481999999999992</v>
          </cell>
          <cell r="BR62">
            <v>8.9503000000000004</v>
          </cell>
          <cell r="BS62">
            <v>10.0906</v>
          </cell>
          <cell r="BT62">
            <v>21841.122135427046</v>
          </cell>
          <cell r="BU62">
            <v>22829.248120043041</v>
          </cell>
          <cell r="BV62">
            <v>23891.299840580286</v>
          </cell>
          <cell r="BW62">
            <v>25056.962266948307</v>
          </cell>
          <cell r="BX62">
            <v>6348.5163413176042</v>
          </cell>
          <cell r="BY62">
            <v>6797.9065657008487</v>
          </cell>
          <cell r="BZ62">
            <v>7245.9514806105772</v>
          </cell>
          <cell r="CA62">
            <v>7706.7559403770274</v>
          </cell>
          <cell r="CB62">
            <v>2419.1099669204095</v>
          </cell>
          <cell r="CC62">
            <v>2944.890213223865</v>
          </cell>
          <cell r="CD62">
            <v>3381.1507504682954</v>
          </cell>
          <cell r="CE62">
            <v>3775.7346626280337</v>
          </cell>
          <cell r="CF62">
            <v>1504.609958949424</v>
          </cell>
          <cell r="CG62">
            <v>2120.4455031684665</v>
          </cell>
          <cell r="CH62">
            <v>2655.5861416444145</v>
          </cell>
          <cell r="CI62">
            <v>3138.3420054999801</v>
          </cell>
          <cell r="CJ62">
            <v>-511.9437511458292</v>
          </cell>
          <cell r="CK62">
            <v>-742.15592602925346</v>
          </cell>
          <cell r="CL62">
            <v>-929.4551496552549</v>
          </cell>
          <cell r="CM62">
            <v>-1098.419701885138</v>
          </cell>
          <cell r="CN62">
            <v>1000.9147853812124</v>
          </cell>
          <cell r="CO62">
            <v>1420.6984871069308</v>
          </cell>
          <cell r="CP62">
            <v>1779.2427149176995</v>
          </cell>
          <cell r="CQ62">
            <v>2102.6891435175958</v>
          </cell>
          <cell r="CR62">
            <v>1620.8036778127614</v>
          </cell>
          <cell r="CS62">
            <v>1973.0764433462198</v>
          </cell>
          <cell r="CT62">
            <v>2265.3710031485393</v>
          </cell>
          <cell r="CU62">
            <v>2529.7422239049856</v>
          </cell>
          <cell r="CV62">
            <v>4.5938999999999997</v>
          </cell>
          <cell r="CW62">
            <v>4.5241539261997161</v>
          </cell>
          <cell r="CX62">
            <v>4.6521537413438239</v>
          </cell>
          <cell r="CY62">
            <v>4.8790247250930037</v>
          </cell>
          <cell r="CZ62">
            <v>4.6850079871522325</v>
          </cell>
          <cell r="DA62">
            <v>35.774499999999996</v>
          </cell>
          <cell r="DB62">
            <v>7.0786653167844946</v>
          </cell>
          <cell r="DC62">
            <v>6.5909248763488506</v>
          </cell>
          <cell r="DD62">
            <v>6.359474818448831</v>
          </cell>
          <cell r="DE62">
            <v>6.6759341642385266</v>
          </cell>
          <cell r="DF62">
            <v>252.48480000000001</v>
          </cell>
          <cell r="DG62">
            <v>21.734450004056143</v>
          </cell>
          <cell r="DH62">
            <v>14.814152842962585</v>
          </cell>
          <cell r="DI62">
            <v>11.670107051721601</v>
          </cell>
          <cell r="DJ62">
            <v>15.997497163536707</v>
          </cell>
          <cell r="DK62">
            <v>32.2121</v>
          </cell>
          <cell r="DL62">
            <v>41.940004069960651</v>
          </cell>
          <cell r="DM62">
            <v>25.237179532787252</v>
          </cell>
          <cell r="DN62">
            <v>18.178881716812739</v>
          </cell>
          <cell r="DO62">
            <v>28.073513114750625</v>
          </cell>
          <cell r="DP62">
            <v>29.066804818696081</v>
          </cell>
          <cell r="DQ62">
            <v>29.777181140418708</v>
          </cell>
          <cell r="DR62">
            <v>30.32882902546412</v>
          </cell>
          <cell r="DS62">
            <v>30.75694435052376</v>
          </cell>
          <cell r="DT62">
            <v>11.075941757573576</v>
          </cell>
          <cell r="DU62">
            <v>12.899637332507616</v>
          </cell>
          <cell r="DV62">
            <v>14.152226011266587</v>
          </cell>
          <cell r="DW62">
            <v>15.068604974548183</v>
          </cell>
          <cell r="DX62">
            <v>4.582707697777554</v>
          </cell>
          <cell r="DY62">
            <v>6.2231505813790777</v>
          </cell>
          <cell r="DZ62">
            <v>7.4472411580369</v>
          </cell>
          <cell r="EA62">
            <v>8.3916363089678008</v>
          </cell>
          <cell r="EB62">
            <v>7.4208809774648099</v>
          </cell>
          <cell r="EC62">
            <v>8.6427570149099591</v>
          </cell>
          <cell r="ED62">
            <v>9.4819914289498808</v>
          </cell>
          <cell r="EE62">
            <v>10.095965332724601</v>
          </cell>
          <cell r="EF62">
            <v>10717.542399266667</v>
          </cell>
          <cell r="EG62">
            <v>9263.4232609302144</v>
          </cell>
          <cell r="EH62">
            <v>7966.7769064604827</v>
          </cell>
          <cell r="EI62">
            <v>6809.4641744051651</v>
          </cell>
          <cell r="EJ62">
            <v>25370.086650990394</v>
          </cell>
          <cell r="EK62">
            <v>24742.941259415726</v>
          </cell>
          <cell r="EL62">
            <v>24395.666950699455</v>
          </cell>
          <cell r="EM62">
            <v>24258.315369654458</v>
          </cell>
          <cell r="EN62">
            <v>-1039.6444820852098</v>
          </cell>
          <cell r="EO62">
            <v>-824.44471085249688</v>
          </cell>
          <cell r="EP62">
            <v>-725.56460882388103</v>
          </cell>
          <cell r="EQ62">
            <v>-637.39265712805377</v>
          </cell>
          <cell r="ER62">
            <v>20964.58908931489</v>
          </cell>
          <cell r="ES62">
            <v>20669.294415527478</v>
          </cell>
          <cell r="ET62">
            <v>20669.323365350123</v>
          </cell>
          <cell r="EU62">
            <v>20900.892927344463</v>
          </cell>
          <cell r="EV62">
            <v>1992.7464030927424</v>
          </cell>
          <cell r="EW62">
            <v>1992.7464030927424</v>
          </cell>
          <cell r="EX62">
            <v>1992.7464030927424</v>
          </cell>
          <cell r="EY62">
            <v>1992.7464030927424</v>
          </cell>
          <cell r="EZ62">
            <v>84.65808480840515</v>
          </cell>
          <cell r="FA62">
            <v>68.685253512372839</v>
          </cell>
          <cell r="FB62">
            <v>55.186323331900027</v>
          </cell>
          <cell r="FC62">
            <v>44.056793517015763</v>
          </cell>
          <cell r="FD62">
            <v>1.6881963947252427</v>
          </cell>
          <cell r="FE62">
            <v>1.3626876408789206</v>
          </cell>
          <cell r="FF62">
            <v>1.0994797477983065</v>
          </cell>
          <cell r="FG62">
            <v>0.88357075624118375</v>
          </cell>
          <cell r="FH62">
            <v>0.82375188823249768</v>
          </cell>
          <cell r="FI62">
            <v>0.67667935264426027</v>
          </cell>
          <cell r="FJ62">
            <v>0.58936928583167836</v>
          </cell>
          <cell r="FK62">
            <v>0.52777712979061042</v>
          </cell>
          <cell r="FL62">
            <v>6.1064300832765603</v>
          </cell>
          <cell r="FM62">
            <v>8.2454365662333373</v>
          </cell>
          <cell r="FN62">
            <v>9.9866385329296197</v>
          </cell>
          <cell r="FO62">
            <v>12.091064831373984</v>
          </cell>
          <cell r="FP62">
            <v>-3258.3492160535648</v>
          </cell>
          <cell r="FQ62">
            <v>-3557.7216778924712</v>
          </cell>
          <cell r="FR62">
            <v>-3864.829679167829</v>
          </cell>
          <cell r="FS62">
            <v>-4166.5763325495191</v>
          </cell>
          <cell r="FT62">
            <v>2578.2233741182104</v>
          </cell>
          <cell r="FU62">
            <v>2498.0289617791241</v>
          </cell>
          <cell r="FV62">
            <v>2451.6666517874933</v>
          </cell>
          <cell r="FW62">
            <v>2441.7599059423701</v>
          </cell>
          <cell r="FX62">
            <v>14.918414886607</v>
          </cell>
          <cell r="FY62">
            <v>15.584051034816838</v>
          </cell>
          <cell r="FZ62">
            <v>16.176724183936063</v>
          </cell>
          <cell r="GA62">
            <v>16.628417635626537</v>
          </cell>
          <cell r="GB62">
            <v>3.3919756087840263</v>
          </cell>
          <cell r="GC62">
            <v>3.5875612769518948</v>
          </cell>
          <cell r="GD62">
            <v>3.8394850743294406</v>
          </cell>
          <cell r="GE62">
            <v>4.1045649834602047</v>
          </cell>
          <cell r="GF62">
            <v>-389.58192180463112</v>
          </cell>
          <cell r="GG62">
            <v>-551.31583117452476</v>
          </cell>
          <cell r="GH62">
            <v>-776.75894623570196</v>
          </cell>
          <cell r="GI62">
            <v>-1019.9611518074209</v>
          </cell>
          <cell r="GP62">
            <v>20881.831670324031</v>
          </cell>
          <cell r="GQ62">
            <v>4675.7795766639574</v>
          </cell>
          <cell r="GR62">
            <v>686.30192476963816</v>
          </cell>
          <cell r="GS62">
            <v>757.05233135334231</v>
          </cell>
        </row>
        <row r="63">
          <cell r="B63" t="str">
            <v>VZ.N</v>
          </cell>
          <cell r="C63" t="str">
            <v>Verizon</v>
          </cell>
          <cell r="D63" t="str">
            <v>HASKINS Andrew</v>
          </cell>
          <cell r="E63" t="str">
            <v>USD</v>
          </cell>
          <cell r="F63">
            <v>35.200000000000003</v>
          </cell>
          <cell r="G63">
            <v>-1</v>
          </cell>
          <cell r="H63" t="str">
            <v>USD</v>
          </cell>
          <cell r="I63" t="str">
            <v>UNITED STATES</v>
          </cell>
          <cell r="J63">
            <v>2767.1660000000002</v>
          </cell>
          <cell r="K63">
            <v>77640.782113108289</v>
          </cell>
          <cell r="L63">
            <v>124344.24153441473</v>
          </cell>
          <cell r="M63">
            <v>123731.8443808537</v>
          </cell>
          <cell r="N63">
            <v>120049.43548842214</v>
          </cell>
          <cell r="O63">
            <v>115218.55313777848</v>
          </cell>
          <cell r="P63">
            <v>25091.606565700848</v>
          </cell>
          <cell r="Q63">
            <v>24965.281398907973</v>
          </cell>
          <cell r="R63">
            <v>24205.67480291738</v>
          </cell>
          <cell r="S63">
            <v>23209.161323980708</v>
          </cell>
          <cell r="T63">
            <v>6063.4091905464111</v>
          </cell>
          <cell r="U63">
            <v>6032.8826009326049</v>
          </cell>
          <cell r="V63">
            <v>5849.3229867283089</v>
          </cell>
          <cell r="W63">
            <v>5608.5146124108242</v>
          </cell>
          <cell r="X63">
            <v>1.8816245092578117</v>
          </cell>
          <cell r="Y63">
            <v>2.0456271745617394</v>
          </cell>
          <cell r="Z63">
            <v>2.2006971052298843</v>
          </cell>
          <cell r="AA63">
            <v>2.3795338403602901</v>
          </cell>
          <cell r="AB63">
            <v>3.3814885013628664</v>
          </cell>
          <cell r="AC63">
            <v>2.8022799465598403</v>
          </cell>
          <cell r="AD63">
            <v>3.0473350655429847</v>
          </cell>
          <cell r="AE63">
            <v>3.1775752676907603</v>
          </cell>
          <cell r="AF63">
            <v>1.2362193666416539</v>
          </cell>
          <cell r="AG63">
            <v>1.2902284122641969</v>
          </cell>
          <cell r="AH63">
            <v>1.129187643983762</v>
          </cell>
          <cell r="AI63">
            <v>1.2255179542247319</v>
          </cell>
          <cell r="AJ63">
            <v>4.40596308642127</v>
          </cell>
          <cell r="AK63">
            <v>4.5984547005853642</v>
          </cell>
          <cell r="AL63">
            <v>4.0244953373858774</v>
          </cell>
          <cell r="AM63">
            <v>4.3678225837290832</v>
          </cell>
          <cell r="AN63">
            <v>14.911513544545061</v>
          </cell>
          <cell r="AO63">
            <v>13.71602299014091</v>
          </cell>
          <cell r="AP63">
            <v>12.749537084802453</v>
          </cell>
          <cell r="AQ63">
            <v>11.791330251179581</v>
          </cell>
          <cell r="AR63">
            <v>12.930596888474257</v>
          </cell>
          <cell r="AS63">
            <v>15.725640274911926</v>
          </cell>
          <cell r="AT63">
            <v>13.947074157052395</v>
          </cell>
          <cell r="AU63">
            <v>12.845805037072433</v>
          </cell>
          <cell r="AV63">
            <v>7.7335950430204372</v>
          </cell>
          <cell r="AW63">
            <v>6.3590415558173552</v>
          </cell>
          <cell r="AX63">
            <v>7.1699625938702418</v>
          </cell>
          <cell r="AY63">
            <v>7.7846425125871335</v>
          </cell>
          <cell r="AZ63">
            <v>2.1884049242736698</v>
          </cell>
          <cell r="BA63">
            <v>2.0718724242701625</v>
          </cell>
          <cell r="BB63">
            <v>1.9429149880843051</v>
          </cell>
          <cell r="BC63">
            <v>1.8083506375915828</v>
          </cell>
          <cell r="BD63">
            <v>5.6014962195051892</v>
          </cell>
          <cell r="BE63">
            <v>5.4463730050936237</v>
          </cell>
          <cell r="BF63">
            <v>5.0672482611104162</v>
          </cell>
          <cell r="BG63">
            <v>4.7278245291614658</v>
          </cell>
          <cell r="BH63">
            <v>13.288701611466058</v>
          </cell>
          <cell r="BI63">
            <v>15.956394123121662</v>
          </cell>
          <cell r="BJ63">
            <v>14.236548114364853</v>
          </cell>
          <cell r="BK63">
            <v>13.103622039455809</v>
          </cell>
          <cell r="BL63">
            <v>49908.732214738353</v>
          </cell>
          <cell r="BM63">
            <v>53681.105776573277</v>
          </cell>
          <cell r="BN63">
            <v>58630.337745805264</v>
          </cell>
          <cell r="BO63">
            <v>63917.300884779404</v>
          </cell>
          <cell r="BP63">
            <v>6.8487999999999989</v>
          </cell>
          <cell r="BQ63">
            <v>7.1851000000000003</v>
          </cell>
          <cell r="BR63">
            <v>7.7703999999999995</v>
          </cell>
          <cell r="BS63">
            <v>8.2372999999999994</v>
          </cell>
          <cell r="BT63">
            <v>56819.576740663979</v>
          </cell>
          <cell r="BU63">
            <v>59719.818137180657</v>
          </cell>
          <cell r="BV63">
            <v>61788.31097843848</v>
          </cell>
          <cell r="BW63">
            <v>63714.719226814392</v>
          </cell>
          <cell r="BX63">
            <v>22198.397831891911</v>
          </cell>
          <cell r="BY63">
            <v>22718.209763660274</v>
          </cell>
          <cell r="BZ63">
            <v>23691.248050695467</v>
          </cell>
          <cell r="CA63">
            <v>24370.310790323223</v>
          </cell>
          <cell r="CB63">
            <v>11110.756845083893</v>
          </cell>
          <cell r="CC63">
            <v>11724.405538240802</v>
          </cell>
          <cell r="CD63">
            <v>12810.23197242039</v>
          </cell>
          <cell r="CE63">
            <v>13598.542591367423</v>
          </cell>
          <cell r="CF63">
            <v>10637.280299709058</v>
          </cell>
          <cell r="CG63">
            <v>11554.028414172413</v>
          </cell>
          <cell r="CH63">
            <v>12660.290504164839</v>
          </cell>
          <cell r="CI63">
            <v>13577.463570204454</v>
          </cell>
          <cell r="CJ63">
            <v>-2272.5279980869632</v>
          </cell>
          <cell r="CK63">
            <v>-3972.2490885177954</v>
          </cell>
          <cell r="CL63">
            <v>-4177.8958662468613</v>
          </cell>
          <cell r="CM63">
            <v>-4480.5629779602241</v>
          </cell>
          <cell r="CN63">
            <v>5206.7673667849022</v>
          </cell>
          <cell r="CO63">
            <v>5660.5899661233107</v>
          </cell>
          <cell r="CP63">
            <v>6089.6942058905579</v>
          </cell>
          <cell r="CQ63">
            <v>6584.5651388944234</v>
          </cell>
          <cell r="CR63">
            <v>7444.2070862062083</v>
          </cell>
          <cell r="CS63">
            <v>7855.351710174963</v>
          </cell>
          <cell r="CT63">
            <v>8582.8554214658634</v>
          </cell>
          <cell r="CU63">
            <v>9111.0235359292165</v>
          </cell>
          <cell r="CV63">
            <v>5.6544999999999996</v>
          </cell>
          <cell r="CW63">
            <v>5.1042995440708125</v>
          </cell>
          <cell r="CX63">
            <v>3.4636623248020442</v>
          </cell>
          <cell r="CY63">
            <v>3.1177551512099768</v>
          </cell>
          <cell r="CZ63">
            <v>3.8916378870525108</v>
          </cell>
          <cell r="DA63">
            <v>2.4161999999999999</v>
          </cell>
          <cell r="DB63">
            <v>2.3416641854285558</v>
          </cell>
          <cell r="DC63">
            <v>4.2830764270503892</v>
          </cell>
          <cell r="DD63">
            <v>2.8663020967687061</v>
          </cell>
          <cell r="DE63">
            <v>3.1604304851572351</v>
          </cell>
          <cell r="DF63">
            <v>2.6058000000000003</v>
          </cell>
          <cell r="DG63">
            <v>5.5230143338833528</v>
          </cell>
          <cell r="DH63">
            <v>9.2612493711345252</v>
          </cell>
          <cell r="DI63">
            <v>6.1537575638303394</v>
          </cell>
          <cell r="DJ63">
            <v>6.9669405024077662</v>
          </cell>
          <cell r="DK63">
            <v>-3.2051999999999996</v>
          </cell>
          <cell r="DL63">
            <v>8.716014512832686</v>
          </cell>
          <cell r="DM63">
            <v>7.5805568383381967</v>
          </cell>
          <cell r="DN63">
            <v>8.1263675362414318</v>
          </cell>
          <cell r="DO63">
            <v>8.1399857549445045</v>
          </cell>
          <cell r="DP63">
            <v>39.068221034468245</v>
          </cell>
          <cell r="DQ63">
            <v>38.041324425126234</v>
          </cell>
          <cell r="DR63">
            <v>38.342605058362437</v>
          </cell>
          <cell r="DS63">
            <v>38.249106464031875</v>
          </cell>
          <cell r="DT63">
            <v>19.554451973121221</v>
          </cell>
          <cell r="DU63">
            <v>19.632353051224989</v>
          </cell>
          <cell r="DV63">
            <v>20.732452092582076</v>
          </cell>
          <cell r="DW63">
            <v>21.342858850179887</v>
          </cell>
          <cell r="DX63">
            <v>9.1636855912349358</v>
          </cell>
          <cell r="DY63">
            <v>9.4785787075247505</v>
          </cell>
          <cell r="DZ63">
            <v>9.8557382609400097</v>
          </cell>
          <cell r="EA63">
            <v>10.334448960615216</v>
          </cell>
          <cell r="EB63">
            <v>13.101482821991215</v>
          </cell>
          <cell r="EC63">
            <v>13.153676543573296</v>
          </cell>
          <cell r="ED63">
            <v>13.890742901939687</v>
          </cell>
          <cell r="EE63">
            <v>14.299715429170147</v>
          </cell>
          <cell r="EF63">
            <v>27675.262046152005</v>
          </cell>
          <cell r="EG63">
            <v>27158.663469770036</v>
          </cell>
          <cell r="EH63">
            <v>24052.301559124786</v>
          </cell>
          <cell r="EI63">
            <v>19977.124313100314</v>
          </cell>
          <cell r="EJ63">
            <v>81208.401418835434</v>
          </cell>
          <cell r="EK63">
            <v>82433.966369614602</v>
          </cell>
          <cell r="EL63">
            <v>84276.83642740424</v>
          </cell>
          <cell r="EM63">
            <v>85488.622319556802</v>
          </cell>
          <cell r="EN63">
            <v>-1881.1526045195487</v>
          </cell>
          <cell r="EO63">
            <v>-1613.2450846917222</v>
          </cell>
          <cell r="EP63">
            <v>-1549.5233900601809</v>
          </cell>
          <cell r="EQ63">
            <v>-1378.673485313459</v>
          </cell>
          <cell r="ER63">
            <v>59084.133753138573</v>
          </cell>
          <cell r="ES63">
            <v>59081.916412259365</v>
          </cell>
          <cell r="ET63">
            <v>59281.770534454576</v>
          </cell>
          <cell r="EU63">
            <v>59602.886411860825</v>
          </cell>
          <cell r="EV63">
            <v>3624.4071579450797</v>
          </cell>
          <cell r="EW63">
            <v>1594.197122474194</v>
          </cell>
          <cell r="EX63">
            <v>1594.197122474194</v>
          </cell>
          <cell r="EY63">
            <v>1594.197122474194</v>
          </cell>
          <cell r="EZ63">
            <v>55.451743248207237</v>
          </cell>
          <cell r="FA63">
            <v>50.592593198074958</v>
          </cell>
          <cell r="FB63">
            <v>41.023644897637688</v>
          </cell>
          <cell r="FC63">
            <v>31.254643166350373</v>
          </cell>
          <cell r="FD63">
            <v>1.2467234011993251</v>
          </cell>
          <cell r="FE63">
            <v>1.1954579058959411</v>
          </cell>
          <cell r="FF63">
            <v>1.0152399530686067</v>
          </cell>
          <cell r="FG63">
            <v>0.81973202906516396</v>
          </cell>
          <cell r="FH63">
            <v>0.326207044981706</v>
          </cell>
          <cell r="FI63">
            <v>0.13597253330025946</v>
          </cell>
          <cell r="FJ63">
            <v>0.12444717050451533</v>
          </cell>
          <cell r="FK63">
            <v>0.11723293961561855</v>
          </cell>
          <cell r="FL63">
            <v>11.800423728813559</v>
          </cell>
          <cell r="FM63">
            <v>14.082305273536003</v>
          </cell>
          <cell r="FN63">
            <v>15.289377496763917</v>
          </cell>
          <cell r="FO63">
            <v>17.676637035477853</v>
          </cell>
          <cell r="FP63">
            <v>-10568.729823442669</v>
          </cell>
          <cell r="FQ63">
            <v>-10991.586884540273</v>
          </cell>
          <cell r="FR63">
            <v>-11080.870200470286</v>
          </cell>
          <cell r="FS63">
            <v>-11096.869569168228</v>
          </cell>
          <cell r="FT63">
            <v>9357.1400103622782</v>
          </cell>
          <cell r="FU63">
            <v>7754.373790602207</v>
          </cell>
          <cell r="FV63">
            <v>8432.4819839783195</v>
          </cell>
          <cell r="FW63">
            <v>8792.8782431947711</v>
          </cell>
          <cell r="FX63">
            <v>18.600507834967669</v>
          </cell>
          <cell r="FY63">
            <v>18.405258467619273</v>
          </cell>
          <cell r="FZ63">
            <v>17.933602691190316</v>
          </cell>
          <cell r="GA63">
            <v>17.416492929467548</v>
          </cell>
          <cell r="GB63">
            <v>5.8471005539834993</v>
          </cell>
          <cell r="GC63">
            <v>6.0124164042883903</v>
          </cell>
          <cell r="GD63">
            <v>6.126610338368339</v>
          </cell>
          <cell r="GE63">
            <v>6.2658243991869593</v>
          </cell>
          <cell r="GF63">
            <v>-3420.8241999123193</v>
          </cell>
          <cell r="GG63">
            <v>-3570.2761946514688</v>
          </cell>
          <cell r="GH63">
            <v>-3124.6496560519709</v>
          </cell>
          <cell r="GI63">
            <v>-3391.2116153202346</v>
          </cell>
          <cell r="GP63">
            <v>53778.66228193212</v>
          </cell>
          <cell r="GQ63">
            <v>21674.693878401962</v>
          </cell>
          <cell r="GR63">
            <v>10828.585562496364</v>
          </cell>
          <cell r="GS63">
            <v>5379.1808720973668</v>
          </cell>
        </row>
        <row r="64">
          <cell r="CV64">
            <v>0</v>
          </cell>
        </row>
        <row r="65">
          <cell r="B65" t="str">
            <v>North American wireline aggregate</v>
          </cell>
          <cell r="K65">
            <v>229237.30561555937</v>
          </cell>
          <cell r="L65">
            <v>272486.82074209873</v>
          </cell>
          <cell r="M65">
            <v>270401.83178031963</v>
          </cell>
          <cell r="N65">
            <v>272179.4285122155</v>
          </cell>
          <cell r="O65">
            <v>274704.83064126578</v>
          </cell>
          <cell r="P65">
            <v>25091.606565700848</v>
          </cell>
          <cell r="Q65">
            <v>24965.281398907973</v>
          </cell>
          <cell r="R65">
            <v>24205.67480291738</v>
          </cell>
          <cell r="S65">
            <v>23209.161323980708</v>
          </cell>
          <cell r="T65">
            <v>61905.24343708899</v>
          </cell>
          <cell r="U65">
            <v>62754.043772667494</v>
          </cell>
          <cell r="V65">
            <v>67370.693423936871</v>
          </cell>
          <cell r="W65">
            <v>72653.617415806453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3.7945835511663835</v>
          </cell>
          <cell r="AK65">
            <v>10.348488570092055</v>
          </cell>
          <cell r="AL65">
            <v>10.470723489403362</v>
          </cell>
          <cell r="AM65">
            <v>10.85114911329558</v>
          </cell>
          <cell r="AN65">
            <v>16.529549535887377</v>
          </cell>
          <cell r="AO65">
            <v>15.847049747743762</v>
          </cell>
          <cell r="AP65">
            <v>13.572706304582177</v>
          </cell>
          <cell r="AQ65">
            <v>12.459809060335896</v>
          </cell>
          <cell r="AR65">
            <v>8.8242875707408235</v>
          </cell>
          <cell r="AS65">
            <v>12.441943116172911</v>
          </cell>
          <cell r="AT65">
            <v>9.9759034493482481</v>
          </cell>
          <cell r="AU65">
            <v>9.6127865185013732</v>
          </cell>
          <cell r="AV65">
            <v>11.332359603915846</v>
          </cell>
          <cell r="AW65">
            <v>8.0373297857320196</v>
          </cell>
          <cell r="AX65">
            <v>10.024154755280161</v>
          </cell>
          <cell r="AY65">
            <v>10.402810861089415</v>
          </cell>
          <cell r="AZ65">
            <v>1.9747577642362391</v>
          </cell>
          <cell r="BA65">
            <v>1.8793518975580639</v>
          </cell>
          <cell r="BB65">
            <v>1.8291325132558949</v>
          </cell>
          <cell r="BC65">
            <v>1.7831748346822696</v>
          </cell>
          <cell r="BD65">
            <v>5.3885211612346193</v>
          </cell>
          <cell r="BE65">
            <v>5.1574921458163532</v>
          </cell>
          <cell r="BF65">
            <v>5.0045668910069239</v>
          </cell>
          <cell r="BG65">
            <v>4.882988875831928</v>
          </cell>
          <cell r="BH65">
            <v>10.509772649343855</v>
          </cell>
          <cell r="BI65">
            <v>13.457522689550801</v>
          </cell>
          <cell r="BJ65">
            <v>11.871105827402571</v>
          </cell>
          <cell r="BK65">
            <v>11.749842540625968</v>
          </cell>
          <cell r="BL65">
            <v>121089.73898051094</v>
          </cell>
          <cell r="BM65">
            <v>113239.60280100434</v>
          </cell>
          <cell r="BN65">
            <v>107134.09487306204</v>
          </cell>
          <cell r="BO65">
            <v>101937.00963851581</v>
          </cell>
          <cell r="BP65">
            <v>4.7516200966439968</v>
          </cell>
          <cell r="BQ65">
            <v>5.9593878811680217</v>
          </cell>
          <cell r="BR65">
            <v>7.9993046575950091</v>
          </cell>
          <cell r="BS65">
            <v>8.4791555145919411</v>
          </cell>
          <cell r="BT65">
            <v>137984.93449523731</v>
          </cell>
          <cell r="BU65">
            <v>143880.36223107885</v>
          </cell>
          <cell r="BV65">
            <v>148802.46594476106</v>
          </cell>
          <cell r="BW65">
            <v>154053.78390179746</v>
          </cell>
          <cell r="BX65">
            <v>50568.015340161808</v>
          </cell>
          <cell r="BY65">
            <v>52428.937191821766</v>
          </cell>
          <cell r="BZ65">
            <v>54386.210523295202</v>
          </cell>
          <cell r="CA65">
            <v>56257.517194213062</v>
          </cell>
          <cell r="CB65">
            <v>25178.38332948069</v>
          </cell>
          <cell r="CC65">
            <v>27139.136343708895</v>
          </cell>
          <cell r="CD65">
            <v>28811.565531066917</v>
          </cell>
          <cell r="CE65">
            <v>30602.665328603882</v>
          </cell>
          <cell r="CF65">
            <v>23725.578947032802</v>
          </cell>
          <cell r="CG65">
            <v>24830.587093380098</v>
          </cell>
          <cell r="CH65">
            <v>28947.794261687457</v>
          </cell>
          <cell r="CI65">
            <v>31388.927360408114</v>
          </cell>
          <cell r="CJ65">
            <v>-2408.995281176517</v>
          </cell>
          <cell r="CK65">
            <v>-7679.3057749790751</v>
          </cell>
          <cell r="CL65">
            <v>-6095.832838866525</v>
          </cell>
          <cell r="CM65">
            <v>-6668.0373958789996</v>
          </cell>
          <cell r="CN65">
            <v>13868.333502849626</v>
          </cell>
          <cell r="CO65">
            <v>14465.614058427325</v>
          </cell>
          <cell r="CP65">
            <v>16889.579754493643</v>
          </cell>
          <cell r="CQ65">
            <v>18398.139530508946</v>
          </cell>
          <cell r="CR65">
            <v>16779.891068510617</v>
          </cell>
          <cell r="CS65">
            <v>18090.20614403571</v>
          </cell>
          <cell r="CT65">
            <v>19209.372393288428</v>
          </cell>
          <cell r="CU65">
            <v>20405.595367263159</v>
          </cell>
          <cell r="CV65" t="e">
            <v>#N/A</v>
          </cell>
          <cell r="CW65">
            <v>4.2725155158478856</v>
          </cell>
          <cell r="CX65">
            <v>3.4209697816697684</v>
          </cell>
          <cell r="CY65">
            <v>3.5290530460602838</v>
          </cell>
          <cell r="CZ65">
            <v>3.740156643304914</v>
          </cell>
          <cell r="DA65">
            <v>4.3491493731726507</v>
          </cell>
          <cell r="DB65">
            <v>3.6800373499768142</v>
          </cell>
          <cell r="DC65">
            <v>3.7331928440821969</v>
          </cell>
          <cell r="DD65">
            <v>3.44077414644714</v>
          </cell>
          <cell r="DE65">
            <v>3.6179233530870221</v>
          </cell>
          <cell r="DF65">
            <v>9.6447050882130014</v>
          </cell>
          <cell r="DG65">
            <v>7.7874460348389789</v>
          </cell>
          <cell r="DH65">
            <v>6.1624259747149495</v>
          </cell>
          <cell r="DI65">
            <v>6.2166000511345345</v>
          </cell>
          <cell r="DJ65">
            <v>6.719505420200349</v>
          </cell>
          <cell r="DK65">
            <v>1.9425258184759571</v>
          </cell>
          <cell r="DL65">
            <v>4.3067940027182914</v>
          </cell>
          <cell r="DM65">
            <v>16.756742481002206</v>
          </cell>
          <cell r="DN65">
            <v>8.931896458903509</v>
          </cell>
          <cell r="DO65">
            <v>9.8794669150264838</v>
          </cell>
          <cell r="DP65">
            <v>36.647490195320721</v>
          </cell>
          <cell r="DQ65">
            <v>36.43925854705477</v>
          </cell>
          <cell r="DR65">
            <v>36.549266961398764</v>
          </cell>
          <cell r="DS65">
            <v>36.51810151581526</v>
          </cell>
          <cell r="DT65">
            <v>18.247197363672878</v>
          </cell>
          <cell r="DU65">
            <v>18.862293590922523</v>
          </cell>
          <cell r="DV65">
            <v>19.362290368065839</v>
          </cell>
          <cell r="DW65">
            <v>19.864922855846075</v>
          </cell>
          <cell r="DX65">
            <v>10.050614259869295</v>
          </cell>
          <cell r="DY65">
            <v>10.05391829302935</v>
          </cell>
          <cell r="DZ65">
            <v>11.350335928413612</v>
          </cell>
          <cell r="EA65">
            <v>11.942672918853427</v>
          </cell>
          <cell r="EB65">
            <v>12.160668938165703</v>
          </cell>
          <cell r="EC65">
            <v>12.573089102307069</v>
          </cell>
          <cell r="ED65">
            <v>12.909310522057742</v>
          </cell>
          <cell r="EE65">
            <v>13.245760571691529</v>
          </cell>
          <cell r="EF65">
            <v>80063.151997927547</v>
          </cell>
          <cell r="EG65">
            <v>78953.288538519788</v>
          </cell>
          <cell r="EH65">
            <v>86107.141517675656</v>
          </cell>
          <cell r="EI65">
            <v>94911.981117532181</v>
          </cell>
          <cell r="EJ65">
            <v>210147.72217528196</v>
          </cell>
          <cell r="EK65">
            <v>198210.98547766131</v>
          </cell>
          <cell r="EL65">
            <v>199259.33052728069</v>
          </cell>
          <cell r="EM65">
            <v>202867.08489179384</v>
          </cell>
          <cell r="EN65">
            <v>-4120.8526866207003</v>
          </cell>
          <cell r="EO65">
            <v>-4705.6364568968957</v>
          </cell>
          <cell r="EP65">
            <v>-4275.7176732692997</v>
          </cell>
          <cell r="EQ65">
            <v>-4675.9377481965639</v>
          </cell>
          <cell r="ER65">
            <v>145059.6823243394</v>
          </cell>
          <cell r="ES65">
            <v>144426.52564584909</v>
          </cell>
          <cell r="ET65">
            <v>144214.36666055556</v>
          </cell>
          <cell r="EU65">
            <v>144753.60479614203</v>
          </cell>
          <cell r="EV65">
            <v>8994.83119684349</v>
          </cell>
          <cell r="EW65">
            <v>6018.0941373400819</v>
          </cell>
          <cell r="EX65">
            <v>6018.0941373400819</v>
          </cell>
          <cell r="EY65">
            <v>6018.0941373400819</v>
          </cell>
          <cell r="EZ65">
            <v>66.118857528310883</v>
          </cell>
          <cell r="FA65">
            <v>69.72232910182862</v>
          </cell>
          <cell r="FB65">
            <v>80.373238435159038</v>
          </cell>
          <cell r="FC65">
            <v>93.108461248867854</v>
          </cell>
          <cell r="FD65">
            <v>1.5832765327916736</v>
          </cell>
          <cell r="FE65">
            <v>1.5059105289442236</v>
          </cell>
          <cell r="FF65">
            <v>1.5832531939469006</v>
          </cell>
          <cell r="FG65">
            <v>1.6870986465662106</v>
          </cell>
          <cell r="FH65">
            <v>0.35724419154075254</v>
          </cell>
          <cell r="FI65">
            <v>0.22174965559414836</v>
          </cell>
          <cell r="FJ65">
            <v>0.20887772067959637</v>
          </cell>
          <cell r="FK65">
            <v>0.19665261416674887</v>
          </cell>
          <cell r="FL65">
            <v>12.271250439100273</v>
          </cell>
          <cell r="FM65">
            <v>11.141731341140561</v>
          </cell>
          <cell r="FN65">
            <v>12.719785233553649</v>
          </cell>
          <cell r="FO65">
            <v>12.031280188858526</v>
          </cell>
          <cell r="FP65">
            <v>-22232.025267227291</v>
          </cell>
          <cell r="FQ65">
            <v>-24656.64416962257</v>
          </cell>
          <cell r="FR65">
            <v>-25362.486006137657</v>
          </cell>
          <cell r="FS65">
            <v>-26210.031972420387</v>
          </cell>
          <cell r="FT65">
            <v>25926.994791757992</v>
          </cell>
          <cell r="FU65">
            <v>20092.987247220117</v>
          </cell>
          <cell r="FV65">
            <v>22927.891678291024</v>
          </cell>
          <cell r="FW65">
            <v>23379.447825913674</v>
          </cell>
          <cell r="FX65">
            <v>16.111922180891895</v>
          </cell>
          <cell r="FY65">
            <v>17.136907210466152</v>
          </cell>
          <cell r="FZ65">
            <v>17.044398992388206</v>
          </cell>
          <cell r="GA65">
            <v>17.013559361273551</v>
          </cell>
          <cell r="GF65">
            <v>-8698.6010920250283</v>
          </cell>
          <cell r="GG65">
            <v>-23722.596370013151</v>
          </cell>
          <cell r="GH65">
            <v>-24002.804405563747</v>
          </cell>
          <cell r="GI65">
            <v>-24874.88185564545</v>
          </cell>
          <cell r="GK65">
            <v>0</v>
          </cell>
          <cell r="GP65">
            <v>131779.78720269035</v>
          </cell>
          <cell r="GQ65">
            <v>48460.400150767731</v>
          </cell>
          <cell r="GR65">
            <v>22963.610791076324</v>
          </cell>
          <cell r="GS65">
            <v>13604.070913000807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CV66">
            <v>0</v>
          </cell>
          <cell r="GK66">
            <v>0</v>
          </cell>
        </row>
        <row r="67">
          <cell r="B67" t="str">
            <v>North American wireless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CV67" t="e">
            <v>#N/A</v>
          </cell>
          <cell r="GK67">
            <v>0</v>
          </cell>
        </row>
        <row r="68">
          <cell r="CV68">
            <v>0</v>
          </cell>
        </row>
        <row r="69">
          <cell r="CV69">
            <v>0</v>
          </cell>
        </row>
        <row r="70">
          <cell r="L70">
            <v>272486.82074209873</v>
          </cell>
          <cell r="M70">
            <v>270401.83178031963</v>
          </cell>
          <cell r="N70">
            <v>272179.4285122155</v>
          </cell>
          <cell r="O70">
            <v>274704.83064126578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 t="str">
            <v>-</v>
          </cell>
          <cell r="BA70">
            <v>1.8793518975580639</v>
          </cell>
          <cell r="BB70" t="str">
            <v>-</v>
          </cell>
          <cell r="BC70" t="str">
            <v>-</v>
          </cell>
          <cell r="BD70" t="str">
            <v>-</v>
          </cell>
          <cell r="BE70">
            <v>5.1574921458163532</v>
          </cell>
          <cell r="BF70" t="str">
            <v>-</v>
          </cell>
          <cell r="BG70" t="str">
            <v>-</v>
          </cell>
          <cell r="BU70">
            <v>143880.36223107885</v>
          </cell>
          <cell r="BY70">
            <v>52428.937191821766</v>
          </cell>
          <cell r="CV70">
            <v>0</v>
          </cell>
          <cell r="GK70">
            <v>0</v>
          </cell>
        </row>
        <row r="71">
          <cell r="B71" t="str">
            <v>AsiaPac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CV71" t="e">
            <v>#N/A</v>
          </cell>
          <cell r="GK71">
            <v>0</v>
          </cell>
        </row>
        <row r="72">
          <cell r="B72" t="str">
            <v>0941.HK</v>
          </cell>
          <cell r="C72" t="str">
            <v>China Mobile (HK)</v>
          </cell>
          <cell r="D72" t="str">
            <v>Pak Nam</v>
          </cell>
          <cell r="E72" t="str">
            <v>RMB</v>
          </cell>
          <cell r="F72">
            <v>26.45</v>
          </cell>
          <cell r="G72">
            <v>0</v>
          </cell>
          <cell r="H72" t="str">
            <v>HKD</v>
          </cell>
          <cell r="I72" t="str">
            <v>HONG KONG</v>
          </cell>
          <cell r="J72">
            <v>19702.271149</v>
          </cell>
          <cell r="K72">
            <v>46885.72678284943</v>
          </cell>
          <cell r="L72">
            <v>43124.439249983472</v>
          </cell>
          <cell r="M72">
            <v>40177.210696243405</v>
          </cell>
          <cell r="N72">
            <v>36945.67823449782</v>
          </cell>
          <cell r="O72">
            <v>33422.350527918767</v>
          </cell>
          <cell r="P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0.20836366401813139</v>
          </cell>
          <cell r="Y72">
            <v>0.24361065285695149</v>
          </cell>
          <cell r="Z72">
            <v>0.25323165926727814</v>
          </cell>
          <cell r="AA72">
            <v>0.26609813894934142</v>
          </cell>
          <cell r="AB72">
            <v>0.16111346172929963</v>
          </cell>
          <cell r="AC72">
            <v>0.18446268243514627</v>
          </cell>
          <cell r="AD72">
            <v>0.2106634247152763</v>
          </cell>
          <cell r="AE72">
            <v>0.23325705286129264</v>
          </cell>
          <cell r="AF72">
            <v>4.4624184783920939E-2</v>
          </cell>
          <cell r="AG72">
            <v>5.578023097990116E-2</v>
          </cell>
          <cell r="AH72">
            <v>6.9725288724876461E-2</v>
          </cell>
          <cell r="AI72">
            <v>8.7156610908378826E-2</v>
          </cell>
          <cell r="AJ72">
            <v>1.8751928331790231</v>
          </cell>
          <cell r="AK72">
            <v>2.3439910414737786</v>
          </cell>
          <cell r="AL72">
            <v>2.9299888018422235</v>
          </cell>
          <cell r="AM72">
            <v>3.662486002398726</v>
          </cell>
          <cell r="AN72">
            <v>11.420953807290228</v>
          </cell>
          <cell r="AO72">
            <v>9.76850459518365</v>
          </cell>
          <cell r="AP72">
            <v>9.3973707266874875</v>
          </cell>
          <cell r="AQ72">
            <v>8.9429854386236745</v>
          </cell>
          <cell r="AR72">
            <v>14.911081169767426</v>
          </cell>
          <cell r="AS72">
            <v>12.804357957334613</v>
          </cell>
          <cell r="AT72">
            <v>10.989704972354819</v>
          </cell>
          <cell r="AU72">
            <v>9.7401855204188053</v>
          </cell>
          <cell r="AV72">
            <v>6.7064218121723052</v>
          </cell>
          <cell r="AW72">
            <v>7.8098410192225094</v>
          </cell>
          <cell r="AX72">
            <v>9.0994253486836332</v>
          </cell>
          <cell r="AY72">
            <v>10.266744898273789</v>
          </cell>
          <cell r="AZ72">
            <v>2.4961557356050479</v>
          </cell>
          <cell r="BA72">
            <v>2.1867620527365648</v>
          </cell>
          <cell r="BB72">
            <v>1.929951819877656</v>
          </cell>
          <cell r="BC72">
            <v>1.6769324788551585</v>
          </cell>
          <cell r="BD72">
            <v>4.4033956159258487</v>
          </cell>
          <cell r="BE72">
            <v>3.8533488316766435</v>
          </cell>
          <cell r="BF72">
            <v>3.3978191533571986</v>
          </cell>
          <cell r="BG72">
            <v>2.9502798196873345</v>
          </cell>
          <cell r="BH72">
            <v>13.585491033343525</v>
          </cell>
          <cell r="BI72">
            <v>11.054903886016231</v>
          </cell>
          <cell r="BJ72">
            <v>8.9013978375512313</v>
          </cell>
          <cell r="BK72">
            <v>7.2725365719874873</v>
          </cell>
          <cell r="BL72">
            <v>21087.415948512386</v>
          </cell>
          <cell r="BM72">
            <v>24630.376892688022</v>
          </cell>
          <cell r="BN72">
            <v>28088.181632609288</v>
          </cell>
          <cell r="BO72">
            <v>31456.078549897171</v>
          </cell>
          <cell r="BP72">
            <v>0.21879699999999999</v>
          </cell>
          <cell r="BQ72">
            <v>0.269876</v>
          </cell>
          <cell r="BR72">
            <v>0.27094800000000002</v>
          </cell>
          <cell r="BS72">
            <v>0.28061000000000003</v>
          </cell>
          <cell r="BT72">
            <v>17276.341629994677</v>
          </cell>
          <cell r="BU72">
            <v>18372.922946035538</v>
          </cell>
          <cell r="BV72">
            <v>19143.316353275539</v>
          </cell>
          <cell r="BW72">
            <v>19930.647744825241</v>
          </cell>
          <cell r="BX72">
            <v>9793.451011763389</v>
          </cell>
          <cell r="BY72">
            <v>10426.569836077302</v>
          </cell>
          <cell r="BZ72">
            <v>10873.35039535398</v>
          </cell>
          <cell r="CA72">
            <v>11328.535790025777</v>
          </cell>
          <cell r="CB72">
            <v>6134.4147922279753</v>
          </cell>
          <cell r="CC72">
            <v>6978.5221087973305</v>
          </cell>
          <cell r="CD72">
            <v>7173.0800351738135</v>
          </cell>
          <cell r="CE72">
            <v>7449.3207826632197</v>
          </cell>
          <cell r="CF72">
            <v>6126.870870967261</v>
          </cell>
          <cell r="CG72">
            <v>7163.4268646974824</v>
          </cell>
          <cell r="CH72">
            <v>7446.4016477113591</v>
          </cell>
          <cell r="CI72">
            <v>7824.8028619318984</v>
          </cell>
          <cell r="CJ72">
            <v>-2062.0084916969445</v>
          </cell>
          <cell r="CK72">
            <v>-2363.9308653402722</v>
          </cell>
          <cell r="CL72">
            <v>-2457.3125437285535</v>
          </cell>
          <cell r="CM72">
            <v>-2582.1849444375271</v>
          </cell>
          <cell r="CN72">
            <v>4105.2374060843595</v>
          </cell>
          <cell r="CO72">
            <v>4799.6831373725699</v>
          </cell>
          <cell r="CP72">
            <v>4989.238814395093</v>
          </cell>
          <cell r="CQ72">
            <v>5242.7376858242033</v>
          </cell>
          <cell r="CR72">
            <v>4125.067639191263</v>
          </cell>
          <cell r="CS72">
            <v>4781.1601520135773</v>
          </cell>
          <cell r="CT72">
            <v>4911.5139627568969</v>
          </cell>
          <cell r="CU72">
            <v>5096.5952635810963</v>
          </cell>
          <cell r="CV72">
            <v>7.2345999999999995</v>
          </cell>
          <cell r="CW72">
            <v>6.3473004848260786</v>
          </cell>
          <cell r="CX72">
            <v>4.1930911564957825</v>
          </cell>
          <cell r="CY72">
            <v>4.1128265187707882</v>
          </cell>
          <cell r="CZ72">
            <v>4.8793233358074133</v>
          </cell>
          <cell r="DA72">
            <v>7.0716000000000001E-2</v>
          </cell>
          <cell r="DB72">
            <v>6.4647163043287179</v>
          </cell>
          <cell r="DC72">
            <v>4.2850195826700315</v>
          </cell>
          <cell r="DD72">
            <v>4.1862478272225161</v>
          </cell>
          <cell r="DE72">
            <v>4.9734188697766655</v>
          </cell>
          <cell r="DF72">
            <v>0.19725999999999999</v>
          </cell>
          <cell r="DG72">
            <v>13.76019302833582</v>
          </cell>
          <cell r="DH72">
            <v>2.7879531417005552</v>
          </cell>
          <cell r="DI72">
            <v>3.8510757740724415</v>
          </cell>
          <cell r="DJ72">
            <v>6.6877393074427545</v>
          </cell>
          <cell r="DK72">
            <v>0.19174499999999997</v>
          </cell>
          <cell r="DL72">
            <v>16.91609187471046</v>
          </cell>
          <cell r="DM72">
            <v>3.9493373124270335</v>
          </cell>
          <cell r="DN72">
            <v>5.0809127576276296</v>
          </cell>
          <cell r="DO72">
            <v>8.4942238098394398</v>
          </cell>
          <cell r="DP72">
            <v>56.687065013580693</v>
          </cell>
          <cell r="DQ72">
            <v>56.749652010744001</v>
          </cell>
          <cell r="DR72">
            <v>56.799721608808312</v>
          </cell>
          <cell r="DS72">
            <v>56.839777287053288</v>
          </cell>
          <cell r="DT72">
            <v>35.50760296136761</v>
          </cell>
          <cell r="DU72">
            <v>37.982645054869394</v>
          </cell>
          <cell r="DV72">
            <v>37.470414753640405</v>
          </cell>
          <cell r="DW72">
            <v>37.376210136458553</v>
          </cell>
          <cell r="DX72">
            <v>23.762191637591645</v>
          </cell>
          <cell r="DY72">
            <v>26.123677497968458</v>
          </cell>
          <cell r="DZ72">
            <v>26.062562631899478</v>
          </cell>
          <cell r="EA72">
            <v>26.304903648630379</v>
          </cell>
          <cell r="EB72">
            <v>23.876974231798251</v>
          </cell>
          <cell r="EC72">
            <v>26.022860739451605</v>
          </cell>
          <cell r="ED72">
            <v>25.656547027268381</v>
          </cell>
          <cell r="EE72">
            <v>25.571648893871838</v>
          </cell>
          <cell r="EF72">
            <v>-3761.287532865957</v>
          </cell>
          <cell r="EG72">
            <v>-6708.516086606026</v>
          </cell>
          <cell r="EH72">
            <v>-9940.0485483516113</v>
          </cell>
          <cell r="EI72">
            <v>-13463.376254930661</v>
          </cell>
          <cell r="EJ72">
            <v>25361.000433910081</v>
          </cell>
          <cell r="EK72">
            <v>28903.961378085714</v>
          </cell>
          <cell r="EL72">
            <v>32101.041476317841</v>
          </cell>
          <cell r="EM72">
            <v>35234.286216085507</v>
          </cell>
          <cell r="EN72">
            <v>-29.946500984168718</v>
          </cell>
          <cell r="EO72">
            <v>27.366936238437976</v>
          </cell>
          <cell r="EP72">
            <v>115.78379287583174</v>
          </cell>
          <cell r="EQ72">
            <v>217.94425960696711</v>
          </cell>
          <cell r="ER72">
            <v>19109.502721858553</v>
          </cell>
          <cell r="ES72">
            <v>20247.297998678227</v>
          </cell>
          <cell r="ET72">
            <v>20970.055394867883</v>
          </cell>
          <cell r="EU72">
            <v>21399.035349865469</v>
          </cell>
          <cell r="EV72">
            <v>8034.8720182636489</v>
          </cell>
          <cell r="EW72">
            <v>10982.100572003717</v>
          </cell>
          <cell r="EX72">
            <v>13952.908392060166</v>
          </cell>
          <cell r="EY72">
            <v>17241.583921118996</v>
          </cell>
          <cell r="EZ72">
            <v>21087.415948512386</v>
          </cell>
          <cell r="FA72">
            <v>24630.376892688022</v>
          </cell>
          <cell r="FB72">
            <v>28088.181632609288</v>
          </cell>
          <cell r="FC72">
            <v>31456.078549897171</v>
          </cell>
          <cell r="FD72">
            <v>-0.38406150481052004</v>
          </cell>
          <cell r="FE72">
            <v>-0.64340585562412655</v>
          </cell>
          <cell r="FF72">
            <v>-0.91416612055460345</v>
          </cell>
          <cell r="FG72">
            <v>-1.1884480487570606</v>
          </cell>
          <cell r="FH72">
            <v>1.3098025305434948</v>
          </cell>
          <cell r="FI72">
            <v>1.5737000472004463</v>
          </cell>
          <cell r="FJ72">
            <v>1.9451767335148753</v>
          </cell>
          <cell r="FK72">
            <v>2.3145175814210175</v>
          </cell>
          <cell r="FL72">
            <v>327.03156261697211</v>
          </cell>
          <cell r="FM72">
            <v>-380.99149079876764</v>
          </cell>
          <cell r="FN72">
            <v>-93.910815367870384</v>
          </cell>
          <cell r="FO72">
            <v>-51.979051021831239</v>
          </cell>
          <cell r="FP72">
            <v>-4557.1414113217488</v>
          </cell>
          <cell r="FQ72">
            <v>-4428.3051845278987</v>
          </cell>
          <cell r="FR72">
            <v>-4265.4899367081061</v>
          </cell>
          <cell r="FS72">
            <v>-4150.6571426984356</v>
          </cell>
          <cell r="FT72">
            <v>3174.3011087446957</v>
          </cell>
          <cell r="FU72">
            <v>3634.3337862091312</v>
          </cell>
          <cell r="FV72">
            <v>4150.5479149173216</v>
          </cell>
          <cell r="FW72">
            <v>4595.6937028898137</v>
          </cell>
          <cell r="FX72">
            <v>26.377930634398741</v>
          </cell>
          <cell r="FY72">
            <v>24.102344507374244</v>
          </cell>
          <cell r="FZ72">
            <v>22.281875606042806</v>
          </cell>
          <cell r="GA72">
            <v>20.825500484679957</v>
          </cell>
          <cell r="GB72">
            <v>0.39354080976011985</v>
          </cell>
          <cell r="GC72">
            <v>0.41124694505962017</v>
          </cell>
          <cell r="GD72">
            <v>0.43370377681348798</v>
          </cell>
          <cell r="GE72">
            <v>0.45568610573417706</v>
          </cell>
          <cell r="GF72">
            <v>-879.19778841589027</v>
          </cell>
          <cell r="GG72">
            <v>-1098.9972355198627</v>
          </cell>
          <cell r="GH72">
            <v>-1373.7465443998285</v>
          </cell>
          <cell r="GI72">
            <v>-1717.1831805447707</v>
          </cell>
          <cell r="GJ72" t="e">
            <v>#REF!</v>
          </cell>
          <cell r="GK72">
            <v>6</v>
          </cell>
          <cell r="GP72">
            <v>16110.790388545</v>
          </cell>
          <cell r="GQ72">
            <v>9786.5303689476841</v>
          </cell>
          <cell r="GR72">
            <v>6122.3378685484768</v>
          </cell>
          <cell r="GS72">
            <v>4097.3808831100396</v>
          </cell>
        </row>
        <row r="73">
          <cell r="B73" t="str">
            <v>0728.HK</v>
          </cell>
          <cell r="C73" t="str">
            <v>China Telecom Corporation</v>
          </cell>
          <cell r="D73" t="str">
            <v>Pak Nam</v>
          </cell>
          <cell r="E73" t="str">
            <v>RMB</v>
          </cell>
          <cell r="F73">
            <v>2.75</v>
          </cell>
          <cell r="G73">
            <v>0</v>
          </cell>
          <cell r="H73" t="str">
            <v>HKD</v>
          </cell>
          <cell r="I73" t="str">
            <v>HONG KONG</v>
          </cell>
          <cell r="J73">
            <v>80932.368321000002</v>
          </cell>
          <cell r="K73">
            <v>20024.128683443632</v>
          </cell>
          <cell r="L73">
            <v>31940.351221666388</v>
          </cell>
          <cell r="M73">
            <v>31341.661030146122</v>
          </cell>
          <cell r="N73">
            <v>30642.181449090771</v>
          </cell>
          <cell r="O73">
            <v>29944.409229725912</v>
          </cell>
          <cell r="P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3.0012129210685422E-2</v>
          </cell>
          <cell r="Y73">
            <v>3.1640440060071114E-2</v>
          </cell>
          <cell r="Z73">
            <v>3.520061602252824E-2</v>
          </cell>
          <cell r="AA73">
            <v>3.8843136297454166E-2</v>
          </cell>
          <cell r="AB73">
            <v>2.7848610026886631E-2</v>
          </cell>
          <cell r="AC73">
            <v>2.8098529633651635E-2</v>
          </cell>
          <cell r="AD73">
            <v>2.8652002907134839E-2</v>
          </cell>
          <cell r="AE73">
            <v>2.9075753449999419E-2</v>
          </cell>
          <cell r="AF73">
            <v>7.4387189688539359E-3</v>
          </cell>
          <cell r="AG73">
            <v>8.9264627619577187E-3</v>
          </cell>
          <cell r="AH73">
            <v>1.0711755315238599E-2</v>
          </cell>
          <cell r="AI73">
            <v>1.2854106377841653E-2</v>
          </cell>
          <cell r="AJ73">
            <v>3.0065385263003708</v>
          </cell>
          <cell r="AK73">
            <v>3.6078462312908592</v>
          </cell>
          <cell r="AL73">
            <v>4.3294154779084781</v>
          </cell>
          <cell r="AM73">
            <v>5.1952985733104518</v>
          </cell>
          <cell r="AN73">
            <v>8.2439352242463784</v>
          </cell>
          <cell r="AO73">
            <v>7.8196778769469226</v>
          </cell>
          <cell r="AP73">
            <v>7.0287988425048242</v>
          </cell>
          <cell r="AQ73">
            <v>6.3696722957672023</v>
          </cell>
          <cell r="AR73">
            <v>10.660928238360745</v>
          </cell>
          <cell r="AS73">
            <v>10.369484001499602</v>
          </cell>
          <cell r="AT73">
            <v>10.049757636734313</v>
          </cell>
          <cell r="AU73">
            <v>9.741836827232941</v>
          </cell>
          <cell r="AV73">
            <v>9.3800462552758255</v>
          </cell>
          <cell r="AW73">
            <v>9.643681400688628</v>
          </cell>
          <cell r="AX73">
            <v>9.9504887196956506</v>
          </cell>
          <cell r="AY73">
            <v>10.265004616013865</v>
          </cell>
          <cell r="AZ73">
            <v>2.258729258164299</v>
          </cell>
          <cell r="BA73">
            <v>2.1453497722655377</v>
          </cell>
          <cell r="BB73">
            <v>1.9889972062777768</v>
          </cell>
          <cell r="BC73">
            <v>1.8586011271852489</v>
          </cell>
          <cell r="BD73">
            <v>3.730894889036084</v>
          </cell>
          <cell r="BE73">
            <v>3.6594114481765265</v>
          </cell>
          <cell r="BF73">
            <v>3.4807131753806919</v>
          </cell>
          <cell r="BG73">
            <v>3.3247900242095252</v>
          </cell>
          <cell r="BH73">
            <v>14.17143778297833</v>
          </cell>
          <cell r="BI73">
            <v>13.782124400038267</v>
          </cell>
          <cell r="BJ73">
            <v>13.214247721425217</v>
          </cell>
          <cell r="BK73">
            <v>12.725138634177739</v>
          </cell>
          <cell r="BL73">
            <v>14315.677451698604</v>
          </cell>
          <cell r="BM73">
            <v>16880.662731341341</v>
          </cell>
          <cell r="BN73">
            <v>19513.088769642745</v>
          </cell>
          <cell r="BO73">
            <v>22190.722296040072</v>
          </cell>
          <cell r="BP73">
            <v>0.12162800000000001</v>
          </cell>
          <cell r="BQ73">
            <v>0.12767500000000001</v>
          </cell>
          <cell r="BR73">
            <v>0.129104</v>
          </cell>
          <cell r="BS73">
            <v>0.13006400000000001</v>
          </cell>
          <cell r="BT73">
            <v>14140.849819081353</v>
          </cell>
          <cell r="BU73">
            <v>14609.114763159865</v>
          </cell>
          <cell r="BV73">
            <v>15405.844388507092</v>
          </cell>
          <cell r="BW73">
            <v>16111.261739669288</v>
          </cell>
          <cell r="BX73">
            <v>8561.0429056923967</v>
          </cell>
          <cell r="BY73">
            <v>8564.6726185336647</v>
          </cell>
          <cell r="BZ73">
            <v>8803.4204213736684</v>
          </cell>
          <cell r="CA73">
            <v>9006.406122397233</v>
          </cell>
          <cell r="CB73">
            <v>4423.7358431643361</v>
          </cell>
          <cell r="CC73">
            <v>4891.7003340102283</v>
          </cell>
          <cell r="CD73">
            <v>5228.9039438543205</v>
          </cell>
          <cell r="CE73">
            <v>5564.011957100719</v>
          </cell>
          <cell r="CF73">
            <v>3626.9139370027474</v>
          </cell>
          <cell r="CG73">
            <v>3821.9936549092472</v>
          </cell>
          <cell r="CH73">
            <v>4252.0436135257451</v>
          </cell>
          <cell r="CI73">
            <v>4692.0403187090678</v>
          </cell>
          <cell r="CJ73">
            <v>-1196.8815992298005</v>
          </cell>
          <cell r="CK73">
            <v>-1261.2579061290487</v>
          </cell>
          <cell r="CL73">
            <v>-1403.1743924643956</v>
          </cell>
          <cell r="CM73">
            <v>-1548.3733051407035</v>
          </cell>
          <cell r="CN73">
            <v>2428.9526953766358</v>
          </cell>
          <cell r="CO73">
            <v>2560.7357487801987</v>
          </cell>
          <cell r="CP73">
            <v>2848.8692210613494</v>
          </cell>
          <cell r="CQ73">
            <v>3143.6670135683648</v>
          </cell>
          <cell r="CR73">
            <v>3219.2492380365311</v>
          </cell>
          <cell r="CS73">
            <v>3277.4392237850529</v>
          </cell>
          <cell r="CT73">
            <v>3503.3656423877928</v>
          </cell>
          <cell r="CU73">
            <v>3727.8880112457855</v>
          </cell>
          <cell r="CV73">
            <v>3.8759000000000001</v>
          </cell>
          <cell r="CW73">
            <v>3.3114342494935869</v>
          </cell>
          <cell r="CX73">
            <v>5.4536475225477545</v>
          </cell>
          <cell r="CY73">
            <v>4.5788944336504045</v>
          </cell>
          <cell r="CZ73">
            <v>4.4442849773395494</v>
          </cell>
          <cell r="DA73">
            <v>0.19466900000000004</v>
          </cell>
          <cell r="DB73">
            <v>4.2398021844448408E-2</v>
          </cell>
          <cell r="DC73">
            <v>2.7875881948290981</v>
          </cell>
          <cell r="DD73">
            <v>2.3057594810619264</v>
          </cell>
          <cell r="DE73">
            <v>1.7048392317020102</v>
          </cell>
          <cell r="DF73">
            <v>0.352354</v>
          </cell>
          <cell r="DG73">
            <v>10.578490837535043</v>
          </cell>
          <cell r="DH73">
            <v>6.893382399155513</v>
          </cell>
          <cell r="DI73">
            <v>6.4087620817793152</v>
          </cell>
          <cell r="DJ73">
            <v>7.9442772784773297</v>
          </cell>
          <cell r="DK73">
            <v>0.84986300000000004</v>
          </cell>
          <cell r="DL73">
            <v>5.4255092597893793</v>
          </cell>
          <cell r="DM73">
            <v>11.25197992094273</v>
          </cell>
          <cell r="DN73">
            <v>10.347887868197333</v>
          </cell>
          <cell r="DO73">
            <v>8.9780820723939172</v>
          </cell>
          <cell r="DP73">
            <v>60.541219341289604</v>
          </cell>
          <cell r="DQ73">
            <v>58.625541364979853</v>
          </cell>
          <cell r="DR73">
            <v>57.14338142958983</v>
          </cell>
          <cell r="DS73">
            <v>55.90130846314527</v>
          </cell>
          <cell r="DT73">
            <v>31.283380417455842</v>
          </cell>
          <cell r="DU73">
            <v>33.483892852602814</v>
          </cell>
          <cell r="DV73">
            <v>33.941040893254339</v>
          </cell>
          <cell r="DW73">
            <v>34.534923750887621</v>
          </cell>
          <cell r="DX73">
            <v>17.176850942148189</v>
          </cell>
          <cell r="DY73">
            <v>17.528343026215826</v>
          </cell>
          <cell r="DZ73">
            <v>18.492132915393025</v>
          </cell>
          <cell r="EA73">
            <v>19.512233519414565</v>
          </cell>
          <cell r="EB73">
            <v>22.76559951646291</v>
          </cell>
          <cell r="EC73">
            <v>22.434208211231564</v>
          </cell>
          <cell r="ED73">
            <v>22.740497398515444</v>
          </cell>
          <cell r="EE73">
            <v>23.138398913022112</v>
          </cell>
          <cell r="EF73">
            <v>11916.222538222753</v>
          </cell>
          <cell r="EG73">
            <v>11317.53234670249</v>
          </cell>
          <cell r="EH73">
            <v>10618.05276564714</v>
          </cell>
          <cell r="EI73">
            <v>9920.2805462822816</v>
          </cell>
          <cell r="EJ73">
            <v>28244.773797904611</v>
          </cell>
          <cell r="EK73">
            <v>30809.759077547351</v>
          </cell>
          <cell r="EL73">
            <v>32742.705534793404</v>
          </cell>
          <cell r="EM73">
            <v>34722.566841825872</v>
          </cell>
          <cell r="EN73">
            <v>-375.58143120091557</v>
          </cell>
          <cell r="EO73">
            <v>-343.01737609401715</v>
          </cell>
          <cell r="EP73">
            <v>-326.37578655120024</v>
          </cell>
          <cell r="EQ73">
            <v>-297.69185375389384</v>
          </cell>
          <cell r="ER73">
            <v>28431.275434789135</v>
          </cell>
          <cell r="ES73">
            <v>29787.637313081086</v>
          </cell>
          <cell r="ET73">
            <v>31294.492411966439</v>
          </cell>
          <cell r="EU73">
            <v>32956.961476500517</v>
          </cell>
          <cell r="EV73">
            <v>2012.8738079832497</v>
          </cell>
          <cell r="EW73">
            <v>2611.5639995035158</v>
          </cell>
          <cell r="EX73">
            <v>2611.5639995035158</v>
          </cell>
          <cell r="EY73">
            <v>2611.5639995035158</v>
          </cell>
          <cell r="EZ73">
            <v>14315.677451698604</v>
          </cell>
          <cell r="FA73">
            <v>16880.662731341341</v>
          </cell>
          <cell r="FB73">
            <v>19513.088769642745</v>
          </cell>
          <cell r="FC73">
            <v>22190.722296040072</v>
          </cell>
          <cell r="FD73">
            <v>1.3919124888743912</v>
          </cell>
          <cell r="FE73">
            <v>1.3214203100083159</v>
          </cell>
          <cell r="FF73">
            <v>1.2061281021939789</v>
          </cell>
          <cell r="FG73">
            <v>1.1014693776258229</v>
          </cell>
          <cell r="FH73">
            <v>0.45501672779435759</v>
          </cell>
          <cell r="FI73">
            <v>0.53387652987372369</v>
          </cell>
          <cell r="FJ73">
            <v>0.49944769067195455</v>
          </cell>
          <cell r="FK73">
            <v>0.46936707175308495</v>
          </cell>
          <cell r="FL73">
            <v>22.794105870246568</v>
          </cell>
          <cell r="FM73">
            <v>24.968626126351644</v>
          </cell>
          <cell r="FN73">
            <v>26.973264513274888</v>
          </cell>
          <cell r="FO73">
            <v>30.254123546971357</v>
          </cell>
          <cell r="FP73">
            <v>-5110.3073425387138</v>
          </cell>
          <cell r="FQ73">
            <v>-5029.3341628153885</v>
          </cell>
          <cell r="FR73">
            <v>-5081.3715764946728</v>
          </cell>
          <cell r="FS73">
            <v>-5104.8632298305902</v>
          </cell>
          <cell r="FT73">
            <v>2253.8539639238825</v>
          </cell>
          <cell r="FU73">
            <v>2274.0805495892273</v>
          </cell>
          <cell r="FV73">
            <v>2318.8744524145995</v>
          </cell>
          <cell r="FW73">
            <v>2353.1695874259394</v>
          </cell>
          <cell r="FX73">
            <v>36.138615485774956</v>
          </cell>
          <cell r="FY73">
            <v>34.426002152423187</v>
          </cell>
          <cell r="FZ73">
            <v>32.983401937289621</v>
          </cell>
          <cell r="GA73">
            <v>31.685061743248525</v>
          </cell>
          <cell r="GB73">
            <v>7.7782836442225695E-2</v>
          </cell>
          <cell r="GC73">
            <v>7.7023847837619064E-2</v>
          </cell>
          <cell r="GD73">
            <v>7.9367481569411161E-2</v>
          </cell>
          <cell r="GE73">
            <v>8.1377505800743155E-2</v>
          </cell>
          <cell r="GF73">
            <v>-602.03314342369606</v>
          </cell>
          <cell r="GG73">
            <v>-722.4397720544531</v>
          </cell>
          <cell r="GH73">
            <v>-866.92772653731981</v>
          </cell>
          <cell r="GI73">
            <v>-1040.3132718087959</v>
          </cell>
          <cell r="GJ73" t="e">
            <v>#REF!</v>
          </cell>
          <cell r="GK73">
            <v>6</v>
          </cell>
          <cell r="GP73">
            <v>13613.215210728718</v>
          </cell>
          <cell r="GQ73">
            <v>8544.4095889896071</v>
          </cell>
          <cell r="GR73">
            <v>4408.2033622891759</v>
          </cell>
          <cell r="GS73">
            <v>2408.4838820025325</v>
          </cell>
        </row>
        <row r="74">
          <cell r="B74" t="str">
            <v>0762.HK</v>
          </cell>
          <cell r="C74" t="str">
            <v>China Unicom</v>
          </cell>
          <cell r="D74" t="str">
            <v>Pak Nam</v>
          </cell>
          <cell r="E74" t="str">
            <v>RMB</v>
          </cell>
          <cell r="F74">
            <v>6.4</v>
          </cell>
          <cell r="G74">
            <v>0</v>
          </cell>
          <cell r="H74" t="str">
            <v>HKD</v>
          </cell>
          <cell r="I74" t="str">
            <v>HONG KONG</v>
          </cell>
          <cell r="J74">
            <v>12562.084070000001</v>
          </cell>
          <cell r="K74">
            <v>7233.3645589306607</v>
          </cell>
          <cell r="L74">
            <v>11034.432623241913</v>
          </cell>
          <cell r="M74">
            <v>10727.600773915741</v>
          </cell>
          <cell r="N74">
            <v>10711.264157798345</v>
          </cell>
          <cell r="O74">
            <v>10658.253721267778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3.9449323814316505E-2</v>
          </cell>
          <cell r="Y74">
            <v>4.352299884529922E-2</v>
          </cell>
          <cell r="Z74">
            <v>5.038120537614716E-2</v>
          </cell>
          <cell r="AA74">
            <v>5.3777326271968837E-2</v>
          </cell>
          <cell r="AB74">
            <v>4.4045392402269047E-2</v>
          </cell>
          <cell r="AC74">
            <v>5.1762206240609329E-2</v>
          </cell>
          <cell r="AD74">
            <v>5.8597927827750286E-2</v>
          </cell>
          <cell r="AE74">
            <v>6.7009629974754084E-2</v>
          </cell>
          <cell r="AF74">
            <v>1.3491409540409699E-2</v>
          </cell>
          <cell r="AG74">
            <v>1.7988546049104902E-2</v>
          </cell>
          <cell r="AH74">
            <v>2.2485682564962153E-2</v>
          </cell>
          <cell r="AI74">
            <v>2.6982819073657353E-2</v>
          </cell>
          <cell r="AJ74">
            <v>2.3430344134968042</v>
          </cell>
          <cell r="AK74">
            <v>3.1240458838331908</v>
          </cell>
          <cell r="AL74">
            <v>3.9050573554134003</v>
          </cell>
          <cell r="AM74">
            <v>4.6860688257497864</v>
          </cell>
          <cell r="AN74">
            <v>14.596176115534963</v>
          </cell>
          <cell r="AO74">
            <v>13.23000007603388</v>
          </cell>
          <cell r="AP74">
            <v>11.429049260205799</v>
          </cell>
          <cell r="AQ74">
            <v>10.707287214698676</v>
          </cell>
          <cell r="AR74">
            <v>18.842793694565742</v>
          </cell>
          <cell r="AS74">
            <v>16.106601508856247</v>
          </cell>
          <cell r="AT74">
            <v>13.292495966840933</v>
          </cell>
          <cell r="AU74">
            <v>11.122646801909513</v>
          </cell>
          <cell r="AV74">
            <v>5.3070686661946516</v>
          </cell>
          <cell r="AW74">
            <v>6.2086343878946035</v>
          </cell>
          <cell r="AX74">
            <v>7.5230415904926389</v>
          </cell>
          <cell r="AY74">
            <v>8.9906657813527087</v>
          </cell>
          <cell r="AZ74">
            <v>1.5188065825574077</v>
          </cell>
          <cell r="BA74">
            <v>1.3865521826458371</v>
          </cell>
          <cell r="BB74">
            <v>1.2983713085086317</v>
          </cell>
          <cell r="BC74">
            <v>1.2191842684565015</v>
          </cell>
          <cell r="BD74">
            <v>4.3470128348451293</v>
          </cell>
          <cell r="BE74">
            <v>3.9671010768094046</v>
          </cell>
          <cell r="BF74">
            <v>3.7137688672745992</v>
          </cell>
          <cell r="BG74">
            <v>3.4864903478560909</v>
          </cell>
          <cell r="BH74">
            <v>19.94287780223458</v>
          </cell>
          <cell r="BI74">
            <v>16.497879552347619</v>
          </cell>
          <cell r="BJ74">
            <v>14.551131845772312</v>
          </cell>
          <cell r="BK74">
            <v>12.661557720491729</v>
          </cell>
          <cell r="BL74">
            <v>6477.1879874905944</v>
          </cell>
          <cell r="BM74">
            <v>6797.9539301978339</v>
          </cell>
          <cell r="BN74">
            <v>7148.3798330185127</v>
          </cell>
          <cell r="BO74">
            <v>7484.9746850579213</v>
          </cell>
          <cell r="BP74">
            <v>5.9351000000000001E-2</v>
          </cell>
          <cell r="BQ74">
            <v>6.6309999999999994E-2</v>
          </cell>
          <cell r="BR74">
            <v>7.2858999999999993E-2</v>
          </cell>
          <cell r="BS74">
            <v>7.4702000000000005E-2</v>
          </cell>
          <cell r="BT74">
            <v>7265.1993676915963</v>
          </cell>
          <cell r="BU74">
            <v>7736.889320274403</v>
          </cell>
          <cell r="BV74">
            <v>8249.7696056621808</v>
          </cell>
          <cell r="BW74">
            <v>8742.1188060121749</v>
          </cell>
          <cell r="BX74">
            <v>2538.3943048870792</v>
          </cell>
          <cell r="BY74">
            <v>2704.1410254521575</v>
          </cell>
          <cell r="BZ74">
            <v>2884.2032287429224</v>
          </cell>
          <cell r="CA74">
            <v>3057.015123481337</v>
          </cell>
          <cell r="CB74">
            <v>882.71136142548107</v>
          </cell>
          <cell r="CC74">
            <v>1017.177236663528</v>
          </cell>
          <cell r="CD74">
            <v>1136.5593961332634</v>
          </cell>
          <cell r="CE74">
            <v>1199.7444561123198</v>
          </cell>
          <cell r="CF74">
            <v>739.65033170060269</v>
          </cell>
          <cell r="CG74">
            <v>816.02920962786447</v>
          </cell>
          <cell r="CH74">
            <v>944.61632468354981</v>
          </cell>
          <cell r="CI74">
            <v>1008.29148311014</v>
          </cell>
          <cell r="CJ74">
            <v>-244.16901858215533</v>
          </cell>
          <cell r="CK74">
            <v>-269.28963915470268</v>
          </cell>
          <cell r="CL74">
            <v>-311.72338711048303</v>
          </cell>
          <cell r="CM74">
            <v>-332.73618942184771</v>
          </cell>
          <cell r="CN74">
            <v>495.565722260097</v>
          </cell>
          <cell r="CO74">
            <v>546.73957047316173</v>
          </cell>
          <cell r="CP74">
            <v>632.8929374830966</v>
          </cell>
          <cell r="CQ74">
            <v>675.55529368829229</v>
          </cell>
          <cell r="CR74">
            <v>609.07866207741631</v>
          </cell>
          <cell r="CS74">
            <v>681.50874856996199</v>
          </cell>
          <cell r="CT74">
            <v>761.49479541558435</v>
          </cell>
          <cell r="CU74">
            <v>803.82878558355821</v>
          </cell>
          <cell r="CV74">
            <v>11.6473</v>
          </cell>
          <cell r="CW74">
            <v>6.492457105587718</v>
          </cell>
          <cell r="CX74">
            <v>6.6290244587547988</v>
          </cell>
          <cell r="CY74">
            <v>5.9680357620178057</v>
          </cell>
          <cell r="CZ74">
            <v>6.3627904473364367</v>
          </cell>
          <cell r="DA74">
            <v>3.7399000000000002E-2</v>
          </cell>
          <cell r="DB74">
            <v>6.5295892070815142</v>
          </cell>
          <cell r="DC74">
            <v>6.6587578678762469</v>
          </cell>
          <cell r="DD74">
            <v>5.9916684447279636</v>
          </cell>
          <cell r="DE74">
            <v>6.3929458997242392</v>
          </cell>
          <cell r="DF74">
            <v>-5.9459999999999999E-2</v>
          </cell>
          <cell r="DG74">
            <v>15.233277956329843</v>
          </cell>
          <cell r="DH74">
            <v>11.73661336163245</v>
          </cell>
          <cell r="DI74">
            <v>5.5593275805928783</v>
          </cell>
          <cell r="DJ74">
            <v>10.770303365234497</v>
          </cell>
          <cell r="DK74">
            <v>-6.4949999999999999E-3</v>
          </cell>
          <cell r="DL74">
            <v>10.326349445574891</v>
          </cell>
          <cell r="DM74">
            <v>15.757660806474206</v>
          </cell>
          <cell r="DN74">
            <v>6.7408488353269291</v>
          </cell>
          <cell r="DO74">
            <v>10.87999920136869</v>
          </cell>
          <cell r="DP74">
            <v>34.939086684604149</v>
          </cell>
          <cell r="DQ74">
            <v>34.951269347565777</v>
          </cell>
          <cell r="DR74">
            <v>34.961015478097316</v>
          </cell>
          <cell r="DS74">
            <v>34.968812381947394</v>
          </cell>
          <cell r="DT74">
            <v>12.149857378324757</v>
          </cell>
          <cell r="DU74">
            <v>13.147108541387947</v>
          </cell>
          <cell r="DV74">
            <v>13.776862269622567</v>
          </cell>
          <cell r="DW74">
            <v>13.723726281175971</v>
          </cell>
          <cell r="DX74">
            <v>6.8210891013381136</v>
          </cell>
          <cell r="DY74">
            <v>7.0666588061488591</v>
          </cell>
          <cell r="DZ74">
            <v>7.6716437880727515</v>
          </cell>
          <cell r="EA74">
            <v>7.7275922311155956</v>
          </cell>
          <cell r="EB74">
            <v>8.3835092645357303</v>
          </cell>
          <cell r="EC74">
            <v>8.8085627227996994</v>
          </cell>
          <cell r="ED74">
            <v>9.2304977207234593</v>
          </cell>
          <cell r="EE74">
            <v>9.1948966082541101</v>
          </cell>
          <cell r="EF74">
            <v>3801.0680643112532</v>
          </cell>
          <cell r="EG74">
            <v>3494.2362149850806</v>
          </cell>
          <cell r="EH74">
            <v>3477.8995988676847</v>
          </cell>
          <cell r="EI74">
            <v>3424.8891623371164</v>
          </cell>
          <cell r="EJ74">
            <v>10832.987241367367</v>
          </cell>
          <cell r="EK74">
            <v>11153.753184074607</v>
          </cell>
          <cell r="EL74">
            <v>11504.179086895287</v>
          </cell>
          <cell r="EM74">
            <v>11840.773938934695</v>
          </cell>
          <cell r="EN74">
            <v>-169.42229823480503</v>
          </cell>
          <cell r="EO74">
            <v>-201.14802703566355</v>
          </cell>
          <cell r="EP74">
            <v>-191.94307153968373</v>
          </cell>
          <cell r="EQ74">
            <v>-191.45297300217976</v>
          </cell>
          <cell r="ER74">
            <v>10676.903365504284</v>
          </cell>
          <cell r="ES74">
            <v>10774.549776569896</v>
          </cell>
          <cell r="ET74">
            <v>11189.658894254477</v>
          </cell>
          <cell r="EU74">
            <v>11541.271759974319</v>
          </cell>
          <cell r="EV74">
            <v>554.73118956552105</v>
          </cell>
          <cell r="EW74">
            <v>861.56303889169351</v>
          </cell>
          <cell r="EX74">
            <v>877.89965500908932</v>
          </cell>
          <cell r="EY74">
            <v>930.91009153965797</v>
          </cell>
          <cell r="EZ74">
            <v>6477.1879874905944</v>
          </cell>
          <cell r="FA74">
            <v>6797.9539301978339</v>
          </cell>
          <cell r="FB74">
            <v>7148.3798330185127</v>
          </cell>
          <cell r="FC74">
            <v>7484.9746850579213</v>
          </cell>
          <cell r="FD74">
            <v>1.4974301104415471</v>
          </cell>
          <cell r="FE74">
            <v>1.2921797280897405</v>
          </cell>
          <cell r="FF74">
            <v>1.2058441528003989</v>
          </cell>
          <cell r="FG74">
            <v>1.1203376574849402</v>
          </cell>
          <cell r="FH74">
            <v>0.62844006977512068</v>
          </cell>
          <cell r="FI74">
            <v>0.84701368437788771</v>
          </cell>
          <cell r="FJ74">
            <v>0.77241863293359658</v>
          </cell>
          <cell r="FK74">
            <v>0.77592364507038525</v>
          </cell>
          <cell r="FL74">
            <v>14.982645916944643</v>
          </cell>
          <cell r="FM74">
            <v>13.443537405279711</v>
          </cell>
          <cell r="FN74">
            <v>15.026347164328987</v>
          </cell>
          <cell r="FO74">
            <v>15.967446603435778</v>
          </cell>
          <cell r="FP74">
            <v>-1740.9233640514808</v>
          </cell>
          <cell r="FQ74">
            <v>-1784.6101998542415</v>
          </cell>
          <cell r="FR74">
            <v>-1836.3677459324476</v>
          </cell>
          <cell r="FS74">
            <v>-1882.4983288170363</v>
          </cell>
          <cell r="FT74">
            <v>553.30192225344308</v>
          </cell>
          <cell r="FU74">
            <v>650.24118644321311</v>
          </cell>
          <cell r="FV74">
            <v>736.11209569999164</v>
          </cell>
          <cell r="FW74">
            <v>841.78060524245279</v>
          </cell>
          <cell r="FX74">
            <v>23.962499526074701</v>
          </cell>
          <cell r="FY74">
            <v>23.066249573684569</v>
          </cell>
          <cell r="FZ74">
            <v>22.259624616329496</v>
          </cell>
          <cell r="GA74">
            <v>21.533662154332596</v>
          </cell>
          <cell r="GB74">
            <v>0.16920254602205589</v>
          </cell>
          <cell r="GC74">
            <v>0.17786739601404916</v>
          </cell>
          <cell r="GD74">
            <v>0.18955965325549817</v>
          </cell>
          <cell r="GE74">
            <v>0.20168619665086326</v>
          </cell>
          <cell r="GF74">
            <v>-169.48022086942672</v>
          </cell>
          <cell r="GG74">
            <v>-225.97362776592215</v>
          </cell>
          <cell r="GH74">
            <v>-282.4670347523878</v>
          </cell>
          <cell r="GI74">
            <v>-338.9604416488832</v>
          </cell>
          <cell r="GJ74">
            <v>0.10538503364217713</v>
          </cell>
          <cell r="GK74">
            <v>6</v>
          </cell>
          <cell r="GP74">
            <v>6507.2772630342124</v>
          </cell>
          <cell r="GQ74">
            <v>2537.4453257097171</v>
          </cell>
          <cell r="GR74">
            <v>883.23653386851925</v>
          </cell>
          <cell r="GS74">
            <v>495.59791134443878</v>
          </cell>
        </row>
        <row r="75">
          <cell r="B75" t="str">
            <v>2332.HK</v>
          </cell>
          <cell r="C75" t="e">
            <v>#NAME?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 t="e">
            <v>#VALUE!</v>
          </cell>
          <cell r="K75" t="e">
            <v>#VALUE!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  <cell r="AU75" t="str">
            <v>-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 t="str">
            <v>-</v>
          </cell>
          <cell r="BA75" t="str">
            <v>-</v>
          </cell>
          <cell r="BB75" t="str">
            <v>-</v>
          </cell>
          <cell r="BC75" t="str">
            <v>-</v>
          </cell>
          <cell r="BD75" t="str">
            <v>-</v>
          </cell>
          <cell r="BE75" t="str">
            <v>-</v>
          </cell>
          <cell r="BF75" t="str">
            <v>-</v>
          </cell>
          <cell r="BG75" t="str">
            <v>-</v>
          </cell>
          <cell r="BH75" t="str">
            <v>-</v>
          </cell>
          <cell r="BI75" t="str">
            <v>-</v>
          </cell>
          <cell r="BJ75" t="str">
            <v>-</v>
          </cell>
          <cell r="BK75" t="str">
            <v>-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 t="e">
            <v>#VALUE!</v>
          </cell>
          <cell r="BQ75" t="e">
            <v>#VALUE!</v>
          </cell>
          <cell r="BR75" t="e">
            <v>#VALUE!</v>
          </cell>
          <cell r="BS75" t="e">
            <v>#VALUE!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 t="e">
            <v>#VALUE!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 t="e">
            <v>#VALUE!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 t="e">
            <v>#VALUE!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  <cell r="GJ75" t="e">
            <v>#VALUE!</v>
          </cell>
          <cell r="GK75">
            <v>0</v>
          </cell>
          <cell r="GP75">
            <v>0</v>
          </cell>
        </row>
        <row r="76">
          <cell r="B76" t="str">
            <v>9433.T</v>
          </cell>
          <cell r="C76" t="str">
            <v>KDDI</v>
          </cell>
          <cell r="D76" t="str">
            <v>HASKINS Andrew</v>
          </cell>
          <cell r="E76" t="str">
            <v>JPY</v>
          </cell>
          <cell r="F76">
            <v>538000</v>
          </cell>
          <cell r="G76">
            <v>0</v>
          </cell>
          <cell r="H76" t="str">
            <v>JPY</v>
          </cell>
          <cell r="I76" t="str">
            <v>JAPAN</v>
          </cell>
          <cell r="J76">
            <v>4.2408799999999998</v>
          </cell>
          <cell r="K76">
            <v>16319.499204514217</v>
          </cell>
          <cell r="L76">
            <v>21128.07575651188</v>
          </cell>
          <cell r="M76">
            <v>19371.101284275715</v>
          </cell>
          <cell r="N76">
            <v>18203.489707054796</v>
          </cell>
          <cell r="O76">
            <v>17345.768704455368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274.66058881055392</v>
          </cell>
          <cell r="Y76">
            <v>283.74519331898648</v>
          </cell>
          <cell r="Z76">
            <v>318.38958587878119</v>
          </cell>
          <cell r="AA76">
            <v>339.75520401651772</v>
          </cell>
          <cell r="AB76">
            <v>523.35678473788153</v>
          </cell>
          <cell r="AC76">
            <v>411.1007061198477</v>
          </cell>
          <cell r="AD76">
            <v>324.72273045885248</v>
          </cell>
          <cell r="AE76">
            <v>277.45107923668451</v>
          </cell>
          <cell r="AF76">
            <v>37.551550298855894</v>
          </cell>
          <cell r="AG76">
            <v>56.976605617155961</v>
          </cell>
          <cell r="AH76">
            <v>64.942868260204648</v>
          </cell>
          <cell r="AI76">
            <v>67.951040381653087</v>
          </cell>
          <cell r="AJ76">
            <v>0.97583643122676578</v>
          </cell>
          <cell r="AK76">
            <v>1.4806272190193532</v>
          </cell>
          <cell r="AL76">
            <v>1.6876431543386625</v>
          </cell>
          <cell r="AM76">
            <v>1.765815265054409</v>
          </cell>
          <cell r="AN76">
            <v>14.010527821871248</v>
          </cell>
          <cell r="AO76">
            <v>13.561955979200407</v>
          </cell>
          <cell r="AP76">
            <v>12.086261585725628</v>
          </cell>
          <cell r="AQ76">
            <v>11.326213036945036</v>
          </cell>
          <cell r="AR76">
            <v>7.672380862708172</v>
          </cell>
          <cell r="AS76">
            <v>9.9745681988606965</v>
          </cell>
          <cell r="AT76">
            <v>12.936352834901134</v>
          </cell>
          <cell r="AU76">
            <v>15.313579009068679</v>
          </cell>
          <cell r="AV76">
            <v>13.033763806754287</v>
          </cell>
          <cell r="AW76">
            <v>10.025496643696524</v>
          </cell>
          <cell r="AX76">
            <v>7.7301540299835398</v>
          </cell>
          <cell r="AY76">
            <v>6.5301520918643607</v>
          </cell>
          <cell r="AZ76">
            <v>1.0206175757090798</v>
          </cell>
          <cell r="BA76">
            <v>0.92828884220127994</v>
          </cell>
          <cell r="BB76">
            <v>0.84494882201661892</v>
          </cell>
          <cell r="BC76">
            <v>0.78292658893290601</v>
          </cell>
          <cell r="BD76">
            <v>4.3164724301318813</v>
          </cell>
          <cell r="BE76">
            <v>3.8918956372244708</v>
          </cell>
          <cell r="BF76">
            <v>3.44872993556843</v>
          </cell>
          <cell r="BG76">
            <v>3.1167337770509498</v>
          </cell>
          <cell r="BH76">
            <v>9.5193238718669679</v>
          </cell>
          <cell r="BI76">
            <v>11.110922166802938</v>
          </cell>
          <cell r="BJ76">
            <v>13.218615758376654</v>
          </cell>
          <cell r="BK76">
            <v>14.741821514876944</v>
          </cell>
          <cell r="BL76">
            <v>8246.2695042685209</v>
          </cell>
          <cell r="BM76">
            <v>9360.4997860285857</v>
          </cell>
          <cell r="BN76">
            <v>10500.783885930236</v>
          </cell>
          <cell r="BO76">
            <v>11692.097177353859</v>
          </cell>
          <cell r="BP76">
            <v>9.6071749999999997E-2</v>
          </cell>
          <cell r="BQ76">
            <v>0.109837</v>
          </cell>
          <cell r="BR76">
            <v>0.12612000000000001</v>
          </cell>
          <cell r="BS76">
            <v>0.13193725000000001</v>
          </cell>
          <cell r="BT76">
            <v>20701.265840766097</v>
          </cell>
          <cell r="BU76">
            <v>20867.536486101057</v>
          </cell>
          <cell r="BV76">
            <v>21543.896189604675</v>
          </cell>
          <cell r="BW76">
            <v>22155.038479529576</v>
          </cell>
          <cell r="BX76">
            <v>4894.7551730027735</v>
          </cell>
          <cell r="BY76">
            <v>4977.2920679060999</v>
          </cell>
          <cell r="BZ76">
            <v>5278.3169593285193</v>
          </cell>
          <cell r="CA76">
            <v>5565.3674472215962</v>
          </cell>
          <cell r="CB76">
            <v>2125.2389300090585</v>
          </cell>
          <cell r="CC76">
            <v>2209.8208698244771</v>
          </cell>
          <cell r="CD76">
            <v>2469.6156378345668</v>
          </cell>
          <cell r="CE76">
            <v>2618.5511643064706</v>
          </cell>
          <cell r="CF76">
            <v>2041.3738010082805</v>
          </cell>
          <cell r="CG76">
            <v>2105.006388958182</v>
          </cell>
          <cell r="CH76">
            <v>2354.0279301171158</v>
          </cell>
          <cell r="CI76">
            <v>2507.6025447140664</v>
          </cell>
          <cell r="CJ76">
            <v>-705.95126392787233</v>
          </cell>
          <cell r="CK76">
            <v>-764.55490534569378</v>
          </cell>
          <cell r="CL76">
            <v>-938.32891549178999</v>
          </cell>
          <cell r="CM76">
            <v>-1028.1170433685304</v>
          </cell>
          <cell r="CN76">
            <v>1164.8025978749017</v>
          </cell>
          <cell r="CO76">
            <v>1203.3293154426233</v>
          </cell>
          <cell r="CP76">
            <v>1350.2520269616055</v>
          </cell>
          <cell r="CQ76">
            <v>1440.8610496095696</v>
          </cell>
          <cell r="CR76">
            <v>1253.8909687053444</v>
          </cell>
          <cell r="CS76">
            <v>1303.7943111042837</v>
          </cell>
          <cell r="CT76">
            <v>1457.0732269124903</v>
          </cell>
          <cell r="CU76">
            <v>1544.945185009595</v>
          </cell>
          <cell r="CV76">
            <v>2.2357</v>
          </cell>
          <cell r="CW76">
            <v>0.80319071603598502</v>
          </cell>
          <cell r="CX76">
            <v>3.241205323657212</v>
          </cell>
          <cell r="CY76">
            <v>2.8367305734595476</v>
          </cell>
          <cell r="CZ76">
            <v>2.2881212878766917</v>
          </cell>
          <cell r="DA76">
            <v>4.4414500000000003E-2</v>
          </cell>
          <cell r="DB76">
            <v>1.6862313228363632</v>
          </cell>
          <cell r="DC76">
            <v>6.0479651849938136</v>
          </cell>
          <cell r="DD76">
            <v>5.4382957693695175</v>
          </cell>
          <cell r="DE76">
            <v>4.372869388740753</v>
          </cell>
          <cell r="DF76">
            <v>-0.30777925</v>
          </cell>
          <cell r="DG76">
            <v>3.9798790912915365</v>
          </cell>
          <cell r="DH76">
            <v>11.75637227241522</v>
          </cell>
          <cell r="DI76">
            <v>6.0307168528660213</v>
          </cell>
          <cell r="DJ76">
            <v>7.2056729040107967</v>
          </cell>
          <cell r="DK76">
            <v>0.48128574999999996</v>
          </cell>
          <cell r="DL76">
            <v>3.3075748318222224</v>
          </cell>
          <cell r="DM76">
            <v>12.209684384273416</v>
          </cell>
          <cell r="DN76">
            <v>6.7105266897363123</v>
          </cell>
          <cell r="DO76">
            <v>7.3470029091991478</v>
          </cell>
          <cell r="DP76">
            <v>23.644714340916035</v>
          </cell>
          <cell r="DQ76">
            <v>23.851843130698509</v>
          </cell>
          <cell r="DR76">
            <v>24.500289608132274</v>
          </cell>
          <cell r="DS76">
            <v>25.120098312461909</v>
          </cell>
          <cell r="DT76">
            <v>10.266226936827788</v>
          </cell>
          <cell r="DU76">
            <v>10.589754431704677</v>
          </cell>
          <cell r="DV76">
            <v>11.463180179201762</v>
          </cell>
          <cell r="DW76">
            <v>11.819212892480028</v>
          </cell>
          <cell r="DX76">
            <v>5.6267216064686583</v>
          </cell>
          <cell r="DY76">
            <v>5.7665135328461403</v>
          </cell>
          <cell r="DZ76">
            <v>6.267445846741162</v>
          </cell>
          <cell r="EA76">
            <v>6.503536660253924</v>
          </cell>
          <cell r="EB76">
            <v>6.0570738927283942</v>
          </cell>
          <cell r="EC76">
            <v>6.2479551046798623</v>
          </cell>
          <cell r="ED76">
            <v>6.7632763084680789</v>
          </cell>
          <cell r="EE76">
            <v>6.9733355978463605</v>
          </cell>
          <cell r="EF76">
            <v>4808.5765519976621</v>
          </cell>
          <cell r="EG76">
            <v>3051.6020797614997</v>
          </cell>
          <cell r="EH76">
            <v>1883.9905025405783</v>
          </cell>
          <cell r="EI76">
            <v>1026.2694999411506</v>
          </cell>
          <cell r="EJ76">
            <v>15188.120619277495</v>
          </cell>
          <cell r="EK76">
            <v>16049.146161879558</v>
          </cell>
          <cell r="EL76">
            <v>17269.361418845918</v>
          </cell>
          <cell r="EM76">
            <v>18460.674710269541</v>
          </cell>
          <cell r="EN76">
            <v>-92.448340497659515</v>
          </cell>
          <cell r="EO76">
            <v>-107.31791755288549</v>
          </cell>
          <cell r="EP76">
            <v>-115.58770771745102</v>
          </cell>
          <cell r="EQ76">
            <v>-110.94861422789724</v>
          </cell>
          <cell r="ER76">
            <v>10034.847141291404</v>
          </cell>
          <cell r="ES76">
            <v>9635.2951573937371</v>
          </cell>
          <cell r="ET76">
            <v>9789.4717465881768</v>
          </cell>
          <cell r="EU76">
            <v>10203.269129248341</v>
          </cell>
          <cell r="EV76">
            <v>2133.2745630113127</v>
          </cell>
          <cell r="EW76">
            <v>3637.0442960894752</v>
          </cell>
          <cell r="EX76">
            <v>4884.5870303751044</v>
          </cell>
          <cell r="EY76">
            <v>5742.3080329745317</v>
          </cell>
          <cell r="EZ76">
            <v>8246.2695042685209</v>
          </cell>
          <cell r="FA76">
            <v>9360.4997860285857</v>
          </cell>
          <cell r="FB76">
            <v>10500.783885930236</v>
          </cell>
          <cell r="FC76">
            <v>11692.097177353859</v>
          </cell>
          <cell r="FD76">
            <v>0.98239368099952518</v>
          </cell>
          <cell r="FE76">
            <v>0.61310488477026026</v>
          </cell>
          <cell r="FF76">
            <v>0.35693015729397387</v>
          </cell>
          <cell r="FG76">
            <v>0.18440282868537208</v>
          </cell>
          <cell r="FH76">
            <v>1.0037810492217079</v>
          </cell>
          <cell r="FI76">
            <v>1.6458548046830421</v>
          </cell>
          <cell r="FJ76">
            <v>1.9778733805953939</v>
          </cell>
          <cell r="FK76">
            <v>2.1929332950404259</v>
          </cell>
          <cell r="FL76">
            <v>52.945841392649903</v>
          </cell>
          <cell r="FM76">
            <v>46.37894753644774</v>
          </cell>
          <cell r="FN76">
            <v>45.665037083624227</v>
          </cell>
          <cell r="FO76">
            <v>50.161667055975037</v>
          </cell>
          <cell r="FP76">
            <v>-1969.3105878157141</v>
          </cell>
          <cell r="FQ76">
            <v>-2469.3083999908667</v>
          </cell>
          <cell r="FR76">
            <v>-2962.8779106883908</v>
          </cell>
          <cell r="FS76">
            <v>-3360.6136709397956</v>
          </cell>
          <cell r="FT76">
            <v>2219.4933212591868</v>
          </cell>
          <cell r="FU76">
            <v>1743.4287625695397</v>
          </cell>
          <cell r="FV76">
            <v>1377.1101331483383</v>
          </cell>
          <cell r="FW76">
            <v>1176.6367329132704</v>
          </cell>
          <cell r="FX76">
            <v>9.5129959827752995</v>
          </cell>
          <cell r="FY76">
            <v>11.833253060971352</v>
          </cell>
          <cell r="FZ76">
            <v>13.752748735013093</v>
          </cell>
          <cell r="GA76">
            <v>15.168620330065671</v>
          </cell>
          <cell r="GB76">
            <v>927.71284282278816</v>
          </cell>
          <cell r="GC76">
            <v>936.31522599008474</v>
          </cell>
          <cell r="GD76">
            <v>980.68168666450345</v>
          </cell>
          <cell r="GE76">
            <v>1034.6148294498264</v>
          </cell>
          <cell r="GF76">
            <v>-159.25161863141199</v>
          </cell>
          <cell r="GG76">
            <v>-241.63094722968435</v>
          </cell>
          <cell r="GH76">
            <v>-275.41491114733668</v>
          </cell>
          <cell r="GI76">
            <v>-288.1722081337449</v>
          </cell>
          <cell r="GJ76">
            <v>0.19029643286998135</v>
          </cell>
          <cell r="GK76">
            <v>0</v>
          </cell>
        </row>
        <row r="77">
          <cell r="B77" t="str">
            <v>9432.T</v>
          </cell>
          <cell r="C77" t="str">
            <v>NTT</v>
          </cell>
          <cell r="D77" t="str">
            <v>HASKINS Andrew</v>
          </cell>
          <cell r="E77" t="str">
            <v>JPY</v>
          </cell>
          <cell r="F77">
            <v>476000</v>
          </cell>
          <cell r="G77">
            <v>0</v>
          </cell>
          <cell r="H77" t="str">
            <v>JPY</v>
          </cell>
          <cell r="I77" t="str">
            <v>JAPAN</v>
          </cell>
          <cell r="J77">
            <v>1.5741208999999999E-2</v>
          </cell>
          <cell r="K77">
            <v>53.593683338566144</v>
          </cell>
          <cell r="L77">
            <v>113.90149553501607</v>
          </cell>
          <cell r="M77">
            <v>109.75419611170901</v>
          </cell>
          <cell r="N77">
            <v>102.41333542170021</v>
          </cell>
          <cell r="O77">
            <v>94.766251688239478</v>
          </cell>
          <cell r="P77">
            <v>27.095565435678392</v>
          </cell>
          <cell r="Q77">
            <v>26.056598077490449</v>
          </cell>
          <cell r="R77">
            <v>24.21759060745174</v>
          </cell>
          <cell r="S77">
            <v>22.301869180809479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218.68790282056185</v>
          </cell>
          <cell r="Y77">
            <v>220.40421663556401</v>
          </cell>
          <cell r="Z77">
            <v>247.06801919521934</v>
          </cell>
          <cell r="AA77">
            <v>272.96643625983694</v>
          </cell>
          <cell r="AB77">
            <v>419.61650613478071</v>
          </cell>
          <cell r="AC77">
            <v>420.64450543783755</v>
          </cell>
          <cell r="AD77">
            <v>427.84381796014691</v>
          </cell>
          <cell r="AE77">
            <v>425.74487671644664</v>
          </cell>
          <cell r="AF77">
            <v>41.192716386663129</v>
          </cell>
          <cell r="AG77">
            <v>43.15065383500496</v>
          </cell>
          <cell r="AH77">
            <v>48.799052519663618</v>
          </cell>
          <cell r="AI77">
            <v>54.593287342845748</v>
          </cell>
          <cell r="AJ77">
            <v>1.2098872806034258</v>
          </cell>
          <cell r="AK77">
            <v>1.2673946222589243</v>
          </cell>
          <cell r="AL77">
            <v>1.4332959350103756</v>
          </cell>
          <cell r="AM77">
            <v>1.6034806576587524</v>
          </cell>
          <cell r="AN77">
            <v>15.568643028949539</v>
          </cell>
          <cell r="AO77">
            <v>15.447408156408033</v>
          </cell>
          <cell r="AP77">
            <v>13.780309992580429</v>
          </cell>
          <cell r="AQ77">
            <v>12.472866409561149</v>
          </cell>
          <cell r="AR77">
            <v>13.309828590709142</v>
          </cell>
          <cell r="AS77">
            <v>13.545911270925767</v>
          </cell>
          <cell r="AT77">
            <v>13.070495047759344</v>
          </cell>
          <cell r="AU77">
            <v>12.760552868079664</v>
          </cell>
          <cell r="AV77">
            <v>7.5132447663378992</v>
          </cell>
          <cell r="AW77">
            <v>7.3823014192212195</v>
          </cell>
          <cell r="AX77">
            <v>7.6508196234803556</v>
          </cell>
          <cell r="AY77">
            <v>7.8366510474752653</v>
          </cell>
          <cell r="AZ77">
            <v>1.4685924322916748</v>
          </cell>
          <cell r="BA77">
            <v>1.4340568295763663</v>
          </cell>
          <cell r="BB77">
            <v>1.3310307282003773</v>
          </cell>
          <cell r="BC77">
            <v>1.2144612554548722</v>
          </cell>
          <cell r="BD77">
            <v>4.3092040799666362</v>
          </cell>
          <cell r="BE77">
            <v>4.2987317605619104</v>
          </cell>
          <cell r="BF77">
            <v>3.9734178080088141</v>
          </cell>
          <cell r="BG77">
            <v>3.5952382962529561</v>
          </cell>
          <cell r="BH77">
            <v>17.244030322968626</v>
          </cell>
          <cell r="BI77">
            <v>16.575545408519972</v>
          </cell>
          <cell r="BJ77">
            <v>15.206636485380843</v>
          </cell>
          <cell r="BK77">
            <v>14.140546279892925</v>
          </cell>
          <cell r="BL77">
            <v>59.857369062317353</v>
          </cell>
          <cell r="BM77">
            <v>64.152781854877745</v>
          </cell>
          <cell r="BN77">
            <v>69.021381065945775</v>
          </cell>
          <cell r="BO77">
            <v>74.309492907280173</v>
          </cell>
          <cell r="BP77">
            <v>6.2089749999999999E-2</v>
          </cell>
          <cell r="BQ77">
            <v>5.6514749999999996E-2</v>
          </cell>
          <cell r="BR77">
            <v>5.9798999999999998E-2</v>
          </cell>
          <cell r="BS77">
            <v>6.5662749999999992E-2</v>
          </cell>
          <cell r="BT77">
            <v>77.5582748695482</v>
          </cell>
          <cell r="BU77">
            <v>76.534063258937522</v>
          </cell>
          <cell r="BV77">
            <v>76.942878366278109</v>
          </cell>
          <cell r="BW77">
            <v>78.031515013416481</v>
          </cell>
          <cell r="BX77">
            <v>26.432142321720338</v>
          </cell>
          <cell r="BY77">
            <v>25.531761976551529</v>
          </cell>
          <cell r="BZ77">
            <v>25.774620331966116</v>
          </cell>
          <cell r="CA77">
            <v>26.358823499128597</v>
          </cell>
          <cell r="CB77">
            <v>9.5904508295896544</v>
          </cell>
          <cell r="CC77">
            <v>9.005799949598309</v>
          </cell>
          <cell r="CD77">
            <v>9.5611746556955133</v>
          </cell>
          <cell r="CE77">
            <v>10.364453821221529</v>
          </cell>
          <cell r="CF77">
            <v>9.6060056652164238</v>
          </cell>
          <cell r="CG77">
            <v>9.0052574530801568</v>
          </cell>
          <cell r="CH77">
            <v>9.553822539588138</v>
          </cell>
          <cell r="CI77">
            <v>10.419451167319357</v>
          </cell>
          <cell r="CJ77">
            <v>-4.6196689058709755</v>
          </cell>
          <cell r="CK77">
            <v>-3.9279685661480008</v>
          </cell>
          <cell r="CL77">
            <v>-3.9170672402297617</v>
          </cell>
          <cell r="CM77">
            <v>-4.2719749781360123</v>
          </cell>
          <cell r="CN77">
            <v>3.4424119840701533</v>
          </cell>
          <cell r="CO77">
            <v>3.4694288385416896</v>
          </cell>
          <cell r="CP77">
            <v>3.8891493273679592</v>
          </cell>
          <cell r="CQ77">
            <v>4.2968217231512709</v>
          </cell>
          <cell r="CR77">
            <v>5.6583659894578959</v>
          </cell>
          <cell r="CS77">
            <v>5.313421970692163</v>
          </cell>
          <cell r="CT77">
            <v>5.6410930452331192</v>
          </cell>
          <cell r="CU77">
            <v>6.1150277515165783</v>
          </cell>
          <cell r="CV77">
            <v>-1.878825</v>
          </cell>
          <cell r="CW77">
            <v>-1.3205703870197993</v>
          </cell>
          <cell r="CX77">
            <v>0.53416098653673316</v>
          </cell>
          <cell r="CY77">
            <v>1.4148634288881681</v>
          </cell>
          <cell r="CZ77">
            <v>0.20297892796119754</v>
          </cell>
          <cell r="DA77">
            <v>-6.2671249999999998E-2</v>
          </cell>
          <cell r="DB77">
            <v>-3.4063842960959363</v>
          </cell>
          <cell r="DC77">
            <v>0.95120092235556797</v>
          </cell>
          <cell r="DD77">
            <v>2.2665830170849972</v>
          </cell>
          <cell r="DE77">
            <v>-9.2547321350039624E-2</v>
          </cell>
          <cell r="DF77">
            <v>-0.10460274999999999</v>
          </cell>
          <cell r="DG77">
            <v>-6.0961772327481043</v>
          </cell>
          <cell r="DH77">
            <v>6.1668559062537867</v>
          </cell>
          <cell r="DI77">
            <v>8.4014694266410999</v>
          </cell>
          <cell r="DJ77">
            <v>2.6208953024982122</v>
          </cell>
          <cell r="DK77">
            <v>-0.128056</v>
          </cell>
          <cell r="DL77">
            <v>0.7848233911733189</v>
          </cell>
          <cell r="DM77">
            <v>12.097682597308761</v>
          </cell>
          <cell r="DN77">
            <v>10.482302464308063</v>
          </cell>
          <cell r="DO77">
            <v>7.6700289950694298</v>
          </cell>
          <cell r="DP77">
            <v>34.080363914977205</v>
          </cell>
          <cell r="DQ77">
            <v>33.359998005293377</v>
          </cell>
          <cell r="DR77">
            <v>33.4983833192058</v>
          </cell>
          <cell r="DS77">
            <v>33.779715150470359</v>
          </cell>
          <cell r="DT77">
            <v>12.365477243686302</v>
          </cell>
          <cell r="DU77">
            <v>11.76704798637047</v>
          </cell>
          <cell r="DV77">
            <v>12.426328282366295</v>
          </cell>
          <cell r="DW77">
            <v>13.282394708650086</v>
          </cell>
          <cell r="DX77">
            <v>4.4384844684338791</v>
          </cell>
          <cell r="DY77">
            <v>4.5331825997576773</v>
          </cell>
          <cell r="DZ77">
            <v>5.0545929785133481</v>
          </cell>
          <cell r="EA77">
            <v>5.5065209517109714</v>
          </cell>
          <cell r="EB77">
            <v>7.2956315737749176</v>
          </cell>
          <cell r="EC77">
            <v>6.9425583125193224</v>
          </cell>
          <cell r="ED77">
            <v>7.3315336844812542</v>
          </cell>
          <cell r="EE77">
            <v>7.8366128742536665</v>
          </cell>
          <cell r="EF77">
            <v>33.212246760771528</v>
          </cell>
          <cell r="EG77">
            <v>30.103914695652399</v>
          </cell>
          <cell r="EH77">
            <v>24.602061475682333</v>
          </cell>
          <cell r="EI77">
            <v>18.870699168863851</v>
          </cell>
          <cell r="EJ77">
            <v>101.99914934294291</v>
          </cell>
          <cell r="EK77">
            <v>106.22339300684166</v>
          </cell>
          <cell r="EL77">
            <v>111.09199221790971</v>
          </cell>
          <cell r="EM77">
            <v>116.38010405924409</v>
          </cell>
          <cell r="EN77">
            <v>-0.54289036238907251</v>
          </cell>
          <cell r="EO77">
            <v>-0.74142921940739448</v>
          </cell>
          <cell r="EP77">
            <v>-0.78157874152663365</v>
          </cell>
          <cell r="EQ77">
            <v>-0.75406947357602827</v>
          </cell>
          <cell r="ER77">
            <v>74.872681745877941</v>
          </cell>
          <cell r="ES77">
            <v>73.872842260873782</v>
          </cell>
          <cell r="ET77">
            <v>73.054330047896357</v>
          </cell>
          <cell r="EU77">
            <v>72.44506980054453</v>
          </cell>
          <cell r="EV77">
            <v>8.9295335198540293</v>
          </cell>
          <cell r="EW77">
            <v>11.966696456311519</v>
          </cell>
          <cell r="EX77">
            <v>17.468549676281587</v>
          </cell>
          <cell r="EY77">
            <v>23.199911983100073</v>
          </cell>
          <cell r="EZ77">
            <v>59.857369062317353</v>
          </cell>
          <cell r="FA77">
            <v>64.152781854877745</v>
          </cell>
          <cell r="FB77">
            <v>69.021381065945775</v>
          </cell>
          <cell r="FC77">
            <v>74.309492907280173</v>
          </cell>
          <cell r="FD77">
            <v>1.256509833994035</v>
          </cell>
          <cell r="FE77">
            <v>1.1790770540356734</v>
          </cell>
          <cell r="FF77">
            <v>0.95450723071060894</v>
          </cell>
          <cell r="FG77">
            <v>0.71591583628486688</v>
          </cell>
          <cell r="FH77">
            <v>0.93108589768309113</v>
          </cell>
          <cell r="FI77">
            <v>1.328776624318118</v>
          </cell>
          <cell r="FJ77">
            <v>1.8270296595696758</v>
          </cell>
          <cell r="FK77">
            <v>2.2384114381017897</v>
          </cell>
          <cell r="FL77">
            <v>48.687809091695108</v>
          </cell>
          <cell r="FM77">
            <v>34.4358723776201</v>
          </cell>
          <cell r="FN77">
            <v>32.977637392774199</v>
          </cell>
          <cell r="FO77">
            <v>34.95543106144715</v>
          </cell>
          <cell r="FP77">
            <v>-15.207202292931996</v>
          </cell>
          <cell r="FQ77">
            <v>-14.982340335604892</v>
          </cell>
          <cell r="FR77">
            <v>-15.122774133867727</v>
          </cell>
          <cell r="FS77">
            <v>-15.385109435919766</v>
          </cell>
          <cell r="FT77">
            <v>6.6052711229173653</v>
          </cell>
          <cell r="FU77">
            <v>6.6214530747986373</v>
          </cell>
          <cell r="FV77">
            <v>6.7347789578686257</v>
          </cell>
          <cell r="FW77">
            <v>6.7017390850728198</v>
          </cell>
          <cell r="FX77">
            <v>19.607453000353953</v>
          </cell>
          <cell r="FY77">
            <v>19.576041957834089</v>
          </cell>
          <cell r="FZ77">
            <v>19.654546924898526</v>
          </cell>
          <cell r="GA77">
            <v>19.71653303575421</v>
          </cell>
          <cell r="GB77">
            <v>1279.2698962029908</v>
          </cell>
          <cell r="GC77">
            <v>1261.0614826257945</v>
          </cell>
          <cell r="GD77">
            <v>1267.8225912465525</v>
          </cell>
          <cell r="GE77">
            <v>1279.7169151203302</v>
          </cell>
          <cell r="GF77">
            <v>-0.64842315792018912</v>
          </cell>
          <cell r="GG77">
            <v>-0.67924346050346451</v>
          </cell>
          <cell r="GH77">
            <v>-0.76815608471400154</v>
          </cell>
          <cell r="GI77">
            <v>-0.85936434606078949</v>
          </cell>
          <cell r="GJ77">
            <v>1.0781953852837707E-3</v>
          </cell>
          <cell r="GK77">
            <v>6</v>
          </cell>
          <cell r="GP77">
            <v>79.04336130254066</v>
          </cell>
          <cell r="GQ77">
            <v>26.448718063939985</v>
          </cell>
          <cell r="GR77">
            <v>9.600493209500355</v>
          </cell>
          <cell r="GS77">
            <v>3.4468258513823993</v>
          </cell>
        </row>
        <row r="78">
          <cell r="B78" t="str">
            <v>9437.T</v>
          </cell>
          <cell r="C78" t="str">
            <v>NTT DoCoMo, Inc.</v>
          </cell>
          <cell r="D78" t="str">
            <v>HASKINS Andrew</v>
          </cell>
          <cell r="E78" t="str">
            <v>JPY</v>
          </cell>
          <cell r="F78">
            <v>189000</v>
          </cell>
          <cell r="G78">
            <v>0</v>
          </cell>
          <cell r="H78" t="str">
            <v>JPY</v>
          </cell>
          <cell r="I78" t="str">
            <v>JAPAN</v>
          </cell>
          <cell r="J78">
            <v>5.0180000000000002E-2</v>
          </cell>
          <cell r="K78">
            <v>67.836124583877194</v>
          </cell>
          <cell r="L78">
            <v>68.107853338286063</v>
          </cell>
          <cell r="M78">
            <v>67.019880314661748</v>
          </cell>
          <cell r="N78">
            <v>64.977270300524111</v>
          </cell>
          <cell r="O78">
            <v>62.536891114196145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82.616223086077383</v>
          </cell>
          <cell r="Y78">
            <v>80.364697228349343</v>
          </cell>
          <cell r="Z78">
            <v>82.282203938392612</v>
          </cell>
          <cell r="AA78">
            <v>84.508690654152034</v>
          </cell>
          <cell r="AB78">
            <v>42.988602840433231</v>
          </cell>
          <cell r="AC78">
            <v>52.479161609128056</v>
          </cell>
          <cell r="AD78">
            <v>61.766203932123616</v>
          </cell>
          <cell r="AE78">
            <v>63.295128498217174</v>
          </cell>
          <cell r="AF78">
            <v>19.748331722822208</v>
          </cell>
          <cell r="AG78">
            <v>13.848653118623027</v>
          </cell>
          <cell r="AH78">
            <v>15.882168240883837</v>
          </cell>
          <cell r="AI78">
            <v>16.901738123703389</v>
          </cell>
          <cell r="AJ78">
            <v>1.4608312192509083</v>
          </cell>
          <cell r="AK78">
            <v>1.0244179156096256</v>
          </cell>
          <cell r="AL78">
            <v>1.1748418813962855</v>
          </cell>
          <cell r="AM78">
            <v>1.2502618984354736</v>
          </cell>
          <cell r="AN78">
            <v>16.36307931131542</v>
          </cell>
          <cell r="AO78">
            <v>16.821513144230863</v>
          </cell>
          <cell r="AP78">
            <v>16.429504146133361</v>
          </cell>
          <cell r="AQ78">
            <v>15.996648395503136</v>
          </cell>
          <cell r="AR78">
            <v>31.781073687213684</v>
          </cell>
          <cell r="AS78">
            <v>25.813022732595805</v>
          </cell>
          <cell r="AT78">
            <v>21.857876773448869</v>
          </cell>
          <cell r="AU78">
            <v>21.262284642833517</v>
          </cell>
          <cell r="AV78">
            <v>3.1465267971809423</v>
          </cell>
          <cell r="AW78">
            <v>3.8740135564876486</v>
          </cell>
          <cell r="AX78">
            <v>4.575009779608223</v>
          </cell>
          <cell r="AY78">
            <v>4.7031634502036042</v>
          </cell>
          <cell r="AZ78">
            <v>1.9345519525809747</v>
          </cell>
          <cell r="BA78">
            <v>1.9057687581865512</v>
          </cell>
          <cell r="BB78">
            <v>1.8253150602133177</v>
          </cell>
          <cell r="BC78">
            <v>1.7311301644462211</v>
          </cell>
          <cell r="BD78">
            <v>5.5208858235370855</v>
          </cell>
          <cell r="BE78">
            <v>5.4692276439349898</v>
          </cell>
          <cell r="BF78">
            <v>5.1619372590290764</v>
          </cell>
          <cell r="BG78">
            <v>4.832165641870132</v>
          </cell>
          <cell r="BH78">
            <v>31.572807718224524</v>
          </cell>
          <cell r="BI78">
            <v>25.449901316982658</v>
          </cell>
          <cell r="BJ78">
            <v>20.964277255344783</v>
          </cell>
          <cell r="BK78">
            <v>19.689529780729952</v>
          </cell>
          <cell r="BL78">
            <v>28.444504576397602</v>
          </cell>
          <cell r="BM78">
            <v>31.60904996582282</v>
          </cell>
          <cell r="BN78">
            <v>34.941339932907432</v>
          </cell>
          <cell r="BO78">
            <v>38.334192986668974</v>
          </cell>
          <cell r="BP78">
            <v>0.182311</v>
          </cell>
          <cell r="BQ78">
            <v>0.16594449999999999</v>
          </cell>
          <cell r="BR78">
            <v>0.15698624999999999</v>
          </cell>
          <cell r="BS78">
            <v>0.15397549999999999</v>
          </cell>
          <cell r="BT78">
            <v>35.206008940426877</v>
          </cell>
          <cell r="BU78">
            <v>35.166848037972365</v>
          </cell>
          <cell r="BV78">
            <v>35.597838267400512</v>
          </cell>
          <cell r="BW78">
            <v>36.124892511593053</v>
          </cell>
          <cell r="BX78">
            <v>12.336399540798901</v>
          </cell>
          <cell r="BY78">
            <v>12.253993557752592</v>
          </cell>
          <cell r="BZ78">
            <v>12.587768320288703</v>
          </cell>
          <cell r="CA78">
            <v>12.941793752333639</v>
          </cell>
          <cell r="CB78">
            <v>7.0030064969242547</v>
          </cell>
          <cell r="CC78">
            <v>6.8327249132804617</v>
          </cell>
          <cell r="CD78">
            <v>7.0039319209061572</v>
          </cell>
          <cell r="CE78">
            <v>7.1835007003247906</v>
          </cell>
          <cell r="CF78">
            <v>6.9349257847879278</v>
          </cell>
          <cell r="CG78">
            <v>6.8184283514247683</v>
          </cell>
          <cell r="CH78">
            <v>6.9987409662570732</v>
          </cell>
          <cell r="CI78">
            <v>7.1881055485886414</v>
          </cell>
          <cell r="CJ78">
            <v>-4.0495667231493844</v>
          </cell>
          <cell r="CK78">
            <v>-3.2056113982573855</v>
          </cell>
          <cell r="CL78">
            <v>-2.8694837968449045</v>
          </cell>
          <cell r="CM78">
            <v>-2.9471232757796639</v>
          </cell>
          <cell r="CN78">
            <v>4.145682074459363</v>
          </cell>
          <cell r="CO78">
            <v>4.0327005069185704</v>
          </cell>
          <cell r="CP78">
            <v>4.1289209936285411</v>
          </cell>
          <cell r="CQ78">
            <v>4.2406460970253494</v>
          </cell>
          <cell r="CR78">
            <v>4.1868694910299897</v>
          </cell>
          <cell r="CS78">
            <v>4.0415232990945276</v>
          </cell>
          <cell r="CT78">
            <v>4.1323198327266555</v>
          </cell>
          <cell r="CU78">
            <v>4.2382654109921782</v>
          </cell>
          <cell r="CV78">
            <v>-1.2568749999999997</v>
          </cell>
          <cell r="CW78">
            <v>-0.11123357527056044</v>
          </cell>
          <cell r="CX78">
            <v>1.2255583126550675</v>
          </cell>
          <cell r="CY78">
            <v>1.4805793549413409</v>
          </cell>
          <cell r="CZ78">
            <v>0.86254514744608457</v>
          </cell>
          <cell r="DA78">
            <v>-6.9089500000000012E-2</v>
          </cell>
          <cell r="DB78">
            <v>-0.66799054921800405</v>
          </cell>
          <cell r="DC78">
            <v>2.7238039661359608</v>
          </cell>
          <cell r="DD78">
            <v>2.8124558939834259</v>
          </cell>
          <cell r="DE78">
            <v>1.6097421541105206</v>
          </cell>
          <cell r="DF78">
            <v>-0.10134174999999999</v>
          </cell>
          <cell r="DG78">
            <v>-2.4315497025253592</v>
          </cell>
          <cell r="DH78">
            <v>2.5056915037356333</v>
          </cell>
          <cell r="DI78">
            <v>2.5638281674702768</v>
          </cell>
          <cell r="DJ78">
            <v>0.85185012082989431</v>
          </cell>
          <cell r="DK78">
            <v>-7.438924999999999E-2</v>
          </cell>
          <cell r="DL78">
            <v>-2.7252829694020022</v>
          </cell>
          <cell r="DM78">
            <v>2.3860062641620345</v>
          </cell>
          <cell r="DN78">
            <v>2.7059152637993122</v>
          </cell>
          <cell r="DO78">
            <v>0.7578005649137225</v>
          </cell>
          <cell r="DP78">
            <v>35.040607873711799</v>
          </cell>
          <cell r="DQ78">
            <v>34.845299597282668</v>
          </cell>
          <cell r="DR78">
            <v>35.361046998789881</v>
          </cell>
          <cell r="DS78">
            <v>35.825141204725831</v>
          </cell>
          <cell r="DT78">
            <v>19.891509170421013</v>
          </cell>
          <cell r="DU78">
            <v>19.429449309482159</v>
          </cell>
          <cell r="DV78">
            <v>19.675160801323599</v>
          </cell>
          <cell r="DW78">
            <v>19.885182213398949</v>
          </cell>
          <cell r="DX78">
            <v>11.775495715729646</v>
          </cell>
          <cell r="DY78">
            <v>11.467335663873406</v>
          </cell>
          <cell r="DZ78">
            <v>11.598796990461327</v>
          </cell>
          <cell r="EA78">
            <v>11.738847653773526</v>
          </cell>
          <cell r="EB78">
            <v>11.892485450749941</v>
          </cell>
          <cell r="EC78">
            <v>11.49242404303787</v>
          </cell>
          <cell r="ED78">
            <v>11.608344871073019</v>
          </cell>
          <cell r="EE78">
            <v>11.732257499816924</v>
          </cell>
          <cell r="EF78">
            <v>0.27172875440887162</v>
          </cell>
          <cell r="EG78">
            <v>-0.81624426921543991</v>
          </cell>
          <cell r="EH78">
            <v>-2.8588542833530801</v>
          </cell>
          <cell r="EI78">
            <v>-5.2992334696810461</v>
          </cell>
          <cell r="EJ78">
            <v>35.567318400465822</v>
          </cell>
          <cell r="EK78">
            <v>38.50351460069276</v>
          </cell>
          <cell r="EL78">
            <v>41.83580456777738</v>
          </cell>
          <cell r="EM78">
            <v>45.228657621538915</v>
          </cell>
          <cell r="EN78">
            <v>-2.2686252332194914E-2</v>
          </cell>
          <cell r="EO78">
            <v>-5.4236669707930967E-3</v>
          </cell>
          <cell r="EP78">
            <v>4.0812205056377409E-3</v>
          </cell>
          <cell r="EQ78">
            <v>1.4294269422956897E-2</v>
          </cell>
          <cell r="ER78">
            <v>19.713133371649864</v>
          </cell>
          <cell r="ES78">
            <v>20.926429717922108</v>
          </cell>
          <cell r="ET78">
            <v>22.071243303702499</v>
          </cell>
          <cell r="EU78">
            <v>23.131471178418916</v>
          </cell>
          <cell r="EV78">
            <v>6.8510850696593515</v>
          </cell>
          <cell r="EW78">
            <v>7.710708904085382</v>
          </cell>
          <cell r="EX78">
            <v>9.7533189182230213</v>
          </cell>
          <cell r="EY78">
            <v>12.193698104550988</v>
          </cell>
          <cell r="EZ78">
            <v>28.444504576397602</v>
          </cell>
          <cell r="FA78">
            <v>31.60904996582282</v>
          </cell>
          <cell r="FB78">
            <v>34.941339932907432</v>
          </cell>
          <cell r="FC78">
            <v>38.334192986668974</v>
          </cell>
          <cell r="FD78">
            <v>2.2026585107770801E-2</v>
          </cell>
          <cell r="FE78">
            <v>-6.6610469914849604E-2</v>
          </cell>
          <cell r="FF78">
            <v>-0.22711367182896419</v>
          </cell>
          <cell r="FG78">
            <v>-0.40946669148745307</v>
          </cell>
          <cell r="FH78">
            <v>0.97830625641549418</v>
          </cell>
          <cell r="FI78">
            <v>1.1284969030581669</v>
          </cell>
          <cell r="FJ78">
            <v>1.3925490750574219</v>
          </cell>
          <cell r="FK78">
            <v>1.697459026349043</v>
          </cell>
          <cell r="FL78">
            <v>543.78305240358509</v>
          </cell>
          <cell r="FM78">
            <v>2259.3558239732233</v>
          </cell>
          <cell r="FN78">
            <v>-3084.3146805961933</v>
          </cell>
          <cell r="FO78">
            <v>-905.38336513714</v>
          </cell>
          <cell r="FP78">
            <v>-6.1296647271165767</v>
          </cell>
          <cell r="FQ78">
            <v>-6.4149778299491604</v>
          </cell>
          <cell r="FR78">
            <v>-6.6188564101298359</v>
          </cell>
          <cell r="FS78">
            <v>-6.8185209285134381</v>
          </cell>
          <cell r="FT78">
            <v>2.1571680905329398</v>
          </cell>
          <cell r="FU78">
            <v>2.6334043295460461</v>
          </cell>
          <cell r="FV78">
            <v>3.0994281133139632</v>
          </cell>
          <cell r="FW78">
            <v>3.176149548040538</v>
          </cell>
          <cell r="FX78">
            <v>17.41084806712616</v>
          </cell>
          <cell r="FY78">
            <v>18.241549037953053</v>
          </cell>
          <cell r="FZ78">
            <v>18.59342233202738</v>
          </cell>
          <cell r="GA78">
            <v>18.874854579360385</v>
          </cell>
          <cell r="GB78">
            <v>193.70645117698803</v>
          </cell>
          <cell r="GC78">
            <v>194.61421117964409</v>
          </cell>
          <cell r="GD78">
            <v>199.94148374103972</v>
          </cell>
          <cell r="GE78">
            <v>205.83266398499603</v>
          </cell>
          <cell r="GF78">
            <v>-0.99097128585121841</v>
          </cell>
          <cell r="GG78">
            <v>-0.69492541349250347</v>
          </cell>
          <cell r="GH78">
            <v>-0.79696720232755103</v>
          </cell>
          <cell r="GI78">
            <v>-0.8481292190474361</v>
          </cell>
          <cell r="GJ78">
            <v>6.5838508446630487E-4</v>
          </cell>
          <cell r="GK78">
            <v>6</v>
          </cell>
          <cell r="GP78">
            <v>35.654136873252568</v>
          </cell>
          <cell r="GQ78">
            <v>12.344928590237252</v>
          </cell>
          <cell r="GR78">
            <v>7.0101106657498615</v>
          </cell>
          <cell r="GS78">
            <v>4.1487683120909651</v>
          </cell>
        </row>
        <row r="81">
          <cell r="B81" t="str">
            <v>9433.T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</row>
        <row r="82">
          <cell r="B82" t="str">
            <v>BRTI.BO</v>
          </cell>
        </row>
        <row r="83">
          <cell r="B83" t="str">
            <v>AsiaPac aggregate</v>
          </cell>
          <cell r="K83" t="e">
            <v>#VALUE!</v>
          </cell>
          <cell r="L83">
            <v>107409.30820027695</v>
          </cell>
          <cell r="M83">
            <v>101794.34786100735</v>
          </cell>
          <cell r="N83">
            <v>96670.004154163966</v>
          </cell>
          <cell r="O83">
            <v>91528.085326170258</v>
          </cell>
          <cell r="P83">
            <v>27.095565435678392</v>
          </cell>
          <cell r="Q83">
            <v>26.056598077490449</v>
          </cell>
          <cell r="R83">
            <v>24.21759060745174</v>
          </cell>
          <cell r="S83">
            <v>22.301869180809479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1.8053070504219002</v>
          </cell>
          <cell r="BA83">
            <v>1.6498764397061845</v>
          </cell>
          <cell r="BB83">
            <v>1.4997975851055283</v>
          </cell>
          <cell r="BC83">
            <v>1.3650064976563165</v>
          </cell>
          <cell r="BD83">
            <v>4.1588939439757082</v>
          </cell>
          <cell r="BE83">
            <v>3.8110291958025937</v>
          </cell>
          <cell r="BF83">
            <v>3.4676521294605243</v>
          </cell>
          <cell r="BG83">
            <v>3.156508214639743</v>
          </cell>
          <cell r="BH83">
            <v>13.083199303130012</v>
          </cell>
          <cell r="BI83">
            <v>12.247646993968438</v>
          </cell>
          <cell r="BJ83">
            <v>11.250537402266689</v>
          </cell>
          <cell r="BK83">
            <v>10.195663266029849</v>
          </cell>
          <cell r="BL83">
            <v>50214.852765608819</v>
          </cell>
          <cell r="BM83">
            <v>57765.25517207649</v>
          </cell>
          <cell r="BN83">
            <v>65354.396842199632</v>
          </cell>
          <cell r="BO83">
            <v>72936.516394242979</v>
          </cell>
          <cell r="BP83" t="e">
            <v>#VALUE!</v>
          </cell>
          <cell r="BQ83" t="e">
            <v>#VALUE!</v>
          </cell>
          <cell r="BR83" t="e">
            <v>#VALUE!</v>
          </cell>
          <cell r="BS83" t="e">
            <v>#VALUE!</v>
          </cell>
          <cell r="BT83">
            <v>59496.420941343691</v>
          </cell>
          <cell r="BU83">
            <v>61698.164426867763</v>
          </cell>
          <cell r="BV83">
            <v>64455.367253683165</v>
          </cell>
          <cell r="BW83">
            <v>67053.223177561274</v>
          </cell>
          <cell r="BX83">
            <v>25826.411937208159</v>
          </cell>
          <cell r="BY83">
            <v>26710.461303503529</v>
          </cell>
          <cell r="BZ83">
            <v>27877.653393451346</v>
          </cell>
          <cell r="CA83">
            <v>28996.625100377409</v>
          </cell>
          <cell r="CB83">
            <v>13582.694384153365</v>
          </cell>
          <cell r="CC83">
            <v>15113.059074158444</v>
          </cell>
          <cell r="CD83">
            <v>16024.724119572564</v>
          </cell>
          <cell r="CE83">
            <v>16849.176314704273</v>
          </cell>
          <cell r="CF83">
            <v>12551.349872128896</v>
          </cell>
          <cell r="CG83">
            <v>13922.279803997282</v>
          </cell>
          <cell r="CH83">
            <v>15013.642079543615</v>
          </cell>
          <cell r="CI83">
            <v>16050.34476518108</v>
          </cell>
          <cell r="CJ83">
            <v>-4217.6796090657936</v>
          </cell>
          <cell r="CK83">
            <v>-4666.1668959341223</v>
          </cell>
          <cell r="CL83">
            <v>-5117.3257898322972</v>
          </cell>
          <cell r="CM83">
            <v>-5498.6305806225246</v>
          </cell>
          <cell r="CN83">
            <v>8202.1465156545219</v>
          </cell>
          <cell r="CO83">
            <v>9117.9899014140155</v>
          </cell>
          <cell r="CP83">
            <v>9829.2710702221411</v>
          </cell>
          <cell r="CQ83">
            <v>10511.358510510607</v>
          </cell>
          <cell r="CR83">
            <v>9217.1317434910434</v>
          </cell>
          <cell r="CS83">
            <v>10053.257380742663</v>
          </cell>
          <cell r="CT83">
            <v>10643.221040350725</v>
          </cell>
          <cell r="CU83">
            <v>11183.610538582545</v>
          </cell>
          <cell r="CV83">
            <v>63.694637897371763</v>
          </cell>
          <cell r="CW83">
            <v>3.7006318206850324</v>
          </cell>
          <cell r="CX83">
            <v>4.4688571409341904</v>
          </cell>
          <cell r="CY83">
            <v>4.0304726116189471</v>
          </cell>
          <cell r="CZ83">
            <v>4.0661782848392818</v>
          </cell>
          <cell r="DA83">
            <v>23.528918097015136</v>
          </cell>
          <cell r="DB83">
            <v>3.4230436982294066</v>
          </cell>
          <cell r="DC83">
            <v>4.3697938297857917</v>
          </cell>
          <cell r="DD83">
            <v>4.0138662000472181</v>
          </cell>
          <cell r="DE83">
            <v>3.9348339572337352</v>
          </cell>
          <cell r="DF83">
            <v>18.829684050700862</v>
          </cell>
          <cell r="DG83">
            <v>11.26701850695045</v>
          </cell>
          <cell r="DH83">
            <v>6.0322998867446955</v>
          </cell>
          <cell r="DI83">
            <v>5.1448760613902067</v>
          </cell>
          <cell r="DJ83">
            <v>7.4478134216597454</v>
          </cell>
          <cell r="DK83">
            <v>17.022090542962729</v>
          </cell>
          <cell r="DL83">
            <v>11.165898877952557</v>
          </cell>
          <cell r="DM83">
            <v>7.8008549746015916</v>
          </cell>
          <cell r="DN83">
            <v>6.9393491685752338</v>
          </cell>
          <cell r="DO83">
            <v>8.6201609501004128</v>
          </cell>
          <cell r="DP83">
            <v>43.408345457737518</v>
          </cell>
          <cell r="DQ83">
            <v>43.292149047908943</v>
          </cell>
          <cell r="DR83">
            <v>43.251096970296665</v>
          </cell>
          <cell r="DS83">
            <v>43.244192786366831</v>
          </cell>
          <cell r="DT83">
            <v>22.829431030051818</v>
          </cell>
          <cell r="DU83">
            <v>24.495151864805145</v>
          </cell>
          <cell r="DV83">
            <v>24.861737357732398</v>
          </cell>
          <cell r="DW83">
            <v>25.128063225367352</v>
          </cell>
          <cell r="DX83">
            <v>13.785949450204495</v>
          </cell>
          <cell r="DY83">
            <v>14.778381149769498</v>
          </cell>
          <cell r="DZ83">
            <v>15.249732472295344</v>
          </cell>
          <cell r="EA83">
            <v>15.676142044172655</v>
          </cell>
          <cell r="EB83">
            <v>15.491909593314908</v>
          </cell>
          <cell r="EC83">
            <v>16.294256845613322</v>
          </cell>
          <cell r="ED83">
            <v>16.512544251685323</v>
          </cell>
          <cell r="EE83">
            <v>16.678706866883374</v>
          </cell>
          <cell r="EF83">
            <v>16798.063597180892</v>
          </cell>
          <cell r="EG83">
            <v>11184.142225269481</v>
          </cell>
          <cell r="EH83">
            <v>6061.6375258961225</v>
          </cell>
          <cell r="EI83">
            <v>921.63441932907028</v>
          </cell>
          <cell r="EJ83">
            <v>79764.44856020296</v>
          </cell>
          <cell r="EK83">
            <v>87061.346709194782</v>
          </cell>
          <cell r="EL83">
            <v>93770.215313638138</v>
          </cell>
          <cell r="EM83">
            <v>100419.9104687964</v>
          </cell>
          <cell r="EN83">
            <v>-667.96414753226998</v>
          </cell>
          <cell r="EO83">
            <v>-624.86323733050654</v>
          </cell>
          <cell r="EP83">
            <v>-518.90027045352429</v>
          </cell>
          <cell r="EQ83">
            <v>-382.88895658115678</v>
          </cell>
          <cell r="ER83">
            <v>68347.114478560921</v>
          </cell>
          <cell r="ES83">
            <v>70539.579517701728</v>
          </cell>
          <cell r="ET83">
            <v>73338.804021028554</v>
          </cell>
          <cell r="EU83">
            <v>76196.114256567598</v>
          </cell>
          <cell r="EV83">
            <v>12751.532197413248</v>
          </cell>
          <cell r="EW83">
            <v>18111.949311848799</v>
          </cell>
          <cell r="EX83">
            <v>22354.180945542379</v>
          </cell>
          <cell r="EY83">
            <v>26561.759655224356</v>
          </cell>
          <cell r="FD83">
            <v>0.65042188740821139</v>
          </cell>
          <cell r="FE83">
            <v>0.41871767388017711</v>
          </cell>
          <cell r="FF83">
            <v>0.21743715083709461</v>
          </cell>
          <cell r="FG83">
            <v>3.1784196131055084E-2</v>
          </cell>
          <cell r="FH83">
            <v>0.93880726730406183</v>
          </cell>
          <cell r="FI83">
            <v>1.1984303920850878</v>
          </cell>
          <cell r="FJ83">
            <v>1.3949807047373146</v>
          </cell>
          <cell r="FK83">
            <v>1.5764426200492609</v>
          </cell>
          <cell r="FL83">
            <v>38.664368488370791</v>
          </cell>
          <cell r="FM83">
            <v>42.746091797004958</v>
          </cell>
          <cell r="FN83">
            <v>53.724491931919758</v>
          </cell>
          <cell r="FO83">
            <v>75.731160698105199</v>
          </cell>
          <cell r="FP83">
            <v>-13399.019572747708</v>
          </cell>
          <cell r="FQ83">
            <v>-13732.955265353949</v>
          </cell>
          <cell r="FR83">
            <v>-14167.848800367616</v>
          </cell>
          <cell r="FS83">
            <v>-14520.836002650292</v>
          </cell>
          <cell r="FT83">
            <v>8209.7127553946575</v>
          </cell>
          <cell r="FU83">
            <v>8311.3391422154564</v>
          </cell>
          <cell r="FV83">
            <v>8592.4788032514334</v>
          </cell>
          <cell r="FW83">
            <v>8977.1585171045899</v>
          </cell>
          <cell r="FX83">
            <v>22.520715298080752</v>
          </cell>
          <cell r="FY83">
            <v>22.258288221251593</v>
          </cell>
          <cell r="FZ83">
            <v>21.980867387824905</v>
          </cell>
          <cell r="GA83">
            <v>21.655686803001519</v>
          </cell>
          <cell r="GF83">
            <v>-1811.6021657841966</v>
          </cell>
          <cell r="GG83">
            <v>-2290.4157514439185</v>
          </cell>
          <cell r="GH83">
            <v>-2800.1213401239147</v>
          </cell>
          <cell r="GI83">
            <v>-3386.3365957013025</v>
          </cell>
          <cell r="GJ83" t="e">
            <v>#REF!</v>
          </cell>
          <cell r="GK83">
            <v>0</v>
          </cell>
          <cell r="GP83">
            <v>36345.980360483722</v>
          </cell>
          <cell r="GQ83">
            <v>20907.178930301186</v>
          </cell>
          <cell r="GR83">
            <v>11430.388368581422</v>
          </cell>
          <cell r="GS83">
            <v>7009.058270620485</v>
          </cell>
        </row>
        <row r="84"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GK84">
            <v>0</v>
          </cell>
        </row>
        <row r="85">
          <cell r="B85" t="str">
            <v>Global aggregate</v>
          </cell>
          <cell r="K85" t="e">
            <v>#VALUE!</v>
          </cell>
          <cell r="L85">
            <v>1252020.3311230838</v>
          </cell>
          <cell r="M85">
            <v>1244367.8137817646</v>
          </cell>
          <cell r="N85">
            <v>1205816.3260722156</v>
          </cell>
          <cell r="O85">
            <v>1162419.1022374642</v>
          </cell>
          <cell r="P85">
            <v>70909.271331218799</v>
          </cell>
          <cell r="Q85">
            <v>71377.59937131856</v>
          </cell>
          <cell r="R85">
            <v>68652.075267159205</v>
          </cell>
          <cell r="S85">
            <v>65555.49325941666</v>
          </cell>
          <cell r="T85">
            <v>119821.85576728218</v>
          </cell>
          <cell r="U85">
            <v>117977.02994378032</v>
          </cell>
          <cell r="V85">
            <v>119362.7104568889</v>
          </cell>
          <cell r="W85">
            <v>121378.72673102436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2.0641204000567379</v>
          </cell>
          <cell r="BA85">
            <v>1.947326082612078</v>
          </cell>
          <cell r="BB85">
            <v>1.8072809851199478</v>
          </cell>
          <cell r="BC85">
            <v>1.6727457667544632</v>
          </cell>
          <cell r="BD85">
            <v>5.6327366037522264</v>
          </cell>
          <cell r="BE85">
            <v>5.3605916618328724</v>
          </cell>
          <cell r="BF85">
            <v>4.9372427944009827</v>
          </cell>
          <cell r="BG85">
            <v>4.5379851384726742</v>
          </cell>
          <cell r="BH85">
            <v>12.001475551570346</v>
          </cell>
          <cell r="BI85">
            <v>13.057613802722395</v>
          </cell>
          <cell r="BJ85">
            <v>11.943423246376668</v>
          </cell>
          <cell r="BK85">
            <v>11.243739724312171</v>
          </cell>
          <cell r="BL85">
            <v>554581.92924001673</v>
          </cell>
          <cell r="BM85">
            <v>540868.73819001834</v>
          </cell>
          <cell r="BN85">
            <v>547119.55988743249</v>
          </cell>
          <cell r="BO85">
            <v>558232.85724944668</v>
          </cell>
          <cell r="BP85" t="e">
            <v>#VALUE!</v>
          </cell>
          <cell r="BQ85" t="e">
            <v>#VALUE!</v>
          </cell>
          <cell r="BR85" t="e">
            <v>#VALUE!</v>
          </cell>
          <cell r="BS85" t="e">
            <v>#VALUE!</v>
          </cell>
          <cell r="BT85">
            <v>606563.61474295228</v>
          </cell>
          <cell r="BU85">
            <v>639013.58118338929</v>
          </cell>
          <cell r="BV85">
            <v>667199.14390743535</v>
          </cell>
          <cell r="BW85">
            <v>694916.78014695691</v>
          </cell>
          <cell r="BX85">
            <v>222275.67507578025</v>
          </cell>
          <cell r="BY85">
            <v>232132.55033797806</v>
          </cell>
          <cell r="BZ85">
            <v>244228.68720162116</v>
          </cell>
          <cell r="CA85">
            <v>256153.13112918072</v>
          </cell>
          <cell r="CB85">
            <v>94981.966618707433</v>
          </cell>
          <cell r="CC85">
            <v>107193.97904415303</v>
          </cell>
          <cell r="CD85">
            <v>118234.30172972442</v>
          </cell>
          <cell r="CE85">
            <v>129612.1478870548</v>
          </cell>
          <cell r="CF85">
            <v>111840.41461095508</v>
          </cell>
          <cell r="CG85">
            <v>121822.5807048048</v>
          </cell>
          <cell r="CH85">
            <v>138213.09519904194</v>
          </cell>
          <cell r="CI85">
            <v>153629.07402106724</v>
          </cell>
          <cell r="CJ85">
            <v>-27350.924140105537</v>
          </cell>
          <cell r="CK85">
            <v>-37742.745660968911</v>
          </cell>
          <cell r="CL85">
            <v>-39848.490419401693</v>
          </cell>
          <cell r="CM85">
            <v>-44939.397443786373</v>
          </cell>
          <cell r="CN85">
            <v>69772.224886931537</v>
          </cell>
          <cell r="CO85">
            <v>76157.872411567936</v>
          </cell>
          <cell r="CP85">
            <v>86572.075762763241</v>
          </cell>
          <cell r="CQ85">
            <v>96330.021326640854</v>
          </cell>
          <cell r="CR85">
            <v>84741.938760002726</v>
          </cell>
          <cell r="CS85">
            <v>90282.691718564573</v>
          </cell>
          <cell r="CT85">
            <v>97713.324859425862</v>
          </cell>
          <cell r="CU85">
            <v>105271.30940659859</v>
          </cell>
          <cell r="CV85">
            <v>20.978983624833418</v>
          </cell>
          <cell r="CW85">
            <v>5.3498043159394797</v>
          </cell>
          <cell r="CX85">
            <v>4.4107924391605593</v>
          </cell>
          <cell r="CY85">
            <v>4.1543273088142598</v>
          </cell>
          <cell r="CZ85">
            <v>4.6370485403774495</v>
          </cell>
          <cell r="DA85">
            <v>15.797121016167438</v>
          </cell>
          <cell r="DB85">
            <v>4.4345271963912865</v>
          </cell>
          <cell r="DC85">
            <v>5.2108749272911155</v>
          </cell>
          <cell r="DD85">
            <v>4.8824911046241795</v>
          </cell>
          <cell r="DE85">
            <v>4.8421480397643961</v>
          </cell>
          <cell r="DF85">
            <v>30.628257578110407</v>
          </cell>
          <cell r="DG85">
            <v>12.857190538567309</v>
          </cell>
          <cell r="DH85">
            <v>10.299386946932799</v>
          </cell>
          <cell r="DI85">
            <v>9.6231347340633562</v>
          </cell>
          <cell r="DJ85">
            <v>10.917868893369672</v>
          </cell>
          <cell r="DK85">
            <v>12.123756585938821</v>
          </cell>
          <cell r="DL85">
            <v>9.1521340117569423</v>
          </cell>
          <cell r="DM85">
            <v>13.674493550601667</v>
          </cell>
          <cell r="DN85">
            <v>11.271470018366742</v>
          </cell>
          <cell r="DO85">
            <v>11.350719646079497</v>
          </cell>
          <cell r="DP85">
            <v>36.645072284788398</v>
          </cell>
          <cell r="DQ85">
            <v>36.326700585626327</v>
          </cell>
          <cell r="DR85">
            <v>36.605066033403737</v>
          </cell>
          <cell r="DS85">
            <v>36.860979393102433</v>
          </cell>
          <cell r="DT85">
            <v>15.659028057421247</v>
          </cell>
          <cell r="DU85">
            <v>16.774914055134868</v>
          </cell>
          <cell r="DV85">
            <v>17.720991222693744</v>
          </cell>
          <cell r="DW85">
            <v>18.651463252858161</v>
          </cell>
          <cell r="DX85">
            <v>11.502870134486949</v>
          </cell>
          <cell r="DY85">
            <v>11.91803658860132</v>
          </cell>
          <cell r="DZ85">
            <v>12.97544766855605</v>
          </cell>
          <cell r="EA85">
            <v>13.862094581493562</v>
          </cell>
          <cell r="EB85">
            <v>13.970824609371666</v>
          </cell>
          <cell r="EC85">
            <v>14.128446464528977</v>
          </cell>
          <cell r="ED85">
            <v>14.645301294478614</v>
          </cell>
          <cell r="EE85">
            <v>15.148764918921147</v>
          </cell>
          <cell r="EF85">
            <v>280444.98308801174</v>
          </cell>
          <cell r="EG85">
            <v>270527.53230991168</v>
          </cell>
          <cell r="EH85">
            <v>236058.0267859968</v>
          </cell>
          <cell r="EI85">
            <v>199781.14074670593</v>
          </cell>
          <cell r="EJ85">
            <v>914779.25644290179</v>
          </cell>
          <cell r="EK85">
            <v>882890.3335260211</v>
          </cell>
          <cell r="EL85">
            <v>863750.1799442881</v>
          </cell>
          <cell r="EM85">
            <v>859188.63798947982</v>
          </cell>
          <cell r="EN85">
            <v>-19253.92341801665</v>
          </cell>
          <cell r="EO85">
            <v>-19246.015812207192</v>
          </cell>
          <cell r="EP85">
            <v>-16862.876433162834</v>
          </cell>
          <cell r="EQ85">
            <v>-14655.485312899638</v>
          </cell>
          <cell r="ER85">
            <v>473320.41377446352</v>
          </cell>
          <cell r="ES85">
            <v>477802.02958286612</v>
          </cell>
          <cell r="ET85">
            <v>482837.21708450932</v>
          </cell>
          <cell r="EU85">
            <v>491430.82817483257</v>
          </cell>
          <cell r="EV85">
            <v>84425.494988844177</v>
          </cell>
          <cell r="EW85">
            <v>76498.403949275118</v>
          </cell>
          <cell r="EX85">
            <v>85742.156063521281</v>
          </cell>
          <cell r="EY85">
            <v>104085.10937990597</v>
          </cell>
          <cell r="FD85">
            <v>1.2616989375576066</v>
          </cell>
          <cell r="FE85">
            <v>1.1654011120630505</v>
          </cell>
          <cell r="FF85">
            <v>0.96654504223380144</v>
          </cell>
          <cell r="FG85">
            <v>0.77992855237031711</v>
          </cell>
          <cell r="FH85">
            <v>0.8888581484921152</v>
          </cell>
          <cell r="FI85">
            <v>0.71364459675263614</v>
          </cell>
          <cell r="FJ85">
            <v>0.72518850121449541</v>
          </cell>
          <cell r="FK85">
            <v>0.80305057108232392</v>
          </cell>
          <cell r="FL85">
            <v>11.544435398958127</v>
          </cell>
          <cell r="FM85">
            <v>12.061330126869327</v>
          </cell>
          <cell r="FN85">
            <v>14.483216322531822</v>
          </cell>
          <cell r="FO85">
            <v>17.478311066486267</v>
          </cell>
          <cell r="FP85">
            <v>-90602.551074236719</v>
          </cell>
          <cell r="FQ85">
            <v>-99091.549376923213</v>
          </cell>
          <cell r="FR85">
            <v>-103419.50057328041</v>
          </cell>
          <cell r="FS85">
            <v>-107830.06146075344</v>
          </cell>
          <cell r="FT85">
            <v>104322.19986143803</v>
          </cell>
          <cell r="FU85">
            <v>95298.255300085919</v>
          </cell>
          <cell r="FV85">
            <v>100960.69620893907</v>
          </cell>
          <cell r="FW85">
            <v>103383.67222464095</v>
          </cell>
          <cell r="FX85">
            <v>14.937023730418121</v>
          </cell>
          <cell r="FY85">
            <v>15.506955140674096</v>
          </cell>
          <cell r="FZ85">
            <v>15.500544555199316</v>
          </cell>
          <cell r="GA85">
            <v>15.516974771849684</v>
          </cell>
          <cell r="GF85">
            <v>-34260.212756092369</v>
          </cell>
          <cell r="GG85">
            <v>-52503.939001716804</v>
          </cell>
          <cell r="GH85">
            <v>-54685.621099521974</v>
          </cell>
          <cell r="GI85">
            <v>-57474.813749086992</v>
          </cell>
          <cell r="GK85">
            <v>0</v>
          </cell>
          <cell r="GP85">
            <v>501379.32768881577</v>
          </cell>
          <cell r="GQ85">
            <v>191952.67820583071</v>
          </cell>
          <cell r="GR85">
            <v>72711.653955815855</v>
          </cell>
          <cell r="GS85">
            <v>62227.86946444631</v>
          </cell>
        </row>
        <row r="86"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FQ86">
            <v>9.3694914790322992E-2</v>
          </cell>
          <cell r="FR86">
            <v>4.3676289487558639E-2</v>
          </cell>
          <cell r="FS86">
            <v>4.2647284728935864E-2</v>
          </cell>
          <cell r="GK86">
            <v>0</v>
          </cell>
        </row>
        <row r="87">
          <cell r="B87" t="str">
            <v>Europe</v>
          </cell>
          <cell r="K87" t="e">
            <v>#VALUE!</v>
          </cell>
          <cell r="L87">
            <v>795544.1522829755</v>
          </cell>
          <cell r="M87">
            <v>797939.53708683827</v>
          </cell>
          <cell r="N87">
            <v>765139.31485560222</v>
          </cell>
          <cell r="O87">
            <v>727631.06896132731</v>
          </cell>
          <cell r="P87">
            <v>45371.195537867919</v>
          </cell>
          <cell r="Q87">
            <v>45840.517000955646</v>
          </cell>
          <cell r="R87">
            <v>43706.829866992353</v>
          </cell>
          <cell r="S87">
            <v>41384.083819146341</v>
          </cell>
          <cell r="T87">
            <v>57735.567626509532</v>
          </cell>
          <cell r="U87">
            <v>54993.031499711658</v>
          </cell>
          <cell r="V87">
            <v>51698.479403518104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2.0882169986442651</v>
          </cell>
          <cell r="BA87">
            <v>1.9906974944498916</v>
          </cell>
          <cell r="BB87">
            <v>1.8327772094217025</v>
          </cell>
          <cell r="BC87">
            <v>1.6774057263082678</v>
          </cell>
          <cell r="BD87">
            <v>5.9614492326424005</v>
          </cell>
          <cell r="BE87">
            <v>5.7659532664840647</v>
          </cell>
          <cell r="BF87">
            <v>5.2450826229024718</v>
          </cell>
          <cell r="BG87">
            <v>4.7409512635263615</v>
          </cell>
          <cell r="BH87">
            <v>12.187623083675081</v>
          </cell>
          <cell r="BI87">
            <v>13.110121021087982</v>
          </cell>
          <cell r="BJ87">
            <v>12.330598151809847</v>
          </cell>
          <cell r="BK87">
            <v>11.595420589382888</v>
          </cell>
          <cell r="BL87">
            <v>554581.92924001673</v>
          </cell>
          <cell r="BM87">
            <v>540868.73819001834</v>
          </cell>
          <cell r="BN87">
            <v>547119.55988743249</v>
          </cell>
          <cell r="BO87">
            <v>558232.85724944668</v>
          </cell>
          <cell r="BT87">
            <v>380968.14306150528</v>
          </cell>
          <cell r="BU87">
            <v>400834.14949358767</v>
          </cell>
          <cell r="BV87">
            <v>417475.35429962445</v>
          </cell>
          <cell r="BW87">
            <v>433783.5847041849</v>
          </cell>
          <cell r="BX87">
            <v>133448.11324181187</v>
          </cell>
          <cell r="BY87">
            <v>138388.13812887561</v>
          </cell>
          <cell r="BZ87">
            <v>145877.45701366989</v>
          </cell>
          <cell r="CA87">
            <v>153477.86309452777</v>
          </cell>
          <cell r="CB87">
            <v>49008.125707448264</v>
          </cell>
          <cell r="CC87">
            <v>56003.216645194014</v>
          </cell>
          <cell r="CD87">
            <v>63225.896831051112</v>
          </cell>
          <cell r="CE87">
            <v>70870.275215632209</v>
          </cell>
          <cell r="CF87">
            <v>69250.058362532509</v>
          </cell>
          <cell r="CG87">
            <v>74976.104381910482</v>
          </cell>
          <cell r="CH87">
            <v>84702.991295847416</v>
          </cell>
          <cell r="CI87">
            <v>95091.954766443421</v>
          </cell>
          <cell r="CJ87">
            <v>-19136.964183078457</v>
          </cell>
          <cell r="CK87">
            <v>-23324.196251376627</v>
          </cell>
          <cell r="CL87">
            <v>-26037.909782830811</v>
          </cell>
          <cell r="CM87">
            <v>-29609.325797657781</v>
          </cell>
          <cell r="CN87">
            <v>43103.298760301994</v>
          </cell>
          <cell r="CO87">
            <v>46781.088084206771</v>
          </cell>
          <cell r="CP87">
            <v>53212.163053398166</v>
          </cell>
          <cell r="CQ87">
            <v>59865.554994732185</v>
          </cell>
          <cell r="EN87">
            <v>-13753.198840639914</v>
          </cell>
          <cell r="EO87">
            <v>-13096.852976079999</v>
          </cell>
          <cell r="EP87">
            <v>-11523.095938528271</v>
          </cell>
          <cell r="EQ87">
            <v>-9532.0302809438999</v>
          </cell>
          <cell r="FP87">
            <v>-49036.390656614734</v>
          </cell>
          <cell r="FQ87">
            <v>-54199.550480704762</v>
          </cell>
          <cell r="FR87">
            <v>-57787.463022475058</v>
          </cell>
          <cell r="FS87">
            <v>-61116.948136959058</v>
          </cell>
          <cell r="FT87">
            <v>65274.75840211867</v>
          </cell>
          <cell r="FU87">
            <v>60864.391396794206</v>
          </cell>
          <cell r="FV87">
            <v>62052.084208364009</v>
          </cell>
          <cell r="FW87">
            <v>62751.589159910938</v>
          </cell>
          <cell r="FX87">
            <v>35.076962003427255</v>
          </cell>
          <cell r="FY87">
            <v>36.840773299604543</v>
          </cell>
          <cell r="FZ87">
            <v>37.499964474030541</v>
          </cell>
          <cell r="GA87">
            <v>37.945126870123893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-22375.600068942535</v>
          </cell>
          <cell r="GG87">
            <v>-24517.903681287986</v>
          </cell>
          <cell r="GH87">
            <v>-26039.536062300314</v>
          </cell>
          <cell r="GI87">
            <v>-27509.122116472332</v>
          </cell>
          <cell r="GK87">
            <v>0</v>
          </cell>
        </row>
        <row r="88">
          <cell r="B88" t="str">
            <v>North America</v>
          </cell>
          <cell r="K88">
            <v>229237.30561555937</v>
          </cell>
          <cell r="L88">
            <v>272486.82074209873</v>
          </cell>
          <cell r="M88">
            <v>270401.83178031963</v>
          </cell>
          <cell r="N88">
            <v>272179.4285122155</v>
          </cell>
          <cell r="O88">
            <v>274704.83064126578</v>
          </cell>
          <cell r="AV88">
            <v>22.059243457069115</v>
          </cell>
          <cell r="AW88">
            <v>22.871031855411573</v>
          </cell>
          <cell r="AX88">
            <v>23.724851580005556</v>
          </cell>
          <cell r="AY88">
            <v>24.541170139453346</v>
          </cell>
          <cell r="AZ88">
            <v>1.9747577642362391</v>
          </cell>
          <cell r="BA88">
            <v>1.8793518975580639</v>
          </cell>
          <cell r="BB88">
            <v>1.8291325132558949</v>
          </cell>
          <cell r="BC88">
            <v>1.7831748346822696</v>
          </cell>
          <cell r="BD88">
            <v>5.3885211612346193</v>
          </cell>
          <cell r="BE88">
            <v>5.1574921458163532</v>
          </cell>
          <cell r="BF88">
            <v>5.0045668910069239</v>
          </cell>
          <cell r="BG88">
            <v>4.882988875831928</v>
          </cell>
          <cell r="BH88" t="str">
            <v>-</v>
          </cell>
          <cell r="BI88" t="str">
            <v>-</v>
          </cell>
          <cell r="BJ88" t="str">
            <v>-</v>
          </cell>
          <cell r="BK88" t="str">
            <v>-</v>
          </cell>
          <cell r="BL88">
            <v>6356.6119438602254</v>
          </cell>
          <cell r="BM88">
            <v>6485.2701222876003</v>
          </cell>
          <cell r="BN88">
            <v>6846.9465541972877</v>
          </cell>
          <cell r="BO88">
            <v>7448.6931942478277</v>
          </cell>
          <cell r="BT88">
            <v>137984.93449523731</v>
          </cell>
          <cell r="BU88">
            <v>143880.36223107885</v>
          </cell>
          <cell r="BV88">
            <v>148802.46594476106</v>
          </cell>
          <cell r="BW88">
            <v>154053.78390179746</v>
          </cell>
          <cell r="BX88">
            <v>50568.015340161808</v>
          </cell>
          <cell r="BY88">
            <v>52428.937191821766</v>
          </cell>
          <cell r="BZ88">
            <v>54386.210523295202</v>
          </cell>
          <cell r="CA88">
            <v>56257.517194213062</v>
          </cell>
          <cell r="CB88">
            <v>25178.38332948069</v>
          </cell>
          <cell r="CC88">
            <v>27139.136343708895</v>
          </cell>
          <cell r="CD88">
            <v>28811.565531066917</v>
          </cell>
          <cell r="CE88">
            <v>30602.665328603882</v>
          </cell>
          <cell r="CF88">
            <v>23725.578947032802</v>
          </cell>
          <cell r="CG88">
            <v>24830.587093380098</v>
          </cell>
          <cell r="CH88">
            <v>28947.794261687457</v>
          </cell>
          <cell r="CI88">
            <v>31388.927360408114</v>
          </cell>
          <cell r="GK88">
            <v>0</v>
          </cell>
        </row>
        <row r="89">
          <cell r="B89" t="str">
            <v>Asia</v>
          </cell>
          <cell r="K89" t="e">
            <v>#VALUE!</v>
          </cell>
          <cell r="L89">
            <v>107409.30820027695</v>
          </cell>
          <cell r="M89">
            <v>101794.34786100735</v>
          </cell>
          <cell r="N89">
            <v>96670.004154163966</v>
          </cell>
          <cell r="O89">
            <v>91528.085326170258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1.8053070504219002</v>
          </cell>
          <cell r="BA89">
            <v>1.6498764397061845</v>
          </cell>
          <cell r="BB89">
            <v>1.4997975851055283</v>
          </cell>
          <cell r="BC89">
            <v>1.3650064976563165</v>
          </cell>
          <cell r="BD89">
            <v>4.1588939439757082</v>
          </cell>
          <cell r="BE89">
            <v>3.8110291958025937</v>
          </cell>
          <cell r="BF89">
            <v>3.4676521294605243</v>
          </cell>
          <cell r="BG89">
            <v>3.156508214639743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>
            <v>575585.66342717549</v>
          </cell>
          <cell r="BM89">
            <v>547847.85473200958</v>
          </cell>
          <cell r="BN89">
            <v>540361.08507516352</v>
          </cell>
          <cell r="BO89">
            <v>537484.79968143697</v>
          </cell>
          <cell r="BT89">
            <v>59496.420941343691</v>
          </cell>
          <cell r="BU89">
            <v>61698.164426867763</v>
          </cell>
          <cell r="BV89">
            <v>64455.367253683165</v>
          </cell>
          <cell r="BW89">
            <v>67053.223177561274</v>
          </cell>
          <cell r="BX89">
            <v>25826.411937208159</v>
          </cell>
          <cell r="BY89">
            <v>26710.461303503529</v>
          </cell>
          <cell r="BZ89">
            <v>27877.653393451346</v>
          </cell>
          <cell r="CA89">
            <v>28996.625100377409</v>
          </cell>
          <cell r="CB89">
            <v>13582.694384153365</v>
          </cell>
          <cell r="CC89">
            <v>15113.059074158444</v>
          </cell>
          <cell r="CD89">
            <v>16024.724119572564</v>
          </cell>
          <cell r="CE89">
            <v>16849.176314704273</v>
          </cell>
          <cell r="CF89">
            <v>12551.349872128896</v>
          </cell>
          <cell r="CG89">
            <v>13922.279803997282</v>
          </cell>
          <cell r="CH89">
            <v>15013.642079543615</v>
          </cell>
          <cell r="CI89">
            <v>16050.34476518108</v>
          </cell>
          <cell r="GK89">
            <v>0</v>
          </cell>
        </row>
        <row r="90"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GK90">
            <v>0</v>
          </cell>
        </row>
        <row r="91">
          <cell r="B91" t="str">
            <v>0941.HK</v>
          </cell>
          <cell r="C91" t="str">
            <v>China Mobile (HK)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GK91">
            <v>0</v>
          </cell>
        </row>
        <row r="92">
          <cell r="B92" t="str">
            <v>0728.HK</v>
          </cell>
          <cell r="C92" t="str">
            <v>China Telecom Corporation</v>
          </cell>
          <cell r="AN92" t="e">
            <v>#VALUE!</v>
          </cell>
          <cell r="AO92" t="e">
            <v>#VALUE!</v>
          </cell>
          <cell r="AP92" t="e">
            <v>#VALUE!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 t="e">
            <v>#VALUE!</v>
          </cell>
          <cell r="BA92" t="e">
            <v>#VALUE!</v>
          </cell>
          <cell r="BB92" t="e">
            <v>#VALUE!</v>
          </cell>
          <cell r="BD92" t="e">
            <v>#VALUE!</v>
          </cell>
          <cell r="BE92" t="e">
            <v>#VALUE!</v>
          </cell>
          <cell r="BF92" t="e">
            <v>#VALUE!</v>
          </cell>
          <cell r="GK92">
            <v>0</v>
          </cell>
        </row>
        <row r="93">
          <cell r="B93" t="str">
            <v>0762.HK</v>
          </cell>
          <cell r="C93" t="str">
            <v>China Unicom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GK93">
            <v>0</v>
          </cell>
        </row>
        <row r="94">
          <cell r="B94" t="str">
            <v>9432.T</v>
          </cell>
          <cell r="C94" t="str">
            <v>NTT</v>
          </cell>
          <cell r="GK94">
            <v>0</v>
          </cell>
        </row>
        <row r="95">
          <cell r="B95" t="str">
            <v>9437.T</v>
          </cell>
          <cell r="C95" t="str">
            <v>NTT DoCoMo, Inc.</v>
          </cell>
          <cell r="GK95">
            <v>0</v>
          </cell>
        </row>
        <row r="96">
          <cell r="B96" t="str">
            <v>MTNL.BO</v>
          </cell>
          <cell r="GK96">
            <v>0</v>
          </cell>
        </row>
        <row r="97">
          <cell r="B97" t="str">
            <v>VSNL.BO</v>
          </cell>
          <cell r="GK97">
            <v>0</v>
          </cell>
        </row>
        <row r="98">
          <cell r="B98" t="str">
            <v>9433.T</v>
          </cell>
          <cell r="GK98">
            <v>0</v>
          </cell>
        </row>
        <row r="99">
          <cell r="B99" t="str">
            <v>BRTI.BO</v>
          </cell>
          <cell r="GK99">
            <v>0</v>
          </cell>
        </row>
        <row r="100">
          <cell r="B100" t="str">
            <v>AsiaPac aggregate</v>
          </cell>
          <cell r="GK100">
            <v>0</v>
          </cell>
        </row>
        <row r="101">
          <cell r="GK101">
            <v>0</v>
          </cell>
        </row>
        <row r="102">
          <cell r="GK102">
            <v>0</v>
          </cell>
        </row>
        <row r="103">
          <cell r="GK103">
            <v>0</v>
          </cell>
        </row>
        <row r="104">
          <cell r="GK104">
            <v>0</v>
          </cell>
        </row>
        <row r="105">
          <cell r="GK105">
            <v>0</v>
          </cell>
        </row>
        <row r="106">
          <cell r="GK106">
            <v>0</v>
          </cell>
        </row>
        <row r="107">
          <cell r="GK107">
            <v>0</v>
          </cell>
        </row>
        <row r="108">
          <cell r="GK108">
            <v>0</v>
          </cell>
        </row>
        <row r="109">
          <cell r="GK109">
            <v>0</v>
          </cell>
        </row>
        <row r="110">
          <cell r="GK110">
            <v>0</v>
          </cell>
        </row>
        <row r="111">
          <cell r="GK111">
            <v>0</v>
          </cell>
        </row>
        <row r="112">
          <cell r="GK112">
            <v>0</v>
          </cell>
        </row>
        <row r="113">
          <cell r="GK113">
            <v>0</v>
          </cell>
        </row>
        <row r="114">
          <cell r="GK114">
            <v>0</v>
          </cell>
        </row>
        <row r="115">
          <cell r="GK115">
            <v>0</v>
          </cell>
        </row>
        <row r="116">
          <cell r="GK116">
            <v>0</v>
          </cell>
        </row>
        <row r="117">
          <cell r="GK117">
            <v>0</v>
          </cell>
        </row>
        <row r="118">
          <cell r="GK118">
            <v>0</v>
          </cell>
        </row>
        <row r="119">
          <cell r="GK119">
            <v>0</v>
          </cell>
        </row>
        <row r="120">
          <cell r="GK120">
            <v>0</v>
          </cell>
        </row>
        <row r="121">
          <cell r="GK121">
            <v>0</v>
          </cell>
        </row>
        <row r="122">
          <cell r="GK122">
            <v>0</v>
          </cell>
        </row>
        <row r="123">
          <cell r="GK123">
            <v>0</v>
          </cell>
        </row>
        <row r="124">
          <cell r="GK124">
            <v>0</v>
          </cell>
        </row>
        <row r="125">
          <cell r="GK125">
            <v>0</v>
          </cell>
        </row>
        <row r="126">
          <cell r="GK126">
            <v>0</v>
          </cell>
        </row>
        <row r="127">
          <cell r="GK127">
            <v>0</v>
          </cell>
        </row>
        <row r="128">
          <cell r="GK128">
            <v>0</v>
          </cell>
        </row>
        <row r="129">
          <cell r="GK129">
            <v>0</v>
          </cell>
        </row>
        <row r="130">
          <cell r="GK130">
            <v>0</v>
          </cell>
        </row>
      </sheetData>
      <sheetData sheetId="10" refreshError="1"/>
      <sheetData sheetId="1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  <sheetName val="cig+ov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  <sheetName val="a.i.a"/>
      <sheetName val="batiment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  <sheetName val="revenus hors intercomp."/>
      <sheetName val="decis14a3_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Forecast JULY 28a"/>
      <sheetName val="by 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Forecast JULY 28a"/>
      <sheetName val="by 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s"/>
      <sheetName val="Ventes du jour"/>
      <sheetName val="Produits"/>
      <sheetName val="Liste des Partenaires"/>
      <sheetName val="Sheet1"/>
      <sheetName val="Toggles"/>
      <sheetName val="Rapport journallier VI"/>
      <sheetName val="Ventes_du_jour"/>
      <sheetName val="Liste_des_Partenaires"/>
      <sheetName val="Rapport_journallier_VI"/>
      <sheetName val="Ventes_du_jour1"/>
      <sheetName val="Liste_des_Partenaires1"/>
      <sheetName val="Rapport_journallier_VI1"/>
    </sheetNames>
    <sheetDataSet>
      <sheetData sheetId="0" refreshError="1"/>
      <sheetData sheetId="1" refreshError="1"/>
      <sheetData sheetId="2" refreshError="1">
        <row r="2">
          <cell r="C2">
            <v>900</v>
          </cell>
        </row>
        <row r="3">
          <cell r="C3">
            <v>1800</v>
          </cell>
        </row>
        <row r="5">
          <cell r="C5">
            <v>4500</v>
          </cell>
        </row>
        <row r="6">
          <cell r="C6">
            <v>9000</v>
          </cell>
        </row>
        <row r="7">
          <cell r="C7">
            <v>18000</v>
          </cell>
        </row>
        <row r="9">
          <cell r="C9">
            <v>25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XA-Core Translations"/>
      <sheetName val="QCT-A,B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Dettes Fi à LT"/>
      <sheetName val="Dettes fi à CT"/>
      <sheetName val="C&amp;Ceq"/>
      <sheetName val="Synthèse - MAD"/>
      <sheetName val="Dettes Fi à LT - MAD"/>
      <sheetName val="Dettes fi à CT - MAD"/>
      <sheetName val="C&amp;Ceq - MAD"/>
      <sheetName val="Summary MAD (2)"/>
      <sheetName val="LT Debt MAD (2)"/>
      <sheetName val="ST Debt MAD (2)"/>
      <sheetName val="C&amp;Ceq MAD (2)"/>
      <sheetName val="Summary MAD"/>
      <sheetName val="LT Debt MAD"/>
      <sheetName val="ST Debt MAD"/>
      <sheetName val="C&amp;Ceq MAD"/>
      <sheetName val="Check"/>
      <sheetName val="Feuil1"/>
      <sheetName val="Feuil2"/>
      <sheetName val="P.EQUIPEMENT99"/>
    </sheetNames>
    <sheetDataSet>
      <sheetData sheetId="0"/>
      <sheetData sheetId="1"/>
      <sheetData sheetId="2"/>
      <sheetData sheetId="3"/>
      <sheetData sheetId="4">
        <row r="11">
          <cell r="H11">
            <v>84.173801455697472</v>
          </cell>
        </row>
      </sheetData>
      <sheetData sheetId="5">
        <row r="13">
          <cell r="J13">
            <v>6.0620643100141027</v>
          </cell>
        </row>
      </sheetData>
      <sheetData sheetId="6">
        <row r="14">
          <cell r="J14">
            <v>2.0485366163388337</v>
          </cell>
        </row>
      </sheetData>
      <sheetData sheetId="7">
        <row r="9">
          <cell r="J9">
            <v>68.662736684511998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8">
          <cell r="A48" t="str">
            <v>Fixed</v>
          </cell>
        </row>
        <row r="49">
          <cell r="A49" t="str">
            <v>Variable</v>
          </cell>
        </row>
        <row r="50">
          <cell r="A50" t="str">
            <v>…</v>
          </cell>
        </row>
      </sheetData>
      <sheetData sheetId="17"/>
      <sheetData sheetId="18"/>
      <sheetData sheetId="1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Dettes Fi à LT"/>
      <sheetName val="Dettes fi à CT"/>
      <sheetName val="C&amp;Ceq"/>
      <sheetName val="Synthèse - MAD"/>
      <sheetName val="Dettes Fi à LT - MAD"/>
      <sheetName val="Dettes fi à CT - MAD"/>
      <sheetName val="C&amp;Ceq - MAD"/>
      <sheetName val="Summary MAD (2)"/>
      <sheetName val="LT Debt MAD (2)"/>
      <sheetName val="ST Debt MAD (2)"/>
      <sheetName val="C&amp;Ceq MAD (2)"/>
      <sheetName val="Summary MAD"/>
      <sheetName val="LT Debt MAD"/>
      <sheetName val="ST Debt MAD"/>
      <sheetName val="C&amp;Ceq MAD"/>
      <sheetName val="Check"/>
      <sheetName val="Feuil1"/>
      <sheetName val="Feuil2"/>
      <sheetName val="P.EQUIPEMENT99"/>
    </sheetNames>
    <sheetDataSet>
      <sheetData sheetId="0"/>
      <sheetData sheetId="1"/>
      <sheetData sheetId="2"/>
      <sheetData sheetId="3"/>
      <sheetData sheetId="4">
        <row r="11">
          <cell r="H11">
            <v>84.173801455697472</v>
          </cell>
        </row>
      </sheetData>
      <sheetData sheetId="5">
        <row r="13">
          <cell r="J13">
            <v>6.0620643100141027</v>
          </cell>
        </row>
      </sheetData>
      <sheetData sheetId="6">
        <row r="14">
          <cell r="J14">
            <v>2.0485366163388337</v>
          </cell>
        </row>
      </sheetData>
      <sheetData sheetId="7">
        <row r="9">
          <cell r="J9">
            <v>68.662736684511998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8">
          <cell r="A48" t="str">
            <v>Fixed</v>
          </cell>
        </row>
        <row r="49">
          <cell r="A49" t="str">
            <v>Variable</v>
          </cell>
        </row>
        <row r="50">
          <cell r="A50" t="str">
            <v>…</v>
          </cell>
        </row>
      </sheetData>
      <sheetData sheetId="17"/>
      <sheetData sheetId="18"/>
      <sheetData sheetId="1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_CAP03"/>
      <sheetName val="CUMUL05_04"/>
      <sheetName val="CàP_Mois"/>
      <sheetName val="FP_Mai"/>
      <sheetName val="CES_05_04"/>
      <sheetName val="AutresPostes"/>
      <sheetName val="Produits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YR"/>
      <sheetName val="CUMUL05_04"/>
      <sheetName val="Cur Q v Plan"/>
    </sheetNames>
    <sheetDataSet>
      <sheetData sheetId="0" refreshError="1">
        <row r="15">
          <cell r="E15">
            <v>0</v>
          </cell>
          <cell r="F15">
            <v>0</v>
          </cell>
          <cell r="G15">
            <v>0</v>
          </cell>
        </row>
      </sheetData>
      <sheetData sheetId="1" refreshError="1"/>
      <sheetData sheetId="2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YR"/>
      <sheetName val="CUMUL05_04"/>
      <sheetName val="Cur Q v Plan"/>
    </sheetNames>
    <sheetDataSet>
      <sheetData sheetId="0" refreshError="1">
        <row r="15">
          <cell r="E15">
            <v>0</v>
          </cell>
          <cell r="F15">
            <v>0</v>
          </cell>
          <cell r="G15">
            <v>0</v>
          </cell>
        </row>
      </sheetData>
      <sheetData sheetId="1" refreshError="1"/>
      <sheetData sheetId="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  <sheetName val="T4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PRODUIT PAR D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_ana_réalisé"/>
      <sheetName val="répart.selon parc"/>
      <sheetName val="clés de répartition"/>
      <sheetName val="Répar Rev.intercomp"/>
      <sheetName val="NMT &amp; RAKKAS"/>
      <sheetName val="Revenus hors intercomp."/>
      <sheetName val="BATIMEN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  <sheetName val="Vir9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Excel Schedules"/>
      <sheetName val="EBIT by geographic areas"/>
      <sheetName val="Consolidation Scope"/>
      <sheetName val="Acc. Rec. &amp; Acc. Pay."/>
      <sheetName val="Advances to Equity Affiliates"/>
      <sheetName val="Cost Method Investments"/>
      <sheetName val="Fair Value Investments"/>
      <sheetName val="Other Investments"/>
      <sheetName val="Other Intangible Assets French"/>
      <sheetName val="Other Intangible Assets US GAAP"/>
      <sheetName val="Other LT Liabilities"/>
      <sheetName val="Reserves and allowances"/>
      <sheetName val="Equity method Financial data"/>
      <sheetName val="long term debt"/>
      <sheetName val="short term debt"/>
      <sheetName val="Cash"/>
      <sheetName val="Restucturing costs"/>
      <sheetName val="Revenus hors intercomp."/>
      <sheetName val="B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L11">
            <v>0</v>
          </cell>
          <cell r="T11">
            <v>0</v>
          </cell>
        </row>
        <row r="12">
          <cell r="L12">
            <v>0</v>
          </cell>
          <cell r="T12">
            <v>0</v>
          </cell>
        </row>
        <row r="13">
          <cell r="L13">
            <v>0</v>
          </cell>
          <cell r="T13">
            <v>0</v>
          </cell>
        </row>
        <row r="14">
          <cell r="L14">
            <v>0</v>
          </cell>
          <cell r="T14">
            <v>0</v>
          </cell>
        </row>
        <row r="15">
          <cell r="L15">
            <v>0</v>
          </cell>
          <cell r="T15">
            <v>0</v>
          </cell>
        </row>
        <row r="16">
          <cell r="L16">
            <v>0</v>
          </cell>
          <cell r="T16">
            <v>0</v>
          </cell>
        </row>
        <row r="17">
          <cell r="L17">
            <v>0</v>
          </cell>
          <cell r="T17">
            <v>0</v>
          </cell>
        </row>
        <row r="18">
          <cell r="L18">
            <v>0</v>
          </cell>
          <cell r="T18">
            <v>0</v>
          </cell>
        </row>
        <row r="19">
          <cell r="L19">
            <v>0</v>
          </cell>
          <cell r="T19">
            <v>0</v>
          </cell>
        </row>
        <row r="20">
          <cell r="L20">
            <v>0</v>
          </cell>
          <cell r="T20">
            <v>0</v>
          </cell>
        </row>
        <row r="21">
          <cell r="L21">
            <v>0</v>
          </cell>
          <cell r="T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4">
          <cell r="L24">
            <v>0</v>
          </cell>
          <cell r="T24">
            <v>0</v>
          </cell>
        </row>
        <row r="25">
          <cell r="L25">
            <v>0</v>
          </cell>
          <cell r="T25">
            <v>0</v>
          </cell>
        </row>
        <row r="26">
          <cell r="L26">
            <v>0</v>
          </cell>
          <cell r="T26">
            <v>0</v>
          </cell>
        </row>
        <row r="27">
          <cell r="L27">
            <v>0</v>
          </cell>
          <cell r="T27">
            <v>0</v>
          </cell>
        </row>
        <row r="28">
          <cell r="L28">
            <v>0</v>
          </cell>
          <cell r="T28">
            <v>0</v>
          </cell>
        </row>
        <row r="29">
          <cell r="L29">
            <v>0</v>
          </cell>
          <cell r="T29">
            <v>0</v>
          </cell>
        </row>
        <row r="30">
          <cell r="L30">
            <v>0</v>
          </cell>
          <cell r="T30">
            <v>0</v>
          </cell>
        </row>
        <row r="31">
          <cell r="L31">
            <v>0</v>
          </cell>
          <cell r="T31">
            <v>0</v>
          </cell>
        </row>
        <row r="32">
          <cell r="L32">
            <v>0</v>
          </cell>
          <cell r="T32">
            <v>0</v>
          </cell>
        </row>
        <row r="33">
          <cell r="L33">
            <v>0</v>
          </cell>
          <cell r="T33">
            <v>0</v>
          </cell>
        </row>
        <row r="34">
          <cell r="L34">
            <v>0</v>
          </cell>
          <cell r="T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7">
          <cell r="L37">
            <v>0</v>
          </cell>
          <cell r="T37">
            <v>0</v>
          </cell>
        </row>
        <row r="38">
          <cell r="L38">
            <v>0</v>
          </cell>
          <cell r="T38">
            <v>0</v>
          </cell>
        </row>
        <row r="39">
          <cell r="L39">
            <v>0</v>
          </cell>
          <cell r="T39">
            <v>0</v>
          </cell>
        </row>
        <row r="40">
          <cell r="L40">
            <v>0</v>
          </cell>
          <cell r="T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</sheetData>
      <sheetData sheetId="9" refreshError="1">
        <row r="11">
          <cell r="L11">
            <v>0</v>
          </cell>
        </row>
        <row r="12">
          <cell r="L12">
            <v>0</v>
          </cell>
        </row>
        <row r="13">
          <cell r="L13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Excel Schedules"/>
      <sheetName val="EBIT by geographic areas"/>
      <sheetName val="Consolidation Scope"/>
      <sheetName val="Acc. Rec. &amp; Acc. Pay."/>
      <sheetName val="Investments in Equity Affiliate"/>
      <sheetName val="Advances to Equity Affiliates"/>
      <sheetName val="Cost Method Investments"/>
      <sheetName val="Fair Value Investments"/>
      <sheetName val="Other Investments"/>
      <sheetName val="Other Intangible Assets Fre"/>
      <sheetName val="Other Intangible Assets US"/>
      <sheetName val="Other LT Liabilities"/>
      <sheetName val="Reserves and allowances"/>
      <sheetName val="Equity method Financial data"/>
      <sheetName val="long term debt"/>
      <sheetName val="short term debt"/>
      <sheetName val="Cash"/>
      <sheetName val="Restucturing costs"/>
      <sheetName val="Other Intangible Assets US GAAP"/>
      <sheetName val="Other Intangible Assets French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512.5</v>
          </cell>
          <cell r="C4">
            <v>-9.1</v>
          </cell>
          <cell r="D4">
            <v>-9.1</v>
          </cell>
          <cell r="E4">
            <v>503.4</v>
          </cell>
          <cell r="F4">
            <v>503.4</v>
          </cell>
          <cell r="G4">
            <v>503.4</v>
          </cell>
          <cell r="H4">
            <v>503.4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>
            <v>42.3</v>
          </cell>
          <cell r="C8">
            <v>0</v>
          </cell>
          <cell r="D8">
            <v>0</v>
          </cell>
          <cell r="E8">
            <v>42.3</v>
          </cell>
          <cell r="F8">
            <v>42.3</v>
          </cell>
          <cell r="G8">
            <v>42.3</v>
          </cell>
          <cell r="H8">
            <v>42.3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B14">
            <v>385.3</v>
          </cell>
          <cell r="C14">
            <v>385.3</v>
          </cell>
          <cell r="D14">
            <v>385.3</v>
          </cell>
          <cell r="E14">
            <v>0</v>
          </cell>
          <cell r="F14">
            <v>385.3</v>
          </cell>
          <cell r="G14">
            <v>385.3</v>
          </cell>
          <cell r="H14">
            <v>385.3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B15">
            <v>385.3</v>
          </cell>
          <cell r="C15">
            <v>0</v>
          </cell>
          <cell r="D15">
            <v>0</v>
          </cell>
          <cell r="E15">
            <v>385.3</v>
          </cell>
          <cell r="F15">
            <v>385.3</v>
          </cell>
          <cell r="G15">
            <v>0</v>
          </cell>
          <cell r="H15">
            <v>385.3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7">
          <cell r="B17">
            <v>940.1</v>
          </cell>
          <cell r="C17">
            <v>-9.1</v>
          </cell>
          <cell r="D17">
            <v>-9.1</v>
          </cell>
          <cell r="E17">
            <v>0</v>
          </cell>
          <cell r="F17">
            <v>931</v>
          </cell>
          <cell r="G17">
            <v>0</v>
          </cell>
          <cell r="H17">
            <v>931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29">
          <cell r="B29">
            <v>1334.5</v>
          </cell>
          <cell r="C29">
            <v>-16.600000000000001</v>
          </cell>
          <cell r="D29">
            <v>-16.600000000000001</v>
          </cell>
          <cell r="E29">
            <v>1317.9</v>
          </cell>
          <cell r="F29">
            <v>1317.9</v>
          </cell>
          <cell r="G29">
            <v>1317.9</v>
          </cell>
          <cell r="H29">
            <v>1317.9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2"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B33">
            <v>100.1</v>
          </cell>
          <cell r="C33">
            <v>100.1</v>
          </cell>
          <cell r="D33">
            <v>100.1</v>
          </cell>
          <cell r="E33">
            <v>0</v>
          </cell>
          <cell r="F33">
            <v>100.1</v>
          </cell>
          <cell r="G33">
            <v>100.1</v>
          </cell>
          <cell r="H33">
            <v>100.1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5">
          <cell r="B35">
            <v>195.3</v>
          </cell>
          <cell r="C35">
            <v>195.3</v>
          </cell>
          <cell r="D35">
            <v>195.3</v>
          </cell>
          <cell r="E35">
            <v>0</v>
          </cell>
          <cell r="F35">
            <v>195.3</v>
          </cell>
          <cell r="G35">
            <v>195.3</v>
          </cell>
          <cell r="H35">
            <v>195.3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>
            <v>909.3</v>
          </cell>
          <cell r="C37">
            <v>-8.6</v>
          </cell>
          <cell r="D37">
            <v>-8.6</v>
          </cell>
          <cell r="E37">
            <v>900.69999999999993</v>
          </cell>
          <cell r="F37">
            <v>900.69999999999993</v>
          </cell>
          <cell r="G37">
            <v>900.69999999999993</v>
          </cell>
          <cell r="H37">
            <v>900.69999999999993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>
            <v>1104.5999999999999</v>
          </cell>
          <cell r="C38">
            <v>-8.6</v>
          </cell>
          <cell r="D38">
            <v>-8.6</v>
          </cell>
          <cell r="E38">
            <v>1096</v>
          </cell>
          <cell r="F38">
            <v>1096</v>
          </cell>
          <cell r="G38">
            <v>0</v>
          </cell>
          <cell r="H38">
            <v>1096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40">
          <cell r="B40">
            <v>2539.1999999999998</v>
          </cell>
          <cell r="C40">
            <v>-25.200000000000003</v>
          </cell>
          <cell r="D40">
            <v>-25.200000000000003</v>
          </cell>
          <cell r="E40">
            <v>0</v>
          </cell>
          <cell r="F40">
            <v>2514</v>
          </cell>
          <cell r="G40">
            <v>0</v>
          </cell>
          <cell r="H40">
            <v>2514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9">
          <cell r="B9">
            <v>1.1000000000000001</v>
          </cell>
          <cell r="C9">
            <v>1.1000000000000001</v>
          </cell>
          <cell r="E9">
            <v>1.1000000000000001</v>
          </cell>
        </row>
        <row r="10">
          <cell r="B10">
            <v>0.8</v>
          </cell>
          <cell r="C10">
            <v>0.8</v>
          </cell>
          <cell r="E10">
            <v>0.8</v>
          </cell>
        </row>
        <row r="21">
          <cell r="B21">
            <v>1.9000000000000001</v>
          </cell>
          <cell r="C21">
            <v>0</v>
          </cell>
          <cell r="E21">
            <v>1.9000000000000001</v>
          </cell>
          <cell r="F21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Gaap"/>
      <sheetName val="Assets"/>
      <sheetName val="Liabilities"/>
      <sheetName val="P&amp;L"/>
      <sheetName val="Mgt CF"/>
      <sheetName val="FAS95"/>
      <sheetName val="Net Debt"/>
      <sheetName val="Intercos BS"/>
      <sheetName val="ICo VUE-USH"/>
      <sheetName val="Interco P&amp;L"/>
      <sheetName val="Invest"/>
      <sheetName val="Situ nette"/>
      <sheetName val="F88"/>
      <sheetName val="Adj PAC01"/>
      <sheetName val="Ecrit. NC002"/>
      <sheetName val="Base"/>
      <sheetName val="Data"/>
      <sheetName val="Control"/>
      <sheetName val="Other LT Liabilities"/>
      <sheetName val="Acc. Rec. &amp; Acc. Pay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B1">
            <v>1.2352501666666666</v>
          </cell>
          <cell r="C1">
            <v>1.3615999999999999</v>
          </cell>
        </row>
        <row r="5">
          <cell r="C5">
            <v>1.2453000000000001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Gaap"/>
      <sheetName val="Assets"/>
      <sheetName val="Liabilities"/>
      <sheetName val="P&amp;L"/>
      <sheetName val="Mgt CF"/>
      <sheetName val="FAS95"/>
      <sheetName val="Net Debt"/>
      <sheetName val="Intercos BS"/>
      <sheetName val="ICo VUE-USH"/>
      <sheetName val="Interco P&amp;L"/>
      <sheetName val="Invest"/>
      <sheetName val="Situ nette"/>
      <sheetName val="F88"/>
      <sheetName val="Adj PAC01"/>
      <sheetName val="Ecrit. NC002"/>
      <sheetName val="Base"/>
      <sheetName val="Data"/>
      <sheetName val="Control"/>
      <sheetName val="Other LT Liabilities"/>
      <sheetName val="Acc. Rec. &amp; Acc. Pay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B1">
            <v>1.2352501666666666</v>
          </cell>
          <cell r="C1">
            <v>1.3615999999999999</v>
          </cell>
        </row>
        <row r="5">
          <cell r="C5">
            <v>1.2453000000000001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  <sheetName val="UniStariBidHiddenSheet"/>
      <sheetName val="Discount_Cockpit"/>
      <sheetName val="RefList"/>
      <sheetName val="Hospital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/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  <sheetName val="Summary(CIF)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 refreshError="1"/>
      <sheetData sheetId="3" refreshError="1">
        <row r="6">
          <cell r="A6">
            <v>2112749</v>
          </cell>
          <cell r="B6">
            <v>2112749</v>
          </cell>
          <cell r="C6"/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/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FICHE R1 "/>
      <sheetName val="FICHE R2 "/>
      <sheetName val="FICHE R3 "/>
      <sheetName val="FICHE R4"/>
      <sheetName val="base"/>
      <sheetName val="BG"/>
      <sheetName val="ACTIF"/>
      <sheetName val="PASSIF"/>
      <sheetName val="Compte de Résultat"/>
      <sheetName val="Feuil1"/>
      <sheetName val="BG (2)"/>
      <sheetName val="Feuil2"/>
      <sheetName val="Feuil3"/>
      <sheetName val="NOTE 1"/>
      <sheetName val="NOTE 3B"/>
      <sheetName val="NOTE 3D"/>
      <sheetName val="NOTE 3E"/>
      <sheetName val="NOTE 8A"/>
      <sheetName val="NOTE 9"/>
      <sheetName val="NOTE 15A"/>
      <sheetName val="NOTES 15B"/>
      <sheetName val="NOTE 16B bis"/>
      <sheetName val="NOTE 16C"/>
      <sheetName val="NOTE 27B"/>
      <sheetName val="NOTE 32"/>
      <sheetName val="NOTE 33"/>
      <sheetName val="NOTE 35"/>
      <sheetName val="NOTE 36"/>
      <sheetName val="CODES"/>
      <sheetName val="PAGE DE GARDE_LIASSE FISCALE"/>
      <sheetName val="FICHE RECAP"/>
      <sheetName val="LF_IS_P1_IDENTIFICATION"/>
      <sheetName val="LF_IS_P2_RESULTAT TAXABLE "/>
      <sheetName val="LF_IS_P3_ACTIF"/>
      <sheetName val="LF_IS_P4_PASSIF"/>
      <sheetName val="LF_IS_P5_FICHE DE LIQUIDATION"/>
      <sheetName val="LF_IS_P6_PAGE DECLARANT"/>
      <sheetName val="A1_DETAILS DES REINTEGRATIONS"/>
      <sheetName val="A2_DETAILS DES DEDUCTIONS"/>
      <sheetName val="A3_PRODUITS ENCAISSABLES"/>
      <sheetName val="A4_CREANCES SUR L'ETAT"/>
      <sheetName val="A5_CHARGES FISCALES "/>
      <sheetName val="A6_PLUS VALUES A REINVESTIR"/>
      <sheetName val="A7_REPORT DU DEFICIT "/>
      <sheetName val="A8_AMORT REPUTES DIFFERES"/>
      <sheetName val="A9_DECLARATION_HONORAIRES"/>
      <sheetName val="A10_TABLEAU DES IMMOBILIS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D12">
            <v>146520173576</v>
          </cell>
          <cell r="E12">
            <v>107413659810</v>
          </cell>
        </row>
        <row r="16">
          <cell r="D16">
            <v>3170092329</v>
          </cell>
          <cell r="E16">
            <v>0</v>
          </cell>
        </row>
        <row r="18">
          <cell r="D18">
            <v>1675459071</v>
          </cell>
          <cell r="E18">
            <v>53350355</v>
          </cell>
        </row>
        <row r="20">
          <cell r="D20">
            <v>61892732272</v>
          </cell>
          <cell r="E20">
            <v>41823483292</v>
          </cell>
        </row>
        <row r="21">
          <cell r="D21">
            <v>111780777995</v>
          </cell>
          <cell r="E21">
            <v>70508337317</v>
          </cell>
        </row>
        <row r="22">
          <cell r="D22">
            <v>715895198</v>
          </cell>
          <cell r="E22">
            <v>715332605</v>
          </cell>
        </row>
        <row r="23">
          <cell r="D23">
            <v>474728793</v>
          </cell>
        </row>
        <row r="25">
          <cell r="D25">
            <v>0</v>
          </cell>
        </row>
        <row r="26">
          <cell r="D26">
            <v>732076630</v>
          </cell>
        </row>
        <row r="28">
          <cell r="D28">
            <v>1307827431</v>
          </cell>
        </row>
        <row r="29">
          <cell r="D29">
            <v>2986894192</v>
          </cell>
          <cell r="E29">
            <v>539720702</v>
          </cell>
        </row>
        <row r="31">
          <cell r="D31">
            <v>1657769200</v>
          </cell>
        </row>
        <row r="32">
          <cell r="D32">
            <v>24885972671</v>
          </cell>
          <cell r="E32">
            <v>4197508048</v>
          </cell>
        </row>
        <row r="33">
          <cell r="D33">
            <v>15136332418</v>
          </cell>
        </row>
        <row r="36">
          <cell r="D36">
            <v>10472865</v>
          </cell>
        </row>
        <row r="37">
          <cell r="D37">
            <v>33018608137</v>
          </cell>
        </row>
        <row r="39">
          <cell r="D39">
            <v>125992774</v>
          </cell>
        </row>
        <row r="40">
          <cell r="D40">
            <v>406091805552</v>
          </cell>
          <cell r="F40">
            <v>180840413423</v>
          </cell>
        </row>
      </sheetData>
      <sheetData sheetId="8">
        <row r="10">
          <cell r="D10">
            <v>10408280000</v>
          </cell>
        </row>
        <row r="16">
          <cell r="D16">
            <v>-1228656692</v>
          </cell>
        </row>
        <row r="17">
          <cell r="D17">
            <v>4778363684</v>
          </cell>
        </row>
        <row r="21">
          <cell r="D21">
            <v>46196599329</v>
          </cell>
        </row>
        <row r="23">
          <cell r="D23">
            <v>1119247874</v>
          </cell>
        </row>
        <row r="26">
          <cell r="D26">
            <v>20173765752</v>
          </cell>
        </row>
        <row r="27">
          <cell r="D27">
            <v>1266250396</v>
          </cell>
        </row>
        <row r="28">
          <cell r="D28">
            <v>40919405808</v>
          </cell>
        </row>
        <row r="29">
          <cell r="D29">
            <v>6711865534</v>
          </cell>
        </row>
        <row r="30">
          <cell r="D30">
            <v>34096023296</v>
          </cell>
        </row>
        <row r="31">
          <cell r="D31">
            <v>212954781</v>
          </cell>
        </row>
        <row r="33">
          <cell r="D33">
            <v>52277096</v>
          </cell>
        </row>
        <row r="34">
          <cell r="D34">
            <v>16044722077</v>
          </cell>
        </row>
        <row r="36">
          <cell r="D36">
            <v>89314488</v>
          </cell>
        </row>
      </sheetData>
      <sheetData sheetId="9">
        <row r="9">
          <cell r="E9">
            <v>1124427867</v>
          </cell>
        </row>
        <row r="10">
          <cell r="E10">
            <v>-1878495285</v>
          </cell>
        </row>
        <row r="11">
          <cell r="E11">
            <v>-167058426</v>
          </cell>
        </row>
        <row r="14">
          <cell r="E14">
            <v>103941367167</v>
          </cell>
        </row>
        <row r="15">
          <cell r="E15">
            <v>1193512416</v>
          </cell>
        </row>
        <row r="20">
          <cell r="E20">
            <v>1146703428</v>
          </cell>
        </row>
        <row r="21">
          <cell r="E21">
            <v>202462584</v>
          </cell>
        </row>
        <row r="22">
          <cell r="E22">
            <v>0</v>
          </cell>
        </row>
        <row r="23">
          <cell r="E23">
            <v>20982830</v>
          </cell>
        </row>
        <row r="24">
          <cell r="E24">
            <v>-13535561694</v>
          </cell>
        </row>
        <row r="25">
          <cell r="E25">
            <v>-70632568</v>
          </cell>
        </row>
        <row r="26">
          <cell r="E26">
            <v>-185108708</v>
          </cell>
        </row>
        <row r="27">
          <cell r="E27">
            <v>-55972756449</v>
          </cell>
        </row>
        <row r="28">
          <cell r="E28">
            <v>-2756966914</v>
          </cell>
        </row>
        <row r="29">
          <cell r="E29">
            <v>-2130824161</v>
          </cell>
        </row>
        <row r="31">
          <cell r="E31">
            <v>-4859497853</v>
          </cell>
        </row>
        <row r="33">
          <cell r="E33">
            <v>1588912200</v>
          </cell>
        </row>
        <row r="34">
          <cell r="E34">
            <v>-18531485240</v>
          </cell>
        </row>
        <row r="36">
          <cell r="E36">
            <v>870907299</v>
          </cell>
        </row>
        <row r="37">
          <cell r="E37">
            <v>0</v>
          </cell>
        </row>
        <row r="39">
          <cell r="E39">
            <v>-4155056479</v>
          </cell>
        </row>
        <row r="40">
          <cell r="E40">
            <v>0</v>
          </cell>
        </row>
        <row r="43">
          <cell r="E43">
            <v>0</v>
          </cell>
        </row>
        <row r="45">
          <cell r="E45">
            <v>0</v>
          </cell>
        </row>
        <row r="49">
          <cell r="E49">
            <v>-1067468330</v>
          </cell>
        </row>
      </sheetData>
      <sheetData sheetId="10"/>
      <sheetData sheetId="11">
        <row r="9">
          <cell r="B9">
            <v>101000</v>
          </cell>
          <cell r="C9" t="str">
            <v>CA</v>
          </cell>
          <cell r="D9" t="str">
            <v>CAPITAL SOCIAL</v>
          </cell>
          <cell r="E9">
            <v>0</v>
          </cell>
          <cell r="F9">
            <v>10408280000</v>
          </cell>
          <cell r="G9">
            <v>0</v>
          </cell>
          <cell r="H9">
            <v>0</v>
          </cell>
          <cell r="I9">
            <v>0</v>
          </cell>
          <cell r="J9">
            <v>10408280000</v>
          </cell>
        </row>
        <row r="10">
          <cell r="B10">
            <v>121000</v>
          </cell>
          <cell r="C10" t="str">
            <v>CH</v>
          </cell>
          <cell r="D10" t="str">
            <v>REPORT A NOUVEAU CREDITEUR</v>
          </cell>
          <cell r="E10">
            <v>0</v>
          </cell>
          <cell r="F10">
            <v>11797647055</v>
          </cell>
          <cell r="G10">
            <v>0</v>
          </cell>
          <cell r="H10">
            <v>4015179140</v>
          </cell>
          <cell r="I10">
            <v>0</v>
          </cell>
          <cell r="J10">
            <v>15812826195</v>
          </cell>
        </row>
        <row r="11">
          <cell r="B11">
            <v>129000</v>
          </cell>
          <cell r="C11" t="str">
            <v>CH</v>
          </cell>
          <cell r="D11" t="str">
            <v>REPORT A NOUVEAU DEBITEUR</v>
          </cell>
          <cell r="E11">
            <v>17260503796</v>
          </cell>
          <cell r="F11">
            <v>0</v>
          </cell>
          <cell r="G11">
            <v>0</v>
          </cell>
          <cell r="H11">
            <v>0</v>
          </cell>
          <cell r="I11">
            <v>17260503796</v>
          </cell>
          <cell r="J11">
            <v>0</v>
          </cell>
        </row>
        <row r="12">
          <cell r="B12">
            <v>130100</v>
          </cell>
          <cell r="C12" t="str">
            <v>CH</v>
          </cell>
          <cell r="D12" t="str">
            <v>RESULTAT NET EN INSTANCE D'AFF</v>
          </cell>
          <cell r="E12">
            <v>0</v>
          </cell>
          <cell r="F12">
            <v>219020909</v>
          </cell>
          <cell r="G12">
            <v>0</v>
          </cell>
          <cell r="H12">
            <v>0</v>
          </cell>
          <cell r="I12">
            <v>0</v>
          </cell>
          <cell r="J12">
            <v>219020909</v>
          </cell>
        </row>
        <row r="13">
          <cell r="B13">
            <v>131000</v>
          </cell>
          <cell r="C13" t="str">
            <v>CH</v>
          </cell>
          <cell r="D13" t="str">
            <v>RESULTAT NET : BENEFICE</v>
          </cell>
          <cell r="E13">
            <v>0</v>
          </cell>
          <cell r="F13">
            <v>4015179140</v>
          </cell>
          <cell r="G13">
            <v>4015179140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148000</v>
          </cell>
          <cell r="C14" t="str">
            <v>DA</v>
          </cell>
          <cell r="D14" t="str">
            <v>SUBVENTION D'INVESTISSEMENT</v>
          </cell>
          <cell r="E14">
            <v>0</v>
          </cell>
          <cell r="F14">
            <v>0</v>
          </cell>
          <cell r="G14">
            <v>535112960</v>
          </cell>
          <cell r="H14">
            <v>1830627040</v>
          </cell>
          <cell r="I14">
            <v>0</v>
          </cell>
          <cell r="J14">
            <v>1295514080</v>
          </cell>
        </row>
        <row r="15">
          <cell r="B15">
            <v>161101</v>
          </cell>
          <cell r="C15" t="str">
            <v>DA</v>
          </cell>
          <cell r="D15" t="str">
            <v>EMPRUNTS CAA</v>
          </cell>
          <cell r="E15">
            <v>0</v>
          </cell>
          <cell r="F15">
            <v>564773615</v>
          </cell>
          <cell r="G15">
            <v>188257874</v>
          </cell>
          <cell r="H15">
            <v>0</v>
          </cell>
          <cell r="I15">
            <v>0</v>
          </cell>
          <cell r="J15">
            <v>376515741</v>
          </cell>
        </row>
        <row r="16">
          <cell r="B16">
            <v>162300</v>
          </cell>
          <cell r="C16" t="str">
            <v>DA</v>
          </cell>
          <cell r="D16" t="str">
            <v>EMPRUNT CORIS BANK</v>
          </cell>
          <cell r="E16">
            <v>0</v>
          </cell>
          <cell r="F16">
            <v>10771050910</v>
          </cell>
          <cell r="G16">
            <v>3847116856</v>
          </cell>
          <cell r="H16">
            <v>921026219</v>
          </cell>
          <cell r="I16">
            <v>0</v>
          </cell>
          <cell r="J16">
            <v>7844960273</v>
          </cell>
        </row>
        <row r="17">
          <cell r="B17">
            <v>162400</v>
          </cell>
          <cell r="C17" t="str">
            <v>DA</v>
          </cell>
          <cell r="D17" t="str">
            <v>EMPRUNT BANK OF AFRICA (BOA)</v>
          </cell>
          <cell r="E17">
            <v>0</v>
          </cell>
          <cell r="F17">
            <v>14830776943</v>
          </cell>
          <cell r="G17">
            <v>2073985135</v>
          </cell>
          <cell r="H17">
            <v>5000000000</v>
          </cell>
          <cell r="I17">
            <v>0</v>
          </cell>
          <cell r="J17">
            <v>17756791808</v>
          </cell>
        </row>
        <row r="18">
          <cell r="B18">
            <v>162500</v>
          </cell>
          <cell r="C18" t="str">
            <v>DA</v>
          </cell>
          <cell r="D18" t="str">
            <v>EMPRUNT CBAO</v>
          </cell>
          <cell r="E18">
            <v>0</v>
          </cell>
          <cell r="F18">
            <v>20000000000</v>
          </cell>
          <cell r="G18">
            <v>2098417244</v>
          </cell>
          <cell r="H18">
            <v>0</v>
          </cell>
          <cell r="I18">
            <v>0</v>
          </cell>
          <cell r="J18">
            <v>17901582756</v>
          </cell>
        </row>
        <row r="19">
          <cell r="B19">
            <v>165200</v>
          </cell>
          <cell r="C19" t="str">
            <v>DA</v>
          </cell>
          <cell r="D19" t="str">
            <v>AUTRES CAUTIONNEMENTS</v>
          </cell>
          <cell r="E19">
            <v>0</v>
          </cell>
          <cell r="F19">
            <v>1297000</v>
          </cell>
          <cell r="G19">
            <v>0</v>
          </cell>
          <cell r="H19">
            <v>0</v>
          </cell>
          <cell r="I19">
            <v>0</v>
          </cell>
          <cell r="J19">
            <v>1297000</v>
          </cell>
        </row>
        <row r="20">
          <cell r="B20">
            <v>165210</v>
          </cell>
          <cell r="C20" t="str">
            <v>DA</v>
          </cell>
          <cell r="D20" t="str">
            <v>CAUTIONS DISTRIBUTEURS &amp; POSTP</v>
          </cell>
          <cell r="E20">
            <v>0</v>
          </cell>
          <cell r="F20">
            <v>307748479</v>
          </cell>
          <cell r="G20">
            <v>1260500</v>
          </cell>
          <cell r="H20">
            <v>20756200</v>
          </cell>
          <cell r="I20">
            <v>0</v>
          </cell>
          <cell r="J20">
            <v>327244179</v>
          </cell>
        </row>
        <row r="21">
          <cell r="B21">
            <v>166101</v>
          </cell>
          <cell r="C21" t="str">
            <v>DA</v>
          </cell>
          <cell r="D21" t="str">
            <v>INTERETS COURUS SUR EMPRUNTS S</v>
          </cell>
          <cell r="E21">
            <v>0</v>
          </cell>
          <cell r="F21">
            <v>2745428</v>
          </cell>
          <cell r="G21">
            <v>0</v>
          </cell>
          <cell r="H21">
            <v>-1961020</v>
          </cell>
          <cell r="I21">
            <v>0</v>
          </cell>
          <cell r="J21">
            <v>784408</v>
          </cell>
        </row>
        <row r="22">
          <cell r="B22">
            <v>166200</v>
          </cell>
          <cell r="C22" t="str">
            <v>DA</v>
          </cell>
          <cell r="D22" t="str">
            <v>INTERETS COURUS / EMPRUNTS BAN</v>
          </cell>
          <cell r="E22">
            <v>0</v>
          </cell>
          <cell r="F22">
            <v>907777903</v>
          </cell>
          <cell r="G22">
            <v>-265360986</v>
          </cell>
          <cell r="H22">
            <v>-481229808</v>
          </cell>
          <cell r="I22">
            <v>0</v>
          </cell>
          <cell r="J22">
            <v>691909081</v>
          </cell>
        </row>
        <row r="23">
          <cell r="B23">
            <v>166210</v>
          </cell>
          <cell r="C23" t="str">
            <v>DA</v>
          </cell>
          <cell r="D23" t="str">
            <v>INTERETS COURUS EMPRUNTS AFREX</v>
          </cell>
          <cell r="E23">
            <v>0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3</v>
          </cell>
        </row>
        <row r="24">
          <cell r="B24">
            <v>196000</v>
          </cell>
          <cell r="C24" t="str">
            <v>DC</v>
          </cell>
          <cell r="D24" t="str">
            <v>PROVISIONS POUR PENSIONS ET OB</v>
          </cell>
          <cell r="E24">
            <v>0</v>
          </cell>
          <cell r="F24">
            <v>75886080</v>
          </cell>
          <cell r="G24">
            <v>0</v>
          </cell>
          <cell r="H24">
            <v>0</v>
          </cell>
          <cell r="I24">
            <v>0</v>
          </cell>
          <cell r="J24">
            <v>75886080</v>
          </cell>
        </row>
        <row r="25">
          <cell r="B25">
            <v>196100</v>
          </cell>
          <cell r="C25" t="str">
            <v>DC</v>
          </cell>
          <cell r="D25" t="str">
            <v>PROVIS° PR PENSIONS ET OB</v>
          </cell>
          <cell r="E25">
            <v>0</v>
          </cell>
          <cell r="F25">
            <v>560543234</v>
          </cell>
          <cell r="G25">
            <v>69932047</v>
          </cell>
          <cell r="H25">
            <v>138375073</v>
          </cell>
          <cell r="I25">
            <v>0</v>
          </cell>
          <cell r="J25">
            <v>628986260</v>
          </cell>
        </row>
        <row r="26">
          <cell r="B26">
            <v>198000</v>
          </cell>
          <cell r="C26" t="str">
            <v>DC</v>
          </cell>
          <cell r="D26" t="str">
            <v>AUTRES PROVISIONS FINANCIERES</v>
          </cell>
          <cell r="E26">
            <v>0</v>
          </cell>
          <cell r="F26">
            <v>315691792</v>
          </cell>
          <cell r="G26">
            <v>60096576</v>
          </cell>
          <cell r="H26">
            <v>113600</v>
          </cell>
          <cell r="I26">
            <v>0</v>
          </cell>
          <cell r="J26">
            <v>255708816</v>
          </cell>
        </row>
        <row r="27">
          <cell r="B27">
            <v>198800</v>
          </cell>
          <cell r="C27" t="str">
            <v>DC</v>
          </cell>
          <cell r="D27" t="str">
            <v>PROVISIONS POUR RISQUES</v>
          </cell>
          <cell r="E27">
            <v>0</v>
          </cell>
          <cell r="F27">
            <v>158666718</v>
          </cell>
          <cell r="G27">
            <v>0</v>
          </cell>
          <cell r="H27">
            <v>0</v>
          </cell>
          <cell r="I27">
            <v>0</v>
          </cell>
          <cell r="J27">
            <v>158666718</v>
          </cell>
        </row>
        <row r="28">
          <cell r="B28">
            <v>212100</v>
          </cell>
          <cell r="C28" t="str">
            <v>AF</v>
          </cell>
          <cell r="D28" t="str">
            <v>LICENCES GSM</v>
          </cell>
          <cell r="E28">
            <v>80000000000</v>
          </cell>
          <cell r="F28">
            <v>0</v>
          </cell>
          <cell r="G28">
            <v>0</v>
          </cell>
          <cell r="H28">
            <v>0</v>
          </cell>
          <cell r="I28">
            <v>80000000000</v>
          </cell>
          <cell r="J28">
            <v>0</v>
          </cell>
        </row>
        <row r="29">
          <cell r="B29">
            <v>212200</v>
          </cell>
          <cell r="C29" t="str">
            <v>AF</v>
          </cell>
          <cell r="D29" t="str">
            <v>AUTRES LICENCES ET BREVETS</v>
          </cell>
          <cell r="E29">
            <v>5886438394</v>
          </cell>
          <cell r="F29">
            <v>0</v>
          </cell>
          <cell r="G29">
            <v>486590555</v>
          </cell>
          <cell r="H29">
            <v>0</v>
          </cell>
          <cell r="I29">
            <v>6373028949</v>
          </cell>
          <cell r="J29">
            <v>0</v>
          </cell>
        </row>
        <row r="30">
          <cell r="B30">
            <v>213100</v>
          </cell>
          <cell r="C30" t="str">
            <v>AF</v>
          </cell>
          <cell r="D30" t="str">
            <v>LOGICIELS D'EXPLOITATION TECHN</v>
          </cell>
          <cell r="E30">
            <v>48010968840</v>
          </cell>
          <cell r="F30">
            <v>0</v>
          </cell>
          <cell r="G30">
            <v>8357348451</v>
          </cell>
          <cell r="H30">
            <v>0</v>
          </cell>
          <cell r="I30">
            <v>56368317291</v>
          </cell>
          <cell r="J30">
            <v>0</v>
          </cell>
        </row>
        <row r="31">
          <cell r="B31">
            <v>213200</v>
          </cell>
          <cell r="C31" t="str">
            <v>AF</v>
          </cell>
          <cell r="D31" t="str">
            <v>Sites internet</v>
          </cell>
          <cell r="E31">
            <v>2155081147</v>
          </cell>
          <cell r="F31">
            <v>0</v>
          </cell>
          <cell r="G31">
            <v>0</v>
          </cell>
          <cell r="H31">
            <v>0</v>
          </cell>
          <cell r="I31">
            <v>2155081147</v>
          </cell>
          <cell r="J31">
            <v>0</v>
          </cell>
        </row>
        <row r="32">
          <cell r="B32">
            <v>219300</v>
          </cell>
          <cell r="C32" t="str">
            <v>AF</v>
          </cell>
          <cell r="D32" t="str">
            <v>IMOB INCORP EN COURS / LOGICIE</v>
          </cell>
          <cell r="E32">
            <v>5581261628</v>
          </cell>
          <cell r="F32">
            <v>0</v>
          </cell>
          <cell r="G32">
            <v>-476193229</v>
          </cell>
          <cell r="H32">
            <v>3481322210</v>
          </cell>
          <cell r="I32">
            <v>1623746189</v>
          </cell>
          <cell r="J32">
            <v>0</v>
          </cell>
        </row>
        <row r="33">
          <cell r="B33">
            <v>223100</v>
          </cell>
          <cell r="C33" t="str">
            <v>AJ</v>
          </cell>
          <cell r="D33" t="str">
            <v>TERRAINS POUR SITES</v>
          </cell>
          <cell r="E33">
            <v>1197014492</v>
          </cell>
          <cell r="F33">
            <v>0</v>
          </cell>
          <cell r="G33">
            <v>34230581</v>
          </cell>
          <cell r="H33">
            <v>0</v>
          </cell>
          <cell r="I33">
            <v>1231245073</v>
          </cell>
          <cell r="J33">
            <v>0</v>
          </cell>
        </row>
        <row r="34">
          <cell r="B34">
            <v>223800</v>
          </cell>
          <cell r="C34" t="str">
            <v>AJ</v>
          </cell>
          <cell r="D34" t="str">
            <v>AUTRES TERRAINS BATIS</v>
          </cell>
          <cell r="E34">
            <v>70000000</v>
          </cell>
          <cell r="F34">
            <v>0</v>
          </cell>
          <cell r="G34">
            <v>0</v>
          </cell>
          <cell r="H34">
            <v>0</v>
          </cell>
          <cell r="I34">
            <v>70000000</v>
          </cell>
          <cell r="J34">
            <v>0</v>
          </cell>
        </row>
        <row r="35">
          <cell r="B35">
            <v>229700</v>
          </cell>
          <cell r="C35" t="str">
            <v>AJ</v>
          </cell>
          <cell r="D35" t="str">
            <v>TERRAINS EN COURS D'ACQUISITIO</v>
          </cell>
          <cell r="E35">
            <v>1724788256</v>
          </cell>
          <cell r="F35">
            <v>0</v>
          </cell>
          <cell r="G35">
            <v>174765000</v>
          </cell>
          <cell r="H35">
            <v>30706000</v>
          </cell>
          <cell r="I35">
            <v>1868847256</v>
          </cell>
          <cell r="J35">
            <v>0</v>
          </cell>
        </row>
        <row r="36">
          <cell r="B36">
            <v>231100</v>
          </cell>
          <cell r="C36" t="str">
            <v>AK</v>
          </cell>
          <cell r="D36" t="str">
            <v>BATIMENTS INDUSTRIELS</v>
          </cell>
          <cell r="E36">
            <v>432753199</v>
          </cell>
          <cell r="F36">
            <v>0</v>
          </cell>
          <cell r="G36">
            <v>0</v>
          </cell>
          <cell r="H36">
            <v>0</v>
          </cell>
          <cell r="I36">
            <v>432753199</v>
          </cell>
          <cell r="J36">
            <v>0</v>
          </cell>
        </row>
        <row r="37">
          <cell r="B37">
            <v>234110</v>
          </cell>
          <cell r="C37" t="str">
            <v>AL</v>
          </cell>
          <cell r="D37" t="str">
            <v>INFRASTRUCTURES</v>
          </cell>
          <cell r="E37">
            <v>23553998802</v>
          </cell>
          <cell r="F37">
            <v>0</v>
          </cell>
          <cell r="G37">
            <v>2557864678</v>
          </cell>
          <cell r="H37">
            <v>0</v>
          </cell>
          <cell r="I37">
            <v>26111863480</v>
          </cell>
          <cell r="J37">
            <v>0</v>
          </cell>
        </row>
        <row r="38">
          <cell r="B38">
            <v>234120</v>
          </cell>
          <cell r="C38" t="str">
            <v>AL</v>
          </cell>
          <cell r="D38" t="str">
            <v>AMENAGEMENT TECHNIQUE</v>
          </cell>
          <cell r="E38">
            <v>13060093890</v>
          </cell>
          <cell r="F38">
            <v>0</v>
          </cell>
          <cell r="G38">
            <v>300832814</v>
          </cell>
          <cell r="H38">
            <v>0</v>
          </cell>
          <cell r="I38">
            <v>13360926704</v>
          </cell>
          <cell r="J38">
            <v>0</v>
          </cell>
        </row>
        <row r="39">
          <cell r="B39">
            <v>234130</v>
          </cell>
          <cell r="C39" t="str">
            <v>AL</v>
          </cell>
          <cell r="D39" t="str">
            <v>EQUIPEMENTS D'ENERGIE</v>
          </cell>
          <cell r="E39">
            <v>16742409141</v>
          </cell>
          <cell r="F39">
            <v>0</v>
          </cell>
          <cell r="G39">
            <v>3567989500</v>
          </cell>
          <cell r="H39">
            <v>0</v>
          </cell>
          <cell r="I39">
            <v>20310398641</v>
          </cell>
          <cell r="J39">
            <v>0</v>
          </cell>
        </row>
        <row r="40">
          <cell r="B40">
            <v>235110</v>
          </cell>
          <cell r="C40" t="str">
            <v>AL</v>
          </cell>
          <cell r="D40" t="str">
            <v>AMENAGEMENT DE BUREAUX</v>
          </cell>
          <cell r="E40">
            <v>1040380583</v>
          </cell>
          <cell r="F40">
            <v>0</v>
          </cell>
          <cell r="G40">
            <v>9476008</v>
          </cell>
          <cell r="H40">
            <v>0</v>
          </cell>
          <cell r="I40">
            <v>1049856591</v>
          </cell>
          <cell r="J40">
            <v>0</v>
          </cell>
        </row>
        <row r="41">
          <cell r="B41">
            <v>235120</v>
          </cell>
          <cell r="C41" t="str">
            <v>AL</v>
          </cell>
          <cell r="D41" t="str">
            <v>AMENAGEMENT DES AGENCES</v>
          </cell>
          <cell r="E41">
            <v>765519895</v>
          </cell>
          <cell r="F41">
            <v>0</v>
          </cell>
          <cell r="G41">
            <v>152720787</v>
          </cell>
          <cell r="H41">
            <v>0</v>
          </cell>
          <cell r="I41">
            <v>918240682</v>
          </cell>
          <cell r="J41">
            <v>0</v>
          </cell>
        </row>
        <row r="42">
          <cell r="B42">
            <v>235130</v>
          </cell>
          <cell r="C42" t="str">
            <v>AL</v>
          </cell>
          <cell r="D42" t="str">
            <v>AMENAGEMENT DES RESIDENCES</v>
          </cell>
          <cell r="E42">
            <v>6738841</v>
          </cell>
          <cell r="F42">
            <v>0</v>
          </cell>
          <cell r="G42">
            <v>0</v>
          </cell>
          <cell r="H42">
            <v>0</v>
          </cell>
          <cell r="I42">
            <v>6738841</v>
          </cell>
          <cell r="J42">
            <v>0</v>
          </cell>
        </row>
        <row r="43">
          <cell r="B43">
            <v>235800</v>
          </cell>
          <cell r="C43" t="str">
            <v>AL</v>
          </cell>
          <cell r="D43" t="str">
            <v>AUTRES AMENAGEMENTS</v>
          </cell>
          <cell r="E43">
            <v>38309397</v>
          </cell>
          <cell r="F43">
            <v>0</v>
          </cell>
          <cell r="G43">
            <v>0</v>
          </cell>
          <cell r="H43">
            <v>0</v>
          </cell>
          <cell r="I43">
            <v>38309397</v>
          </cell>
          <cell r="J43">
            <v>0</v>
          </cell>
        </row>
        <row r="44">
          <cell r="B44">
            <v>238200</v>
          </cell>
          <cell r="C44" t="str">
            <v>AL</v>
          </cell>
          <cell r="D44" t="str">
            <v>DIVERS INSTALLATIONS ET AGENCE</v>
          </cell>
          <cell r="E44">
            <v>96397936</v>
          </cell>
          <cell r="F44">
            <v>0</v>
          </cell>
          <cell r="G44">
            <v>0</v>
          </cell>
          <cell r="H44">
            <v>0</v>
          </cell>
          <cell r="I44">
            <v>96397936</v>
          </cell>
          <cell r="J44">
            <v>0</v>
          </cell>
        </row>
        <row r="45">
          <cell r="B45">
            <v>239100</v>
          </cell>
          <cell r="C45" t="str">
            <v>AK</v>
          </cell>
          <cell r="D45" t="str">
            <v>BATIMENTS EN COURS</v>
          </cell>
          <cell r="E45">
            <v>499188587</v>
          </cell>
          <cell r="F45">
            <v>0</v>
          </cell>
          <cell r="G45">
            <v>847644182</v>
          </cell>
          <cell r="H45">
            <v>104126897</v>
          </cell>
          <cell r="I45">
            <v>1242705872</v>
          </cell>
          <cell r="J45">
            <v>0</v>
          </cell>
        </row>
        <row r="46">
          <cell r="B46">
            <v>241110</v>
          </cell>
          <cell r="C46" t="str">
            <v>AM</v>
          </cell>
          <cell r="D46" t="str">
            <v>MATERIEL TRANSMISSION -  BSS</v>
          </cell>
          <cell r="E46">
            <v>39278419567</v>
          </cell>
          <cell r="F46">
            <v>0</v>
          </cell>
          <cell r="G46">
            <v>6756962374</v>
          </cell>
          <cell r="H46">
            <v>0</v>
          </cell>
          <cell r="I46">
            <v>46035381941</v>
          </cell>
          <cell r="J46">
            <v>0</v>
          </cell>
        </row>
        <row r="47">
          <cell r="B47">
            <v>241120</v>
          </cell>
          <cell r="C47" t="str">
            <v>AM</v>
          </cell>
          <cell r="D47" t="str">
            <v>MATERIEL DE TRANSMISSION - RAD</v>
          </cell>
          <cell r="E47">
            <v>24537043449</v>
          </cell>
          <cell r="F47">
            <v>0</v>
          </cell>
          <cell r="G47">
            <v>988771214</v>
          </cell>
          <cell r="H47">
            <v>0</v>
          </cell>
          <cell r="I47">
            <v>25525814663</v>
          </cell>
          <cell r="J47">
            <v>0</v>
          </cell>
        </row>
        <row r="48">
          <cell r="B48">
            <v>241130</v>
          </cell>
          <cell r="C48" t="str">
            <v>AM</v>
          </cell>
          <cell r="D48" t="str">
            <v>MATERIEL DE COMMUTATION</v>
          </cell>
          <cell r="E48">
            <v>15963504217</v>
          </cell>
          <cell r="F48">
            <v>0</v>
          </cell>
          <cell r="G48">
            <v>459823786</v>
          </cell>
          <cell r="H48">
            <v>0</v>
          </cell>
          <cell r="I48">
            <v>16423328003</v>
          </cell>
          <cell r="J48">
            <v>0</v>
          </cell>
        </row>
        <row r="49">
          <cell r="B49">
            <v>241140</v>
          </cell>
          <cell r="C49" t="str">
            <v>AM</v>
          </cell>
          <cell r="D49" t="str">
            <v>MATERIEL SVA</v>
          </cell>
          <cell r="E49">
            <v>45501254</v>
          </cell>
          <cell r="F49">
            <v>0</v>
          </cell>
          <cell r="G49">
            <v>0</v>
          </cell>
          <cell r="H49">
            <v>0</v>
          </cell>
          <cell r="I49">
            <v>45501254</v>
          </cell>
          <cell r="J49">
            <v>0</v>
          </cell>
        </row>
        <row r="50">
          <cell r="B50">
            <v>241150</v>
          </cell>
          <cell r="C50" t="str">
            <v>AM</v>
          </cell>
          <cell r="D50" t="str">
            <v>EQUIPEMENTS DE MESURE ET DE TE</v>
          </cell>
          <cell r="E50">
            <v>703102864</v>
          </cell>
          <cell r="F50">
            <v>0</v>
          </cell>
          <cell r="G50">
            <v>0</v>
          </cell>
          <cell r="H50">
            <v>0</v>
          </cell>
          <cell r="I50">
            <v>703102864</v>
          </cell>
          <cell r="J50">
            <v>0</v>
          </cell>
        </row>
        <row r="51">
          <cell r="B51">
            <v>241200</v>
          </cell>
          <cell r="C51" t="str">
            <v>AM</v>
          </cell>
          <cell r="D51" t="str">
            <v>OUTILLAGE</v>
          </cell>
          <cell r="E51">
            <v>90324192</v>
          </cell>
          <cell r="F51">
            <v>0</v>
          </cell>
          <cell r="G51">
            <v>0</v>
          </cell>
          <cell r="H51">
            <v>0</v>
          </cell>
          <cell r="I51">
            <v>90324192</v>
          </cell>
          <cell r="J51">
            <v>0</v>
          </cell>
        </row>
        <row r="52">
          <cell r="B52">
            <v>244100</v>
          </cell>
          <cell r="C52" t="str">
            <v>AM</v>
          </cell>
          <cell r="D52" t="str">
            <v>MATERIEL DE BUREAU</v>
          </cell>
          <cell r="E52">
            <v>165186312</v>
          </cell>
          <cell r="F52">
            <v>0</v>
          </cell>
          <cell r="G52">
            <v>5021004</v>
          </cell>
          <cell r="H52">
            <v>0</v>
          </cell>
          <cell r="I52">
            <v>170207316</v>
          </cell>
          <cell r="J52">
            <v>0</v>
          </cell>
        </row>
        <row r="53">
          <cell r="B53">
            <v>244200</v>
          </cell>
          <cell r="C53" t="str">
            <v>AM</v>
          </cell>
          <cell r="D53" t="str">
            <v>MATERIEL INFORMATIQUE</v>
          </cell>
          <cell r="E53">
            <v>7055533142</v>
          </cell>
          <cell r="F53">
            <v>0</v>
          </cell>
          <cell r="G53">
            <v>2337449953</v>
          </cell>
          <cell r="H53">
            <v>0</v>
          </cell>
          <cell r="I53">
            <v>9392983095</v>
          </cell>
          <cell r="J53">
            <v>0</v>
          </cell>
        </row>
        <row r="54">
          <cell r="B54">
            <v>244400</v>
          </cell>
          <cell r="C54" t="str">
            <v>AM</v>
          </cell>
          <cell r="D54" t="str">
            <v>MOBILIER DE BUREAU</v>
          </cell>
          <cell r="E54">
            <v>484007093</v>
          </cell>
          <cell r="F54">
            <v>0</v>
          </cell>
          <cell r="G54">
            <v>46677076</v>
          </cell>
          <cell r="H54">
            <v>0</v>
          </cell>
          <cell r="I54">
            <v>530684169</v>
          </cell>
          <cell r="J54">
            <v>0</v>
          </cell>
        </row>
        <row r="55">
          <cell r="B55">
            <v>244700</v>
          </cell>
          <cell r="C55" t="str">
            <v>AM</v>
          </cell>
          <cell r="D55" t="str">
            <v>MATERIEL ET MOBILIER DE LOGEME</v>
          </cell>
          <cell r="E55">
            <v>190364902</v>
          </cell>
          <cell r="F55">
            <v>0</v>
          </cell>
          <cell r="G55">
            <v>6103893</v>
          </cell>
          <cell r="H55">
            <v>0</v>
          </cell>
          <cell r="I55">
            <v>196468795</v>
          </cell>
          <cell r="J55">
            <v>0</v>
          </cell>
        </row>
        <row r="56">
          <cell r="B56">
            <v>245100</v>
          </cell>
          <cell r="C56" t="str">
            <v>AN</v>
          </cell>
          <cell r="D56" t="str">
            <v>MATERIEL DE TRANSPORT</v>
          </cell>
          <cell r="E56">
            <v>711305198</v>
          </cell>
          <cell r="F56">
            <v>0</v>
          </cell>
          <cell r="G56">
            <v>0</v>
          </cell>
          <cell r="H56">
            <v>0</v>
          </cell>
          <cell r="I56">
            <v>711305198</v>
          </cell>
          <cell r="J56">
            <v>0</v>
          </cell>
        </row>
        <row r="57">
          <cell r="B57">
            <v>245800</v>
          </cell>
          <cell r="C57" t="str">
            <v>AN</v>
          </cell>
          <cell r="D57" t="str">
            <v>AUTRES MATERIELS DE TRANSPORT</v>
          </cell>
          <cell r="E57">
            <v>3200000</v>
          </cell>
          <cell r="F57">
            <v>0</v>
          </cell>
          <cell r="G57">
            <v>0</v>
          </cell>
          <cell r="H57">
            <v>0</v>
          </cell>
          <cell r="I57">
            <v>3200000</v>
          </cell>
          <cell r="J57">
            <v>0</v>
          </cell>
        </row>
        <row r="58">
          <cell r="B58">
            <v>248000</v>
          </cell>
          <cell r="C58" t="str">
            <v>AM</v>
          </cell>
          <cell r="D58" t="str">
            <v>AUTRES MATERIELS</v>
          </cell>
          <cell r="E58">
            <v>523939105</v>
          </cell>
          <cell r="F58">
            <v>0</v>
          </cell>
          <cell r="G58">
            <v>12160150</v>
          </cell>
          <cell r="H58">
            <v>0</v>
          </cell>
          <cell r="I58">
            <v>536099255</v>
          </cell>
          <cell r="J58">
            <v>0</v>
          </cell>
        </row>
        <row r="59">
          <cell r="B59">
            <v>249100</v>
          </cell>
          <cell r="C59" t="str">
            <v>AM</v>
          </cell>
          <cell r="D59" t="str">
            <v>MATERIELS TECHNIQUES EN COURS</v>
          </cell>
          <cell r="E59">
            <v>6616238905</v>
          </cell>
          <cell r="F59">
            <v>0</v>
          </cell>
          <cell r="G59">
            <v>24885659203</v>
          </cell>
          <cell r="H59">
            <v>22943218043</v>
          </cell>
          <cell r="I59">
            <v>8558680065</v>
          </cell>
          <cell r="J59">
            <v>0</v>
          </cell>
        </row>
        <row r="60">
          <cell r="B60">
            <v>249110</v>
          </cell>
          <cell r="C60" t="str">
            <v>AM</v>
          </cell>
          <cell r="D60" t="str">
            <v>MATERIEL, MOBILIER LOCAL  EN C</v>
          </cell>
          <cell r="E60">
            <v>1747498260</v>
          </cell>
          <cell r="F60">
            <v>0</v>
          </cell>
          <cell r="G60">
            <v>4906826046</v>
          </cell>
          <cell r="H60">
            <v>3082121923</v>
          </cell>
          <cell r="I60">
            <v>3572202383</v>
          </cell>
          <cell r="J60">
            <v>0</v>
          </cell>
        </row>
        <row r="61">
          <cell r="B61">
            <v>249510</v>
          </cell>
          <cell r="C61" t="str">
            <v>AN</v>
          </cell>
          <cell r="D61" t="str">
            <v>MATERIEL DE TRANSPORT EN COURS</v>
          </cell>
          <cell r="E61">
            <v>1390000</v>
          </cell>
          <cell r="F61">
            <v>0</v>
          </cell>
          <cell r="G61">
            <v>0</v>
          </cell>
          <cell r="H61">
            <v>0</v>
          </cell>
          <cell r="I61">
            <v>1390000</v>
          </cell>
          <cell r="J61">
            <v>0</v>
          </cell>
        </row>
        <row r="62">
          <cell r="B62">
            <v>251000</v>
          </cell>
          <cell r="C62" t="str">
            <v>AP</v>
          </cell>
          <cell r="D62" t="str">
            <v>AVCES ET ACPTES / IMMOBILISATI</v>
          </cell>
          <cell r="E62">
            <v>283078449</v>
          </cell>
          <cell r="F62">
            <v>0</v>
          </cell>
          <cell r="G62">
            <v>291551321</v>
          </cell>
          <cell r="H62">
            <v>424703005</v>
          </cell>
          <cell r="I62">
            <v>149926765</v>
          </cell>
          <cell r="J62">
            <v>0</v>
          </cell>
        </row>
        <row r="63">
          <cell r="B63">
            <v>252000</v>
          </cell>
          <cell r="C63" t="str">
            <v>AP</v>
          </cell>
          <cell r="D63" t="str">
            <v>AVCES ET ACPTES / IMMOBILISATI</v>
          </cell>
          <cell r="E63">
            <v>479890198</v>
          </cell>
          <cell r="F63">
            <v>0</v>
          </cell>
          <cell r="G63">
            <v>587469013</v>
          </cell>
          <cell r="H63">
            <v>742557183</v>
          </cell>
          <cell r="I63">
            <v>324802028</v>
          </cell>
          <cell r="J63">
            <v>0</v>
          </cell>
        </row>
        <row r="64">
          <cell r="B64">
            <v>261000</v>
          </cell>
          <cell r="C64" t="str">
            <v>AR</v>
          </cell>
          <cell r="D64" t="str">
            <v>TITRES DE PARTICIPATIONS, CTRL</v>
          </cell>
          <cell r="F64">
            <v>0</v>
          </cell>
          <cell r="G64">
            <v>0</v>
          </cell>
          <cell r="H64">
            <v>0</v>
          </cell>
          <cell r="J64">
            <v>0</v>
          </cell>
        </row>
        <row r="65">
          <cell r="B65">
            <v>275100</v>
          </cell>
          <cell r="C65" t="str">
            <v>AS</v>
          </cell>
          <cell r="D65" t="str">
            <v>DEPOTS LOYERS</v>
          </cell>
          <cell r="E65">
            <v>393913540</v>
          </cell>
          <cell r="F65">
            <v>0</v>
          </cell>
          <cell r="G65">
            <v>24230000</v>
          </cell>
          <cell r="H65">
            <v>0</v>
          </cell>
          <cell r="I65">
            <v>418143540</v>
          </cell>
          <cell r="J65">
            <v>0</v>
          </cell>
        </row>
        <row r="66">
          <cell r="B66">
            <v>275200</v>
          </cell>
          <cell r="C66" t="str">
            <v>AS</v>
          </cell>
          <cell r="D66" t="str">
            <v>DEPOTS ELECTRICITE</v>
          </cell>
          <cell r="E66">
            <v>101071023</v>
          </cell>
          <cell r="F66">
            <v>0</v>
          </cell>
          <cell r="G66">
            <v>13569900</v>
          </cell>
          <cell r="H66">
            <v>0</v>
          </cell>
          <cell r="I66">
            <v>114640923</v>
          </cell>
          <cell r="J66">
            <v>0</v>
          </cell>
        </row>
        <row r="67">
          <cell r="B67">
            <v>275300</v>
          </cell>
          <cell r="C67" t="str">
            <v>AS</v>
          </cell>
          <cell r="D67" t="str">
            <v>DEPOTS EAU</v>
          </cell>
          <cell r="E67">
            <v>287800</v>
          </cell>
          <cell r="F67">
            <v>0</v>
          </cell>
          <cell r="G67">
            <v>0</v>
          </cell>
          <cell r="H67">
            <v>0</v>
          </cell>
          <cell r="I67">
            <v>287800</v>
          </cell>
          <cell r="J67">
            <v>0</v>
          </cell>
        </row>
        <row r="68">
          <cell r="B68">
            <v>275500</v>
          </cell>
          <cell r="C68" t="str">
            <v>AS</v>
          </cell>
          <cell r="D68" t="str">
            <v>DEPOTS TELEPHONE / FAX</v>
          </cell>
          <cell r="E68">
            <v>105600</v>
          </cell>
          <cell r="F68">
            <v>0</v>
          </cell>
          <cell r="G68">
            <v>0</v>
          </cell>
          <cell r="H68">
            <v>0</v>
          </cell>
          <cell r="I68">
            <v>105600</v>
          </cell>
          <cell r="J68">
            <v>0</v>
          </cell>
        </row>
        <row r="69">
          <cell r="B69">
            <v>275800</v>
          </cell>
          <cell r="C69" t="str">
            <v>AS</v>
          </cell>
          <cell r="D69" t="str">
            <v>AUTRES DEPOTS ET CAUTIONNEMENT</v>
          </cell>
          <cell r="E69">
            <v>179898767</v>
          </cell>
          <cell r="F69">
            <v>0</v>
          </cell>
          <cell r="G69">
            <v>19000000</v>
          </cell>
          <cell r="H69">
            <v>0</v>
          </cell>
          <cell r="I69">
            <v>198898767</v>
          </cell>
          <cell r="J69">
            <v>0</v>
          </cell>
        </row>
        <row r="70">
          <cell r="B70">
            <v>281210</v>
          </cell>
          <cell r="C70" t="str">
            <v>AF</v>
          </cell>
          <cell r="D70" t="str">
            <v>AMORT. LICENCES GSM</v>
          </cell>
          <cell r="E70">
            <v>0</v>
          </cell>
          <cell r="F70">
            <v>53968689892</v>
          </cell>
          <cell r="G70">
            <v>0</v>
          </cell>
          <cell r="H70">
            <v>2555415583</v>
          </cell>
          <cell r="I70">
            <v>0</v>
          </cell>
          <cell r="J70">
            <v>56524105475</v>
          </cell>
        </row>
        <row r="71">
          <cell r="B71">
            <v>281220</v>
          </cell>
          <cell r="C71" t="str">
            <v>AF</v>
          </cell>
          <cell r="D71" t="str">
            <v>AMORT. AUTRES LICENCES ET BREV</v>
          </cell>
          <cell r="E71">
            <v>0</v>
          </cell>
          <cell r="F71">
            <v>5372687333</v>
          </cell>
          <cell r="G71">
            <v>0</v>
          </cell>
          <cell r="H71">
            <v>3558750994</v>
          </cell>
          <cell r="I71">
            <v>0</v>
          </cell>
          <cell r="J71">
            <v>8931438327</v>
          </cell>
        </row>
        <row r="72">
          <cell r="B72">
            <v>281310</v>
          </cell>
          <cell r="C72" t="str">
            <v>AF</v>
          </cell>
          <cell r="D72" t="str">
            <v>AMORT. LOGICIELS D'EXPLOITATIO</v>
          </cell>
          <cell r="E72">
            <v>0</v>
          </cell>
          <cell r="F72">
            <v>38324968221</v>
          </cell>
          <cell r="G72">
            <v>0</v>
          </cell>
          <cell r="H72">
            <v>1170961072</v>
          </cell>
          <cell r="I72">
            <v>0</v>
          </cell>
          <cell r="J72">
            <v>39495929293</v>
          </cell>
        </row>
        <row r="73">
          <cell r="B73">
            <v>281320</v>
          </cell>
          <cell r="C73" t="str">
            <v>AF</v>
          </cell>
          <cell r="D73" t="str">
            <v>AMORT. LOGICIELS AUTRES APPLIC</v>
          </cell>
          <cell r="E73">
            <v>0</v>
          </cell>
          <cell r="F73">
            <v>2428207691</v>
          </cell>
          <cell r="G73">
            <v>0</v>
          </cell>
          <cell r="H73">
            <v>33979024</v>
          </cell>
          <cell r="I73">
            <v>0</v>
          </cell>
          <cell r="J73">
            <v>2462186715</v>
          </cell>
        </row>
        <row r="74">
          <cell r="B74">
            <v>283110</v>
          </cell>
          <cell r="C74" t="str">
            <v>AK</v>
          </cell>
          <cell r="D74" t="str">
            <v>AMORT. BATIMENTS INDUSTRIELS</v>
          </cell>
          <cell r="E74">
            <v>0</v>
          </cell>
          <cell r="F74">
            <v>30653352</v>
          </cell>
          <cell r="G74">
            <v>0</v>
          </cell>
          <cell r="H74">
            <v>22697003</v>
          </cell>
          <cell r="I74">
            <v>0</v>
          </cell>
          <cell r="J74">
            <v>53350355</v>
          </cell>
        </row>
        <row r="75">
          <cell r="B75">
            <v>283411</v>
          </cell>
          <cell r="C75" t="str">
            <v>AL</v>
          </cell>
          <cell r="D75" t="str">
            <v>AMORT INFRASTRUCTURES</v>
          </cell>
          <cell r="E75">
            <v>0</v>
          </cell>
          <cell r="F75">
            <v>14633866482</v>
          </cell>
          <cell r="G75">
            <v>0</v>
          </cell>
          <cell r="H75">
            <v>1625319191</v>
          </cell>
          <cell r="I75">
            <v>0</v>
          </cell>
          <cell r="J75">
            <v>16259185673</v>
          </cell>
        </row>
        <row r="76">
          <cell r="B76">
            <v>283412</v>
          </cell>
          <cell r="C76" t="str">
            <v>AL</v>
          </cell>
          <cell r="D76" t="str">
            <v>AMORT AMENAGEMENT TECHNIQUE</v>
          </cell>
          <cell r="E76">
            <v>0</v>
          </cell>
          <cell r="F76">
            <v>7089536600</v>
          </cell>
          <cell r="G76">
            <v>0</v>
          </cell>
          <cell r="H76">
            <v>864305616</v>
          </cell>
          <cell r="I76">
            <v>0</v>
          </cell>
          <cell r="J76">
            <v>7953842216</v>
          </cell>
        </row>
        <row r="77">
          <cell r="B77">
            <v>283413</v>
          </cell>
          <cell r="C77" t="str">
            <v>AL</v>
          </cell>
          <cell r="D77" t="str">
            <v>AMORT EQUIPEMENTS D'ENERGIE</v>
          </cell>
          <cell r="E77">
            <v>0</v>
          </cell>
          <cell r="F77">
            <v>15200284264</v>
          </cell>
          <cell r="G77">
            <v>0</v>
          </cell>
          <cell r="H77">
            <v>1045838779</v>
          </cell>
          <cell r="I77">
            <v>0</v>
          </cell>
          <cell r="J77">
            <v>16246123043</v>
          </cell>
        </row>
        <row r="78">
          <cell r="B78">
            <v>283511</v>
          </cell>
          <cell r="C78" t="str">
            <v>AL</v>
          </cell>
          <cell r="D78" t="str">
            <v>AMORT. AMENAGEMENT DE BUREAUX</v>
          </cell>
          <cell r="E78">
            <v>0</v>
          </cell>
          <cell r="F78">
            <v>753952256</v>
          </cell>
          <cell r="G78">
            <v>0</v>
          </cell>
          <cell r="H78">
            <v>34373497</v>
          </cell>
          <cell r="I78">
            <v>0</v>
          </cell>
          <cell r="J78">
            <v>788325753</v>
          </cell>
        </row>
        <row r="79">
          <cell r="B79">
            <v>283512</v>
          </cell>
          <cell r="C79" t="str">
            <v>AL</v>
          </cell>
          <cell r="D79" t="str">
            <v>AMORT. AMENAGEMENT AGENCES</v>
          </cell>
          <cell r="E79">
            <v>0</v>
          </cell>
          <cell r="F79">
            <v>419004212</v>
          </cell>
          <cell r="G79">
            <v>0</v>
          </cell>
          <cell r="H79">
            <v>30484960</v>
          </cell>
          <cell r="I79">
            <v>0</v>
          </cell>
          <cell r="J79">
            <v>449489172</v>
          </cell>
        </row>
        <row r="80">
          <cell r="B80">
            <v>283513</v>
          </cell>
          <cell r="C80" t="str">
            <v>AL</v>
          </cell>
          <cell r="D80" t="str">
            <v>AMORT. AMENAGEMENT RESIDENCE</v>
          </cell>
          <cell r="E80">
            <v>0</v>
          </cell>
          <cell r="F80">
            <v>1016034</v>
          </cell>
          <cell r="G80">
            <v>0</v>
          </cell>
          <cell r="H80">
            <v>92956</v>
          </cell>
          <cell r="I80">
            <v>0</v>
          </cell>
          <cell r="J80">
            <v>1108990</v>
          </cell>
        </row>
        <row r="81">
          <cell r="B81">
            <v>283580</v>
          </cell>
          <cell r="C81" t="str">
            <v>AL</v>
          </cell>
          <cell r="D81" t="str">
            <v>AMORT. AUTRES AMENAGEMENTS</v>
          </cell>
          <cell r="E81">
            <v>0</v>
          </cell>
          <cell r="F81">
            <v>37590227</v>
          </cell>
          <cell r="G81">
            <v>0</v>
          </cell>
          <cell r="H81">
            <v>272767</v>
          </cell>
          <cell r="I81">
            <v>0</v>
          </cell>
          <cell r="J81">
            <v>37862994</v>
          </cell>
        </row>
        <row r="82">
          <cell r="B82">
            <v>283820</v>
          </cell>
          <cell r="C82" t="str">
            <v>AL</v>
          </cell>
          <cell r="D82" t="str">
            <v>AMORT. DIVERS INSTALLATIONS ET</v>
          </cell>
          <cell r="E82">
            <v>0</v>
          </cell>
          <cell r="F82">
            <v>102123453</v>
          </cell>
          <cell r="G82">
            <v>0</v>
          </cell>
          <cell r="H82">
            <v>-14578002</v>
          </cell>
          <cell r="I82">
            <v>0</v>
          </cell>
          <cell r="J82">
            <v>87545451</v>
          </cell>
        </row>
        <row r="83">
          <cell r="B83">
            <v>284111</v>
          </cell>
          <cell r="C83" t="str">
            <v>AM</v>
          </cell>
          <cell r="D83" t="str">
            <v>AMORT. MATERIEL DE TRANSMISSIO</v>
          </cell>
          <cell r="E83">
            <v>0</v>
          </cell>
          <cell r="F83">
            <v>26244926120</v>
          </cell>
          <cell r="G83">
            <v>0</v>
          </cell>
          <cell r="H83">
            <v>2876439751</v>
          </cell>
          <cell r="I83">
            <v>0</v>
          </cell>
          <cell r="J83">
            <v>29121365871</v>
          </cell>
        </row>
        <row r="84">
          <cell r="B84">
            <v>284112</v>
          </cell>
          <cell r="C84" t="str">
            <v>AM</v>
          </cell>
          <cell r="D84" t="str">
            <v>AMORT. MATERIEL DE TRANSMISSIO</v>
          </cell>
          <cell r="E84">
            <v>0</v>
          </cell>
          <cell r="F84">
            <v>18133797830</v>
          </cell>
          <cell r="G84">
            <v>0</v>
          </cell>
          <cell r="H84">
            <v>1398159653</v>
          </cell>
          <cell r="I84">
            <v>0</v>
          </cell>
          <cell r="J84">
            <v>19531957483</v>
          </cell>
        </row>
        <row r="85">
          <cell r="B85">
            <v>284113</v>
          </cell>
          <cell r="C85" t="str">
            <v>AM</v>
          </cell>
          <cell r="D85" t="str">
            <v>AMORT. MATERIEL DE COMMUTATION</v>
          </cell>
          <cell r="E85">
            <v>0</v>
          </cell>
          <cell r="F85">
            <v>12076651351</v>
          </cell>
          <cell r="G85">
            <v>0</v>
          </cell>
          <cell r="H85">
            <v>1030078730</v>
          </cell>
          <cell r="I85">
            <v>0</v>
          </cell>
          <cell r="J85">
            <v>13106730081</v>
          </cell>
        </row>
        <row r="86">
          <cell r="B86">
            <v>284114</v>
          </cell>
          <cell r="C86" t="str">
            <v>AM</v>
          </cell>
          <cell r="D86" t="str">
            <v>AMORT. MATERIEL SVA</v>
          </cell>
          <cell r="E86">
            <v>0</v>
          </cell>
          <cell r="F86">
            <v>40716031</v>
          </cell>
          <cell r="G86">
            <v>0</v>
          </cell>
          <cell r="H86">
            <v>-19</v>
          </cell>
          <cell r="I86">
            <v>0</v>
          </cell>
          <cell r="J86">
            <v>40716012</v>
          </cell>
        </row>
        <row r="87">
          <cell r="B87">
            <v>284115</v>
          </cell>
          <cell r="C87" t="str">
            <v>AM</v>
          </cell>
          <cell r="D87" t="str">
            <v>AMORT EQUIPEMENTS DE MESURE ET</v>
          </cell>
          <cell r="E87">
            <v>0</v>
          </cell>
          <cell r="F87">
            <v>530658145</v>
          </cell>
          <cell r="G87">
            <v>0</v>
          </cell>
          <cell r="H87">
            <v>32516573</v>
          </cell>
          <cell r="I87">
            <v>0</v>
          </cell>
          <cell r="J87">
            <v>563174718</v>
          </cell>
        </row>
        <row r="88">
          <cell r="B88">
            <v>284120</v>
          </cell>
          <cell r="C88" t="str">
            <v>AM</v>
          </cell>
          <cell r="D88" t="str">
            <v>AMORT OUTILLAGE</v>
          </cell>
          <cell r="E88">
            <v>0</v>
          </cell>
          <cell r="F88">
            <v>27878521</v>
          </cell>
          <cell r="G88">
            <v>0</v>
          </cell>
          <cell r="H88">
            <v>9168588</v>
          </cell>
          <cell r="I88">
            <v>0</v>
          </cell>
          <cell r="J88">
            <v>37047109</v>
          </cell>
        </row>
        <row r="89">
          <cell r="B89">
            <v>284410</v>
          </cell>
          <cell r="C89" t="str">
            <v>AM</v>
          </cell>
          <cell r="D89" t="str">
            <v>AMORT. MATERIEL DE BUREAU</v>
          </cell>
          <cell r="E89">
            <v>0</v>
          </cell>
          <cell r="F89">
            <v>127951647</v>
          </cell>
          <cell r="G89">
            <v>0</v>
          </cell>
          <cell r="H89">
            <v>12872706</v>
          </cell>
          <cell r="I89">
            <v>0</v>
          </cell>
          <cell r="J89">
            <v>140824353</v>
          </cell>
        </row>
        <row r="90">
          <cell r="B90">
            <v>284420</v>
          </cell>
          <cell r="C90" t="str">
            <v>AM</v>
          </cell>
          <cell r="D90" t="str">
            <v>AMORT. MATERIEL INFORMATIQUE</v>
          </cell>
          <cell r="E90">
            <v>0</v>
          </cell>
          <cell r="F90">
            <v>4979719023</v>
          </cell>
          <cell r="G90">
            <v>0</v>
          </cell>
          <cell r="H90">
            <v>907069154</v>
          </cell>
          <cell r="I90">
            <v>0</v>
          </cell>
          <cell r="J90">
            <v>5886788177</v>
          </cell>
        </row>
        <row r="91">
          <cell r="B91">
            <v>284440</v>
          </cell>
          <cell r="C91" t="str">
            <v>AM</v>
          </cell>
          <cell r="D91" t="str">
            <v>AMORT. MOBILIER DE BUREAU</v>
          </cell>
          <cell r="E91">
            <v>0</v>
          </cell>
          <cell r="F91">
            <v>362931677</v>
          </cell>
          <cell r="G91">
            <v>0</v>
          </cell>
          <cell r="H91">
            <v>27316165</v>
          </cell>
          <cell r="I91">
            <v>0</v>
          </cell>
          <cell r="J91">
            <v>390247842</v>
          </cell>
        </row>
        <row r="92">
          <cell r="B92">
            <v>284470</v>
          </cell>
          <cell r="C92" t="str">
            <v>AM</v>
          </cell>
          <cell r="D92" t="str">
            <v>AMORT. MATERIEL ET MOBILIER DE</v>
          </cell>
          <cell r="E92">
            <v>0</v>
          </cell>
          <cell r="F92">
            <v>86775194</v>
          </cell>
          <cell r="G92">
            <v>0</v>
          </cell>
          <cell r="H92">
            <v>17066571</v>
          </cell>
          <cell r="I92">
            <v>0</v>
          </cell>
          <cell r="J92">
            <v>103841765</v>
          </cell>
        </row>
        <row r="93">
          <cell r="B93">
            <v>284510</v>
          </cell>
          <cell r="C93" t="str">
            <v>AN</v>
          </cell>
          <cell r="D93" t="str">
            <v>AMORT. MATERIEL DE TRANSPORT</v>
          </cell>
          <cell r="E93">
            <v>0</v>
          </cell>
          <cell r="F93">
            <v>711125119</v>
          </cell>
          <cell r="G93">
            <v>0</v>
          </cell>
          <cell r="H93">
            <v>196676</v>
          </cell>
          <cell r="I93">
            <v>0</v>
          </cell>
          <cell r="J93">
            <v>711321795</v>
          </cell>
        </row>
        <row r="94">
          <cell r="B94">
            <v>284580</v>
          </cell>
          <cell r="C94" t="str">
            <v>AN</v>
          </cell>
          <cell r="D94" t="str">
            <v>AMORT. AUTRES MATERIELS DE TRA</v>
          </cell>
          <cell r="E94">
            <v>0</v>
          </cell>
          <cell r="F94">
            <v>3200000</v>
          </cell>
          <cell r="G94">
            <v>0</v>
          </cell>
          <cell r="H94">
            <v>810810</v>
          </cell>
          <cell r="I94">
            <v>0</v>
          </cell>
          <cell r="J94">
            <v>4010810</v>
          </cell>
        </row>
        <row r="95">
          <cell r="B95">
            <v>284800</v>
          </cell>
          <cell r="C95" t="str">
            <v>AM</v>
          </cell>
          <cell r="D95" t="str">
            <v>AMORT AUTRES MATERIELS</v>
          </cell>
          <cell r="E95">
            <v>0</v>
          </cell>
          <cell r="F95">
            <v>418493490</v>
          </cell>
          <cell r="G95">
            <v>0</v>
          </cell>
          <cell r="H95">
            <v>20383548</v>
          </cell>
          <cell r="I95">
            <v>0</v>
          </cell>
          <cell r="J95">
            <v>438877038</v>
          </cell>
        </row>
        <row r="96">
          <cell r="B96">
            <v>294000</v>
          </cell>
          <cell r="C96" t="str">
            <v>AM</v>
          </cell>
          <cell r="D96" t="str">
            <v>Provision pour dépréciation du</v>
          </cell>
          <cell r="E96">
            <v>0</v>
          </cell>
          <cell r="F96">
            <v>1472646224</v>
          </cell>
          <cell r="G96">
            <v>1458883577</v>
          </cell>
          <cell r="H96">
            <v>1133004221</v>
          </cell>
          <cell r="I96">
            <v>0</v>
          </cell>
          <cell r="J96">
            <v>1146766868</v>
          </cell>
        </row>
        <row r="97">
          <cell r="B97">
            <v>311100</v>
          </cell>
          <cell r="C97" t="str">
            <v>BB</v>
          </cell>
          <cell r="D97" t="str">
            <v>STOCKS DE TERMINAUX</v>
          </cell>
          <cell r="E97">
            <v>586388365</v>
          </cell>
          <cell r="F97">
            <v>0</v>
          </cell>
          <cell r="G97">
            <v>-371325442</v>
          </cell>
          <cell r="H97">
            <v>0</v>
          </cell>
          <cell r="I97">
            <v>215062923</v>
          </cell>
          <cell r="J97">
            <v>0</v>
          </cell>
        </row>
        <row r="98">
          <cell r="B98">
            <v>311200</v>
          </cell>
          <cell r="C98" t="str">
            <v>BB</v>
          </cell>
          <cell r="D98" t="str">
            <v>STOCKS D'ACCESSOIRES</v>
          </cell>
          <cell r="E98">
            <v>571175110</v>
          </cell>
          <cell r="F98">
            <v>0</v>
          </cell>
          <cell r="G98">
            <v>-32489474</v>
          </cell>
          <cell r="H98">
            <v>0</v>
          </cell>
          <cell r="I98">
            <v>538685636</v>
          </cell>
          <cell r="J98">
            <v>0</v>
          </cell>
        </row>
        <row r="99">
          <cell r="B99">
            <v>312100</v>
          </cell>
          <cell r="C99" t="str">
            <v>BB</v>
          </cell>
          <cell r="D99" t="str">
            <v>STOCKS DE CARTES SIM</v>
          </cell>
          <cell r="E99">
            <v>232661522</v>
          </cell>
          <cell r="F99">
            <v>0</v>
          </cell>
          <cell r="G99">
            <v>193392009</v>
          </cell>
          <cell r="H99">
            <v>0</v>
          </cell>
          <cell r="I99">
            <v>426053531</v>
          </cell>
          <cell r="J99">
            <v>0</v>
          </cell>
        </row>
        <row r="100">
          <cell r="B100">
            <v>312110</v>
          </cell>
          <cell r="C100" t="str">
            <v>BB</v>
          </cell>
          <cell r="D100" t="str">
            <v>STOCKS DE CARTES KIT</v>
          </cell>
          <cell r="E100">
            <v>0</v>
          </cell>
          <cell r="F100">
            <v>0</v>
          </cell>
          <cell r="G100">
            <v>40262537</v>
          </cell>
          <cell r="H100">
            <v>0</v>
          </cell>
          <cell r="I100">
            <v>40262537</v>
          </cell>
          <cell r="J100">
            <v>0</v>
          </cell>
        </row>
        <row r="101">
          <cell r="B101">
            <v>313000</v>
          </cell>
          <cell r="C101" t="str">
            <v>BB</v>
          </cell>
          <cell r="D101" t="str">
            <v>STOCKS DE CARTES DE RECHARGES</v>
          </cell>
          <cell r="E101">
            <v>6862247</v>
          </cell>
          <cell r="F101">
            <v>0</v>
          </cell>
          <cell r="G101">
            <v>-570327</v>
          </cell>
          <cell r="H101">
            <v>0</v>
          </cell>
          <cell r="I101">
            <v>6291920</v>
          </cell>
          <cell r="J101">
            <v>0</v>
          </cell>
        </row>
        <row r="102">
          <cell r="B102">
            <v>331100</v>
          </cell>
          <cell r="C102" t="str">
            <v>BB</v>
          </cell>
          <cell r="D102" t="str">
            <v>STOCKS DE PIECES DETACHEES ETB</v>
          </cell>
          <cell r="E102">
            <v>514817795</v>
          </cell>
          <cell r="F102">
            <v>0</v>
          </cell>
          <cell r="G102">
            <v>119933792</v>
          </cell>
          <cell r="H102">
            <v>0</v>
          </cell>
          <cell r="I102">
            <v>634751587</v>
          </cell>
          <cell r="J102">
            <v>0</v>
          </cell>
        </row>
        <row r="103">
          <cell r="B103">
            <v>331110</v>
          </cell>
          <cell r="C103" t="str">
            <v>BB</v>
          </cell>
          <cell r="D103" t="str">
            <v>STK DE PIECES DETACHEES GNMS</v>
          </cell>
          <cell r="E103">
            <v>305492626</v>
          </cell>
          <cell r="F103">
            <v>0</v>
          </cell>
          <cell r="G103">
            <v>36058335</v>
          </cell>
          <cell r="H103">
            <v>0</v>
          </cell>
          <cell r="I103">
            <v>341550961</v>
          </cell>
          <cell r="J103">
            <v>0</v>
          </cell>
        </row>
        <row r="104">
          <cell r="B104">
            <v>331200</v>
          </cell>
          <cell r="C104" t="str">
            <v>BB</v>
          </cell>
          <cell r="D104" t="str">
            <v>STOCKS DE CARBURANTS SITES</v>
          </cell>
          <cell r="E104">
            <v>435820871</v>
          </cell>
          <cell r="F104">
            <v>0</v>
          </cell>
          <cell r="G104">
            <v>20982830</v>
          </cell>
          <cell r="H104">
            <v>0</v>
          </cell>
          <cell r="I104">
            <v>456803701</v>
          </cell>
          <cell r="J104">
            <v>0</v>
          </cell>
        </row>
        <row r="105">
          <cell r="B105">
            <v>334000</v>
          </cell>
          <cell r="C105" t="str">
            <v>BB</v>
          </cell>
          <cell r="D105" t="str">
            <v>STOCK DE FOURNITURES DE BUREAU</v>
          </cell>
          <cell r="E105">
            <v>247711582</v>
          </cell>
          <cell r="F105">
            <v>0</v>
          </cell>
          <cell r="G105">
            <v>-203687807</v>
          </cell>
          <cell r="H105">
            <v>0</v>
          </cell>
          <cell r="I105">
            <v>44023775</v>
          </cell>
          <cell r="J105">
            <v>0</v>
          </cell>
        </row>
        <row r="106">
          <cell r="B106">
            <v>334100</v>
          </cell>
          <cell r="C106" t="str">
            <v>BB</v>
          </cell>
          <cell r="D106" t="str">
            <v>STOCK DE FOURNITURE INFORMATIQ</v>
          </cell>
          <cell r="E106">
            <v>144905863</v>
          </cell>
          <cell r="F106">
            <v>0</v>
          </cell>
          <cell r="G106">
            <v>-7859827</v>
          </cell>
          <cell r="H106">
            <v>0</v>
          </cell>
          <cell r="I106">
            <v>137046036</v>
          </cell>
          <cell r="J106">
            <v>0</v>
          </cell>
        </row>
        <row r="107">
          <cell r="B107">
            <v>338100</v>
          </cell>
          <cell r="C107" t="str">
            <v>BB</v>
          </cell>
          <cell r="D107" t="str">
            <v>STOCK D'ETRENNE</v>
          </cell>
          <cell r="E107">
            <v>157766375</v>
          </cell>
          <cell r="F107">
            <v>0</v>
          </cell>
          <cell r="G107">
            <v>-11404790</v>
          </cell>
          <cell r="H107">
            <v>0</v>
          </cell>
          <cell r="I107">
            <v>146361585</v>
          </cell>
          <cell r="J107">
            <v>0</v>
          </cell>
        </row>
        <row r="108">
          <cell r="B108">
            <v>391100</v>
          </cell>
          <cell r="C108" t="str">
            <v>BB</v>
          </cell>
          <cell r="D108" t="str">
            <v>DEPRECIATION STOCKS DE TERMINA</v>
          </cell>
          <cell r="E108">
            <v>0</v>
          </cell>
          <cell r="F108">
            <v>104797851</v>
          </cell>
          <cell r="G108">
            <v>77951744</v>
          </cell>
          <cell r="H108">
            <v>98895230</v>
          </cell>
          <cell r="I108">
            <v>0</v>
          </cell>
          <cell r="J108">
            <v>125741337</v>
          </cell>
        </row>
        <row r="109">
          <cell r="B109">
            <v>391200</v>
          </cell>
          <cell r="C109" t="str">
            <v>BB</v>
          </cell>
          <cell r="D109" t="str">
            <v>DEPRECIATION STOCKS ACCESSOIRE</v>
          </cell>
          <cell r="E109">
            <v>0</v>
          </cell>
          <cell r="F109">
            <v>171756160</v>
          </cell>
          <cell r="G109">
            <v>17693051</v>
          </cell>
          <cell r="H109">
            <v>-31664666</v>
          </cell>
          <cell r="I109">
            <v>0</v>
          </cell>
          <cell r="J109">
            <v>122398443</v>
          </cell>
        </row>
        <row r="110">
          <cell r="B110">
            <v>391210</v>
          </cell>
          <cell r="C110" t="str">
            <v>BB</v>
          </cell>
          <cell r="D110" t="str">
            <v>DEPRECIATION CARTE SIM &amp; ASIM</v>
          </cell>
          <cell r="E110">
            <v>0</v>
          </cell>
          <cell r="F110">
            <v>1544187</v>
          </cell>
          <cell r="G110">
            <v>0</v>
          </cell>
          <cell r="H110">
            <v>-1544187</v>
          </cell>
          <cell r="I110">
            <v>0</v>
          </cell>
          <cell r="J110">
            <v>0</v>
          </cell>
        </row>
        <row r="111">
          <cell r="B111">
            <v>391300</v>
          </cell>
          <cell r="C111" t="str">
            <v>BB</v>
          </cell>
          <cell r="D111" t="str">
            <v>DEPRECIATION CARTES DE RECHARG</v>
          </cell>
          <cell r="E111">
            <v>0</v>
          </cell>
          <cell r="F111">
            <v>6862247</v>
          </cell>
          <cell r="G111">
            <v>6803898</v>
          </cell>
          <cell r="H111">
            <v>6233571</v>
          </cell>
          <cell r="I111">
            <v>0</v>
          </cell>
          <cell r="J111">
            <v>6291920</v>
          </cell>
        </row>
        <row r="112">
          <cell r="B112">
            <v>393100</v>
          </cell>
          <cell r="C112" t="str">
            <v>BB</v>
          </cell>
          <cell r="D112" t="str">
            <v>DEPRECIATION STOCKS APPROVISIO</v>
          </cell>
          <cell r="E112">
            <v>0</v>
          </cell>
          <cell r="F112">
            <v>285289002</v>
          </cell>
          <cell r="G112">
            <v>0</v>
          </cell>
          <cell r="H112">
            <v>0</v>
          </cell>
          <cell r="I112">
            <v>0</v>
          </cell>
          <cell r="J112">
            <v>285289002</v>
          </cell>
        </row>
        <row r="113">
          <cell r="B113">
            <v>401100</v>
          </cell>
          <cell r="C113" t="str">
            <v>DJ</v>
          </cell>
          <cell r="D113" t="str">
            <v>FOURNISSEURS INTERCONNEXIONS</v>
          </cell>
          <cell r="E113">
            <v>99719582</v>
          </cell>
          <cell r="F113">
            <v>0</v>
          </cell>
          <cell r="G113">
            <v>407690562</v>
          </cell>
          <cell r="H113">
            <v>199722009</v>
          </cell>
          <cell r="I113">
            <v>307688135</v>
          </cell>
          <cell r="J113">
            <v>0</v>
          </cell>
        </row>
        <row r="114">
          <cell r="B114">
            <v>401110</v>
          </cell>
          <cell r="C114" t="str">
            <v>DJ</v>
          </cell>
          <cell r="D114" t="str">
            <v>FRS INTERCONNEXION LOCAUX</v>
          </cell>
          <cell r="E114">
            <v>0</v>
          </cell>
          <cell r="F114">
            <v>6551428268</v>
          </cell>
          <cell r="G114">
            <v>2842328075</v>
          </cell>
          <cell r="H114">
            <v>2898861533</v>
          </cell>
          <cell r="I114">
            <v>0</v>
          </cell>
          <cell r="J114">
            <v>6607961726</v>
          </cell>
        </row>
        <row r="115">
          <cell r="B115">
            <v>401120</v>
          </cell>
          <cell r="C115" t="str">
            <v>DJ</v>
          </cell>
          <cell r="D115" t="str">
            <v>FRS INTERCONNEXION ETRANGER</v>
          </cell>
          <cell r="E115">
            <v>0</v>
          </cell>
          <cell r="F115">
            <v>2329475544</v>
          </cell>
          <cell r="G115">
            <v>923071471</v>
          </cell>
          <cell r="H115">
            <v>1437206078</v>
          </cell>
          <cell r="I115">
            <v>0</v>
          </cell>
          <cell r="J115">
            <v>2843610151</v>
          </cell>
        </row>
        <row r="116">
          <cell r="B116">
            <v>401130</v>
          </cell>
          <cell r="C116" t="str">
            <v>DJ</v>
          </cell>
          <cell r="D116" t="str">
            <v>FRS INTERCONNEXION GROUPE</v>
          </cell>
          <cell r="E116">
            <v>0</v>
          </cell>
          <cell r="F116">
            <v>5617380961</v>
          </cell>
          <cell r="G116">
            <v>2783761529</v>
          </cell>
          <cell r="H116">
            <v>2573894017</v>
          </cell>
          <cell r="I116">
            <v>0</v>
          </cell>
          <cell r="J116">
            <v>5407513449</v>
          </cell>
        </row>
        <row r="117">
          <cell r="B117">
            <v>401140</v>
          </cell>
          <cell r="C117" t="str">
            <v>DJ</v>
          </cell>
          <cell r="D117" t="str">
            <v>FRS ROAMING</v>
          </cell>
          <cell r="E117">
            <v>0</v>
          </cell>
          <cell r="F117">
            <v>1234566710</v>
          </cell>
          <cell r="G117">
            <v>457038503</v>
          </cell>
          <cell r="H117">
            <v>458072282</v>
          </cell>
          <cell r="I117">
            <v>0</v>
          </cell>
          <cell r="J117">
            <v>1235600489</v>
          </cell>
        </row>
        <row r="118">
          <cell r="B118">
            <v>401150</v>
          </cell>
          <cell r="C118" t="str">
            <v>DJ</v>
          </cell>
          <cell r="D118" t="str">
            <v>AUTORITE TRANSITOIRE DE REGULA</v>
          </cell>
          <cell r="E118">
            <v>0</v>
          </cell>
          <cell r="F118">
            <v>558949289</v>
          </cell>
          <cell r="G118">
            <v>26438400677</v>
          </cell>
          <cell r="H118">
            <v>31089716906</v>
          </cell>
          <cell r="I118">
            <v>0</v>
          </cell>
          <cell r="J118">
            <v>5210265518</v>
          </cell>
        </row>
        <row r="119">
          <cell r="B119">
            <v>401200</v>
          </cell>
          <cell r="C119" t="str">
            <v>DJ</v>
          </cell>
          <cell r="D119" t="str">
            <v>FRS LOCATION D'INFRASTRUCTURE</v>
          </cell>
          <cell r="E119">
            <v>0</v>
          </cell>
          <cell r="F119">
            <v>130223085</v>
          </cell>
          <cell r="G119">
            <v>0</v>
          </cell>
          <cell r="H119">
            <v>0</v>
          </cell>
          <cell r="I119">
            <v>0</v>
          </cell>
          <cell r="J119">
            <v>130223085</v>
          </cell>
        </row>
        <row r="120">
          <cell r="B120">
            <v>401210</v>
          </cell>
          <cell r="C120" t="str">
            <v>DJ</v>
          </cell>
          <cell r="D120" t="str">
            <v>FRS BAILLEUR</v>
          </cell>
          <cell r="E120">
            <v>0</v>
          </cell>
          <cell r="F120">
            <v>160037680</v>
          </cell>
          <cell r="G120">
            <v>1972285108</v>
          </cell>
          <cell r="H120">
            <v>2063958829</v>
          </cell>
          <cell r="I120">
            <v>0</v>
          </cell>
          <cell r="J120">
            <v>251711401</v>
          </cell>
        </row>
        <row r="121">
          <cell r="B121">
            <v>401300</v>
          </cell>
          <cell r="C121" t="str">
            <v>DJ</v>
          </cell>
          <cell r="D121" t="str">
            <v>FRS Avocat, huissier notaire</v>
          </cell>
          <cell r="E121">
            <v>0</v>
          </cell>
          <cell r="F121">
            <v>252369467</v>
          </cell>
          <cell r="G121">
            <v>207986733</v>
          </cell>
          <cell r="H121">
            <v>252963732</v>
          </cell>
          <cell r="I121">
            <v>0</v>
          </cell>
          <cell r="J121">
            <v>297346466</v>
          </cell>
        </row>
        <row r="122">
          <cell r="B122">
            <v>401310</v>
          </cell>
          <cell r="C122" t="str">
            <v>DJ</v>
          </cell>
          <cell r="D122" t="str">
            <v>FRS MEDIA</v>
          </cell>
          <cell r="E122">
            <v>0</v>
          </cell>
          <cell r="F122">
            <v>1091585390</v>
          </cell>
          <cell r="G122">
            <v>2468998255</v>
          </cell>
          <cell r="H122">
            <v>2397752882</v>
          </cell>
          <cell r="I122">
            <v>0</v>
          </cell>
          <cell r="J122">
            <v>1020340017</v>
          </cell>
        </row>
        <row r="123">
          <cell r="B123">
            <v>401320</v>
          </cell>
          <cell r="C123" t="str">
            <v>DJ</v>
          </cell>
          <cell r="D123" t="str">
            <v>ELECTRICITE</v>
          </cell>
          <cell r="E123">
            <v>213945524</v>
          </cell>
          <cell r="F123">
            <v>0</v>
          </cell>
          <cell r="G123">
            <v>3886785359</v>
          </cell>
          <cell r="H123">
            <v>3784209879</v>
          </cell>
          <cell r="I123">
            <v>316521004</v>
          </cell>
          <cell r="J123">
            <v>0</v>
          </cell>
        </row>
        <row r="124">
          <cell r="B124">
            <v>401330</v>
          </cell>
          <cell r="C124" t="str">
            <v>DJ</v>
          </cell>
          <cell r="D124" t="str">
            <v>EAU</v>
          </cell>
          <cell r="E124">
            <v>4714935</v>
          </cell>
          <cell r="F124">
            <v>0</v>
          </cell>
          <cell r="G124">
            <v>5719150</v>
          </cell>
          <cell r="H124">
            <v>4038624</v>
          </cell>
          <cell r="I124">
            <v>6395461</v>
          </cell>
          <cell r="J124">
            <v>0</v>
          </cell>
        </row>
        <row r="125">
          <cell r="B125">
            <v>401340</v>
          </cell>
          <cell r="C125" t="str">
            <v>DJ</v>
          </cell>
          <cell r="D125" t="str">
            <v>ENTRETIEN ET MAINTENANCE</v>
          </cell>
          <cell r="E125">
            <v>0</v>
          </cell>
          <cell r="F125">
            <v>1554756749</v>
          </cell>
          <cell r="G125">
            <v>7740805869</v>
          </cell>
          <cell r="H125">
            <v>7159510745</v>
          </cell>
          <cell r="I125">
            <v>0</v>
          </cell>
          <cell r="J125">
            <v>973461625</v>
          </cell>
        </row>
        <row r="126">
          <cell r="B126">
            <v>401350</v>
          </cell>
          <cell r="C126" t="str">
            <v>DJ</v>
          </cell>
          <cell r="D126" t="str">
            <v>AGENCE DE VOYAGE</v>
          </cell>
          <cell r="E126">
            <v>0</v>
          </cell>
          <cell r="F126">
            <v>5907628</v>
          </cell>
          <cell r="G126">
            <v>98830044</v>
          </cell>
          <cell r="H126">
            <v>104602524</v>
          </cell>
          <cell r="I126">
            <v>0</v>
          </cell>
          <cell r="J126">
            <v>11680108</v>
          </cell>
        </row>
        <row r="127">
          <cell r="B127">
            <v>401360</v>
          </cell>
          <cell r="C127" t="str">
            <v>DJ</v>
          </cell>
          <cell r="D127" t="str">
            <v>FOURNISSEURS DE GASOIL</v>
          </cell>
          <cell r="E127">
            <v>0</v>
          </cell>
          <cell r="F127">
            <v>52419425</v>
          </cell>
          <cell r="G127">
            <v>2408758952</v>
          </cell>
          <cell r="H127">
            <v>2394606817</v>
          </cell>
          <cell r="I127">
            <v>0</v>
          </cell>
          <cell r="J127">
            <v>38267290</v>
          </cell>
        </row>
        <row r="128">
          <cell r="B128">
            <v>401370</v>
          </cell>
          <cell r="C128" t="str">
            <v>DJ</v>
          </cell>
          <cell r="D128" t="str">
            <v>XTS COMMERCIAUX</v>
          </cell>
          <cell r="E128">
            <v>0</v>
          </cell>
          <cell r="F128">
            <v>210670328</v>
          </cell>
          <cell r="G128">
            <v>753476724</v>
          </cell>
          <cell r="H128">
            <v>1230307191</v>
          </cell>
          <cell r="I128">
            <v>0</v>
          </cell>
          <cell r="J128">
            <v>687500795</v>
          </cell>
        </row>
        <row r="129">
          <cell r="B129">
            <v>401380</v>
          </cell>
          <cell r="C129" t="str">
            <v>DJ</v>
          </cell>
          <cell r="D129" t="str">
            <v>AUDITEURS ET CAC</v>
          </cell>
          <cell r="E129">
            <v>0</v>
          </cell>
          <cell r="F129">
            <v>76589578</v>
          </cell>
          <cell r="G129">
            <v>185037426</v>
          </cell>
          <cell r="H129">
            <v>149373240</v>
          </cell>
          <cell r="I129">
            <v>0</v>
          </cell>
          <cell r="J129">
            <v>40925392</v>
          </cell>
        </row>
        <row r="130">
          <cell r="B130">
            <v>401390</v>
          </cell>
          <cell r="C130" t="str">
            <v>DJ</v>
          </cell>
          <cell r="D130" t="str">
            <v>TRANSITAIRES</v>
          </cell>
          <cell r="E130">
            <v>0</v>
          </cell>
          <cell r="F130">
            <v>3915115</v>
          </cell>
          <cell r="G130">
            <v>5802923486</v>
          </cell>
          <cell r="H130">
            <v>5696934363</v>
          </cell>
          <cell r="I130">
            <v>102074008</v>
          </cell>
          <cell r="J130">
            <v>0</v>
          </cell>
        </row>
        <row r="131">
          <cell r="B131">
            <v>401400</v>
          </cell>
          <cell r="C131" t="str">
            <v>DJ</v>
          </cell>
          <cell r="D131" t="str">
            <v>HOTEL</v>
          </cell>
          <cell r="E131">
            <v>0</v>
          </cell>
          <cell r="F131">
            <v>1731671</v>
          </cell>
          <cell r="G131">
            <v>19603402</v>
          </cell>
          <cell r="H131">
            <v>24201260</v>
          </cell>
          <cell r="I131">
            <v>0</v>
          </cell>
          <cell r="J131">
            <v>6329529</v>
          </cell>
        </row>
        <row r="132">
          <cell r="B132">
            <v>401410</v>
          </cell>
          <cell r="C132" t="str">
            <v>DJ</v>
          </cell>
          <cell r="D132" t="str">
            <v>GARDIENNAGE</v>
          </cell>
          <cell r="E132">
            <v>0</v>
          </cell>
          <cell r="F132">
            <v>148760492</v>
          </cell>
          <cell r="G132">
            <v>1049699561</v>
          </cell>
          <cell r="H132">
            <v>1011118736</v>
          </cell>
          <cell r="I132">
            <v>0</v>
          </cell>
          <cell r="J132">
            <v>110179667</v>
          </cell>
        </row>
        <row r="133">
          <cell r="B133">
            <v>401420</v>
          </cell>
          <cell r="C133" t="str">
            <v>DJ</v>
          </cell>
          <cell r="D133" t="str">
            <v>TRANSPORT DE PLIS</v>
          </cell>
          <cell r="E133">
            <v>1067995</v>
          </cell>
          <cell r="F133">
            <v>0</v>
          </cell>
          <cell r="G133">
            <v>175453435</v>
          </cell>
          <cell r="H133">
            <v>188905656</v>
          </cell>
          <cell r="I133">
            <v>0</v>
          </cell>
          <cell r="J133">
            <v>12384226</v>
          </cell>
        </row>
        <row r="134">
          <cell r="B134">
            <v>401430</v>
          </cell>
          <cell r="C134" t="str">
            <v>DJ</v>
          </cell>
          <cell r="D134" t="str">
            <v>ASSOCIATION PROFESSIONNELLE</v>
          </cell>
          <cell r="E134">
            <v>0</v>
          </cell>
          <cell r="F134">
            <v>10280000</v>
          </cell>
          <cell r="G134">
            <v>11150000</v>
          </cell>
          <cell r="H134">
            <v>12110000</v>
          </cell>
          <cell r="I134">
            <v>0</v>
          </cell>
          <cell r="J134">
            <v>11240000</v>
          </cell>
        </row>
        <row r="135">
          <cell r="B135">
            <v>401440</v>
          </cell>
          <cell r="C135" t="str">
            <v>DJ</v>
          </cell>
          <cell r="D135" t="str">
            <v>CABINET HR</v>
          </cell>
          <cell r="E135">
            <v>0</v>
          </cell>
          <cell r="F135">
            <v>47036122</v>
          </cell>
          <cell r="G135">
            <v>1726089049</v>
          </cell>
          <cell r="H135">
            <v>1832775419</v>
          </cell>
          <cell r="I135">
            <v>0</v>
          </cell>
          <cell r="J135">
            <v>153722492</v>
          </cell>
        </row>
        <row r="136">
          <cell r="B136">
            <v>401450</v>
          </cell>
          <cell r="C136" t="str">
            <v>DJ</v>
          </cell>
          <cell r="D136" t="str">
            <v>SERVICES COMMERCIAUX</v>
          </cell>
          <cell r="E136">
            <v>38918271</v>
          </cell>
          <cell r="F136">
            <v>0</v>
          </cell>
          <cell r="G136">
            <v>194393587</v>
          </cell>
          <cell r="H136">
            <v>306289593</v>
          </cell>
          <cell r="I136">
            <v>0</v>
          </cell>
          <cell r="J136">
            <v>72977735</v>
          </cell>
        </row>
        <row r="137">
          <cell r="B137">
            <v>401460</v>
          </cell>
          <cell r="C137" t="str">
            <v>DJ</v>
          </cell>
          <cell r="D137" t="str">
            <v>ASSURANCE</v>
          </cell>
          <cell r="E137">
            <v>0</v>
          </cell>
          <cell r="F137">
            <v>294434</v>
          </cell>
          <cell r="G137">
            <v>364277658</v>
          </cell>
          <cell r="H137">
            <v>384028694</v>
          </cell>
          <cell r="I137">
            <v>0</v>
          </cell>
          <cell r="J137">
            <v>20045470</v>
          </cell>
        </row>
        <row r="138">
          <cell r="B138">
            <v>401470</v>
          </cell>
          <cell r="C138" t="str">
            <v>DJ</v>
          </cell>
          <cell r="D138" t="str">
            <v>IMPRIMEUR</v>
          </cell>
          <cell r="E138">
            <v>0</v>
          </cell>
          <cell r="F138">
            <v>258650398</v>
          </cell>
          <cell r="G138">
            <v>597861398</v>
          </cell>
          <cell r="H138">
            <v>366712850</v>
          </cell>
          <cell r="I138">
            <v>0</v>
          </cell>
          <cell r="J138">
            <v>27501850</v>
          </cell>
        </row>
        <row r="139">
          <cell r="B139">
            <v>401480</v>
          </cell>
          <cell r="C139" t="str">
            <v>DJ</v>
          </cell>
          <cell r="D139" t="str">
            <v>RESEAU DE DISTRIBUTION INDIREC</v>
          </cell>
          <cell r="E139">
            <v>931007290</v>
          </cell>
          <cell r="F139">
            <v>0</v>
          </cell>
          <cell r="G139">
            <v>4165855460</v>
          </cell>
          <cell r="H139">
            <v>4568416640</v>
          </cell>
          <cell r="I139">
            <v>528446110</v>
          </cell>
          <cell r="J139">
            <v>0</v>
          </cell>
        </row>
        <row r="140">
          <cell r="B140">
            <v>401700</v>
          </cell>
          <cell r="C140" t="str">
            <v>DJ</v>
          </cell>
          <cell r="D140" t="str">
            <v>FRS RETENUE DE GARANTIE</v>
          </cell>
          <cell r="E140">
            <v>0</v>
          </cell>
          <cell r="F140">
            <v>13139611</v>
          </cell>
          <cell r="G140">
            <v>0</v>
          </cell>
          <cell r="H140">
            <v>5603490</v>
          </cell>
          <cell r="I140">
            <v>0</v>
          </cell>
          <cell r="J140">
            <v>18743101</v>
          </cell>
        </row>
        <row r="141">
          <cell r="B141">
            <v>401800</v>
          </cell>
          <cell r="C141" t="str">
            <v>DJ</v>
          </cell>
          <cell r="D141" t="str">
            <v>FRS DIVERS</v>
          </cell>
          <cell r="E141">
            <v>0</v>
          </cell>
          <cell r="F141">
            <v>424186713</v>
          </cell>
          <cell r="G141">
            <v>360108477</v>
          </cell>
          <cell r="H141">
            <v>393995938</v>
          </cell>
          <cell r="I141">
            <v>0</v>
          </cell>
          <cell r="J141">
            <v>458074174</v>
          </cell>
        </row>
        <row r="142">
          <cell r="B142">
            <v>408110</v>
          </cell>
          <cell r="C142" t="str">
            <v>DJ</v>
          </cell>
          <cell r="D142" t="str">
            <v>FNP-FRS INTERCONNEXION LOC</v>
          </cell>
          <cell r="E142">
            <v>0</v>
          </cell>
          <cell r="F142">
            <v>7750398270</v>
          </cell>
          <cell r="G142">
            <v>0</v>
          </cell>
          <cell r="H142">
            <v>-1329599506</v>
          </cell>
          <cell r="I142">
            <v>0</v>
          </cell>
          <cell r="J142">
            <v>6420798764</v>
          </cell>
        </row>
        <row r="143">
          <cell r="B143">
            <v>408120</v>
          </cell>
          <cell r="C143" t="str">
            <v>DJ</v>
          </cell>
          <cell r="D143" t="str">
            <v>FNP-FRS INTERCO ETRANGER</v>
          </cell>
          <cell r="E143">
            <v>0</v>
          </cell>
          <cell r="F143">
            <v>141143165</v>
          </cell>
          <cell r="G143">
            <v>0</v>
          </cell>
          <cell r="H143">
            <v>77312188</v>
          </cell>
          <cell r="I143">
            <v>0</v>
          </cell>
          <cell r="J143">
            <v>218455353</v>
          </cell>
        </row>
        <row r="144">
          <cell r="B144">
            <v>408130</v>
          </cell>
          <cell r="C144" t="str">
            <v>DJ</v>
          </cell>
          <cell r="D144" t="str">
            <v>FNP-FRS INTERCO GROUPE</v>
          </cell>
          <cell r="E144">
            <v>0</v>
          </cell>
          <cell r="F144">
            <v>337757108</v>
          </cell>
          <cell r="G144">
            <v>0</v>
          </cell>
          <cell r="H144">
            <v>-78853113</v>
          </cell>
          <cell r="I144">
            <v>0</v>
          </cell>
          <cell r="J144">
            <v>258903995</v>
          </cell>
        </row>
        <row r="145">
          <cell r="B145">
            <v>408140</v>
          </cell>
          <cell r="C145" t="str">
            <v>DJ</v>
          </cell>
          <cell r="D145" t="str">
            <v>FNP-FOURNISSEUR ROAMING</v>
          </cell>
          <cell r="E145">
            <v>0</v>
          </cell>
          <cell r="F145">
            <v>116557818</v>
          </cell>
          <cell r="G145">
            <v>36738732</v>
          </cell>
          <cell r="H145">
            <v>15663861</v>
          </cell>
          <cell r="I145">
            <v>0</v>
          </cell>
          <cell r="J145">
            <v>95482947</v>
          </cell>
        </row>
        <row r="146">
          <cell r="B146">
            <v>408200</v>
          </cell>
          <cell r="C146" t="str">
            <v>DJ</v>
          </cell>
          <cell r="D146" t="str">
            <v>FNP-FOURNISSEUR LOCATION D'INF</v>
          </cell>
          <cell r="E146">
            <v>0</v>
          </cell>
          <cell r="F146">
            <v>0</v>
          </cell>
          <cell r="G146">
            <v>0</v>
          </cell>
          <cell r="H146">
            <v>222930000</v>
          </cell>
          <cell r="I146">
            <v>0</v>
          </cell>
          <cell r="J146">
            <v>222930000</v>
          </cell>
        </row>
        <row r="147">
          <cell r="B147">
            <v>408210</v>
          </cell>
          <cell r="C147" t="str">
            <v>DJ</v>
          </cell>
          <cell r="D147" t="str">
            <v>FNP-FOURNISSEUR BAILLEUR</v>
          </cell>
          <cell r="E147">
            <v>0</v>
          </cell>
          <cell r="F147">
            <v>320644902</v>
          </cell>
          <cell r="G147">
            <v>0</v>
          </cell>
          <cell r="H147">
            <v>49328301</v>
          </cell>
          <cell r="I147">
            <v>0</v>
          </cell>
          <cell r="J147">
            <v>369973203</v>
          </cell>
        </row>
        <row r="148">
          <cell r="B148">
            <v>408220</v>
          </cell>
          <cell r="C148" t="str">
            <v>DJ</v>
          </cell>
          <cell r="D148" t="str">
            <v>FNP-COMMISSION DISTRIBUTEURS</v>
          </cell>
          <cell r="E148">
            <v>0</v>
          </cell>
          <cell r="F148">
            <v>0</v>
          </cell>
          <cell r="G148">
            <v>16352694</v>
          </cell>
          <cell r="H148">
            <v>858566199</v>
          </cell>
          <cell r="I148">
            <v>0</v>
          </cell>
          <cell r="J148">
            <v>842213505</v>
          </cell>
        </row>
        <row r="149">
          <cell r="B149">
            <v>408320</v>
          </cell>
          <cell r="C149" t="str">
            <v>DJ</v>
          </cell>
          <cell r="D149" t="str">
            <v>SBEE-OPT FACT NON PARVENUES</v>
          </cell>
          <cell r="E149">
            <v>0</v>
          </cell>
          <cell r="F149">
            <v>1897533582</v>
          </cell>
          <cell r="G149">
            <v>0</v>
          </cell>
          <cell r="H149">
            <v>300824890</v>
          </cell>
          <cell r="I149">
            <v>0</v>
          </cell>
          <cell r="J149">
            <v>2198358472</v>
          </cell>
        </row>
        <row r="150">
          <cell r="B150">
            <v>408380</v>
          </cell>
          <cell r="C150" t="str">
            <v>DJ</v>
          </cell>
          <cell r="D150" t="str">
            <v>AUDITEURS CAC</v>
          </cell>
          <cell r="E150">
            <v>0</v>
          </cell>
          <cell r="F150">
            <v>142209475</v>
          </cell>
          <cell r="G150">
            <v>0</v>
          </cell>
          <cell r="H150">
            <v>-10088193</v>
          </cell>
          <cell r="I150">
            <v>0</v>
          </cell>
          <cell r="J150">
            <v>132121282</v>
          </cell>
        </row>
        <row r="151">
          <cell r="B151">
            <v>408800</v>
          </cell>
          <cell r="C151" t="str">
            <v>DJ</v>
          </cell>
          <cell r="D151" t="str">
            <v>FNP-FOURNISSEUR DIVERS</v>
          </cell>
          <cell r="E151">
            <v>0</v>
          </cell>
          <cell r="F151">
            <v>5653004892</v>
          </cell>
          <cell r="G151">
            <v>8101762206</v>
          </cell>
          <cell r="H151">
            <v>6961319845</v>
          </cell>
          <cell r="I151">
            <v>0</v>
          </cell>
          <cell r="J151">
            <v>4512562531</v>
          </cell>
        </row>
        <row r="152">
          <cell r="B152">
            <v>409101</v>
          </cell>
          <cell r="C152" t="str">
            <v>BH</v>
          </cell>
          <cell r="D152" t="str">
            <v>ACOMPTE SUR ACHAT</v>
          </cell>
          <cell r="E152">
            <v>311056940</v>
          </cell>
          <cell r="F152">
            <v>0</v>
          </cell>
          <cell r="G152">
            <v>0</v>
          </cell>
          <cell r="H152">
            <v>35175600</v>
          </cell>
          <cell r="I152">
            <v>275881340</v>
          </cell>
          <cell r="J152">
            <v>0</v>
          </cell>
        </row>
        <row r="153">
          <cell r="B153">
            <v>409150</v>
          </cell>
          <cell r="C153" t="str">
            <v>BH</v>
          </cell>
          <cell r="D153" t="str">
            <v>SBEE AVANCES/TR</v>
          </cell>
          <cell r="E153">
            <v>120763142</v>
          </cell>
          <cell r="F153">
            <v>0</v>
          </cell>
          <cell r="G153">
            <v>0</v>
          </cell>
          <cell r="H153">
            <v>0</v>
          </cell>
          <cell r="I153">
            <v>120763142</v>
          </cell>
          <cell r="J153">
            <v>0</v>
          </cell>
        </row>
        <row r="154">
          <cell r="B154">
            <v>411110</v>
          </cell>
          <cell r="C154" t="str">
            <v>BI</v>
          </cell>
          <cell r="D154" t="str">
            <v>CLIENT INTERCONNEXION LOCAUX</v>
          </cell>
          <cell r="E154">
            <v>6932421915</v>
          </cell>
          <cell r="F154">
            <v>0</v>
          </cell>
          <cell r="G154">
            <v>876904075</v>
          </cell>
          <cell r="H154">
            <v>613677478</v>
          </cell>
          <cell r="I154">
            <v>7195648512</v>
          </cell>
          <cell r="J154">
            <v>0</v>
          </cell>
        </row>
        <row r="155">
          <cell r="B155">
            <v>411120</v>
          </cell>
          <cell r="C155" t="str">
            <v>BI</v>
          </cell>
          <cell r="D155" t="str">
            <v>CLIENT INTERCONNEXION ETRANGER</v>
          </cell>
          <cell r="E155">
            <v>3187552413</v>
          </cell>
          <cell r="F155">
            <v>0</v>
          </cell>
          <cell r="G155">
            <v>1500202347</v>
          </cell>
          <cell r="H155">
            <v>1096502807</v>
          </cell>
          <cell r="I155">
            <v>3591251953</v>
          </cell>
          <cell r="J155">
            <v>0</v>
          </cell>
        </row>
        <row r="156">
          <cell r="B156">
            <v>411130</v>
          </cell>
          <cell r="C156" t="str">
            <v>BI</v>
          </cell>
          <cell r="D156" t="str">
            <v>CLIENT INTERCONNEXION GROUPE</v>
          </cell>
          <cell r="E156">
            <v>3615095147</v>
          </cell>
          <cell r="F156">
            <v>0</v>
          </cell>
          <cell r="G156">
            <v>1514540730</v>
          </cell>
          <cell r="H156">
            <v>2302444057</v>
          </cell>
          <cell r="I156">
            <v>2827191820</v>
          </cell>
          <cell r="J156">
            <v>0</v>
          </cell>
        </row>
        <row r="157">
          <cell r="B157">
            <v>411140</v>
          </cell>
          <cell r="C157" t="str">
            <v>BI</v>
          </cell>
          <cell r="D157" t="str">
            <v>CLIENT ROAMING</v>
          </cell>
          <cell r="E157">
            <v>4326284166</v>
          </cell>
          <cell r="F157">
            <v>0</v>
          </cell>
          <cell r="G157">
            <v>1793119478</v>
          </cell>
          <cell r="H157">
            <v>2875174102</v>
          </cell>
          <cell r="I157">
            <v>3244229542</v>
          </cell>
          <cell r="J157">
            <v>0</v>
          </cell>
        </row>
        <row r="158">
          <cell r="B158">
            <v>411200</v>
          </cell>
          <cell r="C158" t="str">
            <v>BI</v>
          </cell>
          <cell r="D158" t="str">
            <v>CLIENTS POSTPAID</v>
          </cell>
          <cell r="E158">
            <v>2447479718</v>
          </cell>
          <cell r="F158">
            <v>0</v>
          </cell>
          <cell r="G158">
            <v>5526421300</v>
          </cell>
          <cell r="H158">
            <v>5126829708</v>
          </cell>
          <cell r="I158">
            <v>2847071310</v>
          </cell>
          <cell r="J158">
            <v>0</v>
          </cell>
        </row>
        <row r="159">
          <cell r="B159">
            <v>411300</v>
          </cell>
          <cell r="C159" t="str">
            <v>BI</v>
          </cell>
          <cell r="D159" t="str">
            <v>CLIENT AGENCE</v>
          </cell>
          <cell r="E159">
            <v>20603652</v>
          </cell>
          <cell r="F159">
            <v>0</v>
          </cell>
          <cell r="G159">
            <v>0</v>
          </cell>
          <cell r="H159">
            <v>0</v>
          </cell>
          <cell r="I159">
            <v>20603652</v>
          </cell>
          <cell r="J159">
            <v>0</v>
          </cell>
        </row>
        <row r="160">
          <cell r="B160">
            <v>411380</v>
          </cell>
          <cell r="C160" t="str">
            <v>BI</v>
          </cell>
          <cell r="D160" t="str">
            <v>AGENCE MOOV</v>
          </cell>
          <cell r="E160">
            <v>37169256</v>
          </cell>
          <cell r="F160">
            <v>0</v>
          </cell>
          <cell r="G160">
            <v>4979414832</v>
          </cell>
          <cell r="H160">
            <v>4965885253</v>
          </cell>
          <cell r="I160">
            <v>50698835</v>
          </cell>
          <cell r="J160">
            <v>0</v>
          </cell>
        </row>
        <row r="161">
          <cell r="B161">
            <v>411390</v>
          </cell>
          <cell r="C161" t="str">
            <v>BI</v>
          </cell>
          <cell r="D161" t="str">
            <v>AGENT GRAND COMPTE</v>
          </cell>
          <cell r="E161">
            <v>5310337</v>
          </cell>
          <cell r="F161">
            <v>0</v>
          </cell>
          <cell r="G161">
            <v>0</v>
          </cell>
          <cell r="H161">
            <v>0</v>
          </cell>
          <cell r="I161">
            <v>5310337</v>
          </cell>
          <cell r="J161">
            <v>0</v>
          </cell>
        </row>
        <row r="162">
          <cell r="B162">
            <v>411400</v>
          </cell>
          <cell r="C162" t="str">
            <v>BI</v>
          </cell>
          <cell r="D162" t="str">
            <v>CLIENT RESEAU DE DISTRIBUTION</v>
          </cell>
          <cell r="E162">
            <v>0</v>
          </cell>
          <cell r="F162">
            <v>43915392</v>
          </cell>
          <cell r="G162">
            <v>30513047919</v>
          </cell>
          <cell r="H162">
            <v>30464955417</v>
          </cell>
          <cell r="I162">
            <v>4177110</v>
          </cell>
          <cell r="J162">
            <v>0</v>
          </cell>
        </row>
        <row r="163">
          <cell r="B163">
            <v>411410</v>
          </cell>
          <cell r="C163" t="str">
            <v>BI</v>
          </cell>
          <cell r="D163" t="str">
            <v>CLIENTS RESEAU MINI MASTERS</v>
          </cell>
          <cell r="E163">
            <v>11218273</v>
          </cell>
          <cell r="F163">
            <v>0</v>
          </cell>
          <cell r="G163">
            <v>494541001</v>
          </cell>
          <cell r="H163">
            <v>486185996</v>
          </cell>
          <cell r="I163">
            <v>19573278</v>
          </cell>
          <cell r="J163">
            <v>0</v>
          </cell>
        </row>
        <row r="164">
          <cell r="B164">
            <v>411500</v>
          </cell>
          <cell r="C164" t="str">
            <v>BI</v>
          </cell>
          <cell r="D164" t="str">
            <v>CLT LOCATION D'INFRASTRUCTURE</v>
          </cell>
          <cell r="E164">
            <v>119545201</v>
          </cell>
          <cell r="F164">
            <v>0</v>
          </cell>
          <cell r="G164">
            <v>398526691</v>
          </cell>
          <cell r="H164">
            <v>361639983</v>
          </cell>
          <cell r="I164">
            <v>156431909</v>
          </cell>
          <cell r="J164">
            <v>0</v>
          </cell>
        </row>
        <row r="165">
          <cell r="B165">
            <v>411600</v>
          </cell>
          <cell r="C165" t="str">
            <v>BI</v>
          </cell>
          <cell r="D165" t="str">
            <v>CLIENT BROAD CAST</v>
          </cell>
          <cell r="E165">
            <v>6340430</v>
          </cell>
          <cell r="F165">
            <v>0</v>
          </cell>
          <cell r="G165">
            <v>0</v>
          </cell>
          <cell r="H165">
            <v>0</v>
          </cell>
          <cell r="I165">
            <v>6340430</v>
          </cell>
          <cell r="J165">
            <v>0</v>
          </cell>
        </row>
        <row r="166">
          <cell r="B166">
            <v>411700</v>
          </cell>
          <cell r="C166" t="str">
            <v>BI</v>
          </cell>
          <cell r="D166" t="str">
            <v>CLIENT CREDIT SECOURS</v>
          </cell>
          <cell r="E166">
            <v>680217903</v>
          </cell>
          <cell r="F166">
            <v>0</v>
          </cell>
          <cell r="G166">
            <v>1240096476</v>
          </cell>
          <cell r="H166">
            <v>1401979462</v>
          </cell>
          <cell r="I166">
            <v>518334917</v>
          </cell>
          <cell r="J166">
            <v>0</v>
          </cell>
        </row>
        <row r="167">
          <cell r="B167">
            <v>411710</v>
          </cell>
          <cell r="C167" t="str">
            <v>BI</v>
          </cell>
          <cell r="D167" t="str">
            <v>CLIENT TOP UP</v>
          </cell>
          <cell r="E167">
            <v>10000</v>
          </cell>
          <cell r="F167">
            <v>0</v>
          </cell>
          <cell r="G167">
            <v>71700914016</v>
          </cell>
          <cell r="H167">
            <v>71700924016</v>
          </cell>
          <cell r="I167">
            <v>0</v>
          </cell>
          <cell r="J167">
            <v>0</v>
          </cell>
        </row>
        <row r="168">
          <cell r="B168">
            <v>411720</v>
          </cell>
          <cell r="C168" t="str">
            <v>BI</v>
          </cell>
          <cell r="D168" t="str">
            <v>CLIENT COLLECTIF MOOV MONEY</v>
          </cell>
          <cell r="E168">
            <v>8586625</v>
          </cell>
          <cell r="F168">
            <v>0</v>
          </cell>
          <cell r="G168">
            <v>0</v>
          </cell>
          <cell r="H168">
            <v>0</v>
          </cell>
          <cell r="I168">
            <v>8586625</v>
          </cell>
          <cell r="J168">
            <v>0</v>
          </cell>
        </row>
        <row r="169">
          <cell r="B169">
            <v>411800</v>
          </cell>
          <cell r="C169" t="str">
            <v>BI</v>
          </cell>
          <cell r="D169" t="str">
            <v>CLIENT DIVERS</v>
          </cell>
          <cell r="E169">
            <v>45012206</v>
          </cell>
          <cell r="F169">
            <v>0</v>
          </cell>
          <cell r="G169">
            <v>3646400</v>
          </cell>
          <cell r="H169">
            <v>887500</v>
          </cell>
          <cell r="I169">
            <v>47771106</v>
          </cell>
          <cell r="J169">
            <v>0</v>
          </cell>
        </row>
        <row r="170">
          <cell r="B170">
            <v>411901</v>
          </cell>
          <cell r="C170" t="str">
            <v>BI</v>
          </cell>
          <cell r="D170" t="str">
            <v>Client SMS Broad Cast</v>
          </cell>
          <cell r="E170">
            <v>94113826</v>
          </cell>
          <cell r="F170">
            <v>0</v>
          </cell>
          <cell r="G170">
            <v>1771707465</v>
          </cell>
          <cell r="H170">
            <v>1729202259</v>
          </cell>
          <cell r="I170">
            <v>136619032</v>
          </cell>
          <cell r="J170">
            <v>0</v>
          </cell>
        </row>
        <row r="171">
          <cell r="B171">
            <v>412100</v>
          </cell>
          <cell r="C171" t="str">
            <v>BI</v>
          </cell>
          <cell r="D171" t="str">
            <v>CLIENTS, EFFETS A RECEVOIR</v>
          </cell>
          <cell r="E171">
            <v>2369899996</v>
          </cell>
          <cell r="F171">
            <v>0</v>
          </cell>
          <cell r="G171">
            <v>14059400000</v>
          </cell>
          <cell r="H171">
            <v>13549400000</v>
          </cell>
          <cell r="I171">
            <v>2879899996</v>
          </cell>
          <cell r="J171">
            <v>0</v>
          </cell>
        </row>
        <row r="172">
          <cell r="B172">
            <v>413100</v>
          </cell>
          <cell r="C172" t="str">
            <v>BI</v>
          </cell>
          <cell r="D172" t="str">
            <v>Clients, chèques impayés</v>
          </cell>
          <cell r="E172">
            <v>81947825</v>
          </cell>
          <cell r="F172">
            <v>0</v>
          </cell>
          <cell r="G172">
            <v>0</v>
          </cell>
          <cell r="H172">
            <v>0</v>
          </cell>
          <cell r="I172">
            <v>81947825</v>
          </cell>
          <cell r="J172">
            <v>0</v>
          </cell>
        </row>
        <row r="173">
          <cell r="B173">
            <v>416220</v>
          </cell>
          <cell r="C173" t="str">
            <v>BI</v>
          </cell>
          <cell r="D173" t="str">
            <v>CLIENTS RESEAU MASTER DOUTEUX</v>
          </cell>
          <cell r="E173">
            <v>95886260</v>
          </cell>
          <cell r="F173">
            <v>0</v>
          </cell>
          <cell r="G173">
            <v>0</v>
          </cell>
          <cell r="H173">
            <v>0</v>
          </cell>
          <cell r="I173">
            <v>95886260</v>
          </cell>
          <cell r="J173">
            <v>0</v>
          </cell>
        </row>
        <row r="174">
          <cell r="B174">
            <v>418110</v>
          </cell>
          <cell r="C174" t="str">
            <v>BI</v>
          </cell>
          <cell r="D174" t="str">
            <v>FAE-CLIENT INTERCO LOCAL</v>
          </cell>
          <cell r="E174">
            <v>17387913</v>
          </cell>
          <cell r="F174">
            <v>0</v>
          </cell>
          <cell r="G174">
            <v>13463643</v>
          </cell>
          <cell r="H174">
            <v>0</v>
          </cell>
          <cell r="I174">
            <v>30851556</v>
          </cell>
          <cell r="J174">
            <v>0</v>
          </cell>
        </row>
        <row r="175">
          <cell r="B175">
            <v>418120</v>
          </cell>
          <cell r="C175" t="str">
            <v>BI</v>
          </cell>
          <cell r="D175" t="str">
            <v>FAE-CLIENT INTERCO ETRANGER</v>
          </cell>
          <cell r="E175">
            <v>102050232</v>
          </cell>
          <cell r="F175">
            <v>0</v>
          </cell>
          <cell r="G175">
            <v>23309467</v>
          </cell>
          <cell r="H175">
            <v>0</v>
          </cell>
          <cell r="I175">
            <v>125359699</v>
          </cell>
          <cell r="J175">
            <v>0</v>
          </cell>
        </row>
        <row r="176">
          <cell r="B176">
            <v>418130</v>
          </cell>
          <cell r="C176" t="str">
            <v>BI</v>
          </cell>
          <cell r="D176" t="str">
            <v>FAE-CLIENT INTERCO GROUPE</v>
          </cell>
          <cell r="E176">
            <v>218181253</v>
          </cell>
          <cell r="F176">
            <v>0</v>
          </cell>
          <cell r="G176">
            <v>3077338</v>
          </cell>
          <cell r="H176">
            <v>0</v>
          </cell>
          <cell r="I176">
            <v>221258591</v>
          </cell>
          <cell r="J176">
            <v>0</v>
          </cell>
        </row>
        <row r="177">
          <cell r="B177">
            <v>418200</v>
          </cell>
          <cell r="C177" t="str">
            <v>BI</v>
          </cell>
          <cell r="D177" t="str">
            <v>FAE-CLIENT POSTPAID</v>
          </cell>
          <cell r="E177">
            <v>319842087</v>
          </cell>
          <cell r="F177">
            <v>0</v>
          </cell>
          <cell r="G177">
            <v>13651138</v>
          </cell>
          <cell r="H177">
            <v>0</v>
          </cell>
          <cell r="I177">
            <v>333493225</v>
          </cell>
          <cell r="J177">
            <v>0</v>
          </cell>
        </row>
        <row r="178">
          <cell r="B178">
            <v>418500</v>
          </cell>
          <cell r="C178" t="str">
            <v>BI</v>
          </cell>
          <cell r="D178" t="str">
            <v>FAE-CLIENT LOCATION D'INFRA</v>
          </cell>
          <cell r="E178">
            <v>86227889</v>
          </cell>
          <cell r="F178">
            <v>0</v>
          </cell>
          <cell r="G178">
            <v>301956204</v>
          </cell>
          <cell r="H178">
            <v>0</v>
          </cell>
          <cell r="I178">
            <v>388184093</v>
          </cell>
          <cell r="J178">
            <v>0</v>
          </cell>
        </row>
        <row r="179">
          <cell r="B179">
            <v>418700</v>
          </cell>
          <cell r="C179" t="str">
            <v>BI</v>
          </cell>
          <cell r="D179" t="str">
            <v>FAE-CLIENT ROAMING</v>
          </cell>
          <cell r="E179">
            <v>0</v>
          </cell>
          <cell r="F179">
            <v>13355788</v>
          </cell>
          <cell r="G179">
            <v>126624923</v>
          </cell>
          <cell r="H179">
            <v>65641653</v>
          </cell>
          <cell r="I179">
            <v>47627482</v>
          </cell>
          <cell r="J179">
            <v>0</v>
          </cell>
        </row>
        <row r="180">
          <cell r="B180">
            <v>418800</v>
          </cell>
          <cell r="C180" t="str">
            <v>BI</v>
          </cell>
          <cell r="D180" t="str">
            <v>FAE-CLIENT DIVERS</v>
          </cell>
          <cell r="E180">
            <v>49500</v>
          </cell>
          <cell r="F180">
            <v>0</v>
          </cell>
          <cell r="G180">
            <v>0</v>
          </cell>
          <cell r="H180">
            <v>0</v>
          </cell>
          <cell r="I180">
            <v>49500</v>
          </cell>
          <cell r="J180">
            <v>0</v>
          </cell>
        </row>
        <row r="181">
          <cell r="B181">
            <v>419300</v>
          </cell>
          <cell r="C181" t="str">
            <v>DI</v>
          </cell>
          <cell r="D181" t="str">
            <v>CLIENT AVOIR DE PERFO ACCORDE</v>
          </cell>
          <cell r="E181">
            <v>1574076</v>
          </cell>
          <cell r="F181">
            <v>0</v>
          </cell>
          <cell r="G181">
            <v>0</v>
          </cell>
          <cell r="H181">
            <v>0</v>
          </cell>
          <cell r="I181">
            <v>1574076</v>
          </cell>
          <cell r="J181">
            <v>0</v>
          </cell>
        </row>
        <row r="182">
          <cell r="B182">
            <v>419802</v>
          </cell>
          <cell r="C182" t="str">
            <v>DI</v>
          </cell>
          <cell r="D182" t="str">
            <v>AVOIR AUX PARTENAIRES ROAMING</v>
          </cell>
          <cell r="E182">
            <v>0</v>
          </cell>
          <cell r="F182">
            <v>127682725</v>
          </cell>
          <cell r="G182">
            <v>127682725</v>
          </cell>
          <cell r="H182">
            <v>1266250396</v>
          </cell>
          <cell r="I182">
            <v>0</v>
          </cell>
          <cell r="J182">
            <v>1266250396</v>
          </cell>
        </row>
        <row r="183">
          <cell r="B183">
            <v>421100</v>
          </cell>
          <cell r="C183" t="str">
            <v>BJ</v>
          </cell>
          <cell r="D183" t="str">
            <v>PERSONNEL AVANCES ET ACOMPTES</v>
          </cell>
          <cell r="E183">
            <v>0</v>
          </cell>
          <cell r="F183">
            <v>53272217</v>
          </cell>
          <cell r="G183">
            <v>289469850</v>
          </cell>
          <cell r="H183">
            <v>320162167</v>
          </cell>
          <cell r="I183">
            <v>0</v>
          </cell>
          <cell r="J183">
            <v>83964534</v>
          </cell>
        </row>
        <row r="184">
          <cell r="B184">
            <v>421300</v>
          </cell>
          <cell r="C184" t="str">
            <v>BJ</v>
          </cell>
          <cell r="D184" t="str">
            <v>PERSON AVANCES FRAIS DE MISSIO</v>
          </cell>
          <cell r="E184">
            <v>183695464</v>
          </cell>
          <cell r="F184">
            <v>0</v>
          </cell>
          <cell r="G184">
            <v>240007730</v>
          </cell>
          <cell r="H184">
            <v>268505922</v>
          </cell>
          <cell r="I184">
            <v>155197272</v>
          </cell>
          <cell r="J184">
            <v>0</v>
          </cell>
        </row>
        <row r="185">
          <cell r="B185">
            <v>422000</v>
          </cell>
          <cell r="C185" t="str">
            <v>DK</v>
          </cell>
          <cell r="D185" t="str">
            <v>PERSONNEL REMUNERATIONS DUES</v>
          </cell>
          <cell r="E185">
            <v>0</v>
          </cell>
          <cell r="F185">
            <v>32626793</v>
          </cell>
          <cell r="G185">
            <v>2425366695</v>
          </cell>
          <cell r="H185">
            <v>2415203912</v>
          </cell>
          <cell r="I185">
            <v>0</v>
          </cell>
          <cell r="J185">
            <v>22464010</v>
          </cell>
        </row>
        <row r="186">
          <cell r="B186">
            <v>428100</v>
          </cell>
          <cell r="C186" t="str">
            <v>BJ</v>
          </cell>
          <cell r="D186" t="str">
            <v>DETTES PROVISIONNEES POUR CONG</v>
          </cell>
          <cell r="E186">
            <v>0</v>
          </cell>
          <cell r="F186">
            <v>559174587</v>
          </cell>
          <cell r="G186">
            <v>0</v>
          </cell>
          <cell r="H186">
            <v>48690136</v>
          </cell>
          <cell r="I186">
            <v>0</v>
          </cell>
          <cell r="J186">
            <v>607864723</v>
          </cell>
        </row>
        <row r="187">
          <cell r="B187">
            <v>428600</v>
          </cell>
          <cell r="C187" t="str">
            <v>DK</v>
          </cell>
          <cell r="D187" t="str">
            <v>PERSONNEL, AUTRES CHARGES A PA</v>
          </cell>
          <cell r="E187">
            <v>0</v>
          </cell>
          <cell r="F187">
            <v>332205662</v>
          </cell>
          <cell r="G187">
            <v>0</v>
          </cell>
          <cell r="H187">
            <v>17423493</v>
          </cell>
          <cell r="I187">
            <v>0</v>
          </cell>
          <cell r="J187">
            <v>349629155</v>
          </cell>
        </row>
        <row r="188">
          <cell r="B188">
            <v>431300</v>
          </cell>
          <cell r="C188" t="str">
            <v>DK</v>
          </cell>
          <cell r="D188" t="str">
            <v>COTISATIONS SECURITE SOCIALE</v>
          </cell>
          <cell r="E188">
            <v>0</v>
          </cell>
          <cell r="F188">
            <v>104120779</v>
          </cell>
          <cell r="G188">
            <v>889729424</v>
          </cell>
          <cell r="H188">
            <v>903178970</v>
          </cell>
          <cell r="I188">
            <v>0</v>
          </cell>
          <cell r="J188">
            <v>117570325</v>
          </cell>
        </row>
        <row r="189">
          <cell r="B189">
            <v>432000</v>
          </cell>
          <cell r="C189" t="str">
            <v>DK</v>
          </cell>
          <cell r="D189" t="str">
            <v>RETRAITE COMPLEMENTAIRE AUTRE</v>
          </cell>
          <cell r="E189">
            <v>0</v>
          </cell>
          <cell r="F189">
            <v>48051632</v>
          </cell>
          <cell r="G189">
            <v>221979196</v>
          </cell>
          <cell r="H189">
            <v>184974877</v>
          </cell>
          <cell r="I189">
            <v>0</v>
          </cell>
          <cell r="J189">
            <v>11047313</v>
          </cell>
        </row>
        <row r="190">
          <cell r="B190">
            <v>438100</v>
          </cell>
          <cell r="C190" t="str">
            <v>BJ</v>
          </cell>
          <cell r="D190" t="str">
            <v>CHARGES SOCIALES A PAYER</v>
          </cell>
          <cell r="E190">
            <v>0</v>
          </cell>
          <cell r="F190">
            <v>201182877</v>
          </cell>
          <cell r="G190">
            <v>0</v>
          </cell>
          <cell r="H190">
            <v>12826044</v>
          </cell>
          <cell r="I190">
            <v>0</v>
          </cell>
          <cell r="J190">
            <v>214008921</v>
          </cell>
        </row>
        <row r="191">
          <cell r="B191">
            <v>441000</v>
          </cell>
          <cell r="C191" t="str">
            <v>BJ</v>
          </cell>
          <cell r="D191" t="str">
            <v>ETAT, IMPOTS SUR BENEFICES</v>
          </cell>
          <cell r="E191">
            <v>0</v>
          </cell>
          <cell r="F191">
            <v>1011271073</v>
          </cell>
          <cell r="G191">
            <v>1011271069</v>
          </cell>
          <cell r="H191">
            <v>1067468330</v>
          </cell>
          <cell r="I191">
            <v>0</v>
          </cell>
          <cell r="J191">
            <v>1067468334</v>
          </cell>
        </row>
        <row r="192">
          <cell r="B192">
            <v>442000</v>
          </cell>
          <cell r="C192" t="str">
            <v>DK</v>
          </cell>
          <cell r="D192" t="str">
            <v>ETAT, AUTRES IMPOTS ET TAXE</v>
          </cell>
          <cell r="E192">
            <v>0</v>
          </cell>
          <cell r="F192">
            <v>76732764</v>
          </cell>
          <cell r="G192">
            <v>1360531021</v>
          </cell>
          <cell r="H192">
            <v>1352180845</v>
          </cell>
          <cell r="I192">
            <v>0</v>
          </cell>
          <cell r="J192">
            <v>68382588</v>
          </cell>
        </row>
        <row r="193">
          <cell r="B193">
            <v>443100</v>
          </cell>
          <cell r="C193" t="str">
            <v>BJ</v>
          </cell>
          <cell r="D193" t="str">
            <v>TVA FACTUREE SUR VENTES</v>
          </cell>
          <cell r="E193">
            <v>0</v>
          </cell>
          <cell r="F193">
            <v>0</v>
          </cell>
          <cell r="G193">
            <v>19908776609</v>
          </cell>
          <cell r="H193">
            <v>19908776609</v>
          </cell>
          <cell r="I193">
            <v>0</v>
          </cell>
          <cell r="J193">
            <v>0</v>
          </cell>
        </row>
        <row r="194">
          <cell r="B194">
            <v>443200</v>
          </cell>
          <cell r="C194" t="str">
            <v>BJ</v>
          </cell>
          <cell r="D194" t="str">
            <v>TVA FACTUREE SUR PRESTATIONS D</v>
          </cell>
          <cell r="E194">
            <v>0</v>
          </cell>
          <cell r="F194">
            <v>233084582</v>
          </cell>
          <cell r="G194">
            <v>1552271875</v>
          </cell>
          <cell r="H194">
            <v>2460740032</v>
          </cell>
          <cell r="I194">
            <v>0</v>
          </cell>
          <cell r="J194">
            <v>1141552739</v>
          </cell>
        </row>
        <row r="195">
          <cell r="B195">
            <v>443500</v>
          </cell>
          <cell r="C195" t="str">
            <v>DK</v>
          </cell>
          <cell r="D195" t="str">
            <v>TVA SUR FACTURE A ETABLIR</v>
          </cell>
          <cell r="E195">
            <v>0</v>
          </cell>
          <cell r="F195">
            <v>67108719</v>
          </cell>
          <cell r="G195">
            <v>0</v>
          </cell>
          <cell r="H195">
            <v>-21373938</v>
          </cell>
          <cell r="I195">
            <v>0</v>
          </cell>
          <cell r="J195">
            <v>45734781</v>
          </cell>
        </row>
        <row r="196">
          <cell r="B196">
            <v>444100</v>
          </cell>
          <cell r="C196" t="str">
            <v>BJ</v>
          </cell>
          <cell r="D196" t="str">
            <v>ETAT, TVA DUE</v>
          </cell>
          <cell r="E196">
            <v>0</v>
          </cell>
          <cell r="F196">
            <v>902686430</v>
          </cell>
          <cell r="G196">
            <v>9733457095</v>
          </cell>
          <cell r="H196">
            <v>9950948470</v>
          </cell>
          <cell r="I196">
            <v>0</v>
          </cell>
          <cell r="J196">
            <v>1120177805</v>
          </cell>
        </row>
        <row r="197">
          <cell r="B197">
            <v>444900</v>
          </cell>
          <cell r="C197" t="str">
            <v>DK</v>
          </cell>
          <cell r="D197" t="str">
            <v>ETAT, CREDIT DE TVA A REPORTER</v>
          </cell>
          <cell r="E197">
            <v>0</v>
          </cell>
          <cell r="F197">
            <v>0</v>
          </cell>
          <cell r="G197">
            <v>65799349</v>
          </cell>
          <cell r="H197">
            <v>65799349</v>
          </cell>
          <cell r="I197">
            <v>0</v>
          </cell>
          <cell r="J197">
            <v>0</v>
          </cell>
        </row>
        <row r="198">
          <cell r="B198">
            <v>445100</v>
          </cell>
          <cell r="C198" t="str">
            <v>BJ</v>
          </cell>
          <cell r="D198" t="str">
            <v>TVA RECUPERABLE SUR IMMOBILISA</v>
          </cell>
          <cell r="E198">
            <v>407789180</v>
          </cell>
          <cell r="F198">
            <v>0</v>
          </cell>
          <cell r="G198">
            <v>5572662450</v>
          </cell>
          <cell r="H198">
            <v>4769549035</v>
          </cell>
          <cell r="I198">
            <v>1210902595</v>
          </cell>
          <cell r="J198">
            <v>0</v>
          </cell>
        </row>
        <row r="199">
          <cell r="B199">
            <v>445200</v>
          </cell>
          <cell r="C199" t="str">
            <v>BJ</v>
          </cell>
          <cell r="D199" t="str">
            <v>TVA RECUPERABLE SUR ACHATS</v>
          </cell>
          <cell r="E199">
            <v>714684520</v>
          </cell>
          <cell r="F199">
            <v>0</v>
          </cell>
          <cell r="G199">
            <v>4439464201</v>
          </cell>
          <cell r="H199">
            <v>4200597251</v>
          </cell>
          <cell r="I199">
            <v>953551470</v>
          </cell>
          <cell r="J199">
            <v>0</v>
          </cell>
        </row>
        <row r="200">
          <cell r="B200">
            <v>445500</v>
          </cell>
          <cell r="C200" t="str">
            <v>BJ</v>
          </cell>
          <cell r="D200" t="str">
            <v>TVA RECUPERABLE SUR FACTURES N</v>
          </cell>
          <cell r="E200">
            <v>1092026401</v>
          </cell>
          <cell r="F200">
            <v>0</v>
          </cell>
          <cell r="G200">
            <v>3651884585</v>
          </cell>
          <cell r="H200">
            <v>3223118347</v>
          </cell>
          <cell r="I200">
            <v>1520792639</v>
          </cell>
          <cell r="J200">
            <v>0</v>
          </cell>
        </row>
        <row r="201">
          <cell r="B201">
            <v>447100</v>
          </cell>
          <cell r="C201" t="str">
            <v>BJ</v>
          </cell>
          <cell r="D201" t="str">
            <v>IMPOT GENERAL SUR LE REVENU</v>
          </cell>
          <cell r="E201">
            <v>0</v>
          </cell>
          <cell r="F201">
            <v>9940071</v>
          </cell>
          <cell r="G201">
            <v>185233528</v>
          </cell>
          <cell r="H201">
            <v>184114006</v>
          </cell>
          <cell r="I201">
            <v>0</v>
          </cell>
          <cell r="J201">
            <v>8820549</v>
          </cell>
        </row>
        <row r="202">
          <cell r="B202">
            <v>447200</v>
          </cell>
          <cell r="C202" t="str">
            <v>DK</v>
          </cell>
          <cell r="D202" t="str">
            <v>IMPOTS SUR SALAIRES</v>
          </cell>
          <cell r="E202">
            <v>0</v>
          </cell>
          <cell r="F202">
            <v>127932193</v>
          </cell>
          <cell r="G202">
            <v>1135969946</v>
          </cell>
          <cell r="H202">
            <v>1155863909</v>
          </cell>
          <cell r="I202">
            <v>0</v>
          </cell>
          <cell r="J202">
            <v>147826156</v>
          </cell>
        </row>
        <row r="203">
          <cell r="B203">
            <v>447801</v>
          </cell>
          <cell r="C203" t="str">
            <v>DK</v>
          </cell>
          <cell r="D203" t="str">
            <v>ETAT, RETENUE DE 3% CLIENTS</v>
          </cell>
          <cell r="E203">
            <v>0</v>
          </cell>
          <cell r="F203">
            <v>44</v>
          </cell>
          <cell r="G203">
            <v>0</v>
          </cell>
          <cell r="H203">
            <v>80</v>
          </cell>
          <cell r="I203">
            <v>0</v>
          </cell>
          <cell r="J203">
            <v>124</v>
          </cell>
        </row>
        <row r="204">
          <cell r="B204">
            <v>447803</v>
          </cell>
          <cell r="C204" t="str">
            <v>DK</v>
          </cell>
          <cell r="D204" t="str">
            <v>ETAT, RETENUE 1% FOURNISSEURS</v>
          </cell>
          <cell r="E204">
            <v>1458</v>
          </cell>
          <cell r="F204">
            <v>0</v>
          </cell>
          <cell r="G204">
            <v>0</v>
          </cell>
          <cell r="H204">
            <v>0</v>
          </cell>
          <cell r="I204">
            <v>1458</v>
          </cell>
          <cell r="J204">
            <v>0</v>
          </cell>
        </row>
        <row r="205">
          <cell r="B205">
            <v>447804</v>
          </cell>
          <cell r="C205" t="str">
            <v>DK</v>
          </cell>
          <cell r="D205" t="str">
            <v>ETAT, RETENUE 5% FOURNISSEURS</v>
          </cell>
          <cell r="E205">
            <v>0</v>
          </cell>
          <cell r="F205">
            <v>17728553</v>
          </cell>
          <cell r="G205">
            <v>103826738</v>
          </cell>
          <cell r="H205">
            <v>86098185</v>
          </cell>
          <cell r="I205">
            <v>0</v>
          </cell>
          <cell r="J205">
            <v>0</v>
          </cell>
        </row>
        <row r="206">
          <cell r="B206">
            <v>447805</v>
          </cell>
          <cell r="C206" t="str">
            <v>DK</v>
          </cell>
          <cell r="D206" t="str">
            <v>ETAT, RETENUE 12% FOURNISSEUR</v>
          </cell>
          <cell r="E206">
            <v>0</v>
          </cell>
          <cell r="F206">
            <v>31099093</v>
          </cell>
          <cell r="G206">
            <v>410821646</v>
          </cell>
          <cell r="H206">
            <v>1533281695</v>
          </cell>
          <cell r="I206">
            <v>0</v>
          </cell>
          <cell r="J206">
            <v>1153559142</v>
          </cell>
        </row>
        <row r="207">
          <cell r="B207">
            <v>447806</v>
          </cell>
          <cell r="C207" t="str">
            <v>DK</v>
          </cell>
          <cell r="D207" t="str">
            <v>ETAT, RETENUE 3% FOURNISSEUR</v>
          </cell>
          <cell r="E207">
            <v>0</v>
          </cell>
          <cell r="F207">
            <v>64882996</v>
          </cell>
          <cell r="G207">
            <v>626199416</v>
          </cell>
          <cell r="H207">
            <v>574796094</v>
          </cell>
          <cell r="I207">
            <v>0</v>
          </cell>
          <cell r="J207">
            <v>13479674</v>
          </cell>
        </row>
        <row r="208">
          <cell r="B208">
            <v>448600</v>
          </cell>
          <cell r="C208" t="str">
            <v>DK</v>
          </cell>
          <cell r="D208" t="str">
            <v>ETAT, CHARGES A PAYER</v>
          </cell>
          <cell r="E208">
            <v>0</v>
          </cell>
          <cell r="F208">
            <v>479058092</v>
          </cell>
          <cell r="G208">
            <v>527526071</v>
          </cell>
          <cell r="H208">
            <v>586782640</v>
          </cell>
          <cell r="I208">
            <v>0</v>
          </cell>
          <cell r="J208">
            <v>538314661</v>
          </cell>
        </row>
        <row r="209">
          <cell r="B209">
            <v>449201</v>
          </cell>
          <cell r="C209" t="str">
            <v>BJ</v>
          </cell>
          <cell r="D209" t="str">
            <v>ETAT AVANCE ET ACOMPTE SUR BIC</v>
          </cell>
          <cell r="E209">
            <v>2122926061</v>
          </cell>
          <cell r="F209">
            <v>0</v>
          </cell>
          <cell r="G209">
            <v>1011146072</v>
          </cell>
          <cell r="H209">
            <v>848985020</v>
          </cell>
          <cell r="I209">
            <v>2285087113</v>
          </cell>
          <cell r="J209">
            <v>0</v>
          </cell>
        </row>
        <row r="210">
          <cell r="B210">
            <v>449202</v>
          </cell>
          <cell r="C210" t="str">
            <v>BJ</v>
          </cell>
          <cell r="D210" t="str">
            <v>ETAT, ACOMPT PRELEVE PAR LES T</v>
          </cell>
          <cell r="E210">
            <v>575402840</v>
          </cell>
          <cell r="F210">
            <v>0</v>
          </cell>
          <cell r="G210">
            <v>173459263</v>
          </cell>
          <cell r="H210">
            <v>331985797</v>
          </cell>
          <cell r="I210">
            <v>416876306</v>
          </cell>
          <cell r="J210">
            <v>0</v>
          </cell>
        </row>
        <row r="211">
          <cell r="B211">
            <v>449203</v>
          </cell>
          <cell r="C211" t="str">
            <v>BJ</v>
          </cell>
          <cell r="D211" t="str">
            <v>ETAT, ACOMPTE VALIDE</v>
          </cell>
          <cell r="E211">
            <v>5784273</v>
          </cell>
          <cell r="F211">
            <v>0</v>
          </cell>
          <cell r="G211">
            <v>262927</v>
          </cell>
          <cell r="H211">
            <v>0</v>
          </cell>
          <cell r="I211">
            <v>6047200</v>
          </cell>
          <cell r="J211">
            <v>0</v>
          </cell>
        </row>
        <row r="212">
          <cell r="B212">
            <v>462200</v>
          </cell>
          <cell r="C212" t="str">
            <v>DM</v>
          </cell>
          <cell r="D212" t="str">
            <v>MAROC TELECOM  COMPTE COURANT</v>
          </cell>
          <cell r="E212">
            <v>0</v>
          </cell>
          <cell r="F212">
            <v>10892104474</v>
          </cell>
          <cell r="G212">
            <v>3793321029</v>
          </cell>
          <cell r="H212">
            <v>210395605</v>
          </cell>
          <cell r="I212">
            <v>0</v>
          </cell>
          <cell r="J212">
            <v>7309179050</v>
          </cell>
        </row>
        <row r="213">
          <cell r="B213">
            <v>462300</v>
          </cell>
          <cell r="C213" t="str">
            <v>DM</v>
          </cell>
          <cell r="D213" t="str">
            <v>ETB CPT COURANT ACTIONNAIRE MM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B214">
            <v>466010</v>
          </cell>
          <cell r="C214" t="str">
            <v>DM</v>
          </cell>
          <cell r="D214" t="str">
            <v>COMPTES COURANTS AT, DETTES PA</v>
          </cell>
          <cell r="E214">
            <v>0</v>
          </cell>
          <cell r="F214">
            <v>66826</v>
          </cell>
          <cell r="G214">
            <v>0</v>
          </cell>
          <cell r="H214">
            <v>0</v>
          </cell>
          <cell r="I214">
            <v>0</v>
          </cell>
          <cell r="J214">
            <v>66826</v>
          </cell>
        </row>
        <row r="215">
          <cell r="B215">
            <v>466013</v>
          </cell>
          <cell r="C215" t="str">
            <v>DM</v>
          </cell>
          <cell r="D215" t="str">
            <v>COMPTES COURANTS AT, OPERATION</v>
          </cell>
          <cell r="E215">
            <v>0</v>
          </cell>
          <cell r="F215">
            <v>2</v>
          </cell>
          <cell r="G215">
            <v>0</v>
          </cell>
          <cell r="H215">
            <v>0</v>
          </cell>
          <cell r="I215">
            <v>0</v>
          </cell>
          <cell r="J215">
            <v>2</v>
          </cell>
        </row>
        <row r="216">
          <cell r="B216">
            <v>466030</v>
          </cell>
          <cell r="C216" t="str">
            <v>BJ</v>
          </cell>
          <cell r="D216" t="str">
            <v>GROUPE, COMPTES COURANTS TELEC</v>
          </cell>
          <cell r="E216">
            <v>930817</v>
          </cell>
          <cell r="F216">
            <v>0</v>
          </cell>
          <cell r="G216">
            <v>0</v>
          </cell>
          <cell r="H216">
            <v>0</v>
          </cell>
          <cell r="I216">
            <v>930817</v>
          </cell>
          <cell r="J216">
            <v>0</v>
          </cell>
        </row>
        <row r="217">
          <cell r="B217">
            <v>466040</v>
          </cell>
          <cell r="C217" t="str">
            <v>DM</v>
          </cell>
          <cell r="D217" t="str">
            <v>GRPE, CPTE CRT MOOV COTE D'IVO</v>
          </cell>
          <cell r="E217">
            <v>0</v>
          </cell>
          <cell r="F217">
            <v>504942081</v>
          </cell>
          <cell r="G217">
            <v>609285548</v>
          </cell>
          <cell r="H217">
            <v>625948048</v>
          </cell>
          <cell r="I217">
            <v>0</v>
          </cell>
          <cell r="J217">
            <v>521604581</v>
          </cell>
        </row>
        <row r="218">
          <cell r="B218">
            <v>466050</v>
          </cell>
          <cell r="C218" t="str">
            <v>BJ</v>
          </cell>
          <cell r="D218" t="str">
            <v>GRPE, CPTE CRT TELECEL GABON</v>
          </cell>
          <cell r="E218">
            <v>1231181</v>
          </cell>
          <cell r="F218">
            <v>0</v>
          </cell>
          <cell r="G218">
            <v>0</v>
          </cell>
          <cell r="H218">
            <v>0</v>
          </cell>
          <cell r="I218">
            <v>1231181</v>
          </cell>
          <cell r="J218">
            <v>0</v>
          </cell>
        </row>
        <row r="219">
          <cell r="B219">
            <v>466080</v>
          </cell>
          <cell r="C219" t="str">
            <v>BJ</v>
          </cell>
          <cell r="D219" t="str">
            <v>GRPE, CPTE CRT ACELL RCA</v>
          </cell>
          <cell r="E219">
            <v>14496592</v>
          </cell>
          <cell r="F219">
            <v>0</v>
          </cell>
          <cell r="G219">
            <v>0</v>
          </cell>
          <cell r="H219">
            <v>0</v>
          </cell>
          <cell r="I219">
            <v>14496592</v>
          </cell>
          <cell r="J219">
            <v>0</v>
          </cell>
        </row>
        <row r="220">
          <cell r="B220">
            <v>471000</v>
          </cell>
          <cell r="C220" t="str">
            <v>DM</v>
          </cell>
          <cell r="D220" t="str">
            <v>COMPTE D'ATTENTE</v>
          </cell>
          <cell r="E220">
            <v>0</v>
          </cell>
          <cell r="F220">
            <v>26662109</v>
          </cell>
          <cell r="G220">
            <v>15</v>
          </cell>
          <cell r="H220">
            <v>0</v>
          </cell>
          <cell r="I220">
            <v>0</v>
          </cell>
          <cell r="J220">
            <v>26662094</v>
          </cell>
        </row>
        <row r="221">
          <cell r="B221">
            <v>471001</v>
          </cell>
          <cell r="C221" t="str">
            <v>DM</v>
          </cell>
          <cell r="D221" t="str">
            <v>FACTURES EN ATTENTE DE VALIDAT</v>
          </cell>
          <cell r="E221">
            <v>0</v>
          </cell>
          <cell r="F221">
            <v>24900399</v>
          </cell>
          <cell r="G221">
            <v>24900399</v>
          </cell>
          <cell r="H221">
            <v>24900399</v>
          </cell>
          <cell r="I221">
            <v>0</v>
          </cell>
          <cell r="J221">
            <v>24900399</v>
          </cell>
        </row>
        <row r="222">
          <cell r="B222">
            <v>471100</v>
          </cell>
          <cell r="C222" t="str">
            <v>BJ</v>
          </cell>
          <cell r="D222" t="str">
            <v>DEBITEURS DIVERS</v>
          </cell>
          <cell r="E222">
            <v>829540</v>
          </cell>
          <cell r="F222">
            <v>0</v>
          </cell>
          <cell r="G222">
            <v>0</v>
          </cell>
          <cell r="H222">
            <v>0</v>
          </cell>
          <cell r="I222">
            <v>829540</v>
          </cell>
          <cell r="J222">
            <v>0</v>
          </cell>
        </row>
        <row r="223">
          <cell r="B223">
            <v>471104</v>
          </cell>
          <cell r="C223" t="str">
            <v>BJ</v>
          </cell>
          <cell r="D223" t="str">
            <v>DEBITEURS DIVERS AUTRES F/SEUR</v>
          </cell>
          <cell r="E223">
            <v>85202729</v>
          </cell>
          <cell r="F223">
            <v>0</v>
          </cell>
          <cell r="G223">
            <v>1397560</v>
          </cell>
          <cell r="H223">
            <v>62500</v>
          </cell>
          <cell r="I223">
            <v>86537789</v>
          </cell>
          <cell r="J223">
            <v>0</v>
          </cell>
        </row>
        <row r="224">
          <cell r="B224">
            <v>471200</v>
          </cell>
          <cell r="C224" t="str">
            <v>DM</v>
          </cell>
          <cell r="D224" t="str">
            <v>CREDITEURS DIVERS</v>
          </cell>
          <cell r="E224">
            <v>0</v>
          </cell>
          <cell r="F224">
            <v>10550000</v>
          </cell>
          <cell r="G224">
            <v>29571140</v>
          </cell>
          <cell r="H224">
            <v>29121140</v>
          </cell>
          <cell r="I224">
            <v>0</v>
          </cell>
          <cell r="J224">
            <v>10100000</v>
          </cell>
        </row>
        <row r="225">
          <cell r="B225">
            <v>471202</v>
          </cell>
          <cell r="C225" t="str">
            <v>DM</v>
          </cell>
          <cell r="D225" t="str">
            <v>CREDITEUR DIVERS / D. MOOVMONE</v>
          </cell>
          <cell r="E225">
            <v>587990662</v>
          </cell>
          <cell r="F225">
            <v>0</v>
          </cell>
          <cell r="G225">
            <v>2397354192</v>
          </cell>
          <cell r="H225">
            <v>2625773588</v>
          </cell>
          <cell r="I225">
            <v>359571266</v>
          </cell>
          <cell r="J225">
            <v>0</v>
          </cell>
        </row>
        <row r="226">
          <cell r="B226">
            <v>471205</v>
          </cell>
          <cell r="C226" t="str">
            <v>DM</v>
          </cell>
          <cell r="D226" t="str">
            <v>CREDITEURS DIVERS CHARGES A PA</v>
          </cell>
          <cell r="E226">
            <v>0</v>
          </cell>
          <cell r="F226">
            <v>119216587</v>
          </cell>
          <cell r="G226">
            <v>146701026</v>
          </cell>
          <cell r="H226">
            <v>140723146</v>
          </cell>
          <cell r="I226">
            <v>0</v>
          </cell>
          <cell r="J226">
            <v>113238707</v>
          </cell>
        </row>
        <row r="227">
          <cell r="B227">
            <v>471297</v>
          </cell>
          <cell r="C227" t="str">
            <v>DM</v>
          </cell>
          <cell r="D227" t="str">
            <v>MOOV MONEY DETTE CPTE GARANTIE</v>
          </cell>
          <cell r="E227">
            <v>0</v>
          </cell>
          <cell r="F227">
            <v>22100314610</v>
          </cell>
          <cell r="G227">
            <v>49385783488</v>
          </cell>
          <cell r="H227">
            <v>51675595674</v>
          </cell>
          <cell r="I227">
            <v>0</v>
          </cell>
          <cell r="J227">
            <v>24390126796</v>
          </cell>
        </row>
        <row r="228">
          <cell r="B228">
            <v>471299</v>
          </cell>
          <cell r="C228" t="str">
            <v>DM</v>
          </cell>
          <cell r="D228" t="str">
            <v>ETISALAT BENIN COMPTE D'OPERAT</v>
          </cell>
          <cell r="F228">
            <v>0</v>
          </cell>
          <cell r="J228">
            <v>0</v>
          </cell>
        </row>
        <row r="229">
          <cell r="B229">
            <v>471300</v>
          </cell>
          <cell r="C229" t="str">
            <v>DM</v>
          </cell>
          <cell r="D229" t="str">
            <v>Mobile Money Etisalat</v>
          </cell>
          <cell r="E229">
            <v>0</v>
          </cell>
          <cell r="F229">
            <v>0</v>
          </cell>
          <cell r="G229">
            <v>64815321128</v>
          </cell>
          <cell r="H229">
            <v>64815321128</v>
          </cell>
          <cell r="I229">
            <v>0</v>
          </cell>
          <cell r="J229">
            <v>0</v>
          </cell>
        </row>
        <row r="230">
          <cell r="B230">
            <v>471310</v>
          </cell>
          <cell r="C230" t="str">
            <v>DM</v>
          </cell>
          <cell r="D230" t="str">
            <v>Mobile Money Partenaires</v>
          </cell>
          <cell r="E230">
            <v>0</v>
          </cell>
          <cell r="F230">
            <v>75424</v>
          </cell>
          <cell r="G230">
            <v>14883461252</v>
          </cell>
          <cell r="H230">
            <v>14883461252</v>
          </cell>
          <cell r="I230">
            <v>0</v>
          </cell>
          <cell r="J230">
            <v>75424</v>
          </cell>
        </row>
        <row r="231">
          <cell r="B231">
            <v>471800</v>
          </cell>
          <cell r="C231" t="str">
            <v>DM</v>
          </cell>
          <cell r="D231" t="str">
            <v>Mobile Money X-border</v>
          </cell>
          <cell r="E231">
            <v>7536791912</v>
          </cell>
          <cell r="F231">
            <v>0</v>
          </cell>
          <cell r="G231">
            <v>65675657046</v>
          </cell>
          <cell r="H231">
            <v>66768338540</v>
          </cell>
          <cell r="I231">
            <v>6444110418</v>
          </cell>
          <cell r="J231">
            <v>0</v>
          </cell>
        </row>
        <row r="232">
          <cell r="B232">
            <v>471801</v>
          </cell>
          <cell r="C232" t="str">
            <v>DM</v>
          </cell>
          <cell r="D232" t="str">
            <v>SBEE RECHARGE ELECTRONIQUE</v>
          </cell>
          <cell r="E232">
            <v>269970970</v>
          </cell>
          <cell r="F232">
            <v>0</v>
          </cell>
          <cell r="G232">
            <v>23596616346</v>
          </cell>
          <cell r="H232">
            <v>23523024805</v>
          </cell>
          <cell r="I232">
            <v>343562511</v>
          </cell>
          <cell r="J232">
            <v>0</v>
          </cell>
        </row>
        <row r="233">
          <cell r="B233">
            <v>471802</v>
          </cell>
          <cell r="C233" t="str">
            <v>DM</v>
          </cell>
          <cell r="D233" t="str">
            <v>SOLDE MOOVMONEY ABONNE PURGE</v>
          </cell>
          <cell r="E233">
            <v>2408529</v>
          </cell>
          <cell r="F233">
            <v>0</v>
          </cell>
          <cell r="G233">
            <v>0</v>
          </cell>
          <cell r="H233">
            <v>0</v>
          </cell>
          <cell r="I233">
            <v>2408529</v>
          </cell>
          <cell r="J233">
            <v>0</v>
          </cell>
        </row>
        <row r="234">
          <cell r="B234">
            <v>476000</v>
          </cell>
          <cell r="C234" t="str">
            <v>BJ</v>
          </cell>
          <cell r="D234" t="str">
            <v>CHARGES CONSTATEES D'AVANCE</v>
          </cell>
          <cell r="E234">
            <v>1230162451</v>
          </cell>
          <cell r="F234">
            <v>0</v>
          </cell>
          <cell r="G234">
            <v>307025391</v>
          </cell>
          <cell r="H234">
            <v>202990120</v>
          </cell>
          <cell r="I234">
            <v>1334197722</v>
          </cell>
          <cell r="J234">
            <v>0</v>
          </cell>
        </row>
        <row r="235">
          <cell r="B235">
            <v>477000</v>
          </cell>
          <cell r="C235" t="str">
            <v>DM</v>
          </cell>
          <cell r="D235" t="str">
            <v>PRODUITS CONSTATES D'AVANCE</v>
          </cell>
          <cell r="E235">
            <v>0</v>
          </cell>
          <cell r="F235">
            <v>0</v>
          </cell>
          <cell r="G235">
            <v>126492724</v>
          </cell>
          <cell r="H235">
            <v>232375414</v>
          </cell>
          <cell r="I235">
            <v>0</v>
          </cell>
          <cell r="J235">
            <v>105882690</v>
          </cell>
        </row>
        <row r="236">
          <cell r="B236">
            <v>477100</v>
          </cell>
          <cell r="C236" t="str">
            <v>DM</v>
          </cell>
          <cell r="D236" t="str">
            <v>PRDTS CONSTATES D'AVANCE PREPA</v>
          </cell>
          <cell r="E236">
            <v>405495987</v>
          </cell>
          <cell r="F236">
            <v>0</v>
          </cell>
          <cell r="G236">
            <v>96346072154</v>
          </cell>
          <cell r="H236">
            <v>97683607158</v>
          </cell>
          <cell r="I236">
            <v>0</v>
          </cell>
          <cell r="J236">
            <v>932039017</v>
          </cell>
        </row>
        <row r="237">
          <cell r="B237">
            <v>477101</v>
          </cell>
          <cell r="C237" t="str">
            <v>DM</v>
          </cell>
          <cell r="D237" t="str">
            <v>PRDTS CONSTATES D'AVCE RECHARG</v>
          </cell>
          <cell r="E237">
            <v>0</v>
          </cell>
          <cell r="F237">
            <v>3301935109</v>
          </cell>
          <cell r="G237">
            <v>34856208552</v>
          </cell>
          <cell r="H237">
            <v>32210095039</v>
          </cell>
          <cell r="I237">
            <v>0</v>
          </cell>
          <cell r="J237">
            <v>655821596</v>
          </cell>
        </row>
        <row r="238">
          <cell r="B238">
            <v>477110</v>
          </cell>
          <cell r="C238" t="str">
            <v>DM</v>
          </cell>
          <cell r="D238" t="str">
            <v>PRODUITS CONSTATES D'AVCE MOOV</v>
          </cell>
          <cell r="E238">
            <v>0</v>
          </cell>
          <cell r="F238">
            <v>8719753</v>
          </cell>
          <cell r="G238">
            <v>1242490115</v>
          </cell>
          <cell r="H238">
            <v>1240096476</v>
          </cell>
          <cell r="I238">
            <v>0</v>
          </cell>
          <cell r="J238">
            <v>6326114</v>
          </cell>
        </row>
        <row r="239">
          <cell r="B239">
            <v>478400</v>
          </cell>
          <cell r="C239" t="str">
            <v>BU</v>
          </cell>
          <cell r="D239" t="str">
            <v>Augment des dettes finan</v>
          </cell>
          <cell r="E239">
            <v>410726340</v>
          </cell>
          <cell r="F239">
            <v>0</v>
          </cell>
          <cell r="G239">
            <v>-155868449</v>
          </cell>
          <cell r="H239">
            <v>128865117</v>
          </cell>
          <cell r="I239">
            <v>125992774</v>
          </cell>
          <cell r="J239">
            <v>0</v>
          </cell>
        </row>
        <row r="240">
          <cell r="B240">
            <v>479400</v>
          </cell>
          <cell r="C240" t="str">
            <v>DV</v>
          </cell>
          <cell r="D240" t="str">
            <v>Diminution dette financ</v>
          </cell>
          <cell r="E240">
            <v>0</v>
          </cell>
          <cell r="F240">
            <v>89191844</v>
          </cell>
          <cell r="G240">
            <v>0</v>
          </cell>
          <cell r="H240">
            <v>122644</v>
          </cell>
          <cell r="I240">
            <v>0</v>
          </cell>
          <cell r="J240">
            <v>89314488</v>
          </cell>
        </row>
        <row r="241">
          <cell r="B241">
            <v>481100</v>
          </cell>
          <cell r="C241" t="str">
            <v>BA</v>
          </cell>
          <cell r="D241" t="str">
            <v>FRS INV D'IMMO INCORPORELLE</v>
          </cell>
          <cell r="E241">
            <v>0</v>
          </cell>
          <cell r="F241">
            <v>366147187</v>
          </cell>
          <cell r="G241">
            <v>1007979098</v>
          </cell>
          <cell r="H241">
            <v>918344040</v>
          </cell>
          <cell r="I241">
            <v>0</v>
          </cell>
          <cell r="J241">
            <v>276512129</v>
          </cell>
        </row>
        <row r="242">
          <cell r="B242">
            <v>481200</v>
          </cell>
          <cell r="C242" t="str">
            <v>DH</v>
          </cell>
          <cell r="D242" t="str">
            <v>FRS INV D'IMMO CORPORELLE</v>
          </cell>
          <cell r="E242">
            <v>0</v>
          </cell>
          <cell r="F242">
            <v>2690079827</v>
          </cell>
          <cell r="G242">
            <v>12424994321</v>
          </cell>
          <cell r="H242">
            <v>13639736474</v>
          </cell>
          <cell r="I242">
            <v>0</v>
          </cell>
          <cell r="J242">
            <v>3904821980</v>
          </cell>
        </row>
        <row r="243">
          <cell r="B243">
            <v>481210</v>
          </cell>
          <cell r="C243" t="str">
            <v>BA</v>
          </cell>
          <cell r="D243" t="str">
            <v>ERICSSON FOURNISSEUR</v>
          </cell>
          <cell r="E243">
            <v>0</v>
          </cell>
          <cell r="F243">
            <v>4726265558</v>
          </cell>
          <cell r="G243">
            <v>11532020738</v>
          </cell>
          <cell r="H243">
            <v>6143673458</v>
          </cell>
          <cell r="I243">
            <v>662081722</v>
          </cell>
          <cell r="J243">
            <v>0</v>
          </cell>
        </row>
        <row r="244">
          <cell r="B244">
            <v>481230</v>
          </cell>
          <cell r="C244" t="str">
            <v>DH</v>
          </cell>
          <cell r="D244" t="str">
            <v>AVIAT</v>
          </cell>
          <cell r="E244">
            <v>37994824</v>
          </cell>
          <cell r="F244">
            <v>0</v>
          </cell>
          <cell r="G244">
            <v>0</v>
          </cell>
          <cell r="H244">
            <v>0</v>
          </cell>
          <cell r="I244">
            <v>37994824</v>
          </cell>
          <cell r="J244">
            <v>0</v>
          </cell>
        </row>
        <row r="245">
          <cell r="B245">
            <v>481700</v>
          </cell>
          <cell r="C245" t="str">
            <v>DH</v>
          </cell>
          <cell r="D245" t="str">
            <v>FRS INV RETENUE DE GARANTIE</v>
          </cell>
          <cell r="E245">
            <v>0</v>
          </cell>
          <cell r="F245">
            <v>490373784</v>
          </cell>
          <cell r="G245">
            <v>306692883</v>
          </cell>
          <cell r="H245">
            <v>849608937</v>
          </cell>
          <cell r="I245">
            <v>0</v>
          </cell>
          <cell r="J245">
            <v>1033289838</v>
          </cell>
        </row>
        <row r="246">
          <cell r="B246">
            <v>481800</v>
          </cell>
          <cell r="C246" t="str">
            <v>DH</v>
          </cell>
          <cell r="D246" t="str">
            <v>FNPFRS D'INVESTISSEMENT</v>
          </cell>
          <cell r="E246">
            <v>0</v>
          </cell>
          <cell r="F246">
            <v>8936592350</v>
          </cell>
          <cell r="G246">
            <v>868762495</v>
          </cell>
          <cell r="H246">
            <v>6891311950</v>
          </cell>
          <cell r="I246">
            <v>0</v>
          </cell>
          <cell r="J246">
            <v>14959141805</v>
          </cell>
        </row>
        <row r="247">
          <cell r="B247">
            <v>485000</v>
          </cell>
          <cell r="C247" t="str">
            <v>BA</v>
          </cell>
          <cell r="D247" t="str">
            <v>CREANCE SUR CESSION D'IMMOB</v>
          </cell>
          <cell r="E247">
            <v>9392494</v>
          </cell>
          <cell r="F247">
            <v>0</v>
          </cell>
          <cell r="G247">
            <v>0</v>
          </cell>
          <cell r="H247">
            <v>617489</v>
          </cell>
          <cell r="I247">
            <v>8775005</v>
          </cell>
          <cell r="J247">
            <v>0</v>
          </cell>
        </row>
        <row r="248">
          <cell r="B248">
            <v>488000</v>
          </cell>
          <cell r="C248" t="str">
            <v>BA</v>
          </cell>
          <cell r="D248" t="str">
            <v>AUTRES CREANCES HAO</v>
          </cell>
          <cell r="E248">
            <v>439555988</v>
          </cell>
          <cell r="F248">
            <v>0</v>
          </cell>
          <cell r="G248">
            <v>166024865</v>
          </cell>
          <cell r="H248">
            <v>6604973</v>
          </cell>
          <cell r="I248">
            <v>598975880</v>
          </cell>
          <cell r="J248">
            <v>0</v>
          </cell>
        </row>
        <row r="249">
          <cell r="B249">
            <v>491210</v>
          </cell>
          <cell r="C249" t="str">
            <v>BI</v>
          </cell>
          <cell r="D249" t="str">
            <v>PROVISIONS CREANCES CLIENTS PO</v>
          </cell>
          <cell r="E249">
            <v>0</v>
          </cell>
          <cell r="F249">
            <v>1926564515</v>
          </cell>
          <cell r="G249">
            <v>87758220</v>
          </cell>
          <cell r="H249">
            <v>401236173</v>
          </cell>
          <cell r="I249">
            <v>0</v>
          </cell>
          <cell r="J249">
            <v>2240042468</v>
          </cell>
        </row>
        <row r="250">
          <cell r="B250">
            <v>491220</v>
          </cell>
          <cell r="C250" t="str">
            <v>BI</v>
          </cell>
          <cell r="D250" t="str">
            <v>PROVISIONS CREANCES DISTRIBUTE</v>
          </cell>
          <cell r="E250">
            <v>0</v>
          </cell>
          <cell r="F250">
            <v>2417100862</v>
          </cell>
          <cell r="G250">
            <v>495030519</v>
          </cell>
          <cell r="H250">
            <v>0</v>
          </cell>
          <cell r="I250">
            <v>0</v>
          </cell>
          <cell r="J250">
            <v>1922070343</v>
          </cell>
        </row>
        <row r="251">
          <cell r="B251">
            <v>491230</v>
          </cell>
          <cell r="C251" t="str">
            <v>BI</v>
          </cell>
          <cell r="D251" t="str">
            <v>PROVISIONS CREANCES ROAMING</v>
          </cell>
          <cell r="E251">
            <v>0</v>
          </cell>
          <cell r="F251">
            <v>571065121</v>
          </cell>
          <cell r="G251">
            <v>535669884</v>
          </cell>
          <cell r="H251">
            <v>0</v>
          </cell>
          <cell r="I251">
            <v>0</v>
          </cell>
          <cell r="J251">
            <v>35395237</v>
          </cell>
        </row>
        <row r="252">
          <cell r="B252">
            <v>499000</v>
          </cell>
          <cell r="C252" t="str">
            <v>DN</v>
          </cell>
          <cell r="D252" t="str">
            <v>RISQUES PROVISIONNES</v>
          </cell>
          <cell r="E252">
            <v>0</v>
          </cell>
          <cell r="F252">
            <v>82863242</v>
          </cell>
          <cell r="G252">
            <v>0</v>
          </cell>
          <cell r="H252">
            <v>0</v>
          </cell>
          <cell r="I252">
            <v>0</v>
          </cell>
          <cell r="J252">
            <v>82863242</v>
          </cell>
        </row>
        <row r="253">
          <cell r="B253">
            <v>512000</v>
          </cell>
          <cell r="C253" t="str">
            <v>BR</v>
          </cell>
          <cell r="D253" t="str">
            <v>EFFETS A L'ENCAISSEMENT</v>
          </cell>
          <cell r="E253">
            <v>0</v>
          </cell>
          <cell r="F253">
            <v>0</v>
          </cell>
          <cell r="G253">
            <v>4249800000</v>
          </cell>
          <cell r="H253">
            <v>4249800000</v>
          </cell>
          <cell r="I253">
            <v>0</v>
          </cell>
          <cell r="J253">
            <v>0</v>
          </cell>
        </row>
        <row r="254">
          <cell r="B254">
            <v>513000</v>
          </cell>
          <cell r="C254" t="str">
            <v>BR</v>
          </cell>
          <cell r="D254" t="str">
            <v>CHEQUES A ENCAISSER</v>
          </cell>
          <cell r="E254">
            <v>18704407</v>
          </cell>
          <cell r="F254">
            <v>0</v>
          </cell>
          <cell r="G254">
            <v>12755685212</v>
          </cell>
          <cell r="H254">
            <v>12763916754</v>
          </cell>
          <cell r="I254">
            <v>10472865</v>
          </cell>
          <cell r="J254">
            <v>0</v>
          </cell>
        </row>
        <row r="255">
          <cell r="B255">
            <v>521091</v>
          </cell>
          <cell r="C255" t="str">
            <v>BS</v>
          </cell>
          <cell r="D255" t="str">
            <v>CORIS BANK</v>
          </cell>
          <cell r="E255">
            <v>0</v>
          </cell>
          <cell r="F255">
            <v>300379173</v>
          </cell>
          <cell r="G255">
            <v>15713891351</v>
          </cell>
          <cell r="H255">
            <v>15614489988</v>
          </cell>
          <cell r="I255">
            <v>0</v>
          </cell>
          <cell r="J255">
            <v>200977810</v>
          </cell>
        </row>
        <row r="256">
          <cell r="B256">
            <v>521101</v>
          </cell>
          <cell r="C256" t="str">
            <v>BS</v>
          </cell>
          <cell r="D256" t="str">
            <v>BGFI BANK MOOV AFRICA BENIN</v>
          </cell>
          <cell r="E256">
            <v>0</v>
          </cell>
          <cell r="F256">
            <v>0</v>
          </cell>
          <cell r="G256">
            <v>40590773</v>
          </cell>
          <cell r="H256">
            <v>20907601</v>
          </cell>
          <cell r="I256">
            <v>19683172</v>
          </cell>
          <cell r="J256">
            <v>0</v>
          </cell>
        </row>
        <row r="257">
          <cell r="B257">
            <v>521150</v>
          </cell>
          <cell r="C257" t="str">
            <v>BS</v>
          </cell>
          <cell r="D257" t="str">
            <v>Ecobank Etisalat</v>
          </cell>
          <cell r="E257">
            <v>398802299</v>
          </cell>
          <cell r="F257">
            <v>0</v>
          </cell>
          <cell r="G257">
            <v>23154232060</v>
          </cell>
          <cell r="H257">
            <v>23567811689</v>
          </cell>
          <cell r="I257">
            <v>0</v>
          </cell>
          <cell r="J257">
            <v>14777330</v>
          </cell>
        </row>
        <row r="258">
          <cell r="B258">
            <v>521160</v>
          </cell>
          <cell r="C258" t="str">
            <v>BS</v>
          </cell>
          <cell r="D258" t="str">
            <v>Sté Gle de Banques du Bénin (</v>
          </cell>
          <cell r="E258">
            <v>10223654</v>
          </cell>
          <cell r="F258">
            <v>0</v>
          </cell>
          <cell r="G258">
            <v>3654940346</v>
          </cell>
          <cell r="H258">
            <v>3557231214</v>
          </cell>
          <cell r="I258">
            <v>107932786</v>
          </cell>
          <cell r="J258">
            <v>0</v>
          </cell>
        </row>
        <row r="259">
          <cell r="B259">
            <v>521170</v>
          </cell>
          <cell r="C259" t="str">
            <v>BS</v>
          </cell>
          <cell r="D259" t="str">
            <v>Banque Atlantique du Bénin ( B</v>
          </cell>
          <cell r="E259">
            <v>0</v>
          </cell>
          <cell r="F259">
            <v>6262180206</v>
          </cell>
          <cell r="G259">
            <v>56992712230</v>
          </cell>
          <cell r="H259">
            <v>59149190604</v>
          </cell>
          <cell r="I259">
            <v>0</v>
          </cell>
          <cell r="J259">
            <v>8418658580</v>
          </cell>
        </row>
        <row r="260">
          <cell r="B260">
            <v>521172</v>
          </cell>
          <cell r="C260" t="str">
            <v>BS</v>
          </cell>
          <cell r="D260" t="str">
            <v>BANQUE ATLANTIQUE  COMPTE GARA</v>
          </cell>
          <cell r="E260">
            <v>0</v>
          </cell>
          <cell r="F260">
            <v>0</v>
          </cell>
          <cell r="G260">
            <v>4367405090</v>
          </cell>
          <cell r="H260">
            <v>4367405090</v>
          </cell>
          <cell r="I260">
            <v>0</v>
          </cell>
          <cell r="J260">
            <v>0</v>
          </cell>
        </row>
        <row r="261">
          <cell r="B261">
            <v>521173</v>
          </cell>
          <cell r="C261" t="str">
            <v>BS</v>
          </cell>
          <cell r="D261" t="str">
            <v>BQ ATLANTIQUE PUSH &amp; PULL USSD</v>
          </cell>
          <cell r="E261">
            <v>982217266</v>
          </cell>
          <cell r="F261">
            <v>0</v>
          </cell>
          <cell r="G261">
            <v>3269831205</v>
          </cell>
          <cell r="H261">
            <v>4000000000</v>
          </cell>
          <cell r="I261">
            <v>252048471</v>
          </cell>
          <cell r="J261">
            <v>0</v>
          </cell>
        </row>
        <row r="262">
          <cell r="B262">
            <v>521175</v>
          </cell>
          <cell r="C262" t="str">
            <v>BS</v>
          </cell>
          <cell r="D262" t="str">
            <v>BANQUE ATLANTIQUE MOOV MONEY</v>
          </cell>
          <cell r="E262">
            <v>208264393</v>
          </cell>
          <cell r="F262">
            <v>0</v>
          </cell>
          <cell r="G262">
            <v>1982416600</v>
          </cell>
          <cell r="H262">
            <v>2141035417</v>
          </cell>
          <cell r="I262">
            <v>49645576</v>
          </cell>
          <cell r="J262">
            <v>0</v>
          </cell>
        </row>
        <row r="263">
          <cell r="B263">
            <v>521177</v>
          </cell>
          <cell r="C263" t="str">
            <v>BS</v>
          </cell>
          <cell r="D263" t="str">
            <v>CORISBANK CC MOOV MONEY</v>
          </cell>
          <cell r="E263">
            <v>9966848</v>
          </cell>
          <cell r="F263">
            <v>0</v>
          </cell>
          <cell r="G263">
            <v>78008355</v>
          </cell>
          <cell r="H263">
            <v>12399603</v>
          </cell>
          <cell r="I263">
            <v>75575600</v>
          </cell>
          <cell r="J263">
            <v>0</v>
          </cell>
        </row>
        <row r="264">
          <cell r="B264">
            <v>521180</v>
          </cell>
          <cell r="C264" t="str">
            <v>BS</v>
          </cell>
          <cell r="D264" t="str">
            <v>Bank Of Africa (BOA) Etilsalat</v>
          </cell>
          <cell r="E264">
            <v>0</v>
          </cell>
          <cell r="F264">
            <v>847041784</v>
          </cell>
          <cell r="G264">
            <v>18169136531</v>
          </cell>
          <cell r="H264">
            <v>18791354943</v>
          </cell>
          <cell r="I264">
            <v>0</v>
          </cell>
          <cell r="J264">
            <v>1469260196</v>
          </cell>
        </row>
        <row r="265">
          <cell r="B265">
            <v>521190</v>
          </cell>
          <cell r="C265" t="str">
            <v>BS</v>
          </cell>
          <cell r="D265" t="str">
            <v>CONTINENTAL BANK BENIN,  MEMBR</v>
          </cell>
          <cell r="E265">
            <v>46433434</v>
          </cell>
          <cell r="F265">
            <v>0</v>
          </cell>
          <cell r="G265">
            <v>7611333981</v>
          </cell>
          <cell r="H265">
            <v>7711766615</v>
          </cell>
          <cell r="I265">
            <v>0</v>
          </cell>
          <cell r="J265">
            <v>53999200</v>
          </cell>
        </row>
        <row r="266">
          <cell r="B266">
            <v>521196</v>
          </cell>
          <cell r="C266" t="str">
            <v>BS</v>
          </cell>
          <cell r="D266" t="str">
            <v>CBAO</v>
          </cell>
          <cell r="E266">
            <v>0</v>
          </cell>
          <cell r="F266">
            <v>2022463662</v>
          </cell>
          <cell r="G266">
            <v>5223556054</v>
          </cell>
          <cell r="H266">
            <v>5195154120</v>
          </cell>
          <cell r="I266">
            <v>0</v>
          </cell>
          <cell r="J266">
            <v>1994061728</v>
          </cell>
        </row>
        <row r="267">
          <cell r="B267">
            <v>521197</v>
          </cell>
          <cell r="C267" t="str">
            <v>BS</v>
          </cell>
          <cell r="D267" t="str">
            <v>NSIA BANK BENIN</v>
          </cell>
          <cell r="E267">
            <v>0</v>
          </cell>
          <cell r="F267">
            <v>3748434138</v>
          </cell>
          <cell r="G267">
            <v>11137053730</v>
          </cell>
          <cell r="H267">
            <v>11281606825</v>
          </cell>
          <cell r="I267">
            <v>0</v>
          </cell>
          <cell r="J267">
            <v>3892987233</v>
          </cell>
        </row>
        <row r="268">
          <cell r="B268">
            <v>521198</v>
          </cell>
          <cell r="C268" t="str">
            <v>BS</v>
          </cell>
          <cell r="D268" t="str">
            <v>ECOBANK PUSH &amp; PULL USSD</v>
          </cell>
          <cell r="E268">
            <v>738738771</v>
          </cell>
          <cell r="F268">
            <v>0</v>
          </cell>
          <cell r="G268">
            <v>3114254775</v>
          </cell>
          <cell r="H268">
            <v>3738115876</v>
          </cell>
          <cell r="I268">
            <v>114877670</v>
          </cell>
          <cell r="J268">
            <v>0</v>
          </cell>
        </row>
        <row r="269">
          <cell r="B269">
            <v>521199</v>
          </cell>
          <cell r="C269" t="str">
            <v>BS</v>
          </cell>
          <cell r="D269" t="str">
            <v>ECOBANK PUSH &amp; PULL ECO APP</v>
          </cell>
          <cell r="E269">
            <v>508233670</v>
          </cell>
          <cell r="F269">
            <v>0</v>
          </cell>
          <cell r="G269">
            <v>209267236</v>
          </cell>
          <cell r="H269">
            <v>0</v>
          </cell>
          <cell r="I269">
            <v>717500906</v>
          </cell>
          <cell r="J269">
            <v>0</v>
          </cell>
        </row>
        <row r="270">
          <cell r="B270">
            <v>521200</v>
          </cell>
          <cell r="C270" t="str">
            <v>BS</v>
          </cell>
          <cell r="D270" t="str">
            <v>UBA PUSH</v>
          </cell>
          <cell r="E270">
            <v>266044452</v>
          </cell>
          <cell r="F270">
            <v>0</v>
          </cell>
          <cell r="G270">
            <v>2193127181</v>
          </cell>
          <cell r="H270">
            <v>2054765176</v>
          </cell>
          <cell r="I270">
            <v>404406457</v>
          </cell>
          <cell r="J270">
            <v>0</v>
          </cell>
        </row>
        <row r="271">
          <cell r="B271">
            <v>521201</v>
          </cell>
          <cell r="C271" t="str">
            <v>BS</v>
          </cell>
          <cell r="D271" t="str">
            <v>ORABANK</v>
          </cell>
          <cell r="E271">
            <v>258584346</v>
          </cell>
          <cell r="F271">
            <v>0</v>
          </cell>
          <cell r="G271">
            <v>3839069883</v>
          </cell>
          <cell r="H271">
            <v>4069598903</v>
          </cell>
          <cell r="I271">
            <v>28055326</v>
          </cell>
          <cell r="J271">
            <v>0</v>
          </cell>
        </row>
        <row r="272">
          <cell r="B272">
            <v>521202</v>
          </cell>
          <cell r="C272" t="str">
            <v>BS</v>
          </cell>
          <cell r="D272" t="str">
            <v>CCEI BANK BENIN</v>
          </cell>
          <cell r="E272">
            <v>174309</v>
          </cell>
          <cell r="F272">
            <v>0</v>
          </cell>
          <cell r="G272">
            <v>198031055</v>
          </cell>
          <cell r="H272">
            <v>187778856</v>
          </cell>
          <cell r="I272">
            <v>10426508</v>
          </cell>
          <cell r="J272">
            <v>0</v>
          </cell>
        </row>
        <row r="273">
          <cell r="B273">
            <v>521203</v>
          </cell>
          <cell r="C273" t="str">
            <v>BS</v>
          </cell>
          <cell r="D273" t="str">
            <v>ORABANK PUSH AND PULL M M</v>
          </cell>
          <cell r="E273">
            <v>17810519</v>
          </cell>
          <cell r="F273">
            <v>0</v>
          </cell>
          <cell r="G273">
            <v>578908659</v>
          </cell>
          <cell r="H273">
            <v>79431023</v>
          </cell>
          <cell r="I273">
            <v>517288155</v>
          </cell>
          <cell r="J273">
            <v>0</v>
          </cell>
        </row>
        <row r="274">
          <cell r="B274">
            <v>521204</v>
          </cell>
          <cell r="C274" t="str">
            <v>BS</v>
          </cell>
          <cell r="D274" t="str">
            <v>Moov Money BGFIBANK C COURANT</v>
          </cell>
          <cell r="E274">
            <v>0</v>
          </cell>
          <cell r="F274">
            <v>0</v>
          </cell>
          <cell r="G274">
            <v>48136404</v>
          </cell>
          <cell r="H274">
            <v>163204</v>
          </cell>
          <cell r="I274">
            <v>47973200</v>
          </cell>
          <cell r="J274">
            <v>0</v>
          </cell>
        </row>
        <row r="275">
          <cell r="B275">
            <v>521205</v>
          </cell>
          <cell r="C275" t="str">
            <v>BS</v>
          </cell>
          <cell r="D275" t="str">
            <v>Moov Money ORABANK C COURANT</v>
          </cell>
          <cell r="E275">
            <v>0</v>
          </cell>
          <cell r="F275">
            <v>0</v>
          </cell>
          <cell r="G275">
            <v>153098302</v>
          </cell>
          <cell r="H275">
            <v>44000</v>
          </cell>
          <cell r="I275">
            <v>153054302</v>
          </cell>
          <cell r="J275">
            <v>0</v>
          </cell>
        </row>
        <row r="276">
          <cell r="B276">
            <v>521206</v>
          </cell>
          <cell r="C276" t="str">
            <v>BS</v>
          </cell>
          <cell r="D276" t="str">
            <v>Moov Money CCEI C COURANT</v>
          </cell>
          <cell r="E276">
            <v>0</v>
          </cell>
          <cell r="F276">
            <v>0</v>
          </cell>
          <cell r="G276">
            <v>7819847</v>
          </cell>
          <cell r="H276">
            <v>140496</v>
          </cell>
          <cell r="I276">
            <v>7679351</v>
          </cell>
          <cell r="J276">
            <v>0</v>
          </cell>
        </row>
        <row r="277">
          <cell r="B277">
            <v>521207</v>
          </cell>
          <cell r="C277" t="str">
            <v>BS</v>
          </cell>
          <cell r="D277" t="str">
            <v>Moov Money NSIA BANK C COURANT</v>
          </cell>
          <cell r="E277">
            <v>0</v>
          </cell>
          <cell r="F277">
            <v>0</v>
          </cell>
          <cell r="G277">
            <v>65544349</v>
          </cell>
          <cell r="H277">
            <v>88000</v>
          </cell>
          <cell r="I277">
            <v>65456349</v>
          </cell>
          <cell r="J277">
            <v>0</v>
          </cell>
        </row>
        <row r="278">
          <cell r="B278">
            <v>521208</v>
          </cell>
          <cell r="C278" t="str">
            <v>BS</v>
          </cell>
          <cell r="D278" t="str">
            <v>Moov Money UBA BANK C COURANT</v>
          </cell>
          <cell r="E278">
            <v>0</v>
          </cell>
          <cell r="F278">
            <v>0</v>
          </cell>
          <cell r="G278">
            <v>14292500</v>
          </cell>
          <cell r="H278">
            <v>0</v>
          </cell>
          <cell r="I278">
            <v>14292500</v>
          </cell>
          <cell r="J278">
            <v>0</v>
          </cell>
        </row>
        <row r="279">
          <cell r="B279">
            <v>524140</v>
          </cell>
          <cell r="C279" t="str">
            <v>BS</v>
          </cell>
          <cell r="D279" t="str">
            <v>NATIONAL BANK OF ABU DHABI EUR</v>
          </cell>
          <cell r="E279">
            <v>346214524</v>
          </cell>
          <cell r="F279">
            <v>0</v>
          </cell>
          <cell r="G279">
            <v>289271134</v>
          </cell>
          <cell r="H279">
            <v>65415371</v>
          </cell>
          <cell r="I279">
            <v>570070287</v>
          </cell>
          <cell r="J279">
            <v>0</v>
          </cell>
        </row>
        <row r="280">
          <cell r="B280">
            <v>524150</v>
          </cell>
          <cell r="C280" t="str">
            <v>BS</v>
          </cell>
          <cell r="D280" t="str">
            <v>NATIONAL BANK OF ABU DHABI DOL</v>
          </cell>
          <cell r="E280">
            <v>6226706</v>
          </cell>
          <cell r="F280">
            <v>0</v>
          </cell>
          <cell r="G280">
            <v>646076098</v>
          </cell>
          <cell r="H280">
            <v>356253723</v>
          </cell>
          <cell r="I280">
            <v>296049081</v>
          </cell>
          <cell r="J280">
            <v>0</v>
          </cell>
        </row>
        <row r="281">
          <cell r="B281">
            <v>525110</v>
          </cell>
          <cell r="C281" t="str">
            <v>BS</v>
          </cell>
          <cell r="D281" t="str">
            <v>Moov Money NSIA BANK DEPOT GAR</v>
          </cell>
          <cell r="E281">
            <v>1015713572</v>
          </cell>
          <cell r="F281">
            <v>0</v>
          </cell>
          <cell r="G281">
            <v>13022345441</v>
          </cell>
          <cell r="H281">
            <v>9482333485</v>
          </cell>
          <cell r="I281">
            <v>4555725528</v>
          </cell>
          <cell r="J281">
            <v>0</v>
          </cell>
        </row>
        <row r="282">
          <cell r="B282">
            <v>525120</v>
          </cell>
          <cell r="C282" t="str">
            <v>BS</v>
          </cell>
          <cell r="D282" t="str">
            <v>Moov Money BGFIBANK DEPOT GARA</v>
          </cell>
          <cell r="E282">
            <v>4225642785</v>
          </cell>
          <cell r="F282">
            <v>0</v>
          </cell>
          <cell r="G282">
            <v>794696011</v>
          </cell>
          <cell r="H282">
            <v>1718599121</v>
          </cell>
          <cell r="I282">
            <v>3301739675</v>
          </cell>
          <cell r="J282">
            <v>0</v>
          </cell>
        </row>
        <row r="283">
          <cell r="B283">
            <v>525130</v>
          </cell>
          <cell r="C283" t="str">
            <v>BS</v>
          </cell>
          <cell r="D283" t="str">
            <v>Moov Money UBA DEPOT GARANT</v>
          </cell>
          <cell r="E283">
            <v>4097160238</v>
          </cell>
          <cell r="F283">
            <v>0</v>
          </cell>
          <cell r="G283">
            <v>9608252250</v>
          </cell>
          <cell r="H283">
            <v>13529785173</v>
          </cell>
          <cell r="I283">
            <v>175627315</v>
          </cell>
          <cell r="J283">
            <v>0</v>
          </cell>
        </row>
        <row r="284">
          <cell r="B284">
            <v>525140</v>
          </cell>
          <cell r="C284" t="str">
            <v>BS</v>
          </cell>
          <cell r="D284" t="str">
            <v>Moov Money ORABANK DEPOT GARAN</v>
          </cell>
          <cell r="E284">
            <v>5052391669</v>
          </cell>
          <cell r="F284">
            <v>0</v>
          </cell>
          <cell r="G284">
            <v>9487414578</v>
          </cell>
          <cell r="H284">
            <v>6447745198</v>
          </cell>
          <cell r="I284">
            <v>8092061049</v>
          </cell>
          <cell r="J284">
            <v>0</v>
          </cell>
        </row>
        <row r="285">
          <cell r="B285">
            <v>525150</v>
          </cell>
          <cell r="C285" t="str">
            <v>BS</v>
          </cell>
          <cell r="D285" t="str">
            <v>Moov Money BABE DEPOT GARANT</v>
          </cell>
          <cell r="E285">
            <v>6066579995</v>
          </cell>
          <cell r="F285">
            <v>0</v>
          </cell>
          <cell r="G285">
            <v>18457624026</v>
          </cell>
          <cell r="H285">
            <v>18210745825</v>
          </cell>
          <cell r="I285">
            <v>6313458196</v>
          </cell>
          <cell r="J285">
            <v>0</v>
          </cell>
        </row>
        <row r="286">
          <cell r="B286">
            <v>525160</v>
          </cell>
          <cell r="C286" t="str">
            <v>BS</v>
          </cell>
          <cell r="D286" t="str">
            <v>Moov Mone CORISBANK DEPOT GARA</v>
          </cell>
          <cell r="E286">
            <v>0</v>
          </cell>
          <cell r="F286">
            <v>0</v>
          </cell>
          <cell r="G286">
            <v>311006790</v>
          </cell>
          <cell r="H286">
            <v>0</v>
          </cell>
          <cell r="I286">
            <v>311006790</v>
          </cell>
          <cell r="J286">
            <v>0</v>
          </cell>
        </row>
        <row r="287">
          <cell r="B287">
            <v>525170</v>
          </cell>
          <cell r="C287" t="str">
            <v>BS</v>
          </cell>
          <cell r="D287" t="str">
            <v>Moov Money CCEI DEPOT GARANT</v>
          </cell>
          <cell r="E287">
            <v>1633025005</v>
          </cell>
          <cell r="F287">
            <v>0</v>
          </cell>
          <cell r="G287">
            <v>17393326</v>
          </cell>
          <cell r="H287">
            <v>7830847</v>
          </cell>
          <cell r="I287">
            <v>1642587484</v>
          </cell>
          <cell r="J287">
            <v>0</v>
          </cell>
        </row>
        <row r="288">
          <cell r="B288">
            <v>525190</v>
          </cell>
          <cell r="C288" t="str">
            <v>BS</v>
          </cell>
          <cell r="D288" t="str">
            <v>Moov Money ECOBANK DEPOT GAR</v>
          </cell>
          <cell r="E288">
            <v>9801346</v>
          </cell>
          <cell r="F288">
            <v>0</v>
          </cell>
          <cell r="G288">
            <v>0</v>
          </cell>
          <cell r="H288">
            <v>2500000</v>
          </cell>
          <cell r="I288">
            <v>7301346</v>
          </cell>
          <cell r="J288">
            <v>0</v>
          </cell>
        </row>
        <row r="289">
          <cell r="B289">
            <v>531100</v>
          </cell>
          <cell r="C289" t="str">
            <v>BS</v>
          </cell>
          <cell r="D289" t="str">
            <v>LA POSTE DU BENIN</v>
          </cell>
          <cell r="E289">
            <v>574707909</v>
          </cell>
          <cell r="F289">
            <v>0</v>
          </cell>
          <cell r="G289">
            <v>36006298550</v>
          </cell>
          <cell r="H289">
            <v>36007463792</v>
          </cell>
          <cell r="I289">
            <v>573542667</v>
          </cell>
          <cell r="J289">
            <v>0</v>
          </cell>
        </row>
        <row r="290">
          <cell r="B290">
            <v>538100</v>
          </cell>
          <cell r="C290" t="str">
            <v>BS</v>
          </cell>
          <cell r="D290" t="str">
            <v>AUTRE ORGANISME FINANCIER CDCB</v>
          </cell>
          <cell r="E290">
            <v>208064625</v>
          </cell>
          <cell r="F290">
            <v>0</v>
          </cell>
          <cell r="G290">
            <v>16006050</v>
          </cell>
          <cell r="H290">
            <v>0</v>
          </cell>
          <cell r="I290">
            <v>224070675</v>
          </cell>
          <cell r="J290">
            <v>0</v>
          </cell>
        </row>
        <row r="291">
          <cell r="B291">
            <v>552000</v>
          </cell>
          <cell r="C291" t="str">
            <v>BS</v>
          </cell>
          <cell r="D291" t="str">
            <v>Caisse Vir Flooz Cpt Principal</v>
          </cell>
          <cell r="E291">
            <v>3136379266</v>
          </cell>
          <cell r="F291">
            <v>0</v>
          </cell>
          <cell r="G291">
            <v>204912151926</v>
          </cell>
          <cell r="H291">
            <v>203822087112</v>
          </cell>
          <cell r="I291">
            <v>4226444080</v>
          </cell>
          <cell r="J291">
            <v>0</v>
          </cell>
        </row>
        <row r="292">
          <cell r="B292">
            <v>552101</v>
          </cell>
          <cell r="C292" t="str">
            <v>BS</v>
          </cell>
          <cell r="D292" t="str">
            <v>Caisse Vir Flooz Cpt Pull</v>
          </cell>
          <cell r="E292">
            <v>0</v>
          </cell>
          <cell r="F292">
            <v>0</v>
          </cell>
          <cell r="G292">
            <v>8778397411</v>
          </cell>
          <cell r="H292">
            <v>8778397411</v>
          </cell>
          <cell r="I292">
            <v>0</v>
          </cell>
          <cell r="J292">
            <v>0</v>
          </cell>
        </row>
        <row r="293">
          <cell r="B293">
            <v>552102</v>
          </cell>
          <cell r="C293" t="str">
            <v>BS</v>
          </cell>
          <cell r="D293" t="str">
            <v>Caisse Vir Flooz Cpt Push</v>
          </cell>
          <cell r="E293">
            <v>0</v>
          </cell>
          <cell r="F293">
            <v>0</v>
          </cell>
          <cell r="G293">
            <v>1037216218</v>
          </cell>
          <cell r="H293">
            <v>1037216218</v>
          </cell>
          <cell r="I293">
            <v>0</v>
          </cell>
          <cell r="J293">
            <v>0</v>
          </cell>
        </row>
        <row r="294">
          <cell r="B294">
            <v>552103</v>
          </cell>
          <cell r="C294" t="str">
            <v>BS</v>
          </cell>
          <cell r="D294" t="str">
            <v>Caisse Vir Flooz Cpt SBEE</v>
          </cell>
          <cell r="E294">
            <v>0</v>
          </cell>
          <cell r="F294">
            <v>0</v>
          </cell>
          <cell r="G294">
            <v>11634408459</v>
          </cell>
          <cell r="H294">
            <v>11634408459</v>
          </cell>
          <cell r="I294">
            <v>0</v>
          </cell>
          <cell r="J294">
            <v>0</v>
          </cell>
        </row>
        <row r="295">
          <cell r="B295">
            <v>552201</v>
          </cell>
          <cell r="C295" t="str">
            <v>BS</v>
          </cell>
          <cell r="D295" t="str">
            <v>Caisse Vir Flooz Agce Siège</v>
          </cell>
          <cell r="E295">
            <v>2990314</v>
          </cell>
          <cell r="F295">
            <v>0</v>
          </cell>
          <cell r="G295">
            <v>1126387539</v>
          </cell>
          <cell r="H295">
            <v>1125553273</v>
          </cell>
          <cell r="I295">
            <v>3824580</v>
          </cell>
          <cell r="J295">
            <v>0</v>
          </cell>
        </row>
        <row r="296">
          <cell r="B296">
            <v>552202</v>
          </cell>
          <cell r="C296" t="str">
            <v>BS</v>
          </cell>
          <cell r="D296" t="str">
            <v>Caisse Vir Flooz Agce Steinmet</v>
          </cell>
          <cell r="E296">
            <v>5577007</v>
          </cell>
          <cell r="F296">
            <v>0</v>
          </cell>
          <cell r="G296">
            <v>5966808973</v>
          </cell>
          <cell r="H296">
            <v>5969110782</v>
          </cell>
          <cell r="I296">
            <v>3275198</v>
          </cell>
          <cell r="J296">
            <v>0</v>
          </cell>
        </row>
        <row r="297">
          <cell r="B297">
            <v>552203</v>
          </cell>
          <cell r="C297" t="str">
            <v>BS</v>
          </cell>
          <cell r="D297" t="str">
            <v>Caisse Vir Flooz Agce Ganhi</v>
          </cell>
          <cell r="E297">
            <v>158985</v>
          </cell>
          <cell r="F297">
            <v>0</v>
          </cell>
          <cell r="G297">
            <v>219553905</v>
          </cell>
          <cell r="H297">
            <v>216651245</v>
          </cell>
          <cell r="I297">
            <v>3061645</v>
          </cell>
          <cell r="J297">
            <v>0</v>
          </cell>
        </row>
        <row r="298">
          <cell r="B298">
            <v>552204</v>
          </cell>
          <cell r="C298" t="str">
            <v>BS</v>
          </cell>
          <cell r="D298" t="str">
            <v>Caisse Vir Flooz Agce Aeroport</v>
          </cell>
          <cell r="E298">
            <v>865916</v>
          </cell>
          <cell r="F298">
            <v>0</v>
          </cell>
          <cell r="G298">
            <v>128135663</v>
          </cell>
          <cell r="H298">
            <v>127081359</v>
          </cell>
          <cell r="I298">
            <v>1920220</v>
          </cell>
          <cell r="J298">
            <v>0</v>
          </cell>
        </row>
        <row r="299">
          <cell r="B299">
            <v>552205</v>
          </cell>
          <cell r="C299" t="str">
            <v>BS</v>
          </cell>
          <cell r="D299" t="str">
            <v>Caisse Vir Flooz Agce Etoile R</v>
          </cell>
          <cell r="E299">
            <v>712309</v>
          </cell>
          <cell r="F299">
            <v>0</v>
          </cell>
          <cell r="G299">
            <v>324921436</v>
          </cell>
          <cell r="H299">
            <v>322997196</v>
          </cell>
          <cell r="I299">
            <v>2636549</v>
          </cell>
          <cell r="J299">
            <v>0</v>
          </cell>
        </row>
        <row r="300">
          <cell r="B300">
            <v>552206</v>
          </cell>
          <cell r="C300" t="str">
            <v>BS</v>
          </cell>
          <cell r="D300" t="str">
            <v>Caisse Vir Flooz Agce Menontin</v>
          </cell>
          <cell r="E300">
            <v>6057303</v>
          </cell>
          <cell r="F300">
            <v>0</v>
          </cell>
          <cell r="G300">
            <v>268588089</v>
          </cell>
          <cell r="H300">
            <v>273437840</v>
          </cell>
          <cell r="I300">
            <v>1207552</v>
          </cell>
          <cell r="J300">
            <v>0</v>
          </cell>
        </row>
        <row r="301">
          <cell r="B301">
            <v>552207</v>
          </cell>
          <cell r="C301" t="str">
            <v>BS</v>
          </cell>
          <cell r="D301" t="str">
            <v>Caisse Vir Flooz Agce Calavi</v>
          </cell>
          <cell r="E301">
            <v>2884556</v>
          </cell>
          <cell r="F301">
            <v>0</v>
          </cell>
          <cell r="G301">
            <v>408593208</v>
          </cell>
          <cell r="H301">
            <v>408345224</v>
          </cell>
          <cell r="I301">
            <v>3132540</v>
          </cell>
          <cell r="J301">
            <v>0</v>
          </cell>
        </row>
        <row r="302">
          <cell r="B302">
            <v>552208</v>
          </cell>
          <cell r="C302" t="str">
            <v>BS</v>
          </cell>
          <cell r="D302" t="str">
            <v>Caisse Vir Flooz Agce Parakou</v>
          </cell>
          <cell r="E302">
            <v>7147323</v>
          </cell>
          <cell r="F302">
            <v>0</v>
          </cell>
          <cell r="G302">
            <v>300385241</v>
          </cell>
          <cell r="H302">
            <v>301512747</v>
          </cell>
          <cell r="I302">
            <v>6019817</v>
          </cell>
          <cell r="J302">
            <v>0</v>
          </cell>
        </row>
        <row r="303">
          <cell r="B303">
            <v>552209</v>
          </cell>
          <cell r="C303" t="str">
            <v>BS</v>
          </cell>
          <cell r="D303" t="str">
            <v>Caisse Vir Flooz Agce Bohicon</v>
          </cell>
          <cell r="E303">
            <v>8016800</v>
          </cell>
          <cell r="F303">
            <v>0</v>
          </cell>
          <cell r="G303">
            <v>333488130</v>
          </cell>
          <cell r="H303">
            <v>334924030</v>
          </cell>
          <cell r="I303">
            <v>6580900</v>
          </cell>
          <cell r="J303">
            <v>0</v>
          </cell>
        </row>
        <row r="304">
          <cell r="B304">
            <v>552210</v>
          </cell>
          <cell r="C304" t="str">
            <v>BS</v>
          </cell>
          <cell r="D304" t="str">
            <v>Caisse Vir Flooz Agce AGLA</v>
          </cell>
          <cell r="E304">
            <v>2888383</v>
          </cell>
          <cell r="F304">
            <v>0</v>
          </cell>
          <cell r="G304">
            <v>313744852</v>
          </cell>
          <cell r="H304">
            <v>313890588</v>
          </cell>
          <cell r="I304">
            <v>2742647</v>
          </cell>
          <cell r="J304">
            <v>0</v>
          </cell>
        </row>
        <row r="305">
          <cell r="B305">
            <v>552211</v>
          </cell>
          <cell r="C305" t="str">
            <v>BS</v>
          </cell>
          <cell r="D305" t="str">
            <v>Caisse Vir Flooz Agce SEGBEYA</v>
          </cell>
          <cell r="E305">
            <v>2497900</v>
          </cell>
          <cell r="F305">
            <v>0</v>
          </cell>
          <cell r="G305">
            <v>345130549</v>
          </cell>
          <cell r="H305">
            <v>344187499</v>
          </cell>
          <cell r="I305">
            <v>3440950</v>
          </cell>
          <cell r="J305">
            <v>0</v>
          </cell>
        </row>
        <row r="306">
          <cell r="B306">
            <v>552213</v>
          </cell>
          <cell r="C306" t="str">
            <v>BS</v>
          </cell>
          <cell r="D306" t="str">
            <v>Caisse Vir Flooz Agce Natiting</v>
          </cell>
          <cell r="E306">
            <v>3208125</v>
          </cell>
          <cell r="F306">
            <v>0</v>
          </cell>
          <cell r="G306">
            <v>94734528</v>
          </cell>
          <cell r="H306">
            <v>97234619</v>
          </cell>
          <cell r="I306">
            <v>708034</v>
          </cell>
          <cell r="J306">
            <v>0</v>
          </cell>
        </row>
        <row r="307">
          <cell r="B307">
            <v>552214</v>
          </cell>
          <cell r="C307" t="str">
            <v>BS</v>
          </cell>
          <cell r="D307" t="str">
            <v>Caisse Vir Flooz Agce Porto No</v>
          </cell>
          <cell r="E307">
            <v>8003172</v>
          </cell>
          <cell r="F307">
            <v>0</v>
          </cell>
          <cell r="G307">
            <v>950296156</v>
          </cell>
          <cell r="H307">
            <v>955723428</v>
          </cell>
          <cell r="I307">
            <v>2575900</v>
          </cell>
          <cell r="J307">
            <v>0</v>
          </cell>
        </row>
        <row r="308">
          <cell r="B308">
            <v>552215</v>
          </cell>
          <cell r="C308" t="str">
            <v>BS</v>
          </cell>
          <cell r="D308" t="str">
            <v>Caisse Vir Flooz Agce Kandi</v>
          </cell>
          <cell r="E308">
            <v>1627565</v>
          </cell>
          <cell r="F308">
            <v>0</v>
          </cell>
          <cell r="G308">
            <v>75523190</v>
          </cell>
          <cell r="H308">
            <v>75929377</v>
          </cell>
          <cell r="I308">
            <v>1221378</v>
          </cell>
          <cell r="J308">
            <v>0</v>
          </cell>
        </row>
        <row r="309">
          <cell r="B309">
            <v>552216</v>
          </cell>
          <cell r="C309" t="str">
            <v>BS</v>
          </cell>
          <cell r="D309" t="str">
            <v>Caisse Vir Flooz Agce Azove</v>
          </cell>
          <cell r="E309">
            <v>5613700</v>
          </cell>
          <cell r="F309">
            <v>0</v>
          </cell>
          <cell r="G309">
            <v>63454050</v>
          </cell>
          <cell r="H309">
            <v>68426700</v>
          </cell>
          <cell r="I309">
            <v>641050</v>
          </cell>
          <cell r="J309">
            <v>0</v>
          </cell>
        </row>
        <row r="310">
          <cell r="B310">
            <v>552217</v>
          </cell>
          <cell r="C310" t="str">
            <v>BS</v>
          </cell>
          <cell r="D310" t="str">
            <v>Caisse Vir Flooz Agce Come</v>
          </cell>
          <cell r="E310">
            <v>1436303</v>
          </cell>
          <cell r="F310">
            <v>0</v>
          </cell>
          <cell r="G310">
            <v>70901561</v>
          </cell>
          <cell r="H310">
            <v>71278794</v>
          </cell>
          <cell r="I310">
            <v>1059070</v>
          </cell>
          <cell r="J310">
            <v>0</v>
          </cell>
        </row>
        <row r="311">
          <cell r="B311">
            <v>552218</v>
          </cell>
          <cell r="C311" t="str">
            <v>BS</v>
          </cell>
          <cell r="D311" t="str">
            <v>Caisse Vir Flooz Agce Lokossa</v>
          </cell>
          <cell r="E311">
            <v>1398085</v>
          </cell>
          <cell r="F311">
            <v>0</v>
          </cell>
          <cell r="G311">
            <v>79678020</v>
          </cell>
          <cell r="H311">
            <v>79802408</v>
          </cell>
          <cell r="I311">
            <v>1273697</v>
          </cell>
          <cell r="J311">
            <v>0</v>
          </cell>
        </row>
        <row r="312">
          <cell r="B312">
            <v>552220</v>
          </cell>
          <cell r="C312" t="str">
            <v>BS</v>
          </cell>
          <cell r="D312" t="str">
            <v>Caisse Vir Flooz Agce Cocotome</v>
          </cell>
          <cell r="E312">
            <v>1184676</v>
          </cell>
          <cell r="F312">
            <v>0</v>
          </cell>
          <cell r="G312">
            <v>248810228</v>
          </cell>
          <cell r="H312">
            <v>245378888</v>
          </cell>
          <cell r="I312">
            <v>4616016</v>
          </cell>
          <cell r="J312">
            <v>0</v>
          </cell>
        </row>
        <row r="313">
          <cell r="B313">
            <v>552224</v>
          </cell>
          <cell r="C313" t="str">
            <v>BS</v>
          </cell>
          <cell r="D313" t="str">
            <v>CAISSE FLOOZ AGCE TANTO</v>
          </cell>
          <cell r="E313">
            <v>1460818</v>
          </cell>
          <cell r="F313">
            <v>0</v>
          </cell>
          <cell r="G313">
            <v>316186763</v>
          </cell>
          <cell r="H313">
            <v>314564809</v>
          </cell>
          <cell r="I313">
            <v>3082772</v>
          </cell>
          <cell r="J313">
            <v>0</v>
          </cell>
        </row>
        <row r="314">
          <cell r="B314">
            <v>552226</v>
          </cell>
          <cell r="C314" t="str">
            <v>BS</v>
          </cell>
          <cell r="D314" t="str">
            <v>CAISSE FLOOZ PMT POSTPAID</v>
          </cell>
          <cell r="E314">
            <v>0</v>
          </cell>
          <cell r="F314">
            <v>0</v>
          </cell>
          <cell r="G314">
            <v>504930452</v>
          </cell>
          <cell r="H314">
            <v>504930452</v>
          </cell>
          <cell r="I314">
            <v>0</v>
          </cell>
          <cell r="J314">
            <v>0</v>
          </cell>
        </row>
        <row r="315">
          <cell r="B315">
            <v>552227</v>
          </cell>
          <cell r="C315" t="str">
            <v>BS</v>
          </cell>
          <cell r="D315" t="str">
            <v>Caisse Virt Flooz Dép DG</v>
          </cell>
          <cell r="E315">
            <v>30780</v>
          </cell>
          <cell r="F315">
            <v>0</v>
          </cell>
          <cell r="G315">
            <v>394312753</v>
          </cell>
          <cell r="H315">
            <v>386104229</v>
          </cell>
          <cell r="I315">
            <v>8239304</v>
          </cell>
          <cell r="J315">
            <v>0</v>
          </cell>
        </row>
        <row r="316">
          <cell r="B316">
            <v>552228</v>
          </cell>
          <cell r="C316" t="str">
            <v>BS</v>
          </cell>
          <cell r="D316" t="str">
            <v>CAISSE VIRT FLOOZ AGENCE POBE</v>
          </cell>
          <cell r="E316">
            <v>4093311</v>
          </cell>
          <cell r="F316">
            <v>0</v>
          </cell>
          <cell r="G316">
            <v>186790519</v>
          </cell>
          <cell r="H316">
            <v>189709480</v>
          </cell>
          <cell r="I316">
            <v>1174350</v>
          </cell>
          <cell r="J316">
            <v>0</v>
          </cell>
        </row>
        <row r="317">
          <cell r="B317">
            <v>552229</v>
          </cell>
          <cell r="C317" t="str">
            <v>BS</v>
          </cell>
          <cell r="D317" t="str">
            <v>CAISSE VIRT FLOOZ AGEN DJOUGOU</v>
          </cell>
          <cell r="E317">
            <v>5368893</v>
          </cell>
          <cell r="F317">
            <v>0</v>
          </cell>
          <cell r="G317">
            <v>118663806</v>
          </cell>
          <cell r="H317">
            <v>121055585</v>
          </cell>
          <cell r="I317">
            <v>2977114</v>
          </cell>
          <cell r="J317">
            <v>0</v>
          </cell>
        </row>
        <row r="318">
          <cell r="B318">
            <v>552230</v>
          </cell>
          <cell r="C318" t="str">
            <v>BS</v>
          </cell>
          <cell r="D318" t="str">
            <v>CAISSE VIRT FLOOZ AGEN GLODJIG</v>
          </cell>
          <cell r="E318">
            <v>1024950</v>
          </cell>
          <cell r="F318">
            <v>0</v>
          </cell>
          <cell r="G318">
            <v>93150990</v>
          </cell>
          <cell r="H318">
            <v>92468790</v>
          </cell>
          <cell r="I318">
            <v>1707150</v>
          </cell>
          <cell r="J318">
            <v>0</v>
          </cell>
        </row>
        <row r="319">
          <cell r="B319">
            <v>566000</v>
          </cell>
          <cell r="C319" t="str">
            <v>DQ</v>
          </cell>
          <cell r="D319" t="str">
            <v>BANQUES CREDITS DE TRESORERIE,</v>
          </cell>
          <cell r="E319">
            <v>0</v>
          </cell>
          <cell r="F319">
            <v>29928110</v>
          </cell>
          <cell r="G319">
            <v>0</v>
          </cell>
          <cell r="H319">
            <v>22348986</v>
          </cell>
          <cell r="I319">
            <v>0</v>
          </cell>
          <cell r="J319">
            <v>52277096</v>
          </cell>
        </row>
        <row r="320">
          <cell r="B320">
            <v>571080</v>
          </cell>
          <cell r="C320" t="str">
            <v>BS</v>
          </cell>
          <cell r="D320" t="str">
            <v>CAISSE MOUVEMENT ETISALAT</v>
          </cell>
          <cell r="E320">
            <v>1819792</v>
          </cell>
          <cell r="F320">
            <v>0</v>
          </cell>
          <cell r="G320">
            <v>33811467</v>
          </cell>
          <cell r="H320">
            <v>35312710</v>
          </cell>
          <cell r="I320">
            <v>318549</v>
          </cell>
          <cell r="J320">
            <v>0</v>
          </cell>
        </row>
        <row r="321">
          <cell r="B321">
            <v>572010</v>
          </cell>
          <cell r="C321" t="str">
            <v>BS</v>
          </cell>
          <cell r="D321" t="str">
            <v>CAISSE RECETTES AGENCE STEINME</v>
          </cell>
          <cell r="E321">
            <v>1636055</v>
          </cell>
          <cell r="F321">
            <v>0</v>
          </cell>
          <cell r="G321">
            <v>8981656258</v>
          </cell>
          <cell r="H321">
            <v>8979827238</v>
          </cell>
          <cell r="I321">
            <v>3465075</v>
          </cell>
          <cell r="J321">
            <v>0</v>
          </cell>
        </row>
        <row r="322">
          <cell r="B322">
            <v>572015</v>
          </cell>
          <cell r="C322" t="str">
            <v>BS</v>
          </cell>
          <cell r="D322" t="str">
            <v>CAISSE RECETTE AGENCE SIEGE ET</v>
          </cell>
          <cell r="E322">
            <v>1427334</v>
          </cell>
          <cell r="F322">
            <v>0</v>
          </cell>
          <cell r="G322">
            <v>291929009</v>
          </cell>
          <cell r="H322">
            <v>292284543</v>
          </cell>
          <cell r="I322">
            <v>1071800</v>
          </cell>
          <cell r="J322">
            <v>0</v>
          </cell>
        </row>
        <row r="323">
          <cell r="B323">
            <v>572020</v>
          </cell>
          <cell r="C323" t="str">
            <v>BS</v>
          </cell>
          <cell r="D323" t="str">
            <v>CAISSE RECETTE AGENCE ETOILE R</v>
          </cell>
          <cell r="E323">
            <v>751000</v>
          </cell>
          <cell r="F323">
            <v>0</v>
          </cell>
          <cell r="G323">
            <v>228316141</v>
          </cell>
          <cell r="H323">
            <v>229016141</v>
          </cell>
          <cell r="I323">
            <v>51000</v>
          </cell>
          <cell r="J323">
            <v>0</v>
          </cell>
        </row>
        <row r="324">
          <cell r="B324">
            <v>572030</v>
          </cell>
          <cell r="C324" t="str">
            <v>BS</v>
          </cell>
          <cell r="D324" t="str">
            <v>CAISSE RECETTE AGENCE MENONTIN</v>
          </cell>
          <cell r="E324">
            <v>615575</v>
          </cell>
          <cell r="F324">
            <v>0</v>
          </cell>
          <cell r="G324">
            <v>150773024</v>
          </cell>
          <cell r="H324">
            <v>151340143</v>
          </cell>
          <cell r="I324">
            <v>48456</v>
          </cell>
          <cell r="J324">
            <v>0</v>
          </cell>
        </row>
        <row r="325">
          <cell r="B325">
            <v>572040</v>
          </cell>
          <cell r="C325" t="str">
            <v>BS</v>
          </cell>
          <cell r="D325" t="str">
            <v>CAISSE  RECETTE AGENCE AEROPOR</v>
          </cell>
          <cell r="E325">
            <v>392300</v>
          </cell>
          <cell r="F325">
            <v>0</v>
          </cell>
          <cell r="G325">
            <v>142057622</v>
          </cell>
          <cell r="H325">
            <v>141805272</v>
          </cell>
          <cell r="I325">
            <v>644650</v>
          </cell>
          <cell r="J325">
            <v>0</v>
          </cell>
        </row>
        <row r="326">
          <cell r="B326">
            <v>572050</v>
          </cell>
          <cell r="C326" t="str">
            <v>BS</v>
          </cell>
          <cell r="D326" t="str">
            <v>CAISSE RECETTE AGENCE PORTO NO</v>
          </cell>
          <cell r="E326">
            <v>2500150</v>
          </cell>
          <cell r="F326">
            <v>0</v>
          </cell>
          <cell r="G326">
            <v>298850130</v>
          </cell>
          <cell r="H326">
            <v>299996280</v>
          </cell>
          <cell r="I326">
            <v>1354000</v>
          </cell>
          <cell r="J326">
            <v>0</v>
          </cell>
        </row>
        <row r="327">
          <cell r="B327">
            <v>572060</v>
          </cell>
          <cell r="C327" t="str">
            <v>BS</v>
          </cell>
          <cell r="D327" t="str">
            <v>CAISSE RECETTE AGENCE BOHICON</v>
          </cell>
          <cell r="E327">
            <v>273700</v>
          </cell>
          <cell r="F327">
            <v>0</v>
          </cell>
          <cell r="G327">
            <v>214975431</v>
          </cell>
          <cell r="H327">
            <v>215249131</v>
          </cell>
          <cell r="I327">
            <v>0</v>
          </cell>
          <cell r="J327">
            <v>0</v>
          </cell>
        </row>
        <row r="328">
          <cell r="B328">
            <v>572070</v>
          </cell>
          <cell r="C328" t="str">
            <v>BS</v>
          </cell>
          <cell r="D328" t="str">
            <v>CAISSE RECETTE AGENCE PARAKOU</v>
          </cell>
          <cell r="E328">
            <v>1041550</v>
          </cell>
          <cell r="F328">
            <v>0</v>
          </cell>
          <cell r="G328">
            <v>235231123</v>
          </cell>
          <cell r="H328">
            <v>236172673</v>
          </cell>
          <cell r="I328">
            <v>100000</v>
          </cell>
          <cell r="J328">
            <v>0</v>
          </cell>
        </row>
        <row r="329">
          <cell r="B329">
            <v>572090</v>
          </cell>
          <cell r="C329" t="str">
            <v>BS</v>
          </cell>
          <cell r="D329" t="str">
            <v>CAISSE  RECETTE AGENCE KANDI</v>
          </cell>
          <cell r="E329">
            <v>576350</v>
          </cell>
          <cell r="F329">
            <v>0</v>
          </cell>
          <cell r="G329">
            <v>89636389</v>
          </cell>
          <cell r="H329">
            <v>90055739</v>
          </cell>
          <cell r="I329">
            <v>157000</v>
          </cell>
          <cell r="J329">
            <v>0</v>
          </cell>
        </row>
        <row r="330">
          <cell r="B330">
            <v>572100</v>
          </cell>
          <cell r="C330" t="str">
            <v>BS</v>
          </cell>
          <cell r="D330" t="str">
            <v>CAISSE RECETTE AGENCE AZOVE</v>
          </cell>
          <cell r="E330">
            <v>226500</v>
          </cell>
          <cell r="F330">
            <v>0</v>
          </cell>
          <cell r="G330">
            <v>63349404</v>
          </cell>
          <cell r="H330">
            <v>63554904</v>
          </cell>
          <cell r="I330">
            <v>21000</v>
          </cell>
          <cell r="J330">
            <v>0</v>
          </cell>
        </row>
        <row r="331">
          <cell r="B331">
            <v>572110</v>
          </cell>
          <cell r="C331" t="str">
            <v>BS</v>
          </cell>
          <cell r="D331" t="str">
            <v>CAISSE RECETTE AGENCE NATITING</v>
          </cell>
          <cell r="E331">
            <v>913465</v>
          </cell>
          <cell r="F331">
            <v>0</v>
          </cell>
          <cell r="G331">
            <v>111121414</v>
          </cell>
          <cell r="H331">
            <v>112034879</v>
          </cell>
          <cell r="I331">
            <v>0</v>
          </cell>
          <cell r="J331">
            <v>0</v>
          </cell>
        </row>
        <row r="332">
          <cell r="B332">
            <v>572120</v>
          </cell>
          <cell r="C332" t="str">
            <v>BS</v>
          </cell>
          <cell r="D332" t="str">
            <v>CAISSE RECETTES AGENCE AGLA</v>
          </cell>
          <cell r="E332">
            <v>526000</v>
          </cell>
          <cell r="F332">
            <v>0</v>
          </cell>
          <cell r="G332">
            <v>103369349</v>
          </cell>
          <cell r="H332">
            <v>103814549</v>
          </cell>
          <cell r="I332">
            <v>80800</v>
          </cell>
          <cell r="J332">
            <v>0</v>
          </cell>
        </row>
        <row r="333">
          <cell r="B333">
            <v>572130</v>
          </cell>
          <cell r="C333" t="str">
            <v>BS</v>
          </cell>
          <cell r="D333" t="str">
            <v>CAISSE RECETTES AGENCE GANHI</v>
          </cell>
          <cell r="E333">
            <v>603300</v>
          </cell>
          <cell r="F333">
            <v>0</v>
          </cell>
          <cell r="G333">
            <v>80088995</v>
          </cell>
          <cell r="H333">
            <v>80579990</v>
          </cell>
          <cell r="I333">
            <v>112305</v>
          </cell>
          <cell r="J333">
            <v>0</v>
          </cell>
        </row>
        <row r="334">
          <cell r="B334">
            <v>572140</v>
          </cell>
          <cell r="C334" t="str">
            <v>BS</v>
          </cell>
          <cell r="D334" t="str">
            <v>CAISSE RECETTES AGENCE COME</v>
          </cell>
          <cell r="E334">
            <v>2701</v>
          </cell>
          <cell r="F334">
            <v>0</v>
          </cell>
          <cell r="G334">
            <v>48176919</v>
          </cell>
          <cell r="H334">
            <v>48072920</v>
          </cell>
          <cell r="I334">
            <v>106700</v>
          </cell>
          <cell r="J334">
            <v>0</v>
          </cell>
        </row>
        <row r="335">
          <cell r="B335">
            <v>572150</v>
          </cell>
          <cell r="C335" t="str">
            <v>BS</v>
          </cell>
          <cell r="D335" t="str">
            <v>CAISSE RECETTES AGENCE CALAVI</v>
          </cell>
          <cell r="E335">
            <v>906850</v>
          </cell>
          <cell r="F335">
            <v>0</v>
          </cell>
          <cell r="G335">
            <v>244062722</v>
          </cell>
          <cell r="H335">
            <v>244969572</v>
          </cell>
          <cell r="I335">
            <v>0</v>
          </cell>
          <cell r="J335">
            <v>0</v>
          </cell>
        </row>
        <row r="336">
          <cell r="B336">
            <v>572153</v>
          </cell>
          <cell r="C336" t="str">
            <v>BS</v>
          </cell>
          <cell r="D336" t="str">
            <v>CAISSE RECETTES AGENCE COCOTOM</v>
          </cell>
          <cell r="E336">
            <v>731750</v>
          </cell>
          <cell r="F336">
            <v>0</v>
          </cell>
          <cell r="G336">
            <v>127828990</v>
          </cell>
          <cell r="H336">
            <v>128536740</v>
          </cell>
          <cell r="I336">
            <v>24000</v>
          </cell>
          <cell r="J336">
            <v>0</v>
          </cell>
        </row>
        <row r="337">
          <cell r="B337">
            <v>572154</v>
          </cell>
          <cell r="C337" t="str">
            <v>BS</v>
          </cell>
          <cell r="D337" t="str">
            <v>CAISSE RECETTES AGENCE SEGBEYA</v>
          </cell>
          <cell r="E337">
            <v>1186460</v>
          </cell>
          <cell r="F337">
            <v>0</v>
          </cell>
          <cell r="G337">
            <v>136709751</v>
          </cell>
          <cell r="H337">
            <v>137818811</v>
          </cell>
          <cell r="I337">
            <v>77400</v>
          </cell>
          <cell r="J337">
            <v>0</v>
          </cell>
        </row>
        <row r="338">
          <cell r="B338">
            <v>572155</v>
          </cell>
          <cell r="C338" t="str">
            <v>BS</v>
          </cell>
          <cell r="D338" t="str">
            <v>CAISSE RECETTES AGENCE LOKOSSA</v>
          </cell>
          <cell r="E338">
            <v>352875</v>
          </cell>
          <cell r="F338">
            <v>0</v>
          </cell>
          <cell r="G338">
            <v>59398225</v>
          </cell>
          <cell r="H338">
            <v>59424900</v>
          </cell>
          <cell r="I338">
            <v>326200</v>
          </cell>
          <cell r="J338">
            <v>0</v>
          </cell>
        </row>
        <row r="339">
          <cell r="B339">
            <v>572159</v>
          </cell>
          <cell r="C339" t="str">
            <v>BS</v>
          </cell>
          <cell r="D339" t="str">
            <v>CAISSE RECETTE AGENCE   UNIPAR</v>
          </cell>
          <cell r="E339">
            <v>605700</v>
          </cell>
          <cell r="F339">
            <v>0</v>
          </cell>
          <cell r="G339">
            <v>54872409</v>
          </cell>
          <cell r="H339">
            <v>55478109</v>
          </cell>
          <cell r="I339">
            <v>0</v>
          </cell>
          <cell r="J339">
            <v>0</v>
          </cell>
        </row>
        <row r="340">
          <cell r="B340">
            <v>572160</v>
          </cell>
          <cell r="C340" t="str">
            <v>BS</v>
          </cell>
          <cell r="D340" t="str">
            <v>CAISSE RECETTE AGENCE TANTO</v>
          </cell>
          <cell r="E340">
            <v>839900</v>
          </cell>
          <cell r="F340">
            <v>0</v>
          </cell>
          <cell r="G340">
            <v>93691864</v>
          </cell>
          <cell r="H340">
            <v>94296564</v>
          </cell>
          <cell r="I340">
            <v>235200</v>
          </cell>
          <cell r="J340">
            <v>0</v>
          </cell>
        </row>
        <row r="341">
          <cell r="B341">
            <v>572162</v>
          </cell>
          <cell r="C341" t="str">
            <v>BS</v>
          </cell>
          <cell r="D341" t="str">
            <v>CAISSE RECETTE AGENCE POBE</v>
          </cell>
          <cell r="E341">
            <v>515500</v>
          </cell>
          <cell r="F341">
            <v>0</v>
          </cell>
          <cell r="G341">
            <v>73242622</v>
          </cell>
          <cell r="H341">
            <v>73758122</v>
          </cell>
          <cell r="I341">
            <v>0</v>
          </cell>
          <cell r="J341">
            <v>0</v>
          </cell>
        </row>
        <row r="342">
          <cell r="B342">
            <v>572163</v>
          </cell>
          <cell r="C342" t="str">
            <v>BS</v>
          </cell>
          <cell r="D342" t="str">
            <v>CAISSE RECETTE AGENC DJOUGOU</v>
          </cell>
          <cell r="E342">
            <v>443900</v>
          </cell>
          <cell r="F342">
            <v>0</v>
          </cell>
          <cell r="G342">
            <v>81536415</v>
          </cell>
          <cell r="H342">
            <v>81962315</v>
          </cell>
          <cell r="I342">
            <v>18000</v>
          </cell>
          <cell r="J342">
            <v>0</v>
          </cell>
        </row>
        <row r="343">
          <cell r="B343">
            <v>572164</v>
          </cell>
          <cell r="C343" t="str">
            <v>BS</v>
          </cell>
          <cell r="D343" t="str">
            <v>CAISSE RECETTE AGENC GLO-DJIGB</v>
          </cell>
          <cell r="E343">
            <v>348900</v>
          </cell>
          <cell r="F343">
            <v>0</v>
          </cell>
          <cell r="G343">
            <v>39575705</v>
          </cell>
          <cell r="H343">
            <v>39805105</v>
          </cell>
          <cell r="I343">
            <v>119500</v>
          </cell>
          <cell r="J343">
            <v>0</v>
          </cell>
        </row>
        <row r="344">
          <cell r="B344">
            <v>573110</v>
          </cell>
          <cell r="C344" t="str">
            <v>BS</v>
          </cell>
          <cell r="D344" t="str">
            <v>CAISSE FLOOZ AGENCE SIEGE</v>
          </cell>
          <cell r="E344">
            <v>8005430</v>
          </cell>
          <cell r="F344">
            <v>0</v>
          </cell>
          <cell r="G344">
            <v>1132268044</v>
          </cell>
          <cell r="H344">
            <v>1126850989</v>
          </cell>
          <cell r="I344">
            <v>13422485</v>
          </cell>
          <cell r="J344">
            <v>0</v>
          </cell>
        </row>
        <row r="345">
          <cell r="B345">
            <v>573120</v>
          </cell>
          <cell r="C345" t="str">
            <v>BS</v>
          </cell>
          <cell r="D345" t="str">
            <v>CAISSE FLOOZ AGENCE STEINMETZ</v>
          </cell>
          <cell r="E345">
            <v>4923520</v>
          </cell>
          <cell r="F345">
            <v>0</v>
          </cell>
          <cell r="G345">
            <v>892400140</v>
          </cell>
          <cell r="H345">
            <v>892598200</v>
          </cell>
          <cell r="I345">
            <v>4725460</v>
          </cell>
          <cell r="J345">
            <v>0</v>
          </cell>
        </row>
        <row r="346">
          <cell r="B346">
            <v>573130</v>
          </cell>
          <cell r="C346" t="str">
            <v>BS</v>
          </cell>
          <cell r="D346" t="str">
            <v>CAISSE FLOOZ AGENCE GANHI</v>
          </cell>
          <cell r="E346">
            <v>4841105</v>
          </cell>
          <cell r="F346">
            <v>0</v>
          </cell>
          <cell r="G346">
            <v>248161859</v>
          </cell>
          <cell r="H346">
            <v>250064609</v>
          </cell>
          <cell r="I346">
            <v>2938355</v>
          </cell>
          <cell r="J346">
            <v>0</v>
          </cell>
        </row>
        <row r="347">
          <cell r="B347">
            <v>573140</v>
          </cell>
          <cell r="C347" t="str">
            <v>BS</v>
          </cell>
          <cell r="D347" t="str">
            <v>CAISSE FLOOZ AGENCE AEROPORT</v>
          </cell>
          <cell r="E347">
            <v>734084</v>
          </cell>
          <cell r="F347">
            <v>0</v>
          </cell>
          <cell r="G347">
            <v>108900703</v>
          </cell>
          <cell r="H347">
            <v>108555006</v>
          </cell>
          <cell r="I347">
            <v>1079781</v>
          </cell>
          <cell r="J347">
            <v>0</v>
          </cell>
        </row>
        <row r="348">
          <cell r="B348">
            <v>573150</v>
          </cell>
          <cell r="C348" t="str">
            <v>BS</v>
          </cell>
          <cell r="D348" t="str">
            <v>CAISSE FLOOZ AGENCE ETOILE ROU</v>
          </cell>
          <cell r="E348">
            <v>4287383</v>
          </cell>
          <cell r="F348">
            <v>0</v>
          </cell>
          <cell r="G348">
            <v>262708224</v>
          </cell>
          <cell r="H348">
            <v>263632156</v>
          </cell>
          <cell r="I348">
            <v>3363451</v>
          </cell>
          <cell r="J348">
            <v>0</v>
          </cell>
        </row>
        <row r="349">
          <cell r="B349">
            <v>573160</v>
          </cell>
          <cell r="C349" t="str">
            <v>BS</v>
          </cell>
          <cell r="D349" t="str">
            <v>CAISSE FLOOZ AGENCE MENONTIN</v>
          </cell>
          <cell r="E349">
            <v>2442697</v>
          </cell>
          <cell r="F349">
            <v>0</v>
          </cell>
          <cell r="G349">
            <v>241383081</v>
          </cell>
          <cell r="H349">
            <v>239033293</v>
          </cell>
          <cell r="I349">
            <v>4792485</v>
          </cell>
          <cell r="J349">
            <v>0</v>
          </cell>
        </row>
        <row r="350">
          <cell r="B350">
            <v>573170</v>
          </cell>
          <cell r="C350" t="str">
            <v>BS</v>
          </cell>
          <cell r="D350" t="str">
            <v>CAISSE FLOOZ AGENCE CALAVI</v>
          </cell>
          <cell r="E350">
            <v>27115470</v>
          </cell>
          <cell r="F350">
            <v>0</v>
          </cell>
          <cell r="G350">
            <v>313499608</v>
          </cell>
          <cell r="H350">
            <v>337747618</v>
          </cell>
          <cell r="I350">
            <v>2867460</v>
          </cell>
          <cell r="J350">
            <v>0</v>
          </cell>
        </row>
        <row r="351">
          <cell r="B351">
            <v>573180</v>
          </cell>
          <cell r="C351" t="str">
            <v>BS</v>
          </cell>
          <cell r="D351" t="str">
            <v>CAISSE FLOOZ AGENCE PARAKOU</v>
          </cell>
          <cell r="E351">
            <v>7653350</v>
          </cell>
          <cell r="F351">
            <v>0</v>
          </cell>
          <cell r="G351">
            <v>189310017</v>
          </cell>
          <cell r="H351">
            <v>193483139</v>
          </cell>
          <cell r="I351">
            <v>3480228</v>
          </cell>
          <cell r="J351">
            <v>0</v>
          </cell>
        </row>
        <row r="352">
          <cell r="B352">
            <v>573190</v>
          </cell>
          <cell r="C352" t="str">
            <v>BS</v>
          </cell>
          <cell r="D352" t="str">
            <v>CAISSE FLOOZ AGENCE BOHICON</v>
          </cell>
          <cell r="E352">
            <v>1983200</v>
          </cell>
          <cell r="F352">
            <v>0</v>
          </cell>
          <cell r="G352">
            <v>250814597</v>
          </cell>
          <cell r="H352">
            <v>249378697</v>
          </cell>
          <cell r="I352">
            <v>3419100</v>
          </cell>
          <cell r="J352">
            <v>0</v>
          </cell>
        </row>
        <row r="353">
          <cell r="B353">
            <v>573200</v>
          </cell>
          <cell r="C353" t="str">
            <v>BS</v>
          </cell>
          <cell r="D353" t="str">
            <v>CAISSE FLOOZ AGENCE AGLA</v>
          </cell>
          <cell r="E353">
            <v>6958896</v>
          </cell>
          <cell r="F353">
            <v>0</v>
          </cell>
          <cell r="G353">
            <v>360489783</v>
          </cell>
          <cell r="H353">
            <v>363190894</v>
          </cell>
          <cell r="I353">
            <v>4257785</v>
          </cell>
          <cell r="J353">
            <v>0</v>
          </cell>
        </row>
        <row r="354">
          <cell r="B354">
            <v>573210</v>
          </cell>
          <cell r="C354" t="str">
            <v>BS</v>
          </cell>
          <cell r="D354" t="str">
            <v>CAISSE FLOOZ  AGENCE SEGBEYA</v>
          </cell>
          <cell r="E354">
            <v>13502100</v>
          </cell>
          <cell r="F354">
            <v>0</v>
          </cell>
          <cell r="G354">
            <v>325426024</v>
          </cell>
          <cell r="H354">
            <v>337369074</v>
          </cell>
          <cell r="I354">
            <v>1559050</v>
          </cell>
          <cell r="J354">
            <v>0</v>
          </cell>
        </row>
        <row r="355">
          <cell r="B355">
            <v>573230</v>
          </cell>
          <cell r="C355" t="str">
            <v>BS</v>
          </cell>
          <cell r="D355" t="str">
            <v>CAISSE FLOOZ AGENCE NATITINGOU</v>
          </cell>
          <cell r="E355">
            <v>6291875</v>
          </cell>
          <cell r="F355">
            <v>0</v>
          </cell>
          <cell r="G355">
            <v>48762898</v>
          </cell>
          <cell r="H355">
            <v>52661553</v>
          </cell>
          <cell r="I355">
            <v>2393220</v>
          </cell>
          <cell r="J355">
            <v>0</v>
          </cell>
        </row>
        <row r="356">
          <cell r="B356">
            <v>573240</v>
          </cell>
          <cell r="C356" t="str">
            <v>BS</v>
          </cell>
          <cell r="D356" t="str">
            <v>CAISSE FLOOZ AGENCE PORTO NOVO</v>
          </cell>
          <cell r="E356">
            <v>9005750</v>
          </cell>
          <cell r="F356">
            <v>0</v>
          </cell>
          <cell r="G356">
            <v>861395332</v>
          </cell>
          <cell r="H356">
            <v>865976982</v>
          </cell>
          <cell r="I356">
            <v>4424100</v>
          </cell>
          <cell r="J356">
            <v>0</v>
          </cell>
        </row>
        <row r="357">
          <cell r="B357">
            <v>573250</v>
          </cell>
          <cell r="C357" t="str">
            <v>BS</v>
          </cell>
          <cell r="D357" t="str">
            <v>CAISSE FLOOZ AGENCE KANDI</v>
          </cell>
          <cell r="E357">
            <v>2572435</v>
          </cell>
          <cell r="F357">
            <v>0</v>
          </cell>
          <cell r="G357">
            <v>32574525</v>
          </cell>
          <cell r="H357">
            <v>34368270</v>
          </cell>
          <cell r="I357">
            <v>778690</v>
          </cell>
          <cell r="J357">
            <v>0</v>
          </cell>
        </row>
        <row r="358">
          <cell r="B358">
            <v>573260</v>
          </cell>
          <cell r="C358" t="str">
            <v>BS</v>
          </cell>
          <cell r="D358" t="str">
            <v>CAISSE FLOOZ AGENCE AZOVE</v>
          </cell>
          <cell r="E358">
            <v>4161300</v>
          </cell>
          <cell r="F358">
            <v>0</v>
          </cell>
          <cell r="G358">
            <v>46339900</v>
          </cell>
          <cell r="H358">
            <v>49867250</v>
          </cell>
          <cell r="I358">
            <v>633950</v>
          </cell>
          <cell r="J358">
            <v>0</v>
          </cell>
        </row>
        <row r="359">
          <cell r="B359">
            <v>573270</v>
          </cell>
          <cell r="C359" t="str">
            <v>BS</v>
          </cell>
          <cell r="D359" t="str">
            <v>CAISSE FLOOZ AGENCE COME</v>
          </cell>
          <cell r="E359">
            <v>7218547</v>
          </cell>
          <cell r="F359">
            <v>0</v>
          </cell>
          <cell r="G359">
            <v>54835634</v>
          </cell>
          <cell r="H359">
            <v>61158401</v>
          </cell>
          <cell r="I359">
            <v>895780</v>
          </cell>
          <cell r="J359">
            <v>0</v>
          </cell>
        </row>
        <row r="360">
          <cell r="B360">
            <v>573280</v>
          </cell>
          <cell r="C360" t="str">
            <v>BS</v>
          </cell>
          <cell r="D360" t="str">
            <v>CAISSE FLOOZ AGENCE LOKOSSA</v>
          </cell>
          <cell r="E360">
            <v>4276615</v>
          </cell>
          <cell r="F360">
            <v>0</v>
          </cell>
          <cell r="G360">
            <v>57089074</v>
          </cell>
          <cell r="H360">
            <v>59964654</v>
          </cell>
          <cell r="I360">
            <v>1401035</v>
          </cell>
          <cell r="J360">
            <v>0</v>
          </cell>
        </row>
        <row r="361">
          <cell r="B361">
            <v>573291</v>
          </cell>
          <cell r="C361" t="str">
            <v>BS</v>
          </cell>
          <cell r="D361" t="str">
            <v>CAISSE FLOOZ AGENCE COCOTOMEY</v>
          </cell>
          <cell r="E361">
            <v>2814994</v>
          </cell>
          <cell r="F361">
            <v>0</v>
          </cell>
          <cell r="G361">
            <v>204241298</v>
          </cell>
          <cell r="H361">
            <v>204672293</v>
          </cell>
          <cell r="I361">
            <v>2383999</v>
          </cell>
          <cell r="J361">
            <v>0</v>
          </cell>
        </row>
        <row r="362">
          <cell r="B362">
            <v>573292</v>
          </cell>
          <cell r="C362" t="str">
            <v>BS</v>
          </cell>
          <cell r="D362" t="str">
            <v>CAISSE FLOOZ  GLO-DJIGBE</v>
          </cell>
          <cell r="E362">
            <v>2975050</v>
          </cell>
          <cell r="F362">
            <v>0</v>
          </cell>
          <cell r="G362">
            <v>77474240</v>
          </cell>
          <cell r="H362">
            <v>78156440</v>
          </cell>
          <cell r="I362">
            <v>2292850</v>
          </cell>
          <cell r="J362">
            <v>0</v>
          </cell>
        </row>
        <row r="363">
          <cell r="B363">
            <v>573295</v>
          </cell>
          <cell r="C363" t="str">
            <v>BS</v>
          </cell>
          <cell r="D363" t="str">
            <v>CAISSE FLOOZ AGENCE TANTO</v>
          </cell>
          <cell r="E363">
            <v>8545882</v>
          </cell>
          <cell r="F363">
            <v>0</v>
          </cell>
          <cell r="G363">
            <v>298082321</v>
          </cell>
          <cell r="H363">
            <v>304710975</v>
          </cell>
          <cell r="I363">
            <v>1917228</v>
          </cell>
          <cell r="J363">
            <v>0</v>
          </cell>
        </row>
        <row r="364">
          <cell r="B364">
            <v>573297</v>
          </cell>
          <cell r="C364" t="str">
            <v>BS</v>
          </cell>
          <cell r="D364" t="str">
            <v>CAISSE FLOOZ AGENCE POBE</v>
          </cell>
          <cell r="E364">
            <v>1606689</v>
          </cell>
          <cell r="F364">
            <v>0</v>
          </cell>
          <cell r="G364">
            <v>156311753</v>
          </cell>
          <cell r="H364">
            <v>156392792</v>
          </cell>
          <cell r="I364">
            <v>1525650</v>
          </cell>
          <cell r="J364">
            <v>0</v>
          </cell>
        </row>
        <row r="365">
          <cell r="B365">
            <v>573298</v>
          </cell>
          <cell r="C365" t="str">
            <v>BS</v>
          </cell>
          <cell r="D365" t="str">
            <v>CAISSE FLOOZ AGENCE DJOUGOU</v>
          </cell>
          <cell r="E365">
            <v>632650</v>
          </cell>
          <cell r="F365">
            <v>0</v>
          </cell>
          <cell r="G365">
            <v>74967278</v>
          </cell>
          <cell r="H365">
            <v>72574503</v>
          </cell>
          <cell r="I365">
            <v>3025425</v>
          </cell>
          <cell r="J365">
            <v>0</v>
          </cell>
        </row>
        <row r="366">
          <cell r="B366">
            <v>585000</v>
          </cell>
          <cell r="C366" t="str">
            <v>BS</v>
          </cell>
          <cell r="D366" t="str">
            <v>VIREMENT DE FONDS</v>
          </cell>
          <cell r="E366">
            <v>0</v>
          </cell>
          <cell r="F366">
            <v>0</v>
          </cell>
          <cell r="G366">
            <v>59826185779</v>
          </cell>
          <cell r="H366">
            <v>59826185779</v>
          </cell>
          <cell r="I366">
            <v>0</v>
          </cell>
          <cell r="J366">
            <v>0</v>
          </cell>
        </row>
        <row r="367">
          <cell r="B367">
            <v>599000</v>
          </cell>
          <cell r="C367" t="str">
            <v>DN</v>
          </cell>
          <cell r="D367" t="str">
            <v>RISQUES PROVISIONNES A CARACTE</v>
          </cell>
          <cell r="E367">
            <v>0</v>
          </cell>
          <cell r="F367">
            <v>414825105</v>
          </cell>
          <cell r="G367">
            <v>501032286</v>
          </cell>
          <cell r="H367">
            <v>216298720</v>
          </cell>
          <cell r="I367">
            <v>0</v>
          </cell>
          <cell r="J367">
            <v>130091539</v>
          </cell>
        </row>
        <row r="368">
          <cell r="B368">
            <v>601110</v>
          </cell>
          <cell r="C368" t="str">
            <v>RA</v>
          </cell>
          <cell r="D368" t="str">
            <v>ACHATS UEMOA, TERMINAUX</v>
          </cell>
          <cell r="E368">
            <v>0</v>
          </cell>
          <cell r="F368">
            <v>0</v>
          </cell>
          <cell r="G368">
            <v>18207000</v>
          </cell>
          <cell r="H368">
            <v>34250</v>
          </cell>
          <cell r="I368">
            <v>18172750</v>
          </cell>
          <cell r="J368">
            <v>0</v>
          </cell>
        </row>
        <row r="369">
          <cell r="B369">
            <v>601120</v>
          </cell>
          <cell r="C369" t="str">
            <v>RA</v>
          </cell>
          <cell r="D369" t="str">
            <v>ACHATS UEMOA, ACCESSOIRES</v>
          </cell>
          <cell r="E369">
            <v>0</v>
          </cell>
          <cell r="F369">
            <v>0</v>
          </cell>
          <cell r="G369">
            <v>13888229</v>
          </cell>
          <cell r="H369">
            <v>0</v>
          </cell>
          <cell r="I369">
            <v>13888229</v>
          </cell>
          <cell r="J369">
            <v>0</v>
          </cell>
        </row>
        <row r="370">
          <cell r="B370">
            <v>601210</v>
          </cell>
          <cell r="C370" t="str">
            <v>RA</v>
          </cell>
          <cell r="D370" t="str">
            <v>ACHATS HORS UEMOA, TERMINAUX</v>
          </cell>
          <cell r="E370">
            <v>0</v>
          </cell>
          <cell r="F370">
            <v>0</v>
          </cell>
          <cell r="G370">
            <v>732500653</v>
          </cell>
          <cell r="H370">
            <v>37838199</v>
          </cell>
          <cell r="I370">
            <v>694662454</v>
          </cell>
          <cell r="J370">
            <v>0</v>
          </cell>
        </row>
        <row r="371">
          <cell r="B371">
            <v>601220</v>
          </cell>
          <cell r="C371" t="str">
            <v>RA</v>
          </cell>
          <cell r="D371" t="str">
            <v>ACHATS HORS UEMOA, ACCESSOIRES</v>
          </cell>
          <cell r="E371">
            <v>0</v>
          </cell>
          <cell r="F371">
            <v>0</v>
          </cell>
          <cell r="G371">
            <v>430256198</v>
          </cell>
          <cell r="H371">
            <v>37969419</v>
          </cell>
          <cell r="I371">
            <v>392286779</v>
          </cell>
          <cell r="J371">
            <v>0</v>
          </cell>
        </row>
        <row r="372">
          <cell r="B372">
            <v>601230</v>
          </cell>
          <cell r="C372" t="str">
            <v>RA</v>
          </cell>
          <cell r="D372" t="str">
            <v>ACHATS HORS UEMOA, SIM</v>
          </cell>
          <cell r="E372">
            <v>0</v>
          </cell>
          <cell r="F372">
            <v>0</v>
          </cell>
          <cell r="G372">
            <v>764300430</v>
          </cell>
          <cell r="H372">
            <v>4805848</v>
          </cell>
          <cell r="I372">
            <v>759494582</v>
          </cell>
          <cell r="J372">
            <v>0</v>
          </cell>
        </row>
        <row r="373">
          <cell r="B373">
            <v>601240</v>
          </cell>
          <cell r="C373" t="str">
            <v>RA</v>
          </cell>
          <cell r="D373" t="str">
            <v>ACHATS HORS UEMOA, CARTES DE R</v>
          </cell>
          <cell r="E373">
            <v>0</v>
          </cell>
          <cell r="F373">
            <v>0</v>
          </cell>
          <cell r="G373">
            <v>0</v>
          </cell>
          <cell r="H373">
            <v>9509</v>
          </cell>
          <cell r="I373">
            <v>0</v>
          </cell>
          <cell r="J373">
            <v>9509</v>
          </cell>
        </row>
        <row r="374">
          <cell r="B374">
            <v>603110</v>
          </cell>
          <cell r="C374" t="str">
            <v>RB</v>
          </cell>
          <cell r="D374" t="str">
            <v>VARIATION DE STOCKS, TERMINAUX</v>
          </cell>
          <cell r="E374">
            <v>0</v>
          </cell>
          <cell r="F374">
            <v>0</v>
          </cell>
          <cell r="G374">
            <v>0</v>
          </cell>
          <cell r="H374">
            <v>-371325442</v>
          </cell>
          <cell r="I374">
            <v>371325442</v>
          </cell>
          <cell r="J374">
            <v>0</v>
          </cell>
        </row>
        <row r="375">
          <cell r="B375">
            <v>603120</v>
          </cell>
          <cell r="C375" t="str">
            <v>RB</v>
          </cell>
          <cell r="D375" t="str">
            <v>VARIATION DE STOCKS, ACCESSOIR</v>
          </cell>
          <cell r="E375">
            <v>0</v>
          </cell>
          <cell r="F375">
            <v>0</v>
          </cell>
          <cell r="G375">
            <v>-27551121</v>
          </cell>
          <cell r="H375">
            <v>-56368324</v>
          </cell>
          <cell r="I375">
            <v>28817203</v>
          </cell>
          <cell r="J375">
            <v>0</v>
          </cell>
        </row>
        <row r="376">
          <cell r="B376">
            <v>603130</v>
          </cell>
          <cell r="C376" t="str">
            <v>RB</v>
          </cell>
          <cell r="D376" t="str">
            <v>VARIATION DE STOCKS, SIM</v>
          </cell>
          <cell r="E376">
            <v>0</v>
          </cell>
          <cell r="F376">
            <v>0</v>
          </cell>
          <cell r="G376">
            <v>0</v>
          </cell>
          <cell r="H376">
            <v>233654546</v>
          </cell>
          <cell r="I376">
            <v>0</v>
          </cell>
          <cell r="J376">
            <v>233654546</v>
          </cell>
        </row>
        <row r="377">
          <cell r="B377">
            <v>603140</v>
          </cell>
          <cell r="C377" t="str">
            <v>RB</v>
          </cell>
          <cell r="D377" t="str">
            <v>VARIATION DE STOCKS, CARTES DE</v>
          </cell>
          <cell r="E377">
            <v>0</v>
          </cell>
          <cell r="F377">
            <v>0</v>
          </cell>
          <cell r="G377">
            <v>0</v>
          </cell>
          <cell r="H377">
            <v>-570327</v>
          </cell>
          <cell r="I377">
            <v>570327</v>
          </cell>
          <cell r="J377">
            <v>0</v>
          </cell>
        </row>
        <row r="378">
          <cell r="B378">
            <v>603200</v>
          </cell>
          <cell r="C378" t="str">
            <v>RD</v>
          </cell>
          <cell r="D378" t="str">
            <v>VARIATION DE STOCKS, CARBURANT</v>
          </cell>
          <cell r="E378">
            <v>0</v>
          </cell>
          <cell r="F378">
            <v>0</v>
          </cell>
          <cell r="G378">
            <v>0</v>
          </cell>
          <cell r="H378">
            <v>20982830</v>
          </cell>
          <cell r="I378">
            <v>0</v>
          </cell>
          <cell r="J378">
            <v>20982830</v>
          </cell>
        </row>
        <row r="379">
          <cell r="B379">
            <v>603300</v>
          </cell>
          <cell r="C379" t="str">
            <v>RF</v>
          </cell>
          <cell r="D379" t="str">
            <v>Variiation du stock des autres</v>
          </cell>
          <cell r="E379">
            <v>0</v>
          </cell>
          <cell r="F379">
            <v>0</v>
          </cell>
          <cell r="G379">
            <v>-1119310388</v>
          </cell>
          <cell r="H379">
            <v>-1326670466</v>
          </cell>
          <cell r="I379">
            <v>207360078</v>
          </cell>
          <cell r="J379">
            <v>0</v>
          </cell>
        </row>
        <row r="380">
          <cell r="B380">
            <v>603310</v>
          </cell>
          <cell r="C380" t="str">
            <v>RF</v>
          </cell>
          <cell r="D380" t="str">
            <v>Variiation du stock marketing</v>
          </cell>
          <cell r="E380">
            <v>0</v>
          </cell>
          <cell r="F380">
            <v>0</v>
          </cell>
          <cell r="G380">
            <v>0</v>
          </cell>
          <cell r="H380">
            <v>1165578</v>
          </cell>
          <cell r="I380">
            <v>0</v>
          </cell>
          <cell r="J380">
            <v>1165578</v>
          </cell>
        </row>
        <row r="381">
          <cell r="B381">
            <v>603320</v>
          </cell>
          <cell r="C381" t="str">
            <v>RF</v>
          </cell>
          <cell r="D381" t="str">
            <v>Variiation du stock technique</v>
          </cell>
          <cell r="E381">
            <v>0</v>
          </cell>
          <cell r="F381">
            <v>0</v>
          </cell>
          <cell r="G381">
            <v>0</v>
          </cell>
          <cell r="H381">
            <v>155992127</v>
          </cell>
          <cell r="I381">
            <v>0</v>
          </cell>
          <cell r="J381">
            <v>155992127</v>
          </cell>
        </row>
        <row r="382">
          <cell r="B382">
            <v>603330</v>
          </cell>
          <cell r="C382" t="str">
            <v>RF</v>
          </cell>
          <cell r="D382" t="str">
            <v>Variiation du stock informatiq</v>
          </cell>
          <cell r="E382">
            <v>0</v>
          </cell>
          <cell r="F382">
            <v>0</v>
          </cell>
          <cell r="G382">
            <v>0</v>
          </cell>
          <cell r="H382">
            <v>-7859827</v>
          </cell>
          <cell r="I382">
            <v>7859827</v>
          </cell>
          <cell r="J382">
            <v>0</v>
          </cell>
        </row>
        <row r="383">
          <cell r="B383">
            <v>603340</v>
          </cell>
          <cell r="C383" t="str">
            <v>RF</v>
          </cell>
          <cell r="D383" t="str">
            <v>Variiation du stock fondation</v>
          </cell>
          <cell r="E383">
            <v>0</v>
          </cell>
          <cell r="F383">
            <v>0</v>
          </cell>
          <cell r="G383">
            <v>0</v>
          </cell>
          <cell r="H383">
            <v>-12570368</v>
          </cell>
          <cell r="I383">
            <v>12570368</v>
          </cell>
          <cell r="J383">
            <v>0</v>
          </cell>
        </row>
        <row r="384">
          <cell r="B384">
            <v>604200</v>
          </cell>
          <cell r="C384" t="str">
            <v>RE</v>
          </cell>
          <cell r="D384" t="str">
            <v>ACHATS CARBURANT</v>
          </cell>
          <cell r="E384">
            <v>0</v>
          </cell>
          <cell r="F384">
            <v>0</v>
          </cell>
          <cell r="G384">
            <v>56467983</v>
          </cell>
          <cell r="H384">
            <v>5556700</v>
          </cell>
          <cell r="I384">
            <v>50911283</v>
          </cell>
          <cell r="J384">
            <v>0</v>
          </cell>
        </row>
        <row r="385">
          <cell r="B385">
            <v>605110</v>
          </cell>
          <cell r="C385" t="str">
            <v>RE</v>
          </cell>
          <cell r="D385" t="str">
            <v>EAU BUREAUX, ADMINISTRATION, C</v>
          </cell>
          <cell r="E385">
            <v>0</v>
          </cell>
          <cell r="F385">
            <v>0</v>
          </cell>
          <cell r="G385">
            <v>14238369</v>
          </cell>
          <cell r="H385">
            <v>0</v>
          </cell>
          <cell r="I385">
            <v>14238369</v>
          </cell>
          <cell r="J385">
            <v>0</v>
          </cell>
        </row>
        <row r="386">
          <cell r="B386">
            <v>605130</v>
          </cell>
          <cell r="C386" t="str">
            <v>RE</v>
          </cell>
          <cell r="D386" t="str">
            <v>EAU RESIDENCES</v>
          </cell>
          <cell r="E386">
            <v>0</v>
          </cell>
          <cell r="F386">
            <v>0</v>
          </cell>
          <cell r="G386">
            <v>4384232</v>
          </cell>
          <cell r="H386">
            <v>0</v>
          </cell>
          <cell r="I386">
            <v>4384232</v>
          </cell>
          <cell r="J386">
            <v>0</v>
          </cell>
        </row>
        <row r="387">
          <cell r="B387">
            <v>605210</v>
          </cell>
          <cell r="C387" t="str">
            <v>RE</v>
          </cell>
          <cell r="D387" t="str">
            <v>ELECTRICITE BUREAUX, ADMINISTR</v>
          </cell>
          <cell r="E387">
            <v>0</v>
          </cell>
          <cell r="F387">
            <v>0</v>
          </cell>
          <cell r="G387">
            <v>580434719</v>
          </cell>
          <cell r="H387">
            <v>0</v>
          </cell>
          <cell r="I387">
            <v>580434719</v>
          </cell>
          <cell r="J387">
            <v>0</v>
          </cell>
        </row>
        <row r="388">
          <cell r="B388">
            <v>605240</v>
          </cell>
          <cell r="C388" t="str">
            <v>RE</v>
          </cell>
          <cell r="D388" t="str">
            <v>ELECTRICITE SITES TECHNIQUES</v>
          </cell>
          <cell r="E388">
            <v>0</v>
          </cell>
          <cell r="F388">
            <v>0</v>
          </cell>
          <cell r="G388">
            <v>3108272401</v>
          </cell>
          <cell r="H388">
            <v>17572990</v>
          </cell>
          <cell r="I388">
            <v>3090699411</v>
          </cell>
          <cell r="J388">
            <v>0</v>
          </cell>
        </row>
        <row r="389">
          <cell r="B389">
            <v>605260</v>
          </cell>
          <cell r="C389" t="str">
            <v>RE</v>
          </cell>
          <cell r="D389" t="str">
            <v>ELECTRICITE RESIDENCES</v>
          </cell>
          <cell r="E389">
            <v>0</v>
          </cell>
          <cell r="F389">
            <v>0</v>
          </cell>
          <cell r="G389">
            <v>23722875</v>
          </cell>
          <cell r="H389">
            <v>0</v>
          </cell>
          <cell r="I389">
            <v>23722875</v>
          </cell>
          <cell r="J389">
            <v>0</v>
          </cell>
        </row>
        <row r="390">
          <cell r="B390">
            <v>605310</v>
          </cell>
          <cell r="C390" t="str">
            <v>RE</v>
          </cell>
          <cell r="D390" t="str">
            <v>FRAIS DE CARBURANT ET LUBRIFIA</v>
          </cell>
          <cell r="E390">
            <v>0</v>
          </cell>
          <cell r="F390">
            <v>0</v>
          </cell>
          <cell r="G390">
            <v>2314700987</v>
          </cell>
          <cell r="H390">
            <v>-91551954</v>
          </cell>
          <cell r="I390">
            <v>2406252941</v>
          </cell>
          <cell r="J390">
            <v>0</v>
          </cell>
        </row>
        <row r="391">
          <cell r="B391">
            <v>605500</v>
          </cell>
          <cell r="C391" t="str">
            <v>RE</v>
          </cell>
          <cell r="D391" t="str">
            <v>FOURNITURES DE BUREAU NON STOC</v>
          </cell>
          <cell r="E391">
            <v>0</v>
          </cell>
          <cell r="F391">
            <v>0</v>
          </cell>
          <cell r="G391">
            <v>24018644</v>
          </cell>
          <cell r="H391">
            <v>0</v>
          </cell>
          <cell r="I391">
            <v>24018644</v>
          </cell>
          <cell r="J391">
            <v>0</v>
          </cell>
        </row>
        <row r="392">
          <cell r="B392">
            <v>605510</v>
          </cell>
          <cell r="C392" t="str">
            <v>RE</v>
          </cell>
          <cell r="D392" t="str">
            <v>FOURNITURES INFORMATIQUES NON</v>
          </cell>
          <cell r="E392">
            <v>0</v>
          </cell>
          <cell r="F392">
            <v>0</v>
          </cell>
          <cell r="G392">
            <v>50398521</v>
          </cell>
          <cell r="H392">
            <v>9109270</v>
          </cell>
          <cell r="I392">
            <v>41289251</v>
          </cell>
          <cell r="J392">
            <v>0</v>
          </cell>
        </row>
        <row r="393">
          <cell r="B393">
            <v>605600</v>
          </cell>
          <cell r="C393" t="str">
            <v>RE</v>
          </cell>
          <cell r="D393" t="str">
            <v>ACHATS PETIT MATERIEL ET OUTIL</v>
          </cell>
          <cell r="E393">
            <v>0</v>
          </cell>
          <cell r="F393">
            <v>0</v>
          </cell>
          <cell r="G393">
            <v>11286712</v>
          </cell>
          <cell r="H393">
            <v>191669568</v>
          </cell>
          <cell r="I393">
            <v>0</v>
          </cell>
          <cell r="J393">
            <v>180382856</v>
          </cell>
        </row>
        <row r="394">
          <cell r="B394">
            <v>605712</v>
          </cell>
          <cell r="C394" t="str">
            <v>RE</v>
          </cell>
          <cell r="D394" t="str">
            <v>CHARGE INTERCONNEX° OPERATEUR</v>
          </cell>
          <cell r="E394">
            <v>0</v>
          </cell>
          <cell r="F394">
            <v>0</v>
          </cell>
          <cell r="G394">
            <v>4058878</v>
          </cell>
          <cell r="H394">
            <v>0</v>
          </cell>
          <cell r="I394">
            <v>4058878</v>
          </cell>
          <cell r="J394">
            <v>0</v>
          </cell>
        </row>
        <row r="395">
          <cell r="B395">
            <v>605713</v>
          </cell>
          <cell r="C395" t="str">
            <v>RE</v>
          </cell>
          <cell r="D395" t="str">
            <v>CHARG INTERCONNEX OPERATEUR FI</v>
          </cell>
          <cell r="E395">
            <v>0</v>
          </cell>
          <cell r="F395">
            <v>0</v>
          </cell>
          <cell r="G395">
            <v>4739538</v>
          </cell>
          <cell r="H395">
            <v>0</v>
          </cell>
          <cell r="I395">
            <v>4739538</v>
          </cell>
          <cell r="J395">
            <v>0</v>
          </cell>
        </row>
        <row r="396">
          <cell r="B396">
            <v>605723</v>
          </cell>
          <cell r="C396" t="str">
            <v>RE</v>
          </cell>
          <cell r="D396" t="str">
            <v>CHARGE INTERCONNEXION OPERATEU</v>
          </cell>
          <cell r="E396">
            <v>0</v>
          </cell>
          <cell r="F396">
            <v>0</v>
          </cell>
          <cell r="G396">
            <v>40534904</v>
          </cell>
          <cell r="H396">
            <v>0</v>
          </cell>
          <cell r="I396">
            <v>40534904</v>
          </cell>
          <cell r="J396">
            <v>0</v>
          </cell>
        </row>
        <row r="397">
          <cell r="B397">
            <v>605730</v>
          </cell>
          <cell r="C397" t="str">
            <v>RE</v>
          </cell>
          <cell r="D397" t="str">
            <v>CHARGES DE ROAMING INTERNATION</v>
          </cell>
          <cell r="E397">
            <v>0</v>
          </cell>
          <cell r="F397">
            <v>0</v>
          </cell>
          <cell r="G397">
            <v>490032632</v>
          </cell>
          <cell r="H397">
            <v>36989343</v>
          </cell>
          <cell r="I397">
            <v>453043289</v>
          </cell>
          <cell r="J397">
            <v>0</v>
          </cell>
        </row>
        <row r="398">
          <cell r="B398">
            <v>605731</v>
          </cell>
          <cell r="C398" t="str">
            <v>RE</v>
          </cell>
          <cell r="D398" t="str">
            <v>REVERSEMENTS POUR SVA</v>
          </cell>
          <cell r="E398">
            <v>0</v>
          </cell>
          <cell r="F398">
            <v>0</v>
          </cell>
          <cell r="G398">
            <v>4519328301</v>
          </cell>
          <cell r="H398">
            <v>0</v>
          </cell>
          <cell r="I398">
            <v>4519328301</v>
          </cell>
          <cell r="J398">
            <v>0</v>
          </cell>
        </row>
        <row r="399">
          <cell r="B399">
            <v>605732</v>
          </cell>
          <cell r="C399" t="str">
            <v>RE</v>
          </cell>
          <cell r="D399" t="str">
            <v>ACHAT CAPACITE</v>
          </cell>
          <cell r="E399">
            <v>0</v>
          </cell>
          <cell r="F399">
            <v>0</v>
          </cell>
          <cell r="G399">
            <v>222478751</v>
          </cell>
          <cell r="H399">
            <v>0</v>
          </cell>
          <cell r="I399">
            <v>222478751</v>
          </cell>
          <cell r="J399">
            <v>0</v>
          </cell>
        </row>
        <row r="400">
          <cell r="B400">
            <v>605740</v>
          </cell>
          <cell r="C400" t="str">
            <v>RE</v>
          </cell>
          <cell r="D400" t="str">
            <v>CHARGES DE TRAFIC VOIX INTERNA</v>
          </cell>
          <cell r="E400">
            <v>0</v>
          </cell>
          <cell r="F400">
            <v>0</v>
          </cell>
          <cell r="G400">
            <v>2236389444</v>
          </cell>
          <cell r="H400">
            <v>580280</v>
          </cell>
          <cell r="I400">
            <v>2235809164</v>
          </cell>
          <cell r="J400">
            <v>0</v>
          </cell>
        </row>
        <row r="401">
          <cell r="B401">
            <v>614200</v>
          </cell>
          <cell r="C401" t="str">
            <v>RG</v>
          </cell>
          <cell r="D401" t="str">
            <v>TRANSPORT VISITEURS</v>
          </cell>
          <cell r="E401">
            <v>0</v>
          </cell>
          <cell r="F401">
            <v>0</v>
          </cell>
          <cell r="G401">
            <v>1227568</v>
          </cell>
          <cell r="H401">
            <v>0</v>
          </cell>
          <cell r="I401">
            <v>1227568</v>
          </cell>
          <cell r="J401">
            <v>0</v>
          </cell>
        </row>
        <row r="402">
          <cell r="B402">
            <v>616100</v>
          </cell>
          <cell r="C402" t="str">
            <v>RG</v>
          </cell>
          <cell r="D402" t="str">
            <v>TRANSPORTS DE PLIS</v>
          </cell>
          <cell r="E402">
            <v>0</v>
          </cell>
          <cell r="F402">
            <v>0</v>
          </cell>
          <cell r="G402">
            <v>42879957</v>
          </cell>
          <cell r="H402">
            <v>0</v>
          </cell>
          <cell r="I402">
            <v>42879957</v>
          </cell>
          <cell r="J402">
            <v>0</v>
          </cell>
        </row>
        <row r="403">
          <cell r="B403">
            <v>618100</v>
          </cell>
          <cell r="C403" t="str">
            <v>RG</v>
          </cell>
          <cell r="D403" t="str">
            <v>VOYAGES ET DEPLACEMENTS</v>
          </cell>
          <cell r="E403">
            <v>0</v>
          </cell>
          <cell r="F403">
            <v>0</v>
          </cell>
          <cell r="G403">
            <v>140670675</v>
          </cell>
          <cell r="H403">
            <v>0</v>
          </cell>
          <cell r="I403">
            <v>140670675</v>
          </cell>
          <cell r="J403">
            <v>0</v>
          </cell>
        </row>
        <row r="404">
          <cell r="B404">
            <v>618800</v>
          </cell>
          <cell r="C404" t="str">
            <v>RG</v>
          </cell>
          <cell r="D404" t="str">
            <v>AUTRES FRAIS DE TRANSPORTS</v>
          </cell>
          <cell r="E404">
            <v>0</v>
          </cell>
          <cell r="F404">
            <v>0</v>
          </cell>
          <cell r="G404">
            <v>330508</v>
          </cell>
          <cell r="H404">
            <v>0</v>
          </cell>
          <cell r="I404">
            <v>330508</v>
          </cell>
          <cell r="J404">
            <v>0</v>
          </cell>
        </row>
        <row r="405">
          <cell r="B405">
            <v>622100</v>
          </cell>
          <cell r="C405" t="str">
            <v>RH</v>
          </cell>
          <cell r="D405" t="str">
            <v>LOYERS SITES TECHNIQUES</v>
          </cell>
          <cell r="E405">
            <v>0</v>
          </cell>
          <cell r="F405">
            <v>0</v>
          </cell>
          <cell r="G405">
            <v>794895020</v>
          </cell>
          <cell r="H405">
            <v>9257124</v>
          </cell>
          <cell r="I405">
            <v>785637896</v>
          </cell>
          <cell r="J405">
            <v>0</v>
          </cell>
        </row>
        <row r="406">
          <cell r="B406">
            <v>622210</v>
          </cell>
          <cell r="C406" t="str">
            <v>RH</v>
          </cell>
          <cell r="D406" t="str">
            <v>LOYERS SIEGE ET AGENCES</v>
          </cell>
          <cell r="E406">
            <v>0</v>
          </cell>
          <cell r="F406">
            <v>0</v>
          </cell>
          <cell r="G406">
            <v>632741341</v>
          </cell>
          <cell r="H406">
            <v>37944435</v>
          </cell>
          <cell r="I406">
            <v>594796906</v>
          </cell>
          <cell r="J406">
            <v>0</v>
          </cell>
        </row>
        <row r="407">
          <cell r="B407">
            <v>622230</v>
          </cell>
          <cell r="C407" t="str">
            <v>RH</v>
          </cell>
          <cell r="D407" t="str">
            <v>LOYERS ENTREPOTS</v>
          </cell>
          <cell r="E407">
            <v>0</v>
          </cell>
          <cell r="F407">
            <v>0</v>
          </cell>
          <cell r="G407">
            <v>129036000</v>
          </cell>
          <cell r="H407">
            <v>0</v>
          </cell>
          <cell r="I407">
            <v>129036000</v>
          </cell>
          <cell r="J407">
            <v>0</v>
          </cell>
        </row>
        <row r="408">
          <cell r="B408">
            <v>622240</v>
          </cell>
          <cell r="C408" t="str">
            <v>RH</v>
          </cell>
          <cell r="D408" t="str">
            <v>LOYERS RESIDENCES</v>
          </cell>
          <cell r="E408">
            <v>0</v>
          </cell>
          <cell r="F408">
            <v>0</v>
          </cell>
          <cell r="G408">
            <v>155426669</v>
          </cell>
          <cell r="H408">
            <v>-2608940</v>
          </cell>
          <cell r="I408">
            <v>158035609</v>
          </cell>
          <cell r="J408">
            <v>0</v>
          </cell>
        </row>
        <row r="409">
          <cell r="B409">
            <v>622310</v>
          </cell>
          <cell r="C409" t="str">
            <v>RH</v>
          </cell>
          <cell r="D409" t="str">
            <v>LOYERS D'ESPACES EN CO-LOCATIO</v>
          </cell>
          <cell r="E409">
            <v>0</v>
          </cell>
          <cell r="F409">
            <v>0</v>
          </cell>
          <cell r="G409">
            <v>276317138</v>
          </cell>
          <cell r="H409">
            <v>0</v>
          </cell>
          <cell r="I409">
            <v>276317138</v>
          </cell>
          <cell r="J409">
            <v>0</v>
          </cell>
        </row>
        <row r="410">
          <cell r="B410">
            <v>622320</v>
          </cell>
          <cell r="C410" t="str">
            <v>RH</v>
          </cell>
          <cell r="D410" t="str">
            <v>LOYERS LIAISONS SIGNALISATIONS</v>
          </cell>
          <cell r="E410">
            <v>0</v>
          </cell>
          <cell r="F410">
            <v>0</v>
          </cell>
          <cell r="G410">
            <v>19022757</v>
          </cell>
          <cell r="H410">
            <v>0</v>
          </cell>
          <cell r="I410">
            <v>19022757</v>
          </cell>
          <cell r="J410">
            <v>0</v>
          </cell>
        </row>
        <row r="411">
          <cell r="B411">
            <v>622350</v>
          </cell>
          <cell r="C411" t="str">
            <v>RH</v>
          </cell>
          <cell r="D411" t="str">
            <v>LOYERS LIAISONS FIBRES OPTIQUE</v>
          </cell>
          <cell r="E411">
            <v>0</v>
          </cell>
          <cell r="F411">
            <v>0</v>
          </cell>
          <cell r="G411">
            <v>2140215860</v>
          </cell>
          <cell r="H411">
            <v>12717960</v>
          </cell>
          <cell r="I411">
            <v>2127497900</v>
          </cell>
          <cell r="J411">
            <v>0</v>
          </cell>
        </row>
        <row r="412">
          <cell r="B412">
            <v>622360</v>
          </cell>
          <cell r="C412" t="str">
            <v>RH</v>
          </cell>
          <cell r="D412" t="str">
            <v>LOYERS AUTRES LIAISONS</v>
          </cell>
          <cell r="E412">
            <v>0</v>
          </cell>
          <cell r="F412">
            <v>0</v>
          </cell>
          <cell r="G412">
            <v>615854690</v>
          </cell>
          <cell r="H412">
            <v>0</v>
          </cell>
          <cell r="I412">
            <v>615854690</v>
          </cell>
          <cell r="J412">
            <v>0</v>
          </cell>
        </row>
        <row r="413">
          <cell r="B413">
            <v>622800</v>
          </cell>
          <cell r="C413" t="str">
            <v>RH</v>
          </cell>
          <cell r="D413" t="str">
            <v>AUTRES LOCATIONS ET CHARGES LO</v>
          </cell>
          <cell r="E413">
            <v>0</v>
          </cell>
          <cell r="F413">
            <v>0</v>
          </cell>
          <cell r="G413">
            <v>256909919</v>
          </cell>
          <cell r="H413">
            <v>0</v>
          </cell>
          <cell r="I413">
            <v>256909919</v>
          </cell>
          <cell r="J413">
            <v>0</v>
          </cell>
        </row>
        <row r="414">
          <cell r="B414">
            <v>624120</v>
          </cell>
          <cell r="C414" t="str">
            <v>RH</v>
          </cell>
          <cell r="D414" t="str">
            <v>ENTRETIEN ET REPARATIONS BATS</v>
          </cell>
          <cell r="E414">
            <v>0</v>
          </cell>
          <cell r="F414">
            <v>0</v>
          </cell>
          <cell r="G414">
            <v>188075728</v>
          </cell>
          <cell r="H414">
            <v>338600</v>
          </cell>
          <cell r="I414">
            <v>187737128</v>
          </cell>
          <cell r="J414">
            <v>0</v>
          </cell>
        </row>
        <row r="415">
          <cell r="B415">
            <v>624130</v>
          </cell>
          <cell r="C415" t="str">
            <v>RH</v>
          </cell>
          <cell r="D415" t="str">
            <v>ENTRETIEN ET REPARATIONS SITES</v>
          </cell>
          <cell r="E415">
            <v>0</v>
          </cell>
          <cell r="F415">
            <v>0</v>
          </cell>
          <cell r="G415">
            <v>2487749497</v>
          </cell>
          <cell r="H415">
            <v>127737545</v>
          </cell>
          <cell r="I415">
            <v>2360011952</v>
          </cell>
          <cell r="J415">
            <v>0</v>
          </cell>
        </row>
        <row r="416">
          <cell r="B416">
            <v>624140</v>
          </cell>
          <cell r="C416" t="str">
            <v>RH</v>
          </cell>
          <cell r="D416" t="str">
            <v>ENTRETIEN ET REPARATIONS RESID</v>
          </cell>
          <cell r="E416">
            <v>0</v>
          </cell>
          <cell r="F416">
            <v>0</v>
          </cell>
          <cell r="G416">
            <v>24638082</v>
          </cell>
          <cell r="H416">
            <v>677456</v>
          </cell>
          <cell r="I416">
            <v>23960626</v>
          </cell>
          <cell r="J416">
            <v>0</v>
          </cell>
        </row>
        <row r="417">
          <cell r="B417">
            <v>624210</v>
          </cell>
          <cell r="C417" t="str">
            <v>RH</v>
          </cell>
          <cell r="D417" t="str">
            <v>ENTRETIEN ET REPARATIONS VEHIC</v>
          </cell>
          <cell r="E417">
            <v>0</v>
          </cell>
          <cell r="F417">
            <v>0</v>
          </cell>
          <cell r="G417">
            <v>14784160</v>
          </cell>
          <cell r="H417">
            <v>56350</v>
          </cell>
          <cell r="I417">
            <v>14727810</v>
          </cell>
          <cell r="J417">
            <v>0</v>
          </cell>
        </row>
        <row r="418">
          <cell r="B418">
            <v>624220</v>
          </cell>
          <cell r="C418" t="str">
            <v>RH</v>
          </cell>
          <cell r="D418" t="str">
            <v>ENTRETIEN ET REPARATIONS EQUIP</v>
          </cell>
          <cell r="E418">
            <v>0</v>
          </cell>
          <cell r="F418">
            <v>0</v>
          </cell>
          <cell r="G418">
            <v>149724289</v>
          </cell>
          <cell r="H418">
            <v>0</v>
          </cell>
          <cell r="I418">
            <v>149724289</v>
          </cell>
          <cell r="J418">
            <v>0</v>
          </cell>
        </row>
        <row r="419">
          <cell r="B419">
            <v>624230</v>
          </cell>
          <cell r="C419" t="str">
            <v>RH</v>
          </cell>
          <cell r="D419" t="str">
            <v>ENTRETIEN MATERIEL INFORMATIQU</v>
          </cell>
          <cell r="E419">
            <v>0</v>
          </cell>
          <cell r="F419">
            <v>0</v>
          </cell>
          <cell r="G419">
            <v>257582417</v>
          </cell>
          <cell r="H419">
            <v>76158297</v>
          </cell>
          <cell r="I419">
            <v>181424120</v>
          </cell>
          <cell r="J419">
            <v>0</v>
          </cell>
        </row>
        <row r="420">
          <cell r="B420">
            <v>624310</v>
          </cell>
          <cell r="C420" t="str">
            <v>RH</v>
          </cell>
          <cell r="D420" t="str">
            <v>MAINTENANCE EQUIPEMENTS TECHNI</v>
          </cell>
          <cell r="E420">
            <v>0</v>
          </cell>
          <cell r="F420">
            <v>0</v>
          </cell>
          <cell r="G420">
            <v>465036785</v>
          </cell>
          <cell r="H420">
            <v>0</v>
          </cell>
          <cell r="I420">
            <v>465036785</v>
          </cell>
          <cell r="J420">
            <v>0</v>
          </cell>
        </row>
        <row r="421">
          <cell r="B421">
            <v>624320</v>
          </cell>
          <cell r="C421" t="str">
            <v>RH</v>
          </cell>
          <cell r="D421" t="str">
            <v>MAINTENANCE INFORMATIQUE</v>
          </cell>
          <cell r="E421">
            <v>0</v>
          </cell>
          <cell r="F421">
            <v>0</v>
          </cell>
          <cell r="G421">
            <v>1231532316</v>
          </cell>
          <cell r="H421">
            <v>212939630</v>
          </cell>
          <cell r="I421">
            <v>1018592686</v>
          </cell>
          <cell r="J421">
            <v>0</v>
          </cell>
        </row>
        <row r="422">
          <cell r="B422">
            <v>624800</v>
          </cell>
          <cell r="C422" t="str">
            <v>RH</v>
          </cell>
          <cell r="D422" t="str">
            <v>AUTRES ENTRETIENS ET REPARATIO</v>
          </cell>
          <cell r="E422">
            <v>0</v>
          </cell>
          <cell r="F422">
            <v>0</v>
          </cell>
          <cell r="G422">
            <v>2655741</v>
          </cell>
          <cell r="H422">
            <v>0</v>
          </cell>
          <cell r="I422">
            <v>2655741</v>
          </cell>
          <cell r="J422">
            <v>0</v>
          </cell>
        </row>
        <row r="423">
          <cell r="B423">
            <v>625100</v>
          </cell>
          <cell r="C423" t="str">
            <v>RH</v>
          </cell>
          <cell r="D423" t="str">
            <v>ASSURANCE MULTIRISQUES</v>
          </cell>
          <cell r="E423">
            <v>0</v>
          </cell>
          <cell r="F423">
            <v>0</v>
          </cell>
          <cell r="G423">
            <v>71177985</v>
          </cell>
          <cell r="H423">
            <v>10791234</v>
          </cell>
          <cell r="I423">
            <v>60386751</v>
          </cell>
          <cell r="J423">
            <v>0</v>
          </cell>
        </row>
        <row r="424">
          <cell r="B424">
            <v>625200</v>
          </cell>
          <cell r="C424" t="str">
            <v>RH</v>
          </cell>
          <cell r="D424" t="str">
            <v>ASSURANCE MATERIEL DE TRANSPOR</v>
          </cell>
          <cell r="E424">
            <v>0</v>
          </cell>
          <cell r="F424">
            <v>0</v>
          </cell>
          <cell r="G424">
            <v>15503788</v>
          </cell>
          <cell r="H424">
            <v>-3347527</v>
          </cell>
          <cell r="I424">
            <v>18851315</v>
          </cell>
          <cell r="J424">
            <v>0</v>
          </cell>
        </row>
        <row r="425">
          <cell r="B425">
            <v>625810</v>
          </cell>
          <cell r="C425" t="str">
            <v>RH</v>
          </cell>
          <cell r="D425" t="str">
            <v>ASSURANCE DU PERSONNEL</v>
          </cell>
          <cell r="E425">
            <v>0</v>
          </cell>
          <cell r="F425">
            <v>0</v>
          </cell>
          <cell r="G425">
            <v>170736150</v>
          </cell>
          <cell r="H425">
            <v>-41199461</v>
          </cell>
          <cell r="I425">
            <v>211935611</v>
          </cell>
          <cell r="J425">
            <v>0</v>
          </cell>
        </row>
        <row r="426">
          <cell r="B426">
            <v>626500</v>
          </cell>
          <cell r="C426" t="str">
            <v>RH</v>
          </cell>
          <cell r="D426" t="str">
            <v>DOCUMENTATION GENERALE</v>
          </cell>
          <cell r="E426">
            <v>0</v>
          </cell>
          <cell r="F426">
            <v>0</v>
          </cell>
          <cell r="G426">
            <v>400000</v>
          </cell>
          <cell r="H426">
            <v>0</v>
          </cell>
          <cell r="I426">
            <v>400000</v>
          </cell>
          <cell r="J426">
            <v>0</v>
          </cell>
        </row>
        <row r="427">
          <cell r="B427">
            <v>626600</v>
          </cell>
          <cell r="C427" t="str">
            <v>RH</v>
          </cell>
          <cell r="D427" t="str">
            <v>DOCUMENTATION TECHNIQUE</v>
          </cell>
          <cell r="E427">
            <v>0</v>
          </cell>
          <cell r="F427">
            <v>0</v>
          </cell>
          <cell r="G427">
            <v>5048306</v>
          </cell>
          <cell r="H427">
            <v>0</v>
          </cell>
          <cell r="I427">
            <v>5048306</v>
          </cell>
          <cell r="J427">
            <v>0</v>
          </cell>
        </row>
        <row r="428">
          <cell r="B428">
            <v>627110</v>
          </cell>
          <cell r="C428" t="str">
            <v>RH</v>
          </cell>
          <cell r="D428" t="str">
            <v>ANNONCES, INSERTIONS TELE</v>
          </cell>
          <cell r="E428">
            <v>0</v>
          </cell>
          <cell r="F428">
            <v>0</v>
          </cell>
          <cell r="G428">
            <v>34537500</v>
          </cell>
          <cell r="H428">
            <v>0</v>
          </cell>
          <cell r="I428">
            <v>34537500</v>
          </cell>
          <cell r="J428">
            <v>0</v>
          </cell>
        </row>
        <row r="429">
          <cell r="B429">
            <v>627120</v>
          </cell>
          <cell r="C429" t="str">
            <v>RH</v>
          </cell>
          <cell r="D429" t="str">
            <v>ANNONCES, INSERTIONS RADIO</v>
          </cell>
          <cell r="E429">
            <v>0</v>
          </cell>
          <cell r="F429">
            <v>0</v>
          </cell>
          <cell r="G429">
            <v>48113058</v>
          </cell>
          <cell r="H429">
            <v>0</v>
          </cell>
          <cell r="I429">
            <v>48113058</v>
          </cell>
          <cell r="J429">
            <v>0</v>
          </cell>
        </row>
        <row r="430">
          <cell r="B430">
            <v>627130</v>
          </cell>
          <cell r="C430" t="str">
            <v>RH</v>
          </cell>
          <cell r="D430" t="str">
            <v>ANNONCES, INSERTIONS PRESSE</v>
          </cell>
          <cell r="E430">
            <v>0</v>
          </cell>
          <cell r="F430">
            <v>0</v>
          </cell>
          <cell r="G430">
            <v>20595848</v>
          </cell>
          <cell r="H430">
            <v>0</v>
          </cell>
          <cell r="I430">
            <v>20595848</v>
          </cell>
          <cell r="J430">
            <v>0</v>
          </cell>
        </row>
        <row r="431">
          <cell r="B431">
            <v>627140</v>
          </cell>
          <cell r="C431" t="str">
            <v>RH</v>
          </cell>
          <cell r="D431" t="str">
            <v>FRAIS D'AGENCES PUBLICITAIRES</v>
          </cell>
          <cell r="E431">
            <v>0</v>
          </cell>
          <cell r="F431">
            <v>0</v>
          </cell>
          <cell r="G431">
            <v>1159456263</v>
          </cell>
          <cell r="H431">
            <v>0</v>
          </cell>
          <cell r="I431">
            <v>1159456263</v>
          </cell>
          <cell r="J431">
            <v>0</v>
          </cell>
        </row>
        <row r="432">
          <cell r="B432">
            <v>627210</v>
          </cell>
          <cell r="C432" t="str">
            <v>RH</v>
          </cell>
          <cell r="D432" t="str">
            <v>CATALOGUES, IMPRIMES PUBLICITA</v>
          </cell>
          <cell r="E432">
            <v>0</v>
          </cell>
          <cell r="F432">
            <v>0</v>
          </cell>
          <cell r="G432">
            <v>419556058</v>
          </cell>
          <cell r="H432">
            <v>0</v>
          </cell>
          <cell r="I432">
            <v>419556058</v>
          </cell>
          <cell r="J432">
            <v>0</v>
          </cell>
        </row>
        <row r="433">
          <cell r="B433">
            <v>627220</v>
          </cell>
          <cell r="C433" t="str">
            <v>RH</v>
          </cell>
          <cell r="D433" t="str">
            <v>ENSEIGNES PUBLICITAIRES - AFFI</v>
          </cell>
          <cell r="E433">
            <v>0</v>
          </cell>
          <cell r="F433">
            <v>0</v>
          </cell>
          <cell r="G433">
            <v>197298588</v>
          </cell>
          <cell r="H433">
            <v>-91608724</v>
          </cell>
          <cell r="I433">
            <v>288907312</v>
          </cell>
          <cell r="J433">
            <v>0</v>
          </cell>
        </row>
        <row r="434">
          <cell r="B434">
            <v>627600</v>
          </cell>
          <cell r="C434" t="str">
            <v>RH</v>
          </cell>
          <cell r="D434" t="str">
            <v>ACTIONS COMMERCIALES</v>
          </cell>
          <cell r="E434">
            <v>0</v>
          </cell>
          <cell r="F434">
            <v>0</v>
          </cell>
          <cell r="G434">
            <v>354516300</v>
          </cell>
          <cell r="H434">
            <v>2600000</v>
          </cell>
          <cell r="I434">
            <v>351916300</v>
          </cell>
          <cell r="J434">
            <v>0</v>
          </cell>
        </row>
        <row r="435">
          <cell r="B435">
            <v>627810</v>
          </cell>
          <cell r="C435" t="str">
            <v>RH</v>
          </cell>
          <cell r="D435" t="str">
            <v>RELATIONS PUBLIQUES</v>
          </cell>
          <cell r="E435">
            <v>0</v>
          </cell>
          <cell r="F435">
            <v>0</v>
          </cell>
          <cell r="G435">
            <v>1052946798</v>
          </cell>
          <cell r="H435">
            <v>5000000</v>
          </cell>
          <cell r="I435">
            <v>1047946798</v>
          </cell>
          <cell r="J435">
            <v>0</v>
          </cell>
        </row>
        <row r="436">
          <cell r="B436">
            <v>627830</v>
          </cell>
          <cell r="C436" t="str">
            <v>RH</v>
          </cell>
          <cell r="D436" t="str">
            <v>ENQUETES ET ETUDES DE MARCHES</v>
          </cell>
          <cell r="E436">
            <v>0</v>
          </cell>
          <cell r="F436">
            <v>0</v>
          </cell>
          <cell r="G436">
            <v>25771847</v>
          </cell>
          <cell r="H436">
            <v>488700</v>
          </cell>
          <cell r="I436">
            <v>25283147</v>
          </cell>
          <cell r="J436">
            <v>0</v>
          </cell>
        </row>
        <row r="437">
          <cell r="B437">
            <v>628110</v>
          </cell>
          <cell r="C437" t="str">
            <v>RH</v>
          </cell>
          <cell r="D437" t="str">
            <v>FRAIS DE TELEPHONE BUREAUX</v>
          </cell>
          <cell r="E437">
            <v>0</v>
          </cell>
          <cell r="F437">
            <v>0</v>
          </cell>
          <cell r="G437">
            <v>31062080</v>
          </cell>
          <cell r="H437">
            <v>0</v>
          </cell>
          <cell r="I437">
            <v>31062080</v>
          </cell>
          <cell r="J437">
            <v>0</v>
          </cell>
        </row>
        <row r="438">
          <cell r="B438">
            <v>628120</v>
          </cell>
          <cell r="C438" t="str">
            <v>RH</v>
          </cell>
          <cell r="D438" t="str">
            <v>FRAIS DE TELEPHONE RESIDENCES</v>
          </cell>
          <cell r="E438">
            <v>0</v>
          </cell>
          <cell r="F438">
            <v>0</v>
          </cell>
          <cell r="G438">
            <v>-268380</v>
          </cell>
          <cell r="H438">
            <v>0</v>
          </cell>
          <cell r="I438">
            <v>0</v>
          </cell>
          <cell r="J438">
            <v>268380</v>
          </cell>
        </row>
        <row r="439">
          <cell r="B439">
            <v>628300</v>
          </cell>
          <cell r="C439" t="str">
            <v>RH</v>
          </cell>
          <cell r="D439" t="str">
            <v>FRAIS DE TELECOPIE</v>
          </cell>
          <cell r="E439">
            <v>0</v>
          </cell>
          <cell r="F439">
            <v>0</v>
          </cell>
          <cell r="G439">
            <v>-1619990</v>
          </cell>
          <cell r="H439">
            <v>0</v>
          </cell>
          <cell r="I439">
            <v>0</v>
          </cell>
          <cell r="J439">
            <v>1619990</v>
          </cell>
        </row>
        <row r="440">
          <cell r="B440">
            <v>628800</v>
          </cell>
          <cell r="C440" t="str">
            <v>RH</v>
          </cell>
          <cell r="D440" t="str">
            <v>AUTRES FRAIS DE COMMUNICATIONS</v>
          </cell>
          <cell r="E440">
            <v>0</v>
          </cell>
          <cell r="F440">
            <v>0</v>
          </cell>
          <cell r="G440">
            <v>1569500</v>
          </cell>
          <cell r="H440">
            <v>0</v>
          </cell>
          <cell r="I440">
            <v>1569500</v>
          </cell>
          <cell r="J440">
            <v>0</v>
          </cell>
        </row>
        <row r="441">
          <cell r="B441">
            <v>628810</v>
          </cell>
          <cell r="C441" t="str">
            <v>RH</v>
          </cell>
          <cell r="D441" t="str">
            <v>FRAIS CONNEXION INTERNET</v>
          </cell>
          <cell r="E441">
            <v>0</v>
          </cell>
          <cell r="F441">
            <v>0</v>
          </cell>
          <cell r="G441">
            <v>-2148900</v>
          </cell>
          <cell r="H441">
            <v>0</v>
          </cell>
          <cell r="I441">
            <v>0</v>
          </cell>
          <cell r="J441">
            <v>2148900</v>
          </cell>
        </row>
        <row r="442">
          <cell r="B442">
            <v>631810</v>
          </cell>
          <cell r="C442" t="str">
            <v>RH</v>
          </cell>
          <cell r="D442" t="str">
            <v>AUTRES FRAIS BANCAIRES</v>
          </cell>
          <cell r="E442">
            <v>0</v>
          </cell>
          <cell r="F442">
            <v>0</v>
          </cell>
          <cell r="G442">
            <v>61331109</v>
          </cell>
          <cell r="H442">
            <v>6048876</v>
          </cell>
          <cell r="I442">
            <v>55282233</v>
          </cell>
          <cell r="J442">
            <v>0</v>
          </cell>
        </row>
        <row r="443">
          <cell r="B443">
            <v>631820</v>
          </cell>
          <cell r="C443" t="str">
            <v>RH</v>
          </cell>
          <cell r="D443" t="str">
            <v>FRAIS DE VIREMENT</v>
          </cell>
          <cell r="E443">
            <v>0</v>
          </cell>
          <cell r="F443">
            <v>0</v>
          </cell>
          <cell r="G443">
            <v>155411449</v>
          </cell>
          <cell r="H443">
            <v>52157</v>
          </cell>
          <cell r="I443">
            <v>155359292</v>
          </cell>
          <cell r="J443">
            <v>0</v>
          </cell>
        </row>
        <row r="444">
          <cell r="B444">
            <v>631830</v>
          </cell>
          <cell r="C444" t="str">
            <v>RH</v>
          </cell>
          <cell r="D444" t="str">
            <v>FRAIS D'ARRETES DE COMPTES</v>
          </cell>
          <cell r="E444">
            <v>0</v>
          </cell>
          <cell r="F444">
            <v>0</v>
          </cell>
          <cell r="G444">
            <v>425661</v>
          </cell>
          <cell r="H444">
            <v>0</v>
          </cell>
          <cell r="I444">
            <v>425661</v>
          </cell>
          <cell r="J444">
            <v>0</v>
          </cell>
        </row>
        <row r="445">
          <cell r="B445">
            <v>632200</v>
          </cell>
          <cell r="C445" t="str">
            <v>RH</v>
          </cell>
          <cell r="D445" t="str">
            <v>COMMISSIONS DISTRIBUTEURS</v>
          </cell>
          <cell r="E445">
            <v>0</v>
          </cell>
          <cell r="F445">
            <v>0</v>
          </cell>
          <cell r="G445">
            <v>7004917483</v>
          </cell>
          <cell r="H445">
            <v>163287979</v>
          </cell>
          <cell r="I445">
            <v>6841629504</v>
          </cell>
          <cell r="J445">
            <v>0</v>
          </cell>
        </row>
        <row r="446">
          <cell r="B446">
            <v>632410</v>
          </cell>
          <cell r="C446" t="str">
            <v>RH</v>
          </cell>
          <cell r="D446" t="str">
            <v>HONORAIRES AVOCATS, HUISSIERS</v>
          </cell>
          <cell r="E446">
            <v>0</v>
          </cell>
          <cell r="F446">
            <v>0</v>
          </cell>
          <cell r="G446">
            <v>7132501</v>
          </cell>
          <cell r="H446">
            <v>0</v>
          </cell>
          <cell r="I446">
            <v>7132501</v>
          </cell>
          <cell r="J446">
            <v>0</v>
          </cell>
        </row>
        <row r="447">
          <cell r="B447">
            <v>632420</v>
          </cell>
          <cell r="C447" t="str">
            <v>RH</v>
          </cell>
          <cell r="D447" t="str">
            <v>HONORAIRES CONSULTANTS</v>
          </cell>
          <cell r="E447">
            <v>0</v>
          </cell>
          <cell r="F447">
            <v>0</v>
          </cell>
          <cell r="G447">
            <v>2307828685</v>
          </cell>
          <cell r="H447">
            <v>-6666667</v>
          </cell>
          <cell r="I447">
            <v>2314495352</v>
          </cell>
          <cell r="J447">
            <v>0</v>
          </cell>
        </row>
        <row r="448">
          <cell r="B448">
            <v>632430</v>
          </cell>
          <cell r="C448" t="str">
            <v>RH</v>
          </cell>
          <cell r="D448" t="str">
            <v>HONORAIRES CAC</v>
          </cell>
          <cell r="E448">
            <v>0</v>
          </cell>
          <cell r="F448">
            <v>0</v>
          </cell>
          <cell r="G448">
            <v>17500000</v>
          </cell>
          <cell r="H448">
            <v>0</v>
          </cell>
          <cell r="I448">
            <v>17500000</v>
          </cell>
          <cell r="J448">
            <v>0</v>
          </cell>
        </row>
        <row r="449">
          <cell r="B449">
            <v>632440</v>
          </cell>
          <cell r="C449" t="str">
            <v>RH</v>
          </cell>
          <cell r="D449" t="str">
            <v>HONORAIRES AUDITEURS</v>
          </cell>
          <cell r="E449">
            <v>0</v>
          </cell>
          <cell r="F449">
            <v>0</v>
          </cell>
          <cell r="G449">
            <v>19558341</v>
          </cell>
          <cell r="H449">
            <v>0</v>
          </cell>
          <cell r="I449">
            <v>19558341</v>
          </cell>
          <cell r="J449">
            <v>0</v>
          </cell>
        </row>
        <row r="450">
          <cell r="B450">
            <v>632480</v>
          </cell>
          <cell r="C450" t="str">
            <v>RH</v>
          </cell>
          <cell r="D450" t="str">
            <v>HONORAIRES DIVERS</v>
          </cell>
          <cell r="E450">
            <v>0</v>
          </cell>
          <cell r="F450">
            <v>0</v>
          </cell>
          <cell r="G450">
            <v>517527964</v>
          </cell>
          <cell r="H450">
            <v>0</v>
          </cell>
          <cell r="I450">
            <v>517527964</v>
          </cell>
          <cell r="J450">
            <v>0</v>
          </cell>
        </row>
        <row r="451">
          <cell r="B451">
            <v>632800</v>
          </cell>
          <cell r="C451" t="str">
            <v>RH</v>
          </cell>
          <cell r="D451" t="str">
            <v>FRAIS DE GARDIENNAGE</v>
          </cell>
          <cell r="E451">
            <v>0</v>
          </cell>
          <cell r="F451">
            <v>0</v>
          </cell>
          <cell r="G451">
            <v>973374008</v>
          </cell>
          <cell r="H451">
            <v>0</v>
          </cell>
          <cell r="I451">
            <v>973374008</v>
          </cell>
          <cell r="J451">
            <v>0</v>
          </cell>
        </row>
        <row r="452">
          <cell r="B452">
            <v>632820</v>
          </cell>
          <cell r="C452" t="str">
            <v>RH</v>
          </cell>
          <cell r="D452" t="str">
            <v>FRAIS DE GESTION ROAMING CHAMB</v>
          </cell>
          <cell r="E452">
            <v>0</v>
          </cell>
          <cell r="F452">
            <v>0</v>
          </cell>
          <cell r="G452">
            <v>97568021</v>
          </cell>
          <cell r="H452">
            <v>0</v>
          </cell>
          <cell r="I452">
            <v>97568021</v>
          </cell>
          <cell r="J452">
            <v>0</v>
          </cell>
        </row>
        <row r="453">
          <cell r="B453">
            <v>632830</v>
          </cell>
          <cell r="C453" t="str">
            <v>RH</v>
          </cell>
          <cell r="D453" t="str">
            <v>MANAGEMENT FEES - FRAIS DE GES</v>
          </cell>
          <cell r="E453">
            <v>0</v>
          </cell>
          <cell r="F453">
            <v>0</v>
          </cell>
          <cell r="G453">
            <v>-607532050</v>
          </cell>
          <cell r="H453">
            <v>0</v>
          </cell>
          <cell r="I453">
            <v>0</v>
          </cell>
          <cell r="J453">
            <v>607532050</v>
          </cell>
        </row>
        <row r="454">
          <cell r="B454">
            <v>632840</v>
          </cell>
          <cell r="C454" t="str">
            <v>RH</v>
          </cell>
          <cell r="D454" t="str">
            <v>DIVERS FRAIS</v>
          </cell>
          <cell r="E454">
            <v>0</v>
          </cell>
          <cell r="F454">
            <v>0</v>
          </cell>
          <cell r="G454">
            <v>14965907</v>
          </cell>
          <cell r="H454">
            <v>1500004</v>
          </cell>
          <cell r="I454">
            <v>13465903</v>
          </cell>
          <cell r="J454">
            <v>0</v>
          </cell>
        </row>
        <row r="455">
          <cell r="B455">
            <v>633000</v>
          </cell>
          <cell r="C455" t="str">
            <v>RH</v>
          </cell>
          <cell r="D455" t="str">
            <v>FRAIS DE FORMATION DU PERSONNE</v>
          </cell>
          <cell r="E455">
            <v>0</v>
          </cell>
          <cell r="F455">
            <v>0</v>
          </cell>
          <cell r="G455">
            <v>82724841</v>
          </cell>
          <cell r="H455">
            <v>0</v>
          </cell>
          <cell r="I455">
            <v>82724841</v>
          </cell>
          <cell r="J455">
            <v>0</v>
          </cell>
        </row>
        <row r="456">
          <cell r="B456">
            <v>634210</v>
          </cell>
          <cell r="C456" t="str">
            <v>RH</v>
          </cell>
          <cell r="D456" t="str">
            <v>REDEVANCES AUTORITE DE REGULAT</v>
          </cell>
          <cell r="E456">
            <v>0</v>
          </cell>
          <cell r="F456">
            <v>0</v>
          </cell>
          <cell r="G456">
            <v>30095550955</v>
          </cell>
          <cell r="H456">
            <v>0</v>
          </cell>
          <cell r="I456">
            <v>30095550955</v>
          </cell>
          <cell r="J456">
            <v>0</v>
          </cell>
        </row>
        <row r="457">
          <cell r="B457">
            <v>634400</v>
          </cell>
          <cell r="C457" t="str">
            <v>RH</v>
          </cell>
          <cell r="D457" t="str">
            <v>REDEVANCES POUR MARQUE</v>
          </cell>
          <cell r="E457">
            <v>0</v>
          </cell>
          <cell r="F457">
            <v>0</v>
          </cell>
          <cell r="G457">
            <v>851871793</v>
          </cell>
          <cell r="H457">
            <v>0</v>
          </cell>
          <cell r="I457">
            <v>851871793</v>
          </cell>
          <cell r="J457">
            <v>0</v>
          </cell>
        </row>
        <row r="458">
          <cell r="B458">
            <v>635100</v>
          </cell>
          <cell r="C458" t="str">
            <v>RH</v>
          </cell>
          <cell r="D458" t="str">
            <v>COTISATIONS</v>
          </cell>
          <cell r="E458">
            <v>0</v>
          </cell>
          <cell r="F458">
            <v>0</v>
          </cell>
          <cell r="G458">
            <v>41873164</v>
          </cell>
          <cell r="H458">
            <v>-759855</v>
          </cell>
          <cell r="I458">
            <v>42633019</v>
          </cell>
          <cell r="J458">
            <v>0</v>
          </cell>
        </row>
        <row r="459">
          <cell r="B459">
            <v>635800</v>
          </cell>
          <cell r="C459" t="str">
            <v>RH</v>
          </cell>
          <cell r="D459" t="str">
            <v>CONCOURS DIVERS</v>
          </cell>
          <cell r="E459">
            <v>0</v>
          </cell>
          <cell r="F459">
            <v>0</v>
          </cell>
          <cell r="G459">
            <v>20744504</v>
          </cell>
          <cell r="H459">
            <v>0</v>
          </cell>
          <cell r="I459">
            <v>20744504</v>
          </cell>
          <cell r="J459">
            <v>0</v>
          </cell>
        </row>
        <row r="460">
          <cell r="B460">
            <v>637100</v>
          </cell>
          <cell r="C460" t="str">
            <v>RH</v>
          </cell>
          <cell r="D460" t="str">
            <v>PERSONNEL INTERIMAIRE &amp; STAGIA</v>
          </cell>
          <cell r="E460">
            <v>0</v>
          </cell>
          <cell r="F460">
            <v>0</v>
          </cell>
          <cell r="G460">
            <v>1075375843</v>
          </cell>
          <cell r="H460">
            <v>1125814</v>
          </cell>
          <cell r="I460">
            <v>1074250029</v>
          </cell>
          <cell r="J460">
            <v>0</v>
          </cell>
        </row>
        <row r="461">
          <cell r="B461">
            <v>638100</v>
          </cell>
          <cell r="C461" t="str">
            <v>RH</v>
          </cell>
          <cell r="D461" t="str">
            <v>FRAIS DE RECRUTEMENT DU PERSON</v>
          </cell>
          <cell r="E461">
            <v>0</v>
          </cell>
          <cell r="F461">
            <v>0</v>
          </cell>
          <cell r="G461">
            <v>33883280</v>
          </cell>
          <cell r="H461">
            <v>0</v>
          </cell>
          <cell r="I461">
            <v>33883280</v>
          </cell>
          <cell r="J461">
            <v>0</v>
          </cell>
        </row>
        <row r="462">
          <cell r="B462">
            <v>638200</v>
          </cell>
          <cell r="C462" t="str">
            <v>RH</v>
          </cell>
          <cell r="D462" t="str">
            <v>FRAIS DE DEMENAGEMENT</v>
          </cell>
          <cell r="E462">
            <v>0</v>
          </cell>
          <cell r="F462">
            <v>0</v>
          </cell>
          <cell r="G462">
            <v>1650000</v>
          </cell>
          <cell r="H462">
            <v>0</v>
          </cell>
          <cell r="I462">
            <v>1650000</v>
          </cell>
          <cell r="J462">
            <v>0</v>
          </cell>
        </row>
        <row r="463">
          <cell r="B463">
            <v>638310</v>
          </cell>
          <cell r="C463" t="str">
            <v>RH</v>
          </cell>
          <cell r="D463" t="str">
            <v>RECEPTIONS PERSONNEL</v>
          </cell>
          <cell r="E463">
            <v>0</v>
          </cell>
          <cell r="F463">
            <v>0</v>
          </cell>
          <cell r="G463">
            <v>63961985</v>
          </cell>
          <cell r="H463">
            <v>0</v>
          </cell>
          <cell r="I463">
            <v>63961985</v>
          </cell>
          <cell r="J463">
            <v>0</v>
          </cell>
        </row>
        <row r="464">
          <cell r="B464">
            <v>638320</v>
          </cell>
          <cell r="C464" t="str">
            <v>RH</v>
          </cell>
          <cell r="D464" t="str">
            <v>RECEPTIONS VISITEURS, DIVERS T</v>
          </cell>
          <cell r="E464">
            <v>0</v>
          </cell>
          <cell r="F464">
            <v>0</v>
          </cell>
          <cell r="G464">
            <v>1537686</v>
          </cell>
          <cell r="H464">
            <v>0</v>
          </cell>
          <cell r="I464">
            <v>1537686</v>
          </cell>
          <cell r="J464">
            <v>0</v>
          </cell>
        </row>
        <row r="465">
          <cell r="B465">
            <v>638410</v>
          </cell>
          <cell r="C465" t="str">
            <v>RH</v>
          </cell>
          <cell r="D465" t="str">
            <v>MISSIONS &amp; FRAIS D'HOTELS PERS</v>
          </cell>
          <cell r="E465">
            <v>0</v>
          </cell>
          <cell r="F465">
            <v>0</v>
          </cell>
          <cell r="G465">
            <v>146055823</v>
          </cell>
          <cell r="H465">
            <v>11917815</v>
          </cell>
          <cell r="I465">
            <v>134138008</v>
          </cell>
          <cell r="J465">
            <v>0</v>
          </cell>
        </row>
        <row r="466">
          <cell r="B466">
            <v>638420</v>
          </cell>
          <cell r="C466" t="str">
            <v>RH</v>
          </cell>
          <cell r="D466" t="str">
            <v>MISSIONS &amp; FRAIS D'HOTELS VISI</v>
          </cell>
          <cell r="E466">
            <v>0</v>
          </cell>
          <cell r="F466">
            <v>0</v>
          </cell>
          <cell r="G466">
            <v>16817314</v>
          </cell>
          <cell r="H466">
            <v>0</v>
          </cell>
          <cell r="I466">
            <v>16817314</v>
          </cell>
          <cell r="J466">
            <v>0</v>
          </cell>
        </row>
        <row r="467">
          <cell r="B467">
            <v>638810</v>
          </cell>
          <cell r="C467" t="str">
            <v>RH</v>
          </cell>
          <cell r="D467" t="str">
            <v>CHARGE EXTERNE DIVERSE REFACTU</v>
          </cell>
          <cell r="E467">
            <v>0</v>
          </cell>
          <cell r="F467">
            <v>0</v>
          </cell>
          <cell r="G467">
            <v>58697776</v>
          </cell>
          <cell r="H467">
            <v>0</v>
          </cell>
          <cell r="I467">
            <v>58697776</v>
          </cell>
          <cell r="J467">
            <v>0</v>
          </cell>
        </row>
        <row r="468">
          <cell r="B468">
            <v>641100</v>
          </cell>
          <cell r="C468" t="str">
            <v>RI</v>
          </cell>
          <cell r="D468" t="str">
            <v>IMPOTS FONCIERS ET TAXES ANNEX</v>
          </cell>
          <cell r="E468">
            <v>0</v>
          </cell>
          <cell r="F468">
            <v>0</v>
          </cell>
          <cell r="G468">
            <v>91175062</v>
          </cell>
          <cell r="H468">
            <v>0</v>
          </cell>
          <cell r="I468">
            <v>91175062</v>
          </cell>
          <cell r="J468">
            <v>0</v>
          </cell>
        </row>
        <row r="469">
          <cell r="B469">
            <v>641200</v>
          </cell>
          <cell r="C469" t="str">
            <v>RI</v>
          </cell>
          <cell r="D469" t="str">
            <v>PATENTES, LICENCES ET TAXES AN</v>
          </cell>
          <cell r="E469">
            <v>0</v>
          </cell>
          <cell r="F469">
            <v>0</v>
          </cell>
          <cell r="G469">
            <v>377189305</v>
          </cell>
          <cell r="H469">
            <v>0</v>
          </cell>
          <cell r="I469">
            <v>377189305</v>
          </cell>
          <cell r="J469">
            <v>0</v>
          </cell>
        </row>
        <row r="470">
          <cell r="B470">
            <v>641310</v>
          </cell>
          <cell r="C470" t="str">
            <v>RI</v>
          </cell>
          <cell r="D470" t="str">
            <v>TAXES SUR APPOINTEMENTS ET SAL</v>
          </cell>
          <cell r="E470">
            <v>0</v>
          </cell>
          <cell r="F470">
            <v>0</v>
          </cell>
          <cell r="G470">
            <v>156387678</v>
          </cell>
          <cell r="H470">
            <v>0</v>
          </cell>
          <cell r="I470">
            <v>156387678</v>
          </cell>
          <cell r="J470">
            <v>0</v>
          </cell>
        </row>
        <row r="471">
          <cell r="B471">
            <v>641800</v>
          </cell>
          <cell r="C471" t="str">
            <v>RI</v>
          </cell>
          <cell r="D471" t="str">
            <v>AUTRES IMPOTS ET TAXES DIRECTS</v>
          </cell>
          <cell r="E471">
            <v>0</v>
          </cell>
          <cell r="F471">
            <v>0</v>
          </cell>
          <cell r="G471">
            <v>2067065511</v>
          </cell>
          <cell r="H471">
            <v>233999</v>
          </cell>
          <cell r="I471">
            <v>2066831512</v>
          </cell>
          <cell r="J471">
            <v>0</v>
          </cell>
        </row>
        <row r="472">
          <cell r="B472">
            <v>646300</v>
          </cell>
          <cell r="C472" t="str">
            <v>RI</v>
          </cell>
          <cell r="D472" t="str">
            <v>TAXES SUR LES VEHICULES DE SOC</v>
          </cell>
          <cell r="E472">
            <v>0</v>
          </cell>
          <cell r="F472">
            <v>0</v>
          </cell>
          <cell r="G472">
            <v>4830700</v>
          </cell>
          <cell r="H472">
            <v>0</v>
          </cell>
          <cell r="I472">
            <v>4830700</v>
          </cell>
          <cell r="J472">
            <v>0</v>
          </cell>
        </row>
        <row r="473">
          <cell r="B473">
            <v>646800</v>
          </cell>
          <cell r="C473" t="str">
            <v>RI</v>
          </cell>
          <cell r="D473" t="str">
            <v>AUTRES DROITS D'ENREGISTREMENT</v>
          </cell>
          <cell r="E473">
            <v>0</v>
          </cell>
          <cell r="F473">
            <v>0</v>
          </cell>
          <cell r="G473">
            <v>35762790</v>
          </cell>
          <cell r="H473">
            <v>0</v>
          </cell>
          <cell r="I473">
            <v>35762790</v>
          </cell>
          <cell r="J473">
            <v>0</v>
          </cell>
        </row>
        <row r="474">
          <cell r="B474">
            <v>647000</v>
          </cell>
          <cell r="C474" t="str">
            <v>RI</v>
          </cell>
          <cell r="D474" t="str">
            <v>PENALITES &amp; AMENDES FISCALES</v>
          </cell>
          <cell r="E474">
            <v>0</v>
          </cell>
          <cell r="F474">
            <v>0</v>
          </cell>
          <cell r="G474">
            <v>2352367</v>
          </cell>
          <cell r="H474">
            <v>0</v>
          </cell>
          <cell r="I474">
            <v>2352367</v>
          </cell>
          <cell r="J474">
            <v>0</v>
          </cell>
        </row>
        <row r="475">
          <cell r="B475">
            <v>648000</v>
          </cell>
          <cell r="C475" t="str">
            <v>RI</v>
          </cell>
          <cell r="D475" t="str">
            <v>AUTRES IMPOTS &amp; TAXES</v>
          </cell>
          <cell r="E475">
            <v>0</v>
          </cell>
          <cell r="F475">
            <v>0</v>
          </cell>
          <cell r="G475">
            <v>22500000</v>
          </cell>
          <cell r="H475">
            <v>62500</v>
          </cell>
          <cell r="I475">
            <v>22437500</v>
          </cell>
          <cell r="J475">
            <v>0</v>
          </cell>
        </row>
        <row r="476">
          <cell r="B476">
            <v>651100</v>
          </cell>
          <cell r="C476" t="str">
            <v>RJ</v>
          </cell>
          <cell r="D476" t="str">
            <v>PERTES / CREANCES CLIENTS</v>
          </cell>
          <cell r="E476">
            <v>0</v>
          </cell>
          <cell r="F476">
            <v>0</v>
          </cell>
          <cell r="G476">
            <v>1997771033</v>
          </cell>
          <cell r="H476">
            <v>161432013</v>
          </cell>
          <cell r="I476">
            <v>1836339020</v>
          </cell>
          <cell r="J476">
            <v>0</v>
          </cell>
        </row>
        <row r="477">
          <cell r="B477">
            <v>651500</v>
          </cell>
          <cell r="C477" t="str">
            <v>RJ</v>
          </cell>
          <cell r="D477" t="str">
            <v>PERTES / AUTRES DEBITEURS</v>
          </cell>
          <cell r="E477">
            <v>0</v>
          </cell>
          <cell r="F477">
            <v>0</v>
          </cell>
          <cell r="G477">
            <v>6934</v>
          </cell>
          <cell r="H477">
            <v>0</v>
          </cell>
          <cell r="I477">
            <v>6934</v>
          </cell>
          <cell r="J477">
            <v>0</v>
          </cell>
        </row>
        <row r="478">
          <cell r="B478">
            <v>657000</v>
          </cell>
          <cell r="C478" t="str">
            <v>RJ</v>
          </cell>
          <cell r="D478" t="str">
            <v>PENALITES ET AMENDES PENALES</v>
          </cell>
          <cell r="E478">
            <v>0</v>
          </cell>
          <cell r="F478">
            <v>0</v>
          </cell>
          <cell r="G478">
            <v>6355453</v>
          </cell>
          <cell r="H478">
            <v>0</v>
          </cell>
          <cell r="I478">
            <v>6355453</v>
          </cell>
          <cell r="J478">
            <v>0</v>
          </cell>
        </row>
        <row r="479">
          <cell r="B479">
            <v>658200</v>
          </cell>
          <cell r="C479" t="str">
            <v>RJ</v>
          </cell>
          <cell r="D479" t="str">
            <v>DONS</v>
          </cell>
          <cell r="E479">
            <v>0</v>
          </cell>
          <cell r="F479">
            <v>0</v>
          </cell>
          <cell r="G479">
            <v>80000</v>
          </cell>
          <cell r="H479">
            <v>0</v>
          </cell>
          <cell r="I479">
            <v>80000</v>
          </cell>
          <cell r="J479">
            <v>0</v>
          </cell>
        </row>
        <row r="480">
          <cell r="B480">
            <v>659300</v>
          </cell>
          <cell r="C480" t="str">
            <v>RJ</v>
          </cell>
          <cell r="D480" t="str">
            <v>CHARGES PROVISIONNEES S/ STOCK</v>
          </cell>
          <cell r="E480">
            <v>0</v>
          </cell>
          <cell r="F480">
            <v>0</v>
          </cell>
          <cell r="G480">
            <v>71919948</v>
          </cell>
          <cell r="H480">
            <v>102448693</v>
          </cell>
          <cell r="I480">
            <v>0</v>
          </cell>
          <cell r="J480">
            <v>30528745</v>
          </cell>
        </row>
        <row r="481">
          <cell r="B481">
            <v>659400</v>
          </cell>
          <cell r="C481" t="str">
            <v>RJ</v>
          </cell>
          <cell r="D481" t="str">
            <v>CHARGES PROVISIONNEES S/ CREAN</v>
          </cell>
          <cell r="E481">
            <v>0</v>
          </cell>
          <cell r="F481">
            <v>0</v>
          </cell>
          <cell r="G481">
            <v>406329719</v>
          </cell>
          <cell r="H481">
            <v>87758220</v>
          </cell>
          <cell r="I481">
            <v>318571499</v>
          </cell>
          <cell r="J481">
            <v>0</v>
          </cell>
        </row>
        <row r="482">
          <cell r="B482">
            <v>661100</v>
          </cell>
          <cell r="C482" t="str">
            <v>RK</v>
          </cell>
          <cell r="D482" t="str">
            <v>APPOINTEMENTS, SALAIRES PERSON</v>
          </cell>
          <cell r="E482">
            <v>0</v>
          </cell>
          <cell r="F482">
            <v>0</v>
          </cell>
          <cell r="G482">
            <v>3049648392</v>
          </cell>
          <cell r="H482">
            <v>0</v>
          </cell>
          <cell r="I482">
            <v>3049648392</v>
          </cell>
          <cell r="J482">
            <v>0</v>
          </cell>
        </row>
        <row r="483">
          <cell r="B483">
            <v>661200</v>
          </cell>
          <cell r="C483" t="str">
            <v>RK</v>
          </cell>
          <cell r="D483" t="str">
            <v>PRIMES ET GRATIFICATIONS PERSO</v>
          </cell>
          <cell r="E483">
            <v>0</v>
          </cell>
          <cell r="F483">
            <v>0</v>
          </cell>
          <cell r="G483">
            <v>468356047</v>
          </cell>
          <cell r="H483">
            <v>0</v>
          </cell>
          <cell r="I483">
            <v>468356047</v>
          </cell>
          <cell r="J483">
            <v>0</v>
          </cell>
        </row>
        <row r="484">
          <cell r="B484">
            <v>661300</v>
          </cell>
          <cell r="C484" t="str">
            <v>RK</v>
          </cell>
          <cell r="D484" t="str">
            <v>CONGES PAYES PERSONNEL NATIONA</v>
          </cell>
          <cell r="E484">
            <v>0</v>
          </cell>
          <cell r="F484">
            <v>0</v>
          </cell>
          <cell r="G484">
            <v>156918335</v>
          </cell>
          <cell r="H484">
            <v>0</v>
          </cell>
          <cell r="I484">
            <v>156918335</v>
          </cell>
          <cell r="J484">
            <v>0</v>
          </cell>
        </row>
        <row r="485">
          <cell r="B485">
            <v>661700</v>
          </cell>
          <cell r="C485" t="str">
            <v>RK</v>
          </cell>
          <cell r="D485" t="str">
            <v>AVANTAGES EN NATURE PERSONNEL</v>
          </cell>
          <cell r="E485">
            <v>0</v>
          </cell>
          <cell r="F485">
            <v>0</v>
          </cell>
          <cell r="G485">
            <v>285687315</v>
          </cell>
          <cell r="H485">
            <v>13526471</v>
          </cell>
          <cell r="I485">
            <v>272160844</v>
          </cell>
          <cell r="J485">
            <v>0</v>
          </cell>
        </row>
        <row r="486">
          <cell r="B486">
            <v>664100</v>
          </cell>
          <cell r="C486" t="str">
            <v>RK</v>
          </cell>
          <cell r="D486" t="str">
            <v>CHARGES SOCIALES S/ REMUNERATI</v>
          </cell>
          <cell r="E486">
            <v>0</v>
          </cell>
          <cell r="F486">
            <v>0</v>
          </cell>
          <cell r="G486">
            <v>758480083</v>
          </cell>
          <cell r="H486">
            <v>0</v>
          </cell>
          <cell r="I486">
            <v>758480083</v>
          </cell>
          <cell r="J486">
            <v>0</v>
          </cell>
        </row>
        <row r="487">
          <cell r="B487">
            <v>668000</v>
          </cell>
          <cell r="C487" t="str">
            <v>RK</v>
          </cell>
          <cell r="D487" t="str">
            <v>AUTRES CHARGES SOCIALES</v>
          </cell>
          <cell r="E487">
            <v>0</v>
          </cell>
          <cell r="F487">
            <v>0</v>
          </cell>
          <cell r="G487">
            <v>210552907</v>
          </cell>
          <cell r="H487">
            <v>56618755</v>
          </cell>
          <cell r="I487">
            <v>153934152</v>
          </cell>
          <cell r="J487">
            <v>0</v>
          </cell>
        </row>
        <row r="488">
          <cell r="B488">
            <v>674500</v>
          </cell>
          <cell r="C488" t="str">
            <v>RM</v>
          </cell>
          <cell r="D488" t="str">
            <v>INT BANCAIRE, S/ OPERATION DE</v>
          </cell>
          <cell r="E488">
            <v>0</v>
          </cell>
          <cell r="F488">
            <v>0</v>
          </cell>
          <cell r="G488">
            <v>4049127827</v>
          </cell>
          <cell r="H488">
            <v>0</v>
          </cell>
          <cell r="I488">
            <v>4049127827</v>
          </cell>
          <cell r="J488">
            <v>0</v>
          </cell>
        </row>
        <row r="489">
          <cell r="B489">
            <v>676000</v>
          </cell>
          <cell r="C489" t="str">
            <v>RM</v>
          </cell>
          <cell r="D489" t="str">
            <v>PERTES DE CHANGE</v>
          </cell>
          <cell r="E489">
            <v>0</v>
          </cell>
          <cell r="F489">
            <v>0</v>
          </cell>
          <cell r="G489">
            <v>18495122</v>
          </cell>
          <cell r="H489">
            <v>73</v>
          </cell>
          <cell r="I489">
            <v>18495049</v>
          </cell>
          <cell r="J489">
            <v>0</v>
          </cell>
        </row>
        <row r="490">
          <cell r="B490">
            <v>679100</v>
          </cell>
          <cell r="C490" t="str">
            <v>RM</v>
          </cell>
          <cell r="D490" t="str">
            <v>CHARG  DEP ET PROV RISQ FINANC</v>
          </cell>
          <cell r="E490">
            <v>0</v>
          </cell>
          <cell r="F490">
            <v>0</v>
          </cell>
          <cell r="G490">
            <v>79926948</v>
          </cell>
          <cell r="H490">
            <v>0</v>
          </cell>
          <cell r="I490">
            <v>79926948</v>
          </cell>
          <cell r="J490">
            <v>0</v>
          </cell>
        </row>
        <row r="491">
          <cell r="B491">
            <v>679800</v>
          </cell>
          <cell r="C491" t="str">
            <v>RM</v>
          </cell>
          <cell r="D491" t="str">
            <v>AUTRES CHARGES PROVISIONNEES F</v>
          </cell>
          <cell r="E491">
            <v>0</v>
          </cell>
          <cell r="F491">
            <v>0</v>
          </cell>
          <cell r="G491">
            <v>136371772</v>
          </cell>
          <cell r="H491">
            <v>128865117</v>
          </cell>
          <cell r="I491">
            <v>7506655</v>
          </cell>
          <cell r="J491">
            <v>0</v>
          </cell>
        </row>
        <row r="492">
          <cell r="B492">
            <v>681221</v>
          </cell>
          <cell r="C492" t="str">
            <v>RL</v>
          </cell>
          <cell r="D492" t="str">
            <v>DOT. AMORT. LICENCES GSM</v>
          </cell>
          <cell r="E492">
            <v>0</v>
          </cell>
          <cell r="F492">
            <v>0</v>
          </cell>
          <cell r="G492">
            <v>2555415583</v>
          </cell>
          <cell r="H492">
            <v>0</v>
          </cell>
          <cell r="I492">
            <v>2555415583</v>
          </cell>
          <cell r="J492">
            <v>0</v>
          </cell>
        </row>
        <row r="493">
          <cell r="B493">
            <v>681222</v>
          </cell>
          <cell r="C493" t="str">
            <v>RL</v>
          </cell>
          <cell r="D493" t="str">
            <v>DOT. AMORT. AUTRES LICENCES ET</v>
          </cell>
          <cell r="E493">
            <v>0</v>
          </cell>
          <cell r="F493">
            <v>0</v>
          </cell>
          <cell r="G493">
            <v>3558750994</v>
          </cell>
          <cell r="H493">
            <v>0</v>
          </cell>
          <cell r="I493">
            <v>3558750994</v>
          </cell>
          <cell r="J493">
            <v>0</v>
          </cell>
        </row>
        <row r="494">
          <cell r="B494">
            <v>681231</v>
          </cell>
          <cell r="C494" t="str">
            <v>RL</v>
          </cell>
          <cell r="D494" t="str">
            <v>DOT. AMORT. LOGICIELS D'EXPLOI</v>
          </cell>
          <cell r="E494">
            <v>0</v>
          </cell>
          <cell r="F494">
            <v>0</v>
          </cell>
          <cell r="G494">
            <v>1170961072</v>
          </cell>
          <cell r="H494">
            <v>0</v>
          </cell>
          <cell r="I494">
            <v>1170961072</v>
          </cell>
          <cell r="J494">
            <v>0</v>
          </cell>
        </row>
        <row r="495">
          <cell r="B495">
            <v>681232</v>
          </cell>
          <cell r="C495" t="str">
            <v>RL</v>
          </cell>
          <cell r="D495" t="str">
            <v>DOT. AMORT. LOGICIELS AUTRES A</v>
          </cell>
          <cell r="E495">
            <v>0</v>
          </cell>
          <cell r="F495">
            <v>0</v>
          </cell>
          <cell r="G495">
            <v>33979024</v>
          </cell>
          <cell r="H495">
            <v>0</v>
          </cell>
          <cell r="I495">
            <v>33979024</v>
          </cell>
          <cell r="J495">
            <v>0</v>
          </cell>
        </row>
        <row r="496">
          <cell r="B496">
            <v>681310</v>
          </cell>
          <cell r="C496" t="str">
            <v>RL</v>
          </cell>
          <cell r="D496" t="str">
            <v>DOT. AMORT BATIMENTS INDUSTRIE</v>
          </cell>
          <cell r="E496">
            <v>0</v>
          </cell>
          <cell r="F496">
            <v>0</v>
          </cell>
          <cell r="G496">
            <v>22697004</v>
          </cell>
          <cell r="H496">
            <v>0</v>
          </cell>
          <cell r="I496">
            <v>22697004</v>
          </cell>
          <cell r="J496">
            <v>0</v>
          </cell>
        </row>
        <row r="497">
          <cell r="B497">
            <v>681320</v>
          </cell>
          <cell r="C497" t="str">
            <v>RL</v>
          </cell>
          <cell r="D497" t="str">
            <v>DOT. AMORT INFRASTRUCTURES PYL</v>
          </cell>
          <cell r="E497">
            <v>0</v>
          </cell>
          <cell r="F497">
            <v>0</v>
          </cell>
          <cell r="G497">
            <v>1632423351</v>
          </cell>
          <cell r="H497">
            <v>0</v>
          </cell>
          <cell r="I497">
            <v>1632423351</v>
          </cell>
          <cell r="J497">
            <v>0</v>
          </cell>
        </row>
        <row r="498">
          <cell r="B498">
            <v>681325</v>
          </cell>
          <cell r="C498" t="str">
            <v>RL</v>
          </cell>
          <cell r="D498" t="str">
            <v>DOT. AMORT AMENAGEMENT DE BURE</v>
          </cell>
          <cell r="E498">
            <v>0</v>
          </cell>
          <cell r="F498">
            <v>0</v>
          </cell>
          <cell r="G498">
            <v>34373497</v>
          </cell>
          <cell r="H498">
            <v>0</v>
          </cell>
          <cell r="I498">
            <v>34373497</v>
          </cell>
          <cell r="J498">
            <v>0</v>
          </cell>
        </row>
        <row r="499">
          <cell r="B499">
            <v>681330</v>
          </cell>
          <cell r="C499" t="str">
            <v>RL</v>
          </cell>
          <cell r="D499" t="str">
            <v>DOT. AMORT AMENAGEMENT AGENCES</v>
          </cell>
          <cell r="E499">
            <v>0</v>
          </cell>
          <cell r="F499">
            <v>0</v>
          </cell>
          <cell r="G499">
            <v>32410560</v>
          </cell>
          <cell r="H499">
            <v>0</v>
          </cell>
          <cell r="I499">
            <v>32410560</v>
          </cell>
          <cell r="J499">
            <v>0</v>
          </cell>
        </row>
        <row r="500">
          <cell r="B500">
            <v>681335</v>
          </cell>
          <cell r="C500" t="str">
            <v>RL</v>
          </cell>
          <cell r="D500" t="str">
            <v>DOT. AMORT AUTRES AMENAGEMENTS</v>
          </cell>
          <cell r="E500">
            <v>0</v>
          </cell>
          <cell r="F500">
            <v>0</v>
          </cell>
          <cell r="G500">
            <v>864671339</v>
          </cell>
          <cell r="H500">
            <v>0</v>
          </cell>
          <cell r="I500">
            <v>864671339</v>
          </cell>
          <cell r="J500">
            <v>0</v>
          </cell>
        </row>
        <row r="501">
          <cell r="B501">
            <v>681345</v>
          </cell>
          <cell r="C501" t="str">
            <v>RL</v>
          </cell>
          <cell r="D501" t="str">
            <v>DOT. AMORT DIVERS INSTALLATION</v>
          </cell>
          <cell r="E501">
            <v>0</v>
          </cell>
          <cell r="F501">
            <v>0</v>
          </cell>
          <cell r="G501">
            <v>1031263437</v>
          </cell>
          <cell r="H501">
            <v>0</v>
          </cell>
          <cell r="I501">
            <v>1031263437</v>
          </cell>
          <cell r="J501">
            <v>0</v>
          </cell>
        </row>
        <row r="502">
          <cell r="B502">
            <v>681350</v>
          </cell>
          <cell r="C502" t="str">
            <v>RL</v>
          </cell>
          <cell r="D502" t="str">
            <v>DOT. AMORT MATERIEL RADIO - BS</v>
          </cell>
          <cell r="E502">
            <v>0</v>
          </cell>
          <cell r="F502">
            <v>0</v>
          </cell>
          <cell r="G502">
            <v>2876439751</v>
          </cell>
          <cell r="H502">
            <v>0</v>
          </cell>
          <cell r="I502">
            <v>2876439751</v>
          </cell>
          <cell r="J502">
            <v>0</v>
          </cell>
        </row>
        <row r="503">
          <cell r="B503">
            <v>681355</v>
          </cell>
          <cell r="C503" t="str">
            <v>RL</v>
          </cell>
          <cell r="D503" t="str">
            <v>DOT. AMORT MATERIEL DE TRANSMI</v>
          </cell>
          <cell r="E503">
            <v>0</v>
          </cell>
          <cell r="F503">
            <v>0</v>
          </cell>
          <cell r="G503">
            <v>1398159653</v>
          </cell>
          <cell r="H503">
            <v>0</v>
          </cell>
          <cell r="I503">
            <v>1398159653</v>
          </cell>
          <cell r="J503">
            <v>0</v>
          </cell>
        </row>
        <row r="504">
          <cell r="B504">
            <v>681360</v>
          </cell>
          <cell r="C504" t="str">
            <v>RL</v>
          </cell>
          <cell r="D504" t="str">
            <v>DOT. AMORT MATERIEL DE COMMUTA</v>
          </cell>
          <cell r="E504">
            <v>0</v>
          </cell>
          <cell r="F504">
            <v>0</v>
          </cell>
          <cell r="G504">
            <v>1030078730</v>
          </cell>
          <cell r="H504">
            <v>0</v>
          </cell>
          <cell r="I504">
            <v>1030078730</v>
          </cell>
          <cell r="J504">
            <v>0</v>
          </cell>
        </row>
        <row r="505">
          <cell r="B505">
            <v>681365</v>
          </cell>
          <cell r="C505" t="str">
            <v>RL</v>
          </cell>
          <cell r="D505" t="str">
            <v>DOT. AMORT MATERIEL SVA</v>
          </cell>
          <cell r="E505">
            <v>0</v>
          </cell>
          <cell r="F505">
            <v>0</v>
          </cell>
          <cell r="G505">
            <v>136169</v>
          </cell>
          <cell r="H505">
            <v>0</v>
          </cell>
          <cell r="I505">
            <v>136169</v>
          </cell>
          <cell r="J505">
            <v>0</v>
          </cell>
        </row>
        <row r="506">
          <cell r="B506">
            <v>681370</v>
          </cell>
          <cell r="C506" t="str">
            <v>RL</v>
          </cell>
          <cell r="D506" t="str">
            <v>DOT. AMORT MATERIEL DE BUREAU</v>
          </cell>
          <cell r="E506">
            <v>0</v>
          </cell>
          <cell r="F506">
            <v>0</v>
          </cell>
          <cell r="G506">
            <v>12872706</v>
          </cell>
          <cell r="H506">
            <v>0</v>
          </cell>
          <cell r="I506">
            <v>12872706</v>
          </cell>
          <cell r="J506">
            <v>0</v>
          </cell>
        </row>
        <row r="507">
          <cell r="B507">
            <v>681375</v>
          </cell>
          <cell r="C507" t="str">
            <v>RL</v>
          </cell>
          <cell r="D507" t="str">
            <v>DOT. AMORT MATERIEL INFORMATIQ</v>
          </cell>
          <cell r="E507">
            <v>0</v>
          </cell>
          <cell r="F507">
            <v>0</v>
          </cell>
          <cell r="G507">
            <v>907069154</v>
          </cell>
          <cell r="H507">
            <v>0</v>
          </cell>
          <cell r="I507">
            <v>907069154</v>
          </cell>
          <cell r="J507">
            <v>0</v>
          </cell>
        </row>
        <row r="508">
          <cell r="B508">
            <v>681380</v>
          </cell>
          <cell r="C508" t="str">
            <v>RL</v>
          </cell>
          <cell r="D508" t="str">
            <v>DOT. AMORT MOBILIER DE BUREAU</v>
          </cell>
          <cell r="E508">
            <v>0</v>
          </cell>
          <cell r="F508">
            <v>0</v>
          </cell>
          <cell r="G508">
            <v>27316165</v>
          </cell>
          <cell r="H508">
            <v>0</v>
          </cell>
          <cell r="I508">
            <v>27316165</v>
          </cell>
          <cell r="J508">
            <v>0</v>
          </cell>
        </row>
        <row r="509">
          <cell r="B509">
            <v>681385</v>
          </cell>
          <cell r="C509" t="str">
            <v>RL</v>
          </cell>
          <cell r="D509" t="str">
            <v>DOT. AMORT MATERIEL ET MOBILIE</v>
          </cell>
          <cell r="E509">
            <v>0</v>
          </cell>
          <cell r="F509">
            <v>0</v>
          </cell>
          <cell r="G509">
            <v>17066571</v>
          </cell>
          <cell r="H509">
            <v>0</v>
          </cell>
          <cell r="I509">
            <v>17066571</v>
          </cell>
          <cell r="J509">
            <v>0</v>
          </cell>
        </row>
        <row r="510">
          <cell r="B510">
            <v>681390</v>
          </cell>
          <cell r="C510" t="str">
            <v>RL</v>
          </cell>
          <cell r="D510" t="str">
            <v>DOT. AMORT MATERIEL DE TRANSPO</v>
          </cell>
          <cell r="E510">
            <v>0</v>
          </cell>
          <cell r="F510">
            <v>0</v>
          </cell>
          <cell r="G510">
            <v>1007466</v>
          </cell>
          <cell r="H510">
            <v>0</v>
          </cell>
          <cell r="I510">
            <v>1007466</v>
          </cell>
          <cell r="J510">
            <v>0</v>
          </cell>
        </row>
        <row r="511">
          <cell r="B511">
            <v>681400</v>
          </cell>
          <cell r="C511" t="str">
            <v>RL</v>
          </cell>
          <cell r="D511" t="str">
            <v>DOT. AMORT. AUTRES MATERIELS</v>
          </cell>
          <cell r="E511">
            <v>0</v>
          </cell>
          <cell r="F511">
            <v>0</v>
          </cell>
          <cell r="G511">
            <v>52900120</v>
          </cell>
          <cell r="H511">
            <v>0</v>
          </cell>
          <cell r="I511">
            <v>52900120</v>
          </cell>
          <cell r="J511">
            <v>0</v>
          </cell>
        </row>
        <row r="512">
          <cell r="B512">
            <v>691100</v>
          </cell>
          <cell r="C512" t="str">
            <v>RL</v>
          </cell>
          <cell r="D512" t="str">
            <v>PROVISIONS POUR RISQUES &amp; CHAR</v>
          </cell>
          <cell r="E512">
            <v>0</v>
          </cell>
          <cell r="F512">
            <v>0</v>
          </cell>
          <cell r="G512">
            <v>138488673</v>
          </cell>
          <cell r="H512">
            <v>0</v>
          </cell>
          <cell r="I512">
            <v>138488673</v>
          </cell>
          <cell r="J512">
            <v>0</v>
          </cell>
        </row>
        <row r="513">
          <cell r="B513">
            <v>691400</v>
          </cell>
          <cell r="C513" t="str">
            <v>RL</v>
          </cell>
          <cell r="D513" t="str">
            <v>PROVISIONS POUR DEP. IMMOBILIS</v>
          </cell>
          <cell r="E513">
            <v>0</v>
          </cell>
          <cell r="F513">
            <v>0</v>
          </cell>
          <cell r="G513">
            <v>1133004221</v>
          </cell>
          <cell r="H513">
            <v>0</v>
          </cell>
          <cell r="I513">
            <v>1133004221</v>
          </cell>
          <cell r="J513">
            <v>0</v>
          </cell>
        </row>
        <row r="514">
          <cell r="B514">
            <v>701110</v>
          </cell>
          <cell r="C514" t="str">
            <v>TA</v>
          </cell>
          <cell r="D514" t="str">
            <v>VENTES TERMINAUX</v>
          </cell>
          <cell r="E514">
            <v>0</v>
          </cell>
          <cell r="F514">
            <v>0</v>
          </cell>
          <cell r="G514">
            <v>3300847</v>
          </cell>
          <cell r="H514">
            <v>523518406</v>
          </cell>
          <cell r="I514">
            <v>0</v>
          </cell>
          <cell r="J514">
            <v>520217559</v>
          </cell>
        </row>
        <row r="515">
          <cell r="B515">
            <v>701115</v>
          </cell>
          <cell r="C515" t="str">
            <v>TA</v>
          </cell>
          <cell r="D515" t="str">
            <v>VENTES ACCESSOIRES</v>
          </cell>
          <cell r="E515">
            <v>0</v>
          </cell>
          <cell r="F515">
            <v>0</v>
          </cell>
          <cell r="G515">
            <v>2601686</v>
          </cell>
          <cell r="H515">
            <v>766778791</v>
          </cell>
          <cell r="I515">
            <v>0</v>
          </cell>
          <cell r="J515">
            <v>764177105</v>
          </cell>
        </row>
        <row r="516">
          <cell r="B516">
            <v>701120</v>
          </cell>
          <cell r="C516" t="str">
            <v>TA</v>
          </cell>
          <cell r="D516" t="str">
            <v>VENTES KITS SIM</v>
          </cell>
          <cell r="E516">
            <v>0</v>
          </cell>
          <cell r="F516">
            <v>0</v>
          </cell>
          <cell r="G516">
            <v>2105533813</v>
          </cell>
          <cell r="H516">
            <v>1927322043</v>
          </cell>
          <cell r="I516">
            <v>178211770</v>
          </cell>
          <cell r="J516">
            <v>0</v>
          </cell>
        </row>
        <row r="517">
          <cell r="B517">
            <v>701130</v>
          </cell>
          <cell r="C517" t="str">
            <v>TA</v>
          </cell>
          <cell r="D517" t="str">
            <v>VENTES CARTES SIM SWAP</v>
          </cell>
          <cell r="E517">
            <v>0</v>
          </cell>
          <cell r="F517">
            <v>0</v>
          </cell>
          <cell r="G517">
            <v>0</v>
          </cell>
          <cell r="H517">
            <v>18244973</v>
          </cell>
          <cell r="I517">
            <v>0</v>
          </cell>
          <cell r="J517">
            <v>18244973</v>
          </cell>
        </row>
        <row r="518">
          <cell r="B518">
            <v>701140</v>
          </cell>
          <cell r="C518" t="str">
            <v>TA</v>
          </cell>
          <cell r="D518" t="str">
            <v>VENTES CARTES DE RECHARGE</v>
          </cell>
          <cell r="E518">
            <v>0</v>
          </cell>
          <cell r="F518">
            <v>0</v>
          </cell>
          <cell r="G518">
            <v>132204860</v>
          </cell>
          <cell r="H518">
            <v>132204860</v>
          </cell>
          <cell r="I518">
            <v>0</v>
          </cell>
          <cell r="J518">
            <v>0</v>
          </cell>
        </row>
        <row r="519">
          <cell r="B519">
            <v>701141</v>
          </cell>
          <cell r="C519" t="str">
            <v>TA</v>
          </cell>
          <cell r="D519" t="str">
            <v>VENTE DE RECHARGE ELECTRONIQUE</v>
          </cell>
          <cell r="E519">
            <v>0</v>
          </cell>
          <cell r="F519">
            <v>0</v>
          </cell>
          <cell r="G519">
            <v>62270047828</v>
          </cell>
          <cell r="H519">
            <v>62270047828</v>
          </cell>
          <cell r="I519">
            <v>0</v>
          </cell>
          <cell r="J519">
            <v>0</v>
          </cell>
        </row>
        <row r="520">
          <cell r="B520">
            <v>706115</v>
          </cell>
          <cell r="C520" t="str">
            <v>TC</v>
          </cell>
          <cell r="D520" t="str">
            <v>FRAIS ABONNEMENTS POSTPAID</v>
          </cell>
          <cell r="E520">
            <v>0</v>
          </cell>
          <cell r="F520">
            <v>0</v>
          </cell>
          <cell r="G520">
            <v>2247285821</v>
          </cell>
          <cell r="H520">
            <v>4719905514</v>
          </cell>
          <cell r="I520">
            <v>0</v>
          </cell>
          <cell r="J520">
            <v>2472619693</v>
          </cell>
        </row>
        <row r="521">
          <cell r="B521">
            <v>706117</v>
          </cell>
          <cell r="C521" t="str">
            <v>TC</v>
          </cell>
          <cell r="D521" t="str">
            <v>REVENU SMS SORTANT PREPAID</v>
          </cell>
          <cell r="E521">
            <v>0</v>
          </cell>
          <cell r="F521">
            <v>0</v>
          </cell>
          <cell r="G521">
            <v>0</v>
          </cell>
          <cell r="H521">
            <v>103336074</v>
          </cell>
          <cell r="I521">
            <v>0</v>
          </cell>
          <cell r="J521">
            <v>103336074</v>
          </cell>
        </row>
        <row r="522">
          <cell r="B522">
            <v>706118</v>
          </cell>
          <cell r="C522" t="str">
            <v>TC</v>
          </cell>
          <cell r="D522" t="str">
            <v>REVENU SMS SORTANT POSTPAID</v>
          </cell>
          <cell r="E522">
            <v>0</v>
          </cell>
          <cell r="F522">
            <v>0</v>
          </cell>
          <cell r="G522">
            <v>0</v>
          </cell>
          <cell r="H522">
            <v>568222</v>
          </cell>
          <cell r="I522">
            <v>0</v>
          </cell>
          <cell r="J522">
            <v>568222</v>
          </cell>
        </row>
        <row r="523">
          <cell r="B523">
            <v>706120</v>
          </cell>
          <cell r="C523" t="str">
            <v>TC</v>
          </cell>
          <cell r="D523" t="str">
            <v>AIRTIME SORTANT PREPAID INTRA</v>
          </cell>
          <cell r="E523">
            <v>0</v>
          </cell>
          <cell r="F523">
            <v>0</v>
          </cell>
          <cell r="G523">
            <v>0</v>
          </cell>
          <cell r="H523">
            <v>21910899670</v>
          </cell>
          <cell r="I523">
            <v>0</v>
          </cell>
          <cell r="J523">
            <v>21910899670</v>
          </cell>
        </row>
        <row r="524">
          <cell r="B524">
            <v>706121</v>
          </cell>
          <cell r="C524" t="str">
            <v>TC</v>
          </cell>
          <cell r="D524" t="str">
            <v>AIRTIME SORTANT PREPAID VERS A</v>
          </cell>
          <cell r="E524">
            <v>0</v>
          </cell>
          <cell r="F524">
            <v>0</v>
          </cell>
          <cell r="G524">
            <v>0</v>
          </cell>
          <cell r="H524">
            <v>22684041102</v>
          </cell>
          <cell r="I524">
            <v>0</v>
          </cell>
          <cell r="J524">
            <v>22684041102</v>
          </cell>
        </row>
        <row r="525">
          <cell r="B525">
            <v>706123</v>
          </cell>
          <cell r="C525" t="str">
            <v>TC</v>
          </cell>
          <cell r="D525" t="str">
            <v>AIRTIME SORTANT PREPAID VERS N</v>
          </cell>
          <cell r="E525">
            <v>0</v>
          </cell>
          <cell r="F525">
            <v>0</v>
          </cell>
          <cell r="G525">
            <v>0</v>
          </cell>
          <cell r="H525">
            <v>510038715</v>
          </cell>
          <cell r="I525">
            <v>0</v>
          </cell>
          <cell r="J525">
            <v>510038715</v>
          </cell>
        </row>
        <row r="526">
          <cell r="B526">
            <v>706124</v>
          </cell>
          <cell r="C526" t="str">
            <v>TC</v>
          </cell>
          <cell r="D526" t="str">
            <v>AIRTIME SORTANT PREPAID VERS I</v>
          </cell>
          <cell r="E526">
            <v>0</v>
          </cell>
          <cell r="F526">
            <v>0</v>
          </cell>
          <cell r="G526">
            <v>0</v>
          </cell>
          <cell r="H526">
            <v>2326098311</v>
          </cell>
          <cell r="I526">
            <v>0</v>
          </cell>
          <cell r="J526">
            <v>2326098311</v>
          </cell>
        </row>
        <row r="527">
          <cell r="B527">
            <v>706125</v>
          </cell>
          <cell r="C527" t="str">
            <v>TC</v>
          </cell>
          <cell r="D527" t="str">
            <v>AIRTIME SORTANT POSTPAID INTRA</v>
          </cell>
          <cell r="E527">
            <v>0</v>
          </cell>
          <cell r="F527">
            <v>0</v>
          </cell>
          <cell r="G527">
            <v>37538312</v>
          </cell>
          <cell r="H527">
            <v>73553388</v>
          </cell>
          <cell r="I527">
            <v>0</v>
          </cell>
          <cell r="J527">
            <v>36015076</v>
          </cell>
        </row>
        <row r="528">
          <cell r="B528">
            <v>706126</v>
          </cell>
          <cell r="C528" t="str">
            <v>TC</v>
          </cell>
          <cell r="D528" t="str">
            <v>AIRTIME SORTANT POSTPAID VERS</v>
          </cell>
          <cell r="E528">
            <v>0</v>
          </cell>
          <cell r="F528">
            <v>0</v>
          </cell>
          <cell r="G528">
            <v>83898073</v>
          </cell>
          <cell r="H528">
            <v>170931719</v>
          </cell>
          <cell r="I528">
            <v>0</v>
          </cell>
          <cell r="J528">
            <v>87033646</v>
          </cell>
        </row>
        <row r="529">
          <cell r="B529">
            <v>706128</v>
          </cell>
          <cell r="C529" t="str">
            <v>TC</v>
          </cell>
          <cell r="D529" t="str">
            <v>AIRTIME  SORTANT POSTPAID VERS</v>
          </cell>
          <cell r="E529">
            <v>0</v>
          </cell>
          <cell r="F529">
            <v>0</v>
          </cell>
          <cell r="G529">
            <v>670404</v>
          </cell>
          <cell r="H529">
            <v>1381623</v>
          </cell>
          <cell r="I529">
            <v>0</v>
          </cell>
          <cell r="J529">
            <v>711219</v>
          </cell>
        </row>
        <row r="530">
          <cell r="B530">
            <v>706129</v>
          </cell>
          <cell r="C530" t="str">
            <v>TC</v>
          </cell>
          <cell r="D530" t="str">
            <v>AIRTIME SORTANT POSTPAID VERS</v>
          </cell>
          <cell r="E530">
            <v>0</v>
          </cell>
          <cell r="F530">
            <v>0</v>
          </cell>
          <cell r="G530">
            <v>33277964</v>
          </cell>
          <cell r="H530">
            <v>59056712</v>
          </cell>
          <cell r="I530">
            <v>0</v>
          </cell>
          <cell r="J530">
            <v>25778748</v>
          </cell>
        </row>
        <row r="531">
          <cell r="B531">
            <v>706132</v>
          </cell>
          <cell r="C531" t="str">
            <v>TC</v>
          </cell>
          <cell r="D531" t="str">
            <v>INTERCONNEXION ENTRANT INTERNA</v>
          </cell>
          <cell r="E531">
            <v>0</v>
          </cell>
          <cell r="F531">
            <v>0</v>
          </cell>
          <cell r="G531">
            <v>2259075484</v>
          </cell>
          <cell r="H531">
            <v>4305612149</v>
          </cell>
          <cell r="I531">
            <v>0</v>
          </cell>
          <cell r="J531">
            <v>2046536665</v>
          </cell>
        </row>
        <row r="532">
          <cell r="B532">
            <v>706134</v>
          </cell>
          <cell r="C532" t="str">
            <v>TC</v>
          </cell>
          <cell r="D532" t="str">
            <v>INTERCONNEXION SMS  ENTRANT IN</v>
          </cell>
          <cell r="E532">
            <v>0</v>
          </cell>
          <cell r="F532">
            <v>0</v>
          </cell>
          <cell r="G532">
            <v>1013379057</v>
          </cell>
          <cell r="H532">
            <v>1014627248</v>
          </cell>
          <cell r="I532">
            <v>0</v>
          </cell>
          <cell r="J532">
            <v>1248191</v>
          </cell>
        </row>
        <row r="533">
          <cell r="B533">
            <v>706137</v>
          </cell>
          <cell r="C533" t="str">
            <v>TC</v>
          </cell>
          <cell r="D533" t="str">
            <v>INTERCONNEXION ENTRANT INTERNA</v>
          </cell>
          <cell r="E533">
            <v>0</v>
          </cell>
          <cell r="F533">
            <v>0</v>
          </cell>
          <cell r="G533">
            <v>0</v>
          </cell>
          <cell r="H533">
            <v>7031119</v>
          </cell>
          <cell r="I533">
            <v>0</v>
          </cell>
          <cell r="J533">
            <v>7031119</v>
          </cell>
        </row>
        <row r="534">
          <cell r="B534">
            <v>706138</v>
          </cell>
          <cell r="C534" t="str">
            <v>TC</v>
          </cell>
          <cell r="D534" t="str">
            <v>INTERCONNEXION SMS  ENTRANT NA</v>
          </cell>
          <cell r="E534">
            <v>0</v>
          </cell>
          <cell r="F534">
            <v>0</v>
          </cell>
          <cell r="G534">
            <v>0</v>
          </cell>
          <cell r="H534">
            <v>904035098</v>
          </cell>
          <cell r="I534">
            <v>0</v>
          </cell>
          <cell r="J534">
            <v>904035098</v>
          </cell>
        </row>
        <row r="535">
          <cell r="B535">
            <v>706140</v>
          </cell>
          <cell r="C535" t="str">
            <v>TC</v>
          </cell>
          <cell r="D535" t="str">
            <v>ROAMING ABONNES PREPAID</v>
          </cell>
          <cell r="E535">
            <v>0</v>
          </cell>
          <cell r="F535">
            <v>0</v>
          </cell>
          <cell r="G535">
            <v>0</v>
          </cell>
          <cell r="H535">
            <v>213312690</v>
          </cell>
          <cell r="I535">
            <v>0</v>
          </cell>
          <cell r="J535">
            <v>213312690</v>
          </cell>
        </row>
        <row r="536">
          <cell r="B536">
            <v>706141</v>
          </cell>
          <cell r="C536" t="str">
            <v>TC</v>
          </cell>
          <cell r="D536" t="str">
            <v>ROAMING ABONNES POSTPAID</v>
          </cell>
          <cell r="E536">
            <v>0</v>
          </cell>
          <cell r="F536">
            <v>0</v>
          </cell>
          <cell r="G536">
            <v>39375845</v>
          </cell>
          <cell r="H536">
            <v>64260817</v>
          </cell>
          <cell r="I536">
            <v>0</v>
          </cell>
          <cell r="J536">
            <v>24884972</v>
          </cell>
        </row>
        <row r="537">
          <cell r="B537">
            <v>706142</v>
          </cell>
          <cell r="C537" t="str">
            <v>TC</v>
          </cell>
          <cell r="D537" t="str">
            <v>ROAMING VISITEURS</v>
          </cell>
          <cell r="E537">
            <v>0</v>
          </cell>
          <cell r="F537">
            <v>0</v>
          </cell>
          <cell r="G537">
            <v>42865916</v>
          </cell>
          <cell r="H537">
            <v>585101878</v>
          </cell>
          <cell r="I537">
            <v>0</v>
          </cell>
          <cell r="J537">
            <v>542235962</v>
          </cell>
        </row>
        <row r="538">
          <cell r="B538">
            <v>706143</v>
          </cell>
          <cell r="C538" t="str">
            <v>TC</v>
          </cell>
          <cell r="D538" t="str">
            <v>ROAMING NATIONAL VOIX</v>
          </cell>
          <cell r="E538">
            <v>0</v>
          </cell>
          <cell r="F538">
            <v>0</v>
          </cell>
          <cell r="G538">
            <v>15645850</v>
          </cell>
          <cell r="H538">
            <v>71430824</v>
          </cell>
          <cell r="I538">
            <v>0</v>
          </cell>
          <cell r="J538">
            <v>55784974</v>
          </cell>
        </row>
        <row r="539">
          <cell r="B539">
            <v>706144</v>
          </cell>
          <cell r="C539" t="str">
            <v>TC</v>
          </cell>
          <cell r="D539" t="str">
            <v>ROAMING NATIONAL SMS</v>
          </cell>
          <cell r="E539">
            <v>0</v>
          </cell>
          <cell r="F539">
            <v>0</v>
          </cell>
          <cell r="G539">
            <v>0</v>
          </cell>
          <cell r="H539">
            <v>203760</v>
          </cell>
          <cell r="I539">
            <v>0</v>
          </cell>
          <cell r="J539">
            <v>203760</v>
          </cell>
        </row>
        <row r="540">
          <cell r="B540">
            <v>706145</v>
          </cell>
          <cell r="C540" t="str">
            <v>TC</v>
          </cell>
          <cell r="D540" t="str">
            <v>ROAMING NATIONAL DATA</v>
          </cell>
          <cell r="E540">
            <v>0</v>
          </cell>
          <cell r="F540">
            <v>0</v>
          </cell>
          <cell r="G540">
            <v>0</v>
          </cell>
          <cell r="H540">
            <v>129586371</v>
          </cell>
          <cell r="I540">
            <v>0</v>
          </cell>
          <cell r="J540">
            <v>129586371</v>
          </cell>
        </row>
        <row r="541">
          <cell r="B541">
            <v>706150</v>
          </cell>
          <cell r="C541" t="str">
            <v>TC</v>
          </cell>
          <cell r="D541" t="str">
            <v>REVENU M-COMMERCE</v>
          </cell>
          <cell r="E541">
            <v>0</v>
          </cell>
          <cell r="F541">
            <v>0</v>
          </cell>
          <cell r="G541">
            <v>0</v>
          </cell>
          <cell r="H541">
            <v>5697280649</v>
          </cell>
          <cell r="I541">
            <v>0</v>
          </cell>
          <cell r="J541">
            <v>5697280649</v>
          </cell>
        </row>
        <row r="542">
          <cell r="B542">
            <v>706151</v>
          </cell>
          <cell r="C542" t="str">
            <v>TC</v>
          </cell>
          <cell r="D542" t="str">
            <v>SVA PREPAID</v>
          </cell>
          <cell r="E542">
            <v>0</v>
          </cell>
          <cell r="F542">
            <v>0</v>
          </cell>
          <cell r="G542">
            <v>0</v>
          </cell>
          <cell r="H542">
            <v>655087825</v>
          </cell>
          <cell r="I542">
            <v>0</v>
          </cell>
          <cell r="J542">
            <v>655087825</v>
          </cell>
        </row>
        <row r="543">
          <cell r="B543">
            <v>706152</v>
          </cell>
          <cell r="C543" t="str">
            <v>TC</v>
          </cell>
          <cell r="D543" t="str">
            <v>SVA POSTPAID</v>
          </cell>
          <cell r="E543">
            <v>0</v>
          </cell>
          <cell r="F543">
            <v>0</v>
          </cell>
          <cell r="G543">
            <v>3216501</v>
          </cell>
          <cell r="H543">
            <v>160386916</v>
          </cell>
          <cell r="I543">
            <v>0</v>
          </cell>
          <cell r="J543">
            <v>157170415</v>
          </cell>
        </row>
        <row r="544">
          <cell r="B544">
            <v>706153</v>
          </cell>
          <cell r="C544" t="str">
            <v>TC</v>
          </cell>
          <cell r="D544" t="str">
            <v>Revenu data Prépaid</v>
          </cell>
          <cell r="E544">
            <v>0</v>
          </cell>
          <cell r="F544">
            <v>0</v>
          </cell>
          <cell r="G544">
            <v>-96194</v>
          </cell>
          <cell r="H544">
            <v>47180773559</v>
          </cell>
          <cell r="I544">
            <v>0</v>
          </cell>
          <cell r="J544">
            <v>47180869753</v>
          </cell>
        </row>
        <row r="545">
          <cell r="B545">
            <v>706154</v>
          </cell>
          <cell r="C545" t="str">
            <v>TC</v>
          </cell>
          <cell r="D545" t="str">
            <v>Revenu data Postpaid</v>
          </cell>
          <cell r="E545">
            <v>0</v>
          </cell>
          <cell r="F545">
            <v>0</v>
          </cell>
          <cell r="G545">
            <v>964634432</v>
          </cell>
          <cell r="H545">
            <v>1217228504</v>
          </cell>
          <cell r="I545">
            <v>0</v>
          </cell>
          <cell r="J545">
            <v>252594072</v>
          </cell>
        </row>
        <row r="546">
          <cell r="B546">
            <v>706160</v>
          </cell>
          <cell r="C546" t="str">
            <v>TC</v>
          </cell>
          <cell r="D546" t="str">
            <v>RECUPERATION CREDITS MINUTES E</v>
          </cell>
          <cell r="E546">
            <v>0</v>
          </cell>
          <cell r="F546">
            <v>0</v>
          </cell>
          <cell r="G546">
            <v>0</v>
          </cell>
          <cell r="H546">
            <v>76284</v>
          </cell>
          <cell r="I546">
            <v>0</v>
          </cell>
          <cell r="J546">
            <v>76284</v>
          </cell>
        </row>
        <row r="547">
          <cell r="B547">
            <v>706710</v>
          </cell>
          <cell r="C547" t="str">
            <v>TC</v>
          </cell>
          <cell r="D547" t="str">
            <v>LOCATION CAPACITE SUR CABLE SM</v>
          </cell>
          <cell r="E547">
            <v>0</v>
          </cell>
          <cell r="F547">
            <v>0</v>
          </cell>
          <cell r="G547">
            <v>174284310</v>
          </cell>
          <cell r="H547">
            <v>542546083</v>
          </cell>
          <cell r="I547">
            <v>0</v>
          </cell>
          <cell r="J547">
            <v>368261773</v>
          </cell>
        </row>
        <row r="548">
          <cell r="B548">
            <v>706920</v>
          </cell>
          <cell r="C548" t="str">
            <v>TC</v>
          </cell>
          <cell r="D548" t="str">
            <v>RRR BONUS AIR TIME, FIDELISATI</v>
          </cell>
          <cell r="E548">
            <v>0</v>
          </cell>
          <cell r="F548">
            <v>0</v>
          </cell>
          <cell r="G548">
            <v>4451973882</v>
          </cell>
          <cell r="H548">
            <v>0</v>
          </cell>
          <cell r="I548">
            <v>4451973882</v>
          </cell>
          <cell r="J548">
            <v>0</v>
          </cell>
        </row>
        <row r="549">
          <cell r="B549">
            <v>707300</v>
          </cell>
          <cell r="C549" t="str">
            <v>TD</v>
          </cell>
          <cell r="D549" t="str">
            <v>PRODUITS ACCESSOIRES, LOCATION</v>
          </cell>
          <cell r="E549">
            <v>0</v>
          </cell>
          <cell r="F549">
            <v>0</v>
          </cell>
          <cell r="G549">
            <v>193366911</v>
          </cell>
          <cell r="H549">
            <v>735662071</v>
          </cell>
          <cell r="I549">
            <v>0</v>
          </cell>
          <cell r="J549">
            <v>542295160</v>
          </cell>
        </row>
        <row r="550">
          <cell r="B550">
            <v>707310</v>
          </cell>
          <cell r="C550" t="str">
            <v>TD</v>
          </cell>
          <cell r="D550" t="str">
            <v>PRDTS ACCESSOIRES, COLOCATION</v>
          </cell>
          <cell r="E550">
            <v>0</v>
          </cell>
          <cell r="F550">
            <v>0</v>
          </cell>
          <cell r="G550">
            <v>255263801</v>
          </cell>
          <cell r="H550">
            <v>906481057</v>
          </cell>
          <cell r="I550">
            <v>0</v>
          </cell>
          <cell r="J550">
            <v>651217256</v>
          </cell>
        </row>
        <row r="551">
          <cell r="B551">
            <v>758300</v>
          </cell>
          <cell r="C551" t="str">
            <v>TH</v>
          </cell>
          <cell r="D551" t="str">
            <v>PENALITES RECUES</v>
          </cell>
          <cell r="E551">
            <v>0</v>
          </cell>
          <cell r="F551">
            <v>0</v>
          </cell>
          <cell r="G551">
            <v>0</v>
          </cell>
          <cell r="H551">
            <v>10453995</v>
          </cell>
          <cell r="I551">
            <v>0</v>
          </cell>
          <cell r="J551">
            <v>10453995</v>
          </cell>
        </row>
        <row r="552">
          <cell r="B552">
            <v>758400</v>
          </cell>
          <cell r="C552" t="str">
            <v>TH</v>
          </cell>
          <cell r="D552" t="str">
            <v>AUTRES PRODUITS</v>
          </cell>
          <cell r="E552">
            <v>0</v>
          </cell>
          <cell r="F552">
            <v>0</v>
          </cell>
          <cell r="G552">
            <v>761</v>
          </cell>
          <cell r="H552">
            <v>100456245</v>
          </cell>
          <cell r="I552">
            <v>0</v>
          </cell>
          <cell r="J552">
            <v>100455484</v>
          </cell>
        </row>
        <row r="553">
          <cell r="B553">
            <v>759400</v>
          </cell>
          <cell r="C553" t="str">
            <v>TH</v>
          </cell>
          <cell r="D553" t="str">
            <v>REPRISE PROVISION POUR DEPRECI</v>
          </cell>
          <cell r="E553">
            <v>0</v>
          </cell>
          <cell r="F553">
            <v>0</v>
          </cell>
          <cell r="G553">
            <v>0</v>
          </cell>
          <cell r="H553">
            <v>1035793949</v>
          </cell>
          <cell r="I553">
            <v>0</v>
          </cell>
          <cell r="J553">
            <v>1035793949</v>
          </cell>
        </row>
        <row r="554">
          <cell r="B554">
            <v>771000</v>
          </cell>
          <cell r="C554" t="str">
            <v>TK</v>
          </cell>
          <cell r="D554" t="str">
            <v>INTERETS DE PRETS</v>
          </cell>
          <cell r="E554">
            <v>0</v>
          </cell>
          <cell r="F554">
            <v>0</v>
          </cell>
          <cell r="G554">
            <v>0</v>
          </cell>
          <cell r="H554">
            <v>487525540</v>
          </cell>
          <cell r="I554">
            <v>0</v>
          </cell>
          <cell r="J554">
            <v>487525540</v>
          </cell>
        </row>
        <row r="555">
          <cell r="B555">
            <v>776000</v>
          </cell>
          <cell r="C555" t="str">
            <v>TK</v>
          </cell>
          <cell r="D555" t="str">
            <v>GAINS DE CHANGE</v>
          </cell>
          <cell r="E555">
            <v>0</v>
          </cell>
          <cell r="F555">
            <v>0</v>
          </cell>
          <cell r="G555">
            <v>24909</v>
          </cell>
          <cell r="H555">
            <v>11239499</v>
          </cell>
          <cell r="I555">
            <v>0</v>
          </cell>
          <cell r="J555">
            <v>11214590</v>
          </cell>
        </row>
        <row r="556">
          <cell r="B556">
            <v>779100</v>
          </cell>
          <cell r="C556" t="str">
            <v>TK</v>
          </cell>
          <cell r="D556" t="str">
            <v>REPRISES DE CHARGES FINANCIERE</v>
          </cell>
          <cell r="E556">
            <v>0</v>
          </cell>
          <cell r="F556">
            <v>0</v>
          </cell>
          <cell r="G556">
            <v>0</v>
          </cell>
          <cell r="H556">
            <v>372167169</v>
          </cell>
          <cell r="I556">
            <v>0</v>
          </cell>
          <cell r="J556">
            <v>372167169</v>
          </cell>
        </row>
        <row r="557">
          <cell r="B557">
            <v>781000</v>
          </cell>
          <cell r="C557" t="str">
            <v>TI</v>
          </cell>
          <cell r="D557" t="str">
            <v>TRANSFERT DE CHARGES D'EXPLOIT</v>
          </cell>
          <cell r="E557">
            <v>0</v>
          </cell>
          <cell r="F557">
            <v>0</v>
          </cell>
          <cell r="G557">
            <v>0</v>
          </cell>
          <cell r="H557">
            <v>143764808</v>
          </cell>
          <cell r="I557">
            <v>0</v>
          </cell>
          <cell r="J557">
            <v>143764808</v>
          </cell>
        </row>
        <row r="558">
          <cell r="B558">
            <v>781100</v>
          </cell>
          <cell r="C558" t="str">
            <v>TI</v>
          </cell>
          <cell r="D558" t="str">
            <v>TRANSFERT CHARGES D'EXPLOIT MM</v>
          </cell>
          <cell r="E558">
            <v>0</v>
          </cell>
          <cell r="F558">
            <v>0</v>
          </cell>
          <cell r="G558">
            <v>0</v>
          </cell>
          <cell r="H558">
            <v>58697776</v>
          </cell>
          <cell r="I558">
            <v>0</v>
          </cell>
          <cell r="J558">
            <v>58697776</v>
          </cell>
        </row>
        <row r="559">
          <cell r="B559">
            <v>791100</v>
          </cell>
          <cell r="C559" t="str">
            <v>TJ</v>
          </cell>
          <cell r="D559" t="str">
            <v>REPRISES PROV. POUR RISQUES &amp;</v>
          </cell>
          <cell r="E559">
            <v>0</v>
          </cell>
          <cell r="F559">
            <v>0</v>
          </cell>
          <cell r="G559">
            <v>0</v>
          </cell>
          <cell r="H559">
            <v>130028623</v>
          </cell>
          <cell r="I559">
            <v>0</v>
          </cell>
          <cell r="J559">
            <v>130028623</v>
          </cell>
        </row>
        <row r="560">
          <cell r="B560">
            <v>791400</v>
          </cell>
          <cell r="C560" t="str">
            <v>TJ</v>
          </cell>
          <cell r="D560" t="str">
            <v>REPRISES PROV. POUR DEP. IMMOB</v>
          </cell>
          <cell r="E560">
            <v>0</v>
          </cell>
          <cell r="F560">
            <v>0</v>
          </cell>
          <cell r="G560">
            <v>0</v>
          </cell>
          <cell r="H560">
            <v>1458883577</v>
          </cell>
          <cell r="I560">
            <v>0</v>
          </cell>
          <cell r="J560">
            <v>1458883577</v>
          </cell>
        </row>
        <row r="561">
          <cell r="B561">
            <v>891000</v>
          </cell>
          <cell r="C561" t="str">
            <v>RS</v>
          </cell>
          <cell r="D561" t="str">
            <v>IMPOT SUR LES BENEFICES DE L'E</v>
          </cell>
          <cell r="E561">
            <v>0</v>
          </cell>
          <cell r="F561">
            <v>0</v>
          </cell>
          <cell r="G561">
            <v>1067468330</v>
          </cell>
          <cell r="H561">
            <v>0</v>
          </cell>
          <cell r="I561">
            <v>1067468330</v>
          </cell>
          <cell r="J561">
            <v>0</v>
          </cell>
        </row>
        <row r="562">
          <cell r="B562" t="str">
            <v>Total bilan</v>
          </cell>
          <cell r="E562">
            <v>0</v>
          </cell>
          <cell r="F562">
            <v>0</v>
          </cell>
          <cell r="G562">
            <v>1535310699864</v>
          </cell>
          <cell r="H562">
            <v>1530532336180</v>
          </cell>
          <cell r="I562">
            <v>4778363684</v>
          </cell>
          <cell r="J562">
            <v>0</v>
          </cell>
        </row>
        <row r="563">
          <cell r="B563" t="str">
            <v>TOTAL SOCIETE</v>
          </cell>
          <cell r="C563" t="str">
            <v>MOMEB</v>
          </cell>
          <cell r="D563" t="str">
            <v>Moov Money &amp; MOOV AFRICA BENIN</v>
          </cell>
          <cell r="E563">
            <v>0</v>
          </cell>
          <cell r="F563">
            <v>0</v>
          </cell>
          <cell r="G563">
            <v>1716902408606</v>
          </cell>
          <cell r="H563">
            <v>1716902408606</v>
          </cell>
          <cell r="I563">
            <v>0</v>
          </cell>
          <cell r="J563">
            <v>0</v>
          </cell>
        </row>
        <row r="564">
          <cell r="B564" t="str">
            <v>Total  gestion</v>
          </cell>
          <cell r="E564">
            <v>0</v>
          </cell>
          <cell r="F564">
            <v>0</v>
          </cell>
          <cell r="G564">
            <v>181591708742</v>
          </cell>
          <cell r="H564">
            <v>186370072426</v>
          </cell>
          <cell r="I564">
            <v>0</v>
          </cell>
          <cell r="J564">
            <v>4778363684</v>
          </cell>
        </row>
        <row r="565">
          <cell r="B565" t="str">
            <v>Total hors-bilan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ommaire"/>
      <sheetName val="&lt;&lt;Social&gt;&gt;"/>
      <sheetName val="BG "/>
      <sheetName val="Bilan Actif"/>
      <sheetName val="Bilan Passif "/>
      <sheetName val="Compte de résultat"/>
      <sheetName val="&lt;&lt;Matrice OHADA-IFRS&gt;&gt;"/>
      <sheetName val="Passage Actif BC "/>
      <sheetName val="Passage Passif BC "/>
      <sheetName val="Passage P&amp;L-par nature"/>
      <sheetName val="Feuil1"/>
      <sheetName val="Passage P&amp;L-par fonction"/>
      <sheetName val="Bilan-par flux"/>
      <sheetName val="&lt;&lt;IFRS&gt;&gt;"/>
      <sheetName val="Bilan (restit)"/>
      <sheetName val="P&amp;L-par nature (restit)"/>
      <sheetName val="P&amp;L-par fonction (restit)"/>
      <sheetName val="&lt;&lt;Annexes&gt;&gt; "/>
      <sheetName val="Actifs finan. non courants"/>
      <sheetName val="Actifs financiers courants"/>
      <sheetName val="Fair value hierarchy"/>
      <sheetName val="Stocks "/>
      <sheetName val="Cartes SIM"/>
      <sheetName val="Effectif "/>
      <sheetName val="Créances d'exp"/>
      <sheetName val="Dettes d'exp"/>
      <sheetName val="Dettes_acquisition_immo"/>
      <sheetName val="FND-Synthèse"/>
      <sheetName val="FND-Dettes Fi à LT "/>
      <sheetName val="FND-Dettes fi à CT"/>
      <sheetName val="FND-C&amp;Ceq "/>
      <sheetName val="Risque de change"/>
      <sheetName val="Covenants"/>
      <sheetName val="Provisions par nature"/>
      <sheetName val="Maturité des provisions passif"/>
      <sheetName val="Taux effectif d'impôt"/>
      <sheetName val="ID par nature"/>
      <sheetName val="Dividendes"/>
      <sheetName val="Dettes SHL"/>
      <sheetName val="Management Fees"/>
      <sheetName val="EHB"/>
      <sheetName val="Opérat. parties liées"/>
      <sheetName val="Dons"/>
      <sheetName val="Note de crédit"/>
      <sheetName val="PIDR"/>
      <sheetName val="&lt;&lt;Contrôles&gt;&gt;"/>
      <sheetName val="Contrôles EC&amp; Immo"/>
      <sheetName val="Contrôles provisions"/>
      <sheetName val="Autres contrôles"/>
      <sheetName val="Détails des Charges ope"/>
      <sheetName val="Activation"/>
      <sheetName val="Emprunt MT"/>
      <sheetName val="Emprunt BABE"/>
      <sheetName val="Emprunt ACE"/>
      <sheetName val="Interêts BABE"/>
      <sheetName val="New MT"/>
    </sheetNames>
    <sheetDataSet>
      <sheetData sheetId="0"/>
      <sheetData sheetId="1"/>
      <sheetData sheetId="2"/>
      <sheetData sheetId="3">
        <row r="355">
          <cell r="J35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 1"/>
      <sheetName val="RECAP (2)"/>
      <sheetName val="Biens 2021"/>
      <sheetName val="Biens 2022+ajout"/>
    </sheetNames>
    <sheetDataSet>
      <sheetData sheetId="0">
        <row r="42">
          <cell r="K42">
            <v>0</v>
          </cell>
        </row>
        <row r="44">
          <cell r="K44">
            <v>0</v>
          </cell>
        </row>
        <row r="45">
          <cell r="K45">
            <v>0</v>
          </cell>
        </row>
        <row r="46">
          <cell r="K46">
            <v>0</v>
          </cell>
        </row>
        <row r="48">
          <cell r="K48">
            <v>0</v>
          </cell>
        </row>
        <row r="49">
          <cell r="K49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>
        <row r="3">
          <cell r="S3">
            <v>-319.48805099999998</v>
          </cell>
        </row>
        <row r="17">
          <cell r="G17">
            <v>-8.4786830000000002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IN"/>
      <sheetName val="Impacts_IFRS.16"/>
    </sheetNames>
    <sheetDataSet>
      <sheetData sheetId="0"/>
      <sheetData sheetId="1">
        <row r="11">
          <cell r="J11">
            <v>229311702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Produits"/>
      <sheetName val="Charges"/>
      <sheetName val="Feuil6"/>
      <sheetName val="Synthèse"/>
      <sheetName val="Synthèse (2)"/>
      <sheetName val="PC Cor"/>
      <sheetName val="cash flow"/>
      <sheetName val="P&amp;L"/>
      <sheetName val="OPEX"/>
      <sheetName val="Ls_AgXLB_WorkbookFile"/>
      <sheetName val="Balance Sheet"/>
      <sheetName val="Ls_XLB_WorkbookFile"/>
      <sheetName val="PC annuel"/>
      <sheetName val="Capex "/>
      <sheetName val="Plan"/>
      <sheetName val="A1 ancien"/>
      <sheetName val="MAP BILAN"/>
      <sheetName val="Feuil1"/>
      <sheetName val="Feuil1 (2)"/>
      <sheetName val="Feuil1 (3)"/>
      <sheetName val=" P&amp;L Balancve sheets "/>
      <sheetName val="Feuil3"/>
      <sheetName val="Staff"/>
      <sheetName val="Feuil2"/>
      <sheetName val="Feuil9"/>
      <sheetName val="Bdgt"/>
      <sheetName val="Feuil4"/>
      <sheetName val="Feuil5"/>
      <sheetName val="Feuil7"/>
      <sheetName val="Feuil8"/>
      <sheetName val="Bon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3">
          <cell r="G33">
            <v>4785804</v>
          </cell>
        </row>
        <row r="34">
          <cell r="G34">
            <v>-86498664</v>
          </cell>
        </row>
        <row r="81">
          <cell r="G81">
            <v>-17803553</v>
          </cell>
        </row>
        <row r="84">
          <cell r="G84">
            <v>-3057628</v>
          </cell>
        </row>
        <row r="93">
          <cell r="G93">
            <v>-83</v>
          </cell>
        </row>
        <row r="95">
          <cell r="G95">
            <v>-44602617</v>
          </cell>
        </row>
        <row r="110">
          <cell r="G110">
            <v>17770399</v>
          </cell>
        </row>
        <row r="163">
          <cell r="G163">
            <v>-61497715</v>
          </cell>
        </row>
        <row r="205">
          <cell r="G205">
            <v>51994344</v>
          </cell>
        </row>
        <row r="225">
          <cell r="G225">
            <v>688345</v>
          </cell>
        </row>
        <row r="233">
          <cell r="G233">
            <v>-1335772</v>
          </cell>
        </row>
      </sheetData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ommaire"/>
      <sheetName val="&lt;&lt;Social&gt;&gt;"/>
      <sheetName val="BG "/>
      <sheetName val="Bilan Actif"/>
      <sheetName val="Bilan Passif "/>
      <sheetName val="Compte de résultat"/>
      <sheetName val="&lt;&lt;Matrice OHADA-IFRS&gt;&gt;"/>
      <sheetName val="Passage Actif BC "/>
      <sheetName val="Passage Passif BC "/>
      <sheetName val="Passage P&amp;L-par nature"/>
      <sheetName val="Feuil1"/>
      <sheetName val="Passage P&amp;L-par fonction"/>
      <sheetName val="Bilan-par flux"/>
      <sheetName val="&lt;&lt;IFRS&gt;&gt;"/>
      <sheetName val="Bilan (restit)"/>
      <sheetName val="P&amp;L-par nature (restit)"/>
      <sheetName val="P&amp;L-par fonction (restit)"/>
      <sheetName val="&lt;&lt;Annexes&gt;&gt; "/>
      <sheetName val="Actifs finan. non courants"/>
      <sheetName val="Actifs financiers courants"/>
      <sheetName val="Fair value hierarchy"/>
      <sheetName val="Stocks "/>
      <sheetName val="Cartes SIM"/>
      <sheetName val="Effectif "/>
      <sheetName val="Créances d'exp"/>
      <sheetName val="Dettes d'exp"/>
      <sheetName val="Dettes_acquisition_immo"/>
      <sheetName val="FND-Synthèse"/>
      <sheetName val="FND-Dettes Fi à LT "/>
      <sheetName val="FND-Dettes fi à CT"/>
      <sheetName val="FND-C&amp;Ceq "/>
      <sheetName val="Risque de change"/>
      <sheetName val="Covenants"/>
      <sheetName val="Provisions par nature"/>
      <sheetName val="Maturité des provisions passif"/>
      <sheetName val="Taux effectif d'impôt"/>
      <sheetName val="ID par nature"/>
      <sheetName val="Dividendes"/>
      <sheetName val="Dettes SHL"/>
      <sheetName val="Management Fees"/>
      <sheetName val="EHB"/>
      <sheetName val="Opérat. parties liées"/>
      <sheetName val="Dons"/>
      <sheetName val="Note de crédit"/>
      <sheetName val="PIDR"/>
      <sheetName val="&lt;&lt;Contrôles&gt;&gt;"/>
      <sheetName val="Contrôles EC&amp; Immo"/>
      <sheetName val="Contrôles provisions"/>
      <sheetName val="Autres contrôles"/>
      <sheetName val="Détails des Charges ope"/>
      <sheetName val="Activation"/>
      <sheetName val="Emprunt MT"/>
      <sheetName val="Emprunt BABE"/>
      <sheetName val="Emprunt ACE"/>
      <sheetName val="Interêts BABE"/>
      <sheetName val="New M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34">
          <cell r="E34">
            <v>17973221800</v>
          </cell>
        </row>
        <row r="35">
          <cell r="E35">
            <v>50474044281</v>
          </cell>
        </row>
      </sheetData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V2">
            <v>685004612</v>
          </cell>
        </row>
        <row r="3">
          <cell r="Z3">
            <v>-770673504</v>
          </cell>
        </row>
        <row r="4">
          <cell r="Z4">
            <v>563688739</v>
          </cell>
        </row>
        <row r="5">
          <cell r="Z5">
            <v>249331236</v>
          </cell>
        </row>
        <row r="6">
          <cell r="R6">
            <v>247488904</v>
          </cell>
          <cell r="T6">
            <v>1842332</v>
          </cell>
          <cell r="Z6">
            <v>42346471</v>
          </cell>
        </row>
        <row r="7">
          <cell r="G7">
            <v>124408155</v>
          </cell>
          <cell r="Z7">
            <v>124408155</v>
          </cell>
        </row>
        <row r="8">
          <cell r="Z8">
            <v>5972165318</v>
          </cell>
        </row>
        <row r="9">
          <cell r="Z9">
            <v>-1494032840</v>
          </cell>
        </row>
        <row r="10">
          <cell r="G10">
            <v>-6468377</v>
          </cell>
          <cell r="Z10">
            <v>79200515</v>
          </cell>
        </row>
      </sheetData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"/>
      <sheetName val="RECESH"/>
      <sheetName val="ZEXTRAT BG"/>
    </sheetNames>
    <sheetDataSet>
      <sheetData sheetId="0">
        <row r="6">
          <cell r="E6">
            <v>3046043469</v>
          </cell>
        </row>
      </sheetData>
      <sheetData sheetId="1">
        <row r="2">
          <cell r="A2" t="str">
            <v>IFRS16</v>
          </cell>
        </row>
      </sheetData>
      <sheetData sheetId="2">
        <row r="2">
          <cell r="N2">
            <v>-294971740</v>
          </cell>
          <cell r="O2">
            <v>137399</v>
          </cell>
          <cell r="P2">
            <v>-89471679</v>
          </cell>
          <cell r="Q2">
            <v>3061</v>
          </cell>
          <cell r="R2">
            <v>1502124441</v>
          </cell>
          <cell r="S2">
            <v>2479556</v>
          </cell>
          <cell r="T2">
            <v>-194076507</v>
          </cell>
        </row>
        <row r="8">
          <cell r="V8">
            <v>6137370310</v>
          </cell>
        </row>
        <row r="9">
          <cell r="V9">
            <v>-2064217502</v>
          </cell>
        </row>
        <row r="10">
          <cell r="V10">
            <v>97957622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7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P63"/>
  <sheetViews>
    <sheetView showGridLines="0" view="pageBreakPreview" topLeftCell="H40" zoomScale="60" zoomScaleNormal="53" workbookViewId="0">
      <selection activeCell="AT18" sqref="AT18"/>
    </sheetView>
  </sheetViews>
  <sheetFormatPr baseColWidth="10" defaultColWidth="11.44140625" defaultRowHeight="14.4" x14ac:dyDescent="0.3"/>
  <cols>
    <col min="1" max="1" width="3.5546875" style="1" customWidth="1"/>
    <col min="2" max="2" width="3.109375" style="1" customWidth="1"/>
    <col min="3" max="3" width="3.109375" style="2" customWidth="1"/>
    <col min="4" max="13" width="12.5546875" style="1" customWidth="1"/>
    <col min="14" max="16" width="11.44140625" style="1"/>
    <col min="17" max="17" width="3.109375" style="1" customWidth="1"/>
    <col min="18" max="18" width="3.109375" style="2" customWidth="1"/>
    <col min="19" max="19" width="3.5546875" style="1" customWidth="1"/>
    <col min="20" max="20" width="1.109375" style="1" customWidth="1"/>
    <col min="21" max="22" width="11.44140625" style="1"/>
    <col min="23" max="23" width="8" style="1" customWidth="1"/>
    <col min="24" max="24" width="54.5546875" style="3" bestFit="1" customWidth="1"/>
    <col min="25" max="25" width="41.44140625" style="1" customWidth="1"/>
    <col min="26" max="52" width="11.44140625" style="1"/>
    <col min="53" max="53" width="9.44140625" style="1" customWidth="1"/>
    <col min="54" max="16384" width="11.44140625" style="1"/>
  </cols>
  <sheetData>
    <row r="1" spans="1:25" ht="6" customHeight="1" x14ac:dyDescent="0.3"/>
    <row r="2" spans="1:25" ht="20.100000000000001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5" x14ac:dyDescent="0.3">
      <c r="A3" s="4"/>
      <c r="B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s="4"/>
    </row>
    <row r="4" spans="1:25" x14ac:dyDescent="0.3">
      <c r="A4" s="4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4"/>
    </row>
    <row r="5" spans="1:25" hidden="1" x14ac:dyDescent="0.3">
      <c r="A5" s="4"/>
      <c r="B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4"/>
    </row>
    <row r="6" spans="1:25" hidden="1" x14ac:dyDescent="0.3">
      <c r="A6" s="4"/>
      <c r="B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4"/>
    </row>
    <row r="7" spans="1:25" x14ac:dyDescent="0.3">
      <c r="A7" s="4"/>
      <c r="B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4"/>
    </row>
    <row r="8" spans="1:25" x14ac:dyDescent="0.3">
      <c r="A8" s="4"/>
      <c r="B8" s="2"/>
      <c r="Q8" s="2"/>
      <c r="S8" s="4"/>
    </row>
    <row r="9" spans="1:25" x14ac:dyDescent="0.3">
      <c r="A9" s="4"/>
      <c r="B9" s="2"/>
      <c r="Q9" s="2"/>
      <c r="S9" s="4"/>
    </row>
    <row r="10" spans="1:25" x14ac:dyDescent="0.3">
      <c r="A10" s="4"/>
      <c r="B10" s="2"/>
      <c r="Q10" s="2"/>
      <c r="S10" s="4"/>
    </row>
    <row r="11" spans="1:25" x14ac:dyDescent="0.3">
      <c r="A11" s="4"/>
      <c r="B11" s="2"/>
      <c r="Q11" s="2"/>
      <c r="S11" s="4"/>
    </row>
    <row r="12" spans="1:25" s="7" customFormat="1" ht="15" thickBot="1" x14ac:dyDescent="0.35">
      <c r="A12" s="5"/>
      <c r="B12" s="6"/>
      <c r="C12" s="6"/>
      <c r="D12" s="1915"/>
      <c r="E12" s="1915"/>
      <c r="F12" s="1915"/>
      <c r="G12" s="1915"/>
      <c r="H12" s="1915"/>
      <c r="I12" s="1915"/>
      <c r="J12" s="1915"/>
      <c r="K12" s="1915"/>
      <c r="L12" s="1915"/>
      <c r="M12" s="1915"/>
      <c r="N12" s="1915"/>
      <c r="Q12" s="6"/>
      <c r="R12" s="6"/>
      <c r="S12" s="5"/>
      <c r="X12" s="8"/>
    </row>
    <row r="13" spans="1:25" s="7" customFormat="1" ht="24.75" customHeight="1" x14ac:dyDescent="0.3">
      <c r="A13" s="5"/>
      <c r="B13" s="6"/>
      <c r="C13" s="6"/>
      <c r="Q13" s="6"/>
      <c r="R13" s="6"/>
      <c r="S13" s="5"/>
      <c r="X13" s="1916" t="s">
        <v>0</v>
      </c>
      <c r="Y13" s="1918" t="s">
        <v>1</v>
      </c>
    </row>
    <row r="14" spans="1:25" s="7" customFormat="1" ht="21" customHeight="1" thickBot="1" x14ac:dyDescent="0.35">
      <c r="A14" s="5"/>
      <c r="B14" s="6"/>
      <c r="C14" s="6"/>
      <c r="Q14" s="6"/>
      <c r="R14" s="6"/>
      <c r="S14" s="5"/>
      <c r="X14" s="1917"/>
      <c r="Y14" s="1919"/>
    </row>
    <row r="15" spans="1:25" s="7" customFormat="1" ht="21.6" thickBot="1" x14ac:dyDescent="0.35">
      <c r="A15" s="5"/>
      <c r="B15" s="6"/>
      <c r="C15" s="6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6"/>
      <c r="R15" s="6"/>
      <c r="S15" s="5"/>
      <c r="X15" s="12"/>
      <c r="Y15" s="13"/>
    </row>
    <row r="16" spans="1:25" s="7" customFormat="1" ht="46.8" thickBot="1" x14ac:dyDescent="0.35">
      <c r="A16" s="5"/>
      <c r="B16" s="6"/>
      <c r="C16" s="6"/>
      <c r="D16" s="14"/>
      <c r="E16" s="1920" t="s">
        <v>2</v>
      </c>
      <c r="F16" s="1920"/>
      <c r="G16" s="1920"/>
      <c r="H16" s="1920"/>
      <c r="I16" s="1920"/>
      <c r="J16" s="1920"/>
      <c r="K16" s="1920"/>
      <c r="L16" s="1920"/>
      <c r="M16" s="1920"/>
      <c r="N16" s="1920"/>
      <c r="O16" s="1920"/>
      <c r="P16" s="15"/>
      <c r="Q16" s="6"/>
      <c r="R16" s="6"/>
      <c r="S16" s="5"/>
      <c r="X16" s="16" t="s">
        <v>3</v>
      </c>
      <c r="Y16" s="17">
        <v>44562</v>
      </c>
    </row>
    <row r="17" spans="1:25" s="7" customFormat="1" ht="16.2" thickBot="1" x14ac:dyDescent="0.35">
      <c r="A17" s="5"/>
      <c r="B17" s="6"/>
      <c r="C17" s="6"/>
      <c r="D17" s="18"/>
      <c r="E17" s="19"/>
      <c r="F17" s="19"/>
      <c r="G17" s="19"/>
      <c r="H17" s="1921"/>
      <c r="I17" s="1921"/>
      <c r="J17" s="1921"/>
      <c r="K17" s="1921"/>
      <c r="L17" s="1921"/>
      <c r="M17" s="19"/>
      <c r="N17" s="19"/>
      <c r="O17" s="19"/>
      <c r="P17" s="20"/>
      <c r="Q17" s="6"/>
      <c r="R17" s="6"/>
      <c r="S17" s="5"/>
      <c r="X17" s="8"/>
      <c r="Y17" s="8"/>
    </row>
    <row r="18" spans="1:25" s="7" customFormat="1" ht="45" customHeight="1" thickBot="1" x14ac:dyDescent="0.35">
      <c r="A18" s="5"/>
      <c r="B18" s="6"/>
      <c r="C18" s="6"/>
      <c r="D18" s="18"/>
      <c r="E18" s="1922">
        <f>+Y18</f>
        <v>44926</v>
      </c>
      <c r="F18" s="1922"/>
      <c r="G18" s="1922"/>
      <c r="H18" s="1922"/>
      <c r="I18" s="1922"/>
      <c r="J18" s="1922"/>
      <c r="K18" s="1922"/>
      <c r="L18" s="1922"/>
      <c r="M18" s="1922"/>
      <c r="N18" s="1922"/>
      <c r="O18" s="1922"/>
      <c r="P18" s="20"/>
      <c r="Q18" s="6"/>
      <c r="R18" s="6"/>
      <c r="S18" s="5"/>
      <c r="X18" s="21" t="s">
        <v>4</v>
      </c>
      <c r="Y18" s="22">
        <v>44926</v>
      </c>
    </row>
    <row r="19" spans="1:25" s="7" customFormat="1" ht="23.4" x14ac:dyDescent="0.3">
      <c r="A19" s="5"/>
      <c r="B19" s="6"/>
      <c r="C19" s="6"/>
      <c r="D19" s="18"/>
      <c r="E19" s="23"/>
      <c r="F19" s="24"/>
      <c r="G19" s="1913"/>
      <c r="H19" s="1914"/>
      <c r="I19" s="1914"/>
      <c r="J19" s="1914"/>
      <c r="K19" s="1914"/>
      <c r="L19" s="1914"/>
      <c r="M19" s="1914"/>
      <c r="N19" s="24"/>
      <c r="O19" s="24"/>
      <c r="P19" s="20"/>
      <c r="Q19" s="6"/>
      <c r="R19" s="6"/>
      <c r="S19" s="5"/>
      <c r="X19" s="8"/>
    </row>
    <row r="20" spans="1:25" ht="30" customHeight="1" thickBot="1" x14ac:dyDescent="0.7">
      <c r="A20" s="4"/>
      <c r="B20" s="2"/>
      <c r="D20" s="25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"/>
      <c r="S20" s="4"/>
      <c r="X20" s="28" t="s">
        <v>5</v>
      </c>
      <c r="Y20" s="29"/>
    </row>
    <row r="21" spans="1:25" ht="30" customHeight="1" x14ac:dyDescent="0.6">
      <c r="A21" s="4"/>
      <c r="B21" s="2"/>
      <c r="D21" s="30"/>
      <c r="E21" s="2"/>
      <c r="F21" s="2"/>
      <c r="G21" s="2"/>
      <c r="H21" s="2"/>
      <c r="I21" s="2"/>
      <c r="J21" s="2"/>
      <c r="K21" s="2"/>
      <c r="L21" s="2"/>
      <c r="M21" s="2"/>
      <c r="N21" s="2"/>
      <c r="O21" s="31"/>
      <c r="P21" s="31"/>
      <c r="Q21" s="2"/>
      <c r="S21" s="4"/>
      <c r="X21" s="28" t="s">
        <v>6</v>
      </c>
      <c r="Y21" s="32"/>
    </row>
    <row r="22" spans="1:25" ht="30" customHeight="1" x14ac:dyDescent="0.6">
      <c r="A22" s="4"/>
      <c r="B22" s="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Q22" s="2"/>
      <c r="S22" s="4"/>
      <c r="X22" s="28"/>
    </row>
    <row r="23" spans="1:25" ht="30" customHeight="1" x14ac:dyDescent="0.3">
      <c r="A23" s="4"/>
      <c r="B23" s="2"/>
      <c r="Q23" s="2"/>
      <c r="S23" s="4"/>
      <c r="X23" s="28" t="s">
        <v>7</v>
      </c>
      <c r="Y23" s="28" t="s">
        <v>8</v>
      </c>
    </row>
    <row r="24" spans="1:25" ht="30" customHeight="1" x14ac:dyDescent="0.3">
      <c r="A24" s="4"/>
      <c r="B24" s="2"/>
      <c r="Q24" s="2"/>
      <c r="S24" s="4"/>
      <c r="X24" s="28" t="s">
        <v>9</v>
      </c>
      <c r="Y24" s="28" t="s">
        <v>10</v>
      </c>
    </row>
    <row r="25" spans="1:25" ht="30" customHeight="1" x14ac:dyDescent="0.3">
      <c r="A25" s="4"/>
      <c r="B25" s="2"/>
      <c r="Q25" s="2"/>
      <c r="S25" s="4"/>
      <c r="X25" s="28" t="s">
        <v>11</v>
      </c>
      <c r="Y25" s="28" t="s">
        <v>10</v>
      </c>
    </row>
    <row r="26" spans="1:25" ht="24.9" customHeight="1" x14ac:dyDescent="0.3">
      <c r="A26" s="4"/>
      <c r="B26" s="2"/>
      <c r="Q26" s="2"/>
      <c r="S26" s="4"/>
      <c r="X26" s="28" t="s">
        <v>12</v>
      </c>
      <c r="Y26" s="28" t="s">
        <v>10</v>
      </c>
    </row>
    <row r="27" spans="1:25" ht="24.9" customHeight="1" x14ac:dyDescent="0.3">
      <c r="A27" s="4"/>
      <c r="B27" s="2"/>
      <c r="Q27" s="2"/>
      <c r="S27" s="4"/>
      <c r="X27" s="28"/>
      <c r="Y27" s="28"/>
    </row>
    <row r="28" spans="1:25" ht="21" x14ac:dyDescent="0.3">
      <c r="A28" s="4"/>
      <c r="B28" s="2"/>
      <c r="G28" s="1" t="s">
        <v>13</v>
      </c>
      <c r="Q28" s="2"/>
      <c r="S28" s="4"/>
      <c r="X28" s="28"/>
    </row>
    <row r="29" spans="1:25" ht="21" x14ac:dyDescent="0.3">
      <c r="A29" s="4"/>
      <c r="B29" s="2"/>
      <c r="Q29" s="2"/>
      <c r="S29" s="4"/>
      <c r="X29" s="28"/>
    </row>
    <row r="30" spans="1:25" ht="21" x14ac:dyDescent="0.3">
      <c r="A30" s="4"/>
      <c r="B30" s="2"/>
      <c r="Q30" s="2"/>
      <c r="S30" s="4"/>
      <c r="X30" s="28"/>
    </row>
    <row r="31" spans="1:25" ht="21" x14ac:dyDescent="0.3">
      <c r="A31" s="4"/>
      <c r="B31" s="2"/>
      <c r="E31" s="34"/>
      <c r="Q31" s="2"/>
      <c r="S31" s="4"/>
      <c r="X31" s="28"/>
    </row>
    <row r="32" spans="1:25" x14ac:dyDescent="0.3">
      <c r="A32" s="4"/>
      <c r="B32" s="2"/>
      <c r="Q32" s="2"/>
      <c r="S32" s="4"/>
    </row>
    <row r="33" spans="1:42" x14ac:dyDescent="0.3">
      <c r="A33" s="4"/>
      <c r="B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4"/>
    </row>
    <row r="34" spans="1:42" x14ac:dyDescent="0.3">
      <c r="A34" s="4"/>
      <c r="B34" s="2"/>
      <c r="D34" s="3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4"/>
    </row>
    <row r="35" spans="1:42" x14ac:dyDescent="0.3">
      <c r="A35" s="4"/>
      <c r="B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4"/>
    </row>
    <row r="36" spans="1:42" x14ac:dyDescent="0.3">
      <c r="A36" s="4"/>
      <c r="B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S36" s="4"/>
    </row>
    <row r="37" spans="1:42" x14ac:dyDescent="0.3">
      <c r="A37" s="4"/>
      <c r="B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S37" s="4"/>
      <c r="AP37" s="36"/>
    </row>
    <row r="38" spans="1:42" ht="20.100000000000001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42" x14ac:dyDescent="0.3">
      <c r="I39" s="37"/>
    </row>
    <row r="63" spans="3:41" x14ac:dyDescent="0.3">
      <c r="C63" s="1"/>
      <c r="R63" s="1"/>
      <c r="AO63" s="38"/>
    </row>
  </sheetData>
  <sheetProtection formatCells="0" formatColumns="0" formatRows="0" insertColumns="0" insertRows="0" insertHyperlinks="0"/>
  <mergeCells count="7">
    <mergeCell ref="G19:M19"/>
    <mergeCell ref="D12:N12"/>
    <mergeCell ref="X13:X14"/>
    <mergeCell ref="Y13:Y14"/>
    <mergeCell ref="E16:O16"/>
    <mergeCell ref="H17:L17"/>
    <mergeCell ref="E18:O18"/>
  </mergeCells>
  <pageMargins left="1.53" right="0.82" top="0.77" bottom="0.79" header="0.3" footer="0.3"/>
  <pageSetup paperSize="9" scale="37" orientation="landscape" r:id="rId1"/>
  <headerFooter>
    <oddFooter>Page &amp;P</oddFooter>
  </headerFooter>
  <rowBreaks count="1" manualBreakCount="1">
    <brk id="3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F56"/>
  <sheetViews>
    <sheetView showGridLines="0" view="pageBreakPreview" topLeftCell="A28" zoomScale="80" zoomScaleNormal="85" zoomScaleSheetLayoutView="80" workbookViewId="0">
      <selection activeCell="AT18" sqref="AT18"/>
    </sheetView>
  </sheetViews>
  <sheetFormatPr baseColWidth="10" defaultColWidth="11.44140625" defaultRowHeight="14.4" x14ac:dyDescent="0.3"/>
  <cols>
    <col min="1" max="1" width="8.44140625" style="2" customWidth="1"/>
    <col min="2" max="2" width="99.5546875" style="6" customWidth="1"/>
    <col min="3" max="3" width="8.5546875" style="2" customWidth="1"/>
    <col min="4" max="4" width="10" style="39" customWidth="1"/>
    <col min="5" max="5" width="8.5546875" style="2" customWidth="1"/>
    <col min="6" max="6" width="59.109375" style="40" customWidth="1"/>
    <col min="7" max="16384" width="11.44140625" style="2"/>
  </cols>
  <sheetData>
    <row r="1" spans="1:6" x14ac:dyDescent="0.3">
      <c r="A1" s="6"/>
    </row>
    <row r="3" spans="1:6" ht="38.4" x14ac:dyDescent="0.7">
      <c r="B3" s="41" t="s">
        <v>14</v>
      </c>
    </row>
    <row r="4" spans="1:6" ht="15" thickBot="1" x14ac:dyDescent="0.35"/>
    <row r="5" spans="1:6" s="6" customFormat="1" ht="20.100000000000001" customHeight="1" x14ac:dyDescent="0.3">
      <c r="B5" s="42" t="s">
        <v>15</v>
      </c>
      <c r="C5" s="43"/>
      <c r="D5" s="44" t="s">
        <v>16</v>
      </c>
      <c r="E5" s="43"/>
      <c r="F5" s="45" t="s">
        <v>17</v>
      </c>
    </row>
    <row r="6" spans="1:6" s="6" customFormat="1" ht="20.100000000000001" customHeight="1" x14ac:dyDescent="0.3">
      <c r="B6" s="46" t="s">
        <v>18</v>
      </c>
      <c r="D6" s="47">
        <v>4</v>
      </c>
      <c r="F6" s="48" t="s">
        <v>18</v>
      </c>
    </row>
    <row r="7" spans="1:6" s="6" customFormat="1" ht="20.100000000000001" customHeight="1" x14ac:dyDescent="0.3">
      <c r="B7" s="46" t="s">
        <v>19</v>
      </c>
      <c r="D7" s="47">
        <v>5</v>
      </c>
      <c r="F7" s="48" t="s">
        <v>19</v>
      </c>
    </row>
    <row r="8" spans="1:6" s="6" customFormat="1" ht="20.100000000000001" customHeight="1" x14ac:dyDescent="0.3">
      <c r="B8" s="46" t="s">
        <v>20</v>
      </c>
      <c r="D8" s="47">
        <v>6</v>
      </c>
      <c r="F8" s="48" t="s">
        <v>20</v>
      </c>
    </row>
    <row r="9" spans="1:6" s="6" customFormat="1" ht="20.100000000000001" customHeight="1" x14ac:dyDescent="0.3">
      <c r="B9" s="46" t="s">
        <v>21</v>
      </c>
      <c r="D9" s="47">
        <v>7</v>
      </c>
      <c r="F9" s="48" t="s">
        <v>21</v>
      </c>
    </row>
    <row r="10" spans="1:6" x14ac:dyDescent="0.3">
      <c r="D10" s="49"/>
      <c r="F10" s="50"/>
    </row>
    <row r="11" spans="1:6" s="6" customFormat="1" ht="20.100000000000001" customHeight="1" x14ac:dyDescent="0.3">
      <c r="B11" s="51" t="s">
        <v>22</v>
      </c>
      <c r="C11" s="52"/>
      <c r="D11" s="47"/>
      <c r="E11" s="52"/>
      <c r="F11" s="40"/>
    </row>
    <row r="12" spans="1:6" s="6" customFormat="1" ht="20.100000000000001" customHeight="1" x14ac:dyDescent="0.3">
      <c r="B12" s="53" t="s">
        <v>23</v>
      </c>
      <c r="D12" s="47">
        <v>9</v>
      </c>
      <c r="F12" s="48" t="s">
        <v>23</v>
      </c>
    </row>
    <row r="13" spans="1:6" s="6" customFormat="1" ht="20.100000000000001" customHeight="1" x14ac:dyDescent="0.3">
      <c r="B13" s="53" t="s">
        <v>24</v>
      </c>
      <c r="D13" s="47">
        <v>10</v>
      </c>
      <c r="F13" s="48" t="s">
        <v>24</v>
      </c>
    </row>
    <row r="14" spans="1:6" s="6" customFormat="1" ht="20.100000000000001" customHeight="1" x14ac:dyDescent="0.3">
      <c r="B14" s="53" t="s">
        <v>25</v>
      </c>
      <c r="D14" s="47">
        <v>11</v>
      </c>
      <c r="F14" s="48" t="s">
        <v>25</v>
      </c>
    </row>
    <row r="15" spans="1:6" s="6" customFormat="1" ht="20.100000000000001" customHeight="1" x14ac:dyDescent="0.3">
      <c r="B15" s="53" t="s">
        <v>26</v>
      </c>
      <c r="D15" s="47">
        <v>12</v>
      </c>
      <c r="F15" s="48" t="s">
        <v>26</v>
      </c>
    </row>
    <row r="16" spans="1:6" s="6" customFormat="1" ht="20.100000000000001" customHeight="1" x14ac:dyDescent="0.3">
      <c r="B16" s="53" t="s">
        <v>27</v>
      </c>
      <c r="D16" s="47">
        <v>13</v>
      </c>
      <c r="F16" s="48" t="s">
        <v>27</v>
      </c>
    </row>
    <row r="17" spans="1:6" x14ac:dyDescent="0.3">
      <c r="B17" s="40"/>
      <c r="D17" s="49"/>
      <c r="F17" s="54"/>
    </row>
    <row r="18" spans="1:6" ht="20.100000000000001" customHeight="1" x14ac:dyDescent="0.3">
      <c r="B18" s="55" t="s">
        <v>28</v>
      </c>
      <c r="D18" s="49"/>
      <c r="F18" s="56"/>
    </row>
    <row r="19" spans="1:6" ht="20.100000000000001" customHeight="1" x14ac:dyDescent="0.3">
      <c r="B19" s="57" t="s">
        <v>29</v>
      </c>
      <c r="C19" s="58"/>
      <c r="D19" s="49">
        <v>15</v>
      </c>
      <c r="E19" s="58"/>
      <c r="F19" s="48" t="s">
        <v>29</v>
      </c>
    </row>
    <row r="20" spans="1:6" ht="20.100000000000001" customHeight="1" x14ac:dyDescent="0.3">
      <c r="B20" s="57" t="s">
        <v>30</v>
      </c>
      <c r="C20" s="58"/>
      <c r="D20" s="49">
        <v>16</v>
      </c>
      <c r="E20" s="58"/>
      <c r="F20" s="48" t="s">
        <v>31</v>
      </c>
    </row>
    <row r="21" spans="1:6" ht="20.100000000000001" customHeight="1" x14ac:dyDescent="0.3">
      <c r="B21" s="57" t="s">
        <v>32</v>
      </c>
      <c r="C21" s="58"/>
      <c r="D21" s="49">
        <v>17</v>
      </c>
      <c r="E21" s="58"/>
      <c r="F21" s="48" t="s">
        <v>33</v>
      </c>
    </row>
    <row r="22" spans="1:6" ht="20.100000000000001" customHeight="1" x14ac:dyDescent="0.3">
      <c r="D22" s="49"/>
    </row>
    <row r="23" spans="1:6" x14ac:dyDescent="0.3">
      <c r="B23" s="59" t="s">
        <v>34</v>
      </c>
      <c r="D23" s="49"/>
      <c r="F23" s="60"/>
    </row>
    <row r="24" spans="1:6" ht="20.100000000000001" customHeight="1" x14ac:dyDescent="0.3">
      <c r="B24" s="61" t="s">
        <v>35</v>
      </c>
      <c r="D24" s="49">
        <v>19</v>
      </c>
      <c r="F24" s="48" t="s">
        <v>36</v>
      </c>
    </row>
    <row r="25" spans="1:6" ht="20.100000000000001" customHeight="1" x14ac:dyDescent="0.3">
      <c r="B25" s="61" t="s">
        <v>37</v>
      </c>
      <c r="D25" s="49">
        <v>20</v>
      </c>
      <c r="F25" s="48" t="s">
        <v>37</v>
      </c>
    </row>
    <row r="26" spans="1:6" ht="20.100000000000001" customHeight="1" x14ac:dyDescent="0.3">
      <c r="B26" s="61" t="s">
        <v>38</v>
      </c>
      <c r="D26" s="49">
        <v>21</v>
      </c>
      <c r="F26" s="48" t="s">
        <v>38</v>
      </c>
    </row>
    <row r="27" spans="1:6" ht="20.100000000000001" customHeight="1" x14ac:dyDescent="0.3">
      <c r="B27" s="61" t="s">
        <v>39</v>
      </c>
      <c r="D27" s="49">
        <v>22</v>
      </c>
      <c r="F27" s="48" t="s">
        <v>39</v>
      </c>
    </row>
    <row r="28" spans="1:6" ht="20.100000000000001" customHeight="1" x14ac:dyDescent="0.3">
      <c r="B28" s="61" t="s">
        <v>40</v>
      </c>
      <c r="D28" s="49">
        <v>23</v>
      </c>
      <c r="F28" s="48" t="s">
        <v>40</v>
      </c>
    </row>
    <row r="29" spans="1:6" ht="20.100000000000001" customHeight="1" x14ac:dyDescent="0.3">
      <c r="B29" s="61" t="s">
        <v>41</v>
      </c>
      <c r="D29" s="49">
        <v>24</v>
      </c>
      <c r="F29" s="48" t="s">
        <v>41</v>
      </c>
    </row>
    <row r="30" spans="1:6" ht="20.100000000000001" customHeight="1" x14ac:dyDescent="0.3">
      <c r="A30" s="62" t="s">
        <v>42</v>
      </c>
      <c r="B30" s="61" t="s">
        <v>43</v>
      </c>
      <c r="D30" s="49">
        <v>25</v>
      </c>
      <c r="F30" s="48" t="s">
        <v>44</v>
      </c>
    </row>
    <row r="31" spans="1:6" ht="20.100000000000001" customHeight="1" x14ac:dyDescent="0.3">
      <c r="A31" s="62" t="s">
        <v>42</v>
      </c>
      <c r="B31" s="61" t="s">
        <v>45</v>
      </c>
      <c r="D31" s="49">
        <v>26</v>
      </c>
      <c r="F31" s="48" t="s">
        <v>45</v>
      </c>
    </row>
    <row r="32" spans="1:6" ht="20.100000000000001" customHeight="1" x14ac:dyDescent="0.3">
      <c r="A32" s="62" t="s">
        <v>42</v>
      </c>
      <c r="B32" s="61" t="s">
        <v>46</v>
      </c>
      <c r="D32" s="49">
        <v>27</v>
      </c>
      <c r="F32" s="48" t="s">
        <v>46</v>
      </c>
    </row>
    <row r="33" spans="1:6" ht="20.100000000000001" customHeight="1" x14ac:dyDescent="0.3">
      <c r="B33" s="61" t="s">
        <v>47</v>
      </c>
      <c r="D33" s="49">
        <v>28</v>
      </c>
      <c r="F33" s="48" t="s">
        <v>47</v>
      </c>
    </row>
    <row r="34" spans="1:6" ht="20.100000000000001" customHeight="1" x14ac:dyDescent="0.3">
      <c r="A34" s="62"/>
      <c r="B34" s="61" t="s">
        <v>48</v>
      </c>
      <c r="D34" s="49">
        <v>29</v>
      </c>
      <c r="F34" s="48" t="s">
        <v>48</v>
      </c>
    </row>
    <row r="35" spans="1:6" ht="20.100000000000001" customHeight="1" x14ac:dyDescent="0.3">
      <c r="A35" s="62"/>
      <c r="B35" s="61" t="s">
        <v>49</v>
      </c>
      <c r="D35" s="49">
        <v>30</v>
      </c>
      <c r="F35" s="48" t="s">
        <v>49</v>
      </c>
    </row>
    <row r="36" spans="1:6" ht="20.100000000000001" customHeight="1" x14ac:dyDescent="0.3">
      <c r="B36" s="61" t="s">
        <v>50</v>
      </c>
      <c r="D36" s="49">
        <v>31</v>
      </c>
      <c r="F36" s="48" t="s">
        <v>51</v>
      </c>
    </row>
    <row r="37" spans="1:6" ht="20.100000000000001" customHeight="1" x14ac:dyDescent="0.3">
      <c r="B37" s="61" t="s">
        <v>52</v>
      </c>
      <c r="D37" s="49">
        <v>32</v>
      </c>
      <c r="F37" s="48" t="s">
        <v>52</v>
      </c>
    </row>
    <row r="38" spans="1:6" ht="20.100000000000001" customHeight="1" x14ac:dyDescent="0.3">
      <c r="B38" s="61" t="s">
        <v>53</v>
      </c>
      <c r="D38" s="49">
        <v>33</v>
      </c>
      <c r="F38" s="48" t="s">
        <v>53</v>
      </c>
    </row>
    <row r="39" spans="1:6" ht="20.100000000000001" customHeight="1" x14ac:dyDescent="0.3">
      <c r="B39" s="61" t="s">
        <v>54</v>
      </c>
      <c r="D39" s="49">
        <v>34</v>
      </c>
      <c r="F39" s="48" t="s">
        <v>55</v>
      </c>
    </row>
    <row r="40" spans="1:6" ht="20.100000000000001" customHeight="1" x14ac:dyDescent="0.3">
      <c r="B40" s="61" t="s">
        <v>56</v>
      </c>
      <c r="D40" s="49">
        <v>35</v>
      </c>
      <c r="F40" s="48" t="s">
        <v>57</v>
      </c>
    </row>
    <row r="41" spans="1:6" ht="20.100000000000001" customHeight="1" x14ac:dyDescent="0.3">
      <c r="B41" s="61" t="s">
        <v>58</v>
      </c>
      <c r="D41" s="49">
        <v>36</v>
      </c>
      <c r="F41" s="48" t="s">
        <v>58</v>
      </c>
    </row>
    <row r="42" spans="1:6" ht="20.25" customHeight="1" x14ac:dyDescent="0.3">
      <c r="B42" s="61" t="s">
        <v>59</v>
      </c>
      <c r="D42" s="49">
        <v>37</v>
      </c>
      <c r="F42" s="48" t="s">
        <v>59</v>
      </c>
    </row>
    <row r="43" spans="1:6" ht="20.25" customHeight="1" x14ac:dyDescent="0.3">
      <c r="B43" s="61" t="s">
        <v>60</v>
      </c>
      <c r="D43" s="49">
        <v>38</v>
      </c>
      <c r="F43" s="48" t="s">
        <v>60</v>
      </c>
    </row>
    <row r="44" spans="1:6" ht="20.25" customHeight="1" x14ac:dyDescent="0.3">
      <c r="B44" s="61" t="s">
        <v>61</v>
      </c>
      <c r="D44" s="49">
        <v>39</v>
      </c>
      <c r="F44" s="48" t="s">
        <v>61</v>
      </c>
    </row>
    <row r="45" spans="1:6" ht="20.25" customHeight="1" x14ac:dyDescent="0.3">
      <c r="B45" s="61" t="s">
        <v>62</v>
      </c>
      <c r="D45" s="49">
        <v>40</v>
      </c>
      <c r="F45" s="48" t="s">
        <v>62</v>
      </c>
    </row>
    <row r="46" spans="1:6" ht="20.25" customHeight="1" x14ac:dyDescent="0.3">
      <c r="B46" s="61" t="s">
        <v>63</v>
      </c>
      <c r="D46" s="49">
        <v>41</v>
      </c>
      <c r="F46" s="48" t="s">
        <v>63</v>
      </c>
    </row>
    <row r="47" spans="1:6" ht="20.25" customHeight="1" x14ac:dyDescent="0.3">
      <c r="B47" s="61" t="s">
        <v>64</v>
      </c>
      <c r="D47" s="49">
        <v>42</v>
      </c>
      <c r="F47" s="48" t="s">
        <v>64</v>
      </c>
    </row>
    <row r="48" spans="1:6" ht="20.25" customHeight="1" x14ac:dyDescent="0.3">
      <c r="B48" s="61" t="s">
        <v>65</v>
      </c>
      <c r="D48" s="49">
        <v>43</v>
      </c>
      <c r="F48" s="48" t="s">
        <v>65</v>
      </c>
    </row>
    <row r="49" spans="2:6" ht="20.25" customHeight="1" x14ac:dyDescent="0.3">
      <c r="B49" s="61" t="s">
        <v>66</v>
      </c>
      <c r="D49" s="49">
        <v>44</v>
      </c>
      <c r="F49" s="48" t="s">
        <v>66</v>
      </c>
    </row>
    <row r="50" spans="2:6" x14ac:dyDescent="0.3">
      <c r="D50" s="49"/>
      <c r="F50" s="63"/>
    </row>
    <row r="51" spans="2:6" x14ac:dyDescent="0.3">
      <c r="B51" s="64" t="s">
        <v>67</v>
      </c>
      <c r="D51" s="49">
        <v>45</v>
      </c>
      <c r="F51" s="65" t="s">
        <v>67</v>
      </c>
    </row>
    <row r="52" spans="2:6" x14ac:dyDescent="0.3">
      <c r="B52" s="66"/>
      <c r="D52" s="49"/>
      <c r="F52" s="63"/>
    </row>
    <row r="53" spans="2:6" x14ac:dyDescent="0.3">
      <c r="B53" s="67" t="s">
        <v>68</v>
      </c>
      <c r="C53" s="58"/>
      <c r="D53" s="49"/>
      <c r="E53" s="58"/>
      <c r="F53" s="63"/>
    </row>
    <row r="54" spans="2:6" x14ac:dyDescent="0.3">
      <c r="B54" s="68" t="s">
        <v>69</v>
      </c>
      <c r="D54" s="49">
        <v>47</v>
      </c>
      <c r="F54" s="65" t="s">
        <v>70</v>
      </c>
    </row>
    <row r="55" spans="2:6" x14ac:dyDescent="0.3">
      <c r="B55" s="68" t="s">
        <v>71</v>
      </c>
      <c r="D55" s="49">
        <v>48</v>
      </c>
      <c r="F55" s="48" t="s">
        <v>72</v>
      </c>
    </row>
    <row r="56" spans="2:6" ht="15" thickBot="1" x14ac:dyDescent="0.35">
      <c r="B56" s="68" t="s">
        <v>73</v>
      </c>
      <c r="D56" s="69">
        <v>49</v>
      </c>
      <c r="F56" s="48" t="s">
        <v>73</v>
      </c>
    </row>
  </sheetData>
  <hyperlinks>
    <hyperlink ref="F25" location="'Actifs financiers courants'!A1" display="Actifs financiers courants" xr:uid="{00000000-0004-0000-0100-000000000000}"/>
    <hyperlink ref="F51" location="PIDR!A1" display="PIDR" xr:uid="{00000000-0004-0000-0100-000001000000}"/>
    <hyperlink ref="F28" location="'Cartes SIM'!A1" display="Cartes SIM" xr:uid="{00000000-0004-0000-0100-000002000000}"/>
    <hyperlink ref="F40" location="'Maturité des provisions passif'!A1" display="Maturité des  provisions - passif" xr:uid="{00000000-0004-0000-0100-000003000000}"/>
    <hyperlink ref="F37" location="'Risque de change'!A1" display="Risque de change" xr:uid="{00000000-0004-0000-0100-000004000000}"/>
    <hyperlink ref="F19" location="'Bilan (restit)'!A1" display="Bilan simplifié" xr:uid="{00000000-0004-0000-0100-000005000000}"/>
    <hyperlink ref="F31" location="'Dettes d''exp'!A1" display="Fournisseurs et comptes rattachés - Ageing" xr:uid="{00000000-0004-0000-0100-000006000000}"/>
    <hyperlink ref="F15" location="'Passage P&amp;L-par fonction'!A1" display="Passage Compte de résultat - par fonction" xr:uid="{00000000-0004-0000-0100-000007000000}"/>
    <hyperlink ref="F6" location="'BG '!A1" display="Balance Générale" xr:uid="{00000000-0004-0000-0100-000008000000}"/>
    <hyperlink ref="F36" location="'FND-C&amp;Ceq '!A1" display="Trésorerie et  équivalent de trésorerie" xr:uid="{00000000-0004-0000-0100-000009000000}"/>
    <hyperlink ref="F35" location="'FND-Dettes fi à CT'!A1" display="Dettes financières à court terme" xr:uid="{00000000-0004-0000-0100-00000A000000}"/>
    <hyperlink ref="F34" location="'FND-Dettes Fi à LT '!A1" display="Dettes financières à long terme" xr:uid="{00000000-0004-0000-0100-00000B000000}"/>
    <hyperlink ref="F33" location="'FND-Synthèse'!A1" display="Synthèse FND" xr:uid="{00000000-0004-0000-0100-00000C000000}"/>
    <hyperlink ref="F30" location="'Créances d''exp'!A1" display="Clients et comptes rattachés - Ageing" xr:uid="{00000000-0004-0000-0100-00000D000000}"/>
    <hyperlink ref="F29" location="'Effectif '!A1" display="Effectif" xr:uid="{00000000-0004-0000-0100-00000E000000}"/>
    <hyperlink ref="F27" location="'Stocks '!A1" display="Stocks" xr:uid="{00000000-0004-0000-0100-00000F000000}"/>
    <hyperlink ref="F24" location="'Actifs finan. non courants'!A1" display="Actifs financiers  non courants" xr:uid="{00000000-0004-0000-0100-000010000000}"/>
    <hyperlink ref="F56" location="'Autres contrôles'!A1" display="Autres contrôles" xr:uid="{00000000-0004-0000-0100-000011000000}"/>
    <hyperlink ref="F55" location="'Contrôles provisions'!A1" display="Contrôle des provisions" xr:uid="{00000000-0004-0000-0100-000012000000}"/>
    <hyperlink ref="F54" location="'Contrôles EC&amp; Immo'!A1" display="Contrôle des équilibres comptables et immobilisations" xr:uid="{00000000-0004-0000-0100-000013000000}"/>
    <hyperlink ref="F21" location="'P&amp;L-par fonction (restit)'!F22" display="P&amp;L par fonction" xr:uid="{00000000-0004-0000-0100-000014000000}"/>
    <hyperlink ref="F20" location="'P&amp;L-par nature (restit)'!A1" display="P&amp;L par nature" xr:uid="{00000000-0004-0000-0100-000015000000}"/>
    <hyperlink ref="F16" location="'Bilan-par flux'!A1" display="Bilan par flux" xr:uid="{00000000-0004-0000-0100-000016000000}"/>
    <hyperlink ref="F9" location="'Compte de résultat'!A1" display="Compte de résultat" xr:uid="{00000000-0004-0000-0100-000017000000}"/>
    <hyperlink ref="F14" location="'Passage P&amp;L-par nature'!A1" display="Passage Compte de résultat - par nature" xr:uid="{00000000-0004-0000-0100-000018000000}"/>
    <hyperlink ref="F13" location="'Passage Passif BC '!A1" display="Passage Bilan - Passif" xr:uid="{00000000-0004-0000-0100-000019000000}"/>
    <hyperlink ref="F12" location="'Passage Actif BC '!A1" display="Passage Bilan - Actif" xr:uid="{00000000-0004-0000-0100-00001A000000}"/>
    <hyperlink ref="F8" location="'Bilan Passif '!A1" display="Bilan - Passif" xr:uid="{00000000-0004-0000-0100-00001B000000}"/>
    <hyperlink ref="F7" location="'Bilan Actif'!A1" display="Bilan - Actif" xr:uid="{00000000-0004-0000-0100-00001C000000}"/>
    <hyperlink ref="F43" location="Dividendes!A1" display="Dividendes" xr:uid="{00000000-0004-0000-0100-00001D000000}"/>
    <hyperlink ref="F44" location="'Dettes SHL'!A1" display="Dettes SHL" xr:uid="{00000000-0004-0000-0100-00001E000000}"/>
    <hyperlink ref="F45" location="'Management Fees'!A1" display="Management Fees" xr:uid="{00000000-0004-0000-0100-00001F000000}"/>
    <hyperlink ref="F32" location="Dettes_acquisition_immo!A1" display="Dettes  sur acquisition d'immobilisations" xr:uid="{00000000-0004-0000-0100-000020000000}"/>
    <hyperlink ref="F26" location="'Fair value hierarchy'!Zone_d_impression" display="Fair value hierarchy" xr:uid="{00000000-0004-0000-0100-000021000000}"/>
    <hyperlink ref="F46" location="EHB!A1" display="Engagements hors bilan" xr:uid="{00000000-0004-0000-0100-000022000000}"/>
    <hyperlink ref="F38" location="Covenants!A1" display="Covenants" xr:uid="{00000000-0004-0000-0100-000023000000}"/>
    <hyperlink ref="F39" location="'Provisions par nature'!A1" display="Provision par nature" xr:uid="{00000000-0004-0000-0100-000024000000}"/>
    <hyperlink ref="F41" location="'Taux effectif d''impôt'!A1" display="Taux effectif d'impôt" xr:uid="{00000000-0004-0000-0100-000025000000}"/>
    <hyperlink ref="F42" location="'ID par nature'!A1" display="Nature des impôts différés actifs et passifs" xr:uid="{00000000-0004-0000-0100-000026000000}"/>
    <hyperlink ref="F47" location="'Opérat. parties liées'!A1" display="Opérations avec les parties liées" xr:uid="{00000000-0004-0000-0100-000027000000}"/>
    <hyperlink ref="F48" location="Dons!A1" display="Dons" xr:uid="{00000000-0004-0000-0100-000028000000}"/>
    <hyperlink ref="F49" location="'Note de crédit'!A1" display="Note de crédit" xr:uid="{00000000-0004-0000-0100-000029000000}"/>
  </hyperlinks>
  <pageMargins left="0.86614173228346458" right="0.70866141732283472" top="0.74803149606299213" bottom="0.74803149606299213" header="0.31496062992125984" footer="0.31496062992125984"/>
  <pageSetup paperSize="9" scale="43" orientation="portrait" r:id="rId1"/>
  <headerFooter>
    <oddFooter>&amp;C&amp;N</oddFooter>
  </headerFooter>
  <rowBreaks count="1" manualBreakCount="1">
    <brk id="58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  <pageSetUpPr fitToPage="1"/>
  </sheetPr>
  <dimension ref="B2:AI60"/>
  <sheetViews>
    <sheetView showGridLines="0" view="pageBreakPreview" topLeftCell="A10" zoomScale="60" zoomScaleNormal="55" workbookViewId="0">
      <selection activeCell="AT18" sqref="AT18"/>
    </sheetView>
  </sheetViews>
  <sheetFormatPr baseColWidth="10" defaultColWidth="11.44140625" defaultRowHeight="14.4" x14ac:dyDescent="0.3"/>
  <cols>
    <col min="1" max="1" width="10.109375" style="1" customWidth="1"/>
    <col min="2" max="2" width="3.5546875" style="1" customWidth="1"/>
    <col min="3" max="3" width="3.109375" style="1" customWidth="1"/>
    <col min="4" max="4" width="3.109375" style="2" customWidth="1"/>
    <col min="5" max="14" width="12.5546875" style="1" customWidth="1"/>
    <col min="15" max="17" width="11.44140625" style="1"/>
    <col min="18" max="18" width="3.109375" style="1" customWidth="1"/>
    <col min="19" max="19" width="3.109375" style="2" customWidth="1"/>
    <col min="20" max="20" width="3.5546875" style="1" customWidth="1"/>
    <col min="21" max="21" width="1.109375" style="1" customWidth="1"/>
    <col min="22" max="45" width="11.44140625" style="1"/>
    <col min="46" max="46" width="9.44140625" style="1" customWidth="1"/>
    <col min="47" max="16384" width="11.44140625" style="1"/>
  </cols>
  <sheetData>
    <row r="2" spans="2:20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x14ac:dyDescent="0.3">
      <c r="B3" s="4"/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4"/>
    </row>
    <row r="4" spans="2:20" x14ac:dyDescent="0.3">
      <c r="B4" s="4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4"/>
    </row>
    <row r="5" spans="2:20" x14ac:dyDescent="0.3">
      <c r="B5" s="4"/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4"/>
    </row>
    <row r="6" spans="2:20" x14ac:dyDescent="0.3">
      <c r="B6" s="4"/>
      <c r="C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4"/>
    </row>
    <row r="7" spans="2:20" x14ac:dyDescent="0.3">
      <c r="B7" s="4"/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4"/>
    </row>
    <row r="8" spans="2:20" x14ac:dyDescent="0.3">
      <c r="B8" s="4"/>
      <c r="C8" s="2"/>
      <c r="R8" s="2"/>
      <c r="T8" s="4"/>
    </row>
    <row r="9" spans="2:20" x14ac:dyDescent="0.3">
      <c r="B9" s="4"/>
      <c r="C9" s="2"/>
      <c r="R9" s="2"/>
      <c r="T9" s="4"/>
    </row>
    <row r="10" spans="2:20" x14ac:dyDescent="0.3">
      <c r="B10" s="4"/>
      <c r="C10" s="2"/>
      <c r="R10" s="2"/>
      <c r="T10" s="4"/>
    </row>
    <row r="11" spans="2:20" x14ac:dyDescent="0.3">
      <c r="B11" s="4"/>
      <c r="C11" s="2"/>
      <c r="R11" s="2"/>
      <c r="T11" s="4"/>
    </row>
    <row r="12" spans="2:20" s="7" customFormat="1" x14ac:dyDescent="0.3">
      <c r="B12" s="5"/>
      <c r="C12" s="6"/>
      <c r="D12" s="6"/>
      <c r="E12" s="1915"/>
      <c r="F12" s="1915"/>
      <c r="G12" s="1915"/>
      <c r="H12" s="1915"/>
      <c r="I12" s="1915"/>
      <c r="J12" s="1915"/>
      <c r="K12" s="1915"/>
      <c r="L12" s="1915"/>
      <c r="M12" s="1915"/>
      <c r="N12" s="1915"/>
      <c r="O12" s="1915"/>
      <c r="R12" s="6"/>
      <c r="S12" s="6"/>
      <c r="T12" s="5"/>
    </row>
    <row r="13" spans="2:20" s="7" customFormat="1" ht="15" customHeight="1" x14ac:dyDescent="0.3">
      <c r="B13" s="5"/>
      <c r="C13" s="6"/>
      <c r="D13" s="6"/>
      <c r="R13" s="6"/>
      <c r="S13" s="6"/>
      <c r="T13" s="5"/>
    </row>
    <row r="14" spans="2:20" s="7" customFormat="1" ht="15.75" customHeight="1" thickBot="1" x14ac:dyDescent="0.35">
      <c r="B14" s="5"/>
      <c r="C14" s="6"/>
      <c r="D14" s="6"/>
      <c r="R14" s="6"/>
      <c r="S14" s="6"/>
      <c r="T14" s="5"/>
    </row>
    <row r="15" spans="2:20" s="7" customFormat="1" x14ac:dyDescent="0.3">
      <c r="B15" s="5"/>
      <c r="C15" s="6"/>
      <c r="D15" s="6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6"/>
      <c r="S15" s="6"/>
      <c r="T15" s="5"/>
    </row>
    <row r="16" spans="2:20" s="7" customFormat="1" ht="46.2" x14ac:dyDescent="0.3">
      <c r="B16" s="5"/>
      <c r="C16" s="6"/>
      <c r="D16" s="6"/>
      <c r="E16" s="14"/>
      <c r="F16" s="1920" t="s">
        <v>74</v>
      </c>
      <c r="G16" s="1920"/>
      <c r="H16" s="1920"/>
      <c r="I16" s="1920"/>
      <c r="J16" s="1920"/>
      <c r="K16" s="1920"/>
      <c r="L16" s="1920"/>
      <c r="M16" s="1920"/>
      <c r="N16" s="1920"/>
      <c r="O16" s="1920"/>
      <c r="P16" s="1920"/>
      <c r="Q16" s="15"/>
      <c r="R16" s="6"/>
      <c r="S16" s="6"/>
      <c r="T16" s="5"/>
    </row>
    <row r="17" spans="2:20" ht="34.200000000000003" thickBot="1" x14ac:dyDescent="0.7">
      <c r="B17" s="4"/>
      <c r="C17" s="2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  <c r="R17" s="2"/>
      <c r="T17" s="4"/>
    </row>
    <row r="18" spans="2:20" ht="31.2" x14ac:dyDescent="0.6">
      <c r="B18" s="4"/>
      <c r="C18" s="2"/>
      <c r="E18" s="30"/>
      <c r="F18" s="2"/>
      <c r="G18" s="2"/>
      <c r="H18" s="2"/>
      <c r="I18" s="2"/>
      <c r="J18" s="2"/>
      <c r="K18" s="2"/>
      <c r="L18" s="2"/>
      <c r="M18" s="2"/>
      <c r="N18" s="2"/>
      <c r="O18" s="2"/>
      <c r="P18" s="31"/>
      <c r="Q18" s="31"/>
      <c r="R18" s="2"/>
      <c r="T18" s="4"/>
    </row>
    <row r="19" spans="2:20" ht="31.2" x14ac:dyDescent="0.6">
      <c r="B19" s="4"/>
      <c r="C19" s="2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R19" s="2"/>
      <c r="T19" s="4"/>
    </row>
    <row r="20" spans="2:20" x14ac:dyDescent="0.3">
      <c r="B20" s="4"/>
      <c r="C20" s="2"/>
      <c r="R20" s="2"/>
      <c r="T20" s="4"/>
    </row>
    <row r="21" spans="2:20" x14ac:dyDescent="0.3">
      <c r="B21" s="4"/>
      <c r="C21" s="2"/>
      <c r="R21" s="2"/>
      <c r="T21" s="4"/>
    </row>
    <row r="22" spans="2:20" x14ac:dyDescent="0.3">
      <c r="B22" s="4"/>
      <c r="C22" s="2"/>
      <c r="R22" s="2"/>
      <c r="T22" s="4"/>
    </row>
    <row r="23" spans="2:20" x14ac:dyDescent="0.3">
      <c r="B23" s="4"/>
      <c r="C23" s="2"/>
      <c r="R23" s="2"/>
      <c r="T23" s="4"/>
    </row>
    <row r="24" spans="2:20" x14ac:dyDescent="0.3">
      <c r="B24" s="4"/>
      <c r="C24" s="2"/>
      <c r="R24" s="2"/>
      <c r="T24" s="4"/>
    </row>
    <row r="25" spans="2:20" x14ac:dyDescent="0.3">
      <c r="B25" s="4"/>
      <c r="C25" s="2"/>
      <c r="H25" s="1" t="s">
        <v>13</v>
      </c>
      <c r="R25" s="2"/>
      <c r="T25" s="4"/>
    </row>
    <row r="26" spans="2:20" x14ac:dyDescent="0.3">
      <c r="B26" s="4"/>
      <c r="C26" s="2"/>
      <c r="R26" s="2"/>
      <c r="T26" s="4"/>
    </row>
    <row r="27" spans="2:20" x14ac:dyDescent="0.3">
      <c r="B27" s="4"/>
      <c r="C27" s="2"/>
      <c r="R27" s="2"/>
      <c r="T27" s="4"/>
    </row>
    <row r="28" spans="2:20" x14ac:dyDescent="0.3">
      <c r="B28" s="4"/>
      <c r="C28" s="2"/>
      <c r="F28" s="34"/>
      <c r="R28" s="2"/>
      <c r="T28" s="4"/>
    </row>
    <row r="29" spans="2:20" x14ac:dyDescent="0.3">
      <c r="B29" s="4"/>
      <c r="C29" s="2"/>
      <c r="R29" s="2"/>
      <c r="T29" s="4"/>
    </row>
    <row r="30" spans="2:20" x14ac:dyDescent="0.3">
      <c r="B30" s="4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4"/>
    </row>
    <row r="31" spans="2:20" x14ac:dyDescent="0.3">
      <c r="B31" s="4"/>
      <c r="C31" s="2"/>
      <c r="E31" s="3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4"/>
    </row>
    <row r="32" spans="2:20" x14ac:dyDescent="0.3">
      <c r="B32" s="4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4"/>
    </row>
    <row r="33" spans="2:35" x14ac:dyDescent="0.3">
      <c r="B33" s="4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4"/>
    </row>
    <row r="34" spans="2:35" x14ac:dyDescent="0.3">
      <c r="B34" s="4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4"/>
      <c r="AI34" s="36"/>
    </row>
    <row r="35" spans="2:35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60" spans="4:34" x14ac:dyDescent="0.3">
      <c r="D60" s="1"/>
      <c r="S60" s="1"/>
      <c r="AH60" s="70"/>
    </row>
  </sheetData>
  <mergeCells count="2">
    <mergeCell ref="E12:O12"/>
    <mergeCell ref="F16:P16"/>
  </mergeCells>
  <pageMargins left="0.7" right="0.7" top="0.75" bottom="0.75" header="0.3" footer="0.3"/>
  <pageSetup paperSize="9" scale="6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AC804"/>
  <sheetViews>
    <sheetView showGridLines="0" zoomScale="70" zoomScaleNormal="70" workbookViewId="0">
      <pane xSplit="1" ySplit="3" topLeftCell="B675" activePane="bottomRight" state="frozen"/>
      <selection activeCell="AT18" sqref="AT18"/>
      <selection pane="topRight" activeCell="AT18" sqref="AT18"/>
      <selection pane="bottomLeft" activeCell="AT18" sqref="AT18"/>
      <selection pane="bottomRight" activeCell="AT18" sqref="AT18"/>
    </sheetView>
  </sheetViews>
  <sheetFormatPr baseColWidth="10" defaultColWidth="11.44140625" defaultRowHeight="14.4" x14ac:dyDescent="0.3"/>
  <cols>
    <col min="1" max="1" width="12.5546875" style="72" customWidth="1"/>
    <col min="2" max="2" width="44.88671875" style="72" customWidth="1"/>
    <col min="3" max="3" width="16.5546875" style="73" customWidth="1"/>
    <col min="4" max="4" width="6.44140625" style="73" customWidth="1"/>
    <col min="5" max="5" width="7" style="73" bestFit="1" customWidth="1"/>
    <col min="6" max="6" width="14.5546875" style="73" bestFit="1" customWidth="1"/>
    <col min="7" max="7" width="17.5546875" style="73" customWidth="1"/>
    <col min="8" max="8" width="20.44140625" style="73" customWidth="1"/>
    <col min="9" max="9" width="17.44140625" style="141" bestFit="1" customWidth="1"/>
    <col min="10" max="10" width="18.88671875" style="91" bestFit="1" customWidth="1"/>
    <col min="11" max="11" width="16.44140625" style="91" bestFit="1" customWidth="1"/>
    <col min="12" max="12" width="13.44140625" bestFit="1" customWidth="1"/>
    <col min="13" max="13" width="17.5546875" hidden="1" customWidth="1"/>
    <col min="14" max="14" width="11.5546875" style="2" hidden="1" customWidth="1"/>
    <col min="15" max="15" width="5.5546875" style="2" hidden="1" customWidth="1"/>
    <col min="16" max="16" width="16.44140625" style="2" bestFit="1" customWidth="1"/>
    <col min="17" max="17" width="9.5546875" style="2" hidden="1" customWidth="1"/>
    <col min="18" max="20" width="16.44140625" style="2" bestFit="1" customWidth="1"/>
    <col min="21" max="21" width="16.44140625" style="72" bestFit="1" customWidth="1"/>
    <col min="22" max="22" width="15.33203125" bestFit="1" customWidth="1"/>
    <col min="23" max="23" width="5.44140625" bestFit="1" customWidth="1"/>
    <col min="24" max="24" width="8.44140625" customWidth="1"/>
    <col min="25" max="25" width="16.44140625" style="72" bestFit="1" customWidth="1"/>
    <col min="26" max="26" width="18.88671875" style="72" customWidth="1"/>
    <col min="27" max="27" width="16.44140625" style="72" bestFit="1" customWidth="1"/>
    <col min="28" max="16384" width="11.44140625" style="72"/>
  </cols>
  <sheetData>
    <row r="1" spans="1:27" x14ac:dyDescent="0.3">
      <c r="A1" s="71" t="s">
        <v>75</v>
      </c>
      <c r="F1" s="73">
        <v>1</v>
      </c>
      <c r="G1" s="73">
        <v>-1</v>
      </c>
      <c r="H1" s="73">
        <v>1</v>
      </c>
      <c r="I1" s="73">
        <v>-1</v>
      </c>
      <c r="J1" s="74">
        <v>1</v>
      </c>
      <c r="K1" s="75">
        <v>-1</v>
      </c>
    </row>
    <row r="2" spans="1:27" ht="20.399999999999999" customHeight="1" thickBot="1" x14ac:dyDescent="0.35">
      <c r="A2" s="76" t="s">
        <v>18</v>
      </c>
      <c r="B2" s="77"/>
      <c r="C2" s="77"/>
      <c r="D2" s="77"/>
      <c r="E2" s="77"/>
      <c r="F2" s="1923" t="s">
        <v>2238</v>
      </c>
      <c r="G2" s="1923"/>
      <c r="H2" s="1923" t="s">
        <v>2239</v>
      </c>
      <c r="I2" s="1923"/>
      <c r="J2" s="1923" t="s">
        <v>2249</v>
      </c>
      <c r="K2" s="1923"/>
      <c r="Z2" s="1601"/>
    </row>
    <row r="3" spans="1:27" ht="31.2" x14ac:dyDescent="0.3">
      <c r="A3" s="78" t="s">
        <v>76</v>
      </c>
      <c r="B3" s="79" t="s">
        <v>77</v>
      </c>
      <c r="C3" s="80" t="s">
        <v>78</v>
      </c>
      <c r="D3" s="81" t="s">
        <v>79</v>
      </c>
      <c r="E3" s="82" t="s">
        <v>80</v>
      </c>
      <c r="F3" s="83" t="s">
        <v>2269</v>
      </c>
      <c r="G3" s="83" t="s">
        <v>2270</v>
      </c>
      <c r="H3" s="84" t="s">
        <v>2271</v>
      </c>
      <c r="I3" s="84" t="s">
        <v>2272</v>
      </c>
      <c r="J3" s="85" t="s">
        <v>2271</v>
      </c>
      <c r="K3" s="85" t="s">
        <v>2272</v>
      </c>
    </row>
    <row r="4" spans="1:27" s="91" customFormat="1" ht="14.4" customHeight="1" x14ac:dyDescent="0.3">
      <c r="A4">
        <v>101000</v>
      </c>
      <c r="B4" s="86" t="s">
        <v>81</v>
      </c>
      <c r="C4" s="86" t="s">
        <v>82</v>
      </c>
      <c r="D4" s="87" t="str">
        <f>+LEFT(A4,2)</f>
        <v>10</v>
      </c>
      <c r="E4" s="88"/>
      <c r="F4" s="73">
        <f>(+IFERROR(VLOOKUP($A4,'[152]BG (2)'!$B$9:$J$570,4,FALSE),0))*1</f>
        <v>0</v>
      </c>
      <c r="G4" s="73">
        <f>(+IFERROR(VLOOKUP($A4,'[152]BG (2)'!$B$9:$J$570,5,FALSE),0))*-1</f>
        <v>-10408280000</v>
      </c>
      <c r="H4" s="73">
        <f>(+IFERROR(VLOOKUP($A4,'[152]BG (2)'!$B$9:$J$570,6,FALSE),0))*1</f>
        <v>0</v>
      </c>
      <c r="I4" s="73">
        <f>(+IFERROR(VLOOKUP($A4,'[152]BG (2)'!$B$9:$J$570,7,FALSE),0))*-1</f>
        <v>0</v>
      </c>
      <c r="J4" s="74">
        <f>(+IFERROR(VLOOKUP($A4,'[152]BG (2)'!$B$9:$J$570,8,FALSE),0))*1</f>
        <v>0</v>
      </c>
      <c r="K4" s="75">
        <f>(+IFERROR(VLOOKUP($A4,'[152]BG (2)'!$B$9:$J$570,9,FALSE),0))*-1</f>
        <v>-10408280000</v>
      </c>
      <c r="L4" s="75"/>
      <c r="M4" s="75"/>
      <c r="N4" s="90"/>
      <c r="O4" s="90"/>
      <c r="P4" s="90">
        <f>J4+K4</f>
        <v>-10408280000</v>
      </c>
      <c r="Q4" s="90"/>
      <c r="R4" s="90"/>
      <c r="S4" s="90"/>
      <c r="T4" s="90">
        <f t="shared" ref="T4:T15" si="0">K4+J4</f>
        <v>-10408280000</v>
      </c>
      <c r="V4" s="75"/>
      <c r="W4" s="75" t="e">
        <f>+A4-#REF!</f>
        <v>#REF!</v>
      </c>
      <c r="X4" s="1268"/>
    </row>
    <row r="5" spans="1:27" ht="14.4" customHeight="1" x14ac:dyDescent="0.3">
      <c r="A5">
        <v>101200</v>
      </c>
      <c r="B5" t="s">
        <v>83</v>
      </c>
      <c r="C5"/>
      <c r="D5" s="87" t="str">
        <f t="shared" ref="D5:D68" si="1">+LEFT(A5,2)</f>
        <v>10</v>
      </c>
      <c r="E5" s="92"/>
      <c r="F5" s="93">
        <f>(+IFERROR(VLOOKUP($A5,'[152]BG (2)'!$B$9:$J$570,4,FALSE),0))*1</f>
        <v>0</v>
      </c>
      <c r="G5" s="73">
        <f>(+IFERROR(VLOOKUP($A5,'[152]BG (2)'!$B$9:$J$570,5,FALSE),0))*-1</f>
        <v>0</v>
      </c>
      <c r="H5" s="93">
        <f>(+IFERROR(VLOOKUP($A5,'[152]BG (2)'!$B$9:$J$570,6,FALSE),0))*1</f>
        <v>0</v>
      </c>
      <c r="I5" s="73">
        <f>(+IFERROR(VLOOKUP($A5,'[152]BG (2)'!$B$9:$J$570,7,FALSE),0))*-1</f>
        <v>0</v>
      </c>
      <c r="J5" s="94">
        <f>(+IFERROR(VLOOKUP($A5,'[152]BG (2)'!$B$9:$J$570,8,FALSE),0))*1</f>
        <v>0</v>
      </c>
      <c r="K5" s="73">
        <f>(+IFERROR(VLOOKUP($A5,'[152]BG (2)'!$B$9:$J$570,9,FALSE),0))*-1</f>
        <v>0</v>
      </c>
      <c r="P5" s="90">
        <f t="shared" ref="P5:P68" si="2">J5+K5</f>
        <v>0</v>
      </c>
      <c r="S5" s="90"/>
      <c r="T5" s="90">
        <f t="shared" si="0"/>
        <v>0</v>
      </c>
      <c r="U5" s="95"/>
      <c r="W5" s="75" t="e">
        <f>+A5-#REF!</f>
        <v>#REF!</v>
      </c>
      <c r="X5" s="1269"/>
      <c r="Y5" s="91"/>
      <c r="Z5" s="91"/>
      <c r="AA5" s="91"/>
    </row>
    <row r="6" spans="1:27" ht="14.4" customHeight="1" x14ac:dyDescent="0.3">
      <c r="A6">
        <v>121000</v>
      </c>
      <c r="B6" t="s">
        <v>84</v>
      </c>
      <c r="C6" t="s">
        <v>82</v>
      </c>
      <c r="D6" s="87" t="str">
        <f t="shared" si="1"/>
        <v>12</v>
      </c>
      <c r="E6" s="92"/>
      <c r="F6" s="93">
        <f>(+IFERROR(VLOOKUP($A6,'[152]BG (2)'!$B$9:$J$570,4,FALSE),0))*1</f>
        <v>0</v>
      </c>
      <c r="G6" s="73">
        <f>(+IFERROR(VLOOKUP($A6,'[152]BG (2)'!$B$9:$J$570,5,FALSE),0))*-1</f>
        <v>-11797647055</v>
      </c>
      <c r="H6" s="93">
        <f>(+IFERROR(VLOOKUP($A6,'[152]BG (2)'!$B$9:$J$570,6,FALSE),0))*1</f>
        <v>0</v>
      </c>
      <c r="I6" s="73">
        <f>(+IFERROR(VLOOKUP($A6,'[152]BG (2)'!$B$9:$J$570,7,FALSE),0))*-1</f>
        <v>-4015179140</v>
      </c>
      <c r="J6" s="94">
        <f>(+IFERROR(VLOOKUP($A6,'[152]BG (2)'!$B$9:$J$570,8,FALSE),0))*1</f>
        <v>0</v>
      </c>
      <c r="K6" s="73">
        <f>(+IFERROR(VLOOKUP($A6,'[152]BG (2)'!$B$9:$J$570,9,FALSE),0))*-1</f>
        <v>-15812826195</v>
      </c>
      <c r="P6" s="90">
        <f t="shared" si="2"/>
        <v>-15812826195</v>
      </c>
      <c r="S6" s="90"/>
      <c r="T6" s="90">
        <f t="shared" si="0"/>
        <v>-15812826195</v>
      </c>
      <c r="U6" s="95"/>
      <c r="W6" s="75" t="e">
        <f>+A6-#REF!</f>
        <v>#REF!</v>
      </c>
      <c r="X6" s="1269"/>
      <c r="Y6" s="91"/>
      <c r="Z6" s="91"/>
      <c r="AA6" s="91"/>
    </row>
    <row r="7" spans="1:27" ht="14.4" customHeight="1" x14ac:dyDescent="0.3">
      <c r="A7">
        <v>129000</v>
      </c>
      <c r="B7" t="s">
        <v>85</v>
      </c>
      <c r="C7" t="s">
        <v>82</v>
      </c>
      <c r="D7" s="87" t="str">
        <f t="shared" si="1"/>
        <v>12</v>
      </c>
      <c r="E7" s="92"/>
      <c r="F7" s="93">
        <f>(+IFERROR(VLOOKUP($A7,'[152]BG (2)'!$B$9:$J$570,4,FALSE),0))*1</f>
        <v>17260503796</v>
      </c>
      <c r="G7" s="73">
        <f>(+IFERROR(VLOOKUP($A7,'[152]BG (2)'!$B$9:$J$570,5,FALSE),0))*-1</f>
        <v>0</v>
      </c>
      <c r="H7" s="93">
        <f>(+IFERROR(VLOOKUP($A7,'[152]BG (2)'!$B$9:$J$570,6,FALSE),0))*1</f>
        <v>0</v>
      </c>
      <c r="I7" s="73">
        <f>(+IFERROR(VLOOKUP($A7,'[152]BG (2)'!$B$9:$J$570,7,FALSE),0))*-1</f>
        <v>0</v>
      </c>
      <c r="J7" s="94">
        <f>(+IFERROR(VLOOKUP($A7,'[152]BG (2)'!$B$9:$J$570,8,FALSE),0))*1</f>
        <v>17260503796</v>
      </c>
      <c r="K7" s="73">
        <f>(+IFERROR(VLOOKUP($A7,'[152]BG (2)'!$B$9:$J$570,9,FALSE),0))*-1</f>
        <v>0</v>
      </c>
      <c r="P7" s="90">
        <f t="shared" si="2"/>
        <v>17260503796</v>
      </c>
      <c r="S7" s="90"/>
      <c r="T7" s="90">
        <f t="shared" si="0"/>
        <v>17260503796</v>
      </c>
      <c r="U7" s="95"/>
      <c r="W7" s="75" t="e">
        <f>+A7-#REF!</f>
        <v>#REF!</v>
      </c>
      <c r="X7" s="1269"/>
      <c r="Y7" s="91"/>
      <c r="Z7" s="91"/>
      <c r="AA7" s="91"/>
    </row>
    <row r="8" spans="1:27" ht="14.4" customHeight="1" x14ac:dyDescent="0.3">
      <c r="A8">
        <v>130100</v>
      </c>
      <c r="B8" t="s">
        <v>86</v>
      </c>
      <c r="C8"/>
      <c r="D8" s="87" t="str">
        <f t="shared" si="1"/>
        <v>13</v>
      </c>
      <c r="E8" s="92"/>
      <c r="F8" s="1285">
        <f>(+IFERROR(VLOOKUP($A8,'[152]BG (2)'!$B$9:$J$570,4,FALSE),0))*1</f>
        <v>0</v>
      </c>
      <c r="G8" s="73">
        <f>(+IFERROR(VLOOKUP($A8,'[152]BG (2)'!$B$9:$J$570,5,FALSE),0))*-1</f>
        <v>-219020909</v>
      </c>
      <c r="H8" s="93">
        <f>(+IFERROR(VLOOKUP($A8,'[152]BG (2)'!$B$9:$J$570,6,FALSE),0))*1</f>
        <v>0</v>
      </c>
      <c r="I8" s="73">
        <f>(+IFERROR(VLOOKUP($A8,'[152]BG (2)'!$B$9:$J$570,7,FALSE),0))*-1</f>
        <v>0</v>
      </c>
      <c r="J8" s="94">
        <f>(+IFERROR(VLOOKUP($A8,'[152]BG (2)'!$B$9:$J$570,8,FALSE),0))*1</f>
        <v>0</v>
      </c>
      <c r="K8" s="73">
        <f>(+IFERROR(VLOOKUP($A8,'[152]BG (2)'!$B$9:$J$570,9,FALSE),0))*-1</f>
        <v>-219020909</v>
      </c>
      <c r="P8" s="90">
        <f t="shared" si="2"/>
        <v>-219020909</v>
      </c>
      <c r="S8" s="90"/>
      <c r="T8" s="90">
        <f t="shared" si="0"/>
        <v>-219020909</v>
      </c>
      <c r="U8" s="95"/>
      <c r="W8" s="75" t="e">
        <f>+A8-#REF!</f>
        <v>#REF!</v>
      </c>
      <c r="X8" s="1269"/>
      <c r="Y8" s="91"/>
      <c r="Z8" s="91"/>
      <c r="AA8" s="91"/>
    </row>
    <row r="9" spans="1:27" ht="14.4" customHeight="1" x14ac:dyDescent="0.3">
      <c r="A9">
        <v>130900</v>
      </c>
      <c r="B9" t="s">
        <v>86</v>
      </c>
      <c r="C9" t="s">
        <v>87</v>
      </c>
      <c r="D9" s="87" t="str">
        <f t="shared" si="1"/>
        <v>13</v>
      </c>
      <c r="E9" s="92"/>
      <c r="F9" s="1290">
        <f>(+IFERROR(VLOOKUP($A9,'[152]BG (2)'!$B$9:$J$570,4,FALSE),0))*1</f>
        <v>0</v>
      </c>
      <c r="G9" s="73">
        <f>(+IFERROR(VLOOKUP($A9,'[152]BG (2)'!$B$9:$J$570,5,FALSE),0))*-1</f>
        <v>0</v>
      </c>
      <c r="H9" s="93">
        <f>(+IFERROR(VLOOKUP($A9,'[152]BG (2)'!$B$9:$J$570,6,FALSE),0))*1</f>
        <v>0</v>
      </c>
      <c r="I9" s="73">
        <f>(+IFERROR(VLOOKUP($A9,'[152]BG (2)'!$B$9:$J$570,7,FALSE),0))*-1</f>
        <v>0</v>
      </c>
      <c r="J9" s="1290">
        <f>(+IFERROR(VLOOKUP($A9,'[152]BG (2)'!$B$9:$J$570,8,FALSE),0))*1</f>
        <v>0</v>
      </c>
      <c r="K9" s="73">
        <f>(+IFERROR(VLOOKUP($A9,'[152]BG (2)'!$B$9:$J$570,9,FALSE),0))*-1</f>
        <v>0</v>
      </c>
      <c r="P9" s="90">
        <f t="shared" si="2"/>
        <v>0</v>
      </c>
      <c r="S9" s="90"/>
      <c r="T9" s="90">
        <f t="shared" si="0"/>
        <v>0</v>
      </c>
      <c r="U9" s="95"/>
      <c r="V9" s="72"/>
      <c r="W9" s="75" t="e">
        <f>+A9-#REF!</f>
        <v>#REF!</v>
      </c>
      <c r="X9" s="1270"/>
      <c r="Y9" s="91"/>
      <c r="Z9" s="91"/>
      <c r="AA9" s="91"/>
    </row>
    <row r="10" spans="1:27" ht="14.4" customHeight="1" x14ac:dyDescent="0.3">
      <c r="A10">
        <v>131000</v>
      </c>
      <c r="B10" t="s">
        <v>88</v>
      </c>
      <c r="C10"/>
      <c r="D10" s="87" t="str">
        <f t="shared" si="1"/>
        <v>13</v>
      </c>
      <c r="E10" s="92"/>
      <c r="F10" s="93">
        <f>(+IFERROR(VLOOKUP($A10,'[152]BG (2)'!$B$9:$J$570,4,FALSE),0))*1</f>
        <v>0</v>
      </c>
      <c r="G10" s="73">
        <f>(+IFERROR(VLOOKUP($A10,'[152]BG (2)'!$B$9:$J$570,5,FALSE),0))*-1</f>
        <v>-4015179140</v>
      </c>
      <c r="H10" s="93">
        <f>(+IFERROR(VLOOKUP($A10,'[152]BG (2)'!$B$9:$J$570,6,FALSE),0))*1</f>
        <v>4015179140</v>
      </c>
      <c r="I10" s="73">
        <f>(+IFERROR(VLOOKUP($A10,'[152]BG (2)'!$B$9:$J$570,7,FALSE),0))*-1</f>
        <v>0</v>
      </c>
      <c r="J10" s="94">
        <f>(+IFERROR(VLOOKUP($A10,'[152]BG (2)'!$B$9:$J$570,8,FALSE),0))*1</f>
        <v>0</v>
      </c>
      <c r="K10" s="73">
        <f>(+IFERROR(VLOOKUP($A10,'[152]BG (2)'!$B$9:$J$570,9,FALSE),0))*-1</f>
        <v>0</v>
      </c>
      <c r="P10" s="90">
        <f t="shared" si="2"/>
        <v>0</v>
      </c>
      <c r="S10" s="90"/>
      <c r="T10" s="90">
        <f t="shared" si="0"/>
        <v>0</v>
      </c>
      <c r="U10" s="95"/>
      <c r="V10" s="72"/>
      <c r="W10" s="75" t="e">
        <f>+A10-#REF!</f>
        <v>#REF!</v>
      </c>
      <c r="X10" s="1270"/>
      <c r="Y10" s="91"/>
      <c r="Z10" s="91"/>
      <c r="AA10" s="91"/>
    </row>
    <row r="11" spans="1:27" ht="14.4" customHeight="1" x14ac:dyDescent="0.3">
      <c r="A11">
        <v>139000</v>
      </c>
      <c r="B11" t="s">
        <v>89</v>
      </c>
      <c r="C11"/>
      <c r="D11" s="87" t="str">
        <f t="shared" si="1"/>
        <v>13</v>
      </c>
      <c r="E11" s="92"/>
      <c r="F11" s="93">
        <f>(+IFERROR(VLOOKUP($A11,'[152]BG (2)'!$B$9:$J$570,4,FALSE),0))*1</f>
        <v>0</v>
      </c>
      <c r="G11" s="73">
        <f>(+IFERROR(VLOOKUP($A11,'[152]BG (2)'!$B$9:$J$570,5,FALSE),0))*-1</f>
        <v>0</v>
      </c>
      <c r="H11" s="93">
        <f>(+IFERROR(VLOOKUP($A11,'[152]BG (2)'!$B$9:$J$570,6,FALSE),0))*1</f>
        <v>0</v>
      </c>
      <c r="I11" s="73">
        <f>(+IFERROR(VLOOKUP($A11,'[152]BG (2)'!$B$9:$J$570,7,FALSE),0))*-1</f>
        <v>0</v>
      </c>
      <c r="J11" s="94">
        <f>(+IFERROR(VLOOKUP($A11,'[152]BG (2)'!$B$9:$J$570,8,FALSE),0))*1</f>
        <v>0</v>
      </c>
      <c r="K11" s="73">
        <f>(+IFERROR(VLOOKUP($A11,'[152]BG (2)'!$B$9:$J$570,9,FALSE),0))*-1</f>
        <v>0</v>
      </c>
      <c r="P11" s="90">
        <f t="shared" si="2"/>
        <v>0</v>
      </c>
      <c r="S11" s="90"/>
      <c r="T11" s="90">
        <f t="shared" si="0"/>
        <v>0</v>
      </c>
      <c r="U11" s="95"/>
      <c r="V11" s="72"/>
      <c r="W11" s="75" t="e">
        <f>+A11-#REF!</f>
        <v>#REF!</v>
      </c>
      <c r="X11" s="1270"/>
      <c r="Y11" s="91"/>
      <c r="Z11" s="91"/>
      <c r="AA11" s="91"/>
    </row>
    <row r="12" spans="1:27" ht="14.4" customHeight="1" x14ac:dyDescent="0.3">
      <c r="A12">
        <v>148000</v>
      </c>
      <c r="B12" t="s">
        <v>2438</v>
      </c>
      <c r="C12"/>
      <c r="D12" s="87" t="str">
        <f t="shared" si="1"/>
        <v>14</v>
      </c>
      <c r="E12" s="92"/>
      <c r="F12" s="93">
        <f>(+IFERROR(VLOOKUP($A12,'[152]BG (2)'!$B$9:$J$570,4,FALSE),0))*1</f>
        <v>0</v>
      </c>
      <c r="G12" s="73">
        <f>(+IFERROR(VLOOKUP($A12,'[152]BG (2)'!$B$9:$J$570,5,FALSE),0))*-1</f>
        <v>0</v>
      </c>
      <c r="H12" s="93">
        <f>(+IFERROR(VLOOKUP($A12,'[152]BG (2)'!$B$9:$J$570,6,FALSE),0))*1</f>
        <v>535112960</v>
      </c>
      <c r="I12" s="73">
        <f>(+IFERROR(VLOOKUP($A12,'[152]BG (2)'!$B$9:$J$570,7,FALSE),0))*-1</f>
        <v>-1830627040</v>
      </c>
      <c r="J12" s="94">
        <f>(+IFERROR(VLOOKUP($A12,'[152]BG (2)'!$B$9:$J$570,8,FALSE),0))*1</f>
        <v>0</v>
      </c>
      <c r="K12" s="73">
        <f>(+IFERROR(VLOOKUP($A12,'[152]BG (2)'!$B$9:$J$570,9,FALSE),0))*-1</f>
        <v>-1295514080</v>
      </c>
      <c r="P12" s="90">
        <f t="shared" si="2"/>
        <v>-1295514080</v>
      </c>
      <c r="S12" s="90"/>
      <c r="T12" s="90"/>
      <c r="U12" s="95"/>
      <c r="V12" s="72"/>
      <c r="W12" s="75"/>
      <c r="X12" s="1270"/>
      <c r="Y12" s="91"/>
      <c r="Z12" s="91"/>
      <c r="AA12" s="91"/>
    </row>
    <row r="13" spans="1:27" ht="14.4" customHeight="1" x14ac:dyDescent="0.3">
      <c r="A13" s="1415">
        <v>161101</v>
      </c>
      <c r="B13" s="1415" t="s">
        <v>2216</v>
      </c>
      <c r="C13" s="1415" t="s">
        <v>90</v>
      </c>
      <c r="D13" s="87" t="str">
        <f t="shared" si="1"/>
        <v>16</v>
      </c>
      <c r="E13" s="1416"/>
      <c r="F13" s="1417">
        <f>(+IFERROR(VLOOKUP($A13,'[152]BG (2)'!$B$9:$J$570,4,FALSE),0))*1</f>
        <v>0</v>
      </c>
      <c r="G13" s="1418">
        <f>(+IFERROR(VLOOKUP($A13,'[152]BG (2)'!$B$9:$J$570,5,FALSE),0))*-1</f>
        <v>-564773615</v>
      </c>
      <c r="H13" s="1417">
        <f>(+IFERROR(VLOOKUP($A13,'[152]BG (2)'!$B$9:$J$570,6,FALSE),0))*1</f>
        <v>188257874</v>
      </c>
      <c r="I13" s="1418">
        <f>(+IFERROR(VLOOKUP($A13,'[152]BG (2)'!$B$9:$J$570,7,FALSE),0))*-1</f>
        <v>0</v>
      </c>
      <c r="J13" s="1322">
        <f>(+IFERROR(VLOOKUP($A13,'[152]BG (2)'!$B$9:$J$570,8,FALSE),0))*1</f>
        <v>0</v>
      </c>
      <c r="K13" s="1418">
        <f>(+IFERROR(VLOOKUP($A13,'[152]BG (2)'!$B$9:$J$570,9,FALSE),0))*-1</f>
        <v>-376515741</v>
      </c>
      <c r="P13" s="90">
        <f t="shared" si="2"/>
        <v>-376515741</v>
      </c>
      <c r="S13" s="90"/>
      <c r="T13" s="90">
        <f t="shared" si="0"/>
        <v>-376515741</v>
      </c>
      <c r="U13" s="95"/>
      <c r="V13" s="72"/>
      <c r="W13" s="75" t="e">
        <f>+A13-#REF!</f>
        <v>#REF!</v>
      </c>
      <c r="X13" s="1270"/>
      <c r="Y13" s="91"/>
      <c r="Z13" s="91"/>
      <c r="AA13" s="91"/>
    </row>
    <row r="14" spans="1:27" ht="14.4" customHeight="1" x14ac:dyDescent="0.3">
      <c r="A14" s="1415">
        <v>162000</v>
      </c>
      <c r="B14" s="1415" t="s">
        <v>91</v>
      </c>
      <c r="C14" s="1415" t="s">
        <v>92</v>
      </c>
      <c r="D14" s="87" t="str">
        <f t="shared" si="1"/>
        <v>16</v>
      </c>
      <c r="E14" s="1416"/>
      <c r="F14" s="1417">
        <f>(+IFERROR(VLOOKUP($A14,'[152]BG (2)'!$B$9:$J$570,4,FALSE),0))*1</f>
        <v>0</v>
      </c>
      <c r="G14" s="1418">
        <f>(+IFERROR(VLOOKUP($A14,'[152]BG (2)'!$B$9:$J$570,5,FALSE),0))*-1</f>
        <v>0</v>
      </c>
      <c r="H14" s="1417">
        <f>(+IFERROR(VLOOKUP($A14,'[152]BG (2)'!$B$9:$J$570,6,FALSE),0))*1</f>
        <v>0</v>
      </c>
      <c r="I14" s="1418">
        <f>(+IFERROR(VLOOKUP($A14,'[152]BG (2)'!$B$9:$J$570,7,FALSE),0))*-1</f>
        <v>0</v>
      </c>
      <c r="J14" s="1322">
        <f>(+IFERROR(VLOOKUP($A14,'[152]BG (2)'!$B$9:$J$570,8,FALSE),0))*1</f>
        <v>0</v>
      </c>
      <c r="K14" s="1418">
        <f>(+IFERROR(VLOOKUP($A14,'[152]BG (2)'!$B$9:$J$570,9,FALSE),0))*-1</f>
        <v>0</v>
      </c>
      <c r="P14" s="90">
        <f t="shared" si="2"/>
        <v>0</v>
      </c>
      <c r="S14" s="90"/>
      <c r="T14" s="90">
        <f t="shared" si="0"/>
        <v>0</v>
      </c>
      <c r="U14" s="95"/>
      <c r="V14" s="72"/>
      <c r="W14" s="75" t="e">
        <f>+A14-#REF!</f>
        <v>#REF!</v>
      </c>
      <c r="X14" s="1270"/>
      <c r="Y14" s="91"/>
      <c r="Z14" s="91"/>
      <c r="AA14" s="91"/>
    </row>
    <row r="15" spans="1:27" ht="14.4" customHeight="1" x14ac:dyDescent="0.3">
      <c r="A15" s="1511">
        <v>162200</v>
      </c>
      <c r="B15" s="1511" t="s">
        <v>93</v>
      </c>
      <c r="C15" s="1511" t="s">
        <v>94</v>
      </c>
      <c r="D15" s="87" t="str">
        <f t="shared" si="1"/>
        <v>16</v>
      </c>
      <c r="E15" s="1515"/>
      <c r="F15" s="1512">
        <f>(+IFERROR(VLOOKUP($A15,'[152]BG (2)'!$B$9:$J$570,4,FALSE),0))*1</f>
        <v>0</v>
      </c>
      <c r="G15" s="1513">
        <f>(+IFERROR(VLOOKUP($A15,'[152]BG (2)'!$B$9:$J$570,5,FALSE),0))*-1</f>
        <v>0</v>
      </c>
      <c r="H15" s="1514">
        <f>(+IFERROR(VLOOKUP($A15,'[152]BG (2)'!$B$9:$J$570,6,FALSE),0))*1</f>
        <v>0</v>
      </c>
      <c r="I15" s="1513">
        <f>(+IFERROR(VLOOKUP($A15,'[152]BG (2)'!$B$9:$J$570,7,FALSE),0))*-1</f>
        <v>0</v>
      </c>
      <c r="J15" s="1514">
        <f>(+IFERROR(VLOOKUP($A15,'[152]BG (2)'!$B$9:$J$570,8,FALSE),0))*1</f>
        <v>0</v>
      </c>
      <c r="K15" s="1513">
        <f>(+IFERROR(VLOOKUP($A15,'[152]BG (2)'!$B$9:$J$570,9,FALSE),0))*-1</f>
        <v>0</v>
      </c>
      <c r="L15" s="96"/>
      <c r="P15" s="90">
        <f t="shared" si="2"/>
        <v>0</v>
      </c>
      <c r="R15" s="99"/>
      <c r="S15" s="90"/>
      <c r="T15" s="90">
        <f t="shared" si="0"/>
        <v>0</v>
      </c>
      <c r="U15" s="95"/>
      <c r="V15" s="95"/>
      <c r="W15" s="75" t="e">
        <f>+A15-#REF!</f>
        <v>#REF!</v>
      </c>
      <c r="X15" s="1271"/>
      <c r="Y15" s="91"/>
      <c r="Z15" s="91"/>
      <c r="AA15" s="91"/>
    </row>
    <row r="16" spans="1:27" ht="14.4" customHeight="1" x14ac:dyDescent="0.3">
      <c r="A16" s="1415">
        <v>162300</v>
      </c>
      <c r="B16" s="1415" t="s">
        <v>95</v>
      </c>
      <c r="C16" s="1415" t="s">
        <v>92</v>
      </c>
      <c r="D16" s="87" t="str">
        <f t="shared" si="1"/>
        <v>16</v>
      </c>
      <c r="E16" s="1416"/>
      <c r="F16" s="1417">
        <f>(+IFERROR(VLOOKUP($A16,'[152]BG (2)'!$B$9:$J$570,4,FALSE),0))*1</f>
        <v>0</v>
      </c>
      <c r="G16" s="1418">
        <f>(+IFERROR(VLOOKUP($A16,'[152]BG (2)'!$B$9:$J$570,5,FALSE),0))*-1</f>
        <v>-10771050910</v>
      </c>
      <c r="H16" s="1417">
        <f>(+IFERROR(VLOOKUP($A16,'[152]BG (2)'!$B$9:$J$570,6,FALSE),0))*1</f>
        <v>3847116856</v>
      </c>
      <c r="I16" s="1418">
        <f>(+IFERROR(VLOOKUP($A16,'[152]BG (2)'!$B$9:$J$570,7,FALSE),0))*-1</f>
        <v>-921026219</v>
      </c>
      <c r="J16" s="1322">
        <f>(+IFERROR(VLOOKUP($A16,'[152]BG (2)'!$B$9:$J$570,8,FALSE),0))*1</f>
        <v>0</v>
      </c>
      <c r="K16" s="1418">
        <f>(+IFERROR(VLOOKUP($A16,'[152]BG (2)'!$B$9:$J$570,9,FALSE),0))*-1</f>
        <v>-7844960273</v>
      </c>
      <c r="L16" s="96"/>
      <c r="P16" s="90">
        <f t="shared" si="2"/>
        <v>-7844960273</v>
      </c>
      <c r="S16" s="90"/>
      <c r="T16" s="90"/>
      <c r="U16" s="95">
        <f>K13+K15+K16</f>
        <v>-8221476014</v>
      </c>
      <c r="V16" s="95">
        <f>G11+G14+G15</f>
        <v>0</v>
      </c>
      <c r="W16" s="75" t="e">
        <f>+A16-#REF!</f>
        <v>#REF!</v>
      </c>
      <c r="X16" s="1271"/>
      <c r="Y16" s="91"/>
      <c r="Z16" s="91"/>
      <c r="AA16" s="91"/>
    </row>
    <row r="17" spans="1:29" ht="14.4" customHeight="1" x14ac:dyDescent="0.3">
      <c r="A17" s="1415">
        <v>162400</v>
      </c>
      <c r="B17" s="1415" t="s">
        <v>2267</v>
      </c>
      <c r="C17" s="1415" t="s">
        <v>92</v>
      </c>
      <c r="D17" s="87" t="str">
        <f t="shared" si="1"/>
        <v>16</v>
      </c>
      <c r="E17" s="1416"/>
      <c r="F17" s="1417">
        <f>(+IFERROR(VLOOKUP($A17,'[152]BG (2)'!$B$9:$J$570,4,FALSE),0))*1</f>
        <v>0</v>
      </c>
      <c r="G17" s="1418">
        <f>(+IFERROR(VLOOKUP($A17,'[152]BG (2)'!$B$9:$J$570,5,FALSE),0))*-1</f>
        <v>-14830776943</v>
      </c>
      <c r="H17" s="1417">
        <f>(+IFERROR(VLOOKUP($A17,'[152]BG (2)'!$B$9:$J$570,6,FALSE),0))*1</f>
        <v>2073985135</v>
      </c>
      <c r="I17" s="1418">
        <f>(+IFERROR(VLOOKUP($A17,'[152]BG (2)'!$B$9:$J$570,7,FALSE),0))*-1</f>
        <v>-5000000000</v>
      </c>
      <c r="J17" s="1322">
        <f>(+IFERROR(VLOOKUP($A17,'[152]BG (2)'!$B$9:$J$570,8,FALSE),0))*1</f>
        <v>0</v>
      </c>
      <c r="K17" s="1418">
        <f>(+IFERROR(VLOOKUP($A17,'[152]BG (2)'!$B$9:$J$570,9,FALSE),0))*-1</f>
        <v>-17756791808</v>
      </c>
      <c r="L17" s="96"/>
      <c r="P17" s="90">
        <f t="shared" si="2"/>
        <v>-17756791808</v>
      </c>
      <c r="S17" s="90"/>
      <c r="T17" s="90"/>
      <c r="U17" s="95"/>
      <c r="V17" s="95"/>
      <c r="W17" s="75"/>
      <c r="X17" s="1271"/>
      <c r="Y17" s="91"/>
      <c r="Z17" s="91"/>
      <c r="AA17" s="91"/>
      <c r="AC17" s="72">
        <f>4994500000/1000000</f>
        <v>4994.5</v>
      </c>
    </row>
    <row r="18" spans="1:29" ht="14.4" customHeight="1" x14ac:dyDescent="0.3">
      <c r="A18" s="1419">
        <v>162500</v>
      </c>
      <c r="B18" s="1415" t="s">
        <v>2273</v>
      </c>
      <c r="C18" s="1415" t="s">
        <v>92</v>
      </c>
      <c r="D18" s="87" t="str">
        <f t="shared" si="1"/>
        <v>16</v>
      </c>
      <c r="E18" s="1416"/>
      <c r="F18" s="1417">
        <f>(+IFERROR(VLOOKUP($A18,'[152]BG (2)'!$B$9:$J$570,4,FALSE),0))*1</f>
        <v>0</v>
      </c>
      <c r="G18" s="1418">
        <f>(+IFERROR(VLOOKUP($A18,'[152]BG (2)'!$B$9:$J$570,5,FALSE),0))*-1</f>
        <v>-20000000000</v>
      </c>
      <c r="H18" s="1417">
        <f>(+IFERROR(VLOOKUP($A18,'[152]BG (2)'!$B$9:$J$570,6,FALSE),0))*1</f>
        <v>2098417244</v>
      </c>
      <c r="I18" s="1418">
        <f>(+IFERROR(VLOOKUP($A18,'[152]BG (2)'!$B$9:$J$570,7,FALSE),0))*-1</f>
        <v>0</v>
      </c>
      <c r="J18" s="1322">
        <f>(+IFERROR(VLOOKUP($A18,'[152]BG (2)'!$B$9:$J$570,8,FALSE),0))*1</f>
        <v>0</v>
      </c>
      <c r="K18" s="1418">
        <f>(+IFERROR(VLOOKUP($A18,'[152]BG (2)'!$B$9:$J$570,9,FALSE),0))*-1</f>
        <v>-17901582756</v>
      </c>
      <c r="L18" s="96"/>
      <c r="P18" s="90">
        <f t="shared" si="2"/>
        <v>-17901582756</v>
      </c>
      <c r="S18" s="90"/>
      <c r="T18" s="90"/>
      <c r="U18" s="95"/>
      <c r="V18" s="95"/>
      <c r="W18" s="75"/>
      <c r="X18" s="1271"/>
      <c r="Y18" s="91"/>
      <c r="Z18" s="91"/>
      <c r="AA18" s="91"/>
    </row>
    <row r="19" spans="1:29" ht="14.4" customHeight="1" x14ac:dyDescent="0.3">
      <c r="A19" s="1415">
        <v>165200</v>
      </c>
      <c r="B19" s="1415" t="s">
        <v>96</v>
      </c>
      <c r="C19" s="1415" t="s">
        <v>97</v>
      </c>
      <c r="D19" s="87" t="str">
        <f t="shared" si="1"/>
        <v>16</v>
      </c>
      <c r="E19" s="1416"/>
      <c r="F19" s="1417">
        <f>(+IFERROR(VLOOKUP($A19,'[152]BG (2)'!$B$9:$J$570,4,FALSE),0))*1</f>
        <v>0</v>
      </c>
      <c r="G19" s="1418">
        <f>(+IFERROR(VLOOKUP($A19,'[152]BG (2)'!$B$9:$J$570,5,FALSE),0))*-1</f>
        <v>-1297000</v>
      </c>
      <c r="H19" s="1417">
        <f>(+IFERROR(VLOOKUP($A19,'[152]BG (2)'!$B$9:$J$570,6,FALSE),0))*1</f>
        <v>0</v>
      </c>
      <c r="I19" s="1418">
        <f>(+IFERROR(VLOOKUP($A19,'[152]BG (2)'!$B$9:$J$570,7,FALSE),0))*-1</f>
        <v>0</v>
      </c>
      <c r="J19" s="1322">
        <f>(+IFERROR(VLOOKUP($A19,'[152]BG (2)'!$B$9:$J$570,8,FALSE),0))*1</f>
        <v>0</v>
      </c>
      <c r="K19" s="1418">
        <f>(+IFERROR(VLOOKUP($A19,'[152]BG (2)'!$B$9:$J$570,9,FALSE),0))*-1</f>
        <v>-1297000</v>
      </c>
      <c r="P19" s="90">
        <f t="shared" si="2"/>
        <v>-1297000</v>
      </c>
      <c r="S19" s="90"/>
      <c r="T19" s="90">
        <f t="shared" ref="T19:T37" si="3">K19+J19</f>
        <v>-1297000</v>
      </c>
      <c r="U19" s="95"/>
      <c r="V19" s="95"/>
      <c r="W19" s="75" t="e">
        <f>+A19-#REF!</f>
        <v>#REF!</v>
      </c>
      <c r="X19" s="1271"/>
      <c r="Y19" s="91"/>
      <c r="Z19" s="91"/>
      <c r="AA19" s="91"/>
    </row>
    <row r="20" spans="1:29" ht="14.4" customHeight="1" x14ac:dyDescent="0.3">
      <c r="A20" s="1415">
        <v>165210</v>
      </c>
      <c r="B20" s="1415" t="s">
        <v>98</v>
      </c>
      <c r="C20" s="1415" t="s">
        <v>97</v>
      </c>
      <c r="D20" s="87" t="str">
        <f t="shared" si="1"/>
        <v>16</v>
      </c>
      <c r="E20" s="1416"/>
      <c r="F20" s="1417">
        <f>(+IFERROR(VLOOKUP($A20,'[152]BG (2)'!$B$9:$J$570,4,FALSE),0))*1</f>
        <v>0</v>
      </c>
      <c r="G20" s="1418">
        <f>(+IFERROR(VLOOKUP($A20,'[152]BG (2)'!$B$9:$J$570,5,FALSE),0))*-1</f>
        <v>-307748479</v>
      </c>
      <c r="H20" s="1417">
        <f>(+IFERROR(VLOOKUP($A20,'[152]BG (2)'!$B$9:$J$570,6,FALSE),0))*1</f>
        <v>1260500</v>
      </c>
      <c r="I20" s="1418">
        <f>(+IFERROR(VLOOKUP($A20,'[152]BG (2)'!$B$9:$J$570,7,FALSE),0))*-1</f>
        <v>-20756200</v>
      </c>
      <c r="J20" s="1322">
        <f>(+IFERROR(VLOOKUP($A20,'[152]BG (2)'!$B$9:$J$570,8,FALSE),0))*1</f>
        <v>0</v>
      </c>
      <c r="K20" s="1418">
        <f>(+IFERROR(VLOOKUP($A20,'[152]BG (2)'!$B$9:$J$570,9,FALSE),0))*-1</f>
        <v>-327244179</v>
      </c>
      <c r="M20" s="98"/>
      <c r="P20" s="90">
        <f t="shared" si="2"/>
        <v>-327244179</v>
      </c>
      <c r="S20" s="90"/>
      <c r="T20" s="90">
        <f t="shared" si="3"/>
        <v>-327244179</v>
      </c>
      <c r="U20" s="95">
        <f>K22+K21</f>
        <v>-692693489</v>
      </c>
      <c r="V20" s="95">
        <f>G21+G20</f>
        <v>-310493907</v>
      </c>
      <c r="W20" s="75" t="e">
        <f>+A20-#REF!</f>
        <v>#REF!</v>
      </c>
      <c r="X20" s="1271"/>
      <c r="Y20" s="91"/>
      <c r="Z20" s="91"/>
      <c r="AA20" s="91"/>
    </row>
    <row r="21" spans="1:29" ht="14.4" customHeight="1" x14ac:dyDescent="0.3">
      <c r="A21" s="1415">
        <v>166101</v>
      </c>
      <c r="B21" s="1415" t="s">
        <v>99</v>
      </c>
      <c r="C21" s="1415" t="s">
        <v>100</v>
      </c>
      <c r="D21" s="87" t="str">
        <f t="shared" si="1"/>
        <v>16</v>
      </c>
      <c r="E21" s="1416"/>
      <c r="F21" s="1417">
        <f>(+IFERROR(VLOOKUP($A21,'[152]BG (2)'!$B$9:$J$570,4,FALSE),0))*1</f>
        <v>0</v>
      </c>
      <c r="G21" s="1418">
        <f>(+IFERROR(VLOOKUP($A21,'[152]BG (2)'!$B$9:$J$570,5,FALSE),0))*-1</f>
        <v>-2745428</v>
      </c>
      <c r="H21" s="1417">
        <f>(+IFERROR(VLOOKUP($A21,'[152]BG (2)'!$B$9:$J$570,6,FALSE),0))*1</f>
        <v>0</v>
      </c>
      <c r="I21" s="1418">
        <f>(+IFERROR(VLOOKUP($A21,'[152]BG (2)'!$B$9:$J$570,7,FALSE),0))*-1</f>
        <v>1961020</v>
      </c>
      <c r="J21" s="1322">
        <f>(+IFERROR(VLOOKUP($A21,'[152]BG (2)'!$B$9:$J$570,8,FALSE),0))*1</f>
        <v>0</v>
      </c>
      <c r="K21" s="1418">
        <f>(+IFERROR(VLOOKUP($A21,'[152]BG (2)'!$B$9:$J$570,9,FALSE),0))*-1</f>
        <v>-784408</v>
      </c>
      <c r="P21" s="90">
        <f t="shared" si="2"/>
        <v>-784408</v>
      </c>
      <c r="S21" s="90"/>
      <c r="T21" s="90">
        <f t="shared" si="3"/>
        <v>-784408</v>
      </c>
      <c r="U21" s="95"/>
      <c r="V21" s="95"/>
      <c r="W21" s="75" t="e">
        <f>+A21-#REF!</f>
        <v>#REF!</v>
      </c>
      <c r="X21" s="1271"/>
      <c r="Y21" s="91"/>
      <c r="Z21" s="91"/>
      <c r="AA21" s="91"/>
    </row>
    <row r="22" spans="1:29" ht="14.4" customHeight="1" x14ac:dyDescent="0.3">
      <c r="A22" s="1415">
        <v>166200</v>
      </c>
      <c r="B22" s="1415" t="s">
        <v>101</v>
      </c>
      <c r="C22" s="1415" t="s">
        <v>102</v>
      </c>
      <c r="D22" s="87" t="str">
        <f t="shared" si="1"/>
        <v>16</v>
      </c>
      <c r="E22" s="1416"/>
      <c r="F22" s="1417">
        <f>(+IFERROR(VLOOKUP($A22,'[152]BG (2)'!$B$9:$J$570,4,FALSE),0))*1</f>
        <v>0</v>
      </c>
      <c r="G22" s="1418">
        <f>(+IFERROR(VLOOKUP($A22,'[152]BG (2)'!$B$9:$J$570,5,FALSE),0))*-1</f>
        <v>-907777903</v>
      </c>
      <c r="H22" s="1417">
        <f>(+IFERROR(VLOOKUP($A22,'[152]BG (2)'!$B$9:$J$570,6,FALSE),0))*1</f>
        <v>-265360986</v>
      </c>
      <c r="I22" s="1418">
        <f>(+IFERROR(VLOOKUP($A22,'[152]BG (2)'!$B$9:$J$570,7,FALSE),0))*-1</f>
        <v>481229808</v>
      </c>
      <c r="J22" s="1322">
        <f>(+IFERROR(VLOOKUP($A22,'[152]BG (2)'!$B$9:$J$570,8,FALSE),0))*1</f>
        <v>0</v>
      </c>
      <c r="K22" s="1418">
        <f>(+IFERROR(VLOOKUP($A22,'[152]BG (2)'!$B$9:$J$570,9,FALSE),0))*-1</f>
        <v>-691909081</v>
      </c>
      <c r="P22" s="90">
        <f t="shared" si="2"/>
        <v>-691909081</v>
      </c>
      <c r="S22" s="90"/>
      <c r="T22" s="90">
        <f t="shared" si="3"/>
        <v>-691909081</v>
      </c>
      <c r="U22" s="95">
        <v>-13665075378</v>
      </c>
      <c r="V22" s="95">
        <v>-9204504573</v>
      </c>
      <c r="W22" s="75" t="e">
        <f>+A22-#REF!</f>
        <v>#REF!</v>
      </c>
      <c r="X22" s="1271"/>
      <c r="Y22" s="91"/>
      <c r="Z22" s="91"/>
      <c r="AA22" s="91"/>
    </row>
    <row r="23" spans="1:29" ht="14.4" customHeight="1" x14ac:dyDescent="0.3">
      <c r="A23" s="1415">
        <v>166210</v>
      </c>
      <c r="B23" s="1415" t="s">
        <v>103</v>
      </c>
      <c r="C23" s="1415" t="s">
        <v>102</v>
      </c>
      <c r="D23" s="87" t="str">
        <f t="shared" si="1"/>
        <v>16</v>
      </c>
      <c r="E23" s="1416"/>
      <c r="F23" s="1417">
        <f>(+IFERROR(VLOOKUP($A23,'[152]BG (2)'!$B$9:$J$570,4,FALSE),0))*1</f>
        <v>0</v>
      </c>
      <c r="G23" s="1418">
        <f>(+IFERROR(VLOOKUP($A23,'[152]BG (2)'!$B$9:$J$570,5,FALSE),0))*-1</f>
        <v>-3</v>
      </c>
      <c r="H23" s="1417">
        <f>(+IFERROR(VLOOKUP($A23,'[152]BG (2)'!$B$9:$J$570,6,FALSE),0))*1</f>
        <v>0</v>
      </c>
      <c r="I23" s="1418">
        <f>(+IFERROR(VLOOKUP($A23,'[152]BG (2)'!$B$9:$J$570,7,FALSE),0))*-1</f>
        <v>0</v>
      </c>
      <c r="J23" s="1322">
        <f>(+IFERROR(VLOOKUP($A23,'[152]BG (2)'!$B$9:$J$570,8,FALSE),0))*1</f>
        <v>0</v>
      </c>
      <c r="K23" s="1418">
        <f>(+IFERROR(VLOOKUP($A23,'[152]BG (2)'!$B$9:$J$570,9,FALSE),0))*-1</f>
        <v>-3</v>
      </c>
      <c r="P23" s="90">
        <f t="shared" si="2"/>
        <v>-3</v>
      </c>
      <c r="S23" s="90"/>
      <c r="T23" s="90">
        <f t="shared" si="3"/>
        <v>-3</v>
      </c>
      <c r="U23" s="95"/>
      <c r="V23" s="95"/>
      <c r="W23" s="75" t="e">
        <f>+A23-#REF!</f>
        <v>#REF!</v>
      </c>
      <c r="X23" s="1271"/>
      <c r="Y23" s="91"/>
      <c r="Z23" s="91"/>
      <c r="AA23" s="91"/>
    </row>
    <row r="24" spans="1:29" ht="14.4" customHeight="1" x14ac:dyDescent="0.3">
      <c r="A24" s="1511">
        <v>166220</v>
      </c>
      <c r="B24" s="1511" t="s">
        <v>104</v>
      </c>
      <c r="C24" s="1511" t="s">
        <v>94</v>
      </c>
      <c r="D24" s="87" t="str">
        <f t="shared" si="1"/>
        <v>16</v>
      </c>
      <c r="E24" s="1515"/>
      <c r="F24" s="1512">
        <f>(+IFERROR(VLOOKUP($A24,'[152]BG (2)'!$B$9:$J$570,4,FALSE),0))*1</f>
        <v>0</v>
      </c>
      <c r="G24" s="1513">
        <f>(+IFERROR(VLOOKUP($A24,'[152]BG (2)'!$B$9:$J$570,5,FALSE),0))*-1</f>
        <v>0</v>
      </c>
      <c r="H24" s="1514">
        <f>(+IFERROR(VLOOKUP($A24,'[152]BG (2)'!$B$9:$J$570,6,FALSE),0))*1</f>
        <v>0</v>
      </c>
      <c r="I24" s="1513">
        <f>(+IFERROR(VLOOKUP($A24,'[152]BG (2)'!$B$9:$J$570,7,FALSE),0))*-1</f>
        <v>0</v>
      </c>
      <c r="J24" s="1514">
        <f>(+IFERROR(VLOOKUP($A24,'[152]BG (2)'!$B$9:$J$570,8,FALSE),0))*1</f>
        <v>0</v>
      </c>
      <c r="K24" s="1513">
        <f>(+IFERROR(VLOOKUP($A24,'[152]BG (2)'!$B$9:$J$570,9,FALSE),0))*-1</f>
        <v>0</v>
      </c>
      <c r="L24" s="96"/>
      <c r="P24" s="90">
        <f t="shared" si="2"/>
        <v>0</v>
      </c>
      <c r="R24" s="99"/>
      <c r="S24" s="90"/>
      <c r="T24" s="90">
        <f t="shared" si="3"/>
        <v>0</v>
      </c>
      <c r="U24" s="95">
        <f>K24</f>
        <v>0</v>
      </c>
      <c r="V24" s="95">
        <f>G23</f>
        <v>-3</v>
      </c>
      <c r="W24" s="75" t="e">
        <f>+A24-#REF!</f>
        <v>#REF!</v>
      </c>
      <c r="X24" s="1271"/>
      <c r="Y24" s="91"/>
      <c r="Z24" s="91"/>
      <c r="AA24" s="91"/>
    </row>
    <row r="25" spans="1:29" s="1424" customFormat="1" ht="14.4" customHeight="1" x14ac:dyDescent="0.3">
      <c r="A25">
        <v>196000</v>
      </c>
      <c r="B25" t="s">
        <v>106</v>
      </c>
      <c r="C25" t="s">
        <v>107</v>
      </c>
      <c r="D25" s="87" t="str">
        <f t="shared" si="1"/>
        <v>19</v>
      </c>
      <c r="E25" s="92"/>
      <c r="F25" s="93">
        <f>(+IFERROR(VLOOKUP($A25,'[152]BG (2)'!$B$9:$J$570,4,FALSE),0))*1</f>
        <v>0</v>
      </c>
      <c r="G25" s="73">
        <f>(+IFERROR(VLOOKUP($A25,'[152]BG (2)'!$B$9:$J$570,5,FALSE),0))*-1</f>
        <v>-75886080</v>
      </c>
      <c r="H25" s="93">
        <f>(+IFERROR(VLOOKUP($A25,'[152]BG (2)'!$B$9:$J$570,6,FALSE),0))*1</f>
        <v>0</v>
      </c>
      <c r="I25" s="73">
        <f>(+IFERROR(VLOOKUP($A25,'[152]BG (2)'!$B$9:$J$570,7,FALSE),0))*-1</f>
        <v>0</v>
      </c>
      <c r="J25" s="94">
        <f>(+IFERROR(VLOOKUP($A25,'[152]BG (2)'!$B$9:$J$570,8,FALSE),0))*1</f>
        <v>0</v>
      </c>
      <c r="K25" s="1596">
        <f>(+IFERROR(VLOOKUP($A25,'[152]BG (2)'!$B$9:$J$570,9,FALSE),0))*-1</f>
        <v>-75886080</v>
      </c>
      <c r="L25" s="75"/>
      <c r="M25"/>
      <c r="N25" s="2"/>
      <c r="O25" s="2"/>
      <c r="P25" s="90">
        <f t="shared" si="2"/>
        <v>-75886080</v>
      </c>
      <c r="Q25" s="2"/>
      <c r="R25" s="2"/>
      <c r="S25" s="90"/>
      <c r="T25" s="90">
        <f t="shared" si="3"/>
        <v>-75886080</v>
      </c>
      <c r="U25" s="95">
        <f>SUM(U16:U24)</f>
        <v>-22579244881</v>
      </c>
      <c r="V25" s="72"/>
      <c r="W25" s="75" t="e">
        <f>+A25-#REF!</f>
        <v>#REF!</v>
      </c>
      <c r="X25" s="1270"/>
      <c r="Y25" s="91"/>
      <c r="Z25" s="91"/>
      <c r="AA25" s="91"/>
    </row>
    <row r="26" spans="1:29" ht="14.4" customHeight="1" x14ac:dyDescent="0.3">
      <c r="A26" s="105">
        <v>196100</v>
      </c>
      <c r="B26" s="105" t="s">
        <v>108</v>
      </c>
      <c r="C26" s="105"/>
      <c r="D26" s="87" t="str">
        <f t="shared" si="1"/>
        <v>19</v>
      </c>
      <c r="E26" s="1585"/>
      <c r="F26" s="108">
        <f>(+IFERROR(VLOOKUP($A26,'[152]BG (2)'!$B$9:$J$570,4,FALSE),0))*1</f>
        <v>0</v>
      </c>
      <c r="G26" s="1328">
        <f>(+IFERROR(VLOOKUP($A26,'[152]BG (2)'!$B$9:$J$570,5,FALSE),0))*-1</f>
        <v>-560543234</v>
      </c>
      <c r="H26" s="108">
        <f>(+IFERROR(VLOOKUP($A26,'[152]BG (2)'!$B$9:$J$570,6,FALSE),0))*1</f>
        <v>69932047</v>
      </c>
      <c r="I26" s="1328">
        <f>(+IFERROR(VLOOKUP($A26,'[152]BG (2)'!$B$9:$J$570,7,FALSE),0))*-1</f>
        <v>-138375073</v>
      </c>
      <c r="J26" s="89">
        <f>(+IFERROR(VLOOKUP($A26,'[152]BG (2)'!$B$9:$J$570,8,FALSE),0))*1</f>
        <v>0</v>
      </c>
      <c r="K26" s="1596">
        <f>(+IFERROR(VLOOKUP($A26,'[152]BG (2)'!$B$9:$J$570,9,FALSE),0))*-1</f>
        <v>-628986260</v>
      </c>
      <c r="L26" s="75"/>
      <c r="P26" s="90">
        <f t="shared" si="2"/>
        <v>-628986260</v>
      </c>
      <c r="S26" s="90"/>
      <c r="T26" s="90">
        <f t="shared" si="3"/>
        <v>-628986260</v>
      </c>
      <c r="U26" s="95">
        <f>SUM(U16:U22)</f>
        <v>-22579244881</v>
      </c>
      <c r="V26" s="72"/>
      <c r="W26" s="75" t="e">
        <f>+A26-#REF!</f>
        <v>#REF!</v>
      </c>
      <c r="X26" s="1270"/>
      <c r="Y26" s="91"/>
      <c r="Z26" s="91"/>
      <c r="AA26" s="91"/>
    </row>
    <row r="27" spans="1:29" ht="14.4" customHeight="1" x14ac:dyDescent="0.3">
      <c r="A27">
        <v>198000</v>
      </c>
      <c r="B27" t="s">
        <v>109</v>
      </c>
      <c r="C27" t="s">
        <v>110</v>
      </c>
      <c r="D27" s="87" t="str">
        <f t="shared" si="1"/>
        <v>19</v>
      </c>
      <c r="E27" s="92"/>
      <c r="F27" s="93">
        <f>(+IFERROR(VLOOKUP($A27,'[152]BG (2)'!$B$9:$J$570,4,FALSE),0))*1</f>
        <v>0</v>
      </c>
      <c r="G27" s="73">
        <f>(+IFERROR(VLOOKUP($A27,'[152]BG (2)'!$B$9:$J$570,5,FALSE),0))*-1</f>
        <v>-315691792</v>
      </c>
      <c r="H27" s="93">
        <f>(+IFERROR(VLOOKUP($A27,'[152]BG (2)'!$B$9:$J$570,6,FALSE),0))*1</f>
        <v>60096576</v>
      </c>
      <c r="I27" s="73">
        <f>(+IFERROR(VLOOKUP($A27,'[152]BG (2)'!$B$9:$J$570,7,FALSE),0))*-1</f>
        <v>-113600</v>
      </c>
      <c r="J27" s="89">
        <f>(+IFERROR(VLOOKUP($A27,'[152]BG (2)'!$B$9:$J$570,8,FALSE),0))*1</f>
        <v>0</v>
      </c>
      <c r="K27" s="73">
        <f>(+IFERROR(VLOOKUP($A27,'[152]BG (2)'!$B$9:$J$570,9,FALSE),0))*-1</f>
        <v>-255708816</v>
      </c>
      <c r="L27" s="96"/>
      <c r="N27" s="100"/>
      <c r="P27" s="90">
        <f t="shared" si="2"/>
        <v>-255708816</v>
      </c>
      <c r="S27" s="90"/>
      <c r="T27" s="90">
        <f t="shared" si="3"/>
        <v>-255708816</v>
      </c>
      <c r="U27" s="95"/>
      <c r="V27" s="72"/>
      <c r="W27" s="75" t="e">
        <f>+A27-#REF!</f>
        <v>#REF!</v>
      </c>
      <c r="X27" s="1270"/>
      <c r="Y27" s="91"/>
      <c r="Z27" s="91"/>
      <c r="AA27" s="91"/>
    </row>
    <row r="28" spans="1:29" ht="14.4" customHeight="1" x14ac:dyDescent="0.3">
      <c r="A28">
        <v>198800</v>
      </c>
      <c r="B28" t="s">
        <v>111</v>
      </c>
      <c r="C28"/>
      <c r="D28" s="87" t="str">
        <f t="shared" si="1"/>
        <v>19</v>
      </c>
      <c r="E28" s="92"/>
      <c r="F28" s="93">
        <f>(+IFERROR(VLOOKUP($A28,'[152]BG (2)'!$B$9:$J$570,4,FALSE),0))*1</f>
        <v>0</v>
      </c>
      <c r="G28" s="73">
        <f>(+IFERROR(VLOOKUP($A28,'[152]BG (2)'!$B$9:$J$570,5,FALSE),0))*-1</f>
        <v>-158666718</v>
      </c>
      <c r="H28" s="93">
        <f>(+IFERROR(VLOOKUP($A28,'[152]BG (2)'!$B$9:$J$570,6,FALSE),0))*1</f>
        <v>0</v>
      </c>
      <c r="I28" s="73">
        <f>(+IFERROR(VLOOKUP($A28,'[152]BG (2)'!$B$9:$J$570,7,FALSE),0))*-1</f>
        <v>0</v>
      </c>
      <c r="J28" s="89">
        <f>(+IFERROR(VLOOKUP($A28,'[152]BG (2)'!$B$9:$J$570,8,FALSE),0))*1</f>
        <v>0</v>
      </c>
      <c r="K28" s="73">
        <f>(+IFERROR(VLOOKUP($A28,'[152]BG (2)'!$B$9:$J$570,9,FALSE),0))*-1</f>
        <v>-158666718</v>
      </c>
      <c r="L28" s="96"/>
      <c r="N28" s="100"/>
      <c r="P28" s="90">
        <f t="shared" si="2"/>
        <v>-158666718</v>
      </c>
      <c r="S28" s="90"/>
      <c r="T28" s="90">
        <f t="shared" si="3"/>
        <v>-158666718</v>
      </c>
      <c r="U28" s="95"/>
      <c r="V28" s="72"/>
      <c r="W28" s="75" t="e">
        <f>+A28-#REF!</f>
        <v>#REF!</v>
      </c>
      <c r="X28" s="1270"/>
      <c r="Y28" s="91"/>
      <c r="Z28" s="91"/>
      <c r="AA28" s="91"/>
    </row>
    <row r="29" spans="1:29" ht="14.4" customHeight="1" x14ac:dyDescent="0.3">
      <c r="A29">
        <v>202800</v>
      </c>
      <c r="B29" t="s">
        <v>112</v>
      </c>
      <c r="C29" t="s">
        <v>113</v>
      </c>
      <c r="D29" s="87" t="str">
        <f t="shared" si="1"/>
        <v>20</v>
      </c>
      <c r="E29" s="92"/>
      <c r="F29" s="93">
        <f>(+IFERROR(VLOOKUP($A29,'[152]BG (2)'!$B$9:$J$570,4,FALSE),0))*1</f>
        <v>0</v>
      </c>
      <c r="G29" s="73">
        <f>(+IFERROR(VLOOKUP($A29,'[152]BG (2)'!$B$9:$J$570,5,FALSE),0))*-1</f>
        <v>0</v>
      </c>
      <c r="H29" s="93">
        <f>(+IFERROR(VLOOKUP($A29,'[152]BG (2)'!$B$9:$J$570,6,FALSE),0))*1</f>
        <v>0</v>
      </c>
      <c r="I29" s="73">
        <f>(+IFERROR(VLOOKUP($A29,'[152]BG (2)'!$B$9:$J$570,7,FALSE),0))*-1</f>
        <v>0</v>
      </c>
      <c r="J29" s="94">
        <f>(+IFERROR(VLOOKUP($A29,'[152]BG (2)'!$B$9:$J$570,8,FALSE),0))*1</f>
        <v>0</v>
      </c>
      <c r="K29" s="73">
        <f>(+IFERROR(VLOOKUP($A29,'[152]BG (2)'!$B$9:$J$570,9,FALSE),0))*-1</f>
        <v>0</v>
      </c>
      <c r="L29" s="101"/>
      <c r="P29" s="90">
        <f t="shared" si="2"/>
        <v>0</v>
      </c>
      <c r="S29" s="90"/>
      <c r="T29" s="90">
        <f t="shared" si="3"/>
        <v>0</v>
      </c>
      <c r="U29" s="95"/>
      <c r="V29" s="72"/>
      <c r="W29" s="75" t="e">
        <f>+A29-#REF!</f>
        <v>#REF!</v>
      </c>
      <c r="X29" s="1270"/>
      <c r="Y29" s="91"/>
      <c r="Z29" s="91"/>
      <c r="AA29" s="91"/>
    </row>
    <row r="30" spans="1:29" ht="14.4" customHeight="1" x14ac:dyDescent="0.3">
      <c r="A30">
        <v>212100</v>
      </c>
      <c r="B30" t="s">
        <v>114</v>
      </c>
      <c r="C30" t="s">
        <v>115</v>
      </c>
      <c r="D30" s="87" t="str">
        <f t="shared" si="1"/>
        <v>21</v>
      </c>
      <c r="E30" s="92"/>
      <c r="F30" s="93">
        <f>(+IFERROR(VLOOKUP($A30,'[152]BG (2)'!$B$9:$J$570,4,FALSE),0))*1</f>
        <v>80000000000</v>
      </c>
      <c r="G30" s="73">
        <f>(+IFERROR(VLOOKUP($A30,'[152]BG (2)'!$B$9:$J$570,5,FALSE),0))*-1</f>
        <v>0</v>
      </c>
      <c r="H30" s="93">
        <f>(+IFERROR(VLOOKUP($A30,'[152]BG (2)'!$B$9:$J$570,6,FALSE),0))*1</f>
        <v>0</v>
      </c>
      <c r="I30" s="73">
        <f>(+IFERROR(VLOOKUP($A30,'[152]BG (2)'!$B$9:$J$570,7,FALSE),0))*-1</f>
        <v>0</v>
      </c>
      <c r="J30" s="94">
        <f>(+IFERROR(VLOOKUP($A30,'[152]BG (2)'!$B$9:$J$570,8,FALSE),0))*1</f>
        <v>80000000000</v>
      </c>
      <c r="K30" s="73">
        <f>(+IFERROR(VLOOKUP($A30,'[152]BG (2)'!$B$9:$J$570,9,FALSE),0))*-1</f>
        <v>0</v>
      </c>
      <c r="L30" s="101"/>
      <c r="P30" s="90">
        <f t="shared" si="2"/>
        <v>80000000000</v>
      </c>
      <c r="S30" s="90"/>
      <c r="T30" s="102">
        <f t="shared" si="3"/>
        <v>80000000000</v>
      </c>
      <c r="U30" s="95"/>
      <c r="V30" s="72"/>
      <c r="W30" s="75" t="e">
        <f>+A30-#REF!</f>
        <v>#REF!</v>
      </c>
      <c r="X30" s="1270"/>
      <c r="Y30" s="91"/>
      <c r="Z30" s="91"/>
      <c r="AA30" s="91"/>
    </row>
    <row r="31" spans="1:29" ht="14.4" customHeight="1" x14ac:dyDescent="0.3">
      <c r="A31">
        <v>212200</v>
      </c>
      <c r="B31" t="s">
        <v>116</v>
      </c>
      <c r="C31" t="s">
        <v>117</v>
      </c>
      <c r="D31" s="87" t="str">
        <f t="shared" si="1"/>
        <v>21</v>
      </c>
      <c r="E31" s="92"/>
      <c r="F31" s="93">
        <f>(+IFERROR(VLOOKUP($A31,'[152]BG (2)'!$B$9:$J$570,4,FALSE),0))*1</f>
        <v>5886438394</v>
      </c>
      <c r="G31" s="73">
        <f>(+IFERROR(VLOOKUP($A31,'[152]BG (2)'!$B$9:$J$570,5,FALSE),0))*-1</f>
        <v>0</v>
      </c>
      <c r="H31" s="93">
        <f>(+IFERROR(VLOOKUP($A31,'[152]BG (2)'!$B$9:$J$570,6,FALSE),0))*1</f>
        <v>486590555</v>
      </c>
      <c r="I31" s="73">
        <f>(+IFERROR(VLOOKUP($A31,'[152]BG (2)'!$B$9:$J$570,7,FALSE),0))*-1</f>
        <v>0</v>
      </c>
      <c r="J31" s="94">
        <f>(+IFERROR(VLOOKUP($A31,'[152]BG (2)'!$B$9:$J$570,8,FALSE),0))*1</f>
        <v>6373028949</v>
      </c>
      <c r="K31" s="73">
        <f>(+IFERROR(VLOOKUP($A31,'[152]BG (2)'!$B$9:$J$570,9,FALSE),0))*-1</f>
        <v>0</v>
      </c>
      <c r="P31" s="90">
        <f t="shared" si="2"/>
        <v>6373028949</v>
      </c>
      <c r="S31" s="90"/>
      <c r="T31" s="102">
        <f t="shared" si="3"/>
        <v>6373028949</v>
      </c>
      <c r="U31" s="95"/>
      <c r="V31" s="72"/>
      <c r="W31" s="75" t="e">
        <f>+A31-#REF!</f>
        <v>#REF!</v>
      </c>
      <c r="X31" s="1270"/>
      <c r="Y31" s="91"/>
      <c r="Z31" s="91"/>
      <c r="AA31" s="91"/>
    </row>
    <row r="32" spans="1:29" ht="14.4" customHeight="1" x14ac:dyDescent="0.3">
      <c r="A32">
        <v>213100</v>
      </c>
      <c r="B32" t="s">
        <v>118</v>
      </c>
      <c r="C32" t="s">
        <v>119</v>
      </c>
      <c r="D32" s="87" t="str">
        <f t="shared" si="1"/>
        <v>21</v>
      </c>
      <c r="E32" s="92"/>
      <c r="F32" s="103">
        <f>(+IFERROR(VLOOKUP($A32,'[152]BG (2)'!$B$9:$J$570,4,FALSE),0))*1</f>
        <v>48010968840</v>
      </c>
      <c r="G32" s="73">
        <f>(+IFERROR(VLOOKUP($A32,'[152]BG (2)'!$B$9:$J$570,5,FALSE),0))*-1</f>
        <v>0</v>
      </c>
      <c r="H32" s="93">
        <f>(+IFERROR(VLOOKUP($A32,'[152]BG (2)'!$B$9:$J$570,6,FALSE),0))*1</f>
        <v>8357348451</v>
      </c>
      <c r="I32" s="73">
        <f>(+IFERROR(VLOOKUP($A32,'[152]BG (2)'!$B$9:$J$570,7,FALSE),0))*-1</f>
        <v>0</v>
      </c>
      <c r="J32" s="94">
        <f>(+IFERROR(VLOOKUP($A32,'[152]BG (2)'!$B$9:$J$570,8,FALSE),0))*1</f>
        <v>56368317291</v>
      </c>
      <c r="K32" s="73">
        <f>(+IFERROR(VLOOKUP($A32,'[152]BG (2)'!$B$9:$J$570,9,FALSE),0))*-1</f>
        <v>0</v>
      </c>
      <c r="P32" s="90">
        <f t="shared" si="2"/>
        <v>56368317291</v>
      </c>
      <c r="S32" s="90"/>
      <c r="T32" s="102">
        <f t="shared" si="3"/>
        <v>56368317291</v>
      </c>
      <c r="U32" s="95"/>
      <c r="V32" s="72"/>
      <c r="W32" s="75" t="e">
        <f>+A32-#REF!</f>
        <v>#REF!</v>
      </c>
      <c r="X32" s="1270"/>
      <c r="Y32" s="91"/>
      <c r="Z32" s="91"/>
      <c r="AA32" s="91"/>
    </row>
    <row r="33" spans="1:27" ht="14.4" customHeight="1" x14ac:dyDescent="0.3">
      <c r="A33">
        <v>213200</v>
      </c>
      <c r="B33" t="s">
        <v>120</v>
      </c>
      <c r="C33" t="s">
        <v>119</v>
      </c>
      <c r="D33" s="87" t="str">
        <f t="shared" si="1"/>
        <v>21</v>
      </c>
      <c r="E33" s="92"/>
      <c r="F33" s="103">
        <f>(+IFERROR(VLOOKUP($A33,'[152]BG (2)'!$B$9:$J$570,4,FALSE),0))*1</f>
        <v>2155081147</v>
      </c>
      <c r="G33" s="73">
        <f>(+IFERROR(VLOOKUP($A33,'[152]BG (2)'!$B$9:$J$570,5,FALSE),0))*-1</f>
        <v>0</v>
      </c>
      <c r="H33" s="93">
        <f>(+IFERROR(VLOOKUP($A33,'[152]BG (2)'!$B$9:$J$570,6,FALSE),0))*1</f>
        <v>0</v>
      </c>
      <c r="I33" s="73">
        <f>(+IFERROR(VLOOKUP($A33,'[152]BG (2)'!$B$9:$J$570,7,FALSE),0))*-1</f>
        <v>0</v>
      </c>
      <c r="J33" s="94">
        <f>(+IFERROR(VLOOKUP($A33,'[152]BG (2)'!$B$9:$J$570,8,FALSE),0))*1</f>
        <v>2155081147</v>
      </c>
      <c r="K33" s="73">
        <f>(+IFERROR(VLOOKUP($A33,'[152]BG (2)'!$B$9:$J$570,9,FALSE),0))*-1</f>
        <v>0</v>
      </c>
      <c r="P33" s="90">
        <f t="shared" si="2"/>
        <v>2155081147</v>
      </c>
      <c r="S33" s="90"/>
      <c r="T33" s="102">
        <f t="shared" si="3"/>
        <v>2155081147</v>
      </c>
      <c r="U33" s="95"/>
      <c r="V33" s="72"/>
      <c r="W33" s="75" t="e">
        <f>+A33-#REF!</f>
        <v>#REF!</v>
      </c>
      <c r="X33" s="1270"/>
      <c r="Y33" s="91"/>
      <c r="Z33" s="91"/>
      <c r="AA33" s="91"/>
    </row>
    <row r="34" spans="1:27" ht="14.4" customHeight="1" x14ac:dyDescent="0.3">
      <c r="A34">
        <v>219300</v>
      </c>
      <c r="B34" t="s">
        <v>121</v>
      </c>
      <c r="C34" t="s">
        <v>119</v>
      </c>
      <c r="D34" s="87" t="str">
        <f t="shared" si="1"/>
        <v>21</v>
      </c>
      <c r="E34" s="92"/>
      <c r="F34" s="103">
        <f>(+IFERROR(VLOOKUP($A34,'[152]BG (2)'!$B$9:$J$570,4,FALSE),0))*1</f>
        <v>5581261628</v>
      </c>
      <c r="G34" s="73">
        <f>(+IFERROR(VLOOKUP($A34,'[152]BG (2)'!$B$9:$J$570,5,FALSE),0))*-1</f>
        <v>0</v>
      </c>
      <c r="H34" s="93">
        <f>(+IFERROR(VLOOKUP($A34,'[152]BG (2)'!$B$9:$J$570,6,FALSE),0))*1</f>
        <v>-476193229</v>
      </c>
      <c r="I34" s="73">
        <f>(+IFERROR(VLOOKUP($A34,'[152]BG (2)'!$B$9:$J$570,7,FALSE),0))*-1</f>
        <v>-3481322210</v>
      </c>
      <c r="J34" s="94">
        <f>(+IFERROR(VLOOKUP($A34,'[152]BG (2)'!$B$9:$J$570,8,FALSE),0))*1</f>
        <v>1623746189</v>
      </c>
      <c r="K34" s="73">
        <f>(+IFERROR(VLOOKUP($A34,'[152]BG (2)'!$B$9:$J$570,9,FALSE),0))*-1</f>
        <v>0</v>
      </c>
      <c r="P34" s="90">
        <f t="shared" si="2"/>
        <v>1623746189</v>
      </c>
      <c r="S34" s="90"/>
      <c r="T34" s="102">
        <f t="shared" si="3"/>
        <v>1623746189</v>
      </c>
      <c r="U34" s="95"/>
      <c r="V34" s="72"/>
      <c r="W34" s="75" t="e">
        <f>+A34-#REF!</f>
        <v>#REF!</v>
      </c>
      <c r="X34" s="1270"/>
      <c r="Y34" s="91"/>
      <c r="Z34" s="91"/>
      <c r="AA34" s="91"/>
    </row>
    <row r="35" spans="1:27" ht="14.4" customHeight="1" x14ac:dyDescent="0.3">
      <c r="A35">
        <v>223100</v>
      </c>
      <c r="B35" t="s">
        <v>123</v>
      </c>
      <c r="C35" t="s">
        <v>124</v>
      </c>
      <c r="D35" s="87" t="str">
        <f t="shared" si="1"/>
        <v>22</v>
      </c>
      <c r="E35" s="92"/>
      <c r="F35" s="93">
        <f>(+IFERROR(VLOOKUP($A35,'[152]BG (2)'!$B$9:$J$570,4,FALSE),0))*1</f>
        <v>1197014492</v>
      </c>
      <c r="G35" s="73">
        <f>(+IFERROR(VLOOKUP($A35,'[152]BG (2)'!$B$9:$J$570,5,FALSE),0))*-1</f>
        <v>0</v>
      </c>
      <c r="H35" s="104">
        <f>(+IFERROR(VLOOKUP($A35,'[152]BG (2)'!$B$9:$J$570,6,FALSE),0))*1</f>
        <v>34230581</v>
      </c>
      <c r="I35" s="73">
        <f>(+IFERROR(VLOOKUP($A35,'[152]BG (2)'!$B$9:$J$570,7,FALSE),0))*-1</f>
        <v>0</v>
      </c>
      <c r="J35" s="94">
        <f>(+IFERROR(VLOOKUP($A35,'[152]BG (2)'!$B$9:$J$570,8,FALSE),0))*1</f>
        <v>1231245073</v>
      </c>
      <c r="K35" s="73">
        <f>(+IFERROR(VLOOKUP($A35,'[152]BG (2)'!$B$9:$J$570,9,FALSE),0))*-1</f>
        <v>0</v>
      </c>
      <c r="P35" s="90">
        <f t="shared" si="2"/>
        <v>1231245073</v>
      </c>
      <c r="S35" s="90"/>
      <c r="T35" s="102">
        <f t="shared" si="3"/>
        <v>1231245073</v>
      </c>
      <c r="U35" s="95"/>
      <c r="V35" s="72"/>
      <c r="W35" s="75" t="e">
        <f>+A35-#REF!</f>
        <v>#REF!</v>
      </c>
      <c r="X35" s="1270"/>
      <c r="Y35" s="91"/>
      <c r="Z35" s="91"/>
      <c r="AA35" s="91"/>
    </row>
    <row r="36" spans="1:27" ht="14.4" customHeight="1" x14ac:dyDescent="0.3">
      <c r="A36">
        <v>223800</v>
      </c>
      <c r="B36" t="s">
        <v>125</v>
      </c>
      <c r="C36" t="s">
        <v>124</v>
      </c>
      <c r="D36" s="87" t="str">
        <f t="shared" si="1"/>
        <v>22</v>
      </c>
      <c r="E36" s="92"/>
      <c r="F36" s="93">
        <f>(+IFERROR(VLOOKUP($A36,'[152]BG (2)'!$B$9:$J$570,4,FALSE),0))*1</f>
        <v>70000000</v>
      </c>
      <c r="G36" s="73">
        <f>(+IFERROR(VLOOKUP($A36,'[152]BG (2)'!$B$9:$J$570,5,FALSE),0))*-1</f>
        <v>0</v>
      </c>
      <c r="H36" s="104">
        <f>(+IFERROR(VLOOKUP($A36,'[152]BG (2)'!$B$9:$J$570,6,FALSE),0))*1</f>
        <v>0</v>
      </c>
      <c r="I36" s="73">
        <f>(+IFERROR(VLOOKUP($A36,'[152]BG (2)'!$B$9:$J$570,7,FALSE),0))*-1</f>
        <v>0</v>
      </c>
      <c r="J36" s="94">
        <f>(+IFERROR(VLOOKUP($A36,'[152]BG (2)'!$B$9:$J$570,8,FALSE),0))*1</f>
        <v>70000000</v>
      </c>
      <c r="K36" s="73">
        <f>(+IFERROR(VLOOKUP($A36,'[152]BG (2)'!$B$9:$J$570,9,FALSE),0))*-1</f>
        <v>0</v>
      </c>
      <c r="P36" s="90">
        <f t="shared" si="2"/>
        <v>70000000</v>
      </c>
      <c r="S36" s="90"/>
      <c r="T36" s="102">
        <f t="shared" si="3"/>
        <v>70000000</v>
      </c>
      <c r="U36" s="95"/>
      <c r="V36" s="72"/>
      <c r="W36" s="75" t="e">
        <f>+A36-#REF!</f>
        <v>#REF!</v>
      </c>
      <c r="X36" s="1270"/>
      <c r="Y36" s="91"/>
      <c r="Z36" s="91"/>
      <c r="AA36" s="91"/>
    </row>
    <row r="37" spans="1:27" ht="14.4" customHeight="1" x14ac:dyDescent="0.3">
      <c r="A37">
        <v>229700</v>
      </c>
      <c r="B37" t="s">
        <v>126</v>
      </c>
      <c r="C37" t="s">
        <v>124</v>
      </c>
      <c r="D37" s="87" t="str">
        <f t="shared" si="1"/>
        <v>22</v>
      </c>
      <c r="E37" s="92"/>
      <c r="F37" s="93">
        <f>(+IFERROR(VLOOKUP($A37,'[152]BG (2)'!$B$9:$J$570,4,FALSE),0))*1</f>
        <v>1724788256</v>
      </c>
      <c r="G37" s="73">
        <f>(+IFERROR(VLOOKUP($A37,'[152]BG (2)'!$B$9:$J$570,5,FALSE),0))*-1</f>
        <v>0</v>
      </c>
      <c r="H37" s="104">
        <f>(+IFERROR(VLOOKUP($A37,'[152]BG (2)'!$B$9:$J$570,6,FALSE),0))*1</f>
        <v>174765000</v>
      </c>
      <c r="I37" s="73">
        <f>(+IFERROR(VLOOKUP($A37,'[152]BG (2)'!$B$9:$J$570,7,FALSE),0))*-1</f>
        <v>-30706000</v>
      </c>
      <c r="J37" s="94">
        <f>(+IFERROR(VLOOKUP($A37,'[152]BG (2)'!$B$9:$J$570,8,FALSE),0))*1</f>
        <v>1868847256</v>
      </c>
      <c r="K37" s="73">
        <f>(+IFERROR(VLOOKUP($A37,'[152]BG (2)'!$B$9:$J$570,9,FALSE),0))*-1</f>
        <v>0</v>
      </c>
      <c r="P37" s="90">
        <f t="shared" si="2"/>
        <v>1868847256</v>
      </c>
      <c r="S37" s="90"/>
      <c r="T37" s="102">
        <f t="shared" si="3"/>
        <v>1868847256</v>
      </c>
      <c r="U37" s="95"/>
      <c r="V37" s="72"/>
      <c r="W37" s="75" t="e">
        <f>+A37-#REF!</f>
        <v>#REF!</v>
      </c>
      <c r="X37" s="1270"/>
      <c r="Y37" s="91"/>
      <c r="Z37" s="91"/>
      <c r="AA37" s="91"/>
    </row>
    <row r="38" spans="1:27" ht="14.4" customHeight="1" x14ac:dyDescent="0.3">
      <c r="A38">
        <v>231100</v>
      </c>
      <c r="B38" s="1292" t="s">
        <v>2253</v>
      </c>
      <c r="C38" t="s">
        <v>138</v>
      </c>
      <c r="D38" s="87" t="str">
        <f t="shared" si="1"/>
        <v>23</v>
      </c>
      <c r="E38" s="92"/>
      <c r="F38" s="93">
        <f>(+IFERROR(VLOOKUP($A38,'[152]BG (2)'!$B$9:$J$570,4,FALSE),0))*1</f>
        <v>432753199</v>
      </c>
      <c r="G38" s="73">
        <f>(+IFERROR(VLOOKUP($A38,'[152]BG (2)'!$B$9:$J$570,5,FALSE),0))*-1</f>
        <v>0</v>
      </c>
      <c r="H38" s="117">
        <f>(+IFERROR(VLOOKUP($A38,'[152]BG (2)'!$B$9:$J$570,6,FALSE),0))*1</f>
        <v>0</v>
      </c>
      <c r="I38" s="73">
        <f>(+IFERROR(VLOOKUP($A38,'[152]BG (2)'!$B$9:$J$570,7,FALSE),0))*-1</f>
        <v>0</v>
      </c>
      <c r="J38" s="94">
        <f>(+IFERROR(VLOOKUP($A38,'[152]BG (2)'!$B$9:$J$570,8,FALSE),0))*1</f>
        <v>432753199</v>
      </c>
      <c r="K38" s="73">
        <f>(+IFERROR(VLOOKUP($A38,'[152]BG (2)'!$B$9:$J$570,9,FALSE),0))*-1</f>
        <v>0</v>
      </c>
      <c r="P38" s="90">
        <f t="shared" si="2"/>
        <v>432753199</v>
      </c>
      <c r="S38" s="90"/>
      <c r="T38" s="102"/>
      <c r="U38" s="95"/>
      <c r="V38" s="72"/>
      <c r="W38" s="75"/>
      <c r="X38" s="1270"/>
      <c r="Y38" s="91"/>
      <c r="Z38" s="91"/>
      <c r="AA38" s="91"/>
    </row>
    <row r="39" spans="1:27" ht="14.4" customHeight="1" x14ac:dyDescent="0.3">
      <c r="A39">
        <v>234110</v>
      </c>
      <c r="B39" t="s">
        <v>127</v>
      </c>
      <c r="C39" s="105" t="s">
        <v>128</v>
      </c>
      <c r="D39" s="87" t="str">
        <f t="shared" si="1"/>
        <v>23</v>
      </c>
      <c r="E39" s="92"/>
      <c r="F39" s="106">
        <f>(+IFERROR(VLOOKUP($A39,'[152]BG (2)'!$B$9:$J$570,4,FALSE),0))*1</f>
        <v>23553998802</v>
      </c>
      <c r="G39" s="73">
        <f>(+IFERROR(VLOOKUP($A39,'[152]BG (2)'!$B$9:$J$570,5,FALSE),0))*-1</f>
        <v>0</v>
      </c>
      <c r="H39" s="1318">
        <f>(+IFERROR(VLOOKUP($A39,'[152]BG (2)'!$B$9:$J$570,6,FALSE),0))*1</f>
        <v>2557864678</v>
      </c>
      <c r="I39" s="73">
        <f>(+IFERROR(VLOOKUP($A39,'[152]BG (2)'!$B$9:$J$570,7,FALSE),0))*-1</f>
        <v>0</v>
      </c>
      <c r="J39" s="107">
        <f>(+IFERROR(VLOOKUP($A39,'[152]BG (2)'!$B$9:$J$570,8,FALSE),0))*1</f>
        <v>26111863480</v>
      </c>
      <c r="K39" s="73">
        <f>(+IFERROR(VLOOKUP($A39,'[152]BG (2)'!$B$9:$J$570,9,FALSE),0))*-1</f>
        <v>0</v>
      </c>
      <c r="P39" s="90">
        <f t="shared" si="2"/>
        <v>26111863480</v>
      </c>
      <c r="S39" s="90"/>
      <c r="T39" s="102">
        <f t="shared" ref="T39:T65" si="4">K39+J39</f>
        <v>26111863480</v>
      </c>
      <c r="U39" s="95"/>
      <c r="V39" s="72"/>
      <c r="W39" s="75" t="e">
        <f>+A39-#REF!</f>
        <v>#REF!</v>
      </c>
      <c r="X39" s="1270"/>
      <c r="Y39" s="91"/>
      <c r="Z39" s="91"/>
      <c r="AA39" s="91"/>
    </row>
    <row r="40" spans="1:27" ht="14.4" customHeight="1" x14ac:dyDescent="0.3">
      <c r="A40">
        <v>234120</v>
      </c>
      <c r="B40" t="s">
        <v>129</v>
      </c>
      <c r="C40" s="105" t="s">
        <v>128</v>
      </c>
      <c r="D40" s="87" t="str">
        <f t="shared" si="1"/>
        <v>23</v>
      </c>
      <c r="E40" s="92"/>
      <c r="F40" s="106">
        <f>(+IFERROR(VLOOKUP($A40,'[152]BG (2)'!$B$9:$J$570,4,FALSE),0))*1</f>
        <v>13060093890</v>
      </c>
      <c r="G40" s="73">
        <f>(+IFERROR(VLOOKUP($A40,'[152]BG (2)'!$B$9:$J$570,5,FALSE),0))*-1</f>
        <v>0</v>
      </c>
      <c r="H40" s="1318">
        <f>(+IFERROR(VLOOKUP($A40,'[152]BG (2)'!$B$9:$J$570,6,FALSE),0))*1</f>
        <v>300832814</v>
      </c>
      <c r="I40" s="73">
        <f>(+IFERROR(VLOOKUP($A40,'[152]BG (2)'!$B$9:$J$570,7,FALSE),0))*-1</f>
        <v>0</v>
      </c>
      <c r="J40" s="107">
        <f>(+IFERROR(VLOOKUP($A40,'[152]BG (2)'!$B$9:$J$570,8,FALSE),0))*1</f>
        <v>13360926704</v>
      </c>
      <c r="K40" s="73">
        <f>(+IFERROR(VLOOKUP($A40,'[152]BG (2)'!$B$9:$J$570,9,FALSE),0))*-1</f>
        <v>0</v>
      </c>
      <c r="P40" s="90">
        <f t="shared" si="2"/>
        <v>13360926704</v>
      </c>
      <c r="S40" s="90"/>
      <c r="T40" s="102">
        <f t="shared" si="4"/>
        <v>13360926704</v>
      </c>
      <c r="U40" s="95"/>
      <c r="V40" s="72"/>
      <c r="W40" s="75" t="e">
        <f>+A40-#REF!</f>
        <v>#REF!</v>
      </c>
      <c r="X40" s="1270"/>
      <c r="Y40" s="91"/>
      <c r="Z40" s="91"/>
      <c r="AA40" s="91"/>
    </row>
    <row r="41" spans="1:27" ht="14.4" customHeight="1" x14ac:dyDescent="0.3">
      <c r="A41">
        <v>234130</v>
      </c>
      <c r="B41" t="s">
        <v>130</v>
      </c>
      <c r="C41" s="105" t="s">
        <v>128</v>
      </c>
      <c r="D41" s="87" t="str">
        <f t="shared" si="1"/>
        <v>23</v>
      </c>
      <c r="E41" s="92"/>
      <c r="F41" s="106">
        <f>(+IFERROR(VLOOKUP($A41,'[152]BG (2)'!$B$9:$J$570,4,FALSE),0))*1</f>
        <v>16742409141</v>
      </c>
      <c r="G41" s="73">
        <f>(+IFERROR(VLOOKUP($A41,'[152]BG (2)'!$B$9:$J$570,5,FALSE),0))*-1</f>
        <v>0</v>
      </c>
      <c r="H41" s="1318">
        <f>(+IFERROR(VLOOKUP($A41,'[152]BG (2)'!$B$9:$J$570,6,FALSE),0))*1</f>
        <v>3567989500</v>
      </c>
      <c r="I41" s="73">
        <f>(+IFERROR(VLOOKUP($A41,'[152]BG (2)'!$B$9:$J$570,7,FALSE),0))*-1</f>
        <v>0</v>
      </c>
      <c r="J41" s="107">
        <f>(+IFERROR(VLOOKUP($A41,'[152]BG (2)'!$B$9:$J$570,8,FALSE),0))*1</f>
        <v>20310398641</v>
      </c>
      <c r="K41" s="73">
        <f>(+IFERROR(VLOOKUP($A41,'[152]BG (2)'!$B$9:$J$570,9,FALSE),0))*-1</f>
        <v>0</v>
      </c>
      <c r="P41" s="90">
        <f t="shared" si="2"/>
        <v>20310398641</v>
      </c>
      <c r="S41" s="90"/>
      <c r="T41" s="102">
        <f t="shared" si="4"/>
        <v>20310398641</v>
      </c>
      <c r="U41" s="95"/>
      <c r="V41" s="72"/>
      <c r="W41" s="75" t="e">
        <f>+A41-#REF!</f>
        <v>#REF!</v>
      </c>
      <c r="X41" s="1270"/>
      <c r="Y41" s="91"/>
      <c r="Z41" s="91"/>
      <c r="AA41" s="91"/>
    </row>
    <row r="42" spans="1:27" ht="14.4" customHeight="1" x14ac:dyDescent="0.3">
      <c r="A42">
        <v>235110</v>
      </c>
      <c r="B42" t="s">
        <v>131</v>
      </c>
      <c r="C42" t="s">
        <v>132</v>
      </c>
      <c r="D42" s="87" t="str">
        <f t="shared" si="1"/>
        <v>23</v>
      </c>
      <c r="E42" s="92"/>
      <c r="F42" s="93">
        <f>(+IFERROR(VLOOKUP($A42,'[152]BG (2)'!$B$9:$J$570,4,FALSE),0))*1</f>
        <v>1040380583</v>
      </c>
      <c r="G42" s="73">
        <f>(+IFERROR(VLOOKUP($A42,'[152]BG (2)'!$B$9:$J$570,5,FALSE),0))*-1</f>
        <v>0</v>
      </c>
      <c r="H42" s="108">
        <f>(+IFERROR(VLOOKUP($A42,'[152]BG (2)'!$B$9:$J$570,6,FALSE),0))*1</f>
        <v>9476008</v>
      </c>
      <c r="I42" s="73">
        <f>(+IFERROR(VLOOKUP($A42,'[152]BG (2)'!$B$9:$J$570,7,FALSE),0))*-1</f>
        <v>0</v>
      </c>
      <c r="J42" s="109">
        <f>(+IFERROR(VLOOKUP($A42,'[152]BG (2)'!$B$9:$J$570,8,FALSE),0))*1</f>
        <v>1049856591</v>
      </c>
      <c r="K42" s="73">
        <f>(+IFERROR(VLOOKUP($A42,'[152]BG (2)'!$B$9:$J$570,9,FALSE),0))*-1</f>
        <v>0</v>
      </c>
      <c r="P42" s="90">
        <f t="shared" si="2"/>
        <v>1049856591</v>
      </c>
      <c r="S42" s="90"/>
      <c r="T42" s="102">
        <f t="shared" si="4"/>
        <v>1049856591</v>
      </c>
      <c r="U42" s="95"/>
      <c r="V42" s="72"/>
      <c r="W42" s="75" t="e">
        <f>+A42-#REF!</f>
        <v>#REF!</v>
      </c>
      <c r="X42" s="1270"/>
      <c r="Y42" s="91"/>
      <c r="Z42" s="91"/>
      <c r="AA42" s="91"/>
    </row>
    <row r="43" spans="1:27" ht="14.4" customHeight="1" x14ac:dyDescent="0.3">
      <c r="A43">
        <v>235120</v>
      </c>
      <c r="B43" t="s">
        <v>133</v>
      </c>
      <c r="C43" t="s">
        <v>132</v>
      </c>
      <c r="D43" s="87" t="str">
        <f t="shared" si="1"/>
        <v>23</v>
      </c>
      <c r="E43" s="92"/>
      <c r="F43" s="93">
        <f>(+IFERROR(VLOOKUP($A43,'[152]BG (2)'!$B$9:$J$570,4,FALSE),0))*1</f>
        <v>765519895</v>
      </c>
      <c r="G43" s="73">
        <f>(+IFERROR(VLOOKUP($A43,'[152]BG (2)'!$B$9:$J$570,5,FALSE),0))*-1</f>
        <v>0</v>
      </c>
      <c r="H43" s="108">
        <f>(+IFERROR(VLOOKUP($A43,'[152]BG (2)'!$B$9:$J$570,6,FALSE),0))*1</f>
        <v>152720787</v>
      </c>
      <c r="I43" s="73">
        <f>(+IFERROR(VLOOKUP($A43,'[152]BG (2)'!$B$9:$J$570,7,FALSE),0))*-1</f>
        <v>0</v>
      </c>
      <c r="J43" s="109">
        <f>(+IFERROR(VLOOKUP($A43,'[152]BG (2)'!$B$9:$J$570,8,FALSE),0))*1</f>
        <v>918240682</v>
      </c>
      <c r="K43" s="73">
        <f>(+IFERROR(VLOOKUP($A43,'[152]BG (2)'!$B$9:$J$570,9,FALSE),0))*-1</f>
        <v>0</v>
      </c>
      <c r="P43" s="90">
        <f t="shared" si="2"/>
        <v>918240682</v>
      </c>
      <c r="S43" s="90"/>
      <c r="T43" s="102">
        <f t="shared" si="4"/>
        <v>918240682</v>
      </c>
      <c r="U43" s="95"/>
      <c r="V43" s="72"/>
      <c r="W43" s="75" t="e">
        <f>+A43-#REF!</f>
        <v>#REF!</v>
      </c>
      <c r="X43" s="1270"/>
      <c r="Y43" s="91"/>
      <c r="Z43" s="91"/>
      <c r="AA43" s="91"/>
    </row>
    <row r="44" spans="1:27" ht="14.4" customHeight="1" x14ac:dyDescent="0.3">
      <c r="A44">
        <v>235130</v>
      </c>
      <c r="B44" t="s">
        <v>134</v>
      </c>
      <c r="C44" t="s">
        <v>132</v>
      </c>
      <c r="D44" s="87" t="str">
        <f t="shared" si="1"/>
        <v>23</v>
      </c>
      <c r="E44" s="92"/>
      <c r="F44" s="93">
        <f>(+IFERROR(VLOOKUP($A44,'[152]BG (2)'!$B$9:$J$570,4,FALSE),0))*1</f>
        <v>6738841</v>
      </c>
      <c r="G44" s="73">
        <f>(+IFERROR(VLOOKUP($A44,'[152]BG (2)'!$B$9:$J$570,5,FALSE),0))*-1</f>
        <v>0</v>
      </c>
      <c r="H44" s="108">
        <f>(+IFERROR(VLOOKUP($A44,'[152]BG (2)'!$B$9:$J$570,6,FALSE),0))*1</f>
        <v>0</v>
      </c>
      <c r="I44" s="73">
        <f>(+IFERROR(VLOOKUP($A44,'[152]BG (2)'!$B$9:$J$570,7,FALSE),0))*-1</f>
        <v>0</v>
      </c>
      <c r="J44" s="109">
        <f>(+IFERROR(VLOOKUP($A44,'[152]BG (2)'!$B$9:$J$570,8,FALSE),0))*1</f>
        <v>6738841</v>
      </c>
      <c r="K44" s="73">
        <f>(+IFERROR(VLOOKUP($A44,'[152]BG (2)'!$B$9:$J$570,9,FALSE),0))*-1</f>
        <v>0</v>
      </c>
      <c r="P44" s="90">
        <f t="shared" si="2"/>
        <v>6738841</v>
      </c>
      <c r="S44" s="90"/>
      <c r="T44" s="102">
        <f t="shared" si="4"/>
        <v>6738841</v>
      </c>
      <c r="U44" s="95"/>
      <c r="V44" s="72"/>
      <c r="W44" s="75" t="e">
        <f>+A44-#REF!</f>
        <v>#REF!</v>
      </c>
      <c r="X44" s="1270"/>
      <c r="Y44" s="91"/>
      <c r="Z44" s="91"/>
      <c r="AA44" s="91"/>
    </row>
    <row r="45" spans="1:27" ht="14.4" customHeight="1" x14ac:dyDescent="0.3">
      <c r="A45">
        <v>235800</v>
      </c>
      <c r="B45" t="s">
        <v>135</v>
      </c>
      <c r="C45" t="s">
        <v>132</v>
      </c>
      <c r="D45" s="87" t="str">
        <f t="shared" si="1"/>
        <v>23</v>
      </c>
      <c r="E45" s="92"/>
      <c r="F45" s="93">
        <f>(+IFERROR(VLOOKUP($A45,'[152]BG (2)'!$B$9:$J$570,4,FALSE),0))*1</f>
        <v>38309397</v>
      </c>
      <c r="G45" s="73">
        <f>(+IFERROR(VLOOKUP($A45,'[152]BG (2)'!$B$9:$J$570,5,FALSE),0))*-1</f>
        <v>0</v>
      </c>
      <c r="H45" s="108">
        <f>(+IFERROR(VLOOKUP($A45,'[152]BG (2)'!$B$9:$J$570,6,FALSE),0))*1</f>
        <v>0</v>
      </c>
      <c r="I45" s="73">
        <f>(+IFERROR(VLOOKUP($A45,'[152]BG (2)'!$B$9:$J$570,7,FALSE),0))*-1</f>
        <v>0</v>
      </c>
      <c r="J45" s="109">
        <f>(+IFERROR(VLOOKUP($A45,'[152]BG (2)'!$B$9:$J$570,8,FALSE),0))*1</f>
        <v>38309397</v>
      </c>
      <c r="K45" s="73">
        <f>(+IFERROR(VLOOKUP($A45,'[152]BG (2)'!$B$9:$J$570,9,FALSE),0))*-1</f>
        <v>0</v>
      </c>
      <c r="P45" s="90">
        <f t="shared" si="2"/>
        <v>38309397</v>
      </c>
      <c r="S45" s="90"/>
      <c r="T45" s="102">
        <f t="shared" si="4"/>
        <v>38309397</v>
      </c>
      <c r="U45" s="95"/>
      <c r="V45" s="72"/>
      <c r="W45" s="75" t="e">
        <f>+A45-#REF!</f>
        <v>#REF!</v>
      </c>
      <c r="X45" s="1270"/>
      <c r="Y45" s="91"/>
      <c r="Z45" s="91"/>
      <c r="AA45" s="91"/>
    </row>
    <row r="46" spans="1:27" ht="14.4" customHeight="1" x14ac:dyDescent="0.3">
      <c r="A46">
        <v>238200</v>
      </c>
      <c r="B46" t="s">
        <v>136</v>
      </c>
      <c r="C46" t="s">
        <v>132</v>
      </c>
      <c r="D46" s="87" t="str">
        <f t="shared" si="1"/>
        <v>23</v>
      </c>
      <c r="E46" s="92"/>
      <c r="F46" s="93">
        <f>(+IFERROR(VLOOKUP($A46,'[152]BG (2)'!$B$9:$J$570,4,FALSE),0))*1</f>
        <v>96397936</v>
      </c>
      <c r="G46" s="73">
        <f>(+IFERROR(VLOOKUP($A46,'[152]BG (2)'!$B$9:$J$570,5,FALSE),0))*-1</f>
        <v>0</v>
      </c>
      <c r="H46" s="108">
        <f>(+IFERROR(VLOOKUP($A46,'[152]BG (2)'!$B$9:$J$570,6,FALSE),0))*1</f>
        <v>0</v>
      </c>
      <c r="I46" s="73">
        <f>(+IFERROR(VLOOKUP($A46,'[152]BG (2)'!$B$9:$J$570,7,FALSE),0))*-1</f>
        <v>0</v>
      </c>
      <c r="J46" s="109">
        <f>(+IFERROR(VLOOKUP($A46,'[152]BG (2)'!$B$9:$J$570,8,FALSE),0))*1</f>
        <v>96397936</v>
      </c>
      <c r="K46" s="73">
        <f>(+IFERROR(VLOOKUP($A46,'[152]BG (2)'!$B$9:$J$570,9,FALSE),0))*-1</f>
        <v>0</v>
      </c>
      <c r="P46" s="90">
        <f t="shared" si="2"/>
        <v>96397936</v>
      </c>
      <c r="S46" s="90"/>
      <c r="T46" s="102">
        <f t="shared" si="4"/>
        <v>96397936</v>
      </c>
      <c r="U46" s="95"/>
      <c r="V46" s="72"/>
      <c r="W46" s="75" t="e">
        <f>+A46-#REF!</f>
        <v>#REF!</v>
      </c>
      <c r="X46" s="1270"/>
      <c r="Y46" s="91"/>
      <c r="Z46" s="91"/>
      <c r="AA46" s="91"/>
    </row>
    <row r="47" spans="1:27" ht="14.4" customHeight="1" x14ac:dyDescent="0.3">
      <c r="A47">
        <v>239100</v>
      </c>
      <c r="B47" t="s">
        <v>137</v>
      </c>
      <c r="C47" t="s">
        <v>138</v>
      </c>
      <c r="D47" s="87" t="str">
        <f t="shared" si="1"/>
        <v>23</v>
      </c>
      <c r="E47" s="92"/>
      <c r="F47" s="93">
        <f>(+IFERROR(VLOOKUP($A47,'[152]BG (2)'!$B$9:$J$570,4,FALSE),0))*1</f>
        <v>499188587</v>
      </c>
      <c r="G47" s="73">
        <f>(+IFERROR(VLOOKUP($A47,'[152]BG (2)'!$B$9:$J$570,5,FALSE),0))*-1</f>
        <v>0</v>
      </c>
      <c r="H47" s="108">
        <f>(+IFERROR(VLOOKUP($A47,'[152]BG (2)'!$B$9:$J$570,6,FALSE),0))*1</f>
        <v>847644182</v>
      </c>
      <c r="I47" s="73">
        <f>(+IFERROR(VLOOKUP($A47,'[152]BG (2)'!$B$9:$J$570,7,FALSE),0))*-1</f>
        <v>-104126897</v>
      </c>
      <c r="J47" s="94">
        <f>(+IFERROR(VLOOKUP($A47,'[152]BG (2)'!$B$9:$J$570,8,FALSE),0))*1</f>
        <v>1242705872</v>
      </c>
      <c r="K47" s="73">
        <f>(+IFERROR(VLOOKUP($A47,'[152]BG (2)'!$B$9:$J$570,9,FALSE),0))*-1</f>
        <v>0</v>
      </c>
      <c r="P47" s="90">
        <f t="shared" si="2"/>
        <v>1242705872</v>
      </c>
      <c r="S47" s="90"/>
      <c r="T47" s="102">
        <f t="shared" si="4"/>
        <v>1242705872</v>
      </c>
      <c r="U47" s="95"/>
      <c r="V47" s="72"/>
      <c r="W47" s="75" t="e">
        <f>+A47-#REF!</f>
        <v>#REF!</v>
      </c>
      <c r="X47" s="1270"/>
      <c r="Y47" s="91"/>
      <c r="Z47" s="91"/>
      <c r="AA47" s="91"/>
    </row>
    <row r="48" spans="1:27" ht="14.4" customHeight="1" x14ac:dyDescent="0.3">
      <c r="A48">
        <v>241110</v>
      </c>
      <c r="B48" t="s">
        <v>139</v>
      </c>
      <c r="C48" s="105" t="s">
        <v>128</v>
      </c>
      <c r="D48" s="87" t="str">
        <f t="shared" si="1"/>
        <v>24</v>
      </c>
      <c r="E48" s="92"/>
      <c r="F48" s="106">
        <f>(+IFERROR(VLOOKUP($A48,'[152]BG (2)'!$B$9:$J$570,4,FALSE),0))*1</f>
        <v>39278419567</v>
      </c>
      <c r="G48" s="73">
        <f>(+IFERROR(VLOOKUP($A48,'[152]BG (2)'!$B$9:$J$570,5,FALSE),0))*-1</f>
        <v>0</v>
      </c>
      <c r="H48" s="1318">
        <f>(+IFERROR(VLOOKUP($A48,'[152]BG (2)'!$B$9:$J$570,6,FALSE),0))*1</f>
        <v>6756962374</v>
      </c>
      <c r="I48" s="73">
        <f>(+IFERROR(VLOOKUP($A48,'[152]BG (2)'!$B$9:$J$570,7,FALSE),0))*-1</f>
        <v>0</v>
      </c>
      <c r="J48" s="107">
        <f>(+IFERROR(VLOOKUP($A48,'[152]BG (2)'!$B$9:$J$570,8,FALSE),0))*1</f>
        <v>46035381941</v>
      </c>
      <c r="K48" s="73">
        <f>(+IFERROR(VLOOKUP($A48,'[152]BG (2)'!$B$9:$J$570,9,FALSE),0))*-1</f>
        <v>0</v>
      </c>
      <c r="P48" s="90">
        <f t="shared" si="2"/>
        <v>46035381941</v>
      </c>
      <c r="S48" s="90"/>
      <c r="T48" s="102">
        <f t="shared" si="4"/>
        <v>46035381941</v>
      </c>
      <c r="U48" s="95"/>
      <c r="V48" s="72"/>
      <c r="W48" s="75" t="e">
        <f>+A48-#REF!</f>
        <v>#REF!</v>
      </c>
      <c r="X48" s="1270"/>
      <c r="Y48" s="91"/>
      <c r="Z48" s="91"/>
      <c r="AA48" s="91"/>
    </row>
    <row r="49" spans="1:27" ht="14.4" customHeight="1" x14ac:dyDescent="0.3">
      <c r="A49">
        <v>241120</v>
      </c>
      <c r="B49" t="s">
        <v>140</v>
      </c>
      <c r="C49" s="105" t="s">
        <v>128</v>
      </c>
      <c r="D49" s="87" t="str">
        <f t="shared" si="1"/>
        <v>24</v>
      </c>
      <c r="E49" s="92"/>
      <c r="F49" s="106">
        <f>(+IFERROR(VLOOKUP($A49,'[152]BG (2)'!$B$9:$J$570,4,FALSE),0))*1</f>
        <v>24537043449</v>
      </c>
      <c r="G49" s="73">
        <f>(+IFERROR(VLOOKUP($A49,'[152]BG (2)'!$B$9:$J$570,5,FALSE),0))*-1</f>
        <v>0</v>
      </c>
      <c r="H49" s="1318">
        <f>(+IFERROR(VLOOKUP($A49,'[152]BG (2)'!$B$9:$J$570,6,FALSE),0))*1</f>
        <v>988771214</v>
      </c>
      <c r="I49" s="73">
        <f>(+IFERROR(VLOOKUP($A49,'[152]BG (2)'!$B$9:$J$570,7,FALSE),0))*-1</f>
        <v>0</v>
      </c>
      <c r="J49" s="107">
        <f>(+IFERROR(VLOOKUP($A49,'[152]BG (2)'!$B$9:$J$570,8,FALSE),0))*1</f>
        <v>25525814663</v>
      </c>
      <c r="K49" s="73">
        <f>(+IFERROR(VLOOKUP($A49,'[152]BG (2)'!$B$9:$J$570,9,FALSE),0))*-1</f>
        <v>0</v>
      </c>
      <c r="P49" s="90">
        <f t="shared" si="2"/>
        <v>25525814663</v>
      </c>
      <c r="S49" s="90"/>
      <c r="T49" s="102">
        <f t="shared" si="4"/>
        <v>25525814663</v>
      </c>
      <c r="U49" s="95"/>
      <c r="V49" s="72"/>
      <c r="W49" s="75" t="e">
        <f>+A49-#REF!</f>
        <v>#REF!</v>
      </c>
      <c r="X49" s="1270"/>
      <c r="Y49" s="91"/>
      <c r="Z49" s="91"/>
      <c r="AA49" s="91"/>
    </row>
    <row r="50" spans="1:27" ht="14.4" customHeight="1" x14ac:dyDescent="0.3">
      <c r="A50">
        <v>241130</v>
      </c>
      <c r="B50" t="s">
        <v>141</v>
      </c>
      <c r="C50" s="105" t="s">
        <v>128</v>
      </c>
      <c r="D50" s="87" t="str">
        <f t="shared" si="1"/>
        <v>24</v>
      </c>
      <c r="E50" s="92"/>
      <c r="F50" s="106">
        <f>(+IFERROR(VLOOKUP($A50,'[152]BG (2)'!$B$9:$J$570,4,FALSE),0))*1</f>
        <v>15963504217</v>
      </c>
      <c r="G50" s="73">
        <f>(+IFERROR(VLOOKUP($A50,'[152]BG (2)'!$B$9:$J$570,5,FALSE),0))*-1</f>
        <v>0</v>
      </c>
      <c r="H50" s="1318">
        <f>(+IFERROR(VLOOKUP($A50,'[152]BG (2)'!$B$9:$J$570,6,FALSE),0))*1</f>
        <v>459823786</v>
      </c>
      <c r="I50" s="73">
        <f>(+IFERROR(VLOOKUP($A50,'[152]BG (2)'!$B$9:$J$570,7,FALSE),0))*-1</f>
        <v>0</v>
      </c>
      <c r="J50" s="107">
        <f>(+IFERROR(VLOOKUP($A50,'[152]BG (2)'!$B$9:$J$570,8,FALSE),0))*1</f>
        <v>16423328003</v>
      </c>
      <c r="K50" s="73">
        <f>(+IFERROR(VLOOKUP($A50,'[152]BG (2)'!$B$9:$J$570,9,FALSE),0))*-1</f>
        <v>0</v>
      </c>
      <c r="P50" s="90">
        <f t="shared" si="2"/>
        <v>16423328003</v>
      </c>
      <c r="S50" s="90"/>
      <c r="T50" s="102">
        <f t="shared" si="4"/>
        <v>16423328003</v>
      </c>
      <c r="U50" s="95"/>
      <c r="V50" s="72"/>
      <c r="W50" s="75" t="e">
        <f>+A50-#REF!</f>
        <v>#REF!</v>
      </c>
      <c r="X50" s="1270"/>
      <c r="Y50" s="91"/>
      <c r="Z50" s="91"/>
      <c r="AA50" s="91"/>
    </row>
    <row r="51" spans="1:27" ht="14.4" customHeight="1" x14ac:dyDescent="0.3">
      <c r="A51">
        <v>241140</v>
      </c>
      <c r="B51" t="s">
        <v>142</v>
      </c>
      <c r="C51" s="105" t="s">
        <v>128</v>
      </c>
      <c r="D51" s="87" t="str">
        <f t="shared" si="1"/>
        <v>24</v>
      </c>
      <c r="E51" s="92"/>
      <c r="F51" s="106">
        <f>(+IFERROR(VLOOKUP($A51,'[152]BG (2)'!$B$9:$J$570,4,FALSE),0))*1</f>
        <v>45501254</v>
      </c>
      <c r="G51" s="73">
        <f>(+IFERROR(VLOOKUP($A51,'[152]BG (2)'!$B$9:$J$570,5,FALSE),0))*-1</f>
        <v>0</v>
      </c>
      <c r="H51" s="1318">
        <f>(+IFERROR(VLOOKUP($A51,'[152]BG (2)'!$B$9:$J$570,6,FALSE),0))*1</f>
        <v>0</v>
      </c>
      <c r="I51" s="73">
        <f>(+IFERROR(VLOOKUP($A51,'[152]BG (2)'!$B$9:$J$570,7,FALSE),0))*-1</f>
        <v>0</v>
      </c>
      <c r="J51" s="107">
        <f>(+IFERROR(VLOOKUP($A51,'[152]BG (2)'!$B$9:$J$570,8,FALSE),0))*1</f>
        <v>45501254</v>
      </c>
      <c r="K51" s="73">
        <f>(+IFERROR(VLOOKUP($A51,'[152]BG (2)'!$B$9:$J$570,9,FALSE),0))*-1</f>
        <v>0</v>
      </c>
      <c r="P51" s="90">
        <f t="shared" si="2"/>
        <v>45501254</v>
      </c>
      <c r="S51" s="90"/>
      <c r="T51" s="102">
        <f t="shared" si="4"/>
        <v>45501254</v>
      </c>
      <c r="U51" s="95"/>
      <c r="V51" s="72"/>
      <c r="W51" s="75" t="e">
        <f>+A51-#REF!</f>
        <v>#REF!</v>
      </c>
      <c r="X51" s="1270"/>
      <c r="Y51" s="91"/>
      <c r="Z51" s="91"/>
      <c r="AA51" s="91"/>
    </row>
    <row r="52" spans="1:27" ht="14.4" customHeight="1" x14ac:dyDescent="0.3">
      <c r="A52">
        <v>241150</v>
      </c>
      <c r="B52" t="s">
        <v>143</v>
      </c>
      <c r="C52" s="105" t="s">
        <v>128</v>
      </c>
      <c r="D52" s="87" t="str">
        <f t="shared" si="1"/>
        <v>24</v>
      </c>
      <c r="E52" s="92"/>
      <c r="F52" s="106">
        <f>(+IFERROR(VLOOKUP($A52,'[152]BG (2)'!$B$9:$J$570,4,FALSE),0))*1</f>
        <v>703102864</v>
      </c>
      <c r="G52" s="73">
        <f>(+IFERROR(VLOOKUP($A52,'[152]BG (2)'!$B$9:$J$570,5,FALSE),0))*-1</f>
        <v>0</v>
      </c>
      <c r="H52" s="1318">
        <f>(+IFERROR(VLOOKUP($A52,'[152]BG (2)'!$B$9:$J$570,6,FALSE),0))*1</f>
        <v>0</v>
      </c>
      <c r="I52" s="73">
        <f>(+IFERROR(VLOOKUP($A52,'[152]BG (2)'!$B$9:$J$570,7,FALSE),0))*-1</f>
        <v>0</v>
      </c>
      <c r="J52" s="107">
        <f>(+IFERROR(VLOOKUP($A52,'[152]BG (2)'!$B$9:$J$570,8,FALSE),0))*1</f>
        <v>703102864</v>
      </c>
      <c r="K52" s="73">
        <f>(+IFERROR(VLOOKUP($A52,'[152]BG (2)'!$B$9:$J$570,9,FALSE),0))*-1</f>
        <v>0</v>
      </c>
      <c r="P52" s="90">
        <f t="shared" si="2"/>
        <v>703102864</v>
      </c>
      <c r="S52" s="90"/>
      <c r="T52" s="102">
        <f t="shared" si="4"/>
        <v>703102864</v>
      </c>
      <c r="U52" s="95"/>
      <c r="V52" s="72"/>
      <c r="W52" s="75" t="e">
        <f>+A52-#REF!</f>
        <v>#REF!</v>
      </c>
      <c r="X52" s="1270"/>
      <c r="Y52" s="91"/>
      <c r="Z52" s="91"/>
      <c r="AA52" s="91"/>
    </row>
    <row r="53" spans="1:27" ht="14.4" customHeight="1" x14ac:dyDescent="0.3">
      <c r="A53">
        <v>241200</v>
      </c>
      <c r="B53"/>
      <c r="C53" s="105" t="s">
        <v>128</v>
      </c>
      <c r="D53" s="87" t="str">
        <f t="shared" si="1"/>
        <v>24</v>
      </c>
      <c r="E53" s="92"/>
      <c r="F53" s="106">
        <f>(+IFERROR(VLOOKUP($A53,'[152]BG (2)'!$B$9:$J$570,4,FALSE),0))*1</f>
        <v>90324192</v>
      </c>
      <c r="G53" s="73">
        <f>(+IFERROR(VLOOKUP($A53,'[152]BG (2)'!$B$9:$J$570,5,FALSE),0))*-1</f>
        <v>0</v>
      </c>
      <c r="H53" s="106">
        <f>(+IFERROR(VLOOKUP($A53,'[152]BG (2)'!$B$9:$J$570,6,FALSE),0))*1</f>
        <v>0</v>
      </c>
      <c r="I53" s="73">
        <f>(+IFERROR(VLOOKUP($A53,'[152]BG (2)'!$B$9:$J$570,7,FALSE),0))*-1</f>
        <v>0</v>
      </c>
      <c r="J53" s="107">
        <f>(+IFERROR(VLOOKUP($A53,'[152]BG (2)'!$B$9:$J$570,8,FALSE),0))*1</f>
        <v>90324192</v>
      </c>
      <c r="K53" s="73">
        <f>(+IFERROR(VLOOKUP($A53,'[152]BG (2)'!$B$9:$J$570,9,FALSE),0))*-1</f>
        <v>0</v>
      </c>
      <c r="P53" s="90">
        <f t="shared" si="2"/>
        <v>90324192</v>
      </c>
      <c r="S53" s="90"/>
      <c r="T53" s="102">
        <f t="shared" si="4"/>
        <v>90324192</v>
      </c>
      <c r="U53" s="95"/>
      <c r="V53" s="72"/>
      <c r="W53" s="75" t="e">
        <f>+A53-#REF!</f>
        <v>#REF!</v>
      </c>
      <c r="X53" s="1270"/>
      <c r="Y53" s="91"/>
      <c r="Z53" s="91"/>
      <c r="AA53" s="91"/>
    </row>
    <row r="54" spans="1:27" ht="14.4" customHeight="1" x14ac:dyDescent="0.3">
      <c r="A54">
        <v>244100</v>
      </c>
      <c r="B54" t="s">
        <v>144</v>
      </c>
      <c r="C54" t="s">
        <v>145</v>
      </c>
      <c r="D54" s="87" t="str">
        <f t="shared" si="1"/>
        <v>24</v>
      </c>
      <c r="E54" s="92"/>
      <c r="F54" s="103">
        <f>(+IFERROR(VLOOKUP($A54,'[152]BG (2)'!$B$9:$J$570,4,FALSE),0))*1</f>
        <v>165186312</v>
      </c>
      <c r="G54" s="73">
        <f>(+IFERROR(VLOOKUP($A54,'[152]BG (2)'!$B$9:$J$570,5,FALSE),0))*-1</f>
        <v>0</v>
      </c>
      <c r="H54" s="111">
        <f>(+IFERROR(VLOOKUP($A54,'[152]BG (2)'!$B$9:$J$570,6,FALSE),0))*1</f>
        <v>5021004</v>
      </c>
      <c r="I54" s="73">
        <f>(+IFERROR(VLOOKUP($A54,'[152]BG (2)'!$B$9:$J$570,7,FALSE),0))*-1</f>
        <v>0</v>
      </c>
      <c r="J54" s="112">
        <f>(+IFERROR(VLOOKUP($A54,'[152]BG (2)'!$B$9:$J$570,8,FALSE),0))*1</f>
        <v>170207316</v>
      </c>
      <c r="K54" s="73">
        <f>(+IFERROR(VLOOKUP($A54,'[152]BG (2)'!$B$9:$J$570,9,FALSE),0))*-1</f>
        <v>0</v>
      </c>
      <c r="P54" s="90">
        <f t="shared" si="2"/>
        <v>170207316</v>
      </c>
      <c r="S54" s="90"/>
      <c r="T54" s="102">
        <f t="shared" si="4"/>
        <v>170207316</v>
      </c>
      <c r="U54" s="95"/>
      <c r="V54" s="72"/>
      <c r="W54" s="75" t="e">
        <f>+A54-#REF!</f>
        <v>#REF!</v>
      </c>
      <c r="X54" s="1270"/>
      <c r="Y54" s="91"/>
      <c r="Z54" s="91"/>
      <c r="AA54" s="91"/>
    </row>
    <row r="55" spans="1:27" ht="14.4" customHeight="1" x14ac:dyDescent="0.3">
      <c r="A55">
        <v>244200</v>
      </c>
      <c r="B55" t="s">
        <v>146</v>
      </c>
      <c r="C55" t="s">
        <v>145</v>
      </c>
      <c r="D55" s="87" t="str">
        <f t="shared" si="1"/>
        <v>24</v>
      </c>
      <c r="E55" s="92"/>
      <c r="F55" s="103">
        <f>(+IFERROR(VLOOKUP($A55,'[152]BG (2)'!$B$9:$J$570,4,FALSE),0))*1</f>
        <v>7055533142</v>
      </c>
      <c r="G55" s="73">
        <f>(+IFERROR(VLOOKUP($A55,'[152]BG (2)'!$B$9:$J$570,5,FALSE),0))*-1</f>
        <v>0</v>
      </c>
      <c r="H55" s="111">
        <f>(+IFERROR(VLOOKUP($A55,'[152]BG (2)'!$B$9:$J$570,6,FALSE),0))*1</f>
        <v>2337449953</v>
      </c>
      <c r="I55" s="73">
        <f>(+IFERROR(VLOOKUP($A55,'[152]BG (2)'!$B$9:$J$570,7,FALSE),0))*-1</f>
        <v>0</v>
      </c>
      <c r="J55" s="112">
        <f>(+IFERROR(VLOOKUP($A55,'[152]BG (2)'!$B$9:$J$570,8,FALSE),0))*1</f>
        <v>9392983095</v>
      </c>
      <c r="K55" s="73">
        <f>(+IFERROR(VLOOKUP($A55,'[152]BG (2)'!$B$9:$J$570,9,FALSE),0))*-1</f>
        <v>0</v>
      </c>
      <c r="P55" s="90">
        <f t="shared" si="2"/>
        <v>9392983095</v>
      </c>
      <c r="S55" s="90"/>
      <c r="T55" s="102">
        <f t="shared" si="4"/>
        <v>9392983095</v>
      </c>
      <c r="U55" s="95"/>
      <c r="V55" s="72"/>
      <c r="W55" s="75" t="e">
        <f>+A55-#REF!</f>
        <v>#REF!</v>
      </c>
      <c r="X55" s="1270"/>
      <c r="Y55" s="91"/>
      <c r="Z55" s="91"/>
      <c r="AA55" s="91"/>
    </row>
    <row r="56" spans="1:27" ht="14.4" customHeight="1" x14ac:dyDescent="0.3">
      <c r="A56">
        <v>244400</v>
      </c>
      <c r="B56" t="s">
        <v>147</v>
      </c>
      <c r="C56" t="s">
        <v>145</v>
      </c>
      <c r="D56" s="87" t="str">
        <f t="shared" si="1"/>
        <v>24</v>
      </c>
      <c r="E56" s="92"/>
      <c r="F56" s="103">
        <f>(+IFERROR(VLOOKUP($A56,'[152]BG (2)'!$B$9:$J$570,4,FALSE),0))*1</f>
        <v>484007093</v>
      </c>
      <c r="G56" s="73">
        <f>(+IFERROR(VLOOKUP($A56,'[152]BG (2)'!$B$9:$J$570,5,FALSE),0))*-1</f>
        <v>0</v>
      </c>
      <c r="H56" s="111">
        <f>(+IFERROR(VLOOKUP($A56,'[152]BG (2)'!$B$9:$J$570,6,FALSE),0))*1</f>
        <v>46677076</v>
      </c>
      <c r="I56" s="73">
        <f>(+IFERROR(VLOOKUP($A56,'[152]BG (2)'!$B$9:$J$570,7,FALSE),0))*-1</f>
        <v>0</v>
      </c>
      <c r="J56" s="112">
        <f>(+IFERROR(VLOOKUP($A56,'[152]BG (2)'!$B$9:$J$570,8,FALSE),0))*1</f>
        <v>530684169</v>
      </c>
      <c r="K56" s="73">
        <f>(+IFERROR(VLOOKUP($A56,'[152]BG (2)'!$B$9:$J$570,9,FALSE),0))*-1</f>
        <v>0</v>
      </c>
      <c r="P56" s="90">
        <f t="shared" si="2"/>
        <v>530684169</v>
      </c>
      <c r="S56" s="90"/>
      <c r="T56" s="102">
        <f t="shared" si="4"/>
        <v>530684169</v>
      </c>
      <c r="U56" s="95"/>
      <c r="V56" s="72"/>
      <c r="W56" s="75" t="e">
        <f>+A56-#REF!</f>
        <v>#REF!</v>
      </c>
      <c r="X56" s="1270"/>
      <c r="Y56" s="91"/>
      <c r="Z56" s="91"/>
      <c r="AA56" s="91"/>
    </row>
    <row r="57" spans="1:27" ht="14.4" customHeight="1" x14ac:dyDescent="0.3">
      <c r="A57">
        <v>244700</v>
      </c>
      <c r="B57" t="s">
        <v>148</v>
      </c>
      <c r="C57" t="s">
        <v>132</v>
      </c>
      <c r="D57" s="87" t="str">
        <f t="shared" si="1"/>
        <v>24</v>
      </c>
      <c r="E57" s="92"/>
      <c r="F57" s="93">
        <f>(+IFERROR(VLOOKUP($A57,'[152]BG (2)'!$B$9:$J$570,4,FALSE),0))*1</f>
        <v>190364902</v>
      </c>
      <c r="G57" s="73">
        <f>(+IFERROR(VLOOKUP($A57,'[152]BG (2)'!$B$9:$J$570,5,FALSE),0))*-1</f>
        <v>0</v>
      </c>
      <c r="H57" s="93">
        <f>(+IFERROR(VLOOKUP($A57,'[152]BG (2)'!$B$9:$J$570,6,FALSE),0))*1</f>
        <v>6103893</v>
      </c>
      <c r="I57" s="73">
        <f>(+IFERROR(VLOOKUP($A57,'[152]BG (2)'!$B$9:$J$570,7,FALSE),0))*-1</f>
        <v>0</v>
      </c>
      <c r="J57" s="109">
        <f>(+IFERROR(VLOOKUP($A57,'[152]BG (2)'!$B$9:$J$570,8,FALSE),0))*1</f>
        <v>196468795</v>
      </c>
      <c r="K57" s="73">
        <f>(+IFERROR(VLOOKUP($A57,'[152]BG (2)'!$B$9:$J$570,9,FALSE),0))*-1</f>
        <v>0</v>
      </c>
      <c r="P57" s="90">
        <f t="shared" si="2"/>
        <v>196468795</v>
      </c>
      <c r="S57" s="90"/>
      <c r="T57" s="102">
        <f t="shared" si="4"/>
        <v>196468795</v>
      </c>
      <c r="U57" s="95"/>
      <c r="V57" s="72"/>
      <c r="W57" s="75" t="e">
        <f>+A57-#REF!</f>
        <v>#REF!</v>
      </c>
      <c r="X57" s="1270"/>
      <c r="Y57" s="91"/>
      <c r="Z57" s="91"/>
      <c r="AA57" s="91"/>
    </row>
    <row r="58" spans="1:27" ht="14.4" customHeight="1" x14ac:dyDescent="0.3">
      <c r="A58">
        <v>245100</v>
      </c>
      <c r="B58" t="s">
        <v>149</v>
      </c>
      <c r="C58" t="s">
        <v>150</v>
      </c>
      <c r="D58" s="87" t="str">
        <f t="shared" si="1"/>
        <v>24</v>
      </c>
      <c r="E58" s="92"/>
      <c r="F58" s="93">
        <f>(+IFERROR(VLOOKUP($A58,'[152]BG (2)'!$B$9:$J$570,4,FALSE),0))*1</f>
        <v>711305198</v>
      </c>
      <c r="G58" s="73">
        <f>(+IFERROR(VLOOKUP($A58,'[152]BG (2)'!$B$9:$J$570,5,FALSE),0))*-1</f>
        <v>0</v>
      </c>
      <c r="H58" s="93">
        <f>(+IFERROR(VLOOKUP($A58,'[152]BG (2)'!$B$9:$J$570,6,FALSE),0))*1</f>
        <v>0</v>
      </c>
      <c r="I58" s="73">
        <f>(+IFERROR(VLOOKUP($A58,'[152]BG (2)'!$B$9:$J$570,7,FALSE),0))*-1</f>
        <v>0</v>
      </c>
      <c r="J58" s="94">
        <f>(+IFERROR(VLOOKUP($A58,'[152]BG (2)'!$B$9:$J$570,8,FALSE),0))*1</f>
        <v>711305198</v>
      </c>
      <c r="K58" s="73">
        <f>(+IFERROR(VLOOKUP($A58,'[152]BG (2)'!$B$9:$J$570,9,FALSE),0))*-1</f>
        <v>0</v>
      </c>
      <c r="P58" s="90">
        <f t="shared" si="2"/>
        <v>711305198</v>
      </c>
      <c r="S58" s="90"/>
      <c r="T58" s="102">
        <f t="shared" si="4"/>
        <v>711305198</v>
      </c>
      <c r="U58" s="95"/>
      <c r="V58" s="72"/>
      <c r="W58" s="75" t="e">
        <f>+A58-#REF!</f>
        <v>#REF!</v>
      </c>
      <c r="X58" s="1270"/>
      <c r="Y58" s="91"/>
      <c r="Z58" s="91"/>
      <c r="AA58" s="91"/>
    </row>
    <row r="59" spans="1:27" ht="14.4" customHeight="1" x14ac:dyDescent="0.3">
      <c r="A59">
        <v>245800</v>
      </c>
      <c r="B59" t="s">
        <v>151</v>
      </c>
      <c r="C59" t="s">
        <v>150</v>
      </c>
      <c r="D59" s="87" t="str">
        <f t="shared" si="1"/>
        <v>24</v>
      </c>
      <c r="E59" s="92"/>
      <c r="F59" s="93">
        <f>(+IFERROR(VLOOKUP($A59,'[152]BG (2)'!$B$9:$J$570,4,FALSE),0))*1</f>
        <v>3200000</v>
      </c>
      <c r="G59" s="73">
        <f>(+IFERROR(VLOOKUP($A59,'[152]BG (2)'!$B$9:$J$570,5,FALSE),0))*-1</f>
        <v>0</v>
      </c>
      <c r="H59" s="93">
        <f>(+IFERROR(VLOOKUP($A59,'[152]BG (2)'!$B$9:$J$570,6,FALSE),0))*1</f>
        <v>0</v>
      </c>
      <c r="I59" s="73">
        <f>(+IFERROR(VLOOKUP($A59,'[152]BG (2)'!$B$9:$J$570,7,FALSE),0))*-1</f>
        <v>0</v>
      </c>
      <c r="J59" s="94">
        <f>(+IFERROR(VLOOKUP($A59,'[152]BG (2)'!$B$9:$J$570,8,FALSE),0))*1</f>
        <v>3200000</v>
      </c>
      <c r="K59" s="73">
        <f>(+IFERROR(VLOOKUP($A59,'[152]BG (2)'!$B$9:$J$570,9,FALSE),0))*-1</f>
        <v>0</v>
      </c>
      <c r="P59" s="90">
        <f t="shared" si="2"/>
        <v>3200000</v>
      </c>
      <c r="S59" s="90"/>
      <c r="T59" s="102">
        <f t="shared" si="4"/>
        <v>3200000</v>
      </c>
      <c r="U59" s="95"/>
      <c r="V59" s="72"/>
      <c r="W59" s="75" t="e">
        <f>+A59-#REF!</f>
        <v>#REF!</v>
      </c>
      <c r="X59" s="1270"/>
      <c r="Y59" s="91"/>
      <c r="Z59" s="91"/>
      <c r="AA59" s="91"/>
    </row>
    <row r="60" spans="1:27" ht="14.4" customHeight="1" x14ac:dyDescent="0.3">
      <c r="A60">
        <v>248000</v>
      </c>
      <c r="B60" t="s">
        <v>152</v>
      </c>
      <c r="C60" t="s">
        <v>132</v>
      </c>
      <c r="D60" s="87" t="str">
        <f t="shared" si="1"/>
        <v>24</v>
      </c>
      <c r="E60" s="92"/>
      <c r="F60" s="93">
        <f>(+IFERROR(VLOOKUP($A60,'[152]BG (2)'!$B$9:$J$570,4,FALSE),0))*1</f>
        <v>523939105</v>
      </c>
      <c r="G60" s="73">
        <f>(+IFERROR(VLOOKUP($A60,'[152]BG (2)'!$B$9:$J$570,5,FALSE),0))*-1</f>
        <v>0</v>
      </c>
      <c r="H60" s="93">
        <f>(+IFERROR(VLOOKUP($A60,'[152]BG (2)'!$B$9:$J$570,6,FALSE),0))*1</f>
        <v>12160150</v>
      </c>
      <c r="I60" s="73">
        <f>(+IFERROR(VLOOKUP($A60,'[152]BG (2)'!$B$9:$J$570,7,FALSE),0))*-1</f>
        <v>0</v>
      </c>
      <c r="J60" s="109">
        <f>(+IFERROR(VLOOKUP($A60,'[152]BG (2)'!$B$9:$J$570,8,FALSE),0))*1</f>
        <v>536099255</v>
      </c>
      <c r="K60" s="73">
        <f>(+IFERROR(VLOOKUP($A60,'[152]BG (2)'!$B$9:$J$570,9,FALSE),0))*-1</f>
        <v>0</v>
      </c>
      <c r="P60" s="90">
        <f t="shared" si="2"/>
        <v>536099255</v>
      </c>
      <c r="S60" s="90"/>
      <c r="T60" s="102">
        <f t="shared" si="4"/>
        <v>536099255</v>
      </c>
      <c r="U60" s="95"/>
      <c r="V60" s="72"/>
      <c r="W60" s="75" t="e">
        <f>+A60-#REF!</f>
        <v>#REF!</v>
      </c>
      <c r="X60" s="1270"/>
      <c r="Y60" s="91"/>
      <c r="Z60" s="91"/>
      <c r="AA60" s="91"/>
    </row>
    <row r="61" spans="1:27" ht="14.4" customHeight="1" x14ac:dyDescent="0.3">
      <c r="A61">
        <v>249100</v>
      </c>
      <c r="B61" t="s">
        <v>153</v>
      </c>
      <c r="C61" s="105" t="s">
        <v>128</v>
      </c>
      <c r="D61" s="87" t="str">
        <f t="shared" si="1"/>
        <v>24</v>
      </c>
      <c r="E61" s="92"/>
      <c r="F61" s="106">
        <f>(+IFERROR(VLOOKUP($A61,'[152]BG (2)'!$B$9:$J$570,4,FALSE),0))*1</f>
        <v>6616238905</v>
      </c>
      <c r="G61" s="73">
        <f>(+IFERROR(VLOOKUP($A61,'[152]BG (2)'!$B$9:$J$570,5,FALSE),0))*-1</f>
        <v>0</v>
      </c>
      <c r="H61" s="1318">
        <f>(+IFERROR(VLOOKUP($A61,'[152]BG (2)'!$B$9:$J$570,6,FALSE),0))*1</f>
        <v>24885659203</v>
      </c>
      <c r="I61" s="73">
        <f>(+IFERROR(VLOOKUP($A61,'[152]BG (2)'!$B$9:$J$570,7,FALSE),0))*-1</f>
        <v>-22943218043</v>
      </c>
      <c r="J61" s="107">
        <f>(+IFERROR(VLOOKUP($A61,'[152]BG (2)'!$B$9:$J$570,8,FALSE),0))*1</f>
        <v>8558680065</v>
      </c>
      <c r="K61" s="73">
        <f>(+IFERROR(VLOOKUP($A61,'[152]BG (2)'!$B$9:$J$570,9,FALSE),0))*-1</f>
        <v>0</v>
      </c>
      <c r="P61" s="90">
        <f t="shared" si="2"/>
        <v>8558680065</v>
      </c>
      <c r="S61" s="90"/>
      <c r="T61" s="102">
        <f t="shared" si="4"/>
        <v>8558680065</v>
      </c>
      <c r="U61" s="95"/>
      <c r="V61" s="72"/>
      <c r="W61" s="75" t="e">
        <f>+A61-#REF!</f>
        <v>#REF!</v>
      </c>
      <c r="X61" s="1270"/>
      <c r="Y61" s="91"/>
      <c r="Z61" s="91"/>
      <c r="AA61" s="91"/>
    </row>
    <row r="62" spans="1:27" ht="14.4" customHeight="1" x14ac:dyDescent="0.3">
      <c r="A62">
        <v>249110</v>
      </c>
      <c r="B62" t="s">
        <v>154</v>
      </c>
      <c r="C62" t="s">
        <v>145</v>
      </c>
      <c r="D62" s="87" t="str">
        <f t="shared" si="1"/>
        <v>24</v>
      </c>
      <c r="E62" s="92"/>
      <c r="F62" s="103">
        <f>(+IFERROR(VLOOKUP($A62,'[152]BG (2)'!$B$9:$J$570,4,FALSE),0))*1</f>
        <v>1747498260</v>
      </c>
      <c r="G62" s="73">
        <f>(+IFERROR(VLOOKUP($A62,'[152]BG (2)'!$B$9:$J$570,5,FALSE),0))*-1</f>
        <v>0</v>
      </c>
      <c r="H62" s="1318">
        <f>(+IFERROR(VLOOKUP($A62,'[152]BG (2)'!$B$9:$J$570,6,FALSE),0))*1</f>
        <v>4906826046</v>
      </c>
      <c r="I62" s="1319">
        <f>(+IFERROR(VLOOKUP($A62,'[152]BG (2)'!$B$9:$J$570,7,FALSE),0))*-1</f>
        <v>-3082121923</v>
      </c>
      <c r="J62" s="112">
        <f>(+IFERROR(VLOOKUP($A62,'[152]BG (2)'!$B$9:$J$570,8,FALSE),0))*1</f>
        <v>3572202383</v>
      </c>
      <c r="K62" s="73">
        <f>(+IFERROR(VLOOKUP($A62,'[152]BG (2)'!$B$9:$J$570,9,FALSE),0))*-1</f>
        <v>0</v>
      </c>
      <c r="P62" s="90">
        <f t="shared" si="2"/>
        <v>3572202383</v>
      </c>
      <c r="S62" s="90"/>
      <c r="T62" s="102">
        <f t="shared" si="4"/>
        <v>3572202383</v>
      </c>
      <c r="U62" s="95"/>
      <c r="V62" s="72"/>
      <c r="W62" s="75" t="e">
        <f>+A62-#REF!</f>
        <v>#REF!</v>
      </c>
      <c r="X62" s="1270"/>
      <c r="Y62" s="91"/>
      <c r="Z62" s="91"/>
      <c r="AA62" s="91"/>
    </row>
    <row r="63" spans="1:27" ht="14.4" customHeight="1" x14ac:dyDescent="0.3">
      <c r="A63">
        <v>249510</v>
      </c>
      <c r="B63" t="s">
        <v>155</v>
      </c>
      <c r="C63" t="s">
        <v>150</v>
      </c>
      <c r="D63" s="87" t="str">
        <f t="shared" si="1"/>
        <v>24</v>
      </c>
      <c r="E63" s="92"/>
      <c r="F63" s="93">
        <f>(+IFERROR(VLOOKUP($A63,'[152]BG (2)'!$B$9:$J$570,4,FALSE),0))*1</f>
        <v>1390000</v>
      </c>
      <c r="G63" s="73">
        <f>(+IFERROR(VLOOKUP($A63,'[152]BG (2)'!$B$9:$J$570,5,FALSE),0))*-1</f>
        <v>0</v>
      </c>
      <c r="H63" s="93">
        <f>(+IFERROR(VLOOKUP($A63,'[152]BG (2)'!$B$9:$J$570,6,FALSE),0))*1</f>
        <v>0</v>
      </c>
      <c r="I63" s="73">
        <f>(+IFERROR(VLOOKUP($A63,'[152]BG (2)'!$B$9:$J$570,7,FALSE),0))*-1</f>
        <v>0</v>
      </c>
      <c r="J63" s="107">
        <f>(+IFERROR(VLOOKUP($A63,'[152]BG (2)'!$B$9:$J$570,8,FALSE),0))*1</f>
        <v>1390000</v>
      </c>
      <c r="K63" s="73">
        <f>(+IFERROR(VLOOKUP($A63,'[152]BG (2)'!$B$9:$J$570,9,FALSE),0))*-1</f>
        <v>0</v>
      </c>
      <c r="P63" s="90">
        <f t="shared" si="2"/>
        <v>1390000</v>
      </c>
      <c r="S63" s="90"/>
      <c r="T63" s="102">
        <f t="shared" si="4"/>
        <v>1390000</v>
      </c>
      <c r="U63" s="95"/>
      <c r="V63" s="72"/>
      <c r="W63" s="75" t="e">
        <f>+A63-#REF!</f>
        <v>#REF!</v>
      </c>
      <c r="X63" s="1270"/>
      <c r="Y63" s="91"/>
      <c r="Z63" s="91"/>
      <c r="AA63" s="91"/>
    </row>
    <row r="64" spans="1:27" ht="14.4" customHeight="1" x14ac:dyDescent="0.3">
      <c r="A64">
        <v>251000</v>
      </c>
      <c r="B64" t="s">
        <v>156</v>
      </c>
      <c r="C64" t="s">
        <v>128</v>
      </c>
      <c r="D64" s="87" t="str">
        <f t="shared" si="1"/>
        <v>25</v>
      </c>
      <c r="E64" s="92"/>
      <c r="F64" s="93">
        <f>(+IFERROR(VLOOKUP($A64,'[152]BG (2)'!$B$9:$J$570,4,FALSE),0))*1</f>
        <v>283078449</v>
      </c>
      <c r="G64" s="73">
        <f>(+IFERROR(VLOOKUP($A64,'[152]BG (2)'!$B$9:$J$570,5,FALSE),0))*-1</f>
        <v>0</v>
      </c>
      <c r="H64" s="93">
        <f>(+IFERROR(VLOOKUP($A64,'[152]BG (2)'!$B$9:$J$570,6,FALSE),0))*1</f>
        <v>291551321</v>
      </c>
      <c r="I64" s="73">
        <f>(+IFERROR(VLOOKUP($A64,'[152]BG (2)'!$B$9:$J$570,7,FALSE),0))*-1</f>
        <v>-424703005</v>
      </c>
      <c r="J64" s="107">
        <f>(+IFERROR(VLOOKUP($A64,'[152]BG (2)'!$B$9:$J$570,8,FALSE),0))*1</f>
        <v>149926765</v>
      </c>
      <c r="K64" s="73">
        <f>(+IFERROR(VLOOKUP($A64,'[152]BG (2)'!$B$9:$J$570,9,FALSE),0))*-1</f>
        <v>0</v>
      </c>
      <c r="P64" s="90">
        <f t="shared" si="2"/>
        <v>149926765</v>
      </c>
      <c r="S64" s="90"/>
      <c r="T64" s="102">
        <f t="shared" si="4"/>
        <v>149926765</v>
      </c>
      <c r="U64" s="95"/>
      <c r="V64" s="72"/>
      <c r="W64" s="75" t="e">
        <f>+A64-#REF!</f>
        <v>#REF!</v>
      </c>
      <c r="X64" s="1270"/>
      <c r="Y64" s="91"/>
      <c r="Z64" s="91"/>
      <c r="AA64" s="91"/>
    </row>
    <row r="65" spans="1:27" ht="14.4" customHeight="1" x14ac:dyDescent="0.3">
      <c r="A65">
        <v>252000</v>
      </c>
      <c r="B65" t="s">
        <v>156</v>
      </c>
      <c r="C65" t="s">
        <v>1081</v>
      </c>
      <c r="D65" s="87" t="str">
        <f t="shared" si="1"/>
        <v>25</v>
      </c>
      <c r="E65" s="92"/>
      <c r="F65" s="103">
        <f>(+IFERROR(VLOOKUP($A65,'[152]BG (2)'!$B$9:$J$570,4,FALSE),0))*1</f>
        <v>479890198</v>
      </c>
      <c r="G65" s="73">
        <f>(+IFERROR(VLOOKUP($A65,'[152]BG (2)'!$B$9:$J$570,5,FALSE),0))*-1</f>
        <v>0</v>
      </c>
      <c r="H65" s="93">
        <f>(+IFERROR(VLOOKUP($A65,'[152]BG (2)'!$B$9:$J$570,6,FALSE),0))*1</f>
        <v>587469013</v>
      </c>
      <c r="I65" s="73">
        <f>(+IFERROR(VLOOKUP($A65,'[152]BG (2)'!$B$9:$J$570,7,FALSE),0))*-1</f>
        <v>-742557183</v>
      </c>
      <c r="J65" s="94">
        <f>(+IFERROR(VLOOKUP($A65,'[152]BG (2)'!$B$9:$J$570,8,FALSE),0))*1</f>
        <v>324802028</v>
      </c>
      <c r="K65" s="73">
        <f>(+IFERROR(VLOOKUP($A65,'[152]BG (2)'!$B$9:$J$570,9,FALSE),0))*-1</f>
        <v>0</v>
      </c>
      <c r="P65" s="90">
        <f t="shared" si="2"/>
        <v>324802028</v>
      </c>
      <c r="S65" s="90"/>
      <c r="T65" s="102">
        <f t="shared" si="4"/>
        <v>324802028</v>
      </c>
      <c r="U65" s="95"/>
      <c r="V65" s="72"/>
      <c r="W65" s="75" t="e">
        <f>+A65-#REF!</f>
        <v>#REF!</v>
      </c>
      <c r="X65" s="1270"/>
      <c r="Y65" s="91"/>
      <c r="Z65" s="91"/>
      <c r="AA65" s="91"/>
    </row>
    <row r="66" spans="1:27" ht="14.4" customHeight="1" x14ac:dyDescent="0.3">
      <c r="A66">
        <v>261000</v>
      </c>
      <c r="B66" s="113" t="s">
        <v>158</v>
      </c>
      <c r="C66" t="s">
        <v>159</v>
      </c>
      <c r="D66" s="87" t="str">
        <f t="shared" si="1"/>
        <v>26</v>
      </c>
      <c r="E66" s="92"/>
      <c r="F66" s="103">
        <f>(+IFERROR(VLOOKUP($A66,'[152]BG (2)'!$B$9:$J$570,4,FALSE),0))*1</f>
        <v>0</v>
      </c>
      <c r="G66" s="73">
        <f>(+IFERROR(VLOOKUP($A66,'[152]BG (2)'!$B$9:$J$570,5,FALSE),0))*-1</f>
        <v>0</v>
      </c>
      <c r="H66" s="93">
        <f>(+IFERROR(VLOOKUP($A66,'[152]BG (2)'!$B$9:$J$570,6,FALSE),0))*1</f>
        <v>0</v>
      </c>
      <c r="I66" s="73">
        <f>(+IFERROR(VLOOKUP($A66,'[152]BG (2)'!$B$9:$J$570,7,FALSE),0))*-1</f>
        <v>0</v>
      </c>
      <c r="J66" s="94">
        <f>(+IFERROR(VLOOKUP($A66,'[152]BG (2)'!$B$9:$J$570,8,FALSE),0))*1</f>
        <v>0</v>
      </c>
      <c r="K66" s="73">
        <f>(+IFERROR(VLOOKUP($A66,'[152]BG (2)'!$B$9:$J$570,9,FALSE),0))*-1</f>
        <v>0</v>
      </c>
      <c r="P66" s="90">
        <f t="shared" si="2"/>
        <v>0</v>
      </c>
      <c r="S66" s="90"/>
      <c r="T66" s="102"/>
      <c r="U66" s="95"/>
      <c r="V66" s="72"/>
      <c r="W66" s="75" t="e">
        <f>+A66-#REF!</f>
        <v>#REF!</v>
      </c>
      <c r="X66" s="1270"/>
      <c r="Y66" s="91"/>
      <c r="Z66" s="91"/>
      <c r="AA66" s="91"/>
    </row>
    <row r="67" spans="1:27" ht="14.4" customHeight="1" x14ac:dyDescent="0.3">
      <c r="A67">
        <v>275100</v>
      </c>
      <c r="B67" t="s">
        <v>160</v>
      </c>
      <c r="C67" t="s">
        <v>161</v>
      </c>
      <c r="D67" s="87" t="str">
        <f t="shared" si="1"/>
        <v>27</v>
      </c>
      <c r="E67" s="92"/>
      <c r="F67" s="93">
        <f>(+IFERROR(VLOOKUP($A67,'[152]BG (2)'!$B$9:$J$570,4,FALSE),0))*1</f>
        <v>393913540</v>
      </c>
      <c r="G67" s="73">
        <f>(+IFERROR(VLOOKUP($A67,'[152]BG (2)'!$B$9:$J$570,5,FALSE),0))*-1</f>
        <v>0</v>
      </c>
      <c r="H67" s="93">
        <f>(+IFERROR(VLOOKUP($A67,'[152]BG (2)'!$B$9:$J$570,6,FALSE),0))*1</f>
        <v>24230000</v>
      </c>
      <c r="I67" s="73">
        <f>(+IFERROR(VLOOKUP($A67,'[152]BG (2)'!$B$9:$J$570,7,FALSE),0))*-1</f>
        <v>0</v>
      </c>
      <c r="J67" s="94">
        <f>(+IFERROR(VLOOKUP($A67,'[152]BG (2)'!$B$9:$J$570,8,FALSE),0))*1</f>
        <v>418143540</v>
      </c>
      <c r="K67" s="73">
        <f>(+IFERROR(VLOOKUP($A67,'[152]BG (2)'!$B$9:$J$570,9,FALSE),0))*-1</f>
        <v>0</v>
      </c>
      <c r="P67" s="90">
        <f t="shared" si="2"/>
        <v>418143540</v>
      </c>
      <c r="S67" s="90"/>
      <c r="T67" s="102">
        <f t="shared" ref="T67:T75" si="5">K67+J67</f>
        <v>418143540</v>
      </c>
      <c r="U67" s="95"/>
      <c r="V67" s="72"/>
      <c r="W67" s="75" t="e">
        <f>+A67-#REF!</f>
        <v>#REF!</v>
      </c>
      <c r="X67" s="1270"/>
      <c r="Y67" s="91"/>
      <c r="Z67" s="91"/>
      <c r="AA67" s="91"/>
    </row>
    <row r="68" spans="1:27" ht="14.4" customHeight="1" x14ac:dyDescent="0.3">
      <c r="A68">
        <v>275200</v>
      </c>
      <c r="B68" t="s">
        <v>162</v>
      </c>
      <c r="C68" t="s">
        <v>161</v>
      </c>
      <c r="D68" s="87" t="str">
        <f t="shared" si="1"/>
        <v>27</v>
      </c>
      <c r="E68" s="92"/>
      <c r="F68" s="93">
        <f>(+IFERROR(VLOOKUP($A68,'[152]BG (2)'!$B$9:$J$570,4,FALSE),0))*1</f>
        <v>101071023</v>
      </c>
      <c r="G68" s="73">
        <f>(+IFERROR(VLOOKUP($A68,'[152]BG (2)'!$B$9:$J$570,5,FALSE),0))*-1</f>
        <v>0</v>
      </c>
      <c r="H68" s="93">
        <f>(+IFERROR(VLOOKUP($A68,'[152]BG (2)'!$B$9:$J$570,6,FALSE),0))*1</f>
        <v>13569900</v>
      </c>
      <c r="I68" s="73">
        <f>(+IFERROR(VLOOKUP($A68,'[152]BG (2)'!$B$9:$J$570,7,FALSE),0))*-1</f>
        <v>0</v>
      </c>
      <c r="J68" s="94">
        <f>(+IFERROR(VLOOKUP($A68,'[152]BG (2)'!$B$9:$J$570,8,FALSE),0))*1</f>
        <v>114640923</v>
      </c>
      <c r="K68" s="73">
        <f>(+IFERROR(VLOOKUP($A68,'[152]BG (2)'!$B$9:$J$570,9,FALSE),0))*-1</f>
        <v>0</v>
      </c>
      <c r="P68" s="90">
        <f t="shared" si="2"/>
        <v>114640923</v>
      </c>
      <c r="S68" s="90"/>
      <c r="T68" s="102">
        <f t="shared" si="5"/>
        <v>114640923</v>
      </c>
      <c r="U68" s="95"/>
      <c r="V68" s="72"/>
      <c r="W68" s="75" t="e">
        <f>+A68-#REF!</f>
        <v>#REF!</v>
      </c>
      <c r="X68" s="1270"/>
      <c r="Y68" s="91"/>
      <c r="Z68" s="91"/>
      <c r="AA68" s="91"/>
    </row>
    <row r="69" spans="1:27" ht="14.4" customHeight="1" x14ac:dyDescent="0.3">
      <c r="A69">
        <v>275300</v>
      </c>
      <c r="B69" t="s">
        <v>163</v>
      </c>
      <c r="C69" t="s">
        <v>161</v>
      </c>
      <c r="D69" s="87" t="str">
        <f t="shared" ref="D69:D132" si="6">+LEFT(A69,2)</f>
        <v>27</v>
      </c>
      <c r="E69" s="92"/>
      <c r="F69" s="93">
        <f>(+IFERROR(VLOOKUP($A69,'[152]BG (2)'!$B$9:$J$570,4,FALSE),0))*1</f>
        <v>287800</v>
      </c>
      <c r="G69" s="73">
        <f>(+IFERROR(VLOOKUP($A69,'[152]BG (2)'!$B$9:$J$570,5,FALSE),0))*-1</f>
        <v>0</v>
      </c>
      <c r="H69" s="93">
        <f>(+IFERROR(VLOOKUP($A69,'[152]BG (2)'!$B$9:$J$570,6,FALSE),0))*1</f>
        <v>0</v>
      </c>
      <c r="I69" s="73">
        <f>(+IFERROR(VLOOKUP($A69,'[152]BG (2)'!$B$9:$J$570,7,FALSE),0))*-1</f>
        <v>0</v>
      </c>
      <c r="J69" s="94">
        <f>(+IFERROR(VLOOKUP($A69,'[152]BG (2)'!$B$9:$J$570,8,FALSE),0))*1</f>
        <v>287800</v>
      </c>
      <c r="K69" s="73">
        <f>(+IFERROR(VLOOKUP($A69,'[152]BG (2)'!$B$9:$J$570,9,FALSE),0))*-1</f>
        <v>0</v>
      </c>
      <c r="P69" s="90">
        <f t="shared" ref="P69:P132" si="7">J69+K69</f>
        <v>287800</v>
      </c>
      <c r="S69" s="90"/>
      <c r="T69" s="102">
        <f t="shared" si="5"/>
        <v>287800</v>
      </c>
      <c r="U69" s="95"/>
      <c r="V69" s="72"/>
      <c r="W69" s="75" t="e">
        <f>+A69-#REF!</f>
        <v>#REF!</v>
      </c>
      <c r="X69" s="1270"/>
      <c r="Y69" s="91"/>
      <c r="Z69" s="91"/>
      <c r="AA69" s="91"/>
    </row>
    <row r="70" spans="1:27" ht="14.4" customHeight="1" x14ac:dyDescent="0.3">
      <c r="A70">
        <v>275500</v>
      </c>
      <c r="B70" t="s">
        <v>164</v>
      </c>
      <c r="C70" t="s">
        <v>161</v>
      </c>
      <c r="D70" s="87" t="str">
        <f t="shared" si="6"/>
        <v>27</v>
      </c>
      <c r="E70" s="92"/>
      <c r="F70" s="93">
        <f>(+IFERROR(VLOOKUP($A70,'[152]BG (2)'!$B$9:$J$570,4,FALSE),0))*1</f>
        <v>105600</v>
      </c>
      <c r="G70" s="73">
        <f>(+IFERROR(VLOOKUP($A70,'[152]BG (2)'!$B$9:$J$570,5,FALSE),0))*-1</f>
        <v>0</v>
      </c>
      <c r="H70" s="93">
        <f>(+IFERROR(VLOOKUP($A70,'[152]BG (2)'!$B$9:$J$570,6,FALSE),0))*1</f>
        <v>0</v>
      </c>
      <c r="I70" s="73">
        <f>(+IFERROR(VLOOKUP($A70,'[152]BG (2)'!$B$9:$J$570,7,FALSE),0))*-1</f>
        <v>0</v>
      </c>
      <c r="J70" s="94">
        <f>(+IFERROR(VLOOKUP($A70,'[152]BG (2)'!$B$9:$J$570,8,FALSE),0))*1</f>
        <v>105600</v>
      </c>
      <c r="K70" s="73">
        <f>(+IFERROR(VLOOKUP($A70,'[152]BG (2)'!$B$9:$J$570,9,FALSE),0))*-1</f>
        <v>0</v>
      </c>
      <c r="P70" s="90">
        <f t="shared" si="7"/>
        <v>105600</v>
      </c>
      <c r="S70" s="90"/>
      <c r="T70" s="102">
        <f t="shared" si="5"/>
        <v>105600</v>
      </c>
      <c r="U70" s="95"/>
      <c r="V70" s="72"/>
      <c r="W70" s="75" t="e">
        <f>+A70-#REF!</f>
        <v>#REF!</v>
      </c>
      <c r="X70" s="1270"/>
      <c r="Y70" s="91"/>
      <c r="Z70" s="91"/>
      <c r="AA70" s="91"/>
    </row>
    <row r="71" spans="1:27" ht="14.4" customHeight="1" x14ac:dyDescent="0.3">
      <c r="A71">
        <v>275800</v>
      </c>
      <c r="B71" t="s">
        <v>165</v>
      </c>
      <c r="C71" t="s">
        <v>166</v>
      </c>
      <c r="D71" s="87" t="str">
        <f t="shared" si="6"/>
        <v>27</v>
      </c>
      <c r="E71" s="92"/>
      <c r="F71" s="93">
        <f>(+IFERROR(VLOOKUP($A71,'[152]BG (2)'!$B$9:$J$570,4,FALSE),0))*1</f>
        <v>179898767</v>
      </c>
      <c r="G71" s="73">
        <f>(+IFERROR(VLOOKUP($A71,'[152]BG (2)'!$B$9:$J$570,5,FALSE),0))*-1</f>
        <v>0</v>
      </c>
      <c r="H71" s="93">
        <f>(+IFERROR(VLOOKUP($A71,'[152]BG (2)'!$B$9:$J$570,6,FALSE),0))*1</f>
        <v>19000000</v>
      </c>
      <c r="I71" s="73">
        <f>(+IFERROR(VLOOKUP($A71,'[152]BG (2)'!$B$9:$J$570,7,FALSE),0))*-1</f>
        <v>0</v>
      </c>
      <c r="J71" s="94">
        <f>(+IFERROR(VLOOKUP($A71,'[152]BG (2)'!$B$9:$J$570,8,FALSE),0))*1</f>
        <v>198898767</v>
      </c>
      <c r="K71" s="73">
        <f>(+IFERROR(VLOOKUP($A71,'[152]BG (2)'!$B$9:$J$570,9,FALSE),0))*-1</f>
        <v>0</v>
      </c>
      <c r="P71" s="90">
        <f t="shared" si="7"/>
        <v>198898767</v>
      </c>
      <c r="S71" s="90"/>
      <c r="T71" s="102">
        <f t="shared" si="5"/>
        <v>198898767</v>
      </c>
      <c r="U71" s="95"/>
      <c r="V71" s="72"/>
      <c r="W71" s="75" t="e">
        <f>+A71-#REF!</f>
        <v>#REF!</v>
      </c>
      <c r="X71" s="1270"/>
      <c r="Y71" s="91"/>
      <c r="Z71" s="91"/>
      <c r="AA71" s="91"/>
    </row>
    <row r="72" spans="1:27" ht="14.4" customHeight="1" x14ac:dyDescent="0.3">
      <c r="A72">
        <v>281210</v>
      </c>
      <c r="B72" t="s">
        <v>167</v>
      </c>
      <c r="C72" t="s">
        <v>168</v>
      </c>
      <c r="D72" s="87" t="str">
        <f t="shared" si="6"/>
        <v>28</v>
      </c>
      <c r="E72" s="92"/>
      <c r="F72" s="93">
        <f>(+IFERROR(VLOOKUP($A72,'[152]BG (2)'!$B$9:$J$570,4,FALSE),0))*1</f>
        <v>0</v>
      </c>
      <c r="G72" s="1428">
        <f>(+IFERROR(VLOOKUP($A72,'[152]BG (2)'!$B$9:$J$570,5,FALSE),0))*-1</f>
        <v>-53968689892</v>
      </c>
      <c r="H72" s="93">
        <f>(+IFERROR(VLOOKUP($A72,'[152]BG (2)'!$B$9:$J$570,6,FALSE),0))*1</f>
        <v>0</v>
      </c>
      <c r="I72" s="73">
        <f>(+IFERROR(VLOOKUP($A72,'[152]BG (2)'!$B$9:$J$570,7,FALSE),0))*-1</f>
        <v>-2555415583</v>
      </c>
      <c r="J72" s="94">
        <f>(+IFERROR(VLOOKUP($A72,'[152]BG (2)'!$B$9:$J$570,8,FALSE),0))*1</f>
        <v>0</v>
      </c>
      <c r="K72" s="73">
        <f>(+IFERROR(VLOOKUP($A72,'[152]BG (2)'!$B$9:$J$570,9,FALSE),0))*-1</f>
        <v>-56524105475</v>
      </c>
      <c r="P72" s="90">
        <f t="shared" si="7"/>
        <v>-56524105475</v>
      </c>
      <c r="S72" s="90"/>
      <c r="T72" s="102">
        <f t="shared" si="5"/>
        <v>-56524105475</v>
      </c>
      <c r="U72" s="95"/>
      <c r="V72" s="72"/>
      <c r="W72" s="75" t="e">
        <f>+A72-#REF!</f>
        <v>#REF!</v>
      </c>
      <c r="X72" s="1270"/>
      <c r="Y72" s="91"/>
      <c r="Z72" s="91"/>
      <c r="AA72" s="91"/>
    </row>
    <row r="73" spans="1:27" ht="14.4" customHeight="1" x14ac:dyDescent="0.3">
      <c r="A73">
        <v>281220</v>
      </c>
      <c r="B73" t="s">
        <v>169</v>
      </c>
      <c r="C73" t="s">
        <v>170</v>
      </c>
      <c r="D73" s="87" t="str">
        <f t="shared" si="6"/>
        <v>28</v>
      </c>
      <c r="E73" s="92"/>
      <c r="F73" s="93">
        <f>(+IFERROR(VLOOKUP($A73,'[152]BG (2)'!$B$9:$J$570,4,FALSE),0))*1</f>
        <v>0</v>
      </c>
      <c r="G73" s="1428">
        <f>(+IFERROR(VLOOKUP($A73,'[152]BG (2)'!$B$9:$J$570,5,FALSE),0))*-1</f>
        <v>-5372687333</v>
      </c>
      <c r="H73" s="93">
        <f>(+IFERROR(VLOOKUP($A73,'[152]BG (2)'!$B$9:$J$570,6,FALSE),0))*1</f>
        <v>0</v>
      </c>
      <c r="I73" s="73">
        <f>(+IFERROR(VLOOKUP($A73,'[152]BG (2)'!$B$9:$J$570,7,FALSE),0))*-1</f>
        <v>-3558750994</v>
      </c>
      <c r="J73" s="94">
        <f>(+IFERROR(VLOOKUP($A73,'[152]BG (2)'!$B$9:$J$570,8,FALSE),0))*1</f>
        <v>0</v>
      </c>
      <c r="K73" s="73">
        <f>(+IFERROR(VLOOKUP($A73,'[152]BG (2)'!$B$9:$J$570,9,FALSE),0))*-1</f>
        <v>-8931438327</v>
      </c>
      <c r="P73" s="90">
        <f t="shared" si="7"/>
        <v>-8931438327</v>
      </c>
      <c r="S73" s="90"/>
      <c r="T73" s="102">
        <f t="shared" si="5"/>
        <v>-8931438327</v>
      </c>
      <c r="U73" s="95"/>
      <c r="V73" s="72"/>
      <c r="W73" s="75" t="e">
        <f>+A73-#REF!</f>
        <v>#REF!</v>
      </c>
      <c r="X73" s="1270"/>
      <c r="Y73" s="91"/>
      <c r="Z73" s="91"/>
      <c r="AA73" s="91"/>
    </row>
    <row r="74" spans="1:27" ht="14.4" customHeight="1" x14ac:dyDescent="0.3">
      <c r="A74">
        <v>281310</v>
      </c>
      <c r="B74" t="s">
        <v>171</v>
      </c>
      <c r="C74" t="s">
        <v>172</v>
      </c>
      <c r="D74" s="87" t="str">
        <f t="shared" si="6"/>
        <v>28</v>
      </c>
      <c r="E74" s="92"/>
      <c r="F74" s="93">
        <f>(+IFERROR(VLOOKUP($A74,'[152]BG (2)'!$B$9:$J$570,4,FALSE),0))*1</f>
        <v>0</v>
      </c>
      <c r="G74" s="1428">
        <f>(+IFERROR(VLOOKUP($A74,'[152]BG (2)'!$B$9:$J$570,5,FALSE),0))*-1</f>
        <v>-38324968221</v>
      </c>
      <c r="H74" s="93">
        <f>(+IFERROR(VLOOKUP($A74,'[152]BG (2)'!$B$9:$J$570,6,FALSE),0))*1</f>
        <v>0</v>
      </c>
      <c r="I74" s="73">
        <f>(+IFERROR(VLOOKUP($A74,'[152]BG (2)'!$B$9:$J$570,7,FALSE),0))*-1</f>
        <v>-1170961072</v>
      </c>
      <c r="J74" s="94">
        <f>(+IFERROR(VLOOKUP($A74,'[152]BG (2)'!$B$9:$J$570,8,FALSE),0))*1</f>
        <v>0</v>
      </c>
      <c r="K74" s="73">
        <f>(+IFERROR(VLOOKUP($A74,'[152]BG (2)'!$B$9:$J$570,9,FALSE),0))*-1</f>
        <v>-39495929293</v>
      </c>
      <c r="P74" s="90">
        <f t="shared" si="7"/>
        <v>-39495929293</v>
      </c>
      <c r="S74" s="90"/>
      <c r="T74" s="102">
        <f t="shared" si="5"/>
        <v>-39495929293</v>
      </c>
      <c r="U74" s="95"/>
      <c r="V74" s="72"/>
      <c r="W74" s="75" t="e">
        <f>+A74-#REF!</f>
        <v>#REF!</v>
      </c>
      <c r="X74" s="1270"/>
      <c r="Y74" s="91"/>
      <c r="Z74" s="91"/>
      <c r="AA74" s="91"/>
    </row>
    <row r="75" spans="1:27" ht="14.4" customHeight="1" x14ac:dyDescent="0.3">
      <c r="A75">
        <v>281320</v>
      </c>
      <c r="B75" t="s">
        <v>173</v>
      </c>
      <c r="C75" t="s">
        <v>172</v>
      </c>
      <c r="D75" s="87" t="str">
        <f t="shared" si="6"/>
        <v>28</v>
      </c>
      <c r="E75" s="92"/>
      <c r="F75" s="93">
        <f>(+IFERROR(VLOOKUP($A75,'[152]BG (2)'!$B$9:$J$570,4,FALSE),0))*1</f>
        <v>0</v>
      </c>
      <c r="G75" s="1428">
        <f>(+IFERROR(VLOOKUP($A75,'[152]BG (2)'!$B$9:$J$570,5,FALSE),0))*-1</f>
        <v>-2428207691</v>
      </c>
      <c r="H75" s="93">
        <f>(+IFERROR(VLOOKUP($A75,'[152]BG (2)'!$B$9:$J$570,6,FALSE),0))*1</f>
        <v>0</v>
      </c>
      <c r="I75" s="73">
        <f>(+IFERROR(VLOOKUP($A75,'[152]BG (2)'!$B$9:$J$570,7,FALSE),0))*-1</f>
        <v>-33979024</v>
      </c>
      <c r="J75" s="94">
        <f>(+IFERROR(VLOOKUP($A75,'[152]BG (2)'!$B$9:$J$570,8,FALSE),0))*1</f>
        <v>0</v>
      </c>
      <c r="K75" s="73">
        <f>(+IFERROR(VLOOKUP($A75,'[152]BG (2)'!$B$9:$J$570,9,FALSE),0))*-1</f>
        <v>-2462186715</v>
      </c>
      <c r="P75" s="90">
        <f t="shared" si="7"/>
        <v>-2462186715</v>
      </c>
      <c r="S75" s="90"/>
      <c r="T75" s="102">
        <f t="shared" si="5"/>
        <v>-2462186715</v>
      </c>
      <c r="U75" s="95"/>
      <c r="V75" s="72"/>
      <c r="W75" s="75" t="e">
        <f>+A75-#REF!</f>
        <v>#REF!</v>
      </c>
      <c r="X75" s="1270"/>
      <c r="Y75" s="91"/>
      <c r="Z75" s="91"/>
      <c r="AA75" s="91"/>
    </row>
    <row r="76" spans="1:27" ht="18.600000000000001" customHeight="1" x14ac:dyDescent="0.35">
      <c r="A76" s="1296">
        <v>283110</v>
      </c>
      <c r="B76" s="1296" t="s">
        <v>2268</v>
      </c>
      <c r="C76" s="777" t="s">
        <v>138</v>
      </c>
      <c r="D76" s="87" t="str">
        <f t="shared" si="6"/>
        <v>28</v>
      </c>
      <c r="E76" s="92"/>
      <c r="F76" s="93">
        <f>(+IFERROR(VLOOKUP($A76,'[152]BG (2)'!$B$9:$J$570,4,FALSE),0))*1</f>
        <v>0</v>
      </c>
      <c r="G76" s="1428">
        <f>(+IFERROR(VLOOKUP($A76,'[152]BG (2)'!$B$9:$J$570,5,FALSE),0))*-1</f>
        <v>-30653352</v>
      </c>
      <c r="H76" s="93">
        <f>(+IFERROR(VLOOKUP($A76,'[152]BG (2)'!$B$9:$J$570,6,FALSE),0))*1</f>
        <v>0</v>
      </c>
      <c r="I76" s="73">
        <f>(+IFERROR(VLOOKUP($A76,'[152]BG (2)'!$B$9:$J$570,7,FALSE),0))*-1</f>
        <v>-22697003</v>
      </c>
      <c r="J76" s="94">
        <f>(+IFERROR(VLOOKUP($A76,'[152]BG (2)'!$B$9:$J$570,8,FALSE),0))*1</f>
        <v>0</v>
      </c>
      <c r="K76" s="73">
        <f>(+IFERROR(VLOOKUP($A76,'[152]BG (2)'!$B$9:$J$570,9,FALSE),0))*-1</f>
        <v>-53350355</v>
      </c>
      <c r="P76" s="90">
        <f t="shared" si="7"/>
        <v>-53350355</v>
      </c>
      <c r="S76" s="90"/>
      <c r="T76" s="102"/>
      <c r="U76" s="95"/>
      <c r="V76" s="72"/>
      <c r="W76" s="75"/>
      <c r="X76" s="1270"/>
      <c r="Y76" s="91"/>
      <c r="Z76" s="91"/>
      <c r="AA76" s="91"/>
    </row>
    <row r="77" spans="1:27" ht="14.4" customHeight="1" x14ac:dyDescent="0.3">
      <c r="A77">
        <v>283411</v>
      </c>
      <c r="B77" t="s">
        <v>174</v>
      </c>
      <c r="C77" s="105" t="s">
        <v>175</v>
      </c>
      <c r="D77" s="87" t="str">
        <f t="shared" si="6"/>
        <v>28</v>
      </c>
      <c r="E77" s="92"/>
      <c r="F77" s="93">
        <f>(+IFERROR(VLOOKUP($A77,'[152]BG (2)'!$B$9:$J$570,4,FALSE),0))*1</f>
        <v>0</v>
      </c>
      <c r="G77" s="1428">
        <f>(+IFERROR(VLOOKUP($A77,'[152]BG (2)'!$B$9:$J$570,5,FALSE),0))*-1</f>
        <v>-14633866482</v>
      </c>
      <c r="H77" s="108">
        <f>(+IFERROR(VLOOKUP($A77,'[152]BG (2)'!$B$9:$J$570,6,FALSE),0))*1</f>
        <v>0</v>
      </c>
      <c r="I77" s="73">
        <f>(+IFERROR(VLOOKUP($A77,'[152]BG (2)'!$B$9:$J$570,7,FALSE),0))*-1</f>
        <v>-1625319191</v>
      </c>
      <c r="J77" s="94">
        <f>(+IFERROR(VLOOKUP($A77,'[152]BG (2)'!$B$9:$J$570,8,FALSE),0))*1</f>
        <v>0</v>
      </c>
      <c r="K77" s="73">
        <f>(+IFERROR(VLOOKUP($A77,'[152]BG (2)'!$B$9:$J$570,9,FALSE),0))*-1</f>
        <v>-16259185673</v>
      </c>
      <c r="P77" s="90">
        <f t="shared" si="7"/>
        <v>-16259185673</v>
      </c>
      <c r="S77" s="90"/>
      <c r="T77" s="102">
        <f t="shared" ref="T77:T108" si="8">K77+J77</f>
        <v>-16259185673</v>
      </c>
      <c r="U77" s="95"/>
      <c r="V77" s="72"/>
      <c r="W77" s="75" t="e">
        <f>+A77-#REF!</f>
        <v>#REF!</v>
      </c>
      <c r="X77" s="1270"/>
      <c r="Y77" s="91"/>
      <c r="Z77" s="91"/>
      <c r="AA77" s="91"/>
    </row>
    <row r="78" spans="1:27" ht="14.4" customHeight="1" x14ac:dyDescent="0.3">
      <c r="A78">
        <v>283412</v>
      </c>
      <c r="B78" t="s">
        <v>176</v>
      </c>
      <c r="C78" s="105" t="s">
        <v>175</v>
      </c>
      <c r="D78" s="87" t="str">
        <f t="shared" si="6"/>
        <v>28</v>
      </c>
      <c r="E78" s="92"/>
      <c r="F78" s="93">
        <f>(+IFERROR(VLOOKUP($A78,'[152]BG (2)'!$B$9:$J$570,4,FALSE),0))*1</f>
        <v>0</v>
      </c>
      <c r="G78" s="1428">
        <f>(+IFERROR(VLOOKUP($A78,'[152]BG (2)'!$B$9:$J$570,5,FALSE),0))*-1</f>
        <v>-7089536600</v>
      </c>
      <c r="H78" s="108">
        <f>(+IFERROR(VLOOKUP($A78,'[152]BG (2)'!$B$9:$J$570,6,FALSE),0))*1</f>
        <v>0</v>
      </c>
      <c r="I78" s="73">
        <f>(+IFERROR(VLOOKUP($A78,'[152]BG (2)'!$B$9:$J$570,7,FALSE),0))*-1</f>
        <v>-864305616</v>
      </c>
      <c r="J78" s="114">
        <f>(+IFERROR(VLOOKUP($A78,'[152]BG (2)'!$B$9:$J$570,8,FALSE),0))*1</f>
        <v>0</v>
      </c>
      <c r="K78" s="73">
        <f>(+IFERROR(VLOOKUP($A78,'[152]BG (2)'!$B$9:$J$570,9,FALSE),0))*-1</f>
        <v>-7953842216</v>
      </c>
      <c r="P78" s="90">
        <f t="shared" si="7"/>
        <v>-7953842216</v>
      </c>
      <c r="S78" s="90"/>
      <c r="T78" s="102">
        <f t="shared" si="8"/>
        <v>-7953842216</v>
      </c>
      <c r="U78" s="95"/>
      <c r="V78" s="72"/>
      <c r="W78" s="75" t="e">
        <f>+A78-#REF!</f>
        <v>#REF!</v>
      </c>
      <c r="X78" s="1270"/>
      <c r="Y78" s="91"/>
      <c r="Z78" s="91"/>
      <c r="AA78" s="91"/>
    </row>
    <row r="79" spans="1:27" ht="14.4" customHeight="1" x14ac:dyDescent="0.3">
      <c r="A79">
        <v>283413</v>
      </c>
      <c r="B79" t="s">
        <v>177</v>
      </c>
      <c r="C79" s="105" t="s">
        <v>175</v>
      </c>
      <c r="D79" s="87" t="str">
        <f t="shared" si="6"/>
        <v>28</v>
      </c>
      <c r="E79" s="92"/>
      <c r="F79" s="93">
        <f>(+IFERROR(VLOOKUP($A79,'[152]BG (2)'!$B$9:$J$570,4,FALSE),0))*1</f>
        <v>0</v>
      </c>
      <c r="G79" s="1428">
        <f>(+IFERROR(VLOOKUP($A79,'[152]BG (2)'!$B$9:$J$570,5,FALSE),0))*-1</f>
        <v>-15200284264</v>
      </c>
      <c r="H79" s="108">
        <f>(+IFERROR(VLOOKUP($A79,'[152]BG (2)'!$B$9:$J$570,6,FALSE),0))*1</f>
        <v>0</v>
      </c>
      <c r="I79" s="73">
        <f>(+IFERROR(VLOOKUP($A79,'[152]BG (2)'!$B$9:$J$570,7,FALSE),0))*-1</f>
        <v>-1045838779</v>
      </c>
      <c r="J79" s="114">
        <f>(+IFERROR(VLOOKUP($A79,'[152]BG (2)'!$B$9:$J$570,8,FALSE),0))*1</f>
        <v>0</v>
      </c>
      <c r="K79" s="73">
        <f>(+IFERROR(VLOOKUP($A79,'[152]BG (2)'!$B$9:$J$570,9,FALSE),0))*-1</f>
        <v>-16246123043</v>
      </c>
      <c r="P79" s="90">
        <f t="shared" si="7"/>
        <v>-16246123043</v>
      </c>
      <c r="S79" s="90"/>
      <c r="T79" s="102">
        <f t="shared" si="8"/>
        <v>-16246123043</v>
      </c>
      <c r="U79" s="95"/>
      <c r="V79" s="72"/>
      <c r="W79" s="75" t="e">
        <f>+A79-#REF!</f>
        <v>#REF!</v>
      </c>
      <c r="X79" s="1270"/>
      <c r="Y79" s="91"/>
      <c r="Z79" s="91"/>
      <c r="AA79" s="91"/>
    </row>
    <row r="80" spans="1:27" ht="14.4" customHeight="1" x14ac:dyDescent="0.3">
      <c r="A80">
        <v>283511</v>
      </c>
      <c r="B80" t="s">
        <v>178</v>
      </c>
      <c r="C80" t="s">
        <v>179</v>
      </c>
      <c r="D80" s="87" t="str">
        <f t="shared" si="6"/>
        <v>28</v>
      </c>
      <c r="E80" s="92"/>
      <c r="F80" s="93">
        <f>(+IFERROR(VLOOKUP($A80,'[152]BG (2)'!$B$9:$J$570,4,FALSE),0))*1</f>
        <v>0</v>
      </c>
      <c r="G80" s="1428">
        <f>(+IFERROR(VLOOKUP($A80,'[152]BG (2)'!$B$9:$J$570,5,FALSE),0))*-1</f>
        <v>-753952256</v>
      </c>
      <c r="H80" s="93">
        <f>(+IFERROR(VLOOKUP($A80,'[152]BG (2)'!$B$9:$J$570,6,FALSE),0))*1</f>
        <v>0</v>
      </c>
      <c r="I80" s="73">
        <f>(+IFERROR(VLOOKUP($A80,'[152]BG (2)'!$B$9:$J$570,7,FALSE),0))*-1</f>
        <v>-34373497</v>
      </c>
      <c r="J80" s="114">
        <f>(+IFERROR(VLOOKUP($A80,'[152]BG (2)'!$B$9:$J$570,8,FALSE),0))*1</f>
        <v>0</v>
      </c>
      <c r="K80" s="73">
        <f>(+IFERROR(VLOOKUP($A80,'[152]BG (2)'!$B$9:$J$570,9,FALSE),0))*-1</f>
        <v>-788325753</v>
      </c>
      <c r="P80" s="90">
        <f t="shared" si="7"/>
        <v>-788325753</v>
      </c>
      <c r="S80" s="90"/>
      <c r="T80" s="102">
        <f t="shared" si="8"/>
        <v>-788325753</v>
      </c>
      <c r="U80" s="95"/>
      <c r="V80" s="72"/>
      <c r="W80" s="75" t="e">
        <f>+A80-#REF!</f>
        <v>#REF!</v>
      </c>
      <c r="X80" s="1270"/>
      <c r="Y80" s="91"/>
      <c r="Z80" s="91"/>
      <c r="AA80" s="91"/>
    </row>
    <row r="81" spans="1:27" ht="14.4" customHeight="1" x14ac:dyDescent="0.3">
      <c r="A81">
        <v>283512</v>
      </c>
      <c r="B81" t="s">
        <v>180</v>
      </c>
      <c r="C81" t="s">
        <v>179</v>
      </c>
      <c r="D81" s="87" t="str">
        <f t="shared" si="6"/>
        <v>28</v>
      </c>
      <c r="E81" s="92"/>
      <c r="F81" s="93">
        <f>(+IFERROR(VLOOKUP($A81,'[152]BG (2)'!$B$9:$J$570,4,FALSE),0))*1</f>
        <v>0</v>
      </c>
      <c r="G81" s="1428">
        <f>(+IFERROR(VLOOKUP($A81,'[152]BG (2)'!$B$9:$J$570,5,FALSE),0))*-1</f>
        <v>-419004212</v>
      </c>
      <c r="H81" s="93">
        <f>(+IFERROR(VLOOKUP($A81,'[152]BG (2)'!$B$9:$J$570,6,FALSE),0))*1</f>
        <v>0</v>
      </c>
      <c r="I81" s="73">
        <f>(+IFERROR(VLOOKUP($A81,'[152]BG (2)'!$B$9:$J$570,7,FALSE),0))*-1</f>
        <v>-30484960</v>
      </c>
      <c r="J81" s="114">
        <f>(+IFERROR(VLOOKUP($A81,'[152]BG (2)'!$B$9:$J$570,8,FALSE),0))*1</f>
        <v>0</v>
      </c>
      <c r="K81" s="73">
        <f>(+IFERROR(VLOOKUP($A81,'[152]BG (2)'!$B$9:$J$570,9,FALSE),0))*-1</f>
        <v>-449489172</v>
      </c>
      <c r="P81" s="90">
        <f t="shared" si="7"/>
        <v>-449489172</v>
      </c>
      <c r="S81" s="90"/>
      <c r="T81" s="102">
        <f t="shared" si="8"/>
        <v>-449489172</v>
      </c>
      <c r="U81" s="95"/>
      <c r="V81" s="72"/>
      <c r="W81" s="75" t="e">
        <f>+A81-#REF!</f>
        <v>#REF!</v>
      </c>
      <c r="X81" s="1270"/>
      <c r="Y81" s="91"/>
      <c r="Z81" s="91"/>
      <c r="AA81" s="91"/>
    </row>
    <row r="82" spans="1:27" ht="14.4" customHeight="1" x14ac:dyDescent="0.3">
      <c r="A82">
        <v>283513</v>
      </c>
      <c r="B82" t="s">
        <v>181</v>
      </c>
      <c r="C82" t="s">
        <v>179</v>
      </c>
      <c r="D82" s="87" t="str">
        <f t="shared" si="6"/>
        <v>28</v>
      </c>
      <c r="E82" s="92"/>
      <c r="F82" s="93">
        <f>(+IFERROR(VLOOKUP($A82,'[152]BG (2)'!$B$9:$J$570,4,FALSE),0))*1</f>
        <v>0</v>
      </c>
      <c r="G82" s="1428">
        <f>(+IFERROR(VLOOKUP($A82,'[152]BG (2)'!$B$9:$J$570,5,FALSE),0))*-1</f>
        <v>-1016034</v>
      </c>
      <c r="H82" s="93">
        <f>(+IFERROR(VLOOKUP($A82,'[152]BG (2)'!$B$9:$J$570,6,FALSE),0))*1</f>
        <v>0</v>
      </c>
      <c r="I82" s="73">
        <f>(+IFERROR(VLOOKUP($A82,'[152]BG (2)'!$B$9:$J$570,7,FALSE),0))*-1</f>
        <v>-92956</v>
      </c>
      <c r="J82" s="94">
        <f>(+IFERROR(VLOOKUP($A82,'[152]BG (2)'!$B$9:$J$570,8,FALSE),0))*1</f>
        <v>0</v>
      </c>
      <c r="K82" s="73">
        <f>(+IFERROR(VLOOKUP($A82,'[152]BG (2)'!$B$9:$J$570,9,FALSE),0))*-1</f>
        <v>-1108990</v>
      </c>
      <c r="P82" s="90">
        <f t="shared" si="7"/>
        <v>-1108990</v>
      </c>
      <c r="S82" s="90"/>
      <c r="T82" s="102">
        <f t="shared" si="8"/>
        <v>-1108990</v>
      </c>
      <c r="U82" s="95"/>
      <c r="V82" s="72"/>
      <c r="W82" s="75" t="e">
        <f>+A82-#REF!</f>
        <v>#REF!</v>
      </c>
      <c r="X82" s="1270"/>
      <c r="Y82" s="91"/>
      <c r="Z82" s="91"/>
      <c r="AA82" s="91"/>
    </row>
    <row r="83" spans="1:27" ht="14.4" customHeight="1" x14ac:dyDescent="0.3">
      <c r="A83">
        <v>283580</v>
      </c>
      <c r="B83" t="s">
        <v>182</v>
      </c>
      <c r="C83" t="s">
        <v>179</v>
      </c>
      <c r="D83" s="87" t="str">
        <f t="shared" si="6"/>
        <v>28</v>
      </c>
      <c r="E83" s="92"/>
      <c r="F83" s="93">
        <f>(+IFERROR(VLOOKUP($A83,'[152]BG (2)'!$B$9:$J$570,4,FALSE),0))*1</f>
        <v>0</v>
      </c>
      <c r="G83" s="1428">
        <f>(+IFERROR(VLOOKUP($A83,'[152]BG (2)'!$B$9:$J$570,5,FALSE),0))*-1</f>
        <v>-37590227</v>
      </c>
      <c r="H83" s="93">
        <f>(+IFERROR(VLOOKUP($A83,'[152]BG (2)'!$B$9:$J$570,6,FALSE),0))*1</f>
        <v>0</v>
      </c>
      <c r="I83" s="73">
        <f>(+IFERROR(VLOOKUP($A83,'[152]BG (2)'!$B$9:$J$570,7,FALSE),0))*-1</f>
        <v>-272767</v>
      </c>
      <c r="J83" s="94">
        <f>(+IFERROR(VLOOKUP($A83,'[152]BG (2)'!$B$9:$J$570,8,FALSE),0))*1</f>
        <v>0</v>
      </c>
      <c r="K83" s="73">
        <f>(+IFERROR(VLOOKUP($A83,'[152]BG (2)'!$B$9:$J$570,9,FALSE),0))*-1</f>
        <v>-37862994</v>
      </c>
      <c r="P83" s="90">
        <f t="shared" si="7"/>
        <v>-37862994</v>
      </c>
      <c r="S83" s="90"/>
      <c r="T83" s="102">
        <f t="shared" si="8"/>
        <v>-37862994</v>
      </c>
      <c r="U83" s="95"/>
      <c r="V83" s="72"/>
      <c r="W83" s="75" t="e">
        <f>+A83-#REF!</f>
        <v>#REF!</v>
      </c>
      <c r="X83" s="1270"/>
      <c r="Y83" s="91"/>
      <c r="Z83" s="91"/>
      <c r="AA83" s="91"/>
    </row>
    <row r="84" spans="1:27" ht="14.4" customHeight="1" x14ac:dyDescent="0.3">
      <c r="A84">
        <v>283820</v>
      </c>
      <c r="B84" t="s">
        <v>183</v>
      </c>
      <c r="C84" t="s">
        <v>179</v>
      </c>
      <c r="D84" s="87" t="str">
        <f t="shared" si="6"/>
        <v>28</v>
      </c>
      <c r="E84" s="92"/>
      <c r="F84" s="93">
        <f>(+IFERROR(VLOOKUP($A84,'[152]BG (2)'!$B$9:$J$570,4,FALSE),0))*1</f>
        <v>0</v>
      </c>
      <c r="G84" s="1428">
        <f>(+IFERROR(VLOOKUP($A84,'[152]BG (2)'!$B$9:$J$570,5,FALSE),0))*-1</f>
        <v>-102123453</v>
      </c>
      <c r="H84" s="93">
        <f>(+IFERROR(VLOOKUP($A84,'[152]BG (2)'!$B$9:$J$570,6,FALSE),0))*1</f>
        <v>0</v>
      </c>
      <c r="I84" s="73">
        <f>(+IFERROR(VLOOKUP($A84,'[152]BG (2)'!$B$9:$J$570,7,FALSE),0))*-1</f>
        <v>14578002</v>
      </c>
      <c r="J84" s="114">
        <f>(+IFERROR(VLOOKUP($A84,'[152]BG (2)'!$B$9:$J$570,8,FALSE),0))*1</f>
        <v>0</v>
      </c>
      <c r="K84" s="73">
        <f>(+IFERROR(VLOOKUP($A84,'[152]BG (2)'!$B$9:$J$570,9,FALSE),0))*-1</f>
        <v>-87545451</v>
      </c>
      <c r="P84" s="90">
        <f t="shared" si="7"/>
        <v>-87545451</v>
      </c>
      <c r="S84" s="90"/>
      <c r="T84" s="102">
        <f t="shared" si="8"/>
        <v>-87545451</v>
      </c>
      <c r="U84" s="95"/>
      <c r="V84" s="72"/>
      <c r="W84" s="75" t="e">
        <f>+A84-#REF!</f>
        <v>#REF!</v>
      </c>
      <c r="X84" s="1270"/>
      <c r="Y84" s="91"/>
      <c r="Z84" s="91"/>
      <c r="AA84" s="91"/>
    </row>
    <row r="85" spans="1:27" ht="14.4" customHeight="1" x14ac:dyDescent="0.3">
      <c r="A85">
        <v>284111</v>
      </c>
      <c r="B85" t="s">
        <v>184</v>
      </c>
      <c r="C85" s="105" t="s">
        <v>175</v>
      </c>
      <c r="D85" s="87" t="str">
        <f t="shared" si="6"/>
        <v>28</v>
      </c>
      <c r="E85" s="92"/>
      <c r="F85" s="93">
        <f>(+IFERROR(VLOOKUP($A85,'[152]BG (2)'!$B$9:$J$570,4,FALSE),0))*1</f>
        <v>0</v>
      </c>
      <c r="G85" s="1428">
        <f>(+IFERROR(VLOOKUP($A85,'[152]BG (2)'!$B$9:$J$570,5,FALSE),0))*-1</f>
        <v>-26244926120</v>
      </c>
      <c r="H85" s="108">
        <f>(+IFERROR(VLOOKUP($A85,'[152]BG (2)'!$B$9:$J$570,6,FALSE),0))*1</f>
        <v>0</v>
      </c>
      <c r="I85" s="73">
        <f>(+IFERROR(VLOOKUP($A85,'[152]BG (2)'!$B$9:$J$570,7,FALSE),0))*-1</f>
        <v>-2876439751</v>
      </c>
      <c r="J85" s="94">
        <f>(+IFERROR(VLOOKUP($A85,'[152]BG (2)'!$B$9:$J$570,8,FALSE),0))*1</f>
        <v>0</v>
      </c>
      <c r="K85" s="73">
        <f>(+IFERROR(VLOOKUP($A85,'[152]BG (2)'!$B$9:$J$570,9,FALSE),0))*-1</f>
        <v>-29121365871</v>
      </c>
      <c r="P85" s="90">
        <f t="shared" si="7"/>
        <v>-29121365871</v>
      </c>
      <c r="S85" s="90"/>
      <c r="T85" s="102">
        <f t="shared" si="8"/>
        <v>-29121365871</v>
      </c>
      <c r="U85" s="95"/>
      <c r="V85" s="72"/>
      <c r="W85" s="75" t="e">
        <f>+A85-#REF!</f>
        <v>#REF!</v>
      </c>
      <c r="X85" s="1270"/>
      <c r="Y85" s="91"/>
      <c r="Z85" s="91"/>
      <c r="AA85" s="91"/>
    </row>
    <row r="86" spans="1:27" ht="14.4" customHeight="1" x14ac:dyDescent="0.3">
      <c r="A86">
        <v>284112</v>
      </c>
      <c r="B86" t="s">
        <v>184</v>
      </c>
      <c r="C86" s="105" t="s">
        <v>175</v>
      </c>
      <c r="D86" s="87" t="str">
        <f t="shared" si="6"/>
        <v>28</v>
      </c>
      <c r="E86" s="92"/>
      <c r="F86" s="93">
        <f>(+IFERROR(VLOOKUP($A86,'[152]BG (2)'!$B$9:$J$570,4,FALSE),0))*1</f>
        <v>0</v>
      </c>
      <c r="G86" s="1428">
        <f>(+IFERROR(VLOOKUP($A86,'[152]BG (2)'!$B$9:$J$570,5,FALSE),0))*-1</f>
        <v>-18133797830</v>
      </c>
      <c r="H86" s="108">
        <f>(+IFERROR(VLOOKUP($A86,'[152]BG (2)'!$B$9:$J$570,6,FALSE),0))*1</f>
        <v>0</v>
      </c>
      <c r="I86" s="73">
        <f>(+IFERROR(VLOOKUP($A86,'[152]BG (2)'!$B$9:$J$570,7,FALSE),0))*-1</f>
        <v>-1398159653</v>
      </c>
      <c r="J86" s="114">
        <f>(+IFERROR(VLOOKUP($A86,'[152]BG (2)'!$B$9:$J$570,8,FALSE),0))*1</f>
        <v>0</v>
      </c>
      <c r="K86" s="73">
        <f>(+IFERROR(VLOOKUP($A86,'[152]BG (2)'!$B$9:$J$570,9,FALSE),0))*-1</f>
        <v>-19531957483</v>
      </c>
      <c r="P86" s="90">
        <f t="shared" si="7"/>
        <v>-19531957483</v>
      </c>
      <c r="S86" s="90"/>
      <c r="T86" s="102">
        <f t="shared" si="8"/>
        <v>-19531957483</v>
      </c>
      <c r="U86" s="95"/>
      <c r="V86" s="72"/>
      <c r="W86" s="75" t="e">
        <f>+A86-#REF!</f>
        <v>#REF!</v>
      </c>
      <c r="X86" s="1270"/>
      <c r="Y86" s="91"/>
      <c r="Z86" s="91"/>
      <c r="AA86" s="91"/>
    </row>
    <row r="87" spans="1:27" ht="14.4" customHeight="1" x14ac:dyDescent="0.3">
      <c r="A87">
        <v>284113</v>
      </c>
      <c r="B87" t="s">
        <v>185</v>
      </c>
      <c r="C87" s="105" t="s">
        <v>175</v>
      </c>
      <c r="D87" s="87" t="str">
        <f t="shared" si="6"/>
        <v>28</v>
      </c>
      <c r="E87" s="92"/>
      <c r="F87" s="93">
        <f>(+IFERROR(VLOOKUP($A87,'[152]BG (2)'!$B$9:$J$570,4,FALSE),0))*1</f>
        <v>0</v>
      </c>
      <c r="G87" s="1428">
        <f>(+IFERROR(VLOOKUP($A87,'[152]BG (2)'!$B$9:$J$570,5,FALSE),0))*-1</f>
        <v>-12076651351</v>
      </c>
      <c r="H87" s="108">
        <f>(+IFERROR(VLOOKUP($A87,'[152]BG (2)'!$B$9:$J$570,6,FALSE),0))*1</f>
        <v>0</v>
      </c>
      <c r="I87" s="73">
        <f>(+IFERROR(VLOOKUP($A87,'[152]BG (2)'!$B$9:$J$570,7,FALSE),0))*-1</f>
        <v>-1030078730</v>
      </c>
      <c r="J87" s="114">
        <f>(+IFERROR(VLOOKUP($A87,'[152]BG (2)'!$B$9:$J$570,8,FALSE),0))*1</f>
        <v>0</v>
      </c>
      <c r="K87" s="73">
        <f>(+IFERROR(VLOOKUP($A87,'[152]BG (2)'!$B$9:$J$570,9,FALSE),0))*-1</f>
        <v>-13106730081</v>
      </c>
      <c r="P87" s="90">
        <f t="shared" si="7"/>
        <v>-13106730081</v>
      </c>
      <c r="S87" s="90"/>
      <c r="T87" s="102">
        <f t="shared" si="8"/>
        <v>-13106730081</v>
      </c>
      <c r="U87" s="95"/>
      <c r="V87" s="72"/>
      <c r="W87" s="75" t="e">
        <f>+A87-#REF!</f>
        <v>#REF!</v>
      </c>
      <c r="X87" s="1270"/>
      <c r="Y87" s="91"/>
      <c r="Z87" s="91"/>
      <c r="AA87" s="91"/>
    </row>
    <row r="88" spans="1:27" ht="14.4" customHeight="1" x14ac:dyDescent="0.3">
      <c r="A88">
        <v>284114</v>
      </c>
      <c r="B88" t="s">
        <v>186</v>
      </c>
      <c r="C88" s="105" t="s">
        <v>175</v>
      </c>
      <c r="D88" s="87" t="str">
        <f t="shared" si="6"/>
        <v>28</v>
      </c>
      <c r="E88" s="92"/>
      <c r="F88" s="115">
        <f>(+IFERROR(VLOOKUP($A88,'[152]BG (2)'!$B$9:$J$570,4,FALSE),0))*1</f>
        <v>0</v>
      </c>
      <c r="G88" s="1428">
        <f>(+IFERROR(VLOOKUP($A88,'[152]BG (2)'!$B$9:$J$570,5,FALSE),0))*-1</f>
        <v>-40716031</v>
      </c>
      <c r="H88" s="108">
        <f>(+IFERROR(VLOOKUP($A88,'[152]BG (2)'!$B$9:$J$570,6,FALSE),0))*1</f>
        <v>0</v>
      </c>
      <c r="I88" s="73">
        <f>(+IFERROR(VLOOKUP($A88,'[152]BG (2)'!$B$9:$J$570,7,FALSE),0))*-1</f>
        <v>19</v>
      </c>
      <c r="J88" s="114">
        <f>(+IFERROR(VLOOKUP($A88,'[152]BG (2)'!$B$9:$J$570,8,FALSE),0))*1</f>
        <v>0</v>
      </c>
      <c r="K88" s="73">
        <f>(+IFERROR(VLOOKUP($A88,'[152]BG (2)'!$B$9:$J$570,9,FALSE),0))*-1</f>
        <v>-40716012</v>
      </c>
      <c r="P88" s="90">
        <f t="shared" si="7"/>
        <v>-40716012</v>
      </c>
      <c r="S88" s="90"/>
      <c r="T88" s="102">
        <f t="shared" si="8"/>
        <v>-40716012</v>
      </c>
      <c r="U88" s="95"/>
      <c r="W88" s="75" t="e">
        <f>+A88-#REF!</f>
        <v>#REF!</v>
      </c>
      <c r="X88" s="1269"/>
      <c r="Y88" s="91"/>
      <c r="Z88" s="91"/>
      <c r="AA88" s="91"/>
    </row>
    <row r="89" spans="1:27" ht="14.4" customHeight="1" x14ac:dyDescent="0.3">
      <c r="A89">
        <v>284115</v>
      </c>
      <c r="B89" t="s">
        <v>187</v>
      </c>
      <c r="C89" s="105" t="s">
        <v>175</v>
      </c>
      <c r="D89" s="87" t="str">
        <f t="shared" si="6"/>
        <v>28</v>
      </c>
      <c r="E89" s="92"/>
      <c r="F89" s="93">
        <f>(+IFERROR(VLOOKUP($A89,'[152]BG (2)'!$B$9:$J$570,4,FALSE),0))*1</f>
        <v>0</v>
      </c>
      <c r="G89" s="1428">
        <f>(+IFERROR(VLOOKUP($A89,'[152]BG (2)'!$B$9:$J$570,5,FALSE),0))*-1</f>
        <v>-530658145</v>
      </c>
      <c r="H89" s="108">
        <f>(+IFERROR(VLOOKUP($A89,'[152]BG (2)'!$B$9:$J$570,6,FALSE),0))*1</f>
        <v>0</v>
      </c>
      <c r="I89" s="73">
        <f>(+IFERROR(VLOOKUP($A89,'[152]BG (2)'!$B$9:$J$570,7,FALSE),0))*-1</f>
        <v>-32516573</v>
      </c>
      <c r="J89" s="94">
        <f>(+IFERROR(VLOOKUP($A89,'[152]BG (2)'!$B$9:$J$570,8,FALSE),0))*1</f>
        <v>0</v>
      </c>
      <c r="K89" s="73">
        <f>(+IFERROR(VLOOKUP($A89,'[152]BG (2)'!$B$9:$J$570,9,FALSE),0))*-1</f>
        <v>-563174718</v>
      </c>
      <c r="P89" s="90">
        <f t="shared" si="7"/>
        <v>-563174718</v>
      </c>
      <c r="S89" s="90"/>
      <c r="T89" s="102">
        <f t="shared" si="8"/>
        <v>-563174718</v>
      </c>
      <c r="U89" s="95"/>
      <c r="W89" s="75" t="e">
        <f>+A89-#REF!</f>
        <v>#REF!</v>
      </c>
      <c r="X89" s="1269"/>
      <c r="Y89" s="91"/>
      <c r="Z89" s="91"/>
      <c r="AA89" s="91"/>
    </row>
    <row r="90" spans="1:27" ht="14.4" customHeight="1" x14ac:dyDescent="0.3">
      <c r="A90">
        <v>284120</v>
      </c>
      <c r="B90" t="s">
        <v>188</v>
      </c>
      <c r="C90" t="s">
        <v>179</v>
      </c>
      <c r="D90" s="87" t="str">
        <f t="shared" si="6"/>
        <v>28</v>
      </c>
      <c r="E90" s="92"/>
      <c r="F90" s="93">
        <f>(+IFERROR(VLOOKUP($A90,'[152]BG (2)'!$B$9:$J$570,4,FALSE),0))*1</f>
        <v>0</v>
      </c>
      <c r="G90" s="1428">
        <f>(+IFERROR(VLOOKUP($A90,'[152]BG (2)'!$B$9:$J$570,5,FALSE),0))*-1</f>
        <v>-27878521</v>
      </c>
      <c r="H90" s="93">
        <f>(+IFERROR(VLOOKUP($A90,'[152]BG (2)'!$B$9:$J$570,6,FALSE),0))*1</f>
        <v>0</v>
      </c>
      <c r="I90" s="73">
        <f>(+IFERROR(VLOOKUP($A90,'[152]BG (2)'!$B$9:$J$570,7,FALSE),0))*-1</f>
        <v>-9168588</v>
      </c>
      <c r="J90" s="94">
        <f>(+IFERROR(VLOOKUP($A90,'[152]BG (2)'!$B$9:$J$570,8,FALSE),0))*1</f>
        <v>0</v>
      </c>
      <c r="K90" s="73">
        <f>(+IFERROR(VLOOKUP($A90,'[152]BG (2)'!$B$9:$J$570,9,FALSE),0))*-1</f>
        <v>-37047109</v>
      </c>
      <c r="P90" s="90">
        <f t="shared" si="7"/>
        <v>-37047109</v>
      </c>
      <c r="S90" s="90"/>
      <c r="T90" s="102">
        <f t="shared" si="8"/>
        <v>-37047109</v>
      </c>
      <c r="U90" s="95"/>
      <c r="W90" s="75" t="e">
        <f>+A90-#REF!</f>
        <v>#REF!</v>
      </c>
      <c r="X90" s="1269"/>
      <c r="Y90" s="91"/>
      <c r="Z90" s="91"/>
      <c r="AA90" s="91"/>
    </row>
    <row r="91" spans="1:27" ht="14.4" customHeight="1" x14ac:dyDescent="0.3">
      <c r="A91">
        <v>284410</v>
      </c>
      <c r="B91" t="s">
        <v>189</v>
      </c>
      <c r="C91" t="s">
        <v>190</v>
      </c>
      <c r="D91" s="87" t="str">
        <f t="shared" si="6"/>
        <v>28</v>
      </c>
      <c r="E91" s="92"/>
      <c r="F91" s="93">
        <f>(+IFERROR(VLOOKUP($A91,'[152]BG (2)'!$B$9:$J$570,4,FALSE),0))*1</f>
        <v>0</v>
      </c>
      <c r="G91" s="1428">
        <f>(+IFERROR(VLOOKUP($A91,'[152]BG (2)'!$B$9:$J$570,5,FALSE),0))*-1</f>
        <v>-127951647</v>
      </c>
      <c r="H91" s="93">
        <f>(+IFERROR(VLOOKUP($A91,'[152]BG (2)'!$B$9:$J$570,6,FALSE),0))*1</f>
        <v>0</v>
      </c>
      <c r="I91" s="73">
        <f>(+IFERROR(VLOOKUP($A91,'[152]BG (2)'!$B$9:$J$570,7,FALSE),0))*-1</f>
        <v>-12872706</v>
      </c>
      <c r="J91" s="94">
        <f>(+IFERROR(VLOOKUP($A91,'[152]BG (2)'!$B$9:$J$570,8,FALSE),0))*1</f>
        <v>0</v>
      </c>
      <c r="K91" s="73">
        <f>(+IFERROR(VLOOKUP($A91,'[152]BG (2)'!$B$9:$J$570,9,FALSE),0))*-1</f>
        <v>-140824353</v>
      </c>
      <c r="P91" s="90">
        <f t="shared" si="7"/>
        <v>-140824353</v>
      </c>
      <c r="S91" s="90"/>
      <c r="T91" s="102">
        <f t="shared" si="8"/>
        <v>-140824353</v>
      </c>
      <c r="U91" s="95"/>
      <c r="W91" s="75" t="e">
        <f>+A91-#REF!</f>
        <v>#REF!</v>
      </c>
      <c r="X91" s="1269"/>
      <c r="Y91" s="91"/>
      <c r="Z91" s="91"/>
      <c r="AA91" s="91"/>
    </row>
    <row r="92" spans="1:27" ht="14.4" customHeight="1" x14ac:dyDescent="0.3">
      <c r="A92">
        <v>284420</v>
      </c>
      <c r="B92" t="s">
        <v>191</v>
      </c>
      <c r="C92" t="s">
        <v>190</v>
      </c>
      <c r="D92" s="87" t="str">
        <f t="shared" si="6"/>
        <v>28</v>
      </c>
      <c r="E92" s="92"/>
      <c r="F92" s="106">
        <f>(+IFERROR(VLOOKUP($A92,'[152]BG (2)'!$B$9:$J$570,4,FALSE),0))*1</f>
        <v>0</v>
      </c>
      <c r="G92" s="1428">
        <f>(+IFERROR(VLOOKUP($A92,'[152]BG (2)'!$B$9:$J$570,5,FALSE),0))*-1</f>
        <v>-4979719023</v>
      </c>
      <c r="H92" s="106">
        <f>(+IFERROR(VLOOKUP($A92,'[152]BG (2)'!$B$9:$J$570,6,FALSE),0))*1</f>
        <v>0</v>
      </c>
      <c r="I92" s="73">
        <f>(+IFERROR(VLOOKUP($A92,'[152]BG (2)'!$B$9:$J$570,7,FALSE),0))*-1</f>
        <v>-907069154</v>
      </c>
      <c r="J92" s="114">
        <f>(+IFERROR(VLOOKUP($A92,'[152]BG (2)'!$B$9:$J$570,8,FALSE),0))*1</f>
        <v>0</v>
      </c>
      <c r="K92" s="73">
        <f>(+IFERROR(VLOOKUP($A92,'[152]BG (2)'!$B$9:$J$570,9,FALSE),0))*-1</f>
        <v>-5886788177</v>
      </c>
      <c r="P92" s="90">
        <f t="shared" si="7"/>
        <v>-5886788177</v>
      </c>
      <c r="S92" s="90"/>
      <c r="T92" s="102">
        <f t="shared" si="8"/>
        <v>-5886788177</v>
      </c>
      <c r="U92" s="95"/>
      <c r="W92" s="75" t="e">
        <f>+A92-#REF!</f>
        <v>#REF!</v>
      </c>
      <c r="X92" s="1269"/>
      <c r="Y92" s="91"/>
      <c r="Z92" s="91"/>
      <c r="AA92" s="91"/>
    </row>
    <row r="93" spans="1:27" ht="14.4" customHeight="1" x14ac:dyDescent="0.3">
      <c r="A93">
        <v>284440</v>
      </c>
      <c r="B93" t="s">
        <v>192</v>
      </c>
      <c r="C93" t="s">
        <v>190</v>
      </c>
      <c r="D93" s="87" t="str">
        <f t="shared" si="6"/>
        <v>28</v>
      </c>
      <c r="E93" s="92"/>
      <c r="F93" s="106">
        <f>(+IFERROR(VLOOKUP($A93,'[152]BG (2)'!$B$9:$J$570,4,FALSE),0))*1</f>
        <v>0</v>
      </c>
      <c r="G93" s="1428">
        <f>(+IFERROR(VLOOKUP($A93,'[152]BG (2)'!$B$9:$J$570,5,FALSE),0))*-1</f>
        <v>-362931677</v>
      </c>
      <c r="H93" s="106">
        <f>(+IFERROR(VLOOKUP($A93,'[152]BG (2)'!$B$9:$J$570,6,FALSE),0))*1</f>
        <v>0</v>
      </c>
      <c r="I93" s="73">
        <f>(+IFERROR(VLOOKUP($A93,'[152]BG (2)'!$B$9:$J$570,7,FALSE),0))*-1</f>
        <v>-27316165</v>
      </c>
      <c r="J93" s="114">
        <f>(+IFERROR(VLOOKUP($A93,'[152]BG (2)'!$B$9:$J$570,8,FALSE),0))*1</f>
        <v>0</v>
      </c>
      <c r="K93" s="73">
        <f>(+IFERROR(VLOOKUP($A93,'[152]BG (2)'!$B$9:$J$570,9,FALSE),0))*-1</f>
        <v>-390247842</v>
      </c>
      <c r="P93" s="90">
        <f t="shared" si="7"/>
        <v>-390247842</v>
      </c>
      <c r="S93" s="90"/>
      <c r="T93" s="102">
        <f t="shared" si="8"/>
        <v>-390247842</v>
      </c>
      <c r="U93" s="95"/>
      <c r="W93" s="75" t="e">
        <f>+A93-#REF!</f>
        <v>#REF!</v>
      </c>
      <c r="X93" s="1269"/>
      <c r="Y93" s="91"/>
      <c r="Z93" s="91"/>
      <c r="AA93" s="91"/>
    </row>
    <row r="94" spans="1:27" ht="14.4" customHeight="1" x14ac:dyDescent="0.3">
      <c r="A94">
        <v>284470</v>
      </c>
      <c r="B94" t="s">
        <v>193</v>
      </c>
      <c r="C94" t="s">
        <v>179</v>
      </c>
      <c r="D94" s="87" t="str">
        <f t="shared" si="6"/>
        <v>28</v>
      </c>
      <c r="E94" s="92"/>
      <c r="F94" s="106">
        <f>(+IFERROR(VLOOKUP($A94,'[152]BG (2)'!$B$9:$J$570,4,FALSE),0))*1</f>
        <v>0</v>
      </c>
      <c r="G94" s="1428">
        <f>(+IFERROR(VLOOKUP($A94,'[152]BG (2)'!$B$9:$J$570,5,FALSE),0))*-1</f>
        <v>-86775194</v>
      </c>
      <c r="H94" s="106">
        <f>(+IFERROR(VLOOKUP($A94,'[152]BG (2)'!$B$9:$J$570,6,FALSE),0))*1</f>
        <v>0</v>
      </c>
      <c r="I94" s="73">
        <f>(+IFERROR(VLOOKUP($A94,'[152]BG (2)'!$B$9:$J$570,7,FALSE),0))*-1</f>
        <v>-17066571</v>
      </c>
      <c r="J94" s="114">
        <f>(+IFERROR(VLOOKUP($A94,'[152]BG (2)'!$B$9:$J$570,8,FALSE),0))*1</f>
        <v>0</v>
      </c>
      <c r="K94" s="73">
        <f>(+IFERROR(VLOOKUP($A94,'[152]BG (2)'!$B$9:$J$570,9,FALSE),0))*-1</f>
        <v>-103841765</v>
      </c>
      <c r="P94" s="90">
        <f t="shared" si="7"/>
        <v>-103841765</v>
      </c>
      <c r="S94" s="90"/>
      <c r="T94" s="102">
        <f t="shared" si="8"/>
        <v>-103841765</v>
      </c>
      <c r="U94" s="95"/>
      <c r="W94" s="75" t="e">
        <f>+A94-#REF!</f>
        <v>#REF!</v>
      </c>
      <c r="X94" s="1269"/>
      <c r="Y94" s="91"/>
      <c r="Z94" s="91"/>
      <c r="AA94" s="91"/>
    </row>
    <row r="95" spans="1:27" ht="14.4" customHeight="1" x14ac:dyDescent="0.3">
      <c r="A95">
        <v>284510</v>
      </c>
      <c r="B95" t="s">
        <v>194</v>
      </c>
      <c r="C95" t="s">
        <v>195</v>
      </c>
      <c r="D95" s="87" t="str">
        <f t="shared" si="6"/>
        <v>28</v>
      </c>
      <c r="E95" s="92"/>
      <c r="F95" s="93">
        <f>(+IFERROR(VLOOKUP($A95,'[152]BG (2)'!$B$9:$J$570,4,FALSE),0))*1</f>
        <v>0</v>
      </c>
      <c r="G95" s="1428">
        <f>(+IFERROR(VLOOKUP($A95,'[152]BG (2)'!$B$9:$J$570,5,FALSE),0))*-1</f>
        <v>-711125119</v>
      </c>
      <c r="H95" s="93">
        <f>(+IFERROR(VLOOKUP($A95,'[152]BG (2)'!$B$9:$J$570,6,FALSE),0))*1</f>
        <v>0</v>
      </c>
      <c r="I95" s="73">
        <f>(+IFERROR(VLOOKUP($A95,'[152]BG (2)'!$B$9:$J$570,7,FALSE),0))*-1</f>
        <v>-196676</v>
      </c>
      <c r="J95" s="114">
        <f>(+IFERROR(VLOOKUP($A95,'[152]BG (2)'!$B$9:$J$570,8,FALSE),0))*1</f>
        <v>0</v>
      </c>
      <c r="K95" s="73">
        <f>(+IFERROR(VLOOKUP($A95,'[152]BG (2)'!$B$9:$J$570,9,FALSE),0))*-1</f>
        <v>-711321795</v>
      </c>
      <c r="P95" s="90">
        <f t="shared" si="7"/>
        <v>-711321795</v>
      </c>
      <c r="S95" s="90"/>
      <c r="T95" s="102">
        <f t="shared" si="8"/>
        <v>-711321795</v>
      </c>
      <c r="U95" s="95"/>
      <c r="W95" s="75" t="e">
        <f>+A95-#REF!</f>
        <v>#REF!</v>
      </c>
      <c r="X95" s="1269"/>
      <c r="Y95" s="91"/>
      <c r="Z95" s="91"/>
      <c r="AA95" s="91"/>
    </row>
    <row r="96" spans="1:27" ht="14.4" customHeight="1" x14ac:dyDescent="0.3">
      <c r="A96">
        <v>284580</v>
      </c>
      <c r="B96" t="s">
        <v>196</v>
      </c>
      <c r="C96" t="s">
        <v>195</v>
      </c>
      <c r="D96" s="87" t="str">
        <f t="shared" si="6"/>
        <v>28</v>
      </c>
      <c r="E96" s="92"/>
      <c r="F96" s="93">
        <f>(+IFERROR(VLOOKUP($A96,'[152]BG (2)'!$B$9:$J$570,4,FALSE),0))*1</f>
        <v>0</v>
      </c>
      <c r="G96" s="1428">
        <f>(+IFERROR(VLOOKUP($A96,'[152]BG (2)'!$B$9:$J$570,5,FALSE),0))*-1</f>
        <v>-3200000</v>
      </c>
      <c r="H96" s="93">
        <f>(+IFERROR(VLOOKUP($A96,'[152]BG (2)'!$B$9:$J$570,6,FALSE),0))*1</f>
        <v>0</v>
      </c>
      <c r="I96" s="73">
        <f>(+IFERROR(VLOOKUP($A96,'[152]BG (2)'!$B$9:$J$570,7,FALSE),0))*-1</f>
        <v>-810810</v>
      </c>
      <c r="J96" s="114">
        <f>(+IFERROR(VLOOKUP($A96,'[152]BG (2)'!$B$9:$J$570,8,FALSE),0))*1</f>
        <v>0</v>
      </c>
      <c r="K96" s="73">
        <f>(+IFERROR(VLOOKUP($A96,'[152]BG (2)'!$B$9:$J$570,9,FALSE),0))*-1</f>
        <v>-4010810</v>
      </c>
      <c r="P96" s="90">
        <f t="shared" si="7"/>
        <v>-4010810</v>
      </c>
      <c r="S96" s="90"/>
      <c r="T96" s="102">
        <f t="shared" si="8"/>
        <v>-4010810</v>
      </c>
      <c r="U96" s="95"/>
      <c r="W96" s="75" t="e">
        <f>+A96-#REF!</f>
        <v>#REF!</v>
      </c>
      <c r="X96" s="1269"/>
      <c r="Y96" s="91"/>
      <c r="Z96" s="91"/>
      <c r="AA96" s="91"/>
    </row>
    <row r="97" spans="1:27" s="1508" customFormat="1" ht="14.4" customHeight="1" x14ac:dyDescent="0.3">
      <c r="A97">
        <v>284800</v>
      </c>
      <c r="B97" t="s">
        <v>197</v>
      </c>
      <c r="C97" t="s">
        <v>179</v>
      </c>
      <c r="D97" s="87" t="str">
        <f t="shared" si="6"/>
        <v>28</v>
      </c>
      <c r="E97" s="92"/>
      <c r="F97" s="93">
        <f>(+IFERROR(VLOOKUP($A97,'[152]BG (2)'!$B$9:$J$570,4,FALSE),0))*1</f>
        <v>0</v>
      </c>
      <c r="G97" s="1428">
        <f>(+IFERROR(VLOOKUP($A97,'[152]BG (2)'!$B$9:$J$570,5,FALSE),0))*-1</f>
        <v>-418493490</v>
      </c>
      <c r="H97" s="93">
        <f>(+IFERROR(VLOOKUP($A97,'[152]BG (2)'!$B$9:$J$570,6,FALSE),0))*1</f>
        <v>0</v>
      </c>
      <c r="I97" s="73">
        <f>(+IFERROR(VLOOKUP($A97,'[152]BG (2)'!$B$9:$J$570,7,FALSE),0))*-1</f>
        <v>-20383548</v>
      </c>
      <c r="J97" s="114">
        <f>(+IFERROR(VLOOKUP($A97,'[152]BG (2)'!$B$9:$J$570,8,FALSE),0))*1</f>
        <v>0</v>
      </c>
      <c r="K97" s="73">
        <f>(+IFERROR(VLOOKUP($A97,'[152]BG (2)'!$B$9:$J$570,9,FALSE),0))*-1</f>
        <v>-438877038</v>
      </c>
      <c r="L97"/>
      <c r="M97"/>
      <c r="N97" s="2"/>
      <c r="O97" s="2"/>
      <c r="P97" s="90">
        <f t="shared" si="7"/>
        <v>-438877038</v>
      </c>
      <c r="Q97" s="2"/>
      <c r="R97" s="2"/>
      <c r="S97" s="90"/>
      <c r="T97" s="102">
        <f t="shared" si="8"/>
        <v>-438877038</v>
      </c>
      <c r="U97" s="95"/>
      <c r="V97"/>
      <c r="W97" s="75" t="e">
        <f>+A97-#REF!</f>
        <v>#REF!</v>
      </c>
      <c r="X97" s="1269"/>
      <c r="Y97" s="91"/>
      <c r="Z97" s="91"/>
      <c r="AA97" s="91"/>
    </row>
    <row r="98" spans="1:27" ht="14.4" customHeight="1" x14ac:dyDescent="0.3">
      <c r="A98" s="1500">
        <v>294000</v>
      </c>
      <c r="B98" s="1500" t="s">
        <v>198</v>
      </c>
      <c r="C98" s="1500" t="s">
        <v>175</v>
      </c>
      <c r="D98" s="87" t="str">
        <f t="shared" si="6"/>
        <v>29</v>
      </c>
      <c r="E98" s="1502"/>
      <c r="F98" s="1503">
        <f>(+IFERROR(VLOOKUP($A98,'[152]BG (2)'!$B$9:$J$570,4,FALSE),0))*1</f>
        <v>0</v>
      </c>
      <c r="G98" s="1504">
        <f>(+IFERROR(VLOOKUP($A98,'[152]BG (2)'!$B$9:$J$570,5,FALSE),0))*-1</f>
        <v>-1472646224</v>
      </c>
      <c r="H98" s="1503">
        <f>(+IFERROR(VLOOKUP($A98,'[152]BG (2)'!$B$9:$J$570,6,FALSE),0))*1</f>
        <v>1458883577</v>
      </c>
      <c r="I98" s="1504">
        <f>(+IFERROR(VLOOKUP($A98,'[152]BG (2)'!$B$9:$J$570,7,FALSE),0))*-1</f>
        <v>-1133004221</v>
      </c>
      <c r="J98" s="1283">
        <f>(+IFERROR(VLOOKUP($A98,'[152]BG (2)'!$B$9:$J$570,8,FALSE),0))*1</f>
        <v>0</v>
      </c>
      <c r="K98" s="1504">
        <f>(+IFERROR(VLOOKUP($A98,'[152]BG (2)'!$B$9:$J$570,9,FALSE),0))*-1</f>
        <v>-1146766868</v>
      </c>
      <c r="L98" s="1500"/>
      <c r="M98" s="1500"/>
      <c r="N98" s="1505"/>
      <c r="O98" s="1505"/>
      <c r="P98" s="90">
        <f t="shared" si="7"/>
        <v>-1146766868</v>
      </c>
      <c r="Q98" s="1505"/>
      <c r="R98" s="1505"/>
      <c r="S98" s="1506"/>
      <c r="T98" s="1506">
        <f t="shared" si="8"/>
        <v>-1146766868</v>
      </c>
      <c r="U98" s="1507"/>
      <c r="V98" s="1500"/>
      <c r="W98" s="1501" t="e">
        <f>+A98-#REF!</f>
        <v>#REF!</v>
      </c>
      <c r="X98" s="1500"/>
      <c r="Y98" s="91"/>
      <c r="Z98" s="91"/>
      <c r="AA98" s="91"/>
    </row>
    <row r="99" spans="1:27" ht="14.4" customHeight="1" x14ac:dyDescent="0.3">
      <c r="A99">
        <v>311100</v>
      </c>
      <c r="B99" t="s">
        <v>199</v>
      </c>
      <c r="C99" t="s">
        <v>200</v>
      </c>
      <c r="D99" s="87" t="str">
        <f t="shared" si="6"/>
        <v>31</v>
      </c>
      <c r="E99" s="92"/>
      <c r="F99" s="93">
        <f>(+IFERROR(VLOOKUP($A99,'[152]BG (2)'!$B$9:$J$570,4,FALSE),0))*1</f>
        <v>586388365</v>
      </c>
      <c r="G99" s="73">
        <f>(+IFERROR(VLOOKUP($A99,'[152]BG (2)'!$B$9:$J$570,5,FALSE),0))*-1</f>
        <v>0</v>
      </c>
      <c r="H99" s="93">
        <f>(+IFERROR(VLOOKUP($A99,'[152]BG (2)'!$B$9:$J$570,6,FALSE),0))*1</f>
        <v>-371325442</v>
      </c>
      <c r="I99" s="73">
        <f>(+IFERROR(VLOOKUP($A99,'[152]BG (2)'!$B$9:$J$570,7,FALSE),0))*-1</f>
        <v>0</v>
      </c>
      <c r="J99" s="89">
        <f>(+IFERROR(VLOOKUP($A99,'[152]BG (2)'!$B$9:$J$570,8,FALSE),0))*1</f>
        <v>215062923</v>
      </c>
      <c r="K99" s="73">
        <f>(+IFERROR(VLOOKUP($A99,'[152]BG (2)'!$B$9:$J$570,9,FALSE),0))*-1</f>
        <v>0</v>
      </c>
      <c r="P99" s="90">
        <f t="shared" si="7"/>
        <v>215062923</v>
      </c>
      <c r="S99" s="90"/>
      <c r="T99" s="102">
        <f t="shared" si="8"/>
        <v>215062923</v>
      </c>
      <c r="U99" s="95"/>
      <c r="V99" s="101">
        <v>342965636</v>
      </c>
      <c r="W99" s="75" t="e">
        <f>+A99-#REF!</f>
        <v>#REF!</v>
      </c>
      <c r="X99" s="1272"/>
      <c r="Y99" s="91"/>
      <c r="Z99" s="91"/>
      <c r="AA99" s="91"/>
    </row>
    <row r="100" spans="1:27" ht="14.4" customHeight="1" x14ac:dyDescent="0.3">
      <c r="A100">
        <v>311200</v>
      </c>
      <c r="B100" t="s">
        <v>201</v>
      </c>
      <c r="C100" t="s">
        <v>200</v>
      </c>
      <c r="D100" s="87" t="str">
        <f t="shared" si="6"/>
        <v>31</v>
      </c>
      <c r="E100" s="92"/>
      <c r="F100" s="93">
        <f>(+IFERROR(VLOOKUP($A100,'[152]BG (2)'!$B$9:$J$570,4,FALSE),0))*1</f>
        <v>571175110</v>
      </c>
      <c r="G100" s="73">
        <f>(+IFERROR(VLOOKUP($A100,'[152]BG (2)'!$B$9:$J$570,5,FALSE),0))*-1</f>
        <v>0</v>
      </c>
      <c r="H100" s="93">
        <f>(+IFERROR(VLOOKUP($A100,'[152]BG (2)'!$B$9:$J$570,6,FALSE),0))*1</f>
        <v>-32489474</v>
      </c>
      <c r="I100" s="73">
        <f>(+IFERROR(VLOOKUP($A100,'[152]BG (2)'!$B$9:$J$570,7,FALSE),0))*-1</f>
        <v>0</v>
      </c>
      <c r="J100" s="89">
        <f>(+IFERROR(VLOOKUP($A100,'[152]BG (2)'!$B$9:$J$570,8,FALSE),0))*1</f>
        <v>538685636</v>
      </c>
      <c r="K100" s="73">
        <f>(+IFERROR(VLOOKUP($A100,'[152]BG (2)'!$B$9:$J$570,9,FALSE),0))*-1</f>
        <v>0</v>
      </c>
      <c r="P100" s="90">
        <f t="shared" si="7"/>
        <v>538685636</v>
      </c>
      <c r="S100" s="90"/>
      <c r="T100" s="102">
        <f t="shared" si="8"/>
        <v>538685636</v>
      </c>
      <c r="U100" s="95"/>
      <c r="W100" s="75" t="e">
        <f>+A100-#REF!</f>
        <v>#REF!</v>
      </c>
      <c r="X100" s="1269"/>
      <c r="Y100" s="91"/>
      <c r="Z100" s="91"/>
      <c r="AA100" s="91"/>
    </row>
    <row r="101" spans="1:27" ht="14.4" customHeight="1" x14ac:dyDescent="0.3">
      <c r="A101">
        <v>312100</v>
      </c>
      <c r="B101" t="s">
        <v>202</v>
      </c>
      <c r="C101" t="s">
        <v>122</v>
      </c>
      <c r="D101" s="87" t="str">
        <f t="shared" si="6"/>
        <v>31</v>
      </c>
      <c r="E101" s="92"/>
      <c r="F101" s="115">
        <f>(+IFERROR(VLOOKUP($A101,'[152]BG (2)'!$B$9:$J$570,4,FALSE),0))*1</f>
        <v>232661522</v>
      </c>
      <c r="G101" s="73">
        <f>(+IFERROR(VLOOKUP($A101,'[152]BG (2)'!$B$9:$J$570,5,FALSE),0))*-1</f>
        <v>0</v>
      </c>
      <c r="H101" s="93">
        <f>(+IFERROR(VLOOKUP($A101,'[152]BG (2)'!$B$9:$J$570,6,FALSE),0))*1</f>
        <v>193392009</v>
      </c>
      <c r="I101" s="73">
        <f>(+IFERROR(VLOOKUP($A101,'[152]BG (2)'!$B$9:$J$570,7,FALSE),0))*-1</f>
        <v>0</v>
      </c>
      <c r="J101" s="1321">
        <f>(+IFERROR(VLOOKUP($A101,'[152]BG (2)'!$B$9:$J$570,8,FALSE),0))*1</f>
        <v>426053531</v>
      </c>
      <c r="K101" s="73">
        <f>(+IFERROR(VLOOKUP($A101,'[152]BG (2)'!$B$9:$J$570,9,FALSE),0))*-1</f>
        <v>0</v>
      </c>
      <c r="P101" s="90">
        <f t="shared" si="7"/>
        <v>426053531</v>
      </c>
      <c r="S101" s="90"/>
      <c r="T101" s="102">
        <f t="shared" si="8"/>
        <v>426053531</v>
      </c>
      <c r="U101" s="95"/>
      <c r="W101" s="75" t="e">
        <f>+A101-#REF!</f>
        <v>#REF!</v>
      </c>
      <c r="X101" s="1269"/>
      <c r="Y101" s="91"/>
      <c r="Z101" s="91"/>
      <c r="AA101" s="91"/>
    </row>
    <row r="102" spans="1:27" ht="14.4" customHeight="1" x14ac:dyDescent="0.3">
      <c r="A102">
        <v>312110</v>
      </c>
      <c r="B102" t="s">
        <v>203</v>
      </c>
      <c r="C102" t="s">
        <v>122</v>
      </c>
      <c r="D102" s="87" t="str">
        <f t="shared" si="6"/>
        <v>31</v>
      </c>
      <c r="E102" s="92"/>
      <c r="F102" s="106">
        <f>(+IFERROR(VLOOKUP($A102,'[152]BG (2)'!$B$9:$J$570,4,FALSE),0))*1</f>
        <v>0</v>
      </c>
      <c r="G102" s="73">
        <f>(+IFERROR(VLOOKUP($A102,'[152]BG (2)'!$B$9:$J$570,5,FALSE),0))*-1</f>
        <v>0</v>
      </c>
      <c r="H102" s="106">
        <f>(+IFERROR(VLOOKUP($A102,'[152]BG (2)'!$B$9:$J$570,6,FALSE),0))*1</f>
        <v>40262537</v>
      </c>
      <c r="I102" s="73">
        <f>(+IFERROR(VLOOKUP($A102,'[152]BG (2)'!$B$9:$J$570,7,FALSE),0))*-1</f>
        <v>0</v>
      </c>
      <c r="J102" s="1321">
        <f>(+IFERROR(VLOOKUP($A102,'[152]BG (2)'!$B$9:$J$570,8,FALSE),0))*1</f>
        <v>40262537</v>
      </c>
      <c r="K102" s="73">
        <f>(+IFERROR(VLOOKUP($A102,'[152]BG (2)'!$B$9:$J$570,9,FALSE),0))*-1</f>
        <v>0</v>
      </c>
      <c r="P102" s="90">
        <f t="shared" si="7"/>
        <v>40262537</v>
      </c>
      <c r="S102" s="90"/>
      <c r="T102" s="102">
        <f t="shared" si="8"/>
        <v>40262537</v>
      </c>
      <c r="U102" s="95"/>
      <c r="W102" s="75" t="e">
        <f>+A102-#REF!</f>
        <v>#REF!</v>
      </c>
      <c r="X102" s="1269"/>
      <c r="Y102" s="91"/>
      <c r="Z102" s="91"/>
      <c r="AA102" s="91"/>
    </row>
    <row r="103" spans="1:27" ht="14.4" customHeight="1" x14ac:dyDescent="0.3">
      <c r="A103">
        <v>312200</v>
      </c>
      <c r="B103" t="s">
        <v>204</v>
      </c>
      <c r="C103" t="s">
        <v>122</v>
      </c>
      <c r="D103" s="87" t="str">
        <f t="shared" si="6"/>
        <v>31</v>
      </c>
      <c r="E103" s="92"/>
      <c r="F103" s="106">
        <f>(+IFERROR(VLOOKUP($A103,'[152]BG (2)'!$B$9:$J$570,4,FALSE),0))*1</f>
        <v>0</v>
      </c>
      <c r="G103" s="73">
        <f>(+IFERROR(VLOOKUP($A103,'[152]BG (2)'!$B$9:$J$570,5,FALSE),0))*-1</f>
        <v>0</v>
      </c>
      <c r="H103" s="106">
        <f>(+IFERROR(VLOOKUP($A103,'[152]BG (2)'!$B$9:$J$570,6,FALSE),0))*1</f>
        <v>0</v>
      </c>
      <c r="I103" s="73">
        <f>(+IFERROR(VLOOKUP($A103,'[152]BG (2)'!$B$9:$J$570,7,FALSE),0))*-1</f>
        <v>0</v>
      </c>
      <c r="J103" s="1321">
        <f>(+IFERROR(VLOOKUP($A103,'[152]BG (2)'!$B$9:$J$570,8,FALSE),0))*1</f>
        <v>0</v>
      </c>
      <c r="K103" s="73">
        <f>(+IFERROR(VLOOKUP($A103,'[152]BG (2)'!$B$9:$J$570,9,FALSE),0))*-1</f>
        <v>0</v>
      </c>
      <c r="P103" s="90">
        <f t="shared" si="7"/>
        <v>0</v>
      </c>
      <c r="S103" s="90"/>
      <c r="T103" s="102">
        <f t="shared" si="8"/>
        <v>0</v>
      </c>
      <c r="U103" s="95"/>
      <c r="W103" s="75" t="e">
        <f>+A103-#REF!</f>
        <v>#REF!</v>
      </c>
      <c r="X103" s="1269"/>
      <c r="Y103" s="91"/>
      <c r="Z103" s="91"/>
      <c r="AA103" s="91"/>
    </row>
    <row r="104" spans="1:27" ht="14.4" customHeight="1" x14ac:dyDescent="0.3">
      <c r="A104">
        <v>313000</v>
      </c>
      <c r="B104" t="s">
        <v>205</v>
      </c>
      <c r="C104" t="s">
        <v>200</v>
      </c>
      <c r="D104" s="87" t="str">
        <f t="shared" si="6"/>
        <v>31</v>
      </c>
      <c r="E104" s="92"/>
      <c r="F104" s="106">
        <f>(+IFERROR(VLOOKUP($A104,'[152]BG (2)'!$B$9:$J$570,4,FALSE),0))*1</f>
        <v>6862247</v>
      </c>
      <c r="G104" s="73">
        <f>(+IFERROR(VLOOKUP($A104,'[152]BG (2)'!$B$9:$J$570,5,FALSE),0))*-1</f>
        <v>0</v>
      </c>
      <c r="H104" s="106">
        <f>(+IFERROR(VLOOKUP($A104,'[152]BG (2)'!$B$9:$J$570,6,FALSE),0))*1</f>
        <v>-570327</v>
      </c>
      <c r="I104" s="73">
        <f>(+IFERROR(VLOOKUP($A104,'[152]BG (2)'!$B$9:$J$570,7,FALSE),0))*-1</f>
        <v>0</v>
      </c>
      <c r="J104" s="89">
        <f>(+IFERROR(VLOOKUP($A104,'[152]BG (2)'!$B$9:$J$570,8,FALSE),0))*1</f>
        <v>6291920</v>
      </c>
      <c r="K104" s="1328">
        <f>(+IFERROR(VLOOKUP($A104,'[152]BG (2)'!$B$9:$J$570,9,FALSE),0))*-1</f>
        <v>0</v>
      </c>
      <c r="P104" s="90">
        <f t="shared" si="7"/>
        <v>6291920</v>
      </c>
      <c r="S104" s="90"/>
      <c r="T104" s="102">
        <f t="shared" si="8"/>
        <v>6291920</v>
      </c>
      <c r="U104" s="95"/>
      <c r="V104" s="72"/>
      <c r="W104" s="75" t="e">
        <f>+A104-#REF!</f>
        <v>#REF!</v>
      </c>
      <c r="X104" s="1270"/>
      <c r="Y104" s="91"/>
      <c r="Z104" s="91"/>
      <c r="AA104" s="91"/>
    </row>
    <row r="105" spans="1:27" ht="14.4" customHeight="1" x14ac:dyDescent="0.3">
      <c r="A105">
        <v>331100</v>
      </c>
      <c r="B105" t="s">
        <v>206</v>
      </c>
      <c r="C105" t="s">
        <v>200</v>
      </c>
      <c r="D105" s="87" t="str">
        <f t="shared" si="6"/>
        <v>33</v>
      </c>
      <c r="E105" s="92"/>
      <c r="F105" s="106">
        <f>(+IFERROR(VLOOKUP($A105,'[152]BG (2)'!$B$9:$J$570,4,FALSE),0))*1</f>
        <v>514817795</v>
      </c>
      <c r="G105" s="73">
        <f>(+IFERROR(VLOOKUP($A105,'[152]BG (2)'!$B$9:$J$570,5,FALSE),0))*-1</f>
        <v>0</v>
      </c>
      <c r="H105" s="106">
        <f>(+IFERROR(VLOOKUP($A105,'[152]BG (2)'!$B$9:$J$570,6,FALSE),0))*1</f>
        <v>119933792</v>
      </c>
      <c r="I105" s="73">
        <f>(+IFERROR(VLOOKUP($A105,'[152]BG (2)'!$B$9:$J$570,7,FALSE),0))*-1</f>
        <v>0</v>
      </c>
      <c r="J105" s="1322">
        <f>(+IFERROR(VLOOKUP($A105,'[152]BG (2)'!$B$9:$J$570,8,FALSE),0))*1</f>
        <v>634751587</v>
      </c>
      <c r="K105" s="73">
        <f>(+IFERROR(VLOOKUP($A105,'[152]BG (2)'!$B$9:$J$570,9,FALSE),0))*-1</f>
        <v>0</v>
      </c>
      <c r="P105" s="90">
        <f t="shared" si="7"/>
        <v>634751587</v>
      </c>
      <c r="S105" s="90"/>
      <c r="T105" s="102">
        <f t="shared" si="8"/>
        <v>634751587</v>
      </c>
      <c r="U105" s="95"/>
      <c r="V105" s="72"/>
      <c r="W105" s="75" t="e">
        <f>+A105-#REF!</f>
        <v>#REF!</v>
      </c>
      <c r="X105" s="1270"/>
      <c r="Y105" s="91"/>
      <c r="Z105" s="91"/>
      <c r="AA105" s="91"/>
    </row>
    <row r="106" spans="1:27" ht="14.4" customHeight="1" x14ac:dyDescent="0.3">
      <c r="A106">
        <v>331110</v>
      </c>
      <c r="B106" t="s">
        <v>207</v>
      </c>
      <c r="C106" t="s">
        <v>122</v>
      </c>
      <c r="D106" s="87" t="str">
        <f t="shared" si="6"/>
        <v>33</v>
      </c>
      <c r="E106" s="92"/>
      <c r="F106" s="106">
        <f>(+IFERROR(VLOOKUP($A106,'[152]BG (2)'!$B$9:$J$570,4,FALSE),0))*1</f>
        <v>305492626</v>
      </c>
      <c r="G106" s="73">
        <f>(+IFERROR(VLOOKUP($A106,'[152]BG (2)'!$B$9:$J$570,5,FALSE),0))*-1</f>
        <v>0</v>
      </c>
      <c r="H106" s="106">
        <f>(+IFERROR(VLOOKUP($A106,'[152]BG (2)'!$B$9:$J$570,6,FALSE),0))*1</f>
        <v>36058335</v>
      </c>
      <c r="I106" s="73">
        <f>(+IFERROR(VLOOKUP($A106,'[152]BG (2)'!$B$9:$J$570,7,FALSE),0))*-1</f>
        <v>0</v>
      </c>
      <c r="J106" s="1322">
        <f>(+IFERROR(VLOOKUP($A106,'[152]BG (2)'!$B$9:$J$570,8,FALSE),0))*1</f>
        <v>341550961</v>
      </c>
      <c r="K106" s="73">
        <f>(+IFERROR(VLOOKUP($A106,'[152]BG (2)'!$B$9:$J$570,9,FALSE),0))*-1</f>
        <v>0</v>
      </c>
      <c r="P106" s="90">
        <f t="shared" si="7"/>
        <v>341550961</v>
      </c>
      <c r="S106" s="90"/>
      <c r="T106" s="102">
        <f t="shared" si="8"/>
        <v>341550961</v>
      </c>
      <c r="U106" s="95"/>
      <c r="V106" s="72"/>
      <c r="W106" s="75" t="e">
        <f>+A106-#REF!</f>
        <v>#REF!</v>
      </c>
      <c r="X106" s="1270"/>
      <c r="Y106" s="91"/>
      <c r="Z106" s="91"/>
      <c r="AA106" s="91"/>
    </row>
    <row r="107" spans="1:27" ht="14.4" customHeight="1" x14ac:dyDescent="0.3">
      <c r="A107">
        <v>331200</v>
      </c>
      <c r="B107" t="s">
        <v>208</v>
      </c>
      <c r="C107" t="s">
        <v>200</v>
      </c>
      <c r="D107" s="87" t="str">
        <f t="shared" si="6"/>
        <v>33</v>
      </c>
      <c r="E107" s="92"/>
      <c r="F107" s="106">
        <f>(+IFERROR(VLOOKUP($A107,'[152]BG (2)'!$B$9:$J$570,4,FALSE),0))*1</f>
        <v>435820871</v>
      </c>
      <c r="G107" s="73">
        <f>(+IFERROR(VLOOKUP($A107,'[152]BG (2)'!$B$9:$J$570,5,FALSE),0))*-1</f>
        <v>0</v>
      </c>
      <c r="H107" s="106">
        <f>(+IFERROR(VLOOKUP($A107,'[152]BG (2)'!$B$9:$J$570,6,FALSE),0))*1</f>
        <v>20982830</v>
      </c>
      <c r="I107" s="73">
        <f>(+IFERROR(VLOOKUP($A107,'[152]BG (2)'!$B$9:$J$570,7,FALSE),0))*-1</f>
        <v>0</v>
      </c>
      <c r="J107" s="1322">
        <f>(+IFERROR(VLOOKUP($A107,'[152]BG (2)'!$B$9:$J$570,8,FALSE),0))*1</f>
        <v>456803701</v>
      </c>
      <c r="K107" s="73">
        <f>(+IFERROR(VLOOKUP($A107,'[152]BG (2)'!$B$9:$J$570,9,FALSE),0))*-1</f>
        <v>0</v>
      </c>
      <c r="P107" s="90">
        <f t="shared" si="7"/>
        <v>456803701</v>
      </c>
      <c r="S107" s="90"/>
      <c r="T107" s="102">
        <f t="shared" si="8"/>
        <v>456803701</v>
      </c>
      <c r="U107" s="95"/>
      <c r="V107" s="72"/>
      <c r="W107" s="75" t="e">
        <f>+A107-#REF!</f>
        <v>#REF!</v>
      </c>
      <c r="X107" s="1270"/>
      <c r="Y107" s="91"/>
      <c r="Z107" s="91"/>
      <c r="AA107" s="91"/>
    </row>
    <row r="108" spans="1:27" ht="14.4" customHeight="1" x14ac:dyDescent="0.3">
      <c r="A108">
        <v>334000</v>
      </c>
      <c r="B108" t="s">
        <v>209</v>
      </c>
      <c r="C108" t="s">
        <v>200</v>
      </c>
      <c r="D108" s="87" t="str">
        <f t="shared" si="6"/>
        <v>33</v>
      </c>
      <c r="E108" s="92"/>
      <c r="F108" s="108">
        <f>(+IFERROR(VLOOKUP($A108,'[152]BG (2)'!$B$9:$J$570,4,FALSE),0))*1</f>
        <v>247711582</v>
      </c>
      <c r="G108" s="73">
        <f>(+IFERROR(VLOOKUP($A108,'[152]BG (2)'!$B$9:$J$570,5,FALSE),0))*-1</f>
        <v>0</v>
      </c>
      <c r="H108" s="93">
        <f>(+IFERROR(VLOOKUP($A108,'[152]BG (2)'!$B$9:$J$570,6,FALSE),0))*1</f>
        <v>-203687807</v>
      </c>
      <c r="I108" s="73">
        <f>(+IFERROR(VLOOKUP($A108,'[152]BG (2)'!$B$9:$J$570,7,FALSE),0))*-1</f>
        <v>0</v>
      </c>
      <c r="J108" s="1322">
        <f>(+IFERROR(VLOOKUP($A108,'[152]BG (2)'!$B$9:$J$570,8,FALSE),0))*1</f>
        <v>44023775</v>
      </c>
      <c r="K108" s="73">
        <f>(+IFERROR(VLOOKUP($A108,'[152]BG (2)'!$B$9:$J$570,9,FALSE),0))*-1</f>
        <v>0</v>
      </c>
      <c r="P108" s="90">
        <f t="shared" si="7"/>
        <v>44023775</v>
      </c>
      <c r="S108" s="90"/>
      <c r="T108" s="102">
        <f t="shared" si="8"/>
        <v>44023775</v>
      </c>
      <c r="U108" s="95"/>
      <c r="V108" s="72"/>
      <c r="W108" s="75" t="e">
        <f>+A108-#REF!</f>
        <v>#REF!</v>
      </c>
      <c r="X108" s="1270"/>
      <c r="Y108" s="91"/>
      <c r="Z108" s="91"/>
      <c r="AA108" s="91"/>
    </row>
    <row r="109" spans="1:27" ht="14.4" customHeight="1" x14ac:dyDescent="0.3">
      <c r="A109">
        <v>334100</v>
      </c>
      <c r="B109" t="s">
        <v>210</v>
      </c>
      <c r="C109" t="s">
        <v>200</v>
      </c>
      <c r="D109" s="87" t="str">
        <f t="shared" si="6"/>
        <v>33</v>
      </c>
      <c r="E109" s="92"/>
      <c r="F109" s="108">
        <f>(+IFERROR(VLOOKUP($A109,'[152]BG (2)'!$B$9:$J$570,4,FALSE),0))*1</f>
        <v>144905863</v>
      </c>
      <c r="G109" s="73">
        <f>(+IFERROR(VLOOKUP($A109,'[152]BG (2)'!$B$9:$J$570,5,FALSE),0))*-1</f>
        <v>0</v>
      </c>
      <c r="H109" s="93">
        <f>(+IFERROR(VLOOKUP($A109,'[152]BG (2)'!$B$9:$J$570,6,FALSE),0))*1</f>
        <v>-7859827</v>
      </c>
      <c r="I109" s="73">
        <f>(+IFERROR(VLOOKUP($A109,'[152]BG (2)'!$B$9:$J$570,7,FALSE),0))*-1</f>
        <v>0</v>
      </c>
      <c r="J109" s="1322">
        <f>(+IFERROR(VLOOKUP($A109,'[152]BG (2)'!$B$9:$J$570,8,FALSE),0))*1</f>
        <v>137046036</v>
      </c>
      <c r="K109" s="73">
        <f>(+IFERROR(VLOOKUP($A109,'[152]BG (2)'!$B$9:$J$570,9,FALSE),0))*-1</f>
        <v>0</v>
      </c>
      <c r="P109" s="90">
        <f t="shared" si="7"/>
        <v>137046036</v>
      </c>
      <c r="S109" s="90"/>
      <c r="T109" s="102">
        <f t="shared" ref="T109:T126" si="9">K109+J109</f>
        <v>137046036</v>
      </c>
      <c r="U109" s="95"/>
      <c r="V109" s="72"/>
      <c r="W109" s="75" t="e">
        <f>+A109-#REF!</f>
        <v>#REF!</v>
      </c>
      <c r="X109" s="1270"/>
      <c r="Y109" s="91"/>
      <c r="Z109" s="91"/>
      <c r="AA109" s="91"/>
    </row>
    <row r="110" spans="1:27" ht="14.4" customHeight="1" x14ac:dyDescent="0.3">
      <c r="A110">
        <v>338100</v>
      </c>
      <c r="B110" t="s">
        <v>211</v>
      </c>
      <c r="C110" t="s">
        <v>200</v>
      </c>
      <c r="D110" s="87" t="str">
        <f t="shared" si="6"/>
        <v>33</v>
      </c>
      <c r="E110" s="92"/>
      <c r="F110" s="108">
        <f>(+IFERROR(VLOOKUP($A110,'[152]BG (2)'!$B$9:$J$570,4,FALSE),0))*1</f>
        <v>157766375</v>
      </c>
      <c r="G110" s="73">
        <f>(+IFERROR(VLOOKUP($A110,'[152]BG (2)'!$B$9:$J$570,5,FALSE),0))*-1</f>
        <v>0</v>
      </c>
      <c r="H110" s="93">
        <f>(+IFERROR(VLOOKUP($A110,'[152]BG (2)'!$B$9:$J$570,6,FALSE),0))*1</f>
        <v>-11404790</v>
      </c>
      <c r="I110" s="73">
        <f>(+IFERROR(VLOOKUP($A110,'[152]BG (2)'!$B$9:$J$570,7,FALSE),0))*-1</f>
        <v>0</v>
      </c>
      <c r="J110" s="1322">
        <f>(+IFERROR(VLOOKUP($A110,'[152]BG (2)'!$B$9:$J$570,8,FALSE),0))*1</f>
        <v>146361585</v>
      </c>
      <c r="K110" s="73">
        <f>(+IFERROR(VLOOKUP($A110,'[152]BG (2)'!$B$9:$J$570,9,FALSE),0))*-1</f>
        <v>0</v>
      </c>
      <c r="P110" s="90">
        <f t="shared" si="7"/>
        <v>146361585</v>
      </c>
      <c r="S110" s="90"/>
      <c r="T110" s="102">
        <f t="shared" si="9"/>
        <v>146361585</v>
      </c>
      <c r="U110" s="95"/>
      <c r="V110" s="72"/>
      <c r="W110" s="75" t="e">
        <f>+A110-#REF!</f>
        <v>#REF!</v>
      </c>
      <c r="X110" s="1270"/>
      <c r="Y110" s="91"/>
      <c r="Z110" s="91"/>
      <c r="AA110" s="91"/>
    </row>
    <row r="111" spans="1:27" ht="14.4" customHeight="1" x14ac:dyDescent="0.3">
      <c r="A111">
        <v>391100</v>
      </c>
      <c r="B111" t="s">
        <v>212</v>
      </c>
      <c r="C111" t="s">
        <v>213</v>
      </c>
      <c r="D111" s="87" t="str">
        <f t="shared" si="6"/>
        <v>39</v>
      </c>
      <c r="E111" s="92"/>
      <c r="F111" s="93">
        <f>(+IFERROR(VLOOKUP($A111,'[152]BG (2)'!$B$9:$J$570,4,FALSE),0))*1</f>
        <v>0</v>
      </c>
      <c r="G111" s="73">
        <f>(+IFERROR(VLOOKUP($A111,'[152]BG (2)'!$B$9:$J$570,5,FALSE),0))*-1</f>
        <v>-104797851</v>
      </c>
      <c r="H111" s="93">
        <f>(+IFERROR(VLOOKUP($A111,'[152]BG (2)'!$B$9:$J$570,6,FALSE),0))*1</f>
        <v>77951744</v>
      </c>
      <c r="I111" s="73">
        <f>(+IFERROR(VLOOKUP($A111,'[152]BG (2)'!$B$9:$J$570,7,FALSE),0))*-1</f>
        <v>-98895230</v>
      </c>
      <c r="J111" s="114">
        <f>(+IFERROR(VLOOKUP($A111,'[152]BG (2)'!$B$9:$J$570,8,FALSE),0))*1</f>
        <v>0</v>
      </c>
      <c r="K111" s="1583">
        <f>(+IFERROR(VLOOKUP($A111,'[152]BG (2)'!$B$9:$J$570,9,FALSE),0))*-1</f>
        <v>-125741337</v>
      </c>
      <c r="P111" s="90">
        <f t="shared" si="7"/>
        <v>-125741337</v>
      </c>
      <c r="S111" s="90"/>
      <c r="T111" s="102">
        <f t="shared" si="9"/>
        <v>-125741337</v>
      </c>
      <c r="U111" s="95"/>
      <c r="V111" s="72"/>
      <c r="W111" s="75" t="e">
        <f>+A111-#REF!</f>
        <v>#REF!</v>
      </c>
      <c r="X111" s="1270"/>
      <c r="Y111" s="91"/>
      <c r="Z111" s="91"/>
      <c r="AA111" s="91"/>
    </row>
    <row r="112" spans="1:27" ht="14.4" customHeight="1" x14ac:dyDescent="0.3">
      <c r="A112">
        <v>391200</v>
      </c>
      <c r="B112" t="s">
        <v>214</v>
      </c>
      <c r="C112" t="s">
        <v>213</v>
      </c>
      <c r="D112" s="87" t="str">
        <f t="shared" si="6"/>
        <v>39</v>
      </c>
      <c r="E112" s="92"/>
      <c r="F112" s="93">
        <f>(+IFERROR(VLOOKUP($A112,'[152]BG (2)'!$B$9:$J$570,4,FALSE),0))*1</f>
        <v>0</v>
      </c>
      <c r="G112" s="73">
        <f>(+IFERROR(VLOOKUP($A112,'[152]BG (2)'!$B$9:$J$570,5,FALSE),0))*-1</f>
        <v>-171756160</v>
      </c>
      <c r="H112" s="93">
        <f>(+IFERROR(VLOOKUP($A112,'[152]BG (2)'!$B$9:$J$570,6,FALSE),0))*1</f>
        <v>17693051</v>
      </c>
      <c r="I112" s="73">
        <f>(+IFERROR(VLOOKUP($A112,'[152]BG (2)'!$B$9:$J$570,7,FALSE),0))*-1</f>
        <v>31664666</v>
      </c>
      <c r="J112" s="114">
        <f>(+IFERROR(VLOOKUP($A112,'[152]BG (2)'!$B$9:$J$570,8,FALSE),0))*1</f>
        <v>0</v>
      </c>
      <c r="K112" s="1583">
        <f>(+IFERROR(VLOOKUP($A112,'[152]BG (2)'!$B$9:$J$570,9,FALSE),0))*-1</f>
        <v>-122398443</v>
      </c>
      <c r="P112" s="90">
        <f t="shared" si="7"/>
        <v>-122398443</v>
      </c>
      <c r="S112" s="90"/>
      <c r="T112" s="102">
        <f t="shared" si="9"/>
        <v>-122398443</v>
      </c>
      <c r="U112" s="95"/>
      <c r="V112" s="72"/>
      <c r="W112" s="75" t="e">
        <f>+A112-#REF!</f>
        <v>#REF!</v>
      </c>
      <c r="X112" s="1270"/>
      <c r="Y112" s="91"/>
      <c r="Z112" s="91"/>
      <c r="AA112" s="91"/>
    </row>
    <row r="113" spans="1:27" ht="14.4" customHeight="1" x14ac:dyDescent="0.3">
      <c r="A113">
        <v>391210</v>
      </c>
      <c r="B113" t="s">
        <v>215</v>
      </c>
      <c r="C113" t="s">
        <v>122</v>
      </c>
      <c r="D113" s="87" t="str">
        <f t="shared" si="6"/>
        <v>39</v>
      </c>
      <c r="E113" s="92"/>
      <c r="F113" s="93">
        <f>(+IFERROR(VLOOKUP($A113,'[152]BG (2)'!$B$9:$J$570,4,FALSE),0))*1</f>
        <v>0</v>
      </c>
      <c r="G113" s="73">
        <f>(+IFERROR(VLOOKUP($A113,'[152]BG (2)'!$B$9:$J$570,5,FALSE),0))*-1</f>
        <v>-1544187</v>
      </c>
      <c r="H113" s="93">
        <f>(+IFERROR(VLOOKUP($A113,'[152]BG (2)'!$B$9:$J$570,6,FALSE),0))*1</f>
        <v>0</v>
      </c>
      <c r="I113" s="73">
        <f>(+IFERROR(VLOOKUP($A113,'[152]BG (2)'!$B$9:$J$570,7,FALSE),0))*-1</f>
        <v>1544187</v>
      </c>
      <c r="J113" s="114">
        <f>(+IFERROR(VLOOKUP($A113,'[152]BG (2)'!$B$9:$J$570,8,FALSE),0))*1</f>
        <v>0</v>
      </c>
      <c r="K113" s="116">
        <f>(+IFERROR(VLOOKUP($A113,'[152]BG (2)'!$B$9:$J$570,9,FALSE),0))*-1</f>
        <v>0</v>
      </c>
      <c r="P113" s="90">
        <f t="shared" si="7"/>
        <v>0</v>
      </c>
      <c r="S113" s="90"/>
      <c r="T113" s="102">
        <f t="shared" si="9"/>
        <v>0</v>
      </c>
      <c r="U113" s="95"/>
      <c r="V113" s="72"/>
      <c r="W113" s="75" t="e">
        <f>+A113-#REF!</f>
        <v>#REF!</v>
      </c>
      <c r="X113" s="1270"/>
      <c r="Y113" s="91"/>
      <c r="Z113" s="91"/>
      <c r="AA113" s="91"/>
    </row>
    <row r="114" spans="1:27" ht="14.4" customHeight="1" x14ac:dyDescent="0.3">
      <c r="A114">
        <v>391300</v>
      </c>
      <c r="B114" t="s">
        <v>216</v>
      </c>
      <c r="C114" t="s">
        <v>213</v>
      </c>
      <c r="D114" s="87" t="str">
        <f t="shared" si="6"/>
        <v>39</v>
      </c>
      <c r="E114" s="92"/>
      <c r="F114" s="93">
        <f>(+IFERROR(VLOOKUP($A114,'[152]BG (2)'!$B$9:$J$570,4,FALSE),0))*1</f>
        <v>0</v>
      </c>
      <c r="G114" s="73">
        <f>(+IFERROR(VLOOKUP($A114,'[152]BG (2)'!$B$9:$J$570,5,FALSE),0))*-1</f>
        <v>-6862247</v>
      </c>
      <c r="H114" s="93">
        <f>(+IFERROR(VLOOKUP($A114,'[152]BG (2)'!$B$9:$J$570,6,FALSE),0))*1</f>
        <v>6803898</v>
      </c>
      <c r="I114" s="73">
        <f>(+IFERROR(VLOOKUP($A114,'[152]BG (2)'!$B$9:$J$570,7,FALSE),0))*-1</f>
        <v>-6233571</v>
      </c>
      <c r="J114" s="114">
        <f>(+IFERROR(VLOOKUP($A114,'[152]BG (2)'!$B$9:$J$570,8,FALSE),0))*1</f>
        <v>0</v>
      </c>
      <c r="K114" s="1583">
        <f>(+IFERROR(VLOOKUP($A114,'[152]BG (2)'!$B$9:$J$570,9,FALSE),0))*-1</f>
        <v>-6291920</v>
      </c>
      <c r="P114" s="90">
        <f t="shared" si="7"/>
        <v>-6291920</v>
      </c>
      <c r="S114" s="90"/>
      <c r="T114" s="102">
        <f t="shared" si="9"/>
        <v>-6291920</v>
      </c>
      <c r="U114" s="95"/>
      <c r="V114" s="72"/>
      <c r="W114" s="75" t="e">
        <f>+A114-#REF!</f>
        <v>#REF!</v>
      </c>
      <c r="X114" s="1270"/>
      <c r="Y114" s="91"/>
      <c r="Z114" s="91"/>
      <c r="AA114" s="91"/>
    </row>
    <row r="115" spans="1:27" ht="14.4" customHeight="1" x14ac:dyDescent="0.3">
      <c r="A115">
        <v>393100</v>
      </c>
      <c r="B115" t="s">
        <v>217</v>
      </c>
      <c r="C115" t="s">
        <v>122</v>
      </c>
      <c r="D115" s="87" t="str">
        <f t="shared" si="6"/>
        <v>39</v>
      </c>
      <c r="E115" s="92"/>
      <c r="F115" s="106">
        <f>(+IFERROR(VLOOKUP($A115,'[152]BG (2)'!$B$9:$J$570,4,FALSE),0))*1</f>
        <v>0</v>
      </c>
      <c r="G115" s="73">
        <f>(+IFERROR(VLOOKUP($A115,'[152]BG (2)'!$B$9:$J$570,5,FALSE),0))*-1</f>
        <v>-285289002</v>
      </c>
      <c r="H115" s="106">
        <f>(+IFERROR(VLOOKUP($A115,'[152]BG (2)'!$B$9:$J$570,6,FALSE),0))*1</f>
        <v>0</v>
      </c>
      <c r="I115" s="73">
        <f>(+IFERROR(VLOOKUP($A115,'[152]BG (2)'!$B$9:$J$570,7,FALSE),0))*-1</f>
        <v>0</v>
      </c>
      <c r="J115" s="114">
        <f>(+IFERROR(VLOOKUP($A115,'[152]BG (2)'!$B$9:$J$570,8,FALSE),0))*1</f>
        <v>0</v>
      </c>
      <c r="K115" s="1583">
        <f>(+IFERROR(VLOOKUP($A115,'[152]BG (2)'!$B$9:$J$570,9,FALSE),0))*-1</f>
        <v>-285289002</v>
      </c>
      <c r="P115" s="90">
        <f t="shared" si="7"/>
        <v>-285289002</v>
      </c>
      <c r="S115" s="90"/>
      <c r="T115" s="102">
        <f t="shared" si="9"/>
        <v>-285289002</v>
      </c>
      <c r="U115" s="95"/>
      <c r="V115" s="72"/>
      <c r="W115" s="75" t="e">
        <f>+A115-#REF!</f>
        <v>#REF!</v>
      </c>
      <c r="X115" s="1270"/>
      <c r="Y115" s="91"/>
      <c r="Z115" s="91"/>
      <c r="AA115" s="91"/>
    </row>
    <row r="116" spans="1:27" ht="14.4" customHeight="1" x14ac:dyDescent="0.3">
      <c r="A116">
        <v>401100</v>
      </c>
      <c r="B116" t="s">
        <v>218</v>
      </c>
      <c r="C116" t="s">
        <v>219</v>
      </c>
      <c r="D116" s="87" t="str">
        <f t="shared" si="6"/>
        <v>40</v>
      </c>
      <c r="E116" s="92"/>
      <c r="F116" s="117">
        <f>(+IFERROR(VLOOKUP($A116,'[152]BG (2)'!$B$9:$J$570,4,FALSE),0))*1</f>
        <v>99719582</v>
      </c>
      <c r="G116" s="73">
        <f>(+IFERROR(VLOOKUP($A116,'[152]BG (2)'!$B$9:$J$570,5,FALSE),0))*-1</f>
        <v>0</v>
      </c>
      <c r="H116" s="93">
        <f>(+IFERROR(VLOOKUP($A116,'[152]BG (2)'!$B$9:$J$570,6,FALSE),0))*1</f>
        <v>407690562</v>
      </c>
      <c r="I116" s="73">
        <f>(+IFERROR(VLOOKUP($A116,'[152]BG (2)'!$B$9:$J$570,7,FALSE),0))*-1</f>
        <v>-199722009</v>
      </c>
      <c r="J116" s="89">
        <f>(+IFERROR(VLOOKUP($A116,'[152]BG (2)'!$B$9:$J$570,8,FALSE),0))*1</f>
        <v>307688135</v>
      </c>
      <c r="K116" s="73">
        <f>(+IFERROR(VLOOKUP($A116,'[152]BG (2)'!$B$9:$J$570,9,FALSE),0))*-1</f>
        <v>0</v>
      </c>
      <c r="P116" s="90">
        <f t="shared" si="7"/>
        <v>307688135</v>
      </c>
      <c r="S116" s="90">
        <v>-23225001032</v>
      </c>
      <c r="T116" s="102">
        <f t="shared" si="9"/>
        <v>307688135</v>
      </c>
      <c r="U116" s="95"/>
      <c r="V116" s="72"/>
      <c r="W116" s="75" t="e">
        <f>+A116-#REF!</f>
        <v>#REF!</v>
      </c>
      <c r="X116" s="1270"/>
      <c r="Y116" s="91"/>
      <c r="Z116" s="91"/>
      <c r="AA116" s="91"/>
    </row>
    <row r="117" spans="1:27" ht="14.4" customHeight="1" x14ac:dyDescent="0.3">
      <c r="A117">
        <v>401110</v>
      </c>
      <c r="B117" t="s">
        <v>220</v>
      </c>
      <c r="C117" t="s">
        <v>219</v>
      </c>
      <c r="D117" s="87" t="str">
        <f t="shared" si="6"/>
        <v>40</v>
      </c>
      <c r="E117" s="92"/>
      <c r="F117" s="93">
        <f>(+IFERROR(VLOOKUP($A117,'[152]BG (2)'!$B$9:$J$570,4,FALSE),0))*1</f>
        <v>0</v>
      </c>
      <c r="G117" s="73">
        <f>(+IFERROR(VLOOKUP($A117,'[152]BG (2)'!$B$9:$J$570,5,FALSE),0))*-1</f>
        <v>-6551428268</v>
      </c>
      <c r="H117" s="93">
        <f>(+IFERROR(VLOOKUP($A117,'[152]BG (2)'!$B$9:$J$570,6,FALSE),0))*1</f>
        <v>2842328075</v>
      </c>
      <c r="I117" s="73">
        <f>(+IFERROR(VLOOKUP($A117,'[152]BG (2)'!$B$9:$J$570,7,FALSE),0))*-1</f>
        <v>-2898861533</v>
      </c>
      <c r="J117" s="89">
        <f>(+IFERROR(VLOOKUP($A117,'[152]BG (2)'!$B$9:$J$570,8,FALSE),0))*1</f>
        <v>0</v>
      </c>
      <c r="K117" s="73">
        <f>(+IFERROR(VLOOKUP($A117,'[152]BG (2)'!$B$9:$J$570,9,FALSE),0))*-1</f>
        <v>-6607961726</v>
      </c>
      <c r="P117" s="90">
        <f t="shared" si="7"/>
        <v>-6607961726</v>
      </c>
      <c r="S117" s="90">
        <v>-10122483511</v>
      </c>
      <c r="T117" s="102">
        <f t="shared" si="9"/>
        <v>-6607961726</v>
      </c>
      <c r="U117" s="95"/>
      <c r="V117" s="72"/>
      <c r="W117" s="75" t="e">
        <f>+A117-#REF!</f>
        <v>#REF!</v>
      </c>
      <c r="X117" s="1270"/>
      <c r="Y117" s="91"/>
      <c r="Z117" s="91"/>
      <c r="AA117" s="91"/>
    </row>
    <row r="118" spans="1:27" ht="14.4" customHeight="1" x14ac:dyDescent="0.3">
      <c r="A118">
        <v>401120</v>
      </c>
      <c r="B118" t="s">
        <v>221</v>
      </c>
      <c r="C118" t="s">
        <v>219</v>
      </c>
      <c r="D118" s="87" t="str">
        <f t="shared" si="6"/>
        <v>40</v>
      </c>
      <c r="E118" s="92"/>
      <c r="F118" s="93">
        <f>(+IFERROR(VLOOKUP($A118,'[152]BG (2)'!$B$9:$J$570,4,FALSE),0))*1</f>
        <v>0</v>
      </c>
      <c r="G118" s="73">
        <f>(+IFERROR(VLOOKUP($A118,'[152]BG (2)'!$B$9:$J$570,5,FALSE),0))*-1</f>
        <v>-2329475544</v>
      </c>
      <c r="H118" s="93">
        <f>(+IFERROR(VLOOKUP($A118,'[152]BG (2)'!$B$9:$J$570,6,FALSE),0))*1</f>
        <v>923071471</v>
      </c>
      <c r="I118" s="73">
        <f>(+IFERROR(VLOOKUP($A118,'[152]BG (2)'!$B$9:$J$570,7,FALSE),0))*-1</f>
        <v>-1437206078</v>
      </c>
      <c r="J118" s="89">
        <f>(+IFERROR(VLOOKUP($A118,'[152]BG (2)'!$B$9:$J$570,8,FALSE),0))*1</f>
        <v>0</v>
      </c>
      <c r="K118" s="73">
        <f>(+IFERROR(VLOOKUP($A118,'[152]BG (2)'!$B$9:$J$570,9,FALSE),0))*-1</f>
        <v>-2843610151</v>
      </c>
      <c r="P118" s="90">
        <f t="shared" si="7"/>
        <v>-2843610151</v>
      </c>
      <c r="S118" s="90">
        <v>-6453504811</v>
      </c>
      <c r="T118" s="102">
        <f t="shared" si="9"/>
        <v>-2843610151</v>
      </c>
      <c r="U118" s="95"/>
      <c r="V118" s="72"/>
      <c r="W118" s="75" t="e">
        <f>+A118-#REF!</f>
        <v>#REF!</v>
      </c>
      <c r="X118" s="1270"/>
      <c r="Y118" s="91"/>
      <c r="Z118" s="91"/>
      <c r="AA118" s="91"/>
    </row>
    <row r="119" spans="1:27" ht="14.4" customHeight="1" x14ac:dyDescent="0.3">
      <c r="A119">
        <v>401130</v>
      </c>
      <c r="B119" t="s">
        <v>222</v>
      </c>
      <c r="C119" t="s">
        <v>219</v>
      </c>
      <c r="D119" s="87" t="str">
        <f t="shared" si="6"/>
        <v>40</v>
      </c>
      <c r="E119" s="92"/>
      <c r="F119" s="93">
        <f>(+IFERROR(VLOOKUP($A119,'[152]BG (2)'!$B$9:$J$570,4,FALSE),0))*1</f>
        <v>0</v>
      </c>
      <c r="G119" s="73">
        <f>(+IFERROR(VLOOKUP($A119,'[152]BG (2)'!$B$9:$J$570,5,FALSE),0))*-1</f>
        <v>-5617380961</v>
      </c>
      <c r="H119" s="93">
        <f>(+IFERROR(VLOOKUP($A119,'[152]BG (2)'!$B$9:$J$570,6,FALSE),0))*1</f>
        <v>2783761529</v>
      </c>
      <c r="I119" s="73">
        <f>(+IFERROR(VLOOKUP($A119,'[152]BG (2)'!$B$9:$J$570,7,FALSE),0))*-1</f>
        <v>-2573894017</v>
      </c>
      <c r="J119" s="89">
        <f>(+IFERROR(VLOOKUP($A119,'[152]BG (2)'!$B$9:$J$570,8,FALSE),0))*1</f>
        <v>0</v>
      </c>
      <c r="K119" s="73">
        <f>(+IFERROR(VLOOKUP($A119,'[152]BG (2)'!$B$9:$J$570,9,FALSE),0))*-1</f>
        <v>-5407513449</v>
      </c>
      <c r="P119" s="90">
        <f t="shared" si="7"/>
        <v>-5407513449</v>
      </c>
      <c r="S119" s="90"/>
      <c r="T119" s="102">
        <f t="shared" si="9"/>
        <v>-5407513449</v>
      </c>
      <c r="U119" s="95"/>
      <c r="V119" s="72"/>
      <c r="W119" s="75" t="e">
        <f>+A119-#REF!</f>
        <v>#REF!</v>
      </c>
      <c r="X119" s="1270"/>
      <c r="Y119" s="91"/>
      <c r="Z119" s="91"/>
      <c r="AA119" s="91"/>
    </row>
    <row r="120" spans="1:27" ht="14.4" customHeight="1" x14ac:dyDescent="0.3">
      <c r="A120">
        <v>401140</v>
      </c>
      <c r="B120" t="s">
        <v>223</v>
      </c>
      <c r="C120" t="s">
        <v>219</v>
      </c>
      <c r="D120" s="87" t="str">
        <f t="shared" si="6"/>
        <v>40</v>
      </c>
      <c r="E120" s="92"/>
      <c r="F120" s="93">
        <f>(+IFERROR(VLOOKUP($A120,'[152]BG (2)'!$B$9:$J$570,4,FALSE),0))*1</f>
        <v>0</v>
      </c>
      <c r="G120" s="73">
        <f>(+IFERROR(VLOOKUP($A120,'[152]BG (2)'!$B$9:$J$570,5,FALSE),0))*-1</f>
        <v>-1234566710</v>
      </c>
      <c r="H120" s="93">
        <f>(+IFERROR(VLOOKUP($A120,'[152]BG (2)'!$B$9:$J$570,6,FALSE),0))*1</f>
        <v>457038503</v>
      </c>
      <c r="I120" s="73">
        <f>(+IFERROR(VLOOKUP($A120,'[152]BG (2)'!$B$9:$J$570,7,FALSE),0))*-1</f>
        <v>-458072282</v>
      </c>
      <c r="J120" s="89">
        <f>(+IFERROR(VLOOKUP($A120,'[152]BG (2)'!$B$9:$J$570,8,FALSE),0))*1</f>
        <v>0</v>
      </c>
      <c r="K120" s="73">
        <f>(+IFERROR(VLOOKUP($A120,'[152]BG (2)'!$B$9:$J$570,9,FALSE),0))*-1</f>
        <v>-1235600489</v>
      </c>
      <c r="P120" s="90">
        <f t="shared" si="7"/>
        <v>-1235600489</v>
      </c>
      <c r="S120" s="90"/>
      <c r="T120" s="102">
        <f t="shared" si="9"/>
        <v>-1235600489</v>
      </c>
      <c r="U120" s="95"/>
      <c r="V120" s="72"/>
      <c r="W120" s="75" t="e">
        <f>+A120-#REF!</f>
        <v>#REF!</v>
      </c>
      <c r="X120" s="1270"/>
      <c r="Y120" s="91"/>
      <c r="Z120" s="91"/>
      <c r="AA120" s="91"/>
    </row>
    <row r="121" spans="1:27" ht="14.4" customHeight="1" x14ac:dyDescent="0.3">
      <c r="A121">
        <v>401150</v>
      </c>
      <c r="B121"/>
      <c r="C121"/>
      <c r="D121" s="87" t="str">
        <f t="shared" si="6"/>
        <v>40</v>
      </c>
      <c r="E121" s="92"/>
      <c r="F121" s="93">
        <f>(+IFERROR(VLOOKUP($A121,'[152]BG (2)'!$B$9:$J$570,4,FALSE),0))*1</f>
        <v>0</v>
      </c>
      <c r="G121" s="73">
        <f>(+IFERROR(VLOOKUP($A121,'[152]BG (2)'!$B$9:$J$570,5,FALSE),0))*-1</f>
        <v>-558949289</v>
      </c>
      <c r="H121" s="93">
        <f>(+IFERROR(VLOOKUP($A121,'[152]BG (2)'!$B$9:$J$570,6,FALSE),0))*1</f>
        <v>26438400677</v>
      </c>
      <c r="I121" s="73">
        <f>(+IFERROR(VLOOKUP($A121,'[152]BG (2)'!$B$9:$J$570,7,FALSE),0))*-1</f>
        <v>-31089716906</v>
      </c>
      <c r="J121" s="89">
        <f>(+IFERROR(VLOOKUP($A121,'[152]BG (2)'!$B$9:$J$570,8,FALSE),0))*1</f>
        <v>0</v>
      </c>
      <c r="K121" s="73">
        <f>(+IFERROR(VLOOKUP($A121,'[152]BG (2)'!$B$9:$J$570,9,FALSE),0))*-1</f>
        <v>-5210265518</v>
      </c>
      <c r="P121" s="90">
        <f t="shared" si="7"/>
        <v>-5210265518</v>
      </c>
      <c r="S121" s="90"/>
      <c r="T121" s="102">
        <f t="shared" si="9"/>
        <v>-5210265518</v>
      </c>
      <c r="U121" s="95"/>
      <c r="V121" s="72"/>
      <c r="W121" s="75" t="e">
        <f>+A121-#REF!</f>
        <v>#REF!</v>
      </c>
      <c r="X121" s="1270"/>
      <c r="Y121" s="91"/>
      <c r="Z121" s="91"/>
      <c r="AA121" s="91"/>
    </row>
    <row r="122" spans="1:27" ht="14.4" customHeight="1" x14ac:dyDescent="0.3">
      <c r="A122">
        <v>401200</v>
      </c>
      <c r="B122" t="s">
        <v>224</v>
      </c>
      <c r="C122" t="s">
        <v>219</v>
      </c>
      <c r="D122" s="87" t="str">
        <f t="shared" si="6"/>
        <v>40</v>
      </c>
      <c r="E122" s="92"/>
      <c r="F122" s="93">
        <f>(+IFERROR(VLOOKUP($A122,'[152]BG (2)'!$B$9:$J$570,4,FALSE),0))*1</f>
        <v>0</v>
      </c>
      <c r="G122" s="73">
        <f>(+IFERROR(VLOOKUP($A122,'[152]BG (2)'!$B$9:$J$570,5,FALSE),0))*-1</f>
        <v>-130223085</v>
      </c>
      <c r="H122" s="93">
        <f>(+IFERROR(VLOOKUP($A122,'[152]BG (2)'!$B$9:$J$570,6,FALSE),0))*1</f>
        <v>0</v>
      </c>
      <c r="I122" s="73">
        <f>(+IFERROR(VLOOKUP($A122,'[152]BG (2)'!$B$9:$J$570,7,FALSE),0))*-1</f>
        <v>0</v>
      </c>
      <c r="J122" s="89">
        <f>(+IFERROR(VLOOKUP($A122,'[152]BG (2)'!$B$9:$J$570,8,FALSE),0))*1</f>
        <v>0</v>
      </c>
      <c r="K122" s="73">
        <f>(+IFERROR(VLOOKUP($A122,'[152]BG (2)'!$B$9:$J$570,9,FALSE),0))*-1</f>
        <v>-130223085</v>
      </c>
      <c r="P122" s="90">
        <f t="shared" si="7"/>
        <v>-130223085</v>
      </c>
      <c r="S122" s="90"/>
      <c r="T122" s="102">
        <f t="shared" si="9"/>
        <v>-130223085</v>
      </c>
      <c r="U122" s="95"/>
      <c r="V122" s="72"/>
      <c r="W122" s="75" t="e">
        <f>+A122-#REF!</f>
        <v>#REF!</v>
      </c>
      <c r="X122" s="1270"/>
      <c r="Y122" s="91"/>
      <c r="Z122" s="91"/>
      <c r="AA122" s="91"/>
    </row>
    <row r="123" spans="1:27" ht="14.4" customHeight="1" x14ac:dyDescent="0.3">
      <c r="A123">
        <v>401208</v>
      </c>
      <c r="B123"/>
      <c r="C123"/>
      <c r="D123" s="87" t="str">
        <f t="shared" si="6"/>
        <v>40</v>
      </c>
      <c r="E123" s="92"/>
      <c r="F123" s="93">
        <f>(+IFERROR(VLOOKUP($A123,'[152]BG (2)'!$B$9:$J$570,4,FALSE),0))*1</f>
        <v>0</v>
      </c>
      <c r="G123" s="73">
        <f>(+IFERROR(VLOOKUP($A123,'[152]BG (2)'!$B$9:$J$570,5,FALSE),0))*-1</f>
        <v>0</v>
      </c>
      <c r="H123" s="93">
        <f>(+IFERROR(VLOOKUP($A123,'[152]BG (2)'!$B$9:$J$570,6,FALSE),0))*1</f>
        <v>0</v>
      </c>
      <c r="I123" s="73">
        <f>(+IFERROR(VLOOKUP($A123,'[152]BG (2)'!$B$9:$J$570,7,FALSE),0))*-1</f>
        <v>0</v>
      </c>
      <c r="J123" s="89">
        <f>(+IFERROR(VLOOKUP($A123,'[152]BG (2)'!$B$9:$J$570,8,FALSE),0))*1</f>
        <v>0</v>
      </c>
      <c r="K123" s="73">
        <f>(+IFERROR(VLOOKUP($A123,'[152]BG (2)'!$B$9:$J$570,9,FALSE),0))*-1</f>
        <v>0</v>
      </c>
      <c r="P123" s="90">
        <f t="shared" si="7"/>
        <v>0</v>
      </c>
      <c r="S123" s="90"/>
      <c r="T123" s="102">
        <f t="shared" si="9"/>
        <v>0</v>
      </c>
      <c r="U123" s="95"/>
      <c r="V123" s="72"/>
      <c r="W123" s="75" t="e">
        <f>+A123-#REF!</f>
        <v>#REF!</v>
      </c>
      <c r="X123" s="1270"/>
      <c r="Y123" s="91"/>
      <c r="Z123" s="91"/>
      <c r="AA123" s="91"/>
    </row>
    <row r="124" spans="1:27" ht="14.4" customHeight="1" x14ac:dyDescent="0.3">
      <c r="A124">
        <v>401210</v>
      </c>
      <c r="B124" t="s">
        <v>225</v>
      </c>
      <c r="C124" t="s">
        <v>219</v>
      </c>
      <c r="D124" s="87" t="str">
        <f t="shared" si="6"/>
        <v>40</v>
      </c>
      <c r="E124" s="92"/>
      <c r="F124" s="93">
        <f>(+IFERROR(VLOOKUP($A124,'[152]BG (2)'!$B$9:$J$570,4,FALSE),0))*1</f>
        <v>0</v>
      </c>
      <c r="G124" s="73">
        <f>(+IFERROR(VLOOKUP($A124,'[152]BG (2)'!$B$9:$J$570,5,FALSE),0))*-1</f>
        <v>-160037680</v>
      </c>
      <c r="H124" s="93">
        <f>(+IFERROR(VLOOKUP($A124,'[152]BG (2)'!$B$9:$J$570,6,FALSE),0))*1</f>
        <v>1972285108</v>
      </c>
      <c r="I124" s="73">
        <f>(+IFERROR(VLOOKUP($A124,'[152]BG (2)'!$B$9:$J$570,7,FALSE),0))*-1</f>
        <v>-2063958829</v>
      </c>
      <c r="J124" s="89">
        <f>(+IFERROR(VLOOKUP($A124,'[152]BG (2)'!$B$9:$J$570,8,FALSE),0))*1</f>
        <v>0</v>
      </c>
      <c r="K124" s="73">
        <f>(+IFERROR(VLOOKUP($A124,'[152]BG (2)'!$B$9:$J$570,9,FALSE),0))*-1</f>
        <v>-251711401</v>
      </c>
      <c r="P124" s="90">
        <f t="shared" si="7"/>
        <v>-251711401</v>
      </c>
      <c r="S124" s="90"/>
      <c r="T124" s="102">
        <f t="shared" si="9"/>
        <v>-251711401</v>
      </c>
      <c r="U124" s="95"/>
      <c r="V124" s="72"/>
      <c r="W124" s="75" t="e">
        <f>+A124-#REF!</f>
        <v>#REF!</v>
      </c>
      <c r="X124" s="1270"/>
      <c r="Y124" s="91"/>
      <c r="Z124" s="91"/>
      <c r="AA124" s="91"/>
    </row>
    <row r="125" spans="1:27" ht="14.4" customHeight="1" x14ac:dyDescent="0.3">
      <c r="A125">
        <v>401300</v>
      </c>
      <c r="B125" t="s">
        <v>226</v>
      </c>
      <c r="C125" t="s">
        <v>219</v>
      </c>
      <c r="D125" s="87" t="str">
        <f t="shared" si="6"/>
        <v>40</v>
      </c>
      <c r="E125" s="92"/>
      <c r="F125" s="93">
        <f>(+IFERROR(VLOOKUP($A125,'[152]BG (2)'!$B$9:$J$570,4,FALSE),0))*1</f>
        <v>0</v>
      </c>
      <c r="G125" s="73">
        <f>(+IFERROR(VLOOKUP($A125,'[152]BG (2)'!$B$9:$J$570,5,FALSE),0))*-1</f>
        <v>-252369467</v>
      </c>
      <c r="H125" s="93">
        <f>(+IFERROR(VLOOKUP($A125,'[152]BG (2)'!$B$9:$J$570,6,FALSE),0))*1</f>
        <v>207986733</v>
      </c>
      <c r="I125" s="73">
        <f>(+IFERROR(VLOOKUP($A125,'[152]BG (2)'!$B$9:$J$570,7,FALSE),0))*-1</f>
        <v>-252963732</v>
      </c>
      <c r="J125" s="89">
        <f>(+IFERROR(VLOOKUP($A125,'[152]BG (2)'!$B$9:$J$570,8,FALSE),0))*1</f>
        <v>0</v>
      </c>
      <c r="K125" s="73">
        <f>(+IFERROR(VLOOKUP($A125,'[152]BG (2)'!$B$9:$J$570,9,FALSE),0))*-1</f>
        <v>-297346466</v>
      </c>
      <c r="P125" s="90">
        <f t="shared" si="7"/>
        <v>-297346466</v>
      </c>
      <c r="S125" s="90"/>
      <c r="T125" s="102">
        <f t="shared" si="9"/>
        <v>-297346466</v>
      </c>
      <c r="U125" s="95"/>
      <c r="V125" s="72"/>
      <c r="W125" s="75" t="e">
        <f>+A125-#REF!</f>
        <v>#REF!</v>
      </c>
      <c r="X125" s="1270"/>
      <c r="Y125" s="91"/>
      <c r="Z125" s="91"/>
      <c r="AA125" s="91"/>
    </row>
    <row r="126" spans="1:27" ht="14.4" customHeight="1" x14ac:dyDescent="0.3">
      <c r="A126">
        <v>401310</v>
      </c>
      <c r="B126" t="s">
        <v>227</v>
      </c>
      <c r="C126" t="s">
        <v>219</v>
      </c>
      <c r="D126" s="87" t="str">
        <f t="shared" si="6"/>
        <v>40</v>
      </c>
      <c r="E126" s="92"/>
      <c r="F126" s="93">
        <f>(+IFERROR(VLOOKUP($A126,'[152]BG (2)'!$B$9:$J$570,4,FALSE),0))*1</f>
        <v>0</v>
      </c>
      <c r="G126" s="73">
        <f>(+IFERROR(VLOOKUP($A126,'[152]BG (2)'!$B$9:$J$570,5,FALSE),0))*-1</f>
        <v>-1091585390</v>
      </c>
      <c r="H126" s="93">
        <f>(+IFERROR(VLOOKUP($A126,'[152]BG (2)'!$B$9:$J$570,6,FALSE),0))*1</f>
        <v>2468998255</v>
      </c>
      <c r="I126" s="73">
        <f>(+IFERROR(VLOOKUP($A126,'[152]BG (2)'!$B$9:$J$570,7,FALSE),0))*-1</f>
        <v>-2397752882</v>
      </c>
      <c r="J126" s="89">
        <f>(+IFERROR(VLOOKUP($A126,'[152]BG (2)'!$B$9:$J$570,8,FALSE),0))*1</f>
        <v>0</v>
      </c>
      <c r="K126" s="73">
        <f>(+IFERROR(VLOOKUP($A126,'[152]BG (2)'!$B$9:$J$570,9,FALSE),0))*-1</f>
        <v>-1020340017</v>
      </c>
      <c r="P126" s="90">
        <f t="shared" si="7"/>
        <v>-1020340017</v>
      </c>
      <c r="S126" s="90"/>
      <c r="T126" s="102">
        <f t="shared" si="9"/>
        <v>-1020340017</v>
      </c>
      <c r="U126" s="95"/>
      <c r="V126" s="72"/>
      <c r="W126" s="75" t="e">
        <f>+A126-#REF!</f>
        <v>#REF!</v>
      </c>
      <c r="X126" s="1270"/>
      <c r="Y126" s="91"/>
      <c r="Z126" s="91"/>
      <c r="AA126" s="91"/>
    </row>
    <row r="127" spans="1:27" ht="14.4" customHeight="1" x14ac:dyDescent="0.3">
      <c r="A127">
        <v>401314</v>
      </c>
      <c r="B127"/>
      <c r="C127" t="s">
        <v>219</v>
      </c>
      <c r="D127" s="87" t="str">
        <f t="shared" si="6"/>
        <v>40</v>
      </c>
      <c r="E127" s="92"/>
      <c r="F127" s="93">
        <f>(+IFERROR(VLOOKUP($A127,'[152]BG (2)'!$B$9:$J$570,4,FALSE),0))*1</f>
        <v>0</v>
      </c>
      <c r="G127" s="73">
        <f>(+IFERROR(VLOOKUP($A127,'[152]BG (2)'!$B$9:$J$570,5,FALSE),0))*-1</f>
        <v>0</v>
      </c>
      <c r="H127" s="93">
        <f>(+IFERROR(VLOOKUP($A127,'[152]BG (2)'!$B$9:$J$570,6,FALSE),0))*1</f>
        <v>0</v>
      </c>
      <c r="I127" s="73">
        <f>(+IFERROR(VLOOKUP($A127,'[152]BG (2)'!$B$9:$J$570,7,FALSE),0))*-1</f>
        <v>0</v>
      </c>
      <c r="J127" s="89">
        <f>(+IFERROR(VLOOKUP($A127,'[152]BG (2)'!$B$9:$J$570,8,FALSE),0))*1</f>
        <v>0</v>
      </c>
      <c r="K127" s="73">
        <f>(+IFERROR(VLOOKUP($A127,'[152]BG (2)'!$B$9:$J$570,9,FALSE),0))*-1</f>
        <v>0</v>
      </c>
      <c r="P127" s="90">
        <f t="shared" si="7"/>
        <v>0</v>
      </c>
      <c r="S127" s="90"/>
      <c r="T127" s="102"/>
      <c r="U127" s="95"/>
      <c r="V127" s="72"/>
      <c r="W127" s="75"/>
      <c r="X127" s="1270"/>
      <c r="Y127" s="91"/>
      <c r="Z127" s="91"/>
      <c r="AA127" s="91"/>
    </row>
    <row r="128" spans="1:27" ht="14.4" customHeight="1" x14ac:dyDescent="0.3">
      <c r="A128">
        <v>401320</v>
      </c>
      <c r="B128" t="s">
        <v>228</v>
      </c>
      <c r="C128" t="s">
        <v>219</v>
      </c>
      <c r="D128" s="87" t="str">
        <f t="shared" si="6"/>
        <v>40</v>
      </c>
      <c r="E128" s="92"/>
      <c r="F128" s="93">
        <f>(+IFERROR(VLOOKUP($A128,'[152]BG (2)'!$B$9:$J$570,4,FALSE),0))*1</f>
        <v>213945524</v>
      </c>
      <c r="G128" s="73">
        <f>(+IFERROR(VLOOKUP($A128,'[152]BG (2)'!$B$9:$J$570,5,FALSE),0))*-1</f>
        <v>0</v>
      </c>
      <c r="H128" s="93">
        <f>(+IFERROR(VLOOKUP($A128,'[152]BG (2)'!$B$9:$J$570,6,FALSE),0))*1</f>
        <v>3886785359</v>
      </c>
      <c r="I128" s="73">
        <f>(+IFERROR(VLOOKUP($A128,'[152]BG (2)'!$B$9:$J$570,7,FALSE),0))*-1</f>
        <v>-3784209879</v>
      </c>
      <c r="J128" s="89">
        <f>(+IFERROR(VLOOKUP($A128,'[152]BG (2)'!$B$9:$J$570,8,FALSE),0))*1</f>
        <v>316521004</v>
      </c>
      <c r="K128" s="73">
        <f>(+IFERROR(VLOOKUP($A128,'[152]BG (2)'!$B$9:$J$570,9,FALSE),0))*-1</f>
        <v>0</v>
      </c>
      <c r="P128" s="90">
        <f t="shared" si="7"/>
        <v>316521004</v>
      </c>
      <c r="S128" s="90"/>
      <c r="T128" s="102">
        <f t="shared" ref="T128:T144" si="10">K128+J128</f>
        <v>316521004</v>
      </c>
      <c r="U128" s="95"/>
      <c r="V128" s="72"/>
      <c r="W128" s="75" t="e">
        <f>+A128-#REF!</f>
        <v>#REF!</v>
      </c>
      <c r="X128" s="1270"/>
      <c r="Y128" s="91"/>
      <c r="Z128" s="91"/>
      <c r="AA128" s="91"/>
    </row>
    <row r="129" spans="1:27" ht="14.4" customHeight="1" x14ac:dyDescent="0.3">
      <c r="A129">
        <v>401330</v>
      </c>
      <c r="B129" t="s">
        <v>229</v>
      </c>
      <c r="C129" t="s">
        <v>219</v>
      </c>
      <c r="D129" s="87" t="str">
        <f t="shared" si="6"/>
        <v>40</v>
      </c>
      <c r="E129" s="92"/>
      <c r="F129" s="93">
        <f>(+IFERROR(VLOOKUP($A129,'[152]BG (2)'!$B$9:$J$570,4,FALSE),0))*1</f>
        <v>4714935</v>
      </c>
      <c r="G129" s="73">
        <f>(+IFERROR(VLOOKUP($A129,'[152]BG (2)'!$B$9:$J$570,5,FALSE),0))*-1</f>
        <v>0</v>
      </c>
      <c r="H129" s="93">
        <f>(+IFERROR(VLOOKUP($A129,'[152]BG (2)'!$B$9:$J$570,6,FALSE),0))*1</f>
        <v>5719150</v>
      </c>
      <c r="I129" s="73">
        <f>(+IFERROR(VLOOKUP($A129,'[152]BG (2)'!$B$9:$J$570,7,FALSE),0))*-1</f>
        <v>-4038624</v>
      </c>
      <c r="J129" s="89">
        <f>(+IFERROR(VLOOKUP($A129,'[152]BG (2)'!$B$9:$J$570,8,FALSE),0))*1</f>
        <v>6395461</v>
      </c>
      <c r="K129" s="73">
        <f>(+IFERROR(VLOOKUP($A129,'[152]BG (2)'!$B$9:$J$570,9,FALSE),0))*-1</f>
        <v>0</v>
      </c>
      <c r="P129" s="90">
        <f t="shared" si="7"/>
        <v>6395461</v>
      </c>
      <c r="S129" s="90"/>
      <c r="T129" s="102">
        <f t="shared" si="10"/>
        <v>6395461</v>
      </c>
      <c r="U129" s="95"/>
      <c r="V129" s="72"/>
      <c r="W129" s="75" t="e">
        <f>+A129-#REF!</f>
        <v>#REF!</v>
      </c>
      <c r="X129" s="1270"/>
      <c r="Y129" s="91"/>
      <c r="Z129" s="91"/>
      <c r="AA129" s="91"/>
    </row>
    <row r="130" spans="1:27" ht="14.4" customHeight="1" x14ac:dyDescent="0.3">
      <c r="A130">
        <v>401340</v>
      </c>
      <c r="B130" t="s">
        <v>230</v>
      </c>
      <c r="C130" t="s">
        <v>219</v>
      </c>
      <c r="D130" s="87" t="str">
        <f t="shared" si="6"/>
        <v>40</v>
      </c>
      <c r="E130" s="92"/>
      <c r="F130" s="93">
        <f>(+IFERROR(VLOOKUP($A130,'[152]BG (2)'!$B$9:$J$570,4,FALSE),0))*1</f>
        <v>0</v>
      </c>
      <c r="G130" s="73">
        <f>(+IFERROR(VLOOKUP($A130,'[152]BG (2)'!$B$9:$J$570,5,FALSE),0))*-1</f>
        <v>-1554756749</v>
      </c>
      <c r="H130" s="93">
        <f>(+IFERROR(VLOOKUP($A130,'[152]BG (2)'!$B$9:$J$570,6,FALSE),0))*1</f>
        <v>7740805869</v>
      </c>
      <c r="I130" s="73">
        <f>(+IFERROR(VLOOKUP($A130,'[152]BG (2)'!$B$9:$J$570,7,FALSE),0))*-1</f>
        <v>-7159510745</v>
      </c>
      <c r="J130" s="89">
        <f>(+IFERROR(VLOOKUP($A130,'[152]BG (2)'!$B$9:$J$570,8,FALSE),0))*1</f>
        <v>0</v>
      </c>
      <c r="K130" s="73">
        <f>(+IFERROR(VLOOKUP($A130,'[152]BG (2)'!$B$9:$J$570,9,FALSE),0))*-1</f>
        <v>-973461625</v>
      </c>
      <c r="P130" s="90">
        <f t="shared" si="7"/>
        <v>-973461625</v>
      </c>
      <c r="S130" s="90"/>
      <c r="T130" s="102">
        <f t="shared" si="10"/>
        <v>-973461625</v>
      </c>
      <c r="U130" s="95"/>
      <c r="V130" s="72"/>
      <c r="W130" s="75" t="e">
        <f>+A130-#REF!</f>
        <v>#REF!</v>
      </c>
      <c r="X130" s="1270"/>
      <c r="Y130" s="91"/>
      <c r="Z130" s="91"/>
      <c r="AA130" s="91"/>
    </row>
    <row r="131" spans="1:27" ht="14.4" customHeight="1" x14ac:dyDescent="0.3">
      <c r="A131">
        <v>401350</v>
      </c>
      <c r="B131" t="s">
        <v>231</v>
      </c>
      <c r="C131" t="s">
        <v>219</v>
      </c>
      <c r="D131" s="87" t="str">
        <f t="shared" si="6"/>
        <v>40</v>
      </c>
      <c r="E131" s="92"/>
      <c r="F131" s="93">
        <f>(+IFERROR(VLOOKUP($A131,'[152]BG (2)'!$B$9:$J$570,4,FALSE),0))*1</f>
        <v>0</v>
      </c>
      <c r="G131" s="73">
        <f>(+IFERROR(VLOOKUP($A131,'[152]BG (2)'!$B$9:$J$570,5,FALSE),0))*-1</f>
        <v>-5907628</v>
      </c>
      <c r="H131" s="93">
        <f>(+IFERROR(VLOOKUP($A131,'[152]BG (2)'!$B$9:$J$570,6,FALSE),0))*1</f>
        <v>98830044</v>
      </c>
      <c r="I131" s="73">
        <f>(+IFERROR(VLOOKUP($A131,'[152]BG (2)'!$B$9:$J$570,7,FALSE),0))*-1</f>
        <v>-104602524</v>
      </c>
      <c r="J131" s="89">
        <f>(+IFERROR(VLOOKUP($A131,'[152]BG (2)'!$B$9:$J$570,8,FALSE),0))*1</f>
        <v>0</v>
      </c>
      <c r="K131" s="73">
        <f>(+IFERROR(VLOOKUP($A131,'[152]BG (2)'!$B$9:$J$570,9,FALSE),0))*-1</f>
        <v>-11680108</v>
      </c>
      <c r="P131" s="90">
        <f t="shared" si="7"/>
        <v>-11680108</v>
      </c>
      <c r="S131" s="90"/>
      <c r="T131" s="102">
        <f t="shared" si="10"/>
        <v>-11680108</v>
      </c>
      <c r="U131" s="95"/>
      <c r="V131" s="72"/>
      <c r="W131" s="75" t="e">
        <f>+A131-#REF!</f>
        <v>#REF!</v>
      </c>
      <c r="X131" s="1270"/>
      <c r="Y131" s="91"/>
      <c r="Z131" s="91"/>
      <c r="AA131" s="91"/>
    </row>
    <row r="132" spans="1:27" ht="14.4" customHeight="1" x14ac:dyDescent="0.3">
      <c r="A132">
        <v>401360</v>
      </c>
      <c r="B132" t="s">
        <v>232</v>
      </c>
      <c r="C132" t="s">
        <v>219</v>
      </c>
      <c r="D132" s="87" t="str">
        <f t="shared" si="6"/>
        <v>40</v>
      </c>
      <c r="E132" s="92"/>
      <c r="F132" s="93">
        <f>(+IFERROR(VLOOKUP($A132,'[152]BG (2)'!$B$9:$J$570,4,FALSE),0))*1</f>
        <v>0</v>
      </c>
      <c r="G132" s="73">
        <f>(+IFERROR(VLOOKUP($A132,'[152]BG (2)'!$B$9:$J$570,5,FALSE),0))*-1</f>
        <v>-52419425</v>
      </c>
      <c r="H132" s="93">
        <f>(+IFERROR(VLOOKUP($A132,'[152]BG (2)'!$B$9:$J$570,6,FALSE),0))*1</f>
        <v>2408758952</v>
      </c>
      <c r="I132" s="73">
        <f>(+IFERROR(VLOOKUP($A132,'[152]BG (2)'!$B$9:$J$570,7,FALSE),0))*-1</f>
        <v>-2394606817</v>
      </c>
      <c r="J132" s="89">
        <f>(+IFERROR(VLOOKUP($A132,'[152]BG (2)'!$B$9:$J$570,8,FALSE),0))*1</f>
        <v>0</v>
      </c>
      <c r="K132" s="73">
        <f>(+IFERROR(VLOOKUP($A132,'[152]BG (2)'!$B$9:$J$570,9,FALSE),0))*-1</f>
        <v>-38267290</v>
      </c>
      <c r="P132" s="90">
        <f t="shared" si="7"/>
        <v>-38267290</v>
      </c>
      <c r="S132" s="90"/>
      <c r="T132" s="102">
        <f t="shared" si="10"/>
        <v>-38267290</v>
      </c>
      <c r="U132" s="95"/>
      <c r="V132" s="72"/>
      <c r="W132" s="75" t="e">
        <f>+A132-#REF!</f>
        <v>#REF!</v>
      </c>
      <c r="X132" s="1270"/>
      <c r="Y132" s="91"/>
      <c r="Z132" s="91"/>
      <c r="AA132" s="91"/>
    </row>
    <row r="133" spans="1:27" ht="14.4" customHeight="1" x14ac:dyDescent="0.3">
      <c r="A133">
        <v>401370</v>
      </c>
      <c r="B133" t="s">
        <v>233</v>
      </c>
      <c r="C133" t="s">
        <v>219</v>
      </c>
      <c r="D133" s="87" t="str">
        <f t="shared" ref="D133:D197" si="11">+LEFT(A133,2)</f>
        <v>40</v>
      </c>
      <c r="E133" s="92"/>
      <c r="F133" s="93">
        <f>(+IFERROR(VLOOKUP($A133,'[152]BG (2)'!$B$9:$J$570,4,FALSE),0))*1</f>
        <v>0</v>
      </c>
      <c r="G133" s="73">
        <f>(+IFERROR(VLOOKUP($A133,'[152]BG (2)'!$B$9:$J$570,5,FALSE),0))*-1</f>
        <v>-210670328</v>
      </c>
      <c r="H133" s="93">
        <f>(+IFERROR(VLOOKUP($A133,'[152]BG (2)'!$B$9:$J$570,6,FALSE),0))*1</f>
        <v>753476724</v>
      </c>
      <c r="I133" s="73">
        <f>(+IFERROR(VLOOKUP($A133,'[152]BG (2)'!$B$9:$J$570,7,FALSE),0))*-1</f>
        <v>-1230307191</v>
      </c>
      <c r="J133" s="89">
        <f>(+IFERROR(VLOOKUP($A133,'[152]BG (2)'!$B$9:$J$570,8,FALSE),0))*1</f>
        <v>0</v>
      </c>
      <c r="K133" s="73">
        <f>(+IFERROR(VLOOKUP($A133,'[152]BG (2)'!$B$9:$J$570,9,FALSE),0))*-1</f>
        <v>-687500795</v>
      </c>
      <c r="P133" s="90">
        <f t="shared" ref="P133:P196" si="12">J133+K133</f>
        <v>-687500795</v>
      </c>
      <c r="S133" s="90"/>
      <c r="T133" s="102">
        <f t="shared" si="10"/>
        <v>-687500795</v>
      </c>
      <c r="U133" s="95"/>
      <c r="V133" s="72"/>
      <c r="W133" s="75" t="e">
        <f>+A133-#REF!</f>
        <v>#REF!</v>
      </c>
      <c r="X133" s="1270"/>
      <c r="Y133" s="91"/>
      <c r="Z133" s="91"/>
      <c r="AA133" s="91"/>
    </row>
    <row r="134" spans="1:27" ht="14.4" customHeight="1" x14ac:dyDescent="0.3">
      <c r="A134">
        <v>401380</v>
      </c>
      <c r="B134" t="s">
        <v>234</v>
      </c>
      <c r="C134" t="s">
        <v>219</v>
      </c>
      <c r="D134" s="87" t="str">
        <f t="shared" si="11"/>
        <v>40</v>
      </c>
      <c r="E134" s="92"/>
      <c r="F134" s="93">
        <f>(+IFERROR(VLOOKUP($A134,'[152]BG (2)'!$B$9:$J$570,4,FALSE),0))*1</f>
        <v>0</v>
      </c>
      <c r="G134" s="73">
        <f>(+IFERROR(VLOOKUP($A134,'[152]BG (2)'!$B$9:$J$570,5,FALSE),0))*-1</f>
        <v>-76589578</v>
      </c>
      <c r="H134" s="93">
        <f>(+IFERROR(VLOOKUP($A134,'[152]BG (2)'!$B$9:$J$570,6,FALSE),0))*1</f>
        <v>185037426</v>
      </c>
      <c r="I134" s="73">
        <f>(+IFERROR(VLOOKUP($A134,'[152]BG (2)'!$B$9:$J$570,7,FALSE),0))*-1</f>
        <v>-149373240</v>
      </c>
      <c r="J134" s="89">
        <f>(+IFERROR(VLOOKUP($A134,'[152]BG (2)'!$B$9:$J$570,8,FALSE),0))*1</f>
        <v>0</v>
      </c>
      <c r="K134" s="73">
        <f>(+IFERROR(VLOOKUP($A134,'[152]BG (2)'!$B$9:$J$570,9,FALSE),0))*-1</f>
        <v>-40925392</v>
      </c>
      <c r="P134" s="90">
        <f t="shared" si="12"/>
        <v>-40925392</v>
      </c>
      <c r="S134" s="90"/>
      <c r="T134" s="102">
        <f t="shared" si="10"/>
        <v>-40925392</v>
      </c>
      <c r="U134" s="95"/>
      <c r="V134" s="72"/>
      <c r="W134" s="75" t="e">
        <f>+A134-#REF!</f>
        <v>#REF!</v>
      </c>
      <c r="X134" s="1270"/>
      <c r="Y134" s="91"/>
      <c r="Z134" s="91"/>
      <c r="AA134" s="91"/>
    </row>
    <row r="135" spans="1:27" ht="14.4" customHeight="1" x14ac:dyDescent="0.3">
      <c r="A135">
        <v>401390</v>
      </c>
      <c r="B135" t="s">
        <v>235</v>
      </c>
      <c r="C135" t="s">
        <v>219</v>
      </c>
      <c r="D135" s="87" t="str">
        <f t="shared" si="11"/>
        <v>40</v>
      </c>
      <c r="E135" s="92"/>
      <c r="F135" s="93">
        <f>(+IFERROR(VLOOKUP($A135,'[152]BG (2)'!$B$9:$J$570,4,FALSE),0))*1</f>
        <v>0</v>
      </c>
      <c r="G135" s="73">
        <f>(+IFERROR(VLOOKUP($A135,'[152]BG (2)'!$B$9:$J$570,5,FALSE),0))*-1</f>
        <v>-3915115</v>
      </c>
      <c r="H135" s="93">
        <f>(+IFERROR(VLOOKUP($A135,'[152]BG (2)'!$B$9:$J$570,6,FALSE),0))*1</f>
        <v>5802923486</v>
      </c>
      <c r="I135" s="73">
        <f>(+IFERROR(VLOOKUP($A135,'[152]BG (2)'!$B$9:$J$570,7,FALSE),0))*-1</f>
        <v>-5696934363</v>
      </c>
      <c r="J135" s="89">
        <f>(+IFERROR(VLOOKUP($A135,'[152]BG (2)'!$B$9:$J$570,8,FALSE),0))*1</f>
        <v>102074008</v>
      </c>
      <c r="K135" s="73">
        <f>(+IFERROR(VLOOKUP($A135,'[152]BG (2)'!$B$9:$J$570,9,FALSE),0))*-1</f>
        <v>0</v>
      </c>
      <c r="P135" s="90">
        <f t="shared" si="12"/>
        <v>102074008</v>
      </c>
      <c r="S135" s="90"/>
      <c r="T135" s="102">
        <f t="shared" si="10"/>
        <v>102074008</v>
      </c>
      <c r="U135" s="95"/>
      <c r="V135" s="72"/>
      <c r="W135" s="75" t="e">
        <f>+A135-#REF!</f>
        <v>#REF!</v>
      </c>
      <c r="X135" s="1270"/>
      <c r="Y135" s="91"/>
      <c r="Z135" s="91"/>
      <c r="AA135" s="91"/>
    </row>
    <row r="136" spans="1:27" ht="14.4" customHeight="1" x14ac:dyDescent="0.3">
      <c r="A136">
        <v>401400</v>
      </c>
      <c r="B136" t="s">
        <v>236</v>
      </c>
      <c r="C136" t="s">
        <v>219</v>
      </c>
      <c r="D136" s="87" t="str">
        <f t="shared" si="11"/>
        <v>40</v>
      </c>
      <c r="E136" s="92"/>
      <c r="F136" s="93">
        <f>(+IFERROR(VLOOKUP($A136,'[152]BG (2)'!$B$9:$J$570,4,FALSE),0))*1</f>
        <v>0</v>
      </c>
      <c r="G136" s="73">
        <f>(+IFERROR(VLOOKUP($A136,'[152]BG (2)'!$B$9:$J$570,5,FALSE),0))*-1</f>
        <v>-1731671</v>
      </c>
      <c r="H136" s="93">
        <f>(+IFERROR(VLOOKUP($A136,'[152]BG (2)'!$B$9:$J$570,6,FALSE),0))*1</f>
        <v>19603402</v>
      </c>
      <c r="I136" s="73">
        <f>(+IFERROR(VLOOKUP($A136,'[152]BG (2)'!$B$9:$J$570,7,FALSE),0))*-1</f>
        <v>-24201260</v>
      </c>
      <c r="J136" s="89">
        <f>(+IFERROR(VLOOKUP($A136,'[152]BG (2)'!$B$9:$J$570,8,FALSE),0))*1</f>
        <v>0</v>
      </c>
      <c r="K136" s="73">
        <f>(+IFERROR(VLOOKUP($A136,'[152]BG (2)'!$B$9:$J$570,9,FALSE),0))*-1</f>
        <v>-6329529</v>
      </c>
      <c r="P136" s="90">
        <f t="shared" si="12"/>
        <v>-6329529</v>
      </c>
      <c r="S136" s="90"/>
      <c r="T136" s="102">
        <f t="shared" si="10"/>
        <v>-6329529</v>
      </c>
      <c r="U136" s="95"/>
      <c r="V136" s="72"/>
      <c r="W136" s="75" t="e">
        <f>+A136-#REF!</f>
        <v>#REF!</v>
      </c>
      <c r="X136" s="1270"/>
      <c r="Y136" s="91"/>
      <c r="Z136" s="91"/>
      <c r="AA136" s="91"/>
    </row>
    <row r="137" spans="1:27" ht="14.4" customHeight="1" x14ac:dyDescent="0.3">
      <c r="A137">
        <v>401410</v>
      </c>
      <c r="B137" t="s">
        <v>237</v>
      </c>
      <c r="C137" t="s">
        <v>219</v>
      </c>
      <c r="D137" s="87" t="str">
        <f t="shared" si="11"/>
        <v>40</v>
      </c>
      <c r="E137" s="92"/>
      <c r="F137" s="93">
        <f>(+IFERROR(VLOOKUP($A137,'[152]BG (2)'!$B$9:$J$570,4,FALSE),0))*1</f>
        <v>0</v>
      </c>
      <c r="G137" s="73">
        <f>(+IFERROR(VLOOKUP($A137,'[152]BG (2)'!$B$9:$J$570,5,FALSE),0))*-1</f>
        <v>-148760492</v>
      </c>
      <c r="H137" s="93">
        <f>(+IFERROR(VLOOKUP($A137,'[152]BG (2)'!$B$9:$J$570,6,FALSE),0))*1</f>
        <v>1049699561</v>
      </c>
      <c r="I137" s="73">
        <f>(+IFERROR(VLOOKUP($A137,'[152]BG (2)'!$B$9:$J$570,7,FALSE),0))*-1</f>
        <v>-1011118736</v>
      </c>
      <c r="J137" s="89">
        <f>(+IFERROR(VLOOKUP($A137,'[152]BG (2)'!$B$9:$J$570,8,FALSE),0))*1</f>
        <v>0</v>
      </c>
      <c r="K137" s="73">
        <f>(+IFERROR(VLOOKUP($A137,'[152]BG (2)'!$B$9:$J$570,9,FALSE),0))*-1</f>
        <v>-110179667</v>
      </c>
      <c r="P137" s="90">
        <f t="shared" si="12"/>
        <v>-110179667</v>
      </c>
      <c r="S137" s="90"/>
      <c r="T137" s="102">
        <f t="shared" si="10"/>
        <v>-110179667</v>
      </c>
      <c r="U137" s="95"/>
      <c r="V137" s="72"/>
      <c r="W137" s="75" t="e">
        <f>+A137-#REF!</f>
        <v>#REF!</v>
      </c>
      <c r="X137" s="1270"/>
      <c r="Y137" s="91"/>
      <c r="Z137" s="91"/>
      <c r="AA137" s="91"/>
    </row>
    <row r="138" spans="1:27" ht="14.4" customHeight="1" x14ac:dyDescent="0.3">
      <c r="A138">
        <v>401420</v>
      </c>
      <c r="B138" t="s">
        <v>238</v>
      </c>
      <c r="C138" t="s">
        <v>219</v>
      </c>
      <c r="D138" s="87" t="str">
        <f t="shared" si="11"/>
        <v>40</v>
      </c>
      <c r="E138" s="92"/>
      <c r="F138" s="93">
        <f>(+IFERROR(VLOOKUP($A138,'[152]BG (2)'!$B$9:$J$570,4,FALSE),0))*1</f>
        <v>1067995</v>
      </c>
      <c r="G138" s="73">
        <f>(+IFERROR(VLOOKUP($A138,'[152]BG (2)'!$B$9:$J$570,5,FALSE),0))*-1</f>
        <v>0</v>
      </c>
      <c r="H138" s="93">
        <f>(+IFERROR(VLOOKUP($A138,'[152]BG (2)'!$B$9:$J$570,6,FALSE),0))*1</f>
        <v>175453435</v>
      </c>
      <c r="I138" s="73">
        <f>(+IFERROR(VLOOKUP($A138,'[152]BG (2)'!$B$9:$J$570,7,FALSE),0))*-1</f>
        <v>-188905656</v>
      </c>
      <c r="J138" s="89">
        <f>(+IFERROR(VLOOKUP($A138,'[152]BG (2)'!$B$9:$J$570,8,FALSE),0))*1</f>
        <v>0</v>
      </c>
      <c r="K138" s="73">
        <f>(+IFERROR(VLOOKUP($A138,'[152]BG (2)'!$B$9:$J$570,9,FALSE),0))*-1</f>
        <v>-12384226</v>
      </c>
      <c r="P138" s="90">
        <f t="shared" si="12"/>
        <v>-12384226</v>
      </c>
      <c r="S138" s="90"/>
      <c r="T138" s="102">
        <f t="shared" si="10"/>
        <v>-12384226</v>
      </c>
      <c r="U138" s="95"/>
      <c r="V138" s="72"/>
      <c r="W138" s="75" t="e">
        <f>+A138-#REF!</f>
        <v>#REF!</v>
      </c>
      <c r="X138" s="1270"/>
      <c r="Y138" s="91"/>
      <c r="Z138" s="91"/>
      <c r="AA138" s="91"/>
    </row>
    <row r="139" spans="1:27" ht="14.4" customHeight="1" x14ac:dyDescent="0.3">
      <c r="A139">
        <v>401430</v>
      </c>
      <c r="B139" t="s">
        <v>239</v>
      </c>
      <c r="C139" t="s">
        <v>219</v>
      </c>
      <c r="D139" s="87" t="str">
        <f t="shared" si="11"/>
        <v>40</v>
      </c>
      <c r="E139" s="92"/>
      <c r="F139" s="93">
        <f>(+IFERROR(VLOOKUP($A139,'[152]BG (2)'!$B$9:$J$570,4,FALSE),0))*1</f>
        <v>0</v>
      </c>
      <c r="G139" s="73">
        <f>(+IFERROR(VLOOKUP($A139,'[152]BG (2)'!$B$9:$J$570,5,FALSE),0))*-1</f>
        <v>-10280000</v>
      </c>
      <c r="H139" s="93">
        <f>(+IFERROR(VLOOKUP($A139,'[152]BG (2)'!$B$9:$J$570,6,FALSE),0))*1</f>
        <v>11150000</v>
      </c>
      <c r="I139" s="73">
        <f>(+IFERROR(VLOOKUP($A139,'[152]BG (2)'!$B$9:$J$570,7,FALSE),0))*-1</f>
        <v>-12110000</v>
      </c>
      <c r="J139" s="89">
        <f>(+IFERROR(VLOOKUP($A139,'[152]BG (2)'!$B$9:$J$570,8,FALSE),0))*1</f>
        <v>0</v>
      </c>
      <c r="K139" s="73">
        <f>(+IFERROR(VLOOKUP($A139,'[152]BG (2)'!$B$9:$J$570,9,FALSE),0))*-1</f>
        <v>-11240000</v>
      </c>
      <c r="P139" s="90">
        <f t="shared" si="12"/>
        <v>-11240000</v>
      </c>
      <c r="S139" s="90"/>
      <c r="T139" s="102">
        <f t="shared" si="10"/>
        <v>-11240000</v>
      </c>
      <c r="U139" s="95"/>
      <c r="V139" s="72"/>
      <c r="W139" s="75" t="e">
        <f>+A139-#REF!</f>
        <v>#REF!</v>
      </c>
      <c r="X139" s="1270"/>
      <c r="Y139" s="91"/>
      <c r="Z139" s="91"/>
      <c r="AA139" s="91"/>
    </row>
    <row r="140" spans="1:27" ht="14.4" customHeight="1" x14ac:dyDescent="0.3">
      <c r="A140">
        <v>401440</v>
      </c>
      <c r="B140" t="s">
        <v>240</v>
      </c>
      <c r="C140" t="s">
        <v>219</v>
      </c>
      <c r="D140" s="87" t="str">
        <f t="shared" si="11"/>
        <v>40</v>
      </c>
      <c r="E140" s="92"/>
      <c r="F140" s="93">
        <f>(+IFERROR(VLOOKUP($A140,'[152]BG (2)'!$B$9:$J$570,4,FALSE),0))*1</f>
        <v>0</v>
      </c>
      <c r="G140" s="73">
        <f>(+IFERROR(VLOOKUP($A140,'[152]BG (2)'!$B$9:$J$570,5,FALSE),0))*-1</f>
        <v>-47036122</v>
      </c>
      <c r="H140" s="93">
        <f>(+IFERROR(VLOOKUP($A140,'[152]BG (2)'!$B$9:$J$570,6,FALSE),0))*1</f>
        <v>1726089049</v>
      </c>
      <c r="I140" s="73">
        <f>(+IFERROR(VLOOKUP($A140,'[152]BG (2)'!$B$9:$J$570,7,FALSE),0))*-1</f>
        <v>-1832775419</v>
      </c>
      <c r="J140" s="89">
        <f>(+IFERROR(VLOOKUP($A140,'[152]BG (2)'!$B$9:$J$570,8,FALSE),0))*1</f>
        <v>0</v>
      </c>
      <c r="K140" s="73">
        <f>(+IFERROR(VLOOKUP($A140,'[152]BG (2)'!$B$9:$J$570,9,FALSE),0))*-1</f>
        <v>-153722492</v>
      </c>
      <c r="P140" s="90">
        <f t="shared" si="12"/>
        <v>-153722492</v>
      </c>
      <c r="S140" s="90"/>
      <c r="T140" s="102">
        <f t="shared" si="10"/>
        <v>-153722492</v>
      </c>
      <c r="U140" s="95"/>
      <c r="V140" s="72"/>
      <c r="W140" s="75" t="e">
        <f>+A140-#REF!</f>
        <v>#REF!</v>
      </c>
      <c r="X140" s="1270"/>
      <c r="Y140" s="91"/>
      <c r="Z140" s="91"/>
      <c r="AA140" s="91"/>
    </row>
    <row r="141" spans="1:27" ht="14.4" customHeight="1" x14ac:dyDescent="0.3">
      <c r="A141">
        <v>401450</v>
      </c>
      <c r="B141" t="s">
        <v>241</v>
      </c>
      <c r="C141" t="s">
        <v>219</v>
      </c>
      <c r="D141" s="87" t="str">
        <f t="shared" si="11"/>
        <v>40</v>
      </c>
      <c r="E141" s="92"/>
      <c r="F141" s="93">
        <f>(+IFERROR(VLOOKUP($A141,'[152]BG (2)'!$B$9:$J$570,4,FALSE),0))*1</f>
        <v>38918271</v>
      </c>
      <c r="G141" s="73">
        <f>(+IFERROR(VLOOKUP($A141,'[152]BG (2)'!$B$9:$J$570,5,FALSE),0))*-1</f>
        <v>0</v>
      </c>
      <c r="H141" s="93">
        <f>(+IFERROR(VLOOKUP($A141,'[152]BG (2)'!$B$9:$J$570,6,FALSE),0))*1</f>
        <v>194393587</v>
      </c>
      <c r="I141" s="73">
        <f>(+IFERROR(VLOOKUP($A141,'[152]BG (2)'!$B$9:$J$570,7,FALSE),0))*-1</f>
        <v>-306289593</v>
      </c>
      <c r="J141" s="89">
        <f>(+IFERROR(VLOOKUP($A141,'[152]BG (2)'!$B$9:$J$570,8,FALSE),0))*1</f>
        <v>0</v>
      </c>
      <c r="K141" s="73">
        <f>(+IFERROR(VLOOKUP($A141,'[152]BG (2)'!$B$9:$J$570,9,FALSE),0))*-1</f>
        <v>-72977735</v>
      </c>
      <c r="P141" s="90">
        <f t="shared" si="12"/>
        <v>-72977735</v>
      </c>
      <c r="S141" s="90"/>
      <c r="T141" s="102">
        <f t="shared" si="10"/>
        <v>-72977735</v>
      </c>
      <c r="U141" s="95"/>
      <c r="V141" s="72"/>
      <c r="W141" s="75" t="e">
        <f>+A141-#REF!</f>
        <v>#REF!</v>
      </c>
      <c r="X141" s="1270"/>
      <c r="Y141" s="91"/>
      <c r="Z141" s="91"/>
      <c r="AA141" s="91"/>
    </row>
    <row r="142" spans="1:27" ht="14.4" customHeight="1" x14ac:dyDescent="0.3">
      <c r="A142">
        <v>401459</v>
      </c>
      <c r="B142"/>
      <c r="C142" t="s">
        <v>219</v>
      </c>
      <c r="D142" s="87" t="str">
        <f t="shared" si="11"/>
        <v>40</v>
      </c>
      <c r="E142" s="92"/>
      <c r="F142" s="93">
        <f>(+IFERROR(VLOOKUP($A142,'[152]BG (2)'!$B$9:$J$570,4,FALSE),0))*1</f>
        <v>0</v>
      </c>
      <c r="G142" s="73">
        <f>(+IFERROR(VLOOKUP($A142,'[152]BG (2)'!$B$9:$J$570,5,FALSE),0))*-1</f>
        <v>0</v>
      </c>
      <c r="H142" s="93">
        <f>(+IFERROR(VLOOKUP($A142,'[152]BG (2)'!$B$9:$J$570,6,FALSE),0))*1</f>
        <v>0</v>
      </c>
      <c r="I142" s="73">
        <f>(+IFERROR(VLOOKUP($A142,'[152]BG (2)'!$B$9:$J$570,7,FALSE),0))*-1</f>
        <v>0</v>
      </c>
      <c r="J142" s="89">
        <f>(+IFERROR(VLOOKUP($A142,'[152]BG (2)'!$B$9:$J$570,8,FALSE),0))*1</f>
        <v>0</v>
      </c>
      <c r="K142" s="73">
        <f>(+IFERROR(VLOOKUP($A142,'[152]BG (2)'!$B$9:$J$570,9,FALSE),0))*-1</f>
        <v>0</v>
      </c>
      <c r="P142" s="90">
        <f t="shared" si="12"/>
        <v>0</v>
      </c>
      <c r="S142" s="90"/>
      <c r="T142" s="102">
        <f t="shared" si="10"/>
        <v>0</v>
      </c>
      <c r="U142" s="95"/>
      <c r="V142" s="72"/>
      <c r="W142" s="75" t="e">
        <f>+A142-#REF!</f>
        <v>#REF!</v>
      </c>
      <c r="X142" s="1270"/>
      <c r="Y142" s="91"/>
      <c r="Z142" s="91"/>
      <c r="AA142" s="91"/>
    </row>
    <row r="143" spans="1:27" ht="14.4" customHeight="1" x14ac:dyDescent="0.3">
      <c r="A143">
        <v>401460</v>
      </c>
      <c r="B143" t="s">
        <v>242</v>
      </c>
      <c r="C143" t="s">
        <v>219</v>
      </c>
      <c r="D143" s="87" t="str">
        <f t="shared" si="11"/>
        <v>40</v>
      </c>
      <c r="E143" s="92"/>
      <c r="F143" s="93">
        <f>(+IFERROR(VLOOKUP($A143,'[152]BG (2)'!$B$9:$J$570,4,FALSE),0))*1</f>
        <v>0</v>
      </c>
      <c r="G143" s="73">
        <f>(+IFERROR(VLOOKUP($A143,'[152]BG (2)'!$B$9:$J$570,5,FALSE),0))*-1</f>
        <v>-294434</v>
      </c>
      <c r="H143" s="93">
        <f>(+IFERROR(VLOOKUP($A143,'[152]BG (2)'!$B$9:$J$570,6,FALSE),0))*1</f>
        <v>364277658</v>
      </c>
      <c r="I143" s="73">
        <f>(+IFERROR(VLOOKUP($A143,'[152]BG (2)'!$B$9:$J$570,7,FALSE),0))*-1</f>
        <v>-384028694</v>
      </c>
      <c r="J143" s="89">
        <f>(+IFERROR(VLOOKUP($A143,'[152]BG (2)'!$B$9:$J$570,8,FALSE),0))*1</f>
        <v>0</v>
      </c>
      <c r="K143" s="73">
        <f>(+IFERROR(VLOOKUP($A143,'[152]BG (2)'!$B$9:$J$570,9,FALSE),0))*-1</f>
        <v>-20045470</v>
      </c>
      <c r="P143" s="90">
        <f t="shared" si="12"/>
        <v>-20045470</v>
      </c>
      <c r="S143" s="90"/>
      <c r="T143" s="102">
        <f t="shared" si="10"/>
        <v>-20045470</v>
      </c>
      <c r="U143" s="95"/>
      <c r="V143" s="72"/>
      <c r="W143" s="75" t="e">
        <f>+A143-#REF!</f>
        <v>#REF!</v>
      </c>
      <c r="X143" s="1270"/>
      <c r="Y143" s="91"/>
      <c r="Z143" s="91"/>
      <c r="AA143" s="91"/>
    </row>
    <row r="144" spans="1:27" ht="14.4" customHeight="1" x14ac:dyDescent="0.3">
      <c r="A144">
        <v>401470</v>
      </c>
      <c r="B144" t="s">
        <v>243</v>
      </c>
      <c r="C144" t="s">
        <v>219</v>
      </c>
      <c r="D144" s="87" t="str">
        <f t="shared" si="11"/>
        <v>40</v>
      </c>
      <c r="E144" s="92"/>
      <c r="F144" s="93">
        <f>(+IFERROR(VLOOKUP($A144,'[152]BG (2)'!$B$9:$J$570,4,FALSE),0))*1</f>
        <v>0</v>
      </c>
      <c r="G144" s="73">
        <f>(+IFERROR(VLOOKUP($A144,'[152]BG (2)'!$B$9:$J$570,5,FALSE),0))*-1</f>
        <v>-258650398</v>
      </c>
      <c r="H144" s="93">
        <f>(+IFERROR(VLOOKUP($A144,'[152]BG (2)'!$B$9:$J$570,6,FALSE),0))*1</f>
        <v>597861398</v>
      </c>
      <c r="I144" s="73">
        <f>(+IFERROR(VLOOKUP($A144,'[152]BG (2)'!$B$9:$J$570,7,FALSE),0))*-1</f>
        <v>-366712850</v>
      </c>
      <c r="J144" s="89">
        <f>(+IFERROR(VLOOKUP($A144,'[152]BG (2)'!$B$9:$J$570,8,FALSE),0))*1</f>
        <v>0</v>
      </c>
      <c r="K144" s="73">
        <f>(+IFERROR(VLOOKUP($A144,'[152]BG (2)'!$B$9:$J$570,9,FALSE),0))*-1</f>
        <v>-27501850</v>
      </c>
      <c r="P144" s="90">
        <f t="shared" si="12"/>
        <v>-27501850</v>
      </c>
      <c r="S144" s="90"/>
      <c r="T144" s="102">
        <f t="shared" si="10"/>
        <v>-27501850</v>
      </c>
      <c r="U144" s="95"/>
      <c r="V144" s="72"/>
      <c r="W144" s="75" t="e">
        <f>+A144-#REF!</f>
        <v>#REF!</v>
      </c>
      <c r="X144" s="1270"/>
      <c r="Y144" s="91"/>
      <c r="Z144" s="91"/>
      <c r="AA144" s="91"/>
    </row>
    <row r="145" spans="1:27" ht="14.4" customHeight="1" x14ac:dyDescent="0.3">
      <c r="A145" s="1296">
        <v>401480</v>
      </c>
      <c r="B145" s="1296" t="s">
        <v>2274</v>
      </c>
      <c r="C145" t="s">
        <v>219</v>
      </c>
      <c r="D145" s="87" t="str">
        <f t="shared" si="11"/>
        <v>40</v>
      </c>
      <c r="E145" s="92"/>
      <c r="F145" s="93">
        <f>(+IFERROR(VLOOKUP($A145,'[152]BG (2)'!$B$9:$J$570,4,FALSE),0))*1</f>
        <v>931007290</v>
      </c>
      <c r="G145" s="73">
        <f>(+IFERROR(VLOOKUP($A145,'[152]BG (2)'!$B$9:$J$570,5,FALSE),0))*-1</f>
        <v>0</v>
      </c>
      <c r="H145" s="93">
        <f>(+IFERROR(VLOOKUP($A145,'[152]BG (2)'!$B$9:$J$570,6,FALSE),0))*1</f>
        <v>4165855460</v>
      </c>
      <c r="I145" s="73">
        <f>(+IFERROR(VLOOKUP($A145,'[152]BG (2)'!$B$9:$J$570,7,FALSE),0))*-1</f>
        <v>-4568416640</v>
      </c>
      <c r="J145" s="89">
        <f>(+IFERROR(VLOOKUP($A145,'[152]BG (2)'!$B$9:$J$570,8,FALSE),0))*1</f>
        <v>528446110</v>
      </c>
      <c r="K145" s="73">
        <f>(+IFERROR(VLOOKUP($A145,'[152]BG (2)'!$B$9:$J$570,9,FALSE),0))*-1</f>
        <v>0</v>
      </c>
      <c r="P145" s="90">
        <f t="shared" si="12"/>
        <v>528446110</v>
      </c>
      <c r="S145" s="90"/>
      <c r="T145" s="102"/>
      <c r="U145" s="95"/>
      <c r="V145" s="72"/>
      <c r="W145" s="75"/>
      <c r="X145" s="1270"/>
      <c r="Y145" s="91"/>
      <c r="Z145" s="91"/>
      <c r="AA145" s="91"/>
    </row>
    <row r="146" spans="1:27" ht="14.4" customHeight="1" x14ac:dyDescent="0.3">
      <c r="A146">
        <v>401498</v>
      </c>
      <c r="B146"/>
      <c r="C146" t="s">
        <v>219</v>
      </c>
      <c r="D146" s="87" t="str">
        <f t="shared" si="11"/>
        <v>40</v>
      </c>
      <c r="E146" s="92"/>
      <c r="F146" s="93">
        <f>(+IFERROR(VLOOKUP($A146,'[152]BG (2)'!$B$9:$J$570,4,FALSE),0))*1</f>
        <v>0</v>
      </c>
      <c r="G146" s="73">
        <f>(+IFERROR(VLOOKUP($A146,'[152]BG (2)'!$B$9:$J$570,5,FALSE),0))*-1</f>
        <v>0</v>
      </c>
      <c r="H146" s="93">
        <f>(+IFERROR(VLOOKUP($A146,'[152]BG (2)'!$B$9:$J$570,6,FALSE),0))*1</f>
        <v>0</v>
      </c>
      <c r="I146" s="73">
        <f>(+IFERROR(VLOOKUP($A146,'[152]BG (2)'!$B$9:$J$570,7,FALSE),0))*-1</f>
        <v>0</v>
      </c>
      <c r="J146" s="89">
        <f>(+IFERROR(VLOOKUP($A146,'[152]BG (2)'!$B$9:$J$570,8,FALSE),0))*1</f>
        <v>0</v>
      </c>
      <c r="K146" s="73">
        <f>(+IFERROR(VLOOKUP($A146,'[152]BG (2)'!$B$9:$J$570,9,FALSE),0))*-1</f>
        <v>0</v>
      </c>
      <c r="P146" s="90">
        <f t="shared" si="12"/>
        <v>0</v>
      </c>
      <c r="S146" s="90"/>
      <c r="T146" s="102">
        <f>K146+J146</f>
        <v>0</v>
      </c>
      <c r="U146" s="95"/>
      <c r="V146" s="72"/>
      <c r="W146" s="75" t="e">
        <f>+A146-#REF!</f>
        <v>#REF!</v>
      </c>
      <c r="X146" s="1270"/>
      <c r="Y146" s="91"/>
      <c r="Z146" s="91"/>
      <c r="AA146" s="91"/>
    </row>
    <row r="147" spans="1:27" ht="14.4" customHeight="1" x14ac:dyDescent="0.3">
      <c r="A147">
        <v>401499</v>
      </c>
      <c r="B147"/>
      <c r="C147" t="s">
        <v>219</v>
      </c>
      <c r="D147" s="87" t="str">
        <f t="shared" si="11"/>
        <v>40</v>
      </c>
      <c r="E147" s="92"/>
      <c r="F147" s="93">
        <f>(+IFERROR(VLOOKUP($A147,'[152]BG (2)'!$B$9:$J$570,4,FALSE),0))*1</f>
        <v>0</v>
      </c>
      <c r="G147" s="73">
        <f>(+IFERROR(VLOOKUP($A147,'[152]BG (2)'!$B$9:$J$570,5,FALSE),0))*-1</f>
        <v>0</v>
      </c>
      <c r="H147" s="93">
        <f>(+IFERROR(VLOOKUP($A147,'[152]BG (2)'!$B$9:$J$570,6,FALSE),0))*1</f>
        <v>0</v>
      </c>
      <c r="I147" s="73">
        <f>(+IFERROR(VLOOKUP($A147,'[152]BG (2)'!$B$9:$J$570,7,FALSE),0))*-1</f>
        <v>0</v>
      </c>
      <c r="J147" s="89">
        <f>(+IFERROR(VLOOKUP($A147,'[152]BG (2)'!$B$9:$J$570,8,FALSE),0))*1</f>
        <v>0</v>
      </c>
      <c r="K147" s="73">
        <f>(+IFERROR(VLOOKUP($A147,'[152]BG (2)'!$B$9:$J$570,9,FALSE),0))*-1</f>
        <v>0</v>
      </c>
      <c r="P147" s="90">
        <f t="shared" si="12"/>
        <v>0</v>
      </c>
      <c r="S147" s="90"/>
      <c r="T147" s="102">
        <f>K147+J147</f>
        <v>0</v>
      </c>
      <c r="U147" s="95"/>
      <c r="V147" s="72"/>
      <c r="W147" s="75" t="e">
        <f>+A147-#REF!</f>
        <v>#REF!</v>
      </c>
      <c r="X147" s="1270"/>
      <c r="Y147" s="91"/>
      <c r="Z147" s="91"/>
      <c r="AA147" s="91"/>
    </row>
    <row r="148" spans="1:27" ht="14.4" customHeight="1" x14ac:dyDescent="0.3">
      <c r="A148">
        <v>401513</v>
      </c>
      <c r="B148"/>
      <c r="C148" t="s">
        <v>219</v>
      </c>
      <c r="D148" s="87" t="str">
        <f t="shared" si="11"/>
        <v>40</v>
      </c>
      <c r="E148" s="92"/>
      <c r="F148" s="93">
        <f>(+IFERROR(VLOOKUP($A148,'[152]BG (2)'!$B$9:$J$570,4,FALSE),0))*1</f>
        <v>0</v>
      </c>
      <c r="G148" s="73">
        <f>(+IFERROR(VLOOKUP($A148,'[152]BG (2)'!$B$9:$J$570,5,FALSE),0))*-1</f>
        <v>0</v>
      </c>
      <c r="H148" s="93">
        <f>(+IFERROR(VLOOKUP($A148,'[152]BG (2)'!$B$9:$J$570,6,FALSE),0))*1</f>
        <v>0</v>
      </c>
      <c r="I148" s="73">
        <f>(+IFERROR(VLOOKUP($A148,'[152]BG (2)'!$B$9:$J$570,7,FALSE),0))*-1</f>
        <v>0</v>
      </c>
      <c r="J148" s="89">
        <f>(+IFERROR(VLOOKUP($A148,'[152]BG (2)'!$B$9:$J$570,8,FALSE),0))*1</f>
        <v>0</v>
      </c>
      <c r="K148" s="73">
        <f>(+IFERROR(VLOOKUP($A148,'[152]BG (2)'!$B$9:$J$570,9,FALSE),0))*-1</f>
        <v>0</v>
      </c>
      <c r="P148" s="90">
        <f t="shared" si="12"/>
        <v>0</v>
      </c>
      <c r="S148" s="90"/>
      <c r="T148" s="102">
        <f>K148+J148</f>
        <v>0</v>
      </c>
      <c r="U148" s="95"/>
      <c r="V148" s="72"/>
      <c r="W148" s="75" t="e">
        <f>+A148-#REF!</f>
        <v>#REF!</v>
      </c>
      <c r="X148" s="1270"/>
      <c r="Y148" s="91"/>
      <c r="Z148" s="91"/>
      <c r="AA148" s="91"/>
    </row>
    <row r="149" spans="1:27" ht="14.4" customHeight="1" x14ac:dyDescent="0.3">
      <c r="A149">
        <v>401573</v>
      </c>
      <c r="B149"/>
      <c r="C149" t="s">
        <v>219</v>
      </c>
      <c r="D149" s="87" t="str">
        <f t="shared" si="11"/>
        <v>40</v>
      </c>
      <c r="E149" s="92"/>
      <c r="F149" s="93">
        <f>(+IFERROR(VLOOKUP($A149,'[152]BG (2)'!$B$9:$J$570,4,FALSE),0))*1</f>
        <v>0</v>
      </c>
      <c r="G149" s="73">
        <f>(+IFERROR(VLOOKUP($A149,'[152]BG (2)'!$B$9:$J$570,5,FALSE),0))*-1</f>
        <v>0</v>
      </c>
      <c r="H149" s="93">
        <f>(+IFERROR(VLOOKUP($A149,'[152]BG (2)'!$B$9:$J$570,6,FALSE),0))*1</f>
        <v>0</v>
      </c>
      <c r="I149" s="73">
        <f>(+IFERROR(VLOOKUP($A149,'[152]BG (2)'!$B$9:$J$570,7,FALSE),0))*-1</f>
        <v>0</v>
      </c>
      <c r="J149" s="89">
        <f>(+IFERROR(VLOOKUP($A149,'[152]BG (2)'!$B$9:$J$570,8,FALSE),0))*1</f>
        <v>0</v>
      </c>
      <c r="K149" s="73">
        <f>(+IFERROR(VLOOKUP($A149,'[152]BG (2)'!$B$9:$J$570,9,FALSE),0))*-1</f>
        <v>0</v>
      </c>
      <c r="P149" s="90">
        <f t="shared" si="12"/>
        <v>0</v>
      </c>
      <c r="S149" s="90"/>
      <c r="T149" s="102">
        <f>K149+J149</f>
        <v>0</v>
      </c>
      <c r="U149" s="95"/>
      <c r="V149" s="72"/>
      <c r="W149" s="75" t="e">
        <f>+A149-#REF!</f>
        <v>#REF!</v>
      </c>
      <c r="X149" s="1270"/>
      <c r="Y149" s="91"/>
      <c r="Z149" s="91"/>
      <c r="AA149" s="91"/>
    </row>
    <row r="150" spans="1:27" ht="14.4" customHeight="1" x14ac:dyDescent="0.3">
      <c r="A150">
        <v>401699</v>
      </c>
      <c r="B150"/>
      <c r="C150" t="s">
        <v>219</v>
      </c>
      <c r="D150" s="87" t="str">
        <f t="shared" si="11"/>
        <v>40</v>
      </c>
      <c r="E150" s="92"/>
      <c r="F150" s="93">
        <f>(+IFERROR(VLOOKUP($A150,'[152]BG (2)'!$B$9:$J$570,4,FALSE),0))*1</f>
        <v>0</v>
      </c>
      <c r="G150" s="73">
        <f>(+IFERROR(VLOOKUP($A150,'[152]BG (2)'!$B$9:$J$570,5,FALSE),0))*-1</f>
        <v>0</v>
      </c>
      <c r="H150" s="93">
        <f>(+IFERROR(VLOOKUP($A150,'[152]BG (2)'!$B$9:$J$570,6,FALSE),0))*1</f>
        <v>0</v>
      </c>
      <c r="I150" s="73">
        <f>(+IFERROR(VLOOKUP($A150,'[152]BG (2)'!$B$9:$J$570,7,FALSE),0))*-1</f>
        <v>0</v>
      </c>
      <c r="J150" s="89">
        <f>(+IFERROR(VLOOKUP($A150,'[152]BG (2)'!$B$9:$J$570,8,FALSE),0))*1</f>
        <v>0</v>
      </c>
      <c r="K150" s="73">
        <f>(+IFERROR(VLOOKUP($A150,'[152]BG (2)'!$B$9:$J$570,9,FALSE),0))*-1</f>
        <v>0</v>
      </c>
      <c r="P150" s="90">
        <f t="shared" si="12"/>
        <v>0</v>
      </c>
      <c r="S150" s="90"/>
      <c r="T150" s="102"/>
      <c r="U150" s="95"/>
      <c r="V150" s="72"/>
      <c r="W150" s="75"/>
      <c r="X150" s="1270"/>
      <c r="Y150" s="91"/>
      <c r="Z150" s="91"/>
      <c r="AA150" s="91"/>
    </row>
    <row r="151" spans="1:27" ht="14.4" customHeight="1" x14ac:dyDescent="0.3">
      <c r="A151">
        <v>401700</v>
      </c>
      <c r="B151" t="s">
        <v>244</v>
      </c>
      <c r="C151" t="s">
        <v>219</v>
      </c>
      <c r="D151" s="87" t="str">
        <f t="shared" si="11"/>
        <v>40</v>
      </c>
      <c r="E151" s="92"/>
      <c r="F151" s="93">
        <f>(+IFERROR(VLOOKUP($A151,'[152]BG (2)'!$B$9:$J$570,4,FALSE),0))*1</f>
        <v>0</v>
      </c>
      <c r="G151" s="73">
        <f>(+IFERROR(VLOOKUP($A151,'[152]BG (2)'!$B$9:$J$570,5,FALSE),0))*-1</f>
        <v>-13139611</v>
      </c>
      <c r="H151" s="118">
        <f>(+IFERROR(VLOOKUP($A151,'[152]BG (2)'!$B$9:$J$570,6,FALSE),0))*1</f>
        <v>0</v>
      </c>
      <c r="I151" s="73">
        <f>(+IFERROR(VLOOKUP($A151,'[152]BG (2)'!$B$9:$J$570,7,FALSE),0))*-1</f>
        <v>-5603490</v>
      </c>
      <c r="J151" s="89">
        <f>(+IFERROR(VLOOKUP($A151,'[152]BG (2)'!$B$9:$J$570,8,FALSE),0))*1</f>
        <v>0</v>
      </c>
      <c r="K151" s="73">
        <f>(+IFERROR(VLOOKUP($A151,'[152]BG (2)'!$B$9:$J$570,9,FALSE),0))*-1</f>
        <v>-18743101</v>
      </c>
      <c r="P151" s="90">
        <f t="shared" si="12"/>
        <v>-18743101</v>
      </c>
      <c r="S151" s="90"/>
      <c r="T151" s="102">
        <f t="shared" ref="T151:T181" si="13">K151+J151</f>
        <v>-18743101</v>
      </c>
      <c r="U151" s="95"/>
      <c r="V151" s="72"/>
      <c r="W151" s="75" t="e">
        <f>+A151-#REF!</f>
        <v>#REF!</v>
      </c>
      <c r="X151" s="1270"/>
      <c r="Y151" s="91"/>
      <c r="Z151" s="91"/>
      <c r="AA151" s="91"/>
    </row>
    <row r="152" spans="1:27" ht="14.4" customHeight="1" x14ac:dyDescent="0.3">
      <c r="A152">
        <v>401800</v>
      </c>
      <c r="B152" t="s">
        <v>245</v>
      </c>
      <c r="C152" t="s">
        <v>219</v>
      </c>
      <c r="D152" s="87" t="str">
        <f t="shared" si="11"/>
        <v>40</v>
      </c>
      <c r="E152" s="92"/>
      <c r="F152" s="93">
        <f>(+IFERROR(VLOOKUP($A152,'[152]BG (2)'!$B$9:$J$570,4,FALSE),0))*1</f>
        <v>0</v>
      </c>
      <c r="G152" s="73">
        <f>(+IFERROR(VLOOKUP($A152,'[152]BG (2)'!$B$9:$J$570,5,FALSE),0))*-1</f>
        <v>-424186713</v>
      </c>
      <c r="H152" s="118">
        <f>(+IFERROR(VLOOKUP($A152,'[152]BG (2)'!$B$9:$J$570,6,FALSE),0))*1</f>
        <v>360108477</v>
      </c>
      <c r="I152" s="73">
        <f>(+IFERROR(VLOOKUP($A152,'[152]BG (2)'!$B$9:$J$570,7,FALSE),0))*-1</f>
        <v>-393995938</v>
      </c>
      <c r="J152" s="89">
        <f>(+IFERROR(VLOOKUP($A152,'[152]BG (2)'!$B$9:$J$570,8,FALSE),0))*1</f>
        <v>0</v>
      </c>
      <c r="K152" s="73">
        <f>(+IFERROR(VLOOKUP($A152,'[152]BG (2)'!$B$9:$J$570,9,FALSE),0))*-1</f>
        <v>-458074174</v>
      </c>
      <c r="P152" s="90">
        <f t="shared" si="12"/>
        <v>-458074174</v>
      </c>
      <c r="S152" s="90"/>
      <c r="T152" s="102">
        <f t="shared" si="13"/>
        <v>-458074174</v>
      </c>
      <c r="U152" s="95"/>
      <c r="V152" s="72"/>
      <c r="W152" s="75" t="e">
        <f>+A152-#REF!</f>
        <v>#REF!</v>
      </c>
      <c r="X152" s="1270"/>
      <c r="Y152" s="91"/>
      <c r="Z152" s="91"/>
      <c r="AA152" s="91"/>
    </row>
    <row r="153" spans="1:27" ht="14.4" customHeight="1" x14ac:dyDescent="0.3">
      <c r="A153">
        <v>408101</v>
      </c>
      <c r="B153"/>
      <c r="C153" t="s">
        <v>219</v>
      </c>
      <c r="D153" s="87" t="str">
        <f t="shared" si="11"/>
        <v>40</v>
      </c>
      <c r="E153" s="92"/>
      <c r="F153" s="93">
        <f>(+IFERROR(VLOOKUP($A153,'[152]BG (2)'!$B$9:$J$570,4,FALSE),0))*1</f>
        <v>0</v>
      </c>
      <c r="G153" s="73">
        <f>(+IFERROR(VLOOKUP($A153,'[152]BG (2)'!$B$9:$J$570,5,FALSE),0))*-1</f>
        <v>0</v>
      </c>
      <c r="H153" s="118">
        <f>(+IFERROR(VLOOKUP($A153,'[152]BG (2)'!$B$9:$J$570,6,FALSE),0))*1</f>
        <v>0</v>
      </c>
      <c r="I153" s="73">
        <f>(+IFERROR(VLOOKUP($A153,'[152]BG (2)'!$B$9:$J$570,7,FALSE),0))*-1</f>
        <v>0</v>
      </c>
      <c r="J153" s="89">
        <f>(+IFERROR(VLOOKUP($A153,'[152]BG (2)'!$B$9:$J$570,8,FALSE),0))*1</f>
        <v>0</v>
      </c>
      <c r="K153" s="73">
        <f>(+IFERROR(VLOOKUP($A153,'[152]BG (2)'!$B$9:$J$570,9,FALSE),0))*-1</f>
        <v>0</v>
      </c>
      <c r="P153" s="90">
        <f t="shared" si="12"/>
        <v>0</v>
      </c>
      <c r="S153" s="90"/>
      <c r="T153" s="102">
        <f t="shared" si="13"/>
        <v>0</v>
      </c>
      <c r="U153" s="95"/>
      <c r="V153" s="72"/>
      <c r="W153" s="75" t="e">
        <f>+A153-#REF!</f>
        <v>#REF!</v>
      </c>
      <c r="X153" s="1270"/>
      <c r="Y153" s="91"/>
      <c r="Z153" s="91"/>
      <c r="AA153" s="91"/>
    </row>
    <row r="154" spans="1:27" ht="14.4" customHeight="1" x14ac:dyDescent="0.3">
      <c r="A154">
        <v>408110</v>
      </c>
      <c r="B154" t="s">
        <v>246</v>
      </c>
      <c r="C154" t="s">
        <v>219</v>
      </c>
      <c r="D154" s="87" t="str">
        <f t="shared" si="11"/>
        <v>40</v>
      </c>
      <c r="E154" s="92"/>
      <c r="F154" s="93">
        <f>(+IFERROR(VLOOKUP($A154,'[152]BG (2)'!$B$9:$J$570,4,FALSE),0))*1</f>
        <v>0</v>
      </c>
      <c r="G154" s="73">
        <f>(+IFERROR(VLOOKUP($A154,'[152]BG (2)'!$B$9:$J$570,5,FALSE),0))*-1</f>
        <v>-7750398270</v>
      </c>
      <c r="H154" s="118">
        <f>(+IFERROR(VLOOKUP($A154,'[152]BG (2)'!$B$9:$J$570,6,FALSE),0))*1</f>
        <v>0</v>
      </c>
      <c r="I154" s="73">
        <f>(+IFERROR(VLOOKUP($A154,'[152]BG (2)'!$B$9:$J$570,7,FALSE),0))*-1</f>
        <v>1329599506</v>
      </c>
      <c r="J154" s="89">
        <f>(+IFERROR(VLOOKUP($A154,'[152]BG (2)'!$B$9:$J$570,8,FALSE),0))*1</f>
        <v>0</v>
      </c>
      <c r="K154" s="73">
        <f>(+IFERROR(VLOOKUP($A154,'[152]BG (2)'!$B$9:$J$570,9,FALSE),0))*-1</f>
        <v>-6420798764</v>
      </c>
      <c r="P154" s="90">
        <f t="shared" si="12"/>
        <v>-6420798764</v>
      </c>
      <c r="S154" s="90"/>
      <c r="T154" s="102">
        <f t="shared" si="13"/>
        <v>-6420798764</v>
      </c>
      <c r="U154" s="95"/>
      <c r="V154" s="72"/>
      <c r="W154" s="75" t="e">
        <f>+A154-#REF!</f>
        <v>#REF!</v>
      </c>
      <c r="X154" s="1270"/>
      <c r="Y154" s="91"/>
      <c r="Z154" s="91"/>
      <c r="AA154" s="91"/>
    </row>
    <row r="155" spans="1:27" ht="14.4" customHeight="1" x14ac:dyDescent="0.3">
      <c r="A155">
        <v>408120</v>
      </c>
      <c r="B155" t="s">
        <v>247</v>
      </c>
      <c r="C155" t="s">
        <v>219</v>
      </c>
      <c r="D155" s="87" t="str">
        <f t="shared" si="11"/>
        <v>40</v>
      </c>
      <c r="E155" s="92"/>
      <c r="F155" s="93">
        <f>(+IFERROR(VLOOKUP($A155,'[152]BG (2)'!$B$9:$J$570,4,FALSE),0))*1</f>
        <v>0</v>
      </c>
      <c r="G155" s="73">
        <f>(+IFERROR(VLOOKUP($A155,'[152]BG (2)'!$B$9:$J$570,5,FALSE),0))*-1</f>
        <v>-141143165</v>
      </c>
      <c r="H155" s="93">
        <f>(+IFERROR(VLOOKUP($A155,'[152]BG (2)'!$B$9:$J$570,6,FALSE),0))*1</f>
        <v>0</v>
      </c>
      <c r="I155" s="73">
        <f>(+IFERROR(VLOOKUP($A155,'[152]BG (2)'!$B$9:$J$570,7,FALSE),0))*-1</f>
        <v>-77312188</v>
      </c>
      <c r="J155" s="89">
        <f>(+IFERROR(VLOOKUP($A155,'[152]BG (2)'!$B$9:$J$570,8,FALSE),0))*1</f>
        <v>0</v>
      </c>
      <c r="K155" s="73">
        <f>(+IFERROR(VLOOKUP($A155,'[152]BG (2)'!$B$9:$J$570,9,FALSE),0))*-1</f>
        <v>-218455353</v>
      </c>
      <c r="P155" s="90">
        <f t="shared" si="12"/>
        <v>-218455353</v>
      </c>
      <c r="S155" s="90"/>
      <c r="T155" s="102">
        <f t="shared" si="13"/>
        <v>-218455353</v>
      </c>
      <c r="U155" s="95"/>
      <c r="V155" s="72"/>
      <c r="W155" s="75" t="e">
        <f>+A155-#REF!</f>
        <v>#REF!</v>
      </c>
      <c r="X155" s="1270"/>
      <c r="Y155" s="91"/>
      <c r="Z155" s="91"/>
      <c r="AA155" s="91"/>
    </row>
    <row r="156" spans="1:27" ht="14.4" customHeight="1" x14ac:dyDescent="0.3">
      <c r="A156">
        <v>408130</v>
      </c>
      <c r="B156" t="s">
        <v>248</v>
      </c>
      <c r="C156" t="s">
        <v>219</v>
      </c>
      <c r="D156" s="87" t="str">
        <f t="shared" si="11"/>
        <v>40</v>
      </c>
      <c r="E156" s="92"/>
      <c r="F156" s="93">
        <f>(+IFERROR(VLOOKUP($A156,'[152]BG (2)'!$B$9:$J$570,4,FALSE),0))*1</f>
        <v>0</v>
      </c>
      <c r="G156" s="73">
        <f>(+IFERROR(VLOOKUP($A156,'[152]BG (2)'!$B$9:$J$570,5,FALSE),0))*-1</f>
        <v>-337757108</v>
      </c>
      <c r="H156" s="93">
        <f>(+IFERROR(VLOOKUP($A156,'[152]BG (2)'!$B$9:$J$570,6,FALSE),0))*1</f>
        <v>0</v>
      </c>
      <c r="I156" s="73">
        <f>(+IFERROR(VLOOKUP($A156,'[152]BG (2)'!$B$9:$J$570,7,FALSE),0))*-1</f>
        <v>78853113</v>
      </c>
      <c r="J156" s="89">
        <f>(+IFERROR(VLOOKUP($A156,'[152]BG (2)'!$B$9:$J$570,8,FALSE),0))*1</f>
        <v>0</v>
      </c>
      <c r="K156" s="73">
        <f>(+IFERROR(VLOOKUP($A156,'[152]BG (2)'!$B$9:$J$570,9,FALSE),0))*-1</f>
        <v>-258903995</v>
      </c>
      <c r="P156" s="90">
        <f t="shared" si="12"/>
        <v>-258903995</v>
      </c>
      <c r="S156" s="90"/>
      <c r="T156" s="102">
        <f t="shared" si="13"/>
        <v>-258903995</v>
      </c>
      <c r="U156" s="95"/>
      <c r="V156" s="72"/>
      <c r="W156" s="75" t="e">
        <f>+A156-#REF!</f>
        <v>#REF!</v>
      </c>
      <c r="X156" s="1270"/>
      <c r="Y156" s="91"/>
      <c r="Z156" s="91"/>
      <c r="AA156" s="91"/>
    </row>
    <row r="157" spans="1:27" ht="14.4" customHeight="1" x14ac:dyDescent="0.3">
      <c r="A157">
        <v>408140</v>
      </c>
      <c r="B157" t="s">
        <v>249</v>
      </c>
      <c r="C157" t="s">
        <v>219</v>
      </c>
      <c r="D157" s="87" t="str">
        <f t="shared" si="11"/>
        <v>40</v>
      </c>
      <c r="E157" s="92"/>
      <c r="F157" s="93">
        <f>(+IFERROR(VLOOKUP($A157,'[152]BG (2)'!$B$9:$J$570,4,FALSE),0))*1</f>
        <v>0</v>
      </c>
      <c r="G157" s="73">
        <f>(+IFERROR(VLOOKUP($A157,'[152]BG (2)'!$B$9:$J$570,5,FALSE),0))*-1</f>
        <v>-116557818</v>
      </c>
      <c r="H157" s="118">
        <f>(+IFERROR(VLOOKUP($A157,'[152]BG (2)'!$B$9:$J$570,6,FALSE),0))*1</f>
        <v>36738732</v>
      </c>
      <c r="I157" s="73">
        <f>(+IFERROR(VLOOKUP($A157,'[152]BG (2)'!$B$9:$J$570,7,FALSE),0))*-1</f>
        <v>-15663861</v>
      </c>
      <c r="J157" s="89">
        <f>(+IFERROR(VLOOKUP($A157,'[152]BG (2)'!$B$9:$J$570,8,FALSE),0))*1</f>
        <v>0</v>
      </c>
      <c r="K157" s="73">
        <f>(+IFERROR(VLOOKUP($A157,'[152]BG (2)'!$B$9:$J$570,9,FALSE),0))*-1</f>
        <v>-95482947</v>
      </c>
      <c r="P157" s="90">
        <f t="shared" si="12"/>
        <v>-95482947</v>
      </c>
      <c r="S157" s="90"/>
      <c r="T157" s="102">
        <f t="shared" si="13"/>
        <v>-95482947</v>
      </c>
      <c r="U157" s="95"/>
      <c r="V157" s="72"/>
      <c r="W157" s="75" t="e">
        <f>+A157-#REF!</f>
        <v>#REF!</v>
      </c>
      <c r="X157" s="1270"/>
      <c r="Y157" s="91"/>
      <c r="Z157" s="91"/>
      <c r="AA157" s="91"/>
    </row>
    <row r="158" spans="1:27" ht="14.4" customHeight="1" x14ac:dyDescent="0.3">
      <c r="A158" s="1684">
        <v>408200</v>
      </c>
      <c r="B158" s="1684" t="s">
        <v>2561</v>
      </c>
      <c r="C158" t="s">
        <v>2562</v>
      </c>
      <c r="D158" s="87" t="str">
        <f>+LEFT(A158,2)</f>
        <v>40</v>
      </c>
      <c r="E158" s="92"/>
      <c r="F158" s="93">
        <f>(+IFERROR(VLOOKUP($A158,'[152]BG (2)'!$B$9:$J$570,4,FALSE),0))*1</f>
        <v>0</v>
      </c>
      <c r="G158" s="73">
        <f>(+IFERROR(VLOOKUP($A158,'[152]BG (2)'!$B$9:$J$570,5,FALSE),0))*-1</f>
        <v>0</v>
      </c>
      <c r="H158" s="118">
        <f>(+IFERROR(VLOOKUP($A158,'[152]BG (2)'!$B$9:$J$570,6,FALSE),0))*1</f>
        <v>0</v>
      </c>
      <c r="I158" s="73">
        <f>(+IFERROR(VLOOKUP($A158,'[152]BG (2)'!$B$9:$J$570,7,FALSE),0))*-1</f>
        <v>-222930000</v>
      </c>
      <c r="J158" s="89">
        <f>(+IFERROR(VLOOKUP($A158,'[152]BG (2)'!$B$9:$J$570,8,FALSE),0))*1</f>
        <v>0</v>
      </c>
      <c r="K158" s="73">
        <f>(+IFERROR(VLOOKUP($A158,'[152]BG (2)'!$B$9:$J$570,9,FALSE),0))*-1</f>
        <v>-222930000</v>
      </c>
      <c r="P158" s="90">
        <f t="shared" si="12"/>
        <v>-222930000</v>
      </c>
      <c r="S158" s="90"/>
      <c r="T158" s="102">
        <f>K158+J158</f>
        <v>-222930000</v>
      </c>
      <c r="U158" s="95"/>
      <c r="V158" s="72"/>
      <c r="W158" s="75" t="e">
        <f>+A158-#REF!</f>
        <v>#REF!</v>
      </c>
      <c r="X158" s="1270"/>
      <c r="Y158" s="91"/>
      <c r="Z158" s="91"/>
      <c r="AA158" s="91"/>
    </row>
    <row r="159" spans="1:27" ht="14.4" customHeight="1" x14ac:dyDescent="0.3">
      <c r="A159">
        <v>408210</v>
      </c>
      <c r="B159" t="s">
        <v>250</v>
      </c>
      <c r="C159" t="s">
        <v>219</v>
      </c>
      <c r="D159" s="87" t="str">
        <f t="shared" si="11"/>
        <v>40</v>
      </c>
      <c r="E159" s="92"/>
      <c r="F159" s="93">
        <f>(+IFERROR(VLOOKUP($A159,'[152]BG (2)'!$B$9:$J$570,4,FALSE),0))*1</f>
        <v>0</v>
      </c>
      <c r="G159" s="73">
        <f>(+IFERROR(VLOOKUP($A159,'[152]BG (2)'!$B$9:$J$570,5,FALSE),0))*-1</f>
        <v>-320644902</v>
      </c>
      <c r="H159" s="93">
        <f>(+IFERROR(VLOOKUP($A159,'[152]BG (2)'!$B$9:$J$570,6,FALSE),0))*1</f>
        <v>0</v>
      </c>
      <c r="I159" s="73">
        <f>(+IFERROR(VLOOKUP($A159,'[152]BG (2)'!$B$9:$J$570,7,FALSE),0))*-1</f>
        <v>-49328301</v>
      </c>
      <c r="J159" s="89">
        <f>(+IFERROR(VLOOKUP($A159,'[152]BG (2)'!$B$9:$J$570,8,FALSE),0))*1</f>
        <v>0</v>
      </c>
      <c r="K159" s="73">
        <f>(+IFERROR(VLOOKUP($A159,'[152]BG (2)'!$B$9:$J$570,9,FALSE),0))*-1</f>
        <v>-369973203</v>
      </c>
      <c r="P159" s="90">
        <f t="shared" si="12"/>
        <v>-369973203</v>
      </c>
      <c r="S159" s="90"/>
      <c r="T159" s="102">
        <f t="shared" si="13"/>
        <v>-369973203</v>
      </c>
      <c r="U159" s="95"/>
      <c r="V159" s="72"/>
      <c r="W159" s="75" t="e">
        <f>+A159-#REF!</f>
        <v>#REF!</v>
      </c>
      <c r="X159" s="1270"/>
      <c r="Y159" s="91"/>
      <c r="Z159" s="91"/>
      <c r="AA159" s="91"/>
    </row>
    <row r="160" spans="1:27" ht="14.4" customHeight="1" x14ac:dyDescent="0.3">
      <c r="A160">
        <v>408220</v>
      </c>
      <c r="B160" t="s">
        <v>2501</v>
      </c>
      <c r="C160" t="s">
        <v>219</v>
      </c>
      <c r="D160" s="87" t="str">
        <f t="shared" si="11"/>
        <v>40</v>
      </c>
      <c r="E160" s="92"/>
      <c r="F160" s="93">
        <f>(+IFERROR(VLOOKUP($A160,'[152]BG (2)'!$B$9:$J$570,4,FALSE),0))*1</f>
        <v>0</v>
      </c>
      <c r="G160" s="73">
        <f>(+IFERROR(VLOOKUP($A160,'[152]BG (2)'!$B$9:$J$570,5,FALSE),0))*-1</f>
        <v>0</v>
      </c>
      <c r="H160" s="93">
        <f>(+IFERROR(VLOOKUP($A160,'[152]BG (2)'!$B$9:$J$570,6,FALSE),0))*1</f>
        <v>16352694</v>
      </c>
      <c r="I160" s="73">
        <f>(+IFERROR(VLOOKUP($A160,'[152]BG (2)'!$B$9:$J$570,7,FALSE),0))*-1</f>
        <v>-858566199</v>
      </c>
      <c r="J160" s="89">
        <f>(+IFERROR(VLOOKUP($A160,'[152]BG (2)'!$B$9:$J$570,8,FALSE),0))*1</f>
        <v>0</v>
      </c>
      <c r="K160" s="73">
        <f>(+IFERROR(VLOOKUP($A160,'[152]BG (2)'!$B$9:$J$570,9,FALSE),0))*-1</f>
        <v>-842213505</v>
      </c>
      <c r="P160" s="90">
        <f t="shared" si="12"/>
        <v>-842213505</v>
      </c>
      <c r="S160" s="90"/>
      <c r="T160" s="102">
        <f>K160+J160</f>
        <v>-842213505</v>
      </c>
      <c r="U160" s="95"/>
      <c r="V160" s="72"/>
      <c r="W160" s="75" t="e">
        <f>+A160-#REF!</f>
        <v>#REF!</v>
      </c>
      <c r="X160" s="1270"/>
      <c r="Y160" s="91"/>
      <c r="Z160" s="91"/>
      <c r="AA160" s="91"/>
    </row>
    <row r="161" spans="1:27" ht="14.4" customHeight="1" x14ac:dyDescent="0.3">
      <c r="A161">
        <v>408300</v>
      </c>
      <c r="B161" t="s">
        <v>251</v>
      </c>
      <c r="C161" t="s">
        <v>219</v>
      </c>
      <c r="D161" s="87" t="str">
        <f t="shared" si="11"/>
        <v>40</v>
      </c>
      <c r="E161" s="92"/>
      <c r="F161" s="93">
        <f>(+IFERROR(VLOOKUP($A161,'[152]BG (2)'!$B$9:$J$570,4,FALSE),0))*1</f>
        <v>0</v>
      </c>
      <c r="G161" s="73">
        <f>(+IFERROR(VLOOKUP($A161,'[152]BG (2)'!$B$9:$J$570,5,FALSE),0))*-1</f>
        <v>0</v>
      </c>
      <c r="H161" s="93">
        <f>(+IFERROR(VLOOKUP($A161,'[152]BG (2)'!$B$9:$J$570,6,FALSE),0))*1</f>
        <v>0</v>
      </c>
      <c r="I161" s="73">
        <f>(+IFERROR(VLOOKUP($A161,'[152]BG (2)'!$B$9:$J$570,7,FALSE),0))*-1</f>
        <v>0</v>
      </c>
      <c r="J161" s="89">
        <f>(+IFERROR(VLOOKUP($A161,'[152]BG (2)'!$B$9:$J$570,8,FALSE),0))*1</f>
        <v>0</v>
      </c>
      <c r="K161" s="73">
        <f>(+IFERROR(VLOOKUP($A161,'[152]BG (2)'!$B$9:$J$570,9,FALSE),0))*-1</f>
        <v>0</v>
      </c>
      <c r="P161" s="90">
        <f t="shared" si="12"/>
        <v>0</v>
      </c>
      <c r="S161" s="90"/>
      <c r="T161" s="102">
        <f t="shared" si="13"/>
        <v>0</v>
      </c>
      <c r="U161" s="95"/>
      <c r="V161" s="72"/>
      <c r="W161" s="75" t="e">
        <f>+A161-#REF!</f>
        <v>#REF!</v>
      </c>
      <c r="X161" s="1270"/>
      <c r="Y161" s="91"/>
      <c r="Z161" s="91"/>
      <c r="AA161" s="91"/>
    </row>
    <row r="162" spans="1:27" ht="14.4" customHeight="1" x14ac:dyDescent="0.3">
      <c r="A162">
        <v>408320</v>
      </c>
      <c r="B162" t="s">
        <v>252</v>
      </c>
      <c r="C162" t="s">
        <v>219</v>
      </c>
      <c r="D162" s="87" t="str">
        <f t="shared" si="11"/>
        <v>40</v>
      </c>
      <c r="E162" s="92"/>
      <c r="F162" s="93">
        <f>(+IFERROR(VLOOKUP($A162,'[152]BG (2)'!$B$9:$J$570,4,FALSE),0))*1</f>
        <v>0</v>
      </c>
      <c r="G162" s="73">
        <f>(+IFERROR(VLOOKUP($A162,'[152]BG (2)'!$B$9:$J$570,5,FALSE),0))*-1</f>
        <v>-1897533582</v>
      </c>
      <c r="H162" s="93">
        <f>(+IFERROR(VLOOKUP($A162,'[152]BG (2)'!$B$9:$J$570,6,FALSE),0))*1</f>
        <v>0</v>
      </c>
      <c r="I162" s="73">
        <f>(+IFERROR(VLOOKUP($A162,'[152]BG (2)'!$B$9:$J$570,7,FALSE),0))*-1</f>
        <v>-300824890</v>
      </c>
      <c r="J162" s="89">
        <f>(+IFERROR(VLOOKUP($A162,'[152]BG (2)'!$B$9:$J$570,8,FALSE),0))*1</f>
        <v>0</v>
      </c>
      <c r="K162" s="73">
        <f>(+IFERROR(VLOOKUP($A162,'[152]BG (2)'!$B$9:$J$570,9,FALSE),0))*-1</f>
        <v>-2198358472</v>
      </c>
      <c r="P162" s="90">
        <f t="shared" si="12"/>
        <v>-2198358472</v>
      </c>
      <c r="S162" s="90"/>
      <c r="T162" s="102">
        <f t="shared" si="13"/>
        <v>-2198358472</v>
      </c>
      <c r="U162" s="95"/>
      <c r="V162" s="72"/>
      <c r="W162" s="75" t="e">
        <f>+A162-#REF!</f>
        <v>#REF!</v>
      </c>
      <c r="X162" s="1270"/>
      <c r="Y162" s="91"/>
      <c r="Z162" s="91"/>
      <c r="AA162" s="91"/>
    </row>
    <row r="163" spans="1:27" ht="14.4" customHeight="1" x14ac:dyDescent="0.3">
      <c r="A163">
        <v>408380</v>
      </c>
      <c r="B163" t="s">
        <v>253</v>
      </c>
      <c r="C163" t="s">
        <v>219</v>
      </c>
      <c r="D163" s="87" t="str">
        <f t="shared" si="11"/>
        <v>40</v>
      </c>
      <c r="E163" s="92"/>
      <c r="F163" s="93">
        <f>(+IFERROR(VLOOKUP($A163,'[152]BG (2)'!$B$9:$J$570,4,FALSE),0))*1</f>
        <v>0</v>
      </c>
      <c r="G163" s="73">
        <f>(+IFERROR(VLOOKUP($A163,'[152]BG (2)'!$B$9:$J$570,5,FALSE),0))*-1</f>
        <v>-142209475</v>
      </c>
      <c r="H163" s="93">
        <f>(+IFERROR(VLOOKUP($A163,'[152]BG (2)'!$B$9:$J$570,6,FALSE),0))*1</f>
        <v>0</v>
      </c>
      <c r="I163" s="73">
        <f>(+IFERROR(VLOOKUP($A163,'[152]BG (2)'!$B$9:$J$570,7,FALSE),0))*-1</f>
        <v>10088193</v>
      </c>
      <c r="J163" s="89">
        <f>(+IFERROR(VLOOKUP($A163,'[152]BG (2)'!$B$9:$J$570,8,FALSE),0))*1</f>
        <v>0</v>
      </c>
      <c r="K163" s="73">
        <f>(+IFERROR(VLOOKUP($A163,'[152]BG (2)'!$B$9:$J$570,9,FALSE),0))*-1</f>
        <v>-132121282</v>
      </c>
      <c r="P163" s="90">
        <f t="shared" si="12"/>
        <v>-132121282</v>
      </c>
      <c r="S163" s="90"/>
      <c r="T163" s="102">
        <f t="shared" si="13"/>
        <v>-132121282</v>
      </c>
      <c r="U163" s="95"/>
      <c r="V163" s="72"/>
      <c r="W163" s="75" t="e">
        <f>+A163-#REF!</f>
        <v>#REF!</v>
      </c>
      <c r="X163" s="1270"/>
      <c r="Y163" s="91"/>
      <c r="Z163" s="91"/>
      <c r="AA163" s="91"/>
    </row>
    <row r="164" spans="1:27" ht="14.4" customHeight="1" x14ac:dyDescent="0.3">
      <c r="A164">
        <v>408800</v>
      </c>
      <c r="B164" t="s">
        <v>254</v>
      </c>
      <c r="C164" t="s">
        <v>219</v>
      </c>
      <c r="D164" s="87" t="str">
        <f t="shared" si="11"/>
        <v>40</v>
      </c>
      <c r="E164" s="92"/>
      <c r="F164" s="93">
        <f>(+IFERROR(VLOOKUP($A164,'[152]BG (2)'!$B$9:$J$570,4,FALSE),0))*1</f>
        <v>0</v>
      </c>
      <c r="G164" s="73">
        <f>(+IFERROR(VLOOKUP($A164,'[152]BG (2)'!$B$9:$J$570,5,FALSE),0))*-1</f>
        <v>-5653004892</v>
      </c>
      <c r="H164" s="93">
        <f>(+IFERROR(VLOOKUP($A164,'[152]BG (2)'!$B$9:$J$570,6,FALSE),0))*1</f>
        <v>8101762206</v>
      </c>
      <c r="I164" s="73">
        <f>(+IFERROR(VLOOKUP($A164,'[152]BG (2)'!$B$9:$J$570,7,FALSE),0))*-1</f>
        <v>-6961319845</v>
      </c>
      <c r="J164" s="89">
        <f>(+IFERROR(VLOOKUP($A164,'[152]BG (2)'!$B$9:$J$570,8,FALSE),0))*1</f>
        <v>0</v>
      </c>
      <c r="K164" s="73">
        <f>(+IFERROR(VLOOKUP($A164,'[152]BG (2)'!$B$9:$J$570,9,FALSE),0))*-1</f>
        <v>-4512562531</v>
      </c>
      <c r="P164" s="90">
        <f t="shared" si="12"/>
        <v>-4512562531</v>
      </c>
      <c r="S164" s="90"/>
      <c r="T164" s="102">
        <f t="shared" si="13"/>
        <v>-4512562531</v>
      </c>
      <c r="U164" s="95"/>
      <c r="V164" s="72"/>
      <c r="W164" s="75" t="e">
        <f>+A164-#REF!</f>
        <v>#REF!</v>
      </c>
      <c r="X164" s="1270"/>
      <c r="Y164" s="91"/>
      <c r="Z164" s="91"/>
      <c r="AA164" s="91"/>
    </row>
    <row r="165" spans="1:27" ht="14.4" customHeight="1" x14ac:dyDescent="0.3">
      <c r="A165">
        <v>409101</v>
      </c>
      <c r="B165" t="s">
        <v>255</v>
      </c>
      <c r="C165" t="s">
        <v>256</v>
      </c>
      <c r="D165" s="87" t="str">
        <f t="shared" si="11"/>
        <v>40</v>
      </c>
      <c r="E165" s="92"/>
      <c r="F165" s="93">
        <f>(+IFERROR(VLOOKUP($A165,'[152]BG (2)'!$B$9:$J$570,4,FALSE),0))*1</f>
        <v>311056940</v>
      </c>
      <c r="G165" s="73">
        <f>(+IFERROR(VLOOKUP($A165,'[152]BG (2)'!$B$9:$J$570,5,FALSE),0))*-1</f>
        <v>0</v>
      </c>
      <c r="H165" s="93">
        <f>(+IFERROR(VLOOKUP($A165,'[152]BG (2)'!$B$9:$J$570,6,FALSE),0))*1</f>
        <v>0</v>
      </c>
      <c r="I165" s="73">
        <f>(+IFERROR(VLOOKUP($A165,'[152]BG (2)'!$B$9:$J$570,7,FALSE),0))*-1</f>
        <v>-35175600</v>
      </c>
      <c r="J165" s="89">
        <f>(+IFERROR(VLOOKUP($A165,'[152]BG (2)'!$B$9:$J$570,8,FALSE),0))*1</f>
        <v>275881340</v>
      </c>
      <c r="K165" s="73">
        <f>(+IFERROR(VLOOKUP($A165,'[152]BG (2)'!$B$9:$J$570,9,FALSE),0))*-1</f>
        <v>0</v>
      </c>
      <c r="P165" s="90">
        <f t="shared" si="12"/>
        <v>275881340</v>
      </c>
      <c r="S165" s="90"/>
      <c r="T165" s="102">
        <f t="shared" si="13"/>
        <v>275881340</v>
      </c>
      <c r="U165" s="95"/>
      <c r="V165" s="72"/>
      <c r="W165" s="75" t="e">
        <f>+A165-#REF!</f>
        <v>#REF!</v>
      </c>
      <c r="X165" s="1270"/>
      <c r="Y165" s="91"/>
      <c r="Z165" s="91"/>
      <c r="AA165" s="91"/>
    </row>
    <row r="166" spans="1:27" ht="14.4" customHeight="1" x14ac:dyDescent="0.3">
      <c r="A166">
        <v>409150</v>
      </c>
      <c r="B166"/>
      <c r="C166" t="s">
        <v>256</v>
      </c>
      <c r="D166" s="87" t="str">
        <f t="shared" si="11"/>
        <v>40</v>
      </c>
      <c r="E166" s="92"/>
      <c r="F166" s="93">
        <f>(+IFERROR(VLOOKUP($A166,'[152]BG (2)'!$B$9:$J$570,4,FALSE),0))*1</f>
        <v>120763142</v>
      </c>
      <c r="G166" s="73">
        <f>(+IFERROR(VLOOKUP($A166,'[152]BG (2)'!$B$9:$J$570,5,FALSE),0))*-1</f>
        <v>0</v>
      </c>
      <c r="H166" s="93">
        <f>(+IFERROR(VLOOKUP($A166,'[152]BG (2)'!$B$9:$J$570,6,FALSE),0))*1</f>
        <v>0</v>
      </c>
      <c r="I166" s="73">
        <f>(+IFERROR(VLOOKUP($A166,'[152]BG (2)'!$B$9:$J$570,7,FALSE),0))*-1</f>
        <v>0</v>
      </c>
      <c r="J166" s="89">
        <f>(+IFERROR(VLOOKUP($A166,'[152]BG (2)'!$B$9:$J$570,8,FALSE),0))*1</f>
        <v>120763142</v>
      </c>
      <c r="K166" s="73">
        <f>(+IFERROR(VLOOKUP($A166,'[152]BG (2)'!$B$9:$J$570,9,FALSE),0))*-1</f>
        <v>0</v>
      </c>
      <c r="P166" s="90">
        <f t="shared" si="12"/>
        <v>120763142</v>
      </c>
      <c r="S166" s="90"/>
      <c r="T166" s="102">
        <f t="shared" si="13"/>
        <v>120763142</v>
      </c>
      <c r="U166" s="95"/>
      <c r="V166" s="72"/>
      <c r="W166" s="75" t="e">
        <f>+A166-#REF!</f>
        <v>#REF!</v>
      </c>
      <c r="X166" s="1270"/>
      <c r="Y166" s="91"/>
      <c r="Z166" s="91"/>
      <c r="AA166" s="91"/>
    </row>
    <row r="167" spans="1:27" ht="14.4" customHeight="1" x14ac:dyDescent="0.3">
      <c r="A167">
        <v>411110</v>
      </c>
      <c r="B167" t="s">
        <v>257</v>
      </c>
      <c r="C167" t="s">
        <v>258</v>
      </c>
      <c r="D167" s="87" t="str">
        <f t="shared" si="11"/>
        <v>41</v>
      </c>
      <c r="E167" s="92"/>
      <c r="F167" s="93">
        <f>(+IFERROR(VLOOKUP($A167,'[152]BG (2)'!$B$9:$J$570,4,FALSE),0))*1</f>
        <v>6932421915</v>
      </c>
      <c r="G167" s="73">
        <f>(+IFERROR(VLOOKUP($A167,'[152]BG (2)'!$B$9:$J$570,5,FALSE),0))*-1</f>
        <v>0</v>
      </c>
      <c r="H167" s="108">
        <f>(+IFERROR(VLOOKUP($A167,'[152]BG (2)'!$B$9:$J$570,6,FALSE),0))*1</f>
        <v>876904075</v>
      </c>
      <c r="I167" s="73">
        <f>(+IFERROR(VLOOKUP($A167,'[152]BG (2)'!$B$9:$J$570,7,FALSE),0))*-1</f>
        <v>-613677478</v>
      </c>
      <c r="J167" s="119">
        <f>(+IFERROR(VLOOKUP($A167,'[152]BG (2)'!$B$9:$J$570,8,FALSE),0))*1</f>
        <v>7195648512</v>
      </c>
      <c r="K167" s="73">
        <f>(+IFERROR(VLOOKUP($A167,'[152]BG (2)'!$B$9:$J$570,9,FALSE),0))*-1</f>
        <v>0</v>
      </c>
      <c r="P167" s="90">
        <f t="shared" si="12"/>
        <v>7195648512</v>
      </c>
      <c r="S167" s="90"/>
      <c r="T167" s="102">
        <f t="shared" si="13"/>
        <v>7195648512</v>
      </c>
      <c r="U167" s="95"/>
      <c r="V167" s="72"/>
      <c r="W167" s="75" t="e">
        <f>+A167-#REF!</f>
        <v>#REF!</v>
      </c>
      <c r="X167" s="1270"/>
      <c r="Y167" s="91"/>
      <c r="Z167" s="91"/>
      <c r="AA167" s="91"/>
    </row>
    <row r="168" spans="1:27" ht="14.4" customHeight="1" x14ac:dyDescent="0.3">
      <c r="A168">
        <v>411120</v>
      </c>
      <c r="B168" t="s">
        <v>259</v>
      </c>
      <c r="C168" t="s">
        <v>258</v>
      </c>
      <c r="D168" s="87" t="str">
        <f t="shared" si="11"/>
        <v>41</v>
      </c>
      <c r="E168" s="92"/>
      <c r="F168" s="93">
        <f>(+IFERROR(VLOOKUP($A168,'[152]BG (2)'!$B$9:$J$570,4,FALSE),0))*1</f>
        <v>3187552413</v>
      </c>
      <c r="G168" s="73">
        <f>(+IFERROR(VLOOKUP($A168,'[152]BG (2)'!$B$9:$J$570,5,FALSE),0))*-1</f>
        <v>0</v>
      </c>
      <c r="H168" s="108">
        <f>(+IFERROR(VLOOKUP($A168,'[152]BG (2)'!$B$9:$J$570,6,FALSE),0))*1</f>
        <v>1500202347</v>
      </c>
      <c r="I168" s="73">
        <f>(+IFERROR(VLOOKUP($A168,'[152]BG (2)'!$B$9:$J$570,7,FALSE),0))*-1</f>
        <v>-1096502807</v>
      </c>
      <c r="J168" s="89">
        <f>(+IFERROR(VLOOKUP($A168,'[152]BG (2)'!$B$9:$J$570,8,FALSE),0))*1</f>
        <v>3591251953</v>
      </c>
      <c r="K168" s="73">
        <f>(+IFERROR(VLOOKUP($A168,'[152]BG (2)'!$B$9:$J$570,9,FALSE),0))*-1</f>
        <v>0</v>
      </c>
      <c r="P168" s="90">
        <f t="shared" si="12"/>
        <v>3591251953</v>
      </c>
      <c r="S168" s="90"/>
      <c r="T168" s="102">
        <f t="shared" si="13"/>
        <v>3591251953</v>
      </c>
      <c r="U168" s="95"/>
      <c r="V168" s="72"/>
      <c r="W168" s="75" t="e">
        <f>+A168-#REF!</f>
        <v>#REF!</v>
      </c>
      <c r="X168" s="1270"/>
      <c r="Y168" s="91"/>
      <c r="Z168" s="91"/>
      <c r="AA168" s="91"/>
    </row>
    <row r="169" spans="1:27" ht="14.4" customHeight="1" x14ac:dyDescent="0.3">
      <c r="A169">
        <v>411130</v>
      </c>
      <c r="B169" t="s">
        <v>260</v>
      </c>
      <c r="C169" t="s">
        <v>258</v>
      </c>
      <c r="D169" s="87" t="str">
        <f t="shared" si="11"/>
        <v>41</v>
      </c>
      <c r="E169" s="92"/>
      <c r="F169" s="93">
        <f>(+IFERROR(VLOOKUP($A169,'[152]BG (2)'!$B$9:$J$570,4,FALSE),0))*1</f>
        <v>3615095147</v>
      </c>
      <c r="G169" s="73">
        <f>(+IFERROR(VLOOKUP($A169,'[152]BG (2)'!$B$9:$J$570,5,FALSE),0))*-1</f>
        <v>0</v>
      </c>
      <c r="H169" s="108">
        <f>(+IFERROR(VLOOKUP($A169,'[152]BG (2)'!$B$9:$J$570,6,FALSE),0))*1</f>
        <v>1514540730</v>
      </c>
      <c r="I169" s="73">
        <f>(+IFERROR(VLOOKUP($A169,'[152]BG (2)'!$B$9:$J$570,7,FALSE),0))*-1</f>
        <v>-2302444057</v>
      </c>
      <c r="J169" s="89">
        <f>(+IFERROR(VLOOKUP($A169,'[152]BG (2)'!$B$9:$J$570,8,FALSE),0))*1</f>
        <v>2827191820</v>
      </c>
      <c r="K169" s="73">
        <f>(+IFERROR(VLOOKUP($A169,'[152]BG (2)'!$B$9:$J$570,9,FALSE),0))*-1</f>
        <v>0</v>
      </c>
      <c r="P169" s="90">
        <f t="shared" si="12"/>
        <v>2827191820</v>
      </c>
      <c r="S169" s="90"/>
      <c r="T169" s="102">
        <f t="shared" si="13"/>
        <v>2827191820</v>
      </c>
      <c r="U169" s="95"/>
      <c r="V169" s="72"/>
      <c r="W169" s="75" t="e">
        <f>+A169-#REF!</f>
        <v>#REF!</v>
      </c>
      <c r="X169" s="1270"/>
      <c r="Y169" s="91"/>
      <c r="Z169" s="91"/>
      <c r="AA169" s="91"/>
    </row>
    <row r="170" spans="1:27" ht="14.4" customHeight="1" x14ac:dyDescent="0.3">
      <c r="A170">
        <v>411140</v>
      </c>
      <c r="B170" t="s">
        <v>261</v>
      </c>
      <c r="C170" t="s">
        <v>258</v>
      </c>
      <c r="D170" s="87" t="str">
        <f t="shared" si="11"/>
        <v>41</v>
      </c>
      <c r="E170" s="92"/>
      <c r="F170" s="93">
        <f>(+IFERROR(VLOOKUP($A170,'[152]BG (2)'!$B$9:$J$570,4,FALSE),0))*1</f>
        <v>4326284166</v>
      </c>
      <c r="G170" s="73">
        <f>(+IFERROR(VLOOKUP($A170,'[152]BG (2)'!$B$9:$J$570,5,FALSE),0))*-1</f>
        <v>0</v>
      </c>
      <c r="H170" s="118">
        <f>(+IFERROR(VLOOKUP($A170,'[152]BG (2)'!$B$9:$J$570,6,FALSE),0))*1</f>
        <v>1793119478</v>
      </c>
      <c r="I170" s="73">
        <f>(+IFERROR(VLOOKUP($A170,'[152]BG (2)'!$B$9:$J$570,7,FALSE),0))*-1</f>
        <v>-2875174102</v>
      </c>
      <c r="J170" s="120">
        <f>(+IFERROR(VLOOKUP($A170,'[152]BG (2)'!$B$9:$J$570,8,FALSE),0))*1</f>
        <v>3244229542</v>
      </c>
      <c r="K170" s="73">
        <f>(+IFERROR(VLOOKUP($A170,'[152]BG (2)'!$B$9:$J$570,9,FALSE),0))*-1</f>
        <v>0</v>
      </c>
      <c r="P170" s="90">
        <f t="shared" si="12"/>
        <v>3244229542</v>
      </c>
      <c r="S170" s="90"/>
      <c r="T170" s="102">
        <f t="shared" si="13"/>
        <v>3244229542</v>
      </c>
      <c r="U170" s="95"/>
      <c r="V170" s="72"/>
      <c r="W170" s="75" t="e">
        <f>+A170-#REF!</f>
        <v>#REF!</v>
      </c>
      <c r="X170" s="1270"/>
      <c r="Y170" s="91"/>
      <c r="Z170" s="91"/>
      <c r="AA170" s="91"/>
    </row>
    <row r="171" spans="1:27" ht="14.4" customHeight="1" x14ac:dyDescent="0.3">
      <c r="A171">
        <v>411190</v>
      </c>
      <c r="B171"/>
      <c r="C171" t="s">
        <v>258</v>
      </c>
      <c r="D171" s="87" t="str">
        <f t="shared" si="11"/>
        <v>41</v>
      </c>
      <c r="E171" s="92"/>
      <c r="F171" s="93">
        <f>(+IFERROR(VLOOKUP($A171,'[152]BG (2)'!$B$9:$J$570,4,FALSE),0))*1</f>
        <v>0</v>
      </c>
      <c r="G171" s="73">
        <f>(+IFERROR(VLOOKUP($A171,'[152]BG (2)'!$B$9:$J$570,5,FALSE),0))*-1</f>
        <v>0</v>
      </c>
      <c r="H171" s="118">
        <f>(+IFERROR(VLOOKUP($A171,'[152]BG (2)'!$B$9:$J$570,6,FALSE),0))*1</f>
        <v>0</v>
      </c>
      <c r="I171" s="73">
        <f>(+IFERROR(VLOOKUP($A171,'[152]BG (2)'!$B$9:$J$570,7,FALSE),0))*-1</f>
        <v>0</v>
      </c>
      <c r="J171" s="119">
        <f>(+IFERROR(VLOOKUP($A171,'[152]BG (2)'!$B$9:$J$570,8,FALSE),0))*1</f>
        <v>0</v>
      </c>
      <c r="K171" s="73">
        <f>(+IFERROR(VLOOKUP($A171,'[152]BG (2)'!$B$9:$J$570,9,FALSE),0))*-1</f>
        <v>0</v>
      </c>
      <c r="P171" s="90">
        <f t="shared" si="12"/>
        <v>0</v>
      </c>
      <c r="S171" s="90"/>
      <c r="T171" s="102">
        <f t="shared" si="13"/>
        <v>0</v>
      </c>
      <c r="U171" s="95"/>
      <c r="V171" s="72"/>
      <c r="W171" s="75" t="e">
        <f>+A171-#REF!</f>
        <v>#REF!</v>
      </c>
      <c r="X171" s="1270"/>
      <c r="Y171" s="91"/>
      <c r="Z171" s="91"/>
      <c r="AA171" s="91"/>
    </row>
    <row r="172" spans="1:27" ht="14.4" customHeight="1" x14ac:dyDescent="0.3">
      <c r="A172">
        <v>411200</v>
      </c>
      <c r="B172" t="s">
        <v>262</v>
      </c>
      <c r="C172" t="s">
        <v>258</v>
      </c>
      <c r="D172" s="87" t="str">
        <f t="shared" si="11"/>
        <v>41</v>
      </c>
      <c r="E172" s="92"/>
      <c r="F172" s="93">
        <f>(+IFERROR(VLOOKUP($A172,'[152]BG (2)'!$B$9:$J$570,4,FALSE),0))*1</f>
        <v>2447479718</v>
      </c>
      <c r="G172" s="73">
        <f>(+IFERROR(VLOOKUP($A172,'[152]BG (2)'!$B$9:$J$570,5,FALSE),0))*-1</f>
        <v>0</v>
      </c>
      <c r="H172" s="93">
        <f>(+IFERROR(VLOOKUP($A172,'[152]BG (2)'!$B$9:$J$570,6,FALSE),0))*1</f>
        <v>5526421300</v>
      </c>
      <c r="I172" s="73">
        <f>(+IFERROR(VLOOKUP($A172,'[152]BG (2)'!$B$9:$J$570,7,FALSE),0))*-1</f>
        <v>-5126829708</v>
      </c>
      <c r="J172" s="119">
        <f>(+IFERROR(VLOOKUP($A172,'[152]BG (2)'!$B$9:$J$570,8,FALSE),0))*1</f>
        <v>2847071310</v>
      </c>
      <c r="K172" s="73">
        <f>(+IFERROR(VLOOKUP($A172,'[152]BG (2)'!$B$9:$J$570,9,FALSE),0))*-1</f>
        <v>0</v>
      </c>
      <c r="P172" s="90">
        <f t="shared" si="12"/>
        <v>2847071310</v>
      </c>
      <c r="S172" s="90"/>
      <c r="T172" s="102">
        <f t="shared" si="13"/>
        <v>2847071310</v>
      </c>
      <c r="U172" s="95"/>
      <c r="V172" s="72"/>
      <c r="W172" s="75" t="e">
        <f>+A172-#REF!</f>
        <v>#REF!</v>
      </c>
      <c r="X172" s="1270"/>
      <c r="Y172" s="91"/>
      <c r="Z172" s="91"/>
      <c r="AA172" s="91"/>
    </row>
    <row r="173" spans="1:27" ht="14.4" customHeight="1" x14ac:dyDescent="0.3">
      <c r="A173">
        <v>411300</v>
      </c>
      <c r="B173" t="s">
        <v>263</v>
      </c>
      <c r="C173" t="s">
        <v>258</v>
      </c>
      <c r="D173" s="87" t="str">
        <f t="shared" si="11"/>
        <v>41</v>
      </c>
      <c r="E173" s="92"/>
      <c r="F173" s="93">
        <f>(+IFERROR(VLOOKUP($A173,'[152]BG (2)'!$B$9:$J$570,4,FALSE),0))*1</f>
        <v>20603652</v>
      </c>
      <c r="G173" s="73">
        <f>(+IFERROR(VLOOKUP($A173,'[152]BG (2)'!$B$9:$J$570,5,FALSE),0))*-1</f>
        <v>0</v>
      </c>
      <c r="H173" s="93">
        <f>(+IFERROR(VLOOKUP($A173,'[152]BG (2)'!$B$9:$J$570,6,FALSE),0))*1</f>
        <v>0</v>
      </c>
      <c r="I173" s="73">
        <f>(+IFERROR(VLOOKUP($A173,'[152]BG (2)'!$B$9:$J$570,7,FALSE),0))*-1</f>
        <v>0</v>
      </c>
      <c r="J173" s="119">
        <f>(+IFERROR(VLOOKUP($A173,'[152]BG (2)'!$B$9:$J$570,8,FALSE),0))*1</f>
        <v>20603652</v>
      </c>
      <c r="K173" s="73">
        <f>(+IFERROR(VLOOKUP($A173,'[152]BG (2)'!$B$9:$J$570,9,FALSE),0))*-1</f>
        <v>0</v>
      </c>
      <c r="P173" s="90">
        <f t="shared" si="12"/>
        <v>20603652</v>
      </c>
      <c r="S173" s="90"/>
      <c r="T173" s="102">
        <f t="shared" si="13"/>
        <v>20603652</v>
      </c>
      <c r="U173" s="95"/>
      <c r="V173" s="72"/>
      <c r="W173" s="75" t="e">
        <f>+A173-#REF!</f>
        <v>#REF!</v>
      </c>
      <c r="X173" s="1270"/>
      <c r="Y173" s="91"/>
      <c r="Z173" s="91"/>
      <c r="AA173" s="91"/>
    </row>
    <row r="174" spans="1:27" ht="14.4" customHeight="1" x14ac:dyDescent="0.3">
      <c r="A174">
        <v>411380</v>
      </c>
      <c r="B174" t="s">
        <v>264</v>
      </c>
      <c r="C174" t="s">
        <v>258</v>
      </c>
      <c r="D174" s="87" t="str">
        <f t="shared" si="11"/>
        <v>41</v>
      </c>
      <c r="E174" s="92"/>
      <c r="F174" s="93">
        <f>(+IFERROR(VLOOKUP($A174,'[152]BG (2)'!$B$9:$J$570,4,FALSE),0))*1</f>
        <v>37169256</v>
      </c>
      <c r="G174" s="73">
        <f>(+IFERROR(VLOOKUP($A174,'[152]BG (2)'!$B$9:$J$570,5,FALSE),0))*-1</f>
        <v>0</v>
      </c>
      <c r="H174" s="118">
        <f>(+IFERROR(VLOOKUP($A174,'[152]BG (2)'!$B$9:$J$570,6,FALSE),0))*1</f>
        <v>4979414832</v>
      </c>
      <c r="I174" s="73">
        <f>(+IFERROR(VLOOKUP($A174,'[152]BG (2)'!$B$9:$J$570,7,FALSE),0))*-1</f>
        <v>-4965885253</v>
      </c>
      <c r="J174" s="119">
        <f>(+IFERROR(VLOOKUP($A174,'[152]BG (2)'!$B$9:$J$570,8,FALSE),0))*1</f>
        <v>50698835</v>
      </c>
      <c r="K174" s="73">
        <f>(+IFERROR(VLOOKUP($A174,'[152]BG (2)'!$B$9:$J$570,9,FALSE),0))*-1</f>
        <v>0</v>
      </c>
      <c r="P174" s="90">
        <f t="shared" si="12"/>
        <v>50698835</v>
      </c>
      <c r="S174" s="90"/>
      <c r="T174" s="102">
        <f t="shared" si="13"/>
        <v>50698835</v>
      </c>
      <c r="U174" s="95"/>
      <c r="V174" s="72"/>
      <c r="W174" s="75" t="e">
        <f>+A174-#REF!</f>
        <v>#REF!</v>
      </c>
      <c r="X174" s="1270"/>
      <c r="Y174" s="91"/>
      <c r="Z174" s="91"/>
      <c r="AA174" s="91"/>
    </row>
    <row r="175" spans="1:27" ht="14.4" customHeight="1" x14ac:dyDescent="0.3">
      <c r="A175">
        <v>411390</v>
      </c>
      <c r="B175" t="s">
        <v>265</v>
      </c>
      <c r="C175" t="s">
        <v>258</v>
      </c>
      <c r="D175" s="87" t="str">
        <f t="shared" si="11"/>
        <v>41</v>
      </c>
      <c r="E175" s="92"/>
      <c r="F175" s="93">
        <f>(+IFERROR(VLOOKUP($A175,'[152]BG (2)'!$B$9:$J$570,4,FALSE),0))*1</f>
        <v>5310337</v>
      </c>
      <c r="G175" s="73">
        <f>(+IFERROR(VLOOKUP($A175,'[152]BG (2)'!$B$9:$J$570,5,FALSE),0))*-1</f>
        <v>0</v>
      </c>
      <c r="H175" s="93">
        <f>(+IFERROR(VLOOKUP($A175,'[152]BG (2)'!$B$9:$J$570,6,FALSE),0))*1</f>
        <v>0</v>
      </c>
      <c r="I175" s="73">
        <f>(+IFERROR(VLOOKUP($A175,'[152]BG (2)'!$B$9:$J$570,7,FALSE),0))*-1</f>
        <v>0</v>
      </c>
      <c r="J175" s="119">
        <f>(+IFERROR(VLOOKUP($A175,'[152]BG (2)'!$B$9:$J$570,8,FALSE),0))*1</f>
        <v>5310337</v>
      </c>
      <c r="K175" s="73">
        <f>(+IFERROR(VLOOKUP($A175,'[152]BG (2)'!$B$9:$J$570,9,FALSE),0))*-1</f>
        <v>0</v>
      </c>
      <c r="P175" s="90">
        <f t="shared" si="12"/>
        <v>5310337</v>
      </c>
      <c r="S175" s="90"/>
      <c r="T175" s="102">
        <f t="shared" si="13"/>
        <v>5310337</v>
      </c>
      <c r="U175" s="95"/>
      <c r="V175" s="72"/>
      <c r="W175" s="75" t="e">
        <f>+A175-#REF!</f>
        <v>#REF!</v>
      </c>
      <c r="X175" s="1270"/>
      <c r="Y175" s="91"/>
      <c r="Z175" s="91"/>
      <c r="AA175" s="91"/>
    </row>
    <row r="176" spans="1:27" s="1674" customFormat="1" ht="14.4" customHeight="1" x14ac:dyDescent="0.3">
      <c r="A176" s="1665">
        <v>411400</v>
      </c>
      <c r="B176" s="1665" t="s">
        <v>266</v>
      </c>
      <c r="C176" s="1665" t="s">
        <v>258</v>
      </c>
      <c r="D176" s="87" t="str">
        <f t="shared" si="11"/>
        <v>41</v>
      </c>
      <c r="E176" s="1667"/>
      <c r="F176" s="1668">
        <f>(+IFERROR(VLOOKUP($A176,'[152]BG (2)'!$B$9:$J$570,4,FALSE),0))*1</f>
        <v>0</v>
      </c>
      <c r="G176" s="1669">
        <f>(+IFERROR(VLOOKUP($A176,'[152]BG (2)'!$B$9:$J$570,5,FALSE),0))*-1</f>
        <v>-43915392</v>
      </c>
      <c r="H176" s="1668">
        <f>(+IFERROR(VLOOKUP($A176,'[152]BG (2)'!$B$9:$J$570,6,FALSE),0))*1</f>
        <v>30513047919</v>
      </c>
      <c r="I176" s="1669">
        <f>(+IFERROR(VLOOKUP($A176,'[152]BG (2)'!$B$9:$J$570,7,FALSE),0))*-1</f>
        <v>-30464955417</v>
      </c>
      <c r="J176" s="1670">
        <f>(+IFERROR(VLOOKUP($A176,'[152]BG (2)'!$B$9:$J$570,8,FALSE),0))*1</f>
        <v>4177110</v>
      </c>
      <c r="K176" s="1669">
        <f>(+IFERROR(VLOOKUP($A176,'[152]BG (2)'!$B$9:$J$570,9,FALSE),0))*-1</f>
        <v>0</v>
      </c>
      <c r="L176" s="1665"/>
      <c r="M176" s="1665"/>
      <c r="N176" s="1671"/>
      <c r="O176" s="1671"/>
      <c r="P176" s="90">
        <f t="shared" si="12"/>
        <v>4177110</v>
      </c>
      <c r="Q176" s="1671"/>
      <c r="R176" s="1671"/>
      <c r="S176" s="1672"/>
      <c r="T176" s="1672">
        <f t="shared" si="13"/>
        <v>4177110</v>
      </c>
      <c r="U176" s="1673"/>
      <c r="W176" s="1666" t="e">
        <f>+A176-#REF!</f>
        <v>#REF!</v>
      </c>
      <c r="Y176" s="91"/>
      <c r="Z176" s="91"/>
      <c r="AA176" s="91"/>
    </row>
    <row r="177" spans="1:27" ht="14.4" customHeight="1" x14ac:dyDescent="0.3">
      <c r="A177">
        <v>411410</v>
      </c>
      <c r="B177" t="s">
        <v>267</v>
      </c>
      <c r="C177" t="s">
        <v>258</v>
      </c>
      <c r="D177" s="87" t="str">
        <f t="shared" si="11"/>
        <v>41</v>
      </c>
      <c r="E177" s="92"/>
      <c r="F177" s="93">
        <f>(+IFERROR(VLOOKUP($A177,'[152]BG (2)'!$B$9:$J$570,4,FALSE),0))*1</f>
        <v>11218273</v>
      </c>
      <c r="G177" s="73">
        <f>(+IFERROR(VLOOKUP($A177,'[152]BG (2)'!$B$9:$J$570,5,FALSE),0))*-1</f>
        <v>0</v>
      </c>
      <c r="H177" s="93">
        <f>(+IFERROR(VLOOKUP($A177,'[152]BG (2)'!$B$9:$J$570,6,FALSE),0))*1</f>
        <v>494541001</v>
      </c>
      <c r="I177" s="73">
        <f>(+IFERROR(VLOOKUP($A177,'[152]BG (2)'!$B$9:$J$570,7,FALSE),0))*-1</f>
        <v>-486185996</v>
      </c>
      <c r="J177" s="119">
        <f>(+IFERROR(VLOOKUP($A177,'[152]BG (2)'!$B$9:$J$570,8,FALSE),0))*1</f>
        <v>19573278</v>
      </c>
      <c r="K177" s="73">
        <f>(+IFERROR(VLOOKUP($A177,'[152]BG (2)'!$B$9:$J$570,9,FALSE),0))*-1</f>
        <v>0</v>
      </c>
      <c r="P177" s="90">
        <f t="shared" si="12"/>
        <v>19573278</v>
      </c>
      <c r="S177" s="90"/>
      <c r="T177" s="102">
        <f t="shared" si="13"/>
        <v>19573278</v>
      </c>
      <c r="U177" s="95"/>
      <c r="V177" s="72"/>
      <c r="W177" s="75" t="e">
        <f>+A177-#REF!</f>
        <v>#REF!</v>
      </c>
      <c r="X177" s="1270"/>
      <c r="Y177" s="91"/>
      <c r="Z177" s="91"/>
      <c r="AA177" s="91"/>
    </row>
    <row r="178" spans="1:27" ht="14.4" customHeight="1" x14ac:dyDescent="0.3">
      <c r="A178">
        <v>411500</v>
      </c>
      <c r="B178" t="s">
        <v>268</v>
      </c>
      <c r="C178" t="s">
        <v>258</v>
      </c>
      <c r="D178" s="87" t="str">
        <f t="shared" si="11"/>
        <v>41</v>
      </c>
      <c r="E178" s="92"/>
      <c r="F178" s="93">
        <f>(+IFERROR(VLOOKUP($A178,'[152]BG (2)'!$B$9:$J$570,4,FALSE),0))*1</f>
        <v>119545201</v>
      </c>
      <c r="G178" s="73">
        <f>(+IFERROR(VLOOKUP($A178,'[152]BG (2)'!$B$9:$J$570,5,FALSE),0))*-1</f>
        <v>0</v>
      </c>
      <c r="H178" s="93">
        <f>(+IFERROR(VLOOKUP($A178,'[152]BG (2)'!$B$9:$J$570,6,FALSE),0))*1</f>
        <v>398526691</v>
      </c>
      <c r="I178" s="73">
        <f>(+IFERROR(VLOOKUP($A178,'[152]BG (2)'!$B$9:$J$570,7,FALSE),0))*-1</f>
        <v>-361639983</v>
      </c>
      <c r="J178" s="119">
        <f>(+IFERROR(VLOOKUP($A178,'[152]BG (2)'!$B$9:$J$570,8,FALSE),0))*1</f>
        <v>156431909</v>
      </c>
      <c r="K178" s="73">
        <f>(+IFERROR(VLOOKUP($A178,'[152]BG (2)'!$B$9:$J$570,9,FALSE),0))*-1</f>
        <v>0</v>
      </c>
      <c r="P178" s="90">
        <f t="shared" si="12"/>
        <v>156431909</v>
      </c>
      <c r="S178" s="90"/>
      <c r="T178" s="102">
        <f t="shared" si="13"/>
        <v>156431909</v>
      </c>
      <c r="U178" s="95"/>
      <c r="V178" s="72"/>
      <c r="W178" s="75" t="e">
        <f>+A178-#REF!</f>
        <v>#REF!</v>
      </c>
      <c r="X178" s="1270"/>
      <c r="Y178" s="91"/>
      <c r="Z178" s="91"/>
      <c r="AA178" s="91"/>
    </row>
    <row r="179" spans="1:27" ht="14.4" customHeight="1" x14ac:dyDescent="0.3">
      <c r="A179">
        <v>411600</v>
      </c>
      <c r="B179" t="s">
        <v>269</v>
      </c>
      <c r="C179" t="s">
        <v>258</v>
      </c>
      <c r="D179" s="87" t="str">
        <f t="shared" si="11"/>
        <v>41</v>
      </c>
      <c r="E179" s="92"/>
      <c r="F179" s="93">
        <f>(+IFERROR(VLOOKUP($A179,'[152]BG (2)'!$B$9:$J$570,4,FALSE),0))*1</f>
        <v>6340430</v>
      </c>
      <c r="G179" s="73">
        <f>(+IFERROR(VLOOKUP($A179,'[152]BG (2)'!$B$9:$J$570,5,FALSE),0))*-1</f>
        <v>0</v>
      </c>
      <c r="H179" s="93">
        <f>(+IFERROR(VLOOKUP($A179,'[152]BG (2)'!$B$9:$J$570,6,FALSE),0))*1</f>
        <v>0</v>
      </c>
      <c r="I179" s="73">
        <f>(+IFERROR(VLOOKUP($A179,'[152]BG (2)'!$B$9:$J$570,7,FALSE),0))*-1</f>
        <v>0</v>
      </c>
      <c r="J179" s="119">
        <f>(+IFERROR(VLOOKUP($A179,'[152]BG (2)'!$B$9:$J$570,8,FALSE),0))*1</f>
        <v>6340430</v>
      </c>
      <c r="K179" s="73">
        <f>(+IFERROR(VLOOKUP($A179,'[152]BG (2)'!$B$9:$J$570,9,FALSE),0))*-1</f>
        <v>0</v>
      </c>
      <c r="P179" s="90">
        <f t="shared" si="12"/>
        <v>6340430</v>
      </c>
      <c r="S179" s="90"/>
      <c r="T179" s="102">
        <f t="shared" si="13"/>
        <v>6340430</v>
      </c>
      <c r="U179" s="95"/>
      <c r="V179" s="72"/>
      <c r="W179" s="75" t="e">
        <f>+A179-#REF!</f>
        <v>#REF!</v>
      </c>
      <c r="X179" s="1270"/>
      <c r="Y179" s="91"/>
      <c r="Z179" s="91"/>
      <c r="AA179" s="91"/>
    </row>
    <row r="180" spans="1:27" ht="14.4" customHeight="1" x14ac:dyDescent="0.3">
      <c r="A180">
        <v>411700</v>
      </c>
      <c r="B180" t="s">
        <v>270</v>
      </c>
      <c r="C180" t="s">
        <v>258</v>
      </c>
      <c r="D180" s="87" t="str">
        <f t="shared" si="11"/>
        <v>41</v>
      </c>
      <c r="E180" s="92"/>
      <c r="F180" s="121">
        <f>(+IFERROR(VLOOKUP($A180,'[152]BG (2)'!$B$9:$J$570,4,FALSE),0))*1</f>
        <v>680217903</v>
      </c>
      <c r="G180" s="73">
        <f>(+IFERROR(VLOOKUP($A180,'[152]BG (2)'!$B$9:$J$570,5,FALSE),0))*-1</f>
        <v>0</v>
      </c>
      <c r="H180" s="93">
        <f>(+IFERROR(VLOOKUP($A180,'[152]BG (2)'!$B$9:$J$570,6,FALSE),0))*1</f>
        <v>1240096476</v>
      </c>
      <c r="I180" s="73">
        <f>(+IFERROR(VLOOKUP($A180,'[152]BG (2)'!$B$9:$J$570,7,FALSE),0))*-1</f>
        <v>-1401979462</v>
      </c>
      <c r="J180" s="119">
        <f>(+IFERROR(VLOOKUP($A180,'[152]BG (2)'!$B$9:$J$570,8,FALSE),0))*1</f>
        <v>518334917</v>
      </c>
      <c r="K180" s="73">
        <f>(+IFERROR(VLOOKUP($A180,'[152]BG (2)'!$B$9:$J$570,9,FALSE),0))*-1</f>
        <v>0</v>
      </c>
      <c r="P180" s="90">
        <f t="shared" si="12"/>
        <v>518334917</v>
      </c>
      <c r="S180" s="90"/>
      <c r="T180" s="102">
        <f t="shared" si="13"/>
        <v>518334917</v>
      </c>
      <c r="U180" s="95"/>
      <c r="V180" s="72"/>
      <c r="W180" s="75" t="e">
        <f>+A180-#REF!</f>
        <v>#REF!</v>
      </c>
      <c r="X180" s="1270"/>
      <c r="Y180" s="91"/>
      <c r="Z180" s="91"/>
      <c r="AA180" s="91"/>
    </row>
    <row r="181" spans="1:27" ht="14.4" customHeight="1" x14ac:dyDescent="0.3">
      <c r="A181">
        <v>411710</v>
      </c>
      <c r="B181" t="s">
        <v>271</v>
      </c>
      <c r="C181" t="s">
        <v>258</v>
      </c>
      <c r="D181" s="87" t="str">
        <f t="shared" si="11"/>
        <v>41</v>
      </c>
      <c r="E181" s="92"/>
      <c r="F181" s="121">
        <f>(+IFERROR(VLOOKUP($A181,'[152]BG (2)'!$B$9:$J$570,4,FALSE),0))*1</f>
        <v>10000</v>
      </c>
      <c r="G181" s="73">
        <f>(+IFERROR(VLOOKUP($A181,'[152]BG (2)'!$B$9:$J$570,5,FALSE),0))*-1</f>
        <v>0</v>
      </c>
      <c r="H181" s="93">
        <f>(+IFERROR(VLOOKUP($A181,'[152]BG (2)'!$B$9:$J$570,6,FALSE),0))*1</f>
        <v>71700914016</v>
      </c>
      <c r="I181" s="73">
        <f>(+IFERROR(VLOOKUP($A181,'[152]BG (2)'!$B$9:$J$570,7,FALSE),0))*-1</f>
        <v>-71700924016</v>
      </c>
      <c r="J181" s="119">
        <f>(+IFERROR(VLOOKUP($A181,'[152]BG (2)'!$B$9:$J$570,8,FALSE),0))*1</f>
        <v>0</v>
      </c>
      <c r="K181" s="73">
        <f>(+IFERROR(VLOOKUP($A181,'[152]BG (2)'!$B$9:$J$570,9,FALSE),0))*-1</f>
        <v>0</v>
      </c>
      <c r="P181" s="90">
        <f t="shared" si="12"/>
        <v>0</v>
      </c>
      <c r="S181" s="90"/>
      <c r="T181" s="102">
        <f t="shared" si="13"/>
        <v>0</v>
      </c>
      <c r="U181" s="95"/>
      <c r="V181" s="72"/>
      <c r="W181" s="75" t="e">
        <f>+A181-#REF!</f>
        <v>#REF!</v>
      </c>
      <c r="X181" s="1270"/>
      <c r="Y181" s="91"/>
      <c r="Z181" s="91"/>
      <c r="AA181" s="91"/>
    </row>
    <row r="182" spans="1:27" ht="14.4" customHeight="1" x14ac:dyDescent="0.3">
      <c r="A182" s="1296">
        <v>411720</v>
      </c>
      <c r="B182" s="1296" t="s">
        <v>2362</v>
      </c>
      <c r="C182" s="72" t="s">
        <v>258</v>
      </c>
      <c r="D182" s="87" t="str">
        <f t="shared" si="11"/>
        <v>41</v>
      </c>
      <c r="E182" s="72"/>
      <c r="F182" s="72">
        <f>(+IFERROR(VLOOKUP($A182,'[152]BG (2)'!$B$9:$J$570,4,FALSE),0))*1</f>
        <v>8586625</v>
      </c>
      <c r="G182" s="72">
        <f>(+IFERROR(VLOOKUP($A182,'[152]BG (2)'!$B$9:$J$570,5,FALSE),0))*-1</f>
        <v>0</v>
      </c>
      <c r="H182" s="72">
        <f>(+IFERROR(VLOOKUP($A182,'[152]BG (2)'!$B$9:$J$570,6,FALSE),0))*1</f>
        <v>0</v>
      </c>
      <c r="I182" s="72">
        <f>(+IFERROR(VLOOKUP($A182,'[152]BG (2)'!$B$9:$J$570,7,FALSE),0))*-1</f>
        <v>0</v>
      </c>
      <c r="J182" s="72">
        <f>(+IFERROR(VLOOKUP($A182,'[152]BG (2)'!$B$9:$J$570,8,FALSE),0))*1</f>
        <v>8586625</v>
      </c>
      <c r="K182" s="91">
        <f>(+IFERROR(VLOOKUP($A182,'[152]BG (2)'!$B$9:$J$570,9,FALSE),0))*-1</f>
        <v>0</v>
      </c>
      <c r="L182" s="72"/>
      <c r="M182" s="72"/>
      <c r="N182" s="72"/>
      <c r="O182" s="72"/>
      <c r="P182" s="90">
        <f t="shared" si="12"/>
        <v>8586625</v>
      </c>
      <c r="Q182" s="72"/>
      <c r="R182" s="72"/>
      <c r="S182"/>
      <c r="T182"/>
      <c r="U182"/>
      <c r="V182" s="72"/>
      <c r="W182" s="72"/>
      <c r="X182" s="72"/>
      <c r="Y182" s="91"/>
      <c r="Z182" s="91"/>
      <c r="AA182" s="91"/>
    </row>
    <row r="183" spans="1:27" ht="14.4" customHeight="1" x14ac:dyDescent="0.3">
      <c r="A183">
        <v>411800</v>
      </c>
      <c r="B183" t="s">
        <v>272</v>
      </c>
      <c r="C183" t="s">
        <v>258</v>
      </c>
      <c r="D183" s="87" t="str">
        <f t="shared" si="11"/>
        <v>41</v>
      </c>
      <c r="E183" s="92"/>
      <c r="F183" s="121">
        <f>(+IFERROR(VLOOKUP($A183,'[152]BG (2)'!$B$9:$J$570,4,FALSE),0))*1</f>
        <v>45012206</v>
      </c>
      <c r="G183" s="73">
        <f>(+IFERROR(VLOOKUP($A183,'[152]BG (2)'!$B$9:$J$570,5,FALSE),0))*-1</f>
        <v>0</v>
      </c>
      <c r="H183" s="93">
        <f>(+IFERROR(VLOOKUP($A183,'[152]BG (2)'!$B$9:$J$570,6,FALSE),0))*1</f>
        <v>3646400</v>
      </c>
      <c r="I183" s="73">
        <f>(+IFERROR(VLOOKUP($A183,'[152]BG (2)'!$B$9:$J$570,7,FALSE),0))*-1</f>
        <v>-887500</v>
      </c>
      <c r="J183" s="119">
        <f>(+IFERROR(VLOOKUP($A183,'[152]BG (2)'!$B$9:$J$570,8,FALSE),0))*1</f>
        <v>47771106</v>
      </c>
      <c r="K183" s="73">
        <f>(+IFERROR(VLOOKUP($A183,'[152]BG (2)'!$B$9:$J$570,9,FALSE),0))*-1</f>
        <v>0</v>
      </c>
      <c r="P183" s="90">
        <f t="shared" si="12"/>
        <v>47771106</v>
      </c>
      <c r="S183" s="90"/>
      <c r="T183" s="102">
        <f>K183+J183</f>
        <v>47771106</v>
      </c>
      <c r="U183" s="95"/>
      <c r="V183" s="72"/>
      <c r="W183" s="75" t="e">
        <f>+A183-#REF!</f>
        <v>#REF!</v>
      </c>
      <c r="X183" s="1270"/>
      <c r="Y183" s="91"/>
      <c r="Z183" s="91"/>
      <c r="AA183" s="91"/>
    </row>
    <row r="184" spans="1:27" ht="14.4" customHeight="1" x14ac:dyDescent="0.3">
      <c r="A184">
        <v>411801</v>
      </c>
      <c r="B184" s="1262" t="s">
        <v>2210</v>
      </c>
      <c r="C184" t="s">
        <v>258</v>
      </c>
      <c r="D184" s="87" t="str">
        <f t="shared" si="11"/>
        <v>41</v>
      </c>
      <c r="E184" s="92"/>
      <c r="F184" s="121">
        <f>(+IFERROR(VLOOKUP($A184,'[152]BG (2)'!$B$9:$J$570,4,FALSE),0))*1</f>
        <v>0</v>
      </c>
      <c r="G184" s="73">
        <f>(+IFERROR(VLOOKUP($A184,'[152]BG (2)'!$B$9:$J$570,5,FALSE),0))*-1</f>
        <v>0</v>
      </c>
      <c r="H184" s="93">
        <f>(+IFERROR(VLOOKUP($A184,'[152]BG (2)'!$B$9:$J$570,6,FALSE),0))*1</f>
        <v>0</v>
      </c>
      <c r="I184" s="73">
        <f>(+IFERROR(VLOOKUP($A184,'[152]BG (2)'!$B$9:$J$570,7,FALSE),0))*-1</f>
        <v>0</v>
      </c>
      <c r="J184" s="119">
        <f>(+IFERROR(VLOOKUP($A184,'[152]BG (2)'!$B$9:$J$570,8,FALSE),0))*1</f>
        <v>0</v>
      </c>
      <c r="K184" s="73">
        <f>(+IFERROR(VLOOKUP($A184,'[152]BG (2)'!$B$9:$J$570,9,FALSE),0))*-1</f>
        <v>0</v>
      </c>
      <c r="P184" s="90">
        <f t="shared" si="12"/>
        <v>0</v>
      </c>
      <c r="S184" s="90"/>
      <c r="T184" s="102"/>
      <c r="U184" s="95"/>
      <c r="V184" s="72"/>
      <c r="W184" s="75" t="e">
        <f>+A184-#REF!</f>
        <v>#REF!</v>
      </c>
      <c r="X184" s="1270"/>
      <c r="Y184" s="91"/>
      <c r="Z184" s="91"/>
      <c r="AA184" s="91"/>
    </row>
    <row r="185" spans="1:27" ht="14.4" customHeight="1" x14ac:dyDescent="0.3">
      <c r="A185">
        <v>411890</v>
      </c>
      <c r="B185"/>
      <c r="C185" t="s">
        <v>258</v>
      </c>
      <c r="D185" s="87" t="str">
        <f t="shared" si="11"/>
        <v>41</v>
      </c>
      <c r="E185" s="92"/>
      <c r="F185" s="93">
        <f>(+IFERROR(VLOOKUP($A185,'[152]BG (2)'!$B$9:$J$570,4,FALSE),0))*1</f>
        <v>0</v>
      </c>
      <c r="G185" s="73">
        <f>(+IFERROR(VLOOKUP($A185,'[152]BG (2)'!$B$9:$J$570,5,FALSE),0))*-1</f>
        <v>0</v>
      </c>
      <c r="H185" s="93">
        <f>(+IFERROR(VLOOKUP($A185,'[152]BG (2)'!$B$9:$J$570,6,FALSE),0))*1</f>
        <v>0</v>
      </c>
      <c r="I185" s="73">
        <f>(+IFERROR(VLOOKUP($A185,'[152]BG (2)'!$B$9:$J$570,7,FALSE),0))*-1</f>
        <v>0</v>
      </c>
      <c r="J185" s="119">
        <f>(+IFERROR(VLOOKUP($A185,'[152]BG (2)'!$B$9:$J$570,8,FALSE),0))*1</f>
        <v>0</v>
      </c>
      <c r="K185" s="73">
        <f>(+IFERROR(VLOOKUP($A185,'[152]BG (2)'!$B$9:$J$570,9,FALSE),0))*-1</f>
        <v>0</v>
      </c>
      <c r="P185" s="90">
        <f t="shared" si="12"/>
        <v>0</v>
      </c>
      <c r="S185" s="90"/>
      <c r="T185" s="102">
        <f t="shared" ref="T185:T223" si="14">K185+J185</f>
        <v>0</v>
      </c>
      <c r="U185" s="95"/>
      <c r="V185" s="72"/>
      <c r="W185" s="75" t="e">
        <f>+A185-#REF!</f>
        <v>#REF!</v>
      </c>
      <c r="X185" s="1270"/>
      <c r="Y185" s="91"/>
      <c r="Z185" s="91"/>
      <c r="AA185" s="91"/>
    </row>
    <row r="186" spans="1:27" ht="14.4" customHeight="1" x14ac:dyDescent="0.3">
      <c r="A186">
        <v>411900</v>
      </c>
      <c r="B186" t="s">
        <v>273</v>
      </c>
      <c r="C186" t="s">
        <v>258</v>
      </c>
      <c r="D186" s="87" t="str">
        <f t="shared" si="11"/>
        <v>41</v>
      </c>
      <c r="E186" s="92"/>
      <c r="F186" s="93">
        <f>(+IFERROR(VLOOKUP($A186,'[152]BG (2)'!$B$9:$J$570,4,FALSE),0))*1</f>
        <v>0</v>
      </c>
      <c r="G186" s="73">
        <f>(+IFERROR(VLOOKUP($A186,'[152]BG (2)'!$B$9:$J$570,5,FALSE),0))*-1</f>
        <v>0</v>
      </c>
      <c r="H186" s="93">
        <f>(+IFERROR(VLOOKUP($A186,'[152]BG (2)'!$B$9:$J$570,6,FALSE),0))*1</f>
        <v>0</v>
      </c>
      <c r="I186" s="73">
        <f>(+IFERROR(VLOOKUP($A186,'[152]BG (2)'!$B$9:$J$570,7,FALSE),0))*-1</f>
        <v>0</v>
      </c>
      <c r="J186" s="119">
        <f>(+IFERROR(VLOOKUP($A186,'[152]BG (2)'!$B$9:$J$570,8,FALSE),0))*1</f>
        <v>0</v>
      </c>
      <c r="K186" s="73">
        <f>(+IFERROR(VLOOKUP($A186,'[152]BG (2)'!$B$9:$J$570,9,FALSE),0))*-1</f>
        <v>0</v>
      </c>
      <c r="P186" s="90">
        <f t="shared" si="12"/>
        <v>0</v>
      </c>
      <c r="S186" s="90"/>
      <c r="T186" s="102">
        <f t="shared" si="14"/>
        <v>0</v>
      </c>
      <c r="U186" s="95"/>
      <c r="V186" s="72"/>
      <c r="W186" s="75" t="e">
        <f>+A186-#REF!</f>
        <v>#REF!</v>
      </c>
      <c r="X186" s="1270"/>
      <c r="Y186" s="91"/>
      <c r="Z186" s="91"/>
      <c r="AA186" s="91"/>
    </row>
    <row r="187" spans="1:27" ht="14.4" customHeight="1" x14ac:dyDescent="0.3">
      <c r="A187">
        <v>411901</v>
      </c>
      <c r="B187" t="s">
        <v>274</v>
      </c>
      <c r="C187" t="s">
        <v>258</v>
      </c>
      <c r="D187" s="87" t="str">
        <f t="shared" si="11"/>
        <v>41</v>
      </c>
      <c r="E187" s="92"/>
      <c r="F187" s="93">
        <f>(+IFERROR(VLOOKUP($A187,'[152]BG (2)'!$B$9:$J$570,4,FALSE),0))*1</f>
        <v>94113826</v>
      </c>
      <c r="G187" s="73">
        <f>(+IFERROR(VLOOKUP($A187,'[152]BG (2)'!$B$9:$J$570,5,FALSE),0))*-1</f>
        <v>0</v>
      </c>
      <c r="H187" s="93">
        <f>(+IFERROR(VLOOKUP($A187,'[152]BG (2)'!$B$9:$J$570,6,FALSE),0))*1</f>
        <v>1771707465</v>
      </c>
      <c r="I187" s="73">
        <f>(+IFERROR(VLOOKUP($A187,'[152]BG (2)'!$B$9:$J$570,7,FALSE),0))*-1</f>
        <v>-1729202259</v>
      </c>
      <c r="J187" s="119">
        <f>(+IFERROR(VLOOKUP($A187,'[152]BG (2)'!$B$9:$J$570,8,FALSE),0))*1</f>
        <v>136619032</v>
      </c>
      <c r="K187" s="73">
        <f>(+IFERROR(VLOOKUP($A187,'[152]BG (2)'!$B$9:$J$570,9,FALSE),0))*-1</f>
        <v>0</v>
      </c>
      <c r="P187" s="90">
        <f t="shared" si="12"/>
        <v>136619032</v>
      </c>
      <c r="S187" s="90"/>
      <c r="T187" s="102">
        <f t="shared" si="14"/>
        <v>136619032</v>
      </c>
      <c r="U187" s="95"/>
      <c r="V187" s="72"/>
      <c r="W187" s="75" t="e">
        <f>+A187-#REF!</f>
        <v>#REF!</v>
      </c>
      <c r="X187" s="1270"/>
      <c r="Y187" s="91"/>
      <c r="Z187" s="91"/>
      <c r="AA187" s="91"/>
    </row>
    <row r="188" spans="1:27" ht="14.4" customHeight="1" x14ac:dyDescent="0.3">
      <c r="A188">
        <v>412100</v>
      </c>
      <c r="B188" t="s">
        <v>275</v>
      </c>
      <c r="C188" t="s">
        <v>258</v>
      </c>
      <c r="D188" s="87" t="str">
        <f t="shared" si="11"/>
        <v>41</v>
      </c>
      <c r="E188" s="92"/>
      <c r="F188" s="93">
        <f>(+IFERROR(VLOOKUP($A188,'[152]BG (2)'!$B$9:$J$570,4,FALSE),0))*1</f>
        <v>2369899996</v>
      </c>
      <c r="G188" s="73">
        <f>(+IFERROR(VLOOKUP($A188,'[152]BG (2)'!$B$9:$J$570,5,FALSE),0))*-1</f>
        <v>0</v>
      </c>
      <c r="H188" s="93">
        <f>(+IFERROR(VLOOKUP($A188,'[152]BG (2)'!$B$9:$J$570,6,FALSE),0))*1</f>
        <v>14059400000</v>
      </c>
      <c r="I188" s="73">
        <f>(+IFERROR(VLOOKUP($A188,'[152]BG (2)'!$B$9:$J$570,7,FALSE),0))*-1</f>
        <v>-13549400000</v>
      </c>
      <c r="J188" s="119">
        <f>(+IFERROR(VLOOKUP($A188,'[152]BG (2)'!$B$9:$J$570,8,FALSE),0))*1</f>
        <v>2879899996</v>
      </c>
      <c r="K188" s="73">
        <f>(+IFERROR(VLOOKUP($A188,'[152]BG (2)'!$B$9:$J$570,9,FALSE),0))*-1</f>
        <v>0</v>
      </c>
      <c r="P188" s="90">
        <f t="shared" si="12"/>
        <v>2879899996</v>
      </c>
      <c r="S188" s="90"/>
      <c r="T188" s="102">
        <f t="shared" si="14"/>
        <v>2879899996</v>
      </c>
      <c r="U188" s="95"/>
      <c r="V188" s="72"/>
      <c r="W188" s="75" t="e">
        <f>+A188-#REF!</f>
        <v>#REF!</v>
      </c>
      <c r="X188" s="1270"/>
      <c r="Y188" s="91"/>
      <c r="Z188" s="91"/>
      <c r="AA188" s="91"/>
    </row>
    <row r="189" spans="1:27" ht="14.4" customHeight="1" x14ac:dyDescent="0.3">
      <c r="A189">
        <v>413100</v>
      </c>
      <c r="B189"/>
      <c r="C189" t="s">
        <v>258</v>
      </c>
      <c r="D189" s="87" t="str">
        <f t="shared" si="11"/>
        <v>41</v>
      </c>
      <c r="E189" s="92"/>
      <c r="F189" s="93">
        <f>(+IFERROR(VLOOKUP($A189,'[152]BG (2)'!$B$9:$J$570,4,FALSE),0))*1</f>
        <v>81947825</v>
      </c>
      <c r="G189" s="73">
        <f>(+IFERROR(VLOOKUP($A189,'[152]BG (2)'!$B$9:$J$570,5,FALSE),0))*-1</f>
        <v>0</v>
      </c>
      <c r="H189" s="93">
        <f>(+IFERROR(VLOOKUP($A189,'[152]BG (2)'!$B$9:$J$570,6,FALSE),0))*1</f>
        <v>0</v>
      </c>
      <c r="I189" s="73">
        <f>(+IFERROR(VLOOKUP($A189,'[152]BG (2)'!$B$9:$J$570,7,FALSE),0))*-1</f>
        <v>0</v>
      </c>
      <c r="J189" s="119">
        <f>(+IFERROR(VLOOKUP($A189,'[152]BG (2)'!$B$9:$J$570,8,FALSE),0))*1</f>
        <v>81947825</v>
      </c>
      <c r="K189" s="73">
        <f>(+IFERROR(VLOOKUP($A189,'[152]BG (2)'!$B$9:$J$570,9,FALSE),0))*-1</f>
        <v>0</v>
      </c>
      <c r="P189" s="90">
        <f t="shared" si="12"/>
        <v>81947825</v>
      </c>
      <c r="S189" s="90"/>
      <c r="T189" s="102">
        <f t="shared" si="14"/>
        <v>81947825</v>
      </c>
      <c r="U189" s="95"/>
      <c r="V189" s="72"/>
      <c r="W189" s="75" t="e">
        <f>+A189-#REF!</f>
        <v>#REF!</v>
      </c>
      <c r="X189" s="1270"/>
      <c r="Y189" s="91"/>
      <c r="Z189" s="91"/>
      <c r="AA189" s="91"/>
    </row>
    <row r="190" spans="1:27" ht="14.4" customHeight="1" x14ac:dyDescent="0.3">
      <c r="A190">
        <v>416210</v>
      </c>
      <c r="B190" t="s">
        <v>276</v>
      </c>
      <c r="C190" t="s">
        <v>258</v>
      </c>
      <c r="D190" s="87" t="str">
        <f t="shared" si="11"/>
        <v>41</v>
      </c>
      <c r="E190" s="92"/>
      <c r="F190" s="93">
        <f>(+IFERROR(VLOOKUP($A190,'[152]BG (2)'!$B$9:$J$570,4,FALSE),0))*1</f>
        <v>0</v>
      </c>
      <c r="G190" s="73">
        <f>(+IFERROR(VLOOKUP($A190,'[152]BG (2)'!$B$9:$J$570,5,FALSE),0))*-1</f>
        <v>0</v>
      </c>
      <c r="H190" s="93">
        <f>(+IFERROR(VLOOKUP($A190,'[152]BG (2)'!$B$9:$J$570,6,FALSE),0))*1</f>
        <v>0</v>
      </c>
      <c r="I190" s="73">
        <f>(+IFERROR(VLOOKUP($A190,'[152]BG (2)'!$B$9:$J$570,7,FALSE),0))*-1</f>
        <v>0</v>
      </c>
      <c r="J190" s="119">
        <f>(+IFERROR(VLOOKUP($A190,'[152]BG (2)'!$B$9:$J$570,8,FALSE),0))*1</f>
        <v>0</v>
      </c>
      <c r="K190" s="73">
        <f>(+IFERROR(VLOOKUP($A190,'[152]BG (2)'!$B$9:$J$570,9,FALSE),0))*-1</f>
        <v>0</v>
      </c>
      <c r="P190" s="90">
        <f t="shared" si="12"/>
        <v>0</v>
      </c>
      <c r="S190" s="90"/>
      <c r="T190" s="90">
        <f t="shared" si="14"/>
        <v>0</v>
      </c>
      <c r="U190" s="95"/>
      <c r="V190" s="72"/>
      <c r="W190" s="75" t="e">
        <f>+A190-#REF!</f>
        <v>#REF!</v>
      </c>
      <c r="X190" s="1270"/>
      <c r="Y190" s="91"/>
      <c r="Z190" s="91"/>
      <c r="AA190" s="91"/>
    </row>
    <row r="191" spans="1:27" ht="14.4" customHeight="1" x14ac:dyDescent="0.3">
      <c r="A191">
        <v>416220</v>
      </c>
      <c r="B191" t="s">
        <v>277</v>
      </c>
      <c r="C191" t="s">
        <v>258</v>
      </c>
      <c r="D191" s="87" t="str">
        <f t="shared" si="11"/>
        <v>41</v>
      </c>
      <c r="E191" s="92"/>
      <c r="F191" s="93">
        <f>(+IFERROR(VLOOKUP($A191,'[152]BG (2)'!$B$9:$J$570,4,FALSE),0))*1</f>
        <v>95886260</v>
      </c>
      <c r="G191" s="73">
        <f>(+IFERROR(VLOOKUP($A191,'[152]BG (2)'!$B$9:$J$570,5,FALSE),0))*-1</f>
        <v>0</v>
      </c>
      <c r="H191" s="93">
        <f>(+IFERROR(VLOOKUP($A191,'[152]BG (2)'!$B$9:$J$570,6,FALSE),0))*1</f>
        <v>0</v>
      </c>
      <c r="I191" s="73">
        <f>(+IFERROR(VLOOKUP($A191,'[152]BG (2)'!$B$9:$J$570,7,FALSE),0))*-1</f>
        <v>0</v>
      </c>
      <c r="J191" s="119">
        <f>(+IFERROR(VLOOKUP($A191,'[152]BG (2)'!$B$9:$J$570,8,FALSE),0))*1</f>
        <v>95886260</v>
      </c>
      <c r="K191" s="73">
        <f>(+IFERROR(VLOOKUP($A191,'[152]BG (2)'!$B$9:$J$570,9,FALSE),0))*-1</f>
        <v>0</v>
      </c>
      <c r="P191" s="90">
        <f t="shared" si="12"/>
        <v>95886260</v>
      </c>
      <c r="S191" s="90"/>
      <c r="T191" s="102">
        <f t="shared" si="14"/>
        <v>95886260</v>
      </c>
      <c r="U191" s="95"/>
      <c r="V191" s="72"/>
      <c r="W191" s="75" t="e">
        <f>+A191-#REF!</f>
        <v>#REF!</v>
      </c>
      <c r="X191" s="1270"/>
      <c r="Y191" s="91"/>
      <c r="Z191" s="91"/>
      <c r="AA191" s="91"/>
    </row>
    <row r="192" spans="1:27" ht="14.4" customHeight="1" x14ac:dyDescent="0.3">
      <c r="A192">
        <v>418110</v>
      </c>
      <c r="B192" t="s">
        <v>278</v>
      </c>
      <c r="C192" t="s">
        <v>258</v>
      </c>
      <c r="D192" s="87" t="str">
        <f t="shared" si="11"/>
        <v>41</v>
      </c>
      <c r="E192" s="92"/>
      <c r="F192" s="93">
        <f>(+IFERROR(VLOOKUP($A192,'[152]BG (2)'!$B$9:$J$570,4,FALSE),0))*1</f>
        <v>17387913</v>
      </c>
      <c r="G192" s="73">
        <f>(+IFERROR(VLOOKUP($A192,'[152]BG (2)'!$B$9:$J$570,5,FALSE),0))*-1</f>
        <v>0</v>
      </c>
      <c r="H192" s="93">
        <f>(+IFERROR(VLOOKUP($A192,'[152]BG (2)'!$B$9:$J$570,6,FALSE),0))*1</f>
        <v>13463643</v>
      </c>
      <c r="I192" s="73">
        <f>(+IFERROR(VLOOKUP($A192,'[152]BG (2)'!$B$9:$J$570,7,FALSE),0))*-1</f>
        <v>0</v>
      </c>
      <c r="J192" s="119">
        <f>(+IFERROR(VLOOKUP($A192,'[152]BG (2)'!$B$9:$J$570,8,FALSE),0))*1</f>
        <v>30851556</v>
      </c>
      <c r="K192" s="73">
        <f>(+IFERROR(VLOOKUP($A192,'[152]BG (2)'!$B$9:$J$570,9,FALSE),0))*-1</f>
        <v>0</v>
      </c>
      <c r="P192" s="90">
        <f t="shared" si="12"/>
        <v>30851556</v>
      </c>
      <c r="S192" s="90"/>
      <c r="T192" s="102">
        <f t="shared" si="14"/>
        <v>30851556</v>
      </c>
      <c r="U192" s="95"/>
      <c r="V192" s="72"/>
      <c r="W192" s="75" t="e">
        <f>+A192-#REF!</f>
        <v>#REF!</v>
      </c>
      <c r="X192" s="1270"/>
      <c r="Y192" s="91"/>
      <c r="Z192" s="91"/>
      <c r="AA192" s="91"/>
    </row>
    <row r="193" spans="1:27" ht="14.4" customHeight="1" x14ac:dyDescent="0.3">
      <c r="A193">
        <v>418120</v>
      </c>
      <c r="B193" t="s">
        <v>279</v>
      </c>
      <c r="C193" t="s">
        <v>258</v>
      </c>
      <c r="D193" s="87" t="str">
        <f t="shared" si="11"/>
        <v>41</v>
      </c>
      <c r="E193" s="92"/>
      <c r="F193" s="93">
        <f>(+IFERROR(VLOOKUP($A193,'[152]BG (2)'!$B$9:$J$570,4,FALSE),0))*1</f>
        <v>102050232</v>
      </c>
      <c r="G193" s="73">
        <f>(+IFERROR(VLOOKUP($A193,'[152]BG (2)'!$B$9:$J$570,5,FALSE),0))*-1</f>
        <v>0</v>
      </c>
      <c r="H193" s="93">
        <f>(+IFERROR(VLOOKUP($A193,'[152]BG (2)'!$B$9:$J$570,6,FALSE),0))*1</f>
        <v>23309467</v>
      </c>
      <c r="I193" s="73">
        <f>(+IFERROR(VLOOKUP($A193,'[152]BG (2)'!$B$9:$J$570,7,FALSE),0))*-1</f>
        <v>0</v>
      </c>
      <c r="J193" s="89">
        <f>(+IFERROR(VLOOKUP($A193,'[152]BG (2)'!$B$9:$J$570,8,FALSE),0))*1</f>
        <v>125359699</v>
      </c>
      <c r="K193" s="73">
        <f>(+IFERROR(VLOOKUP($A193,'[152]BG (2)'!$B$9:$J$570,9,FALSE),0))*-1</f>
        <v>0</v>
      </c>
      <c r="P193" s="90">
        <f t="shared" si="12"/>
        <v>125359699</v>
      </c>
      <c r="S193" s="90"/>
      <c r="T193" s="102">
        <f t="shared" si="14"/>
        <v>125359699</v>
      </c>
      <c r="U193" s="95"/>
      <c r="V193" s="72"/>
      <c r="W193" s="75" t="e">
        <f>+A193-#REF!</f>
        <v>#REF!</v>
      </c>
      <c r="X193" s="1270"/>
      <c r="Y193" s="91"/>
      <c r="Z193" s="91"/>
      <c r="AA193" s="91"/>
    </row>
    <row r="194" spans="1:27" ht="14.4" customHeight="1" x14ac:dyDescent="0.3">
      <c r="A194">
        <v>418130</v>
      </c>
      <c r="B194" t="s">
        <v>280</v>
      </c>
      <c r="C194" t="s">
        <v>258</v>
      </c>
      <c r="D194" s="87" t="str">
        <f t="shared" si="11"/>
        <v>41</v>
      </c>
      <c r="E194" s="92"/>
      <c r="F194" s="93">
        <f>(+IFERROR(VLOOKUP($A194,'[152]BG (2)'!$B$9:$J$570,4,FALSE),0))*1</f>
        <v>218181253</v>
      </c>
      <c r="G194" s="73">
        <f>(+IFERROR(VLOOKUP($A194,'[152]BG (2)'!$B$9:$J$570,5,FALSE),0))*-1</f>
        <v>0</v>
      </c>
      <c r="H194" s="93">
        <f>(+IFERROR(VLOOKUP($A194,'[152]BG (2)'!$B$9:$J$570,6,FALSE),0))*1</f>
        <v>3077338</v>
      </c>
      <c r="I194" s="73">
        <f>(+IFERROR(VLOOKUP($A194,'[152]BG (2)'!$B$9:$J$570,7,FALSE),0))*-1</f>
        <v>0</v>
      </c>
      <c r="J194" s="89">
        <f>(+IFERROR(VLOOKUP($A194,'[152]BG (2)'!$B$9:$J$570,8,FALSE),0))*1</f>
        <v>221258591</v>
      </c>
      <c r="K194" s="73">
        <f>(+IFERROR(VLOOKUP($A194,'[152]BG (2)'!$B$9:$J$570,9,FALSE),0))*-1</f>
        <v>0</v>
      </c>
      <c r="P194" s="90">
        <f t="shared" si="12"/>
        <v>221258591</v>
      </c>
      <c r="S194" s="90"/>
      <c r="T194" s="102">
        <f t="shared" si="14"/>
        <v>221258591</v>
      </c>
      <c r="U194" s="95"/>
      <c r="V194" s="72"/>
      <c r="W194" s="75" t="e">
        <f>+A194-#REF!</f>
        <v>#REF!</v>
      </c>
      <c r="X194" s="1270"/>
      <c r="Y194" s="91"/>
      <c r="Z194" s="91"/>
      <c r="AA194" s="91"/>
    </row>
    <row r="195" spans="1:27" ht="14.4" customHeight="1" x14ac:dyDescent="0.3">
      <c r="A195">
        <v>418200</v>
      </c>
      <c r="B195" t="s">
        <v>281</v>
      </c>
      <c r="C195" t="s">
        <v>258</v>
      </c>
      <c r="D195" s="87" t="str">
        <f t="shared" si="11"/>
        <v>41</v>
      </c>
      <c r="E195" s="92"/>
      <c r="F195" s="93">
        <f>(+IFERROR(VLOOKUP($A195,'[152]BG (2)'!$B$9:$J$570,4,FALSE),0))*1</f>
        <v>319842087</v>
      </c>
      <c r="G195" s="73">
        <f>(+IFERROR(VLOOKUP($A195,'[152]BG (2)'!$B$9:$J$570,5,FALSE),0))*-1</f>
        <v>0</v>
      </c>
      <c r="H195" s="122">
        <f>(+IFERROR(VLOOKUP($A195,'[152]BG (2)'!$B$9:$J$570,6,FALSE),0))*1</f>
        <v>13651138</v>
      </c>
      <c r="I195" s="73">
        <f>(+IFERROR(VLOOKUP($A195,'[152]BG (2)'!$B$9:$J$570,7,FALSE),0))*-1</f>
        <v>0</v>
      </c>
      <c r="J195" s="119">
        <f>(+IFERROR(VLOOKUP($A195,'[152]BG (2)'!$B$9:$J$570,8,FALSE),0))*1</f>
        <v>333493225</v>
      </c>
      <c r="K195" s="73">
        <f>(+IFERROR(VLOOKUP($A195,'[152]BG (2)'!$B$9:$J$570,9,FALSE),0))*-1</f>
        <v>0</v>
      </c>
      <c r="P195" s="90">
        <f t="shared" si="12"/>
        <v>333493225</v>
      </c>
      <c r="S195" s="90"/>
      <c r="T195" s="102">
        <f t="shared" si="14"/>
        <v>333493225</v>
      </c>
      <c r="U195" s="95"/>
      <c r="V195" s="72"/>
      <c r="W195" s="75" t="e">
        <f>+A195-#REF!</f>
        <v>#REF!</v>
      </c>
      <c r="X195" s="1270"/>
      <c r="Y195" s="91"/>
      <c r="Z195" s="91"/>
      <c r="AA195" s="91"/>
    </row>
    <row r="196" spans="1:27" s="1674" customFormat="1" ht="14.4" customHeight="1" x14ac:dyDescent="0.3">
      <c r="A196" s="1665">
        <v>418500</v>
      </c>
      <c r="B196" s="1665" t="s">
        <v>282</v>
      </c>
      <c r="C196" s="1665" t="s">
        <v>258</v>
      </c>
      <c r="D196" s="87" t="str">
        <f t="shared" si="11"/>
        <v>41</v>
      </c>
      <c r="E196" s="1667"/>
      <c r="F196" s="1668">
        <f>(+IFERROR(VLOOKUP($A196,'[152]BG (2)'!$B$9:$J$570,4,FALSE),0))*1</f>
        <v>86227889</v>
      </c>
      <c r="G196" s="1669">
        <f>(+IFERROR(VLOOKUP($A196,'[152]BG (2)'!$B$9:$J$570,5,FALSE),0))*-1</f>
        <v>0</v>
      </c>
      <c r="H196" s="1668">
        <f>(+IFERROR(VLOOKUP($A196,'[152]BG (2)'!$B$9:$J$570,6,FALSE),0))*1</f>
        <v>301956204</v>
      </c>
      <c r="I196" s="1669">
        <f>(+IFERROR(VLOOKUP($A196,'[152]BG (2)'!$B$9:$J$570,7,FALSE),0))*-1</f>
        <v>0</v>
      </c>
      <c r="J196" s="1670">
        <f>(+IFERROR(VLOOKUP($A196,'[152]BG (2)'!$B$9:$J$570,8,FALSE),0))*1</f>
        <v>388184093</v>
      </c>
      <c r="K196" s="1669">
        <f>(+IFERROR(VLOOKUP($A196,'[152]BG (2)'!$B$9:$J$570,9,FALSE),0))*-1</f>
        <v>0</v>
      </c>
      <c r="L196" s="1665"/>
      <c r="M196" s="1665"/>
      <c r="N196" s="1671"/>
      <c r="O196" s="1671"/>
      <c r="P196" s="90">
        <f t="shared" si="12"/>
        <v>388184093</v>
      </c>
      <c r="Q196" s="1671"/>
      <c r="R196" s="1671"/>
      <c r="S196" s="1672"/>
      <c r="T196" s="1672">
        <f t="shared" si="14"/>
        <v>388184093</v>
      </c>
      <c r="U196" s="1673"/>
      <c r="W196" s="1666" t="e">
        <f>+A196-#REF!</f>
        <v>#REF!</v>
      </c>
      <c r="Y196" s="91"/>
      <c r="Z196" s="91"/>
      <c r="AA196" s="91"/>
    </row>
    <row r="197" spans="1:27" ht="14.4" customHeight="1" x14ac:dyDescent="0.3">
      <c r="A197">
        <v>418700</v>
      </c>
      <c r="B197" t="s">
        <v>283</v>
      </c>
      <c r="C197" t="s">
        <v>258</v>
      </c>
      <c r="D197" s="87" t="str">
        <f t="shared" si="11"/>
        <v>41</v>
      </c>
      <c r="E197" s="92"/>
      <c r="F197" s="93">
        <f>(+IFERROR(VLOOKUP($A197,'[152]BG (2)'!$B$9:$J$570,4,FALSE),0))*1</f>
        <v>0</v>
      </c>
      <c r="G197" s="73">
        <f>(+IFERROR(VLOOKUP($A197,'[152]BG (2)'!$B$9:$J$570,5,FALSE),0))*-1</f>
        <v>-13355788</v>
      </c>
      <c r="H197" s="122">
        <f>(+IFERROR(VLOOKUP($A197,'[152]BG (2)'!$B$9:$J$570,6,FALSE),0))*1</f>
        <v>126624923</v>
      </c>
      <c r="I197" s="73">
        <f>(+IFERROR(VLOOKUP($A197,'[152]BG (2)'!$B$9:$J$570,7,FALSE),0))*-1</f>
        <v>-65641653</v>
      </c>
      <c r="J197" s="120">
        <f>(+IFERROR(VLOOKUP($A197,'[152]BG (2)'!$B$9:$J$570,8,FALSE),0))*1</f>
        <v>47627482</v>
      </c>
      <c r="K197" s="73">
        <f>(+IFERROR(VLOOKUP($A197,'[152]BG (2)'!$B$9:$J$570,9,FALSE),0))*-1</f>
        <v>0</v>
      </c>
      <c r="P197" s="90">
        <f t="shared" ref="P197:P260" si="15">J197+K197</f>
        <v>47627482</v>
      </c>
      <c r="S197" s="90"/>
      <c r="T197" s="102">
        <f t="shared" si="14"/>
        <v>47627482</v>
      </c>
      <c r="U197" s="95"/>
      <c r="V197" s="72"/>
      <c r="W197" s="75" t="e">
        <f>+A197-#REF!</f>
        <v>#REF!</v>
      </c>
      <c r="X197" s="1270"/>
      <c r="Y197" s="91"/>
      <c r="Z197" s="91"/>
      <c r="AA197" s="91"/>
    </row>
    <row r="198" spans="1:27" ht="14.4" customHeight="1" x14ac:dyDescent="0.3">
      <c r="A198">
        <v>418800</v>
      </c>
      <c r="B198" t="s">
        <v>284</v>
      </c>
      <c r="C198" t="s">
        <v>258</v>
      </c>
      <c r="D198" s="87" t="str">
        <f t="shared" ref="D198:D261" si="16">+LEFT(A198,2)</f>
        <v>41</v>
      </c>
      <c r="E198" s="92"/>
      <c r="F198" s="93">
        <f>(+IFERROR(VLOOKUP($A198,'[152]BG (2)'!$B$9:$J$570,4,FALSE),0))*1</f>
        <v>49500</v>
      </c>
      <c r="G198" s="73">
        <f>(+IFERROR(VLOOKUP($A198,'[152]BG (2)'!$B$9:$J$570,5,FALSE),0))*-1</f>
        <v>0</v>
      </c>
      <c r="H198" s="122">
        <f>(+IFERROR(VLOOKUP($A198,'[152]BG (2)'!$B$9:$J$570,6,FALSE),0))*1</f>
        <v>0</v>
      </c>
      <c r="I198" s="73">
        <f>(+IFERROR(VLOOKUP($A198,'[152]BG (2)'!$B$9:$J$570,7,FALSE),0))*-1</f>
        <v>0</v>
      </c>
      <c r="J198" s="119">
        <f>(+IFERROR(VLOOKUP($A198,'[152]BG (2)'!$B$9:$J$570,8,FALSE),0))*1</f>
        <v>49500</v>
      </c>
      <c r="K198" s="73">
        <f>(+IFERROR(VLOOKUP($A198,'[152]BG (2)'!$B$9:$J$570,9,FALSE),0))*-1</f>
        <v>0</v>
      </c>
      <c r="P198" s="90">
        <f t="shared" si="15"/>
        <v>49500</v>
      </c>
      <c r="S198" s="90"/>
      <c r="T198" s="102">
        <f t="shared" si="14"/>
        <v>49500</v>
      </c>
      <c r="U198" s="95"/>
      <c r="V198" s="72"/>
      <c r="W198" s="75" t="e">
        <f>+A198-#REF!</f>
        <v>#REF!</v>
      </c>
      <c r="X198" s="1270"/>
      <c r="Y198" s="91"/>
      <c r="Z198" s="91"/>
      <c r="AA198" s="91"/>
    </row>
    <row r="199" spans="1:27" ht="14.4" customHeight="1" x14ac:dyDescent="0.3">
      <c r="A199">
        <v>419100</v>
      </c>
      <c r="B199" t="s">
        <v>285</v>
      </c>
      <c r="C199" t="s">
        <v>286</v>
      </c>
      <c r="D199" s="87" t="str">
        <f t="shared" si="16"/>
        <v>41</v>
      </c>
      <c r="E199" s="92"/>
      <c r="F199" s="93">
        <f>(+IFERROR(VLOOKUP($A199,'[152]BG (2)'!$B$9:$J$570,4,FALSE),0))*1</f>
        <v>0</v>
      </c>
      <c r="G199" s="73">
        <f>(+IFERROR(VLOOKUP($A199,'[152]BG (2)'!$B$9:$J$570,5,FALSE),0))*-1</f>
        <v>0</v>
      </c>
      <c r="H199" s="122">
        <f>(+IFERROR(VLOOKUP($A199,'[152]BG (2)'!$B$9:$J$570,6,FALSE),0))*1</f>
        <v>0</v>
      </c>
      <c r="I199" s="73">
        <f>(+IFERROR(VLOOKUP($A199,'[152]BG (2)'!$B$9:$J$570,7,FALSE),0))*-1</f>
        <v>0</v>
      </c>
      <c r="J199" s="119">
        <f>(+IFERROR(VLOOKUP($A199,'[152]BG (2)'!$B$9:$J$570,8,FALSE),0))*1</f>
        <v>0</v>
      </c>
      <c r="K199" s="73">
        <f>(+IFERROR(VLOOKUP($A199,'[152]BG (2)'!$B$9:$J$570,9,FALSE),0))*-1</f>
        <v>0</v>
      </c>
      <c r="P199" s="90">
        <f t="shared" si="15"/>
        <v>0</v>
      </c>
      <c r="S199" s="90"/>
      <c r="T199" s="102">
        <f t="shared" si="14"/>
        <v>0</v>
      </c>
      <c r="U199" s="95"/>
      <c r="V199" s="72"/>
      <c r="W199" s="75" t="e">
        <f>+A199-#REF!</f>
        <v>#REF!</v>
      </c>
      <c r="X199" s="1270"/>
      <c r="Y199" s="91"/>
      <c r="Z199" s="91"/>
      <c r="AA199" s="91"/>
    </row>
    <row r="200" spans="1:27" ht="14.4" customHeight="1" x14ac:dyDescent="0.3">
      <c r="A200">
        <v>419300</v>
      </c>
      <c r="B200"/>
      <c r="C200" t="s">
        <v>286</v>
      </c>
      <c r="D200" s="87" t="str">
        <f t="shared" si="16"/>
        <v>41</v>
      </c>
      <c r="E200" s="92"/>
      <c r="F200" s="93">
        <f>(+IFERROR(VLOOKUP($A200,'[152]BG (2)'!$B$9:$J$570,4,FALSE),0))*1</f>
        <v>1574076</v>
      </c>
      <c r="G200" s="73">
        <f>(+IFERROR(VLOOKUP($A200,'[152]BG (2)'!$B$9:$J$570,5,FALSE),0))*-1</f>
        <v>0</v>
      </c>
      <c r="H200" s="122">
        <f>(+IFERROR(VLOOKUP($A200,'[152]BG (2)'!$B$9:$J$570,6,FALSE),0))*1</f>
        <v>0</v>
      </c>
      <c r="I200" s="73">
        <f>(+IFERROR(VLOOKUP($A200,'[152]BG (2)'!$B$9:$J$570,7,FALSE),0))*-1</f>
        <v>0</v>
      </c>
      <c r="J200" s="119">
        <f>(+IFERROR(VLOOKUP($A200,'[152]BG (2)'!$B$9:$J$570,8,FALSE),0))*1</f>
        <v>1574076</v>
      </c>
      <c r="K200" s="73">
        <f>(+IFERROR(VLOOKUP($A200,'[152]BG (2)'!$B$9:$J$570,9,FALSE),0))*-1</f>
        <v>0</v>
      </c>
      <c r="P200" s="90">
        <f t="shared" si="15"/>
        <v>1574076</v>
      </c>
      <c r="S200" s="90"/>
      <c r="T200" s="102">
        <f t="shared" si="14"/>
        <v>1574076</v>
      </c>
      <c r="U200" s="95"/>
      <c r="V200" s="72"/>
      <c r="W200" s="75" t="e">
        <f>+A200-#REF!</f>
        <v>#REF!</v>
      </c>
      <c r="X200" s="1270"/>
      <c r="Y200" s="91"/>
      <c r="Z200" s="91"/>
      <c r="AA200" s="91"/>
    </row>
    <row r="201" spans="1:27" ht="14.4" customHeight="1" x14ac:dyDescent="0.3">
      <c r="A201">
        <v>419800</v>
      </c>
      <c r="B201" t="s">
        <v>287</v>
      </c>
      <c r="C201" t="s">
        <v>288</v>
      </c>
      <c r="D201" s="87" t="str">
        <f t="shared" si="16"/>
        <v>41</v>
      </c>
      <c r="E201" s="92"/>
      <c r="F201" s="93">
        <f>(+IFERROR(VLOOKUP($A201,'[152]BG (2)'!$B$9:$J$570,4,FALSE),0))*1</f>
        <v>0</v>
      </c>
      <c r="G201" s="73">
        <f>(+IFERROR(VLOOKUP($A201,'[152]BG (2)'!$B$9:$J$570,5,FALSE),0))*-1</f>
        <v>0</v>
      </c>
      <c r="H201" s="122">
        <f>(+IFERROR(VLOOKUP($A201,'[152]BG (2)'!$B$9:$J$570,6,FALSE),0))*1</f>
        <v>0</v>
      </c>
      <c r="I201" s="73">
        <f>(+IFERROR(VLOOKUP($A201,'[152]BG (2)'!$B$9:$J$570,7,FALSE),0))*-1</f>
        <v>0</v>
      </c>
      <c r="J201" s="94">
        <f>(+IFERROR(VLOOKUP($A201,'[152]BG (2)'!$B$9:$J$570,8,FALSE),0))*1</f>
        <v>0</v>
      </c>
      <c r="K201" s="73">
        <f>(+IFERROR(VLOOKUP($A201,'[152]BG (2)'!$B$9:$J$570,9,FALSE),0))*-1</f>
        <v>0</v>
      </c>
      <c r="P201" s="90">
        <f t="shared" si="15"/>
        <v>0</v>
      </c>
      <c r="S201" s="90"/>
      <c r="T201" s="102">
        <f t="shared" si="14"/>
        <v>0</v>
      </c>
      <c r="U201" s="95"/>
      <c r="V201" s="72"/>
      <c r="W201" s="75" t="e">
        <f>+A201-#REF!</f>
        <v>#REF!</v>
      </c>
      <c r="X201" s="1270"/>
      <c r="Y201" s="91"/>
      <c r="Z201" s="91"/>
      <c r="AA201" s="91"/>
    </row>
    <row r="202" spans="1:27" s="1674" customFormat="1" ht="14.4" customHeight="1" x14ac:dyDescent="0.3">
      <c r="A202" s="1665">
        <v>419802</v>
      </c>
      <c r="B202" s="1665" t="s">
        <v>289</v>
      </c>
      <c r="C202" s="1665" t="s">
        <v>288</v>
      </c>
      <c r="D202" s="87" t="str">
        <f t="shared" si="16"/>
        <v>41</v>
      </c>
      <c r="E202" s="1667"/>
      <c r="F202" s="1668">
        <f>(+IFERROR(VLOOKUP($A202,'[152]BG (2)'!$B$9:$J$570,4,FALSE),0))*1</f>
        <v>0</v>
      </c>
      <c r="G202" s="1669">
        <f>(+IFERROR(VLOOKUP($A202,'[152]BG (2)'!$B$9:$J$570,5,FALSE),0))*-1</f>
        <v>-127682725</v>
      </c>
      <c r="H202" s="1668">
        <f>(+IFERROR(VLOOKUP($A202,'[152]BG (2)'!$B$9:$J$570,6,FALSE),0))*1</f>
        <v>127682725</v>
      </c>
      <c r="I202" s="1669">
        <f>(+IFERROR(VLOOKUP($A202,'[152]BG (2)'!$B$9:$J$570,7,FALSE),0))*-1</f>
        <v>-1266250396</v>
      </c>
      <c r="J202" s="1670">
        <f>(+IFERROR(VLOOKUP($A202,'[152]BG (2)'!$B$9:$J$570,8,FALSE),0))*1</f>
        <v>0</v>
      </c>
      <c r="K202" s="1669">
        <f>(+IFERROR(VLOOKUP($A202,'[152]BG (2)'!$B$9:$J$570,9,FALSE),0))*-1</f>
        <v>-1266250396</v>
      </c>
      <c r="L202" s="1665"/>
      <c r="M202" s="1665"/>
      <c r="N202" s="1671"/>
      <c r="O202" s="1671"/>
      <c r="P202" s="90">
        <f t="shared" si="15"/>
        <v>-1266250396</v>
      </c>
      <c r="Q202" s="1671"/>
      <c r="R202" s="1671"/>
      <c r="S202" s="1672"/>
      <c r="T202" s="1672">
        <f t="shared" si="14"/>
        <v>-1266250396</v>
      </c>
      <c r="U202" s="1673"/>
      <c r="W202" s="1666" t="e">
        <f>+A202-#REF!</f>
        <v>#REF!</v>
      </c>
      <c r="Y202" s="91"/>
      <c r="Z202" s="91"/>
      <c r="AA202" s="91"/>
    </row>
    <row r="203" spans="1:27" ht="14.4" customHeight="1" x14ac:dyDescent="0.3">
      <c r="A203">
        <v>421100</v>
      </c>
      <c r="B203" t="s">
        <v>290</v>
      </c>
      <c r="C203" t="s">
        <v>291</v>
      </c>
      <c r="D203" s="87" t="str">
        <f t="shared" si="16"/>
        <v>42</v>
      </c>
      <c r="E203" s="92"/>
      <c r="F203" s="93">
        <f>(+IFERROR(VLOOKUP($A203,'[152]BG (2)'!$B$9:$J$570,4,FALSE),0))*1</f>
        <v>0</v>
      </c>
      <c r="G203" s="73">
        <f>(+IFERROR(VLOOKUP($A203,'[152]BG (2)'!$B$9:$J$570,5,FALSE),0))*-1</f>
        <v>-53272217</v>
      </c>
      <c r="H203" s="93">
        <f>(+IFERROR(VLOOKUP($A203,'[152]BG (2)'!$B$9:$J$570,6,FALSE),0))*1</f>
        <v>289469850</v>
      </c>
      <c r="I203" s="73">
        <f>(+IFERROR(VLOOKUP($A203,'[152]BG (2)'!$B$9:$J$570,7,FALSE),0))*-1</f>
        <v>-320162167</v>
      </c>
      <c r="J203" s="1293">
        <f>(+IFERROR(VLOOKUP($A203,'[152]BG (2)'!$B$9:$J$570,8,FALSE),0))*1</f>
        <v>0</v>
      </c>
      <c r="K203" s="73">
        <f>(+IFERROR(VLOOKUP($A203,'[152]BG (2)'!$B$9:$J$570,9,FALSE),0))*-1</f>
        <v>-83964534</v>
      </c>
      <c r="P203" s="90">
        <f t="shared" si="15"/>
        <v>-83964534</v>
      </c>
      <c r="S203" s="90"/>
      <c r="T203" s="102">
        <f t="shared" si="14"/>
        <v>-83964534</v>
      </c>
      <c r="U203" s="95"/>
      <c r="V203" s="72"/>
      <c r="W203" s="75" t="e">
        <f>+A203-#REF!</f>
        <v>#REF!</v>
      </c>
      <c r="X203" s="1270"/>
      <c r="Y203" s="91"/>
      <c r="Z203" s="91"/>
      <c r="AA203" s="91"/>
    </row>
    <row r="204" spans="1:27" ht="14.4" customHeight="1" x14ac:dyDescent="0.3">
      <c r="A204">
        <v>421300</v>
      </c>
      <c r="B204" t="s">
        <v>292</v>
      </c>
      <c r="C204" t="s">
        <v>291</v>
      </c>
      <c r="D204" s="87" t="str">
        <f t="shared" si="16"/>
        <v>42</v>
      </c>
      <c r="E204" s="92"/>
      <c r="F204" s="93">
        <f>(+IFERROR(VLOOKUP($A204,'[152]BG (2)'!$B$9:$J$570,4,FALSE),0))*1</f>
        <v>183695464</v>
      </c>
      <c r="G204" s="73">
        <f>(+IFERROR(VLOOKUP($A204,'[152]BG (2)'!$B$9:$J$570,5,FALSE),0))*-1</f>
        <v>0</v>
      </c>
      <c r="H204" s="93">
        <f>(+IFERROR(VLOOKUP($A204,'[152]BG (2)'!$B$9:$J$570,6,FALSE),0))*1</f>
        <v>240007730</v>
      </c>
      <c r="I204" s="73">
        <f>(+IFERROR(VLOOKUP($A204,'[152]BG (2)'!$B$9:$J$570,7,FALSE),0))*-1</f>
        <v>-268505922</v>
      </c>
      <c r="J204" s="1293">
        <f>(+IFERROR(VLOOKUP($A204,'[152]BG (2)'!$B$9:$J$570,8,FALSE),0))*1</f>
        <v>155197272</v>
      </c>
      <c r="K204" s="73">
        <f>(+IFERROR(VLOOKUP($A204,'[152]BG (2)'!$B$9:$J$570,9,FALSE),0))*-1</f>
        <v>0</v>
      </c>
      <c r="P204" s="90">
        <f t="shared" si="15"/>
        <v>155197272</v>
      </c>
      <c r="S204" s="90"/>
      <c r="T204" s="102">
        <f t="shared" si="14"/>
        <v>155197272</v>
      </c>
      <c r="U204" s="95"/>
      <c r="V204" s="72"/>
      <c r="W204" s="75" t="e">
        <f>+A204-#REF!</f>
        <v>#REF!</v>
      </c>
      <c r="X204" s="1270"/>
      <c r="Y204" s="91"/>
      <c r="Z204" s="91"/>
      <c r="AA204" s="91"/>
    </row>
    <row r="205" spans="1:27" ht="14.4" customHeight="1" x14ac:dyDescent="0.3">
      <c r="A205">
        <v>422000</v>
      </c>
      <c r="B205" t="s">
        <v>293</v>
      </c>
      <c r="C205" t="s">
        <v>294</v>
      </c>
      <c r="D205" s="87" t="str">
        <f t="shared" si="16"/>
        <v>42</v>
      </c>
      <c r="E205" s="92"/>
      <c r="F205" s="93">
        <f>(+IFERROR(VLOOKUP($A205,'[152]BG (2)'!$B$9:$J$570,4,FALSE),0))*1</f>
        <v>0</v>
      </c>
      <c r="G205" s="73">
        <f>(+IFERROR(VLOOKUP($A205,'[152]BG (2)'!$B$9:$J$570,5,FALSE),0))*-1</f>
        <v>-32626793</v>
      </c>
      <c r="H205" s="93">
        <f>(+IFERROR(VLOOKUP($A205,'[152]BG (2)'!$B$9:$J$570,6,FALSE),0))*1</f>
        <v>2425366695</v>
      </c>
      <c r="I205" s="73">
        <f>(+IFERROR(VLOOKUP($A205,'[152]BG (2)'!$B$9:$J$570,7,FALSE),0))*-1</f>
        <v>-2415203912</v>
      </c>
      <c r="J205" s="1293">
        <f>(+IFERROR(VLOOKUP($A205,'[152]BG (2)'!$B$9:$J$570,8,FALSE),0))*1</f>
        <v>0</v>
      </c>
      <c r="K205" s="73">
        <f>(+IFERROR(VLOOKUP($A205,'[152]BG (2)'!$B$9:$J$570,9,FALSE),0))*-1</f>
        <v>-22464010</v>
      </c>
      <c r="P205" s="90">
        <f t="shared" si="15"/>
        <v>-22464010</v>
      </c>
      <c r="S205" s="90"/>
      <c r="T205" s="102">
        <f t="shared" si="14"/>
        <v>-22464010</v>
      </c>
      <c r="U205" s="95"/>
      <c r="V205" s="72"/>
      <c r="W205" s="75" t="e">
        <f>+A205-#REF!</f>
        <v>#REF!</v>
      </c>
      <c r="X205" s="1270"/>
      <c r="Y205" s="91"/>
      <c r="Z205" s="91"/>
      <c r="AA205" s="91"/>
    </row>
    <row r="206" spans="1:27" s="1311" customFormat="1" ht="14.4" customHeight="1" x14ac:dyDescent="0.3">
      <c r="A206">
        <v>428100</v>
      </c>
      <c r="B206" t="s">
        <v>295</v>
      </c>
      <c r="C206" t="s">
        <v>294</v>
      </c>
      <c r="D206" s="87" t="str">
        <f t="shared" si="16"/>
        <v>42</v>
      </c>
      <c r="E206" s="92"/>
      <c r="F206" s="93">
        <f>(+IFERROR(VLOOKUP($A206,'[152]BG (2)'!$B$9:$J$570,4,FALSE),0))*1</f>
        <v>0</v>
      </c>
      <c r="G206" s="73">
        <f>(+IFERROR(VLOOKUP($A206,'[152]BG (2)'!$B$9:$J$570,5,FALSE),0))*-1</f>
        <v>-559174587</v>
      </c>
      <c r="H206" s="93">
        <f>(+IFERROR(VLOOKUP($A206,'[152]BG (2)'!$B$9:$J$570,6,FALSE),0))*1</f>
        <v>0</v>
      </c>
      <c r="I206" s="73">
        <f>(+IFERROR(VLOOKUP($A206,'[152]BG (2)'!$B$9:$J$570,7,FALSE),0))*-1</f>
        <v>-48690136</v>
      </c>
      <c r="J206" s="1293">
        <f>(+IFERROR(VLOOKUP($A206,'[152]BG (2)'!$B$9:$J$570,8,FALSE),0))*1</f>
        <v>0</v>
      </c>
      <c r="K206" s="73">
        <f>(+IFERROR(VLOOKUP($A206,'[152]BG (2)'!$B$9:$J$570,9,FALSE),0))*-1</f>
        <v>-607864723</v>
      </c>
      <c r="L206"/>
      <c r="M206"/>
      <c r="N206" s="2"/>
      <c r="O206" s="2"/>
      <c r="P206" s="90">
        <f t="shared" si="15"/>
        <v>-607864723</v>
      </c>
      <c r="Q206" s="2"/>
      <c r="R206" s="2"/>
      <c r="S206" s="90"/>
      <c r="T206" s="102">
        <f t="shared" si="14"/>
        <v>-607864723</v>
      </c>
      <c r="U206" s="95"/>
      <c r="V206" s="72"/>
      <c r="W206" s="75" t="e">
        <f>+A206-#REF!</f>
        <v>#REF!</v>
      </c>
      <c r="X206" s="1270"/>
      <c r="Y206" s="91"/>
      <c r="Z206" s="91"/>
      <c r="AA206" s="91"/>
    </row>
    <row r="207" spans="1:27" s="1311" customFormat="1" ht="14.4" customHeight="1" x14ac:dyDescent="0.3">
      <c r="A207">
        <v>428600</v>
      </c>
      <c r="B207" t="s">
        <v>296</v>
      </c>
      <c r="C207" t="s">
        <v>294</v>
      </c>
      <c r="D207" s="87" t="str">
        <f t="shared" si="16"/>
        <v>42</v>
      </c>
      <c r="E207" s="92"/>
      <c r="F207" s="93">
        <f>(+IFERROR(VLOOKUP($A207,'[152]BG (2)'!$B$9:$J$570,4,FALSE),0))*1</f>
        <v>0</v>
      </c>
      <c r="G207" s="73">
        <f>(+IFERROR(VLOOKUP($A207,'[152]BG (2)'!$B$9:$J$570,5,FALSE),0))*-1</f>
        <v>-332205662</v>
      </c>
      <c r="H207" s="93">
        <f>(+IFERROR(VLOOKUP($A207,'[152]BG (2)'!$B$9:$J$570,6,FALSE),0))*1</f>
        <v>0</v>
      </c>
      <c r="I207" s="73">
        <f>(+IFERROR(VLOOKUP($A207,'[152]BG (2)'!$B$9:$J$570,7,FALSE),0))*-1</f>
        <v>-17423493</v>
      </c>
      <c r="J207" s="1293">
        <f>(+IFERROR(VLOOKUP($A207,'[152]BG (2)'!$B$9:$J$570,8,FALSE),0))*1</f>
        <v>0</v>
      </c>
      <c r="K207" s="73">
        <f>(+IFERROR(VLOOKUP($A207,'[152]BG (2)'!$B$9:$J$570,9,FALSE),0))*-1</f>
        <v>-349629155</v>
      </c>
      <c r="L207"/>
      <c r="M207"/>
      <c r="N207" s="2"/>
      <c r="O207" s="2"/>
      <c r="P207" s="90">
        <f t="shared" si="15"/>
        <v>-349629155</v>
      </c>
      <c r="Q207" s="2"/>
      <c r="R207" s="2"/>
      <c r="S207" s="90"/>
      <c r="T207" s="102">
        <f t="shared" si="14"/>
        <v>-349629155</v>
      </c>
      <c r="U207" s="95"/>
      <c r="V207" s="72"/>
      <c r="W207" s="75" t="e">
        <f>+A207-#REF!</f>
        <v>#REF!</v>
      </c>
      <c r="X207" s="1270"/>
      <c r="Y207" s="91"/>
      <c r="Z207" s="91"/>
      <c r="AA207" s="91"/>
    </row>
    <row r="208" spans="1:27" s="1311" customFormat="1" ht="14.4" customHeight="1" x14ac:dyDescent="0.3">
      <c r="A208" s="1304">
        <v>431300</v>
      </c>
      <c r="B208" s="1304" t="s">
        <v>297</v>
      </c>
      <c r="C208" s="1304" t="s">
        <v>298</v>
      </c>
      <c r="D208" s="87" t="str">
        <f t="shared" si="16"/>
        <v>43</v>
      </c>
      <c r="E208" s="1306"/>
      <c r="F208" s="1307">
        <f>(+IFERROR(VLOOKUP($A208,'[152]BG (2)'!$B$9:$J$570,4,FALSE),0))*1</f>
        <v>0</v>
      </c>
      <c r="G208" s="1303">
        <f>(+IFERROR(VLOOKUP($A208,'[152]BG (2)'!$B$9:$J$570,5,FALSE),0))*-1</f>
        <v>-104120779</v>
      </c>
      <c r="H208" s="1307">
        <f>(+IFERROR(VLOOKUP($A208,'[152]BG (2)'!$B$9:$J$570,6,FALSE),0))*1</f>
        <v>889729424</v>
      </c>
      <c r="I208" s="1303">
        <f>(+IFERROR(VLOOKUP($A208,'[152]BG (2)'!$B$9:$J$570,7,FALSE),0))*-1</f>
        <v>-903178970</v>
      </c>
      <c r="J208" s="1275">
        <f>(+IFERROR(VLOOKUP($A208,'[152]BG (2)'!$B$9:$J$570,8,FALSE),0))*1</f>
        <v>0</v>
      </c>
      <c r="K208" s="1303">
        <f>(+IFERROR(VLOOKUP($A208,'[152]BG (2)'!$B$9:$J$570,9,FALSE),0))*-1</f>
        <v>-117570325</v>
      </c>
      <c r="L208" s="1304"/>
      <c r="M208" s="1304"/>
      <c r="N208" s="1308"/>
      <c r="O208" s="1308"/>
      <c r="P208" s="90">
        <f t="shared" si="15"/>
        <v>-117570325</v>
      </c>
      <c r="Q208" s="1308"/>
      <c r="R208" s="1308"/>
      <c r="S208" s="1309"/>
      <c r="T208" s="1309">
        <f t="shared" si="14"/>
        <v>-117570325</v>
      </c>
      <c r="U208" s="1310"/>
      <c r="W208" s="1305" t="e">
        <f>+A208-#REF!</f>
        <v>#REF!</v>
      </c>
      <c r="Y208" s="91"/>
      <c r="Z208" s="91"/>
      <c r="AA208" s="91"/>
    </row>
    <row r="209" spans="1:27" ht="14.4" customHeight="1" x14ac:dyDescent="0.3">
      <c r="A209" s="1304">
        <v>432000</v>
      </c>
      <c r="B209" s="1304" t="s">
        <v>299</v>
      </c>
      <c r="C209" s="1304" t="s">
        <v>298</v>
      </c>
      <c r="D209" s="87" t="str">
        <f t="shared" si="16"/>
        <v>43</v>
      </c>
      <c r="E209" s="1306"/>
      <c r="F209" s="1307">
        <f>(+IFERROR(VLOOKUP($A209,'[152]BG (2)'!$B$9:$J$570,4,FALSE),0))*1</f>
        <v>0</v>
      </c>
      <c r="G209" s="1303">
        <f>(+IFERROR(VLOOKUP($A209,'[152]BG (2)'!$B$9:$J$570,5,FALSE),0))*-1</f>
        <v>-48051632</v>
      </c>
      <c r="H209" s="1307">
        <f>(+IFERROR(VLOOKUP($A209,'[152]BG (2)'!$B$9:$J$570,6,FALSE),0))*1</f>
        <v>221979196</v>
      </c>
      <c r="I209" s="1303">
        <f>(+IFERROR(VLOOKUP($A209,'[152]BG (2)'!$B$9:$J$570,7,FALSE),0))*-1</f>
        <v>-184974877</v>
      </c>
      <c r="J209" s="1275">
        <f>(+IFERROR(VLOOKUP($A209,'[152]BG (2)'!$B$9:$J$570,8,FALSE),0))*1</f>
        <v>0</v>
      </c>
      <c r="K209" s="1303">
        <f>(+IFERROR(VLOOKUP($A209,'[152]BG (2)'!$B$9:$J$570,9,FALSE),0))*-1</f>
        <v>-11047313</v>
      </c>
      <c r="L209" s="1304"/>
      <c r="M209" s="1304"/>
      <c r="N209" s="1308"/>
      <c r="O209" s="1308"/>
      <c r="P209" s="90">
        <f t="shared" si="15"/>
        <v>-11047313</v>
      </c>
      <c r="Q209" s="1308"/>
      <c r="R209" s="1308"/>
      <c r="S209" s="1309"/>
      <c r="T209" s="1309">
        <f t="shared" si="14"/>
        <v>-11047313</v>
      </c>
      <c r="U209" s="1310"/>
      <c r="V209" s="1311"/>
      <c r="W209" s="1305" t="e">
        <f>+A209-#REF!</f>
        <v>#REF!</v>
      </c>
      <c r="X209" s="1311"/>
      <c r="Y209" s="91"/>
      <c r="Z209" s="91"/>
      <c r="AA209" s="91"/>
    </row>
    <row r="210" spans="1:27" ht="14.4" customHeight="1" x14ac:dyDescent="0.3">
      <c r="A210" s="1304">
        <v>438100</v>
      </c>
      <c r="B210" s="1304" t="s">
        <v>300</v>
      </c>
      <c r="C210" s="1304" t="s">
        <v>298</v>
      </c>
      <c r="D210" s="87" t="str">
        <f t="shared" si="16"/>
        <v>43</v>
      </c>
      <c r="E210" s="1306"/>
      <c r="F210" s="1307">
        <f>(+IFERROR(VLOOKUP($A210,'[152]BG (2)'!$B$9:$J$570,4,FALSE),0))*1</f>
        <v>0</v>
      </c>
      <c r="G210" s="1303">
        <f>(+IFERROR(VLOOKUP($A210,'[152]BG (2)'!$B$9:$J$570,5,FALSE),0))*-1</f>
        <v>-201182877</v>
      </c>
      <c r="H210" s="1307">
        <f>(+IFERROR(VLOOKUP($A210,'[152]BG (2)'!$B$9:$J$570,6,FALSE),0))*1</f>
        <v>0</v>
      </c>
      <c r="I210" s="1303">
        <f>(+IFERROR(VLOOKUP($A210,'[152]BG (2)'!$B$9:$J$570,7,FALSE),0))*-1</f>
        <v>-12826044</v>
      </c>
      <c r="J210" s="1275">
        <f>(+IFERROR(VLOOKUP($A210,'[152]BG (2)'!$B$9:$J$570,8,FALSE),0))*1</f>
        <v>0</v>
      </c>
      <c r="K210" s="1303">
        <f>(+IFERROR(VLOOKUP($A210,'[152]BG (2)'!$B$9:$J$570,9,FALSE),0))*-1</f>
        <v>-214008921</v>
      </c>
      <c r="L210" s="1304"/>
      <c r="M210" s="1304"/>
      <c r="N210" s="1308"/>
      <c r="O210" s="1308"/>
      <c r="P210" s="90">
        <f t="shared" si="15"/>
        <v>-214008921</v>
      </c>
      <c r="Q210" s="1308"/>
      <c r="R210" s="1308"/>
      <c r="S210" s="1309"/>
      <c r="T210" s="1309">
        <f t="shared" si="14"/>
        <v>-214008921</v>
      </c>
      <c r="U210" s="1310"/>
      <c r="V210" s="1311"/>
      <c r="W210" s="1305" t="e">
        <f>+A210-#REF!</f>
        <v>#REF!</v>
      </c>
      <c r="X210" s="1311"/>
      <c r="Y210" s="91"/>
      <c r="Z210" s="91"/>
      <c r="AA210" s="91"/>
    </row>
    <row r="211" spans="1:27" ht="14.4" customHeight="1" x14ac:dyDescent="0.3">
      <c r="A211">
        <v>441000</v>
      </c>
      <c r="B211" t="s">
        <v>301</v>
      </c>
      <c r="C211"/>
      <c r="D211" s="87" t="str">
        <f t="shared" si="16"/>
        <v>44</v>
      </c>
      <c r="E211" s="92"/>
      <c r="F211" s="93">
        <f>(+IFERROR(VLOOKUP($A211,'[152]BG (2)'!$B$9:$J$570,4,FALSE),0))*1</f>
        <v>0</v>
      </c>
      <c r="G211" s="73">
        <f>(+IFERROR(VLOOKUP($A211,'[152]BG (2)'!$B$9:$J$570,5,FALSE),0))*-1</f>
        <v>-1011271073</v>
      </c>
      <c r="H211" s="93">
        <f>(+IFERROR(VLOOKUP($A211,'[152]BG (2)'!$B$9:$J$570,6,FALSE),0))*1</f>
        <v>1011271069</v>
      </c>
      <c r="I211" s="73">
        <f>(+IFERROR(VLOOKUP($A211,'[152]BG (2)'!$B$9:$J$570,7,FALSE),0))*-1</f>
        <v>-1067468330</v>
      </c>
      <c r="J211" s="1293">
        <f>(+IFERROR(VLOOKUP($A211,'[152]BG (2)'!$B$9:$J$570,8,FALSE),0))*1</f>
        <v>0</v>
      </c>
      <c r="K211" s="1312">
        <f>(+IFERROR(VLOOKUP($A211,'[152]BG (2)'!$B$9:$J$570,9,FALSE),0))*-1</f>
        <v>-1067468334</v>
      </c>
      <c r="P211" s="90">
        <f t="shared" si="15"/>
        <v>-1067468334</v>
      </c>
      <c r="S211" s="90"/>
      <c r="T211" s="102">
        <f t="shared" si="14"/>
        <v>-1067468334</v>
      </c>
      <c r="U211" s="95"/>
      <c r="V211" s="72"/>
      <c r="W211" s="75" t="e">
        <f>+A211-#REF!</f>
        <v>#REF!</v>
      </c>
      <c r="X211" s="1270"/>
      <c r="Y211" s="91"/>
      <c r="Z211" s="91"/>
      <c r="AA211" s="91"/>
    </row>
    <row r="212" spans="1:27" ht="14.4" customHeight="1" x14ac:dyDescent="0.3">
      <c r="A212">
        <v>442000</v>
      </c>
      <c r="B212" t="s">
        <v>302</v>
      </c>
      <c r="C212" t="s">
        <v>303</v>
      </c>
      <c r="D212" s="87" t="str">
        <f t="shared" si="16"/>
        <v>44</v>
      </c>
      <c r="E212" s="92"/>
      <c r="F212" s="93">
        <f>(+IFERROR(VLOOKUP($A212,'[152]BG (2)'!$B$9:$J$570,4,FALSE),0))*1</f>
        <v>0</v>
      </c>
      <c r="G212" s="73">
        <f>(+IFERROR(VLOOKUP($A212,'[152]BG (2)'!$B$9:$J$570,5,FALSE),0))*-1</f>
        <v>-76732764</v>
      </c>
      <c r="H212" s="93">
        <f>(+IFERROR(VLOOKUP($A212,'[152]BG (2)'!$B$9:$J$570,6,FALSE),0))*1</f>
        <v>1360531021</v>
      </c>
      <c r="I212" s="73">
        <f>(+IFERROR(VLOOKUP($A212,'[152]BG (2)'!$B$9:$J$570,7,FALSE),0))*-1</f>
        <v>-1352180845</v>
      </c>
      <c r="J212" s="1293">
        <f>(+IFERROR(VLOOKUP($A212,'[152]BG (2)'!$B$9:$J$570,8,FALSE),0))*1</f>
        <v>0</v>
      </c>
      <c r="K212" s="1312">
        <f>(+IFERROR(VLOOKUP($A212,'[152]BG (2)'!$B$9:$J$570,9,FALSE),0))*-1</f>
        <v>-68382588</v>
      </c>
      <c r="P212" s="90">
        <f t="shared" si="15"/>
        <v>-68382588</v>
      </c>
      <c r="S212" s="90"/>
      <c r="T212" s="102">
        <f t="shared" si="14"/>
        <v>-68382588</v>
      </c>
      <c r="U212" s="95"/>
      <c r="V212" s="72"/>
      <c r="W212" s="75" t="e">
        <f>+A212-#REF!</f>
        <v>#REF!</v>
      </c>
      <c r="X212" s="1270"/>
      <c r="Y212" s="91"/>
      <c r="Z212" s="91"/>
      <c r="AA212" s="91"/>
    </row>
    <row r="213" spans="1:27" ht="14.4" customHeight="1" x14ac:dyDescent="0.3">
      <c r="A213">
        <v>442600</v>
      </c>
      <c r="B213" t="s">
        <v>304</v>
      </c>
      <c r="C213" t="s">
        <v>303</v>
      </c>
      <c r="D213" s="87" t="str">
        <f t="shared" si="16"/>
        <v>44</v>
      </c>
      <c r="E213" s="92"/>
      <c r="F213" s="93">
        <f>(+IFERROR(VLOOKUP($A213,'[152]BG (2)'!$B$9:$J$570,4,FALSE),0))*1</f>
        <v>0</v>
      </c>
      <c r="G213" s="73">
        <f>(+IFERROR(VLOOKUP($A213,'[152]BG (2)'!$B$9:$J$570,5,FALSE),0))*-1</f>
        <v>0</v>
      </c>
      <c r="H213" s="93">
        <f>(+IFERROR(VLOOKUP($A213,'[152]BG (2)'!$B$9:$J$570,6,FALSE),0))*1</f>
        <v>0</v>
      </c>
      <c r="I213" s="73">
        <f>(+IFERROR(VLOOKUP($A213,'[152]BG (2)'!$B$9:$J$570,7,FALSE),0))*-1</f>
        <v>0</v>
      </c>
      <c r="J213" s="1293">
        <f>(+IFERROR(VLOOKUP($A213,'[152]BG (2)'!$B$9:$J$570,8,FALSE),0))*1</f>
        <v>0</v>
      </c>
      <c r="K213" s="73">
        <f>(+IFERROR(VLOOKUP($A213,'[152]BG (2)'!$B$9:$J$570,9,FALSE),0))*-1</f>
        <v>0</v>
      </c>
      <c r="P213" s="90">
        <f t="shared" si="15"/>
        <v>0</v>
      </c>
      <c r="S213" s="90"/>
      <c r="T213" s="102">
        <f t="shared" si="14"/>
        <v>0</v>
      </c>
      <c r="U213" s="95"/>
      <c r="V213" s="72"/>
      <c r="W213" s="75" t="e">
        <f>+A213-#REF!</f>
        <v>#REF!</v>
      </c>
      <c r="X213" s="1270"/>
      <c r="Y213" s="91"/>
      <c r="Z213" s="91"/>
      <c r="AA213" s="91"/>
    </row>
    <row r="214" spans="1:27" ht="14.4" customHeight="1" x14ac:dyDescent="0.3">
      <c r="A214">
        <v>443100</v>
      </c>
      <c r="B214" t="s">
        <v>305</v>
      </c>
      <c r="C214" t="s">
        <v>306</v>
      </c>
      <c r="D214" s="87" t="str">
        <f t="shared" si="16"/>
        <v>44</v>
      </c>
      <c r="E214" s="92"/>
      <c r="F214" s="93">
        <f>(+IFERROR(VLOOKUP($A214,'[152]BG (2)'!$B$9:$J$570,4,FALSE),0))*1</f>
        <v>0</v>
      </c>
      <c r="G214" s="73">
        <f>(+IFERROR(VLOOKUP($A214,'[152]BG (2)'!$B$9:$J$570,5,FALSE),0))*-1</f>
        <v>0</v>
      </c>
      <c r="H214" s="93">
        <f>(+IFERROR(VLOOKUP($A214,'[152]BG (2)'!$B$9:$J$570,6,FALSE),0))*1</f>
        <v>19908776609</v>
      </c>
      <c r="I214" s="73">
        <f>(+IFERROR(VLOOKUP($A214,'[152]BG (2)'!$B$9:$J$570,7,FALSE),0))*-1</f>
        <v>-19908776609</v>
      </c>
      <c r="J214" s="1293">
        <f>(+IFERROR(VLOOKUP($A214,'[152]BG (2)'!$B$9:$J$570,8,FALSE),0))*1</f>
        <v>0</v>
      </c>
      <c r="K214" s="1303">
        <f>(+IFERROR(VLOOKUP($A214,'[152]BG (2)'!$B$9:$J$570,9,FALSE),0))*-1</f>
        <v>0</v>
      </c>
      <c r="P214" s="90">
        <f t="shared" si="15"/>
        <v>0</v>
      </c>
      <c r="S214" s="90"/>
      <c r="T214" s="102">
        <f t="shared" si="14"/>
        <v>0</v>
      </c>
      <c r="U214" s="95"/>
      <c r="V214" s="72"/>
      <c r="W214" s="75" t="e">
        <f>+A214-#REF!</f>
        <v>#REF!</v>
      </c>
      <c r="X214" s="1270"/>
      <c r="Y214" s="91"/>
      <c r="Z214" s="91"/>
      <c r="AA214" s="91"/>
    </row>
    <row r="215" spans="1:27" ht="14.4" customHeight="1" x14ac:dyDescent="0.3">
      <c r="A215">
        <v>443200</v>
      </c>
      <c r="B215" t="s">
        <v>307</v>
      </c>
      <c r="C215" t="s">
        <v>306</v>
      </c>
      <c r="D215" s="87" t="str">
        <f t="shared" si="16"/>
        <v>44</v>
      </c>
      <c r="E215" s="92"/>
      <c r="F215" s="93">
        <f>(+IFERROR(VLOOKUP($A215,'[152]BG (2)'!$B$9:$J$570,4,FALSE),0))*1</f>
        <v>0</v>
      </c>
      <c r="G215" s="73">
        <f>(+IFERROR(VLOOKUP($A215,'[152]BG (2)'!$B$9:$J$570,5,FALSE),0))*-1</f>
        <v>-233084582</v>
      </c>
      <c r="H215" s="93">
        <f>(+IFERROR(VLOOKUP($A215,'[152]BG (2)'!$B$9:$J$570,6,FALSE),0))*1</f>
        <v>1552271875</v>
      </c>
      <c r="I215" s="73">
        <f>(+IFERROR(VLOOKUP($A215,'[152]BG (2)'!$B$9:$J$570,7,FALSE),0))*-1</f>
        <v>-2460740032</v>
      </c>
      <c r="J215" s="1293">
        <f>(+IFERROR(VLOOKUP($A215,'[152]BG (2)'!$B$9:$J$570,8,FALSE),0))*1</f>
        <v>0</v>
      </c>
      <c r="K215" s="1303">
        <f>(+IFERROR(VLOOKUP($A215,'[152]BG (2)'!$B$9:$J$570,9,FALSE),0))*-1</f>
        <v>-1141552739</v>
      </c>
      <c r="P215" s="90">
        <f t="shared" si="15"/>
        <v>-1141552739</v>
      </c>
      <c r="S215" s="90"/>
      <c r="T215" s="102">
        <f t="shared" si="14"/>
        <v>-1141552739</v>
      </c>
      <c r="U215" s="95"/>
      <c r="V215" s="72"/>
      <c r="W215" s="75" t="e">
        <f>+A215-#REF!</f>
        <v>#REF!</v>
      </c>
      <c r="X215" s="1270"/>
      <c r="Y215" s="91"/>
      <c r="Z215" s="91"/>
      <c r="AA215" s="91"/>
    </row>
    <row r="216" spans="1:27" ht="14.4" customHeight="1" x14ac:dyDescent="0.3">
      <c r="A216">
        <v>443500</v>
      </c>
      <c r="B216" t="s">
        <v>308</v>
      </c>
      <c r="C216" t="s">
        <v>306</v>
      </c>
      <c r="D216" s="87" t="str">
        <f t="shared" si="16"/>
        <v>44</v>
      </c>
      <c r="E216" s="92"/>
      <c r="F216" s="93">
        <f>(+IFERROR(VLOOKUP($A216,'[152]BG (2)'!$B$9:$J$570,4,FALSE),0))*1</f>
        <v>0</v>
      </c>
      <c r="G216" s="73">
        <f>(+IFERROR(VLOOKUP($A216,'[152]BG (2)'!$B$9:$J$570,5,FALSE),0))*-1</f>
        <v>-67108719</v>
      </c>
      <c r="H216" s="93">
        <f>(+IFERROR(VLOOKUP($A216,'[152]BG (2)'!$B$9:$J$570,6,FALSE),0))*1</f>
        <v>0</v>
      </c>
      <c r="I216" s="73">
        <f>(+IFERROR(VLOOKUP($A216,'[152]BG (2)'!$B$9:$J$570,7,FALSE),0))*-1</f>
        <v>21373938</v>
      </c>
      <c r="J216" s="1293">
        <f>(+IFERROR(VLOOKUP($A216,'[152]BG (2)'!$B$9:$J$570,8,FALSE),0))*1</f>
        <v>0</v>
      </c>
      <c r="K216" s="1303">
        <f>(+IFERROR(VLOOKUP($A216,'[152]BG (2)'!$B$9:$J$570,9,FALSE),0))*-1</f>
        <v>-45734781</v>
      </c>
      <c r="P216" s="90">
        <f t="shared" si="15"/>
        <v>-45734781</v>
      </c>
      <c r="S216" s="90"/>
      <c r="T216" s="102">
        <f t="shared" si="14"/>
        <v>-45734781</v>
      </c>
      <c r="U216" s="95"/>
      <c r="V216" s="72"/>
      <c r="W216" s="75" t="e">
        <f>+A216-#REF!</f>
        <v>#REF!</v>
      </c>
      <c r="X216" s="1270"/>
      <c r="Y216" s="91"/>
      <c r="Z216" s="91"/>
      <c r="AA216" s="91"/>
    </row>
    <row r="217" spans="1:27" ht="14.4" customHeight="1" x14ac:dyDescent="0.3">
      <c r="A217">
        <v>444100</v>
      </c>
      <c r="B217" t="s">
        <v>309</v>
      </c>
      <c r="C217" t="s">
        <v>310</v>
      </c>
      <c r="D217" s="87" t="str">
        <f t="shared" si="16"/>
        <v>44</v>
      </c>
      <c r="E217" s="92"/>
      <c r="F217" s="93">
        <f>(+IFERROR(VLOOKUP($A217,'[152]BG (2)'!$B$9:$J$570,4,FALSE),0))*1</f>
        <v>0</v>
      </c>
      <c r="G217" s="73">
        <f>(+IFERROR(VLOOKUP($A217,'[152]BG (2)'!$B$9:$J$570,5,FALSE),0))*-1</f>
        <v>-902686430</v>
      </c>
      <c r="H217" s="93">
        <f>(+IFERROR(VLOOKUP($A217,'[152]BG (2)'!$B$9:$J$570,6,FALSE),0))*1</f>
        <v>9733457095</v>
      </c>
      <c r="I217" s="73">
        <f>(+IFERROR(VLOOKUP($A217,'[152]BG (2)'!$B$9:$J$570,7,FALSE),0))*-1</f>
        <v>-9950948470</v>
      </c>
      <c r="J217" s="1293">
        <f>(+IFERROR(VLOOKUP($A217,'[152]BG (2)'!$B$9:$J$570,8,FALSE),0))*1</f>
        <v>0</v>
      </c>
      <c r="K217" s="73">
        <f>(+IFERROR(VLOOKUP($A217,'[152]BG (2)'!$B$9:$J$570,9,FALSE),0))*-1</f>
        <v>-1120177805</v>
      </c>
      <c r="P217" s="90">
        <f t="shared" si="15"/>
        <v>-1120177805</v>
      </c>
      <c r="S217" s="90"/>
      <c r="T217" s="102">
        <f t="shared" si="14"/>
        <v>-1120177805</v>
      </c>
      <c r="U217" s="95"/>
      <c r="V217" s="72"/>
      <c r="W217" s="75" t="e">
        <f>+A217-#REF!</f>
        <v>#REF!</v>
      </c>
      <c r="X217" s="1270"/>
      <c r="Y217" s="91"/>
      <c r="Z217" s="91"/>
      <c r="AA217" s="91"/>
    </row>
    <row r="218" spans="1:27" ht="14.4" customHeight="1" x14ac:dyDescent="0.3">
      <c r="A218">
        <v>444900</v>
      </c>
      <c r="B218" t="s">
        <v>311</v>
      </c>
      <c r="C218" t="s">
        <v>310</v>
      </c>
      <c r="D218" s="87" t="str">
        <f t="shared" si="16"/>
        <v>44</v>
      </c>
      <c r="E218" s="92"/>
      <c r="F218" s="93">
        <f>(+IFERROR(VLOOKUP($A218,'[152]BG (2)'!$B$9:$J$570,4,FALSE),0))*1</f>
        <v>0</v>
      </c>
      <c r="G218" s="73">
        <f>(+IFERROR(VLOOKUP($A218,'[152]BG (2)'!$B$9:$J$570,5,FALSE),0))*-1</f>
        <v>0</v>
      </c>
      <c r="H218" s="93">
        <f>(+IFERROR(VLOOKUP($A218,'[152]BG (2)'!$B$9:$J$570,6,FALSE),0))*1</f>
        <v>65799349</v>
      </c>
      <c r="I218" s="73">
        <f>(+IFERROR(VLOOKUP($A218,'[152]BG (2)'!$B$9:$J$570,7,FALSE),0))*-1</f>
        <v>-65799349</v>
      </c>
      <c r="J218" s="1293">
        <f>(+IFERROR(VLOOKUP($A218,'[152]BG (2)'!$B$9:$J$570,8,FALSE),0))*1</f>
        <v>0</v>
      </c>
      <c r="K218" s="73">
        <f>(+IFERROR(VLOOKUP($A218,'[152]BG (2)'!$B$9:$J$570,9,FALSE),0))*-1</f>
        <v>0</v>
      </c>
      <c r="P218" s="90">
        <f t="shared" si="15"/>
        <v>0</v>
      </c>
      <c r="S218" s="90"/>
      <c r="T218" s="102">
        <f t="shared" si="14"/>
        <v>0</v>
      </c>
      <c r="U218" s="95"/>
      <c r="V218" s="72"/>
      <c r="W218" s="75" t="e">
        <f>+A218-#REF!</f>
        <v>#REF!</v>
      </c>
      <c r="X218" s="1270"/>
      <c r="Y218" s="91"/>
      <c r="Z218" s="91"/>
      <c r="AA218" s="91"/>
    </row>
    <row r="219" spans="1:27" ht="14.4" customHeight="1" x14ac:dyDescent="0.3">
      <c r="A219">
        <v>445100</v>
      </c>
      <c r="B219" t="s">
        <v>312</v>
      </c>
      <c r="C219" t="s">
        <v>313</v>
      </c>
      <c r="D219" s="87" t="str">
        <f t="shared" si="16"/>
        <v>44</v>
      </c>
      <c r="E219" s="92"/>
      <c r="F219" s="93">
        <f>(+IFERROR(VLOOKUP($A219,'[152]BG (2)'!$B$9:$J$570,4,FALSE),0))*1</f>
        <v>407789180</v>
      </c>
      <c r="G219" s="73">
        <f>(+IFERROR(VLOOKUP($A219,'[152]BG (2)'!$B$9:$J$570,5,FALSE),0))*-1</f>
        <v>0</v>
      </c>
      <c r="H219" s="93">
        <f>(+IFERROR(VLOOKUP($A219,'[152]BG (2)'!$B$9:$J$570,6,FALSE),0))*1</f>
        <v>5572662450</v>
      </c>
      <c r="I219" s="73">
        <f>(+IFERROR(VLOOKUP($A219,'[152]BG (2)'!$B$9:$J$570,7,FALSE),0))*-1</f>
        <v>-4769549035</v>
      </c>
      <c r="J219" s="1293">
        <f>(+IFERROR(VLOOKUP($A219,'[152]BG (2)'!$B$9:$J$570,8,FALSE),0))*1</f>
        <v>1210902595</v>
      </c>
      <c r="K219" s="73">
        <f>(+IFERROR(VLOOKUP($A219,'[152]BG (2)'!$B$9:$J$570,9,FALSE),0))*-1</f>
        <v>0</v>
      </c>
      <c r="P219" s="90">
        <f t="shared" si="15"/>
        <v>1210902595</v>
      </c>
      <c r="S219" s="90"/>
      <c r="T219" s="102">
        <f t="shared" si="14"/>
        <v>1210902595</v>
      </c>
      <c r="U219" s="95"/>
      <c r="V219" s="72"/>
      <c r="W219" s="75" t="e">
        <f>+A219-#REF!</f>
        <v>#REF!</v>
      </c>
      <c r="X219" s="1270"/>
      <c r="Y219" s="91"/>
      <c r="Z219" s="91"/>
      <c r="AA219" s="91"/>
    </row>
    <row r="220" spans="1:27" ht="14.4" customHeight="1" x14ac:dyDescent="0.3">
      <c r="A220">
        <v>445200</v>
      </c>
      <c r="B220" t="s">
        <v>314</v>
      </c>
      <c r="C220" t="s">
        <v>313</v>
      </c>
      <c r="D220" s="87" t="str">
        <f t="shared" si="16"/>
        <v>44</v>
      </c>
      <c r="E220" s="92"/>
      <c r="F220" s="93">
        <f>(+IFERROR(VLOOKUP($A220,'[152]BG (2)'!$B$9:$J$570,4,FALSE),0))*1</f>
        <v>714684520</v>
      </c>
      <c r="G220" s="73">
        <f>(+IFERROR(VLOOKUP($A220,'[152]BG (2)'!$B$9:$J$570,5,FALSE),0))*-1</f>
        <v>0</v>
      </c>
      <c r="H220" s="93">
        <f>(+IFERROR(VLOOKUP($A220,'[152]BG (2)'!$B$9:$J$570,6,FALSE),0))*1</f>
        <v>4439464201</v>
      </c>
      <c r="I220" s="73">
        <f>(+IFERROR(VLOOKUP($A220,'[152]BG (2)'!$B$9:$J$570,7,FALSE),0))*-1</f>
        <v>-4200597251</v>
      </c>
      <c r="J220" s="1293">
        <f>(+IFERROR(VLOOKUP($A220,'[152]BG (2)'!$B$9:$J$570,8,FALSE),0))*1</f>
        <v>953551470</v>
      </c>
      <c r="K220" s="73">
        <f>(+IFERROR(VLOOKUP($A220,'[152]BG (2)'!$B$9:$J$570,9,FALSE),0))*-1</f>
        <v>0</v>
      </c>
      <c r="P220" s="90">
        <f t="shared" si="15"/>
        <v>953551470</v>
      </c>
      <c r="S220" s="90"/>
      <c r="T220" s="102">
        <f t="shared" si="14"/>
        <v>953551470</v>
      </c>
      <c r="U220" s="95"/>
      <c r="V220" s="72"/>
      <c r="W220" s="75" t="e">
        <f>+A220-#REF!</f>
        <v>#REF!</v>
      </c>
      <c r="X220" s="1270"/>
      <c r="Y220" s="91"/>
      <c r="Z220" s="91"/>
      <c r="AA220" s="91"/>
    </row>
    <row r="221" spans="1:27" ht="14.4" customHeight="1" x14ac:dyDescent="0.3">
      <c r="A221">
        <v>445500</v>
      </c>
      <c r="B221" t="s">
        <v>315</v>
      </c>
      <c r="C221" t="s">
        <v>313</v>
      </c>
      <c r="D221" s="87" t="str">
        <f t="shared" si="16"/>
        <v>44</v>
      </c>
      <c r="E221" s="92"/>
      <c r="F221" s="93">
        <f>(+IFERROR(VLOOKUP($A221,'[152]BG (2)'!$B$9:$J$570,4,FALSE),0))*1</f>
        <v>1092026401</v>
      </c>
      <c r="G221" s="73">
        <f>(+IFERROR(VLOOKUP($A221,'[152]BG (2)'!$B$9:$J$570,5,FALSE),0))*-1</f>
        <v>0</v>
      </c>
      <c r="H221" s="93">
        <f>(+IFERROR(VLOOKUP($A221,'[152]BG (2)'!$B$9:$J$570,6,FALSE),0))*1</f>
        <v>3651884585</v>
      </c>
      <c r="I221" s="73">
        <f>(+IFERROR(VLOOKUP($A221,'[152]BG (2)'!$B$9:$J$570,7,FALSE),0))*-1</f>
        <v>-3223118347</v>
      </c>
      <c r="J221" s="1293">
        <f>(+IFERROR(VLOOKUP($A221,'[152]BG (2)'!$B$9:$J$570,8,FALSE),0))*1</f>
        <v>1520792639</v>
      </c>
      <c r="K221" s="73">
        <f>(+IFERROR(VLOOKUP($A221,'[152]BG (2)'!$B$9:$J$570,9,FALSE),0))*-1</f>
        <v>0</v>
      </c>
      <c r="P221" s="90">
        <f t="shared" si="15"/>
        <v>1520792639</v>
      </c>
      <c r="S221" s="90"/>
      <c r="T221" s="102">
        <f t="shared" si="14"/>
        <v>1520792639</v>
      </c>
      <c r="U221" s="95"/>
      <c r="V221" s="72"/>
      <c r="W221" s="75" t="e">
        <f>+A221-#REF!</f>
        <v>#REF!</v>
      </c>
      <c r="X221" s="1270"/>
      <c r="Y221" s="91"/>
      <c r="Z221" s="91"/>
      <c r="AA221" s="91"/>
    </row>
    <row r="222" spans="1:27" ht="14.4" customHeight="1" x14ac:dyDescent="0.3">
      <c r="A222">
        <v>447100</v>
      </c>
      <c r="B222" t="s">
        <v>316</v>
      </c>
      <c r="C222" t="s">
        <v>310</v>
      </c>
      <c r="D222" s="87" t="str">
        <f t="shared" si="16"/>
        <v>44</v>
      </c>
      <c r="E222" s="92"/>
      <c r="F222" s="93">
        <f>(+IFERROR(VLOOKUP($A222,'[152]BG (2)'!$B$9:$J$570,4,FALSE),0))*1</f>
        <v>0</v>
      </c>
      <c r="G222" s="73">
        <f>(+IFERROR(VLOOKUP($A222,'[152]BG (2)'!$B$9:$J$570,5,FALSE),0))*-1</f>
        <v>-9940071</v>
      </c>
      <c r="H222" s="93">
        <f>(+IFERROR(VLOOKUP($A222,'[152]BG (2)'!$B$9:$J$570,6,FALSE),0))*1</f>
        <v>185233528</v>
      </c>
      <c r="I222" s="73">
        <f>(+IFERROR(VLOOKUP($A222,'[152]BG (2)'!$B$9:$J$570,7,FALSE),0))*-1</f>
        <v>-184114006</v>
      </c>
      <c r="J222" s="1293">
        <f>(+IFERROR(VLOOKUP($A222,'[152]BG (2)'!$B$9:$J$570,8,FALSE),0))*1</f>
        <v>0</v>
      </c>
      <c r="K222" s="1312">
        <f>(+IFERROR(VLOOKUP($A222,'[152]BG (2)'!$B$9:$J$570,9,FALSE),0))*-1</f>
        <v>-8820549</v>
      </c>
      <c r="P222" s="90">
        <f t="shared" si="15"/>
        <v>-8820549</v>
      </c>
      <c r="S222" s="90"/>
      <c r="T222" s="102">
        <f t="shared" si="14"/>
        <v>-8820549</v>
      </c>
      <c r="U222" s="95"/>
      <c r="V222" s="72"/>
      <c r="W222" s="75" t="e">
        <f>+A222-#REF!</f>
        <v>#REF!</v>
      </c>
      <c r="X222" s="1270"/>
      <c r="Y222" s="91"/>
      <c r="Z222" s="91"/>
      <c r="AA222" s="91"/>
    </row>
    <row r="223" spans="1:27" ht="14.4" customHeight="1" x14ac:dyDescent="0.3">
      <c r="A223">
        <v>447200</v>
      </c>
      <c r="B223" t="s">
        <v>317</v>
      </c>
      <c r="C223" t="s">
        <v>310</v>
      </c>
      <c r="D223" s="87" t="str">
        <f t="shared" si="16"/>
        <v>44</v>
      </c>
      <c r="E223" s="92"/>
      <c r="F223" s="93">
        <f>(+IFERROR(VLOOKUP($A223,'[152]BG (2)'!$B$9:$J$570,4,FALSE),0))*1</f>
        <v>0</v>
      </c>
      <c r="G223" s="73">
        <f>(+IFERROR(VLOOKUP($A223,'[152]BG (2)'!$B$9:$J$570,5,FALSE),0))*-1</f>
        <v>-127932193</v>
      </c>
      <c r="H223" s="93">
        <f>(+IFERROR(VLOOKUP($A223,'[152]BG (2)'!$B$9:$J$570,6,FALSE),0))*1</f>
        <v>1135969946</v>
      </c>
      <c r="I223" s="73">
        <f>(+IFERROR(VLOOKUP($A223,'[152]BG (2)'!$B$9:$J$570,7,FALSE),0))*-1</f>
        <v>-1155863909</v>
      </c>
      <c r="J223" s="1293">
        <f>(+IFERROR(VLOOKUP($A223,'[152]BG (2)'!$B$9:$J$570,8,FALSE),0))*1</f>
        <v>0</v>
      </c>
      <c r="K223" s="1312">
        <f>(+IFERROR(VLOOKUP($A223,'[152]BG (2)'!$B$9:$J$570,9,FALSE),0))*-1</f>
        <v>-147826156</v>
      </c>
      <c r="P223" s="90">
        <f t="shared" si="15"/>
        <v>-147826156</v>
      </c>
      <c r="S223" s="90"/>
      <c r="T223" s="102">
        <f t="shared" si="14"/>
        <v>-147826156</v>
      </c>
      <c r="U223" s="95"/>
      <c r="V223" s="72"/>
      <c r="W223" s="75" t="e">
        <f>+A223-#REF!</f>
        <v>#REF!</v>
      </c>
      <c r="X223" s="1270"/>
      <c r="Y223" s="91"/>
      <c r="Z223" s="91"/>
      <c r="AA223" s="91"/>
    </row>
    <row r="224" spans="1:27" ht="14.4" customHeight="1" x14ac:dyDescent="0.3">
      <c r="A224">
        <v>447800</v>
      </c>
      <c r="B224" s="1284" t="s">
        <v>2240</v>
      </c>
      <c r="C224" t="s">
        <v>310</v>
      </c>
      <c r="D224" s="87" t="str">
        <f t="shared" si="16"/>
        <v>44</v>
      </c>
      <c r="E224" s="92"/>
      <c r="F224" s="93">
        <f>(+IFERROR(VLOOKUP($A224,'[152]BG (2)'!$B$9:$J$570,4,FALSE),0))*1</f>
        <v>0</v>
      </c>
      <c r="G224" s="73">
        <f>(+IFERROR(VLOOKUP($A224,'[152]BG (2)'!$B$9:$J$570,5,FALSE),0))*-1</f>
        <v>0</v>
      </c>
      <c r="H224" s="93">
        <f>(+IFERROR(VLOOKUP($A224,'[152]BG (2)'!$B$9:$J$570,6,FALSE),0))*1</f>
        <v>0</v>
      </c>
      <c r="I224" s="73">
        <f>(+IFERROR(VLOOKUP($A224,'[152]BG (2)'!$B$9:$J$570,7,FALSE),0))*-1</f>
        <v>0</v>
      </c>
      <c r="J224" s="1293">
        <f>(+IFERROR(VLOOKUP($A224,'[152]BG (2)'!$B$9:$J$570,8,FALSE),0))*1</f>
        <v>0</v>
      </c>
      <c r="K224" s="1312">
        <f>(+IFERROR(VLOOKUP($A224,'[152]BG (2)'!$B$9:$J$570,9,FALSE),0))*-1</f>
        <v>0</v>
      </c>
      <c r="P224" s="90">
        <f t="shared" si="15"/>
        <v>0</v>
      </c>
      <c r="S224" s="90"/>
      <c r="T224" s="102"/>
      <c r="U224" s="95"/>
      <c r="V224" s="72"/>
      <c r="W224" s="75"/>
      <c r="X224" s="1270"/>
      <c r="Y224" s="91"/>
      <c r="Z224" s="91"/>
      <c r="AA224" s="91"/>
    </row>
    <row r="225" spans="1:27" ht="14.4" customHeight="1" x14ac:dyDescent="0.3">
      <c r="A225">
        <v>447801</v>
      </c>
      <c r="B225" t="s">
        <v>318</v>
      </c>
      <c r="C225" t="s">
        <v>310</v>
      </c>
      <c r="D225" s="87" t="str">
        <f t="shared" si="16"/>
        <v>44</v>
      </c>
      <c r="E225" s="92"/>
      <c r="F225" s="93">
        <f>(+IFERROR(VLOOKUP($A225,'[152]BG (2)'!$B$9:$J$570,4,FALSE),0))*1</f>
        <v>0</v>
      </c>
      <c r="G225" s="73">
        <f>(+IFERROR(VLOOKUP($A225,'[152]BG (2)'!$B$9:$J$570,5,FALSE),0))*-1</f>
        <v>-44</v>
      </c>
      <c r="H225" s="93">
        <f>(+IFERROR(VLOOKUP($A225,'[152]BG (2)'!$B$9:$J$570,6,FALSE),0))*1</f>
        <v>0</v>
      </c>
      <c r="I225" s="73">
        <f>(+IFERROR(VLOOKUP($A225,'[152]BG (2)'!$B$9:$J$570,7,FALSE),0))*-1</f>
        <v>-80</v>
      </c>
      <c r="J225" s="1293">
        <f>(+IFERROR(VLOOKUP($A225,'[152]BG (2)'!$B$9:$J$570,8,FALSE),0))*1</f>
        <v>0</v>
      </c>
      <c r="K225" s="1312">
        <f>(+IFERROR(VLOOKUP($A225,'[152]BG (2)'!$B$9:$J$570,9,FALSE),0))*-1</f>
        <v>-124</v>
      </c>
      <c r="P225" s="90">
        <f t="shared" si="15"/>
        <v>-124</v>
      </c>
      <c r="S225" s="90"/>
      <c r="T225" s="102">
        <f>K225+J225</f>
        <v>-124</v>
      </c>
      <c r="U225" s="95"/>
      <c r="V225" s="72"/>
      <c r="W225" s="75" t="e">
        <f>+A225-#REF!</f>
        <v>#REF!</v>
      </c>
      <c r="X225" s="1270"/>
      <c r="Y225" s="91"/>
      <c r="Z225" s="91"/>
      <c r="AA225" s="91"/>
    </row>
    <row r="226" spans="1:27" ht="14.4" customHeight="1" x14ac:dyDescent="0.3">
      <c r="A226">
        <v>447802</v>
      </c>
      <c r="B226" t="s">
        <v>319</v>
      </c>
      <c r="C226" t="s">
        <v>310</v>
      </c>
      <c r="D226" s="87" t="str">
        <f t="shared" si="16"/>
        <v>44</v>
      </c>
      <c r="E226" s="92"/>
      <c r="F226" s="93">
        <f>(+IFERROR(VLOOKUP($A226,'[152]BG (2)'!$B$9:$J$570,4,FALSE),0))*1</f>
        <v>0</v>
      </c>
      <c r="G226" s="73">
        <f>(+IFERROR(VLOOKUP($A226,'[152]BG (2)'!$B$9:$J$570,5,FALSE),0))*-1</f>
        <v>0</v>
      </c>
      <c r="H226" s="93">
        <f>(+IFERROR(VLOOKUP($A226,'[152]BG (2)'!$B$9:$J$570,6,FALSE),0))*1</f>
        <v>0</v>
      </c>
      <c r="I226" s="73">
        <f>(+IFERROR(VLOOKUP($A226,'[152]BG (2)'!$B$9:$J$570,7,FALSE),0))*-1</f>
        <v>0</v>
      </c>
      <c r="J226" s="1293">
        <f>(+IFERROR(VLOOKUP($A226,'[152]BG (2)'!$B$9:$J$570,8,FALSE),0))*1</f>
        <v>0</v>
      </c>
      <c r="K226" s="1312">
        <f>(+IFERROR(VLOOKUP($A226,'[152]BG (2)'!$B$9:$J$570,9,FALSE),0))*-1</f>
        <v>0</v>
      </c>
      <c r="P226" s="90">
        <f t="shared" si="15"/>
        <v>0</v>
      </c>
      <c r="S226" s="90"/>
      <c r="T226" s="102">
        <f>K226+J226</f>
        <v>0</v>
      </c>
      <c r="U226" s="95"/>
      <c r="V226" s="72"/>
      <c r="W226" s="75" t="e">
        <f>+A226-#REF!</f>
        <v>#REF!</v>
      </c>
      <c r="X226" s="1270"/>
      <c r="Y226" s="91"/>
      <c r="Z226" s="91"/>
      <c r="AA226" s="91"/>
    </row>
    <row r="227" spans="1:27" ht="14.4" customHeight="1" x14ac:dyDescent="0.3">
      <c r="A227">
        <v>447803</v>
      </c>
      <c r="B227" t="s">
        <v>320</v>
      </c>
      <c r="C227" t="s">
        <v>310</v>
      </c>
      <c r="D227" s="87" t="str">
        <f t="shared" si="16"/>
        <v>44</v>
      </c>
      <c r="E227" s="92"/>
      <c r="F227" s="93">
        <f>(+IFERROR(VLOOKUP($A227,'[152]BG (2)'!$B$9:$J$570,4,FALSE),0))*1</f>
        <v>1458</v>
      </c>
      <c r="G227" s="73">
        <f>(+IFERROR(VLOOKUP($A227,'[152]BG (2)'!$B$9:$J$570,5,FALSE),0))*-1</f>
        <v>0</v>
      </c>
      <c r="H227" s="93">
        <f>(+IFERROR(VLOOKUP($A227,'[152]BG (2)'!$B$9:$J$570,6,FALSE),0))*1</f>
        <v>0</v>
      </c>
      <c r="I227" s="73">
        <f>(+IFERROR(VLOOKUP($A227,'[152]BG (2)'!$B$9:$J$570,7,FALSE),0))*-1</f>
        <v>0</v>
      </c>
      <c r="J227" s="1293">
        <f>(+IFERROR(VLOOKUP($A227,'[152]BG (2)'!$B$9:$J$570,8,FALSE),0))*1</f>
        <v>1458</v>
      </c>
      <c r="K227" s="1312">
        <f>(+IFERROR(VLOOKUP($A227,'[152]BG (2)'!$B$9:$J$570,9,FALSE),0))*-1</f>
        <v>0</v>
      </c>
      <c r="P227" s="90">
        <f t="shared" si="15"/>
        <v>1458</v>
      </c>
      <c r="S227" s="90"/>
      <c r="T227" s="102">
        <f>K227+J227</f>
        <v>1458</v>
      </c>
      <c r="U227" s="95"/>
      <c r="V227" s="72"/>
      <c r="W227" s="75" t="e">
        <f>+A227-#REF!</f>
        <v>#REF!</v>
      </c>
      <c r="X227" s="1270"/>
      <c r="Y227" s="91"/>
      <c r="Z227" s="91"/>
      <c r="AA227" s="91"/>
    </row>
    <row r="228" spans="1:27" ht="14.4" customHeight="1" x14ac:dyDescent="0.3">
      <c r="A228">
        <v>447804</v>
      </c>
      <c r="B228" t="s">
        <v>321</v>
      </c>
      <c r="C228" t="s">
        <v>310</v>
      </c>
      <c r="D228" s="87" t="str">
        <f t="shared" si="16"/>
        <v>44</v>
      </c>
      <c r="E228" s="92"/>
      <c r="F228" s="93">
        <f>(+IFERROR(VLOOKUP($A228,'[152]BG (2)'!$B$9:$J$570,4,FALSE),0))*1</f>
        <v>0</v>
      </c>
      <c r="G228" s="73">
        <f>(+IFERROR(VLOOKUP($A228,'[152]BG (2)'!$B$9:$J$570,5,FALSE),0))*-1</f>
        <v>-17728553</v>
      </c>
      <c r="H228" s="93">
        <f>(+IFERROR(VLOOKUP($A228,'[152]BG (2)'!$B$9:$J$570,6,FALSE),0))*1</f>
        <v>103826738</v>
      </c>
      <c r="I228" s="73">
        <f>(+IFERROR(VLOOKUP($A228,'[152]BG (2)'!$B$9:$J$570,7,FALSE),0))*-1</f>
        <v>-86098185</v>
      </c>
      <c r="J228" s="1293">
        <f>(+IFERROR(VLOOKUP($A228,'[152]BG (2)'!$B$9:$J$570,8,FALSE),0))*1</f>
        <v>0</v>
      </c>
      <c r="K228" s="1312">
        <f>(+IFERROR(VLOOKUP($A228,'[152]BG (2)'!$B$9:$J$570,9,FALSE),0))*-1</f>
        <v>0</v>
      </c>
      <c r="P228" s="90">
        <f t="shared" si="15"/>
        <v>0</v>
      </c>
      <c r="S228" s="90"/>
      <c r="T228" s="102">
        <f>K228+J228</f>
        <v>0</v>
      </c>
      <c r="U228" s="95"/>
      <c r="V228" s="72"/>
      <c r="W228" s="75" t="e">
        <f>+A228-#REF!</f>
        <v>#REF!</v>
      </c>
      <c r="X228" s="1270"/>
      <c r="Y228" s="91"/>
      <c r="Z228" s="91"/>
      <c r="AA228" s="91"/>
    </row>
    <row r="229" spans="1:27" ht="14.4" customHeight="1" x14ac:dyDescent="0.3">
      <c r="A229">
        <v>447805</v>
      </c>
      <c r="B229" t="s">
        <v>322</v>
      </c>
      <c r="C229" t="s">
        <v>310</v>
      </c>
      <c r="D229" s="87" t="str">
        <f t="shared" si="16"/>
        <v>44</v>
      </c>
      <c r="E229" s="92"/>
      <c r="F229" s="93">
        <f>(+IFERROR(VLOOKUP($A229,'[152]BG (2)'!$B$9:$J$570,4,FALSE),0))*1</f>
        <v>0</v>
      </c>
      <c r="G229" s="73">
        <f>(+IFERROR(VLOOKUP($A229,'[152]BG (2)'!$B$9:$J$570,5,FALSE),0))*-1</f>
        <v>-31099093</v>
      </c>
      <c r="H229" s="93">
        <f>(+IFERROR(VLOOKUP($A229,'[152]BG (2)'!$B$9:$J$570,6,FALSE),0))*1</f>
        <v>410821646</v>
      </c>
      <c r="I229" s="73">
        <f>(+IFERROR(VLOOKUP($A229,'[152]BG (2)'!$B$9:$J$570,7,FALSE),0))*-1</f>
        <v>-1533281695</v>
      </c>
      <c r="J229" s="1293">
        <f>(+IFERROR(VLOOKUP($A229,'[152]BG (2)'!$B$9:$J$570,8,FALSE),0))*1</f>
        <v>0</v>
      </c>
      <c r="K229" s="1312">
        <f>(+IFERROR(VLOOKUP($A229,'[152]BG (2)'!$B$9:$J$570,9,FALSE),0))*-1</f>
        <v>-1153559142</v>
      </c>
      <c r="P229" s="90">
        <f t="shared" si="15"/>
        <v>-1153559142</v>
      </c>
      <c r="S229" s="90"/>
      <c r="T229" s="102">
        <f>K229+J229</f>
        <v>-1153559142</v>
      </c>
      <c r="U229" s="95"/>
      <c r="V229" s="72"/>
      <c r="W229" s="75" t="e">
        <f>+A229-#REF!</f>
        <v>#REF!</v>
      </c>
      <c r="X229" s="1270"/>
      <c r="Y229" s="91"/>
      <c r="Z229" s="91"/>
      <c r="AA229" s="91"/>
    </row>
    <row r="230" spans="1:27" ht="14.4" customHeight="1" x14ac:dyDescent="0.3">
      <c r="A230">
        <v>447806</v>
      </c>
      <c r="B230" s="97" t="s">
        <v>323</v>
      </c>
      <c r="C230" t="s">
        <v>310</v>
      </c>
      <c r="D230" s="87" t="str">
        <f t="shared" si="16"/>
        <v>44</v>
      </c>
      <c r="E230" s="92"/>
      <c r="F230" s="93">
        <f>(+IFERROR(VLOOKUP($A230,'[152]BG (2)'!$B$9:$J$570,4,FALSE),0))*1</f>
        <v>0</v>
      </c>
      <c r="G230" s="73">
        <f>(+IFERROR(VLOOKUP($A230,'[152]BG (2)'!$B$9:$J$570,5,FALSE),0))*-1</f>
        <v>-64882996</v>
      </c>
      <c r="H230" s="93">
        <f>(+IFERROR(VLOOKUP($A230,'[152]BG (2)'!$B$9:$J$570,6,FALSE),0))*1</f>
        <v>626199416</v>
      </c>
      <c r="I230" s="73">
        <f>(+IFERROR(VLOOKUP($A230,'[152]BG (2)'!$B$9:$J$570,7,FALSE),0))*-1</f>
        <v>-574796094</v>
      </c>
      <c r="J230" s="1293">
        <f>(+IFERROR(VLOOKUP($A230,'[152]BG (2)'!$B$9:$J$570,8,FALSE),0))*1</f>
        <v>0</v>
      </c>
      <c r="K230" s="1312">
        <f>(+IFERROR(VLOOKUP($A230,'[152]BG (2)'!$B$9:$J$570,9,FALSE),0))*-1</f>
        <v>-13479674</v>
      </c>
      <c r="P230" s="90">
        <f t="shared" si="15"/>
        <v>-13479674</v>
      </c>
      <c r="S230" s="90"/>
      <c r="T230" s="102"/>
      <c r="U230" s="95"/>
      <c r="V230" s="72"/>
      <c r="W230" s="75" t="e">
        <f>+A230-#REF!</f>
        <v>#REF!</v>
      </c>
      <c r="X230" s="1270"/>
      <c r="Y230" s="91"/>
      <c r="Z230" s="91"/>
      <c r="AA230" s="91"/>
    </row>
    <row r="231" spans="1:27" ht="14.4" customHeight="1" x14ac:dyDescent="0.3">
      <c r="A231">
        <v>448600</v>
      </c>
      <c r="B231" t="s">
        <v>324</v>
      </c>
      <c r="C231" t="s">
        <v>310</v>
      </c>
      <c r="D231" s="87" t="str">
        <f t="shared" si="16"/>
        <v>44</v>
      </c>
      <c r="E231" s="92"/>
      <c r="F231" s="93">
        <f>(+IFERROR(VLOOKUP($A231,'[152]BG (2)'!$B$9:$J$570,4,FALSE),0))*1</f>
        <v>0</v>
      </c>
      <c r="G231" s="73">
        <f>(+IFERROR(VLOOKUP($A231,'[152]BG (2)'!$B$9:$J$570,5,FALSE),0))*-1</f>
        <v>-479058092</v>
      </c>
      <c r="H231" s="93">
        <f>(+IFERROR(VLOOKUP($A231,'[152]BG (2)'!$B$9:$J$570,6,FALSE),0))*1</f>
        <v>527526071</v>
      </c>
      <c r="I231" s="73">
        <f>(+IFERROR(VLOOKUP($A231,'[152]BG (2)'!$B$9:$J$570,7,FALSE),0))*-1</f>
        <v>-586782640</v>
      </c>
      <c r="J231" s="1293">
        <f>(+IFERROR(VLOOKUP($A231,'[152]BG (2)'!$B$9:$J$570,8,FALSE),0))*1</f>
        <v>0</v>
      </c>
      <c r="K231" s="1312">
        <f>(+IFERROR(VLOOKUP($A231,'[152]BG (2)'!$B$9:$J$570,9,FALSE),0))*-1</f>
        <v>-538314661</v>
      </c>
      <c r="P231" s="90">
        <f t="shared" si="15"/>
        <v>-538314661</v>
      </c>
      <c r="S231" s="90"/>
      <c r="T231" s="102">
        <f t="shared" ref="T231:T237" si="17">K231+J231</f>
        <v>-538314661</v>
      </c>
      <c r="U231" s="95"/>
      <c r="V231" s="72"/>
      <c r="W231" s="75" t="e">
        <f>+A231-#REF!</f>
        <v>#REF!</v>
      </c>
      <c r="X231" s="1270"/>
      <c r="Y231" s="91"/>
      <c r="Z231" s="91"/>
      <c r="AA231" s="91"/>
    </row>
    <row r="232" spans="1:27" ht="14.4" customHeight="1" x14ac:dyDescent="0.3">
      <c r="A232">
        <v>449200</v>
      </c>
      <c r="B232"/>
      <c r="C232" t="s">
        <v>326</v>
      </c>
      <c r="D232" s="87" t="str">
        <f t="shared" si="16"/>
        <v>44</v>
      </c>
      <c r="E232" s="92"/>
      <c r="F232" s="93">
        <f>(+IFERROR(VLOOKUP($A232,'[152]BG (2)'!$B$9:$J$570,4,FALSE),0))*1</f>
        <v>0</v>
      </c>
      <c r="G232" s="73">
        <f>(+IFERROR(VLOOKUP($A232,'[152]BG (2)'!$B$9:$J$570,5,FALSE),0))*-1</f>
        <v>0</v>
      </c>
      <c r="H232" s="93">
        <f>(+IFERROR(VLOOKUP($A232,'[152]BG (2)'!$B$9:$J$570,6,FALSE),0))*1</f>
        <v>0</v>
      </c>
      <c r="I232" s="73">
        <f>(+IFERROR(VLOOKUP($A232,'[152]BG (2)'!$B$9:$J$570,7,FALSE),0))*-1</f>
        <v>0</v>
      </c>
      <c r="J232" s="1293">
        <f>(+IFERROR(VLOOKUP($A232,'[152]BG (2)'!$B$9:$J$570,8,FALSE),0))*1</f>
        <v>0</v>
      </c>
      <c r="K232" s="73">
        <f>(+IFERROR(VLOOKUP($A232,'[152]BG (2)'!$B$9:$J$570,9,FALSE),0))*-1</f>
        <v>0</v>
      </c>
      <c r="P232" s="90">
        <f t="shared" si="15"/>
        <v>0</v>
      </c>
      <c r="S232" s="90"/>
      <c r="T232" s="102">
        <f t="shared" si="17"/>
        <v>0</v>
      </c>
      <c r="U232" s="95"/>
      <c r="V232" s="72"/>
      <c r="W232" s="75" t="e">
        <f>+A232-#REF!</f>
        <v>#REF!</v>
      </c>
      <c r="X232" s="1270"/>
      <c r="Y232" s="91"/>
      <c r="Z232" s="91"/>
      <c r="AA232" s="91"/>
    </row>
    <row r="233" spans="1:27" ht="14.4" customHeight="1" x14ac:dyDescent="0.3">
      <c r="A233">
        <v>449201</v>
      </c>
      <c r="B233" t="s">
        <v>325</v>
      </c>
      <c r="C233" t="s">
        <v>326</v>
      </c>
      <c r="D233" s="87" t="str">
        <f t="shared" si="16"/>
        <v>44</v>
      </c>
      <c r="E233" s="92"/>
      <c r="F233" s="93">
        <f>(+IFERROR(VLOOKUP($A233,'[152]BG (2)'!$B$9:$J$570,4,FALSE),0))*1</f>
        <v>2122926061</v>
      </c>
      <c r="G233" s="73">
        <f>(+IFERROR(VLOOKUP($A233,'[152]BG (2)'!$B$9:$J$570,5,FALSE),0))*-1</f>
        <v>0</v>
      </c>
      <c r="H233" s="93">
        <f>(+IFERROR(VLOOKUP($A233,'[152]BG (2)'!$B$9:$J$570,6,FALSE),0))*1</f>
        <v>1011146072</v>
      </c>
      <c r="I233" s="73">
        <f>(+IFERROR(VLOOKUP($A233,'[152]BG (2)'!$B$9:$J$570,7,FALSE),0))*-1</f>
        <v>-848985020</v>
      </c>
      <c r="J233" s="1293">
        <f>(+IFERROR(VLOOKUP($A233,'[152]BG (2)'!$B$9:$J$570,8,FALSE),0))*1</f>
        <v>2285087113</v>
      </c>
      <c r="K233" s="73">
        <f>(+IFERROR(VLOOKUP($A233,'[152]BG (2)'!$B$9:$J$570,9,FALSE),0))*-1</f>
        <v>0</v>
      </c>
      <c r="P233" s="90">
        <f t="shared" si="15"/>
        <v>2285087113</v>
      </c>
      <c r="S233" s="90"/>
      <c r="T233" s="102">
        <f t="shared" si="17"/>
        <v>2285087113</v>
      </c>
      <c r="U233" s="95"/>
      <c r="V233" s="72"/>
      <c r="W233" s="75" t="e">
        <f>+A233-#REF!</f>
        <v>#REF!</v>
      </c>
      <c r="X233" s="1270"/>
      <c r="Y233" s="91"/>
      <c r="Z233" s="91"/>
      <c r="AA233" s="91"/>
    </row>
    <row r="234" spans="1:27" ht="14.4" customHeight="1" x14ac:dyDescent="0.3">
      <c r="A234">
        <v>449202</v>
      </c>
      <c r="B234" t="s">
        <v>327</v>
      </c>
      <c r="C234" t="s">
        <v>326</v>
      </c>
      <c r="D234" s="87" t="str">
        <f t="shared" si="16"/>
        <v>44</v>
      </c>
      <c r="E234" s="92"/>
      <c r="F234" s="93">
        <f>(+IFERROR(VLOOKUP($A234,'[152]BG (2)'!$B$9:$J$570,4,FALSE),0))*1</f>
        <v>575402840</v>
      </c>
      <c r="G234" s="73">
        <f>(+IFERROR(VLOOKUP($A234,'[152]BG (2)'!$B$9:$J$570,5,FALSE),0))*-1</f>
        <v>0</v>
      </c>
      <c r="H234" s="93">
        <f>(+IFERROR(VLOOKUP($A234,'[152]BG (2)'!$B$9:$J$570,6,FALSE),0))*1</f>
        <v>173459263</v>
      </c>
      <c r="I234" s="73">
        <f>(+IFERROR(VLOOKUP($A234,'[152]BG (2)'!$B$9:$J$570,7,FALSE),0))*-1</f>
        <v>-331985797</v>
      </c>
      <c r="J234" s="1293">
        <f>(+IFERROR(VLOOKUP($A234,'[152]BG (2)'!$B$9:$J$570,8,FALSE),0))*1</f>
        <v>416876306</v>
      </c>
      <c r="K234" s="73">
        <f>(+IFERROR(VLOOKUP($A234,'[152]BG (2)'!$B$9:$J$570,9,FALSE),0))*-1</f>
        <v>0</v>
      </c>
      <c r="P234" s="90">
        <f t="shared" si="15"/>
        <v>416876306</v>
      </c>
      <c r="S234" s="90"/>
      <c r="T234" s="102">
        <f t="shared" si="17"/>
        <v>416876306</v>
      </c>
      <c r="U234" s="95"/>
      <c r="V234" s="72"/>
      <c r="W234" s="75" t="e">
        <f>+A234-#REF!</f>
        <v>#REF!</v>
      </c>
      <c r="X234" s="1270"/>
      <c r="Y234" s="91"/>
      <c r="Z234" s="91"/>
      <c r="AA234" s="91"/>
    </row>
    <row r="235" spans="1:27" ht="14.4" customHeight="1" x14ac:dyDescent="0.3">
      <c r="A235">
        <v>449203</v>
      </c>
      <c r="B235" t="s">
        <v>328</v>
      </c>
      <c r="C235" t="s">
        <v>326</v>
      </c>
      <c r="D235" s="87" t="str">
        <f t="shared" si="16"/>
        <v>44</v>
      </c>
      <c r="E235" s="92"/>
      <c r="F235" s="93">
        <f>(+IFERROR(VLOOKUP($A235,'[152]BG (2)'!$B$9:$J$570,4,FALSE),0))*1</f>
        <v>5784273</v>
      </c>
      <c r="G235" s="73">
        <f>(+IFERROR(VLOOKUP($A235,'[152]BG (2)'!$B$9:$J$570,5,FALSE),0))*-1</f>
        <v>0</v>
      </c>
      <c r="H235" s="93">
        <f>(+IFERROR(VLOOKUP($A235,'[152]BG (2)'!$B$9:$J$570,6,FALSE),0))*1</f>
        <v>262927</v>
      </c>
      <c r="I235" s="73">
        <f>(+IFERROR(VLOOKUP($A235,'[152]BG (2)'!$B$9:$J$570,7,FALSE),0))*-1</f>
        <v>0</v>
      </c>
      <c r="J235" s="1293">
        <f>(+IFERROR(VLOOKUP($A235,'[152]BG (2)'!$B$9:$J$570,8,FALSE),0))*1</f>
        <v>6047200</v>
      </c>
      <c r="K235" s="73">
        <f>(+IFERROR(VLOOKUP($A235,'[152]BG (2)'!$B$9:$J$570,9,FALSE),0))*-1</f>
        <v>0</v>
      </c>
      <c r="P235" s="90">
        <f t="shared" si="15"/>
        <v>6047200</v>
      </c>
      <c r="S235" s="90"/>
      <c r="T235" s="102">
        <f t="shared" si="17"/>
        <v>6047200</v>
      </c>
      <c r="U235" s="95"/>
      <c r="V235" s="72"/>
      <c r="W235" s="75" t="e">
        <f>+A235-#REF!</f>
        <v>#REF!</v>
      </c>
      <c r="X235" s="1270"/>
      <c r="Y235" s="91"/>
      <c r="Z235" s="91"/>
      <c r="AA235" s="91"/>
    </row>
    <row r="236" spans="1:27" ht="14.4" customHeight="1" x14ac:dyDescent="0.3">
      <c r="A236">
        <v>461300</v>
      </c>
      <c r="B236" t="s">
        <v>329</v>
      </c>
      <c r="C236"/>
      <c r="D236" s="87" t="str">
        <f t="shared" si="16"/>
        <v>46</v>
      </c>
      <c r="E236" s="92"/>
      <c r="F236" s="93">
        <f>(+IFERROR(VLOOKUP($A236,'[152]BG (2)'!$B$9:$J$570,4,FALSE),0))*1</f>
        <v>0</v>
      </c>
      <c r="G236" s="73">
        <f>(+IFERROR(VLOOKUP($A236,'[152]BG (2)'!$B$9:$J$570,5,FALSE),0))*-1</f>
        <v>0</v>
      </c>
      <c r="H236" s="93">
        <f>(+IFERROR(VLOOKUP($A236,'[152]BG (2)'!$B$9:$J$570,6,FALSE),0))*1</f>
        <v>0</v>
      </c>
      <c r="I236" s="73">
        <f>(+IFERROR(VLOOKUP($A236,'[152]BG (2)'!$B$9:$J$570,7,FALSE),0))*-1</f>
        <v>0</v>
      </c>
      <c r="J236" s="123">
        <f>(+IFERROR(VLOOKUP($A236,'[152]BG (2)'!$B$9:$J$570,8,FALSE),0))*1</f>
        <v>0</v>
      </c>
      <c r="K236" s="73">
        <f>(+IFERROR(VLOOKUP($A236,'[152]BG (2)'!$B$9:$J$570,9,FALSE),0))*-1</f>
        <v>0</v>
      </c>
      <c r="P236" s="90">
        <f t="shared" si="15"/>
        <v>0</v>
      </c>
      <c r="S236" s="90"/>
      <c r="T236" s="102">
        <f t="shared" si="17"/>
        <v>0</v>
      </c>
      <c r="U236" s="95"/>
      <c r="V236" s="72"/>
      <c r="W236" s="75" t="e">
        <f>+A236-#REF!</f>
        <v>#REF!</v>
      </c>
      <c r="X236" s="1270"/>
      <c r="Y236" s="91"/>
      <c r="Z236" s="91"/>
      <c r="AA236" s="91"/>
    </row>
    <row r="237" spans="1:27" ht="14.4" customHeight="1" x14ac:dyDescent="0.3">
      <c r="A237">
        <v>462200</v>
      </c>
      <c r="B237" t="s">
        <v>330</v>
      </c>
      <c r="C237" t="s">
        <v>331</v>
      </c>
      <c r="D237" s="87" t="str">
        <f t="shared" si="16"/>
        <v>46</v>
      </c>
      <c r="E237" s="92"/>
      <c r="F237" s="93">
        <f>(+IFERROR(VLOOKUP($A237,'[152]BG (2)'!$B$9:$J$570,4,FALSE),0))*1</f>
        <v>0</v>
      </c>
      <c r="G237" s="73">
        <f>(+IFERROR(VLOOKUP($A237,'[152]BG (2)'!$B$9:$J$570,5,FALSE),0))*-1</f>
        <v>-10892104474</v>
      </c>
      <c r="H237" s="93">
        <f>(+IFERROR(VLOOKUP($A237,'[152]BG (2)'!$B$9:$J$570,6,FALSE),0))*1</f>
        <v>3793321029</v>
      </c>
      <c r="I237" s="73">
        <f>(+IFERROR(VLOOKUP($A237,'[152]BG (2)'!$B$9:$J$570,7,FALSE),0))*-1</f>
        <v>-210395605</v>
      </c>
      <c r="J237" s="89">
        <f>(+IFERROR(VLOOKUP($A237,'[152]BG (2)'!$B$9:$J$570,8,FALSE),0))*1</f>
        <v>0</v>
      </c>
      <c r="K237" s="73">
        <f>(+IFERROR(VLOOKUP($A237,'[152]BG (2)'!$B$9:$J$570,9,FALSE),0))*-1</f>
        <v>-7309179050</v>
      </c>
      <c r="P237" s="90">
        <f t="shared" si="15"/>
        <v>-7309179050</v>
      </c>
      <c r="R237" s="2">
        <f>+P237/1000000</f>
        <v>-7309.1790499999997</v>
      </c>
      <c r="S237" s="90"/>
      <c r="T237" s="102">
        <f t="shared" si="17"/>
        <v>-7309179050</v>
      </c>
      <c r="U237" s="95"/>
      <c r="V237" s="72"/>
      <c r="W237" s="75" t="e">
        <f>+A237-#REF!</f>
        <v>#REF!</v>
      </c>
      <c r="X237" s="1270"/>
      <c r="Y237" s="91"/>
      <c r="Z237" s="91"/>
      <c r="AA237" s="91"/>
    </row>
    <row r="238" spans="1:27" ht="14.4" customHeight="1" x14ac:dyDescent="0.3">
      <c r="A238">
        <v>462300</v>
      </c>
      <c r="B238" s="1284" t="s">
        <v>2241</v>
      </c>
      <c r="C238"/>
      <c r="D238" s="87" t="str">
        <f t="shared" si="16"/>
        <v>46</v>
      </c>
      <c r="E238" s="92"/>
      <c r="F238" s="93">
        <f>(+IFERROR(VLOOKUP($A238,'[152]BG (2)'!$B$9:$J$570,4,FALSE),0))*1</f>
        <v>0</v>
      </c>
      <c r="G238" s="73">
        <f>(+IFERROR(VLOOKUP($A238,'[152]BG (2)'!$B$9:$J$570,5,FALSE),0))*-1</f>
        <v>0</v>
      </c>
      <c r="H238" s="93">
        <f>(+IFERROR(VLOOKUP($A238,'[152]BG (2)'!$B$9:$J$570,6,FALSE),0))*1</f>
        <v>0</v>
      </c>
      <c r="I238" s="73">
        <f>(+IFERROR(VLOOKUP($A238,'[152]BG (2)'!$B$9:$J$570,7,FALSE),0))*-1</f>
        <v>0</v>
      </c>
      <c r="J238" s="1293">
        <f>(+IFERROR(VLOOKUP($A238,'[152]BG (2)'!$B$9:$J$570,8,FALSE),0))*1</f>
        <v>0</v>
      </c>
      <c r="K238" s="73">
        <f>(+IFERROR(VLOOKUP($A238,'[152]BG (2)'!$B$9:$J$570,9,FALSE),0))*-1</f>
        <v>0</v>
      </c>
      <c r="P238" s="90">
        <f t="shared" si="15"/>
        <v>0</v>
      </c>
      <c r="S238" s="90"/>
      <c r="T238" s="102"/>
      <c r="U238" s="95"/>
      <c r="V238" s="72"/>
      <c r="W238" s="75"/>
      <c r="X238" s="1270"/>
      <c r="Y238" s="91"/>
      <c r="Z238" s="91"/>
      <c r="AA238" s="91"/>
    </row>
    <row r="239" spans="1:27" ht="14.4" customHeight="1" x14ac:dyDescent="0.3">
      <c r="A239">
        <v>466010</v>
      </c>
      <c r="B239" t="s">
        <v>332</v>
      </c>
      <c r="C239" t="s">
        <v>331</v>
      </c>
      <c r="D239" s="87" t="str">
        <f t="shared" si="16"/>
        <v>46</v>
      </c>
      <c r="E239" s="92"/>
      <c r="F239" s="93">
        <f>(+IFERROR(VLOOKUP($A239,'[152]BG (2)'!$B$9:$J$570,4,FALSE),0))*1</f>
        <v>0</v>
      </c>
      <c r="G239" s="73">
        <f>(+IFERROR(VLOOKUP($A239,'[152]BG (2)'!$B$9:$J$570,5,FALSE),0))*-1</f>
        <v>-66826</v>
      </c>
      <c r="H239" s="93">
        <f>(+IFERROR(VLOOKUP($A239,'[152]BG (2)'!$B$9:$J$570,6,FALSE),0))*1</f>
        <v>0</v>
      </c>
      <c r="I239" s="73">
        <f>(+IFERROR(VLOOKUP($A239,'[152]BG (2)'!$B$9:$J$570,7,FALSE),0))*-1</f>
        <v>0</v>
      </c>
      <c r="J239" s="124">
        <f>(+IFERROR(VLOOKUP($A239,'[152]BG (2)'!$B$9:$J$570,8,FALSE),0))*1</f>
        <v>0</v>
      </c>
      <c r="K239" s="73">
        <f>(+IFERROR(VLOOKUP($A239,'[152]BG (2)'!$B$9:$J$570,9,FALSE),0))*-1</f>
        <v>-66826</v>
      </c>
      <c r="P239" s="90">
        <f t="shared" si="15"/>
        <v>-66826</v>
      </c>
      <c r="S239" s="90"/>
      <c r="T239" s="102">
        <f t="shared" ref="T239:T253" si="18">K239+J239</f>
        <v>-66826</v>
      </c>
      <c r="U239" s="95"/>
      <c r="V239" s="72"/>
      <c r="W239" s="75" t="e">
        <f>+A239-#REF!</f>
        <v>#REF!</v>
      </c>
      <c r="X239" s="1270"/>
      <c r="Y239" s="91"/>
      <c r="Z239" s="91"/>
      <c r="AA239" s="91"/>
    </row>
    <row r="240" spans="1:27" ht="14.4" customHeight="1" x14ac:dyDescent="0.3">
      <c r="A240">
        <v>466013</v>
      </c>
      <c r="B240" t="s">
        <v>333</v>
      </c>
      <c r="C240" t="s">
        <v>334</v>
      </c>
      <c r="D240" s="87" t="str">
        <f t="shared" si="16"/>
        <v>46</v>
      </c>
      <c r="E240" s="92"/>
      <c r="F240" s="93">
        <f>(+IFERROR(VLOOKUP($A240,'[152]BG (2)'!$B$9:$J$570,4,FALSE),0))*1</f>
        <v>0</v>
      </c>
      <c r="G240" s="73">
        <f>(+IFERROR(VLOOKUP($A240,'[152]BG (2)'!$B$9:$J$570,5,FALSE),0))*-1</f>
        <v>-2</v>
      </c>
      <c r="H240" s="93">
        <f>(+IFERROR(VLOOKUP($A240,'[152]BG (2)'!$B$9:$J$570,6,FALSE),0))*1</f>
        <v>0</v>
      </c>
      <c r="I240" s="73">
        <f>(+IFERROR(VLOOKUP($A240,'[152]BG (2)'!$B$9:$J$570,7,FALSE),0))*-1</f>
        <v>0</v>
      </c>
      <c r="J240" s="124">
        <f>(+IFERROR(VLOOKUP($A240,'[152]BG (2)'!$B$9:$J$570,8,FALSE),0))*1</f>
        <v>0</v>
      </c>
      <c r="K240" s="73">
        <f>(+IFERROR(VLOOKUP($A240,'[152]BG (2)'!$B$9:$J$570,9,FALSE),0))*-1</f>
        <v>-2</v>
      </c>
      <c r="P240" s="90">
        <f t="shared" si="15"/>
        <v>-2</v>
      </c>
      <c r="S240" s="90"/>
      <c r="T240" s="102">
        <f t="shared" si="18"/>
        <v>-2</v>
      </c>
      <c r="U240" s="95"/>
      <c r="V240" s="72"/>
      <c r="W240" s="75" t="e">
        <f>+A240-#REF!</f>
        <v>#REF!</v>
      </c>
      <c r="X240" s="1270"/>
      <c r="Y240" s="91"/>
      <c r="Z240" s="91"/>
      <c r="AA240" s="91"/>
    </row>
    <row r="241" spans="1:27" ht="14.4" customHeight="1" x14ac:dyDescent="0.3">
      <c r="A241">
        <v>466018</v>
      </c>
      <c r="B241" t="s">
        <v>335</v>
      </c>
      <c r="C241" t="s">
        <v>336</v>
      </c>
      <c r="D241" s="87" t="str">
        <f t="shared" si="16"/>
        <v>46</v>
      </c>
      <c r="E241" s="92"/>
      <c r="F241" s="93">
        <f>(+IFERROR(VLOOKUP($A241,'[152]BG (2)'!$B$9:$J$570,4,FALSE),0))*1</f>
        <v>0</v>
      </c>
      <c r="G241" s="73">
        <f>(+IFERROR(VLOOKUP($A241,'[152]BG (2)'!$B$9:$J$570,5,FALSE),0))*-1</f>
        <v>0</v>
      </c>
      <c r="H241" s="93">
        <f>(+IFERROR(VLOOKUP($A241,'[152]BG (2)'!$B$9:$J$570,6,FALSE),0))*1</f>
        <v>0</v>
      </c>
      <c r="I241" s="73">
        <f>(+IFERROR(VLOOKUP($A241,'[152]BG (2)'!$B$9:$J$570,7,FALSE),0))*-1</f>
        <v>0</v>
      </c>
      <c r="J241" s="124">
        <f>(+IFERROR(VLOOKUP($A241,'[152]BG (2)'!$B$9:$J$570,8,FALSE),0))*1</f>
        <v>0</v>
      </c>
      <c r="K241" s="73">
        <f>(+IFERROR(VLOOKUP($A241,'[152]BG (2)'!$B$9:$J$570,9,FALSE),0))*-1</f>
        <v>0</v>
      </c>
      <c r="P241" s="90">
        <f t="shared" si="15"/>
        <v>0</v>
      </c>
      <c r="S241" s="90"/>
      <c r="T241" s="102">
        <f t="shared" si="18"/>
        <v>0</v>
      </c>
      <c r="U241" s="95"/>
      <c r="V241" s="72"/>
      <c r="W241" s="75" t="e">
        <f>+A241-#REF!</f>
        <v>#REF!</v>
      </c>
      <c r="X241" s="1270"/>
      <c r="Y241" s="91"/>
      <c r="Z241" s="91"/>
      <c r="AA241" s="91"/>
    </row>
    <row r="242" spans="1:27" ht="14.4" customHeight="1" x14ac:dyDescent="0.3">
      <c r="A242">
        <v>466030</v>
      </c>
      <c r="B242" s="97" t="s">
        <v>337</v>
      </c>
      <c r="C242" t="s">
        <v>338</v>
      </c>
      <c r="D242" s="87" t="str">
        <f t="shared" si="16"/>
        <v>46</v>
      </c>
      <c r="E242" s="92"/>
      <c r="F242" s="93">
        <f>(+IFERROR(VLOOKUP($A242,'[152]BG (2)'!$B$9:$J$570,4,FALSE),0))*1</f>
        <v>930817</v>
      </c>
      <c r="G242" s="73">
        <f>(+IFERROR(VLOOKUP($A242,'[152]BG (2)'!$B$9:$J$570,5,FALSE),0))*-1</f>
        <v>0</v>
      </c>
      <c r="H242" s="93">
        <f>(+IFERROR(VLOOKUP($A242,'[152]BG (2)'!$B$9:$J$570,6,FALSE),0))*1</f>
        <v>0</v>
      </c>
      <c r="I242" s="73">
        <f>(+IFERROR(VLOOKUP($A242,'[152]BG (2)'!$B$9:$J$570,7,FALSE),0))*-1</f>
        <v>0</v>
      </c>
      <c r="J242" s="1293">
        <f>(+IFERROR(VLOOKUP($A242,'[152]BG (2)'!$B$9:$J$570,8,FALSE),0))*1</f>
        <v>930817</v>
      </c>
      <c r="K242" s="73">
        <f>(+IFERROR(VLOOKUP($A242,'[152]BG (2)'!$B$9:$J$570,9,FALSE),0))*-1</f>
        <v>0</v>
      </c>
      <c r="P242" s="90">
        <f t="shared" si="15"/>
        <v>930817</v>
      </c>
      <c r="S242" s="90"/>
      <c r="T242" s="102">
        <f t="shared" si="18"/>
        <v>930817</v>
      </c>
      <c r="U242" s="95"/>
      <c r="V242" s="72"/>
      <c r="W242" s="75" t="e">
        <f>+A242-#REF!</f>
        <v>#REF!</v>
      </c>
      <c r="X242" s="1270"/>
      <c r="Y242" s="91"/>
      <c r="Z242" s="91"/>
      <c r="AA242" s="91"/>
    </row>
    <row r="243" spans="1:27" ht="14.4" customHeight="1" x14ac:dyDescent="0.3">
      <c r="A243">
        <v>466040</v>
      </c>
      <c r="B243" s="97" t="s">
        <v>339</v>
      </c>
      <c r="C243" t="s">
        <v>338</v>
      </c>
      <c r="D243" s="87" t="str">
        <f t="shared" si="16"/>
        <v>46</v>
      </c>
      <c r="E243" s="92"/>
      <c r="F243" s="93">
        <f>(+IFERROR(VLOOKUP($A243,'[152]BG (2)'!$B$9:$J$570,4,FALSE),0))*1</f>
        <v>0</v>
      </c>
      <c r="G243" s="73">
        <f>(+IFERROR(VLOOKUP($A243,'[152]BG (2)'!$B$9:$J$570,5,FALSE),0))*-1</f>
        <v>-504942081</v>
      </c>
      <c r="H243" s="93">
        <f>(+IFERROR(VLOOKUP($A243,'[152]BG (2)'!$B$9:$J$570,6,FALSE),0))*1</f>
        <v>609285548</v>
      </c>
      <c r="I243" s="73">
        <f>(+IFERROR(VLOOKUP($A243,'[152]BG (2)'!$B$9:$J$570,7,FALSE),0))*-1</f>
        <v>-625948048</v>
      </c>
      <c r="J243" s="1293">
        <f>(+IFERROR(VLOOKUP($A243,'[152]BG (2)'!$B$9:$J$570,8,FALSE),0))*1</f>
        <v>0</v>
      </c>
      <c r="K243" s="73">
        <f>(+IFERROR(VLOOKUP($A243,'[152]BG (2)'!$B$9:$J$570,9,FALSE),0))*-1</f>
        <v>-521604581</v>
      </c>
      <c r="P243" s="90">
        <f t="shared" si="15"/>
        <v>-521604581</v>
      </c>
      <c r="S243" s="90"/>
      <c r="T243" s="102">
        <f t="shared" si="18"/>
        <v>-521604581</v>
      </c>
      <c r="U243" s="95"/>
      <c r="V243" s="72"/>
      <c r="W243" s="75" t="e">
        <f>+A243-#REF!</f>
        <v>#REF!</v>
      </c>
      <c r="X243" s="1270"/>
      <c r="Y243" s="91"/>
      <c r="Z243" s="91"/>
      <c r="AA243" s="91"/>
    </row>
    <row r="244" spans="1:27" ht="14.4" customHeight="1" x14ac:dyDescent="0.3">
      <c r="A244">
        <v>466050</v>
      </c>
      <c r="B244" s="97" t="s">
        <v>337</v>
      </c>
      <c r="C244" t="s">
        <v>338</v>
      </c>
      <c r="D244" s="87" t="str">
        <f t="shared" si="16"/>
        <v>46</v>
      </c>
      <c r="E244" s="92"/>
      <c r="F244" s="93">
        <f>(+IFERROR(VLOOKUP($A244,'[152]BG (2)'!$B$9:$J$570,4,FALSE),0))*1</f>
        <v>1231181</v>
      </c>
      <c r="G244" s="73">
        <f>(+IFERROR(VLOOKUP($A244,'[152]BG (2)'!$B$9:$J$570,5,FALSE),0))*-1</f>
        <v>0</v>
      </c>
      <c r="H244" s="93">
        <f>(+IFERROR(VLOOKUP($A244,'[152]BG (2)'!$B$9:$J$570,6,FALSE),0))*1</f>
        <v>0</v>
      </c>
      <c r="I244" s="73">
        <f>(+IFERROR(VLOOKUP($A244,'[152]BG (2)'!$B$9:$J$570,7,FALSE),0))*-1</f>
        <v>0</v>
      </c>
      <c r="J244" s="1293">
        <f>(+IFERROR(VLOOKUP($A244,'[152]BG (2)'!$B$9:$J$570,8,FALSE),0))*1</f>
        <v>1231181</v>
      </c>
      <c r="K244" s="73">
        <f>(+IFERROR(VLOOKUP($A244,'[152]BG (2)'!$B$9:$J$570,9,FALSE),0))*-1</f>
        <v>0</v>
      </c>
      <c r="P244" s="90">
        <f t="shared" si="15"/>
        <v>1231181</v>
      </c>
      <c r="S244" s="90"/>
      <c r="T244" s="102">
        <f t="shared" si="18"/>
        <v>1231181</v>
      </c>
      <c r="U244" s="95"/>
      <c r="V244" s="72"/>
      <c r="W244" s="75" t="e">
        <f>+A244-#REF!</f>
        <v>#REF!</v>
      </c>
      <c r="X244" s="1270"/>
      <c r="Y244" s="91"/>
      <c r="Z244" s="91"/>
      <c r="AA244" s="91"/>
    </row>
    <row r="245" spans="1:27" ht="14.4" customHeight="1" x14ac:dyDescent="0.3">
      <c r="A245">
        <v>466070</v>
      </c>
      <c r="B245" s="97" t="s">
        <v>337</v>
      </c>
      <c r="C245" t="s">
        <v>338</v>
      </c>
      <c r="D245" s="87" t="str">
        <f t="shared" si="16"/>
        <v>46</v>
      </c>
      <c r="E245" s="92"/>
      <c r="F245" s="93">
        <f>(+IFERROR(VLOOKUP($A245,'[152]BG (2)'!$B$9:$J$570,4,FALSE),0))*1</f>
        <v>0</v>
      </c>
      <c r="G245" s="73">
        <f>(+IFERROR(VLOOKUP($A245,'[152]BG (2)'!$B$9:$J$570,5,FALSE),0))*-1</f>
        <v>0</v>
      </c>
      <c r="H245" s="93">
        <f>(+IFERROR(VLOOKUP($A245,'[152]BG (2)'!$B$9:$J$570,6,FALSE),0))*1</f>
        <v>0</v>
      </c>
      <c r="I245" s="73">
        <f>(+IFERROR(VLOOKUP($A245,'[152]BG (2)'!$B$9:$J$570,7,FALSE),0))*-1</f>
        <v>0</v>
      </c>
      <c r="J245" s="1293">
        <f>(+IFERROR(VLOOKUP($A245,'[152]BG (2)'!$B$9:$J$570,8,FALSE),0))*1</f>
        <v>0</v>
      </c>
      <c r="K245" s="73">
        <f>(+IFERROR(VLOOKUP($A245,'[152]BG (2)'!$B$9:$J$570,9,FALSE),0))*-1</f>
        <v>0</v>
      </c>
      <c r="P245" s="90">
        <f t="shared" si="15"/>
        <v>0</v>
      </c>
      <c r="S245" s="90"/>
      <c r="T245" s="102">
        <f t="shared" si="18"/>
        <v>0</v>
      </c>
      <c r="U245" s="95"/>
      <c r="V245" s="72"/>
      <c r="W245" s="75" t="e">
        <f>+A245-#REF!</f>
        <v>#REF!</v>
      </c>
      <c r="X245" s="1270"/>
      <c r="Y245" s="91"/>
      <c r="Z245" s="91"/>
      <c r="AA245" s="91"/>
    </row>
    <row r="246" spans="1:27" ht="14.4" customHeight="1" x14ac:dyDescent="0.3">
      <c r="A246">
        <v>466080</v>
      </c>
      <c r="B246" s="97" t="s">
        <v>340</v>
      </c>
      <c r="C246" t="s">
        <v>338</v>
      </c>
      <c r="D246" s="87" t="str">
        <f t="shared" si="16"/>
        <v>46</v>
      </c>
      <c r="E246" s="92"/>
      <c r="F246" s="93">
        <f>(+IFERROR(VLOOKUP($A246,'[152]BG (2)'!$B$9:$J$570,4,FALSE),0))*1</f>
        <v>14496592</v>
      </c>
      <c r="G246" s="73">
        <f>(+IFERROR(VLOOKUP($A246,'[152]BG (2)'!$B$9:$J$570,5,FALSE),0))*-1</f>
        <v>0</v>
      </c>
      <c r="H246" s="93">
        <f>(+IFERROR(VLOOKUP($A246,'[152]BG (2)'!$B$9:$J$570,6,FALSE),0))*1</f>
        <v>0</v>
      </c>
      <c r="I246" s="73">
        <f>(+IFERROR(VLOOKUP($A246,'[152]BG (2)'!$B$9:$J$570,7,FALSE),0))*-1</f>
        <v>0</v>
      </c>
      <c r="J246" s="1293">
        <f>(+IFERROR(VLOOKUP($A246,'[152]BG (2)'!$B$9:$J$570,8,FALSE),0))*1</f>
        <v>14496592</v>
      </c>
      <c r="K246" s="73">
        <f>(+IFERROR(VLOOKUP($A246,'[152]BG (2)'!$B$9:$J$570,9,FALSE),0))*-1</f>
        <v>0</v>
      </c>
      <c r="P246" s="90">
        <f t="shared" si="15"/>
        <v>14496592</v>
      </c>
      <c r="S246" s="90"/>
      <c r="T246" s="102">
        <f t="shared" si="18"/>
        <v>14496592</v>
      </c>
      <c r="U246" s="95"/>
      <c r="V246" s="72"/>
      <c r="W246" s="75" t="e">
        <f>+A246-#REF!</f>
        <v>#REF!</v>
      </c>
      <c r="X246" s="1270"/>
      <c r="Y246" s="91"/>
      <c r="Z246" s="91"/>
      <c r="AA246" s="91"/>
    </row>
    <row r="247" spans="1:27" ht="14.4" customHeight="1" x14ac:dyDescent="0.3">
      <c r="A247">
        <v>471000</v>
      </c>
      <c r="B247" s="97" t="s">
        <v>341</v>
      </c>
      <c r="C247" t="s">
        <v>342</v>
      </c>
      <c r="D247" s="87" t="str">
        <f t="shared" si="16"/>
        <v>47</v>
      </c>
      <c r="E247" s="92"/>
      <c r="F247" s="93">
        <f>(+IFERROR(VLOOKUP($A247,'[152]BG (2)'!$B$9:$J$570,4,FALSE),0))*1</f>
        <v>0</v>
      </c>
      <c r="G247" s="73">
        <f>(+IFERROR(VLOOKUP($A247,'[152]BG (2)'!$B$9:$J$570,5,FALSE),0))*-1</f>
        <v>-26662109</v>
      </c>
      <c r="H247" s="93">
        <f>(+IFERROR(VLOOKUP($A247,'[152]BG (2)'!$B$9:$J$570,6,FALSE),0))*1</f>
        <v>15</v>
      </c>
      <c r="I247" s="73">
        <f>(+IFERROR(VLOOKUP($A247,'[152]BG (2)'!$B$9:$J$570,7,FALSE),0))*-1</f>
        <v>0</v>
      </c>
      <c r="J247" s="1293">
        <f>(+IFERROR(VLOOKUP($A247,'[152]BG (2)'!$B$9:$J$570,8,FALSE),0))*1</f>
        <v>0</v>
      </c>
      <c r="K247" s="73">
        <f>(+IFERROR(VLOOKUP($A247,'[152]BG (2)'!$B$9:$J$570,9,FALSE),0))*-1</f>
        <v>-26662094</v>
      </c>
      <c r="P247" s="90">
        <f t="shared" si="15"/>
        <v>-26662094</v>
      </c>
      <c r="S247" s="90"/>
      <c r="T247" s="102">
        <f t="shared" si="18"/>
        <v>-26662094</v>
      </c>
      <c r="U247" s="95"/>
      <c r="V247" s="72"/>
      <c r="W247" s="75" t="e">
        <f>+A247-#REF!</f>
        <v>#REF!</v>
      </c>
      <c r="X247" s="1270"/>
      <c r="Y247" s="91"/>
      <c r="Z247" s="91"/>
      <c r="AA247" s="91"/>
    </row>
    <row r="248" spans="1:27" ht="14.4" customHeight="1" x14ac:dyDescent="0.3">
      <c r="A248">
        <v>471001</v>
      </c>
      <c r="B248" s="97" t="s">
        <v>343</v>
      </c>
      <c r="C248" t="s">
        <v>342</v>
      </c>
      <c r="D248" s="87" t="str">
        <f t="shared" si="16"/>
        <v>47</v>
      </c>
      <c r="E248" s="92"/>
      <c r="F248" s="93">
        <f>(+IFERROR(VLOOKUP($A248,'[152]BG (2)'!$B$9:$J$570,4,FALSE),0))*1</f>
        <v>0</v>
      </c>
      <c r="G248" s="73">
        <f>(+IFERROR(VLOOKUP($A248,'[152]BG (2)'!$B$9:$J$570,5,FALSE),0))*-1</f>
        <v>-24900399</v>
      </c>
      <c r="H248" s="93">
        <f>(+IFERROR(VLOOKUP($A248,'[152]BG (2)'!$B$9:$J$570,6,FALSE),0))*1</f>
        <v>24900399</v>
      </c>
      <c r="I248" s="73">
        <f>(+IFERROR(VLOOKUP($A248,'[152]BG (2)'!$B$9:$J$570,7,FALSE),0))*-1</f>
        <v>-24900399</v>
      </c>
      <c r="J248" s="1293">
        <f>(+IFERROR(VLOOKUP($A248,'[152]BG (2)'!$B$9:$J$570,8,FALSE),0))*1</f>
        <v>0</v>
      </c>
      <c r="K248" s="73">
        <f>(+IFERROR(VLOOKUP($A248,'[152]BG (2)'!$B$9:$J$570,9,FALSE),0))*-1</f>
        <v>-24900399</v>
      </c>
      <c r="P248" s="90">
        <f t="shared" si="15"/>
        <v>-24900399</v>
      </c>
      <c r="S248" s="90"/>
      <c r="T248" s="102">
        <f t="shared" si="18"/>
        <v>-24900399</v>
      </c>
      <c r="U248" s="95"/>
      <c r="V248" s="72"/>
      <c r="W248" s="75" t="e">
        <f>+A248-#REF!</f>
        <v>#REF!</v>
      </c>
      <c r="X248" s="1270"/>
      <c r="Y248" s="91"/>
      <c r="Z248" s="91"/>
      <c r="AA248" s="91"/>
    </row>
    <row r="249" spans="1:27" ht="14.4" customHeight="1" x14ac:dyDescent="0.3">
      <c r="A249">
        <v>471100</v>
      </c>
      <c r="B249" s="97" t="s">
        <v>344</v>
      </c>
      <c r="C249" t="s">
        <v>342</v>
      </c>
      <c r="D249" s="87" t="str">
        <f t="shared" si="16"/>
        <v>47</v>
      </c>
      <c r="E249" s="92"/>
      <c r="F249" s="93">
        <f>(+IFERROR(VLOOKUP($A249,'[152]BG (2)'!$B$9:$J$570,4,FALSE),0))*1</f>
        <v>829540</v>
      </c>
      <c r="G249" s="73">
        <f>(+IFERROR(VLOOKUP($A249,'[152]BG (2)'!$B$9:$J$570,5,FALSE),0))*-1</f>
        <v>0</v>
      </c>
      <c r="H249" s="93">
        <f>(+IFERROR(VLOOKUP($A249,'[152]BG (2)'!$B$9:$J$570,6,FALSE),0))*1</f>
        <v>0</v>
      </c>
      <c r="I249" s="73">
        <f>(+IFERROR(VLOOKUP($A249,'[152]BG (2)'!$B$9:$J$570,7,FALSE),0))*-1</f>
        <v>0</v>
      </c>
      <c r="J249" s="1293">
        <f>(+IFERROR(VLOOKUP($A249,'[152]BG (2)'!$B$9:$J$570,8,FALSE),0))*1</f>
        <v>829540</v>
      </c>
      <c r="K249" s="73">
        <f>(+IFERROR(VLOOKUP($A249,'[152]BG (2)'!$B$9:$J$570,9,FALSE),0))*-1</f>
        <v>0</v>
      </c>
      <c r="P249" s="90">
        <f t="shared" si="15"/>
        <v>829540</v>
      </c>
      <c r="S249" s="90"/>
      <c r="T249" s="102">
        <f t="shared" si="18"/>
        <v>829540</v>
      </c>
      <c r="U249" s="95"/>
      <c r="V249" s="72"/>
      <c r="W249" s="75" t="e">
        <f>+A249-#REF!</f>
        <v>#REF!</v>
      </c>
      <c r="X249" s="1270"/>
      <c r="Y249" s="91"/>
      <c r="Z249" s="91"/>
      <c r="AA249" s="91"/>
    </row>
    <row r="250" spans="1:27" ht="14.4" customHeight="1" x14ac:dyDescent="0.3">
      <c r="A250">
        <v>471103</v>
      </c>
      <c r="B250" s="97" t="s">
        <v>345</v>
      </c>
      <c r="C250"/>
      <c r="D250" s="87" t="str">
        <f t="shared" si="16"/>
        <v>47</v>
      </c>
      <c r="E250" s="92"/>
      <c r="F250" s="93">
        <f>(+IFERROR(VLOOKUP($A250,'[152]BG (2)'!$B$9:$J$570,4,FALSE),0))*1</f>
        <v>0</v>
      </c>
      <c r="G250" s="73">
        <f>(+IFERROR(VLOOKUP($A250,'[152]BG (2)'!$B$9:$J$570,5,FALSE),0))*-1</f>
        <v>0</v>
      </c>
      <c r="H250" s="93">
        <f>(+IFERROR(VLOOKUP($A250,'[152]BG (2)'!$B$9:$J$570,6,FALSE),0))*1</f>
        <v>0</v>
      </c>
      <c r="I250" s="73">
        <f>(+IFERROR(VLOOKUP($A250,'[152]BG (2)'!$B$9:$J$570,7,FALSE),0))*-1</f>
        <v>0</v>
      </c>
      <c r="J250" s="1293">
        <f>(+IFERROR(VLOOKUP($A250,'[152]BG (2)'!$B$9:$J$570,8,FALSE),0))*1</f>
        <v>0</v>
      </c>
      <c r="K250" s="73">
        <f>(+IFERROR(VLOOKUP($A250,'[152]BG (2)'!$B$9:$J$570,9,FALSE),0))*-1</f>
        <v>0</v>
      </c>
      <c r="P250" s="90">
        <f t="shared" si="15"/>
        <v>0</v>
      </c>
      <c r="S250" s="90"/>
      <c r="T250" s="102">
        <f t="shared" si="18"/>
        <v>0</v>
      </c>
      <c r="U250" s="95"/>
      <c r="V250" s="72"/>
      <c r="W250" s="75" t="e">
        <f>+A250-#REF!</f>
        <v>#REF!</v>
      </c>
      <c r="X250" s="1270"/>
      <c r="Y250" s="91"/>
      <c r="Z250" s="91"/>
      <c r="AA250" s="91"/>
    </row>
    <row r="251" spans="1:27" ht="14.4" customHeight="1" x14ac:dyDescent="0.3">
      <c r="A251">
        <v>471104</v>
      </c>
      <c r="B251" s="97" t="s">
        <v>346</v>
      </c>
      <c r="C251" t="s">
        <v>342</v>
      </c>
      <c r="D251" s="87" t="str">
        <f t="shared" si="16"/>
        <v>47</v>
      </c>
      <c r="E251" s="92"/>
      <c r="F251" s="93">
        <f>(+IFERROR(VLOOKUP($A251,'[152]BG (2)'!$B$9:$J$570,4,FALSE),0))*1</f>
        <v>85202729</v>
      </c>
      <c r="G251" s="73">
        <f>(+IFERROR(VLOOKUP($A251,'[152]BG (2)'!$B$9:$J$570,5,FALSE),0))*-1</f>
        <v>0</v>
      </c>
      <c r="H251" s="93">
        <f>(+IFERROR(VLOOKUP($A251,'[152]BG (2)'!$B$9:$J$570,6,FALSE),0))*1</f>
        <v>1397560</v>
      </c>
      <c r="I251" s="73">
        <f>(+IFERROR(VLOOKUP($A251,'[152]BG (2)'!$B$9:$J$570,7,FALSE),0))*-1</f>
        <v>-62500</v>
      </c>
      <c r="J251" s="1293">
        <f>(+IFERROR(VLOOKUP($A251,'[152]BG (2)'!$B$9:$J$570,8,FALSE),0))*1</f>
        <v>86537789</v>
      </c>
      <c r="K251" s="73">
        <f>(+IFERROR(VLOOKUP($A251,'[152]BG (2)'!$B$9:$J$570,9,FALSE),0))*-1</f>
        <v>0</v>
      </c>
      <c r="P251" s="90">
        <f t="shared" si="15"/>
        <v>86537789</v>
      </c>
      <c r="S251" s="90"/>
      <c r="T251" s="102">
        <f t="shared" si="18"/>
        <v>86537789</v>
      </c>
      <c r="U251" s="95"/>
      <c r="V251" s="72"/>
      <c r="W251" s="75" t="e">
        <f>+A251-#REF!</f>
        <v>#REF!</v>
      </c>
      <c r="X251" s="1270"/>
      <c r="Y251" s="91"/>
      <c r="Z251" s="91"/>
      <c r="AA251" s="91"/>
    </row>
    <row r="252" spans="1:27" ht="14.4" customHeight="1" x14ac:dyDescent="0.3">
      <c r="A252">
        <v>471200</v>
      </c>
      <c r="B252" s="97" t="s">
        <v>347</v>
      </c>
      <c r="C252" t="s">
        <v>342</v>
      </c>
      <c r="D252" s="87" t="str">
        <f t="shared" si="16"/>
        <v>47</v>
      </c>
      <c r="E252" s="92"/>
      <c r="F252" s="93">
        <f>(+IFERROR(VLOOKUP($A252,'[152]BG (2)'!$B$9:$J$570,4,FALSE),0))*1</f>
        <v>0</v>
      </c>
      <c r="G252" s="73">
        <f>(+IFERROR(VLOOKUP($A252,'[152]BG (2)'!$B$9:$J$570,5,FALSE),0))*-1</f>
        <v>-10550000</v>
      </c>
      <c r="H252" s="93">
        <f>(+IFERROR(VLOOKUP($A252,'[152]BG (2)'!$B$9:$J$570,6,FALSE),0))*1</f>
        <v>29571140</v>
      </c>
      <c r="I252" s="73">
        <f>(+IFERROR(VLOOKUP($A252,'[152]BG (2)'!$B$9:$J$570,7,FALSE),0))*-1</f>
        <v>-29121140</v>
      </c>
      <c r="J252" s="1293">
        <f>(+IFERROR(VLOOKUP($A252,'[152]BG (2)'!$B$9:$J$570,8,FALSE),0))*1</f>
        <v>0</v>
      </c>
      <c r="K252" s="73">
        <f>(+IFERROR(VLOOKUP($A252,'[152]BG (2)'!$B$9:$J$570,9,FALSE),0))*-1</f>
        <v>-10100000</v>
      </c>
      <c r="P252" s="90">
        <f t="shared" si="15"/>
        <v>-10100000</v>
      </c>
      <c r="S252" s="90"/>
      <c r="T252" s="102">
        <f t="shared" si="18"/>
        <v>-10100000</v>
      </c>
      <c r="U252" s="95"/>
      <c r="V252" s="72"/>
      <c r="W252" s="75" t="e">
        <f>+A252-#REF!</f>
        <v>#REF!</v>
      </c>
      <c r="X252" s="1270"/>
      <c r="Y252" s="91"/>
      <c r="Z252" s="91"/>
      <c r="AA252" s="91"/>
    </row>
    <row r="253" spans="1:27" ht="14.4" customHeight="1" x14ac:dyDescent="0.3">
      <c r="A253">
        <v>471202</v>
      </c>
      <c r="B253" s="97" t="s">
        <v>348</v>
      </c>
      <c r="C253"/>
      <c r="D253" s="87" t="str">
        <f t="shared" si="16"/>
        <v>47</v>
      </c>
      <c r="E253" s="92"/>
      <c r="F253" s="93">
        <f>(+IFERROR(VLOOKUP($A253,'[152]BG (2)'!$B$9:$J$570,4,FALSE),0))*1</f>
        <v>587990662</v>
      </c>
      <c r="G253" s="73">
        <f>(+IFERROR(VLOOKUP($A253,'[152]BG (2)'!$B$9:$J$570,5,FALSE),0))*-1</f>
        <v>0</v>
      </c>
      <c r="H253" s="93">
        <f>(+IFERROR(VLOOKUP($A253,'[152]BG (2)'!$B$9:$J$570,6,FALSE),0))*1</f>
        <v>2397354192</v>
      </c>
      <c r="I253" s="73">
        <f>(+IFERROR(VLOOKUP($A253,'[152]BG (2)'!$B$9:$J$570,7,FALSE),0))*-1</f>
        <v>-2625773588</v>
      </c>
      <c r="J253" s="1293">
        <f>(+IFERROR(VLOOKUP($A253,'[152]BG (2)'!$B$9:$J$570,8,FALSE),0))*1</f>
        <v>359571266</v>
      </c>
      <c r="K253" s="73">
        <f>(+IFERROR(VLOOKUP($A253,'[152]BG (2)'!$B$9:$J$570,9,FALSE),0))*-1</f>
        <v>0</v>
      </c>
      <c r="P253" s="90">
        <f t="shared" si="15"/>
        <v>359571266</v>
      </c>
      <c r="S253" s="90"/>
      <c r="T253" s="102">
        <f t="shared" si="18"/>
        <v>359571266</v>
      </c>
      <c r="U253" s="95"/>
      <c r="V253" s="72"/>
      <c r="W253" s="75" t="e">
        <f>+A253-#REF!</f>
        <v>#REF!</v>
      </c>
      <c r="X253" s="1270"/>
      <c r="Y253" s="91"/>
      <c r="Z253" s="91"/>
      <c r="AA253" s="91"/>
    </row>
    <row r="254" spans="1:27" ht="14.4" customHeight="1" x14ac:dyDescent="0.3">
      <c r="A254">
        <v>471205</v>
      </c>
      <c r="B254" s="1284" t="s">
        <v>349</v>
      </c>
      <c r="C254" t="s">
        <v>342</v>
      </c>
      <c r="D254" s="87" t="str">
        <f t="shared" si="16"/>
        <v>47</v>
      </c>
      <c r="E254" s="92"/>
      <c r="F254" s="93">
        <f>(+IFERROR(VLOOKUP($A254,'[152]BG (2)'!$B$9:$J$570,4,FALSE),0))*1</f>
        <v>0</v>
      </c>
      <c r="G254" s="73">
        <f>(+IFERROR(VLOOKUP($A254,'[152]BG (2)'!$B$9:$J$570,5,FALSE),0))*-1</f>
        <v>-119216587</v>
      </c>
      <c r="H254" s="93">
        <f>(+IFERROR(VLOOKUP($A254,'[152]BG (2)'!$B$9:$J$570,6,FALSE),0))*1</f>
        <v>146701026</v>
      </c>
      <c r="I254" s="73">
        <f>(+IFERROR(VLOOKUP($A254,'[152]BG (2)'!$B$9:$J$570,7,FALSE),0))*-1</f>
        <v>-140723146</v>
      </c>
      <c r="J254" s="1293">
        <f>(+IFERROR(VLOOKUP($A254,'[152]BG (2)'!$B$9:$J$570,8,FALSE),0))*1</f>
        <v>0</v>
      </c>
      <c r="K254" s="73">
        <f>(+IFERROR(VLOOKUP($A254,'[152]BG (2)'!$B$9:$J$570,9,FALSE),0))*-1</f>
        <v>-113238707</v>
      </c>
      <c r="P254" s="90">
        <f t="shared" si="15"/>
        <v>-113238707</v>
      </c>
      <c r="S254" s="90"/>
      <c r="T254" s="102"/>
      <c r="U254" s="95"/>
      <c r="V254" s="72"/>
      <c r="W254" s="75"/>
      <c r="X254" s="1270"/>
      <c r="Y254" s="91"/>
      <c r="Z254" s="91"/>
      <c r="AA254" s="91"/>
    </row>
    <row r="255" spans="1:27" ht="14.4" customHeight="1" x14ac:dyDescent="0.3">
      <c r="A255" s="1443">
        <v>471297</v>
      </c>
      <c r="B255" s="1443" t="s">
        <v>2369</v>
      </c>
      <c r="C255" t="s">
        <v>2407</v>
      </c>
      <c r="D255" s="87" t="str">
        <f t="shared" si="16"/>
        <v>47</v>
      </c>
      <c r="E255" s="72"/>
      <c r="F255" s="72">
        <f>(+IFERROR(VLOOKUP($A255,'[152]BG (2)'!$B$9:$J$570,4,FALSE),0))*1</f>
        <v>0</v>
      </c>
      <c r="G255" s="72">
        <f>(+IFERROR(VLOOKUP($A255,'[152]BG (2)'!$B$9:$J$570,5,FALSE),0))*-1</f>
        <v>-22100314610</v>
      </c>
      <c r="H255" s="72">
        <f>(+IFERROR(VLOOKUP($A255,'[152]BG (2)'!$B$9:$J$570,6,FALSE),0))*1</f>
        <v>49385783488</v>
      </c>
      <c r="I255" s="72">
        <f>(+IFERROR(VLOOKUP($A255,'[152]BG (2)'!$B$9:$J$570,7,FALSE),0))*-1</f>
        <v>-51675595674</v>
      </c>
      <c r="J255" s="72">
        <f>(+IFERROR(VLOOKUP($A255,'[152]BG (2)'!$B$9:$J$570,8,FALSE),0))*1</f>
        <v>0</v>
      </c>
      <c r="K255" s="91">
        <f>(+IFERROR(VLOOKUP($A255,'[152]BG (2)'!$B$9:$J$570,9,FALSE),0))*-1</f>
        <v>-24390126796</v>
      </c>
      <c r="L255" s="72"/>
      <c r="M255" s="72"/>
      <c r="N255" s="72"/>
      <c r="O255" s="72"/>
      <c r="P255" s="90">
        <f t="shared" si="15"/>
        <v>-24390126796</v>
      </c>
      <c r="Q255" s="72"/>
      <c r="R255" s="72"/>
      <c r="S255"/>
      <c r="T255"/>
      <c r="U255"/>
      <c r="V255" s="72"/>
      <c r="Y255" s="91"/>
      <c r="Z255" s="91"/>
      <c r="AA255" s="91"/>
    </row>
    <row r="256" spans="1:27" ht="14.4" customHeight="1" x14ac:dyDescent="0.3">
      <c r="A256">
        <v>471299</v>
      </c>
      <c r="B256" s="97" t="s">
        <v>2242</v>
      </c>
      <c r="C256"/>
      <c r="D256" s="87" t="str">
        <f t="shared" si="16"/>
        <v>47</v>
      </c>
      <c r="E256" s="92"/>
      <c r="F256" s="93">
        <f>(+IFERROR(VLOOKUP($A256,'[152]BG (2)'!$B$9:$J$570,4,FALSE),0))*1</f>
        <v>0</v>
      </c>
      <c r="G256" s="73">
        <f>(+IFERROR(VLOOKUP($A256,'[152]BG (2)'!$B$9:$J$570,5,FALSE),0))*-1</f>
        <v>0</v>
      </c>
      <c r="H256" s="93">
        <f>(+IFERROR(VLOOKUP($A256,'[152]BG (2)'!$B$9:$J$570,6,FALSE),0))*1</f>
        <v>0</v>
      </c>
      <c r="I256" s="73">
        <f>(+IFERROR(VLOOKUP($A256,'[152]BG (2)'!$B$9:$J$570,7,FALSE),0))*-1</f>
        <v>0</v>
      </c>
      <c r="J256" s="1293">
        <f>(+IFERROR(VLOOKUP($A256,'[152]BG (2)'!$B$9:$J$570,8,FALSE),0))*1</f>
        <v>0</v>
      </c>
      <c r="K256" s="73">
        <f>(+IFERROR(VLOOKUP($A256,'[152]BG (2)'!$B$9:$J$570,9,FALSE),0))*-1</f>
        <v>0</v>
      </c>
      <c r="P256" s="90">
        <f t="shared" si="15"/>
        <v>0</v>
      </c>
      <c r="S256" s="90"/>
      <c r="T256" s="102">
        <f>K256+J256</f>
        <v>0</v>
      </c>
      <c r="U256" s="95"/>
      <c r="V256" s="72"/>
      <c r="W256" s="75" t="e">
        <f>+A256-#REF!</f>
        <v>#REF!</v>
      </c>
      <c r="X256" s="1270"/>
      <c r="Y256" s="91"/>
      <c r="Z256" s="91"/>
      <c r="AA256" s="91"/>
    </row>
    <row r="257" spans="1:27" ht="14.4" customHeight="1" x14ac:dyDescent="0.3">
      <c r="A257">
        <v>471300</v>
      </c>
      <c r="B257" s="97" t="s">
        <v>350</v>
      </c>
      <c r="C257" t="s">
        <v>342</v>
      </c>
      <c r="D257" s="87" t="str">
        <f t="shared" si="16"/>
        <v>47</v>
      </c>
      <c r="E257" s="92"/>
      <c r="F257" s="93">
        <f>(+IFERROR(VLOOKUP($A257,'[152]BG (2)'!$B$9:$J$570,4,FALSE),0))*1</f>
        <v>0</v>
      </c>
      <c r="G257" s="73">
        <f>(+IFERROR(VLOOKUP($A257,'[152]BG (2)'!$B$9:$J$570,5,FALSE),0))*-1</f>
        <v>0</v>
      </c>
      <c r="H257" s="93">
        <f>(+IFERROR(VLOOKUP($A257,'[152]BG (2)'!$B$9:$J$570,6,FALSE),0))*1</f>
        <v>64815321128</v>
      </c>
      <c r="I257" s="73">
        <f>(+IFERROR(VLOOKUP($A257,'[152]BG (2)'!$B$9:$J$570,7,FALSE),0))*-1</f>
        <v>-64815321128</v>
      </c>
      <c r="J257" s="1293">
        <f>(+IFERROR(VLOOKUP($A257,'[152]BG (2)'!$B$9:$J$570,8,FALSE),0))*1</f>
        <v>0</v>
      </c>
      <c r="K257" s="73">
        <f>(+IFERROR(VLOOKUP($A257,'[152]BG (2)'!$B$9:$J$570,9,FALSE),0))*-1</f>
        <v>0</v>
      </c>
      <c r="P257" s="90">
        <f t="shared" si="15"/>
        <v>0</v>
      </c>
      <c r="S257" s="90"/>
      <c r="T257" s="102">
        <f>K257+J257</f>
        <v>0</v>
      </c>
      <c r="U257" s="95"/>
      <c r="V257" s="72"/>
      <c r="W257" s="75" t="e">
        <f>+A257-#REF!</f>
        <v>#REF!</v>
      </c>
      <c r="X257" s="1270"/>
      <c r="Y257" s="91"/>
      <c r="Z257" s="91"/>
      <c r="AA257" s="91"/>
    </row>
    <row r="258" spans="1:27" customFormat="1" ht="14.4" customHeight="1" x14ac:dyDescent="0.3">
      <c r="A258">
        <v>471302</v>
      </c>
      <c r="B258" s="97" t="s">
        <v>351</v>
      </c>
      <c r="C258" t="s">
        <v>342</v>
      </c>
      <c r="D258" s="87" t="str">
        <f t="shared" si="16"/>
        <v>47</v>
      </c>
      <c r="E258" s="92"/>
      <c r="F258" s="93">
        <f>(+IFERROR(VLOOKUP($A258,'[152]BG (2)'!$B$9:$J$570,4,FALSE),0))*1</f>
        <v>0</v>
      </c>
      <c r="G258" s="73">
        <f>(+IFERROR(VLOOKUP($A258,'[152]BG (2)'!$B$9:$J$570,5,FALSE),0))*-1</f>
        <v>0</v>
      </c>
      <c r="H258" s="93">
        <f>(+IFERROR(VLOOKUP($A258,'[152]BG (2)'!$B$9:$J$570,6,FALSE),0))*1</f>
        <v>0</v>
      </c>
      <c r="I258" s="73">
        <f>(+IFERROR(VLOOKUP($A258,'[152]BG (2)'!$B$9:$J$570,7,FALSE),0))*-1</f>
        <v>0</v>
      </c>
      <c r="J258" s="1293">
        <f>(+IFERROR(VLOOKUP($A258,'[152]BG (2)'!$B$9:$J$570,8,FALSE),0))*1</f>
        <v>0</v>
      </c>
      <c r="K258" s="73">
        <f>(+IFERROR(VLOOKUP($A258,'[152]BG (2)'!$B$9:$J$570,9,FALSE),0))*-1</f>
        <v>0</v>
      </c>
      <c r="N258" s="2"/>
      <c r="O258" s="2"/>
      <c r="P258" s="90">
        <f t="shared" si="15"/>
        <v>0</v>
      </c>
      <c r="Q258" s="2"/>
      <c r="R258" s="2"/>
      <c r="S258" s="90"/>
      <c r="T258" s="102">
        <f>K258+J258</f>
        <v>0</v>
      </c>
      <c r="U258" s="95"/>
      <c r="V258" s="72"/>
      <c r="W258" s="75" t="e">
        <f>+A258-#REF!</f>
        <v>#REF!</v>
      </c>
      <c r="X258" s="1270"/>
      <c r="Y258" s="91"/>
      <c r="Z258" s="91"/>
      <c r="AA258" s="91"/>
    </row>
    <row r="259" spans="1:27" customFormat="1" ht="14.4" customHeight="1" x14ac:dyDescent="0.3">
      <c r="A259">
        <v>471310</v>
      </c>
      <c r="B259" s="97" t="s">
        <v>352</v>
      </c>
      <c r="C259" t="s">
        <v>342</v>
      </c>
      <c r="D259" s="87" t="str">
        <f t="shared" si="16"/>
        <v>47</v>
      </c>
      <c r="E259" s="92"/>
      <c r="F259" s="93">
        <f>(+IFERROR(VLOOKUP($A259,'[152]BG (2)'!$B$9:$J$570,4,FALSE),0))*1</f>
        <v>0</v>
      </c>
      <c r="G259" s="73">
        <f>(+IFERROR(VLOOKUP($A259,'[152]BG (2)'!$B$9:$J$570,5,FALSE),0))*-1</f>
        <v>-75424</v>
      </c>
      <c r="H259" s="93">
        <f>(+IFERROR(VLOOKUP($A259,'[152]BG (2)'!$B$9:$J$570,6,FALSE),0))*1</f>
        <v>14883461252</v>
      </c>
      <c r="I259" s="73">
        <f>(+IFERROR(VLOOKUP($A259,'[152]BG (2)'!$B$9:$J$570,7,FALSE),0))*-1</f>
        <v>-14883461252</v>
      </c>
      <c r="J259" s="1293">
        <f>(+IFERROR(VLOOKUP($A259,'[152]BG (2)'!$B$9:$J$570,8,FALSE),0))*1</f>
        <v>0</v>
      </c>
      <c r="K259" s="73">
        <f>(+IFERROR(VLOOKUP($A259,'[152]BG (2)'!$B$9:$J$570,9,FALSE),0))*-1</f>
        <v>-75424</v>
      </c>
      <c r="N259" s="2"/>
      <c r="O259" s="2"/>
      <c r="P259" s="90">
        <f t="shared" si="15"/>
        <v>-75424</v>
      </c>
      <c r="Q259" s="2"/>
      <c r="R259" s="2"/>
      <c r="S259" s="90"/>
      <c r="T259" s="102">
        <f>K259+J259</f>
        <v>-75424</v>
      </c>
      <c r="U259" s="95"/>
      <c r="V259" s="72"/>
      <c r="W259" s="75" t="e">
        <f>+A259-#REF!</f>
        <v>#REF!</v>
      </c>
      <c r="X259" s="1269"/>
      <c r="Y259" s="91"/>
      <c r="Z259" s="91"/>
      <c r="AA259" s="91"/>
    </row>
    <row r="260" spans="1:27" ht="14.4" customHeight="1" x14ac:dyDescent="0.3">
      <c r="A260">
        <v>471800</v>
      </c>
      <c r="B260" s="97" t="s">
        <v>353</v>
      </c>
      <c r="C260" s="113" t="s">
        <v>342</v>
      </c>
      <c r="D260" s="87" t="str">
        <f t="shared" si="16"/>
        <v>47</v>
      </c>
      <c r="E260"/>
      <c r="F260">
        <f>(+IFERROR(VLOOKUP($A260,'[152]BG (2)'!$B$9:$J$570,4,FALSE),0))*1</f>
        <v>7536791912</v>
      </c>
      <c r="G260" s="73">
        <f>(+IFERROR(VLOOKUP($A260,'[152]BG (2)'!$B$9:$J$570,5,FALSE),0))*-1</f>
        <v>0</v>
      </c>
      <c r="H260">
        <f>(+IFERROR(VLOOKUP($A260,'[152]BG (2)'!$B$9:$J$570,6,FALSE),0))*1</f>
        <v>65675657046</v>
      </c>
      <c r="I260" s="73">
        <f>(+IFERROR(VLOOKUP($A260,'[152]BG (2)'!$B$9:$J$570,7,FALSE),0))*-1</f>
        <v>-66768338540</v>
      </c>
      <c r="J260" s="1293">
        <f>(+IFERROR(VLOOKUP($A260,'[152]BG (2)'!$B$9:$J$570,8,FALSE),0))*1</f>
        <v>6444110418</v>
      </c>
      <c r="K260" s="73">
        <f>(+IFERROR(VLOOKUP($A260,'[152]BG (2)'!$B$9:$J$570,9,FALSE),0))*-1</f>
        <v>0</v>
      </c>
      <c r="N260"/>
      <c r="O260"/>
      <c r="P260" s="90">
        <f t="shared" si="15"/>
        <v>6444110418</v>
      </c>
      <c r="Q260"/>
      <c r="R260"/>
      <c r="S260"/>
      <c r="T260"/>
      <c r="U260"/>
      <c r="W260" s="75" t="e">
        <f>+A260-#REF!</f>
        <v>#REF!</v>
      </c>
      <c r="X260" s="1269"/>
      <c r="Y260" s="91"/>
      <c r="Z260" s="91"/>
      <c r="AA260" s="91"/>
    </row>
    <row r="261" spans="1:27" ht="14.4" customHeight="1" x14ac:dyDescent="0.3">
      <c r="A261">
        <v>471801</v>
      </c>
      <c r="B261" s="1262" t="s">
        <v>354</v>
      </c>
      <c r="C261" s="113"/>
      <c r="D261" s="87" t="str">
        <f t="shared" si="16"/>
        <v>47</v>
      </c>
      <c r="E261"/>
      <c r="F261">
        <f>(+IFERROR(VLOOKUP($A261,'[152]BG (2)'!$B$9:$J$570,4,FALSE),0))*1</f>
        <v>269970970</v>
      </c>
      <c r="G261" s="73">
        <f>(+IFERROR(VLOOKUP($A261,'[152]BG (2)'!$B$9:$J$570,5,FALSE),0))*-1</f>
        <v>0</v>
      </c>
      <c r="H261">
        <f>(+IFERROR(VLOOKUP($A261,'[152]BG (2)'!$B$9:$J$570,6,FALSE),0))*1</f>
        <v>23596616346</v>
      </c>
      <c r="I261" s="73">
        <f>(+IFERROR(VLOOKUP($A261,'[152]BG (2)'!$B$9:$J$570,7,FALSE),0))*-1</f>
        <v>-23523024805</v>
      </c>
      <c r="J261" s="1293">
        <f>(+IFERROR(VLOOKUP($A261,'[152]BG (2)'!$B$9:$J$570,8,FALSE),0))*1</f>
        <v>343562511</v>
      </c>
      <c r="K261" s="73">
        <f>(+IFERROR(VLOOKUP($A261,'[152]BG (2)'!$B$9:$J$570,9,FALSE),0))*-1</f>
        <v>0</v>
      </c>
      <c r="N261"/>
      <c r="O261"/>
      <c r="P261" s="90">
        <f t="shared" ref="P261:P324" si="19">J261+K261</f>
        <v>343562511</v>
      </c>
      <c r="Q261"/>
      <c r="R261"/>
      <c r="S261"/>
      <c r="T261"/>
      <c r="U261"/>
      <c r="W261" s="75" t="e">
        <f>+A261-#REF!</f>
        <v>#REF!</v>
      </c>
      <c r="X261" s="1270"/>
      <c r="Y261" s="91"/>
      <c r="Z261" s="91"/>
      <c r="AA261" s="91"/>
    </row>
    <row r="262" spans="1:27" ht="14.4" customHeight="1" x14ac:dyDescent="0.3">
      <c r="A262">
        <v>471802</v>
      </c>
      <c r="B262" s="97" t="s">
        <v>2211</v>
      </c>
      <c r="C262"/>
      <c r="D262" s="87" t="str">
        <f t="shared" ref="D262:D327" si="20">+LEFT(A262,2)</f>
        <v>47</v>
      </c>
      <c r="E262" s="92"/>
      <c r="F262" s="93">
        <f>(+IFERROR(VLOOKUP($A262,'[152]BG (2)'!$B$9:$J$570,4,FALSE),0))*1</f>
        <v>2408529</v>
      </c>
      <c r="G262" s="73">
        <f>(+IFERROR(VLOOKUP($A262,'[152]BG (2)'!$B$9:$J$570,5,FALSE),0))*-1</f>
        <v>0</v>
      </c>
      <c r="H262" s="93">
        <f>(+IFERROR(VLOOKUP($A262,'[152]BG (2)'!$B$9:$J$570,6,FALSE),0))*1</f>
        <v>0</v>
      </c>
      <c r="I262" s="73">
        <f>(+IFERROR(VLOOKUP($A262,'[152]BG (2)'!$B$9:$J$570,7,FALSE),0))*-1</f>
        <v>0</v>
      </c>
      <c r="J262" s="1293">
        <f>(+IFERROR(VLOOKUP($A262,'[152]BG (2)'!$B$9:$J$570,8,FALSE),0))*1</f>
        <v>2408529</v>
      </c>
      <c r="K262" s="73">
        <f>(+IFERROR(VLOOKUP($A262,'[152]BG (2)'!$B$9:$J$570,9,FALSE),0))*-1</f>
        <v>0</v>
      </c>
      <c r="P262" s="90">
        <f t="shared" si="19"/>
        <v>2408529</v>
      </c>
      <c r="S262" s="90"/>
      <c r="T262" s="90">
        <f>K262+J262</f>
        <v>2408529</v>
      </c>
      <c r="U262" s="95"/>
      <c r="V262" s="72"/>
      <c r="W262" s="75" t="e">
        <f>+A262-#REF!</f>
        <v>#REF!</v>
      </c>
      <c r="X262" s="1270"/>
      <c r="Y262" s="91"/>
      <c r="Z262" s="91"/>
      <c r="AA262" s="91"/>
    </row>
    <row r="263" spans="1:27" ht="14.4" customHeight="1" x14ac:dyDescent="0.3">
      <c r="A263">
        <v>475100</v>
      </c>
      <c r="B263" s="97"/>
      <c r="C263"/>
      <c r="D263" s="87" t="str">
        <f t="shared" si="20"/>
        <v>47</v>
      </c>
      <c r="E263" s="92"/>
      <c r="F263" s="93">
        <f>(+IFERROR(VLOOKUP($A263,'[152]BG (2)'!$B$9:$J$570,4,FALSE),0))*1</f>
        <v>0</v>
      </c>
      <c r="G263" s="73">
        <f>(+IFERROR(VLOOKUP($A263,'[152]BG (2)'!$B$9:$J$570,5,FALSE),0))*-1</f>
        <v>0</v>
      </c>
      <c r="H263" s="93">
        <f>(+IFERROR(VLOOKUP($A263,'[152]BG (2)'!$B$9:$J$570,6,FALSE),0))*1</f>
        <v>0</v>
      </c>
      <c r="I263" s="73">
        <f>(+IFERROR(VLOOKUP($A263,'[152]BG (2)'!$B$9:$J$570,7,FALSE),0))*-1</f>
        <v>0</v>
      </c>
      <c r="J263" s="1293">
        <f>(+IFERROR(VLOOKUP($A263,'[152]BG (2)'!$B$9:$J$570,8,FALSE),0))*1</f>
        <v>0</v>
      </c>
      <c r="K263" s="73">
        <f>(+IFERROR(VLOOKUP($A263,'[152]BG (2)'!$B$9:$J$570,9,FALSE),0))*-1</f>
        <v>0</v>
      </c>
      <c r="P263" s="90">
        <f t="shared" si="19"/>
        <v>0</v>
      </c>
      <c r="S263" s="90"/>
      <c r="T263" s="102">
        <f>K263+J263</f>
        <v>0</v>
      </c>
      <c r="U263" s="95"/>
      <c r="V263" s="72"/>
      <c r="W263" s="75" t="e">
        <f>+A263-#REF!</f>
        <v>#REF!</v>
      </c>
      <c r="X263" s="1270"/>
      <c r="Y263" s="91"/>
      <c r="Z263" s="91"/>
      <c r="AA263" s="91"/>
    </row>
    <row r="264" spans="1:27" ht="14.4" customHeight="1" x14ac:dyDescent="0.3">
      <c r="A264">
        <v>476000</v>
      </c>
      <c r="B264" t="s">
        <v>355</v>
      </c>
      <c r="C264" t="s">
        <v>356</v>
      </c>
      <c r="D264" s="87" t="str">
        <f t="shared" si="20"/>
        <v>47</v>
      </c>
      <c r="E264" s="92"/>
      <c r="F264" s="93">
        <f>(+IFERROR(VLOOKUP($A264,'[152]BG (2)'!$B$9:$J$570,4,FALSE),0))*1</f>
        <v>1230162451</v>
      </c>
      <c r="G264" s="73">
        <f>(+IFERROR(VLOOKUP($A264,'[152]BG (2)'!$B$9:$J$570,5,FALSE),0))*-1</f>
        <v>0</v>
      </c>
      <c r="H264" s="93">
        <f>(+IFERROR(VLOOKUP($A264,'[152]BG (2)'!$B$9:$J$570,6,FALSE),0))*1</f>
        <v>307025391</v>
      </c>
      <c r="I264" s="73">
        <f>(+IFERROR(VLOOKUP($A264,'[152]BG (2)'!$B$9:$J$570,7,FALSE),0))*-1</f>
        <v>-202990120</v>
      </c>
      <c r="J264" s="109">
        <f>(+IFERROR(VLOOKUP($A264,'[152]BG (2)'!$B$9:$J$570,8,FALSE),0))*1</f>
        <v>1334197722</v>
      </c>
      <c r="K264" s="73">
        <f>(+IFERROR(VLOOKUP($A264,'[152]BG (2)'!$B$9:$J$570,9,FALSE),0))*-1</f>
        <v>0</v>
      </c>
      <c r="P264" s="90">
        <f t="shared" si="19"/>
        <v>1334197722</v>
      </c>
      <c r="S264" s="90"/>
      <c r="T264" s="102">
        <f>K264+J264</f>
        <v>1334197722</v>
      </c>
      <c r="U264" s="95"/>
      <c r="V264" s="72"/>
      <c r="W264" s="75" t="e">
        <f>+A264-#REF!</f>
        <v>#REF!</v>
      </c>
      <c r="X264" s="1270"/>
      <c r="Y264" s="91"/>
      <c r="Z264" s="91"/>
      <c r="AA264" s="91"/>
    </row>
    <row r="265" spans="1:27" ht="14.4" customHeight="1" x14ac:dyDescent="0.3">
      <c r="A265" s="1684">
        <v>477000</v>
      </c>
      <c r="B265" s="1684" t="s">
        <v>2563</v>
      </c>
      <c r="C265" t="s">
        <v>342</v>
      </c>
      <c r="D265" s="87" t="str">
        <f>+LEFT(A265,2)</f>
        <v>47</v>
      </c>
      <c r="E265" s="92"/>
      <c r="F265" s="93">
        <f>(+IFERROR(VLOOKUP($A265,'[152]BG (2)'!$B$9:$J$570,4,FALSE),0))*1</f>
        <v>0</v>
      </c>
      <c r="G265" s="73">
        <f>(+IFERROR(VLOOKUP($A265,'[152]BG (2)'!$B$9:$J$570,5,FALSE),0))*-1</f>
        <v>0</v>
      </c>
      <c r="H265" s="93">
        <f>(+IFERROR(VLOOKUP($A265,'[152]BG (2)'!$B$9:$J$570,6,FALSE),0))*1</f>
        <v>126492724</v>
      </c>
      <c r="I265" s="73">
        <f>(+IFERROR(VLOOKUP($A265,'[152]BG (2)'!$B$9:$J$570,7,FALSE),0))*-1</f>
        <v>-232375414</v>
      </c>
      <c r="J265" s="109">
        <f>(+IFERROR(VLOOKUP($A265,'[152]BG (2)'!$B$9:$J$570,8,FALSE),0))*1</f>
        <v>0</v>
      </c>
      <c r="K265" s="73">
        <f>(+IFERROR(VLOOKUP($A265,'[152]BG (2)'!$B$9:$J$570,9,FALSE),0))*-1</f>
        <v>-105882690</v>
      </c>
      <c r="P265" s="90">
        <f t="shared" si="19"/>
        <v>-105882690</v>
      </c>
      <c r="S265" s="90"/>
      <c r="T265" s="102">
        <f>K265+J265</f>
        <v>-105882690</v>
      </c>
      <c r="U265" s="95"/>
      <c r="V265" s="72"/>
      <c r="W265" s="75" t="e">
        <f>+A265-#REF!</f>
        <v>#REF!</v>
      </c>
      <c r="X265" s="1270"/>
      <c r="Y265" s="91"/>
      <c r="Z265" s="91"/>
      <c r="AA265" s="91"/>
    </row>
    <row r="266" spans="1:27" ht="14.4" customHeight="1" x14ac:dyDescent="0.3">
      <c r="A266" s="1296">
        <v>477100</v>
      </c>
      <c r="B266" s="1296" t="s">
        <v>357</v>
      </c>
      <c r="C266" t="s">
        <v>358</v>
      </c>
      <c r="D266" s="87" t="str">
        <f t="shared" si="20"/>
        <v>47</v>
      </c>
      <c r="E266" s="92"/>
      <c r="F266" s="108">
        <f>(+IFERROR(VLOOKUP($A266,'[152]BG (2)'!$B$9:$J$570,4,FALSE),0))*1</f>
        <v>405495987</v>
      </c>
      <c r="G266" s="73">
        <f>(+IFERROR(VLOOKUP($A266,'[152]BG (2)'!$B$9:$J$570,5,FALSE),0))*-1</f>
        <v>0</v>
      </c>
      <c r="H266" s="93">
        <f>(+IFERROR(VLOOKUP($A266,'[152]BG (2)'!$B$9:$J$570,6,FALSE),0))*1</f>
        <v>96346072154</v>
      </c>
      <c r="I266" s="73">
        <f>(+IFERROR(VLOOKUP($A266,'[152]BG (2)'!$B$9:$J$570,7,FALSE),0))*-1</f>
        <v>-97683607158</v>
      </c>
      <c r="J266" s="109">
        <f>(+IFERROR(VLOOKUP($A266,'[152]BG (2)'!$B$9:$J$570,8,FALSE),0))*1</f>
        <v>0</v>
      </c>
      <c r="K266" s="73">
        <f>(+IFERROR(VLOOKUP($A266,'[152]BG (2)'!$B$9:$J$570,9,FALSE),0))*-1</f>
        <v>-932039017</v>
      </c>
      <c r="P266" s="90">
        <f t="shared" si="19"/>
        <v>-932039017</v>
      </c>
      <c r="S266" s="90"/>
      <c r="T266" s="102"/>
      <c r="U266" s="95"/>
      <c r="V266" s="72"/>
      <c r="W266" s="75"/>
      <c r="X266" s="1270"/>
      <c r="Y266" s="91"/>
      <c r="Z266" s="91"/>
      <c r="AA266" s="91"/>
    </row>
    <row r="267" spans="1:27" ht="14.4" customHeight="1" x14ac:dyDescent="0.3">
      <c r="A267">
        <v>477101</v>
      </c>
      <c r="B267" s="97" t="s">
        <v>2275</v>
      </c>
      <c r="C267" t="s">
        <v>342</v>
      </c>
      <c r="D267" s="87" t="str">
        <f t="shared" si="20"/>
        <v>47</v>
      </c>
      <c r="E267" s="92"/>
      <c r="F267" s="93">
        <f>(+IFERROR(VLOOKUP($A267,'[152]BG (2)'!$B$9:$J$570,4,FALSE),0))*1</f>
        <v>0</v>
      </c>
      <c r="G267" s="73">
        <f>(+IFERROR(VLOOKUP($A267,'[152]BG (2)'!$B$9:$J$570,5,FALSE),0))*-1</f>
        <v>-3301935109</v>
      </c>
      <c r="H267" s="93">
        <f>(+IFERROR(VLOOKUP($A267,'[152]BG (2)'!$B$9:$J$570,6,FALSE),0))*1</f>
        <v>34856208552</v>
      </c>
      <c r="I267" s="73">
        <f>(+IFERROR(VLOOKUP($A267,'[152]BG (2)'!$B$9:$J$570,7,FALSE),0))*-1</f>
        <v>-32210095039</v>
      </c>
      <c r="J267" s="1293">
        <f>(+IFERROR(VLOOKUP($A267,'[152]BG (2)'!$B$9:$J$570,8,FALSE),0))*1</f>
        <v>0</v>
      </c>
      <c r="K267" s="73">
        <f>(+IFERROR(VLOOKUP($A267,'[152]BG (2)'!$B$9:$J$570,9,FALSE),0))*-1</f>
        <v>-655821596</v>
      </c>
      <c r="P267" s="90">
        <f t="shared" si="19"/>
        <v>-655821596</v>
      </c>
      <c r="S267" s="90"/>
      <c r="T267" s="102">
        <f t="shared" ref="T267:T283" si="21">K267+J267</f>
        <v>-655821596</v>
      </c>
      <c r="U267" s="95"/>
      <c r="V267" s="72"/>
      <c r="W267" s="75" t="e">
        <f>+A267-#REF!</f>
        <v>#REF!</v>
      </c>
      <c r="X267" s="1270"/>
      <c r="Y267" s="91"/>
      <c r="Z267" s="91"/>
      <c r="AA267" s="91"/>
    </row>
    <row r="268" spans="1:27" ht="14.4" customHeight="1" x14ac:dyDescent="0.3">
      <c r="A268">
        <v>477110</v>
      </c>
      <c r="B268" t="s">
        <v>359</v>
      </c>
      <c r="C268" t="s">
        <v>358</v>
      </c>
      <c r="D268" s="87" t="str">
        <f t="shared" si="20"/>
        <v>47</v>
      </c>
      <c r="E268" s="92"/>
      <c r="F268" s="93">
        <f>(+IFERROR(VLOOKUP($A268,'[152]BG (2)'!$B$9:$J$570,4,FALSE),0))*1</f>
        <v>0</v>
      </c>
      <c r="G268" s="73">
        <f>(+IFERROR(VLOOKUP($A268,'[152]BG (2)'!$B$9:$J$570,5,FALSE),0))*-1</f>
        <v>-8719753</v>
      </c>
      <c r="H268" s="93">
        <f>(+IFERROR(VLOOKUP($A268,'[152]BG (2)'!$B$9:$J$570,6,FALSE),0))*1</f>
        <v>1242490115</v>
      </c>
      <c r="I268" s="73">
        <f>(+IFERROR(VLOOKUP($A268,'[152]BG (2)'!$B$9:$J$570,7,FALSE),0))*-1</f>
        <v>-1240096476</v>
      </c>
      <c r="J268" s="109">
        <f>(+IFERROR(VLOOKUP($A268,'[152]BG (2)'!$B$9:$J$570,8,FALSE),0))*1</f>
        <v>0</v>
      </c>
      <c r="K268" s="73">
        <f>(+IFERROR(VLOOKUP($A268,'[152]BG (2)'!$B$9:$J$570,9,FALSE),0))*-1</f>
        <v>-6326114</v>
      </c>
      <c r="P268" s="90">
        <f t="shared" si="19"/>
        <v>-6326114</v>
      </c>
      <c r="S268" s="90"/>
      <c r="T268" s="102">
        <f t="shared" si="21"/>
        <v>-6326114</v>
      </c>
      <c r="U268" s="95"/>
      <c r="V268" s="72"/>
      <c r="W268" s="75" t="e">
        <f>+A268-#REF!</f>
        <v>#REF!</v>
      </c>
      <c r="X268" s="1270"/>
      <c r="Y268" s="91"/>
      <c r="Z268" s="91"/>
      <c r="AA268" s="91"/>
    </row>
    <row r="269" spans="1:27" ht="14.4" customHeight="1" x14ac:dyDescent="0.3">
      <c r="A269">
        <v>478000</v>
      </c>
      <c r="B269" t="s">
        <v>360</v>
      </c>
      <c r="C269" t="s">
        <v>361</v>
      </c>
      <c r="D269" s="87" t="str">
        <f t="shared" si="20"/>
        <v>47</v>
      </c>
      <c r="E269" s="92"/>
      <c r="F269" s="108">
        <f>(+IFERROR(VLOOKUP($A269,'[152]BG (2)'!$B$9:$J$570,4,FALSE),0))*1</f>
        <v>0</v>
      </c>
      <c r="G269" s="73">
        <f>(+IFERROR(VLOOKUP($A269,'[152]BG (2)'!$B$9:$J$570,5,FALSE),0))*-1</f>
        <v>0</v>
      </c>
      <c r="H269" s="93">
        <f>(+IFERROR(VLOOKUP($A269,'[152]BG (2)'!$B$9:$J$570,6,FALSE),0))*1</f>
        <v>0</v>
      </c>
      <c r="I269" s="73">
        <f>(+IFERROR(VLOOKUP($A269,'[152]BG (2)'!$B$9:$J$570,7,FALSE),0))*-1</f>
        <v>0</v>
      </c>
      <c r="J269" s="109">
        <f>(+IFERROR(VLOOKUP($A269,'[152]BG (2)'!$B$9:$J$570,8,FALSE),0))*1</f>
        <v>0</v>
      </c>
      <c r="K269" s="73">
        <f>(+IFERROR(VLOOKUP($A269,'[152]BG (2)'!$B$9:$J$570,9,FALSE),0))*-1</f>
        <v>0</v>
      </c>
      <c r="P269" s="90">
        <f t="shared" si="19"/>
        <v>0</v>
      </c>
      <c r="S269" s="90"/>
      <c r="T269" s="102">
        <f t="shared" si="21"/>
        <v>0</v>
      </c>
      <c r="U269" s="95"/>
      <c r="V269" s="72"/>
      <c r="W269" s="75" t="e">
        <f>+A269-#REF!</f>
        <v>#REF!</v>
      </c>
      <c r="X269" s="1270"/>
      <c r="Y269" s="91"/>
      <c r="Z269" s="91"/>
      <c r="AA269" s="91"/>
    </row>
    <row r="270" spans="1:27" ht="14.4" customHeight="1" x14ac:dyDescent="0.3">
      <c r="A270">
        <v>478400</v>
      </c>
      <c r="B270" t="s">
        <v>362</v>
      </c>
      <c r="C270"/>
      <c r="D270" s="87" t="str">
        <f t="shared" si="20"/>
        <v>47</v>
      </c>
      <c r="E270" s="92"/>
      <c r="F270" s="108">
        <f>(+IFERROR(VLOOKUP($A270,'[152]BG (2)'!$B$9:$J$570,4,FALSE),0))*1</f>
        <v>410726340</v>
      </c>
      <c r="G270" s="73">
        <f>(+IFERROR(VLOOKUP($A270,'[152]BG (2)'!$B$9:$J$570,5,FALSE),0))*-1</f>
        <v>0</v>
      </c>
      <c r="H270" s="93">
        <f>(+IFERROR(VLOOKUP($A270,'[152]BG (2)'!$B$9:$J$570,6,FALSE),0))*1</f>
        <v>-155868449</v>
      </c>
      <c r="I270" s="73">
        <f>(+IFERROR(VLOOKUP($A270,'[152]BG (2)'!$B$9:$J$570,7,FALSE),0))*-1</f>
        <v>-128865117</v>
      </c>
      <c r="J270" s="109">
        <f>(+IFERROR(VLOOKUP($A270,'[152]BG (2)'!$B$9:$J$570,8,FALSE),0))*1</f>
        <v>125992774</v>
      </c>
      <c r="K270" s="73">
        <f>(+IFERROR(VLOOKUP($A270,'[152]BG (2)'!$B$9:$J$570,9,FALSE),0))*-1</f>
        <v>0</v>
      </c>
      <c r="P270" s="90">
        <f t="shared" si="19"/>
        <v>125992774</v>
      </c>
      <c r="S270" s="90"/>
      <c r="T270" s="102">
        <f t="shared" si="21"/>
        <v>125992774</v>
      </c>
      <c r="U270" s="95"/>
      <c r="V270" s="72"/>
      <c r="W270" s="75" t="e">
        <f>+A270-#REF!</f>
        <v>#REF!</v>
      </c>
      <c r="X270" s="1270"/>
      <c r="Y270" s="91"/>
      <c r="Z270" s="91"/>
      <c r="AA270" s="91"/>
    </row>
    <row r="271" spans="1:27" ht="14.4" customHeight="1" x14ac:dyDescent="0.3">
      <c r="A271">
        <v>479000</v>
      </c>
      <c r="B271" t="s">
        <v>363</v>
      </c>
      <c r="C271" t="s">
        <v>361</v>
      </c>
      <c r="D271" s="87" t="str">
        <f t="shared" si="20"/>
        <v>47</v>
      </c>
      <c r="E271" s="92"/>
      <c r="F271" s="93">
        <f>(+IFERROR(VLOOKUP($A271,'[152]BG (2)'!$B$9:$J$570,4,FALSE),0))*1</f>
        <v>0</v>
      </c>
      <c r="G271" s="73">
        <f>(+IFERROR(VLOOKUP($A271,'[152]BG (2)'!$B$9:$J$570,5,FALSE),0))*-1</f>
        <v>0</v>
      </c>
      <c r="H271" s="93">
        <f>(+IFERROR(VLOOKUP($A271,'[152]BG (2)'!$B$9:$J$570,6,FALSE),0))*1</f>
        <v>0</v>
      </c>
      <c r="I271" s="73">
        <f>(+IFERROR(VLOOKUP($A271,'[152]BG (2)'!$B$9:$J$570,7,FALSE),0))*-1</f>
        <v>0</v>
      </c>
      <c r="J271" s="109">
        <f>(+IFERROR(VLOOKUP($A271,'[152]BG (2)'!$B$9:$J$570,8,FALSE),0))*1</f>
        <v>0</v>
      </c>
      <c r="K271" s="73">
        <f>(+IFERROR(VLOOKUP($A271,'[152]BG (2)'!$B$9:$J$570,9,FALSE),0))*-1</f>
        <v>0</v>
      </c>
      <c r="P271" s="90">
        <f t="shared" si="19"/>
        <v>0</v>
      </c>
      <c r="S271" s="90"/>
      <c r="T271" s="102">
        <f t="shared" si="21"/>
        <v>0</v>
      </c>
      <c r="U271" s="95"/>
      <c r="V271" s="72"/>
      <c r="W271" s="75" t="e">
        <f>+A271-#REF!</f>
        <v>#REF!</v>
      </c>
      <c r="X271" s="1270"/>
      <c r="Y271" s="91"/>
      <c r="Z271" s="91"/>
      <c r="AA271" s="91"/>
    </row>
    <row r="272" spans="1:27" ht="14.4" customHeight="1" x14ac:dyDescent="0.3">
      <c r="A272">
        <v>479400</v>
      </c>
      <c r="B272" t="s">
        <v>364</v>
      </c>
      <c r="C272"/>
      <c r="D272" s="87" t="str">
        <f t="shared" si="20"/>
        <v>47</v>
      </c>
      <c r="E272" s="92"/>
      <c r="F272" s="93">
        <f>(+IFERROR(VLOOKUP($A272,'[152]BG (2)'!$B$9:$J$570,4,FALSE),0))*1</f>
        <v>0</v>
      </c>
      <c r="G272" s="73">
        <f>(+IFERROR(VLOOKUP($A272,'[152]BG (2)'!$B$9:$J$570,5,FALSE),0))*-1</f>
        <v>-89191844</v>
      </c>
      <c r="H272" s="93">
        <f>(+IFERROR(VLOOKUP($A272,'[152]BG (2)'!$B$9:$J$570,6,FALSE),0))*1</f>
        <v>0</v>
      </c>
      <c r="I272" s="73">
        <f>(+IFERROR(VLOOKUP($A272,'[152]BG (2)'!$B$9:$J$570,7,FALSE),0))*-1</f>
        <v>-122644</v>
      </c>
      <c r="J272" s="109">
        <f>(+IFERROR(VLOOKUP($A272,'[152]BG (2)'!$B$9:$J$570,8,FALSE),0))*1</f>
        <v>0</v>
      </c>
      <c r="K272" s="73">
        <f>(+IFERROR(VLOOKUP($A272,'[152]BG (2)'!$B$9:$J$570,9,FALSE),0))*-1</f>
        <v>-89314488</v>
      </c>
      <c r="P272" s="90">
        <f t="shared" si="19"/>
        <v>-89314488</v>
      </c>
      <c r="S272" s="90"/>
      <c r="T272" s="102">
        <f t="shared" si="21"/>
        <v>-89314488</v>
      </c>
      <c r="U272" s="95"/>
      <c r="V272" s="72"/>
      <c r="W272" s="75" t="e">
        <f>+A272-#REF!</f>
        <v>#REF!</v>
      </c>
      <c r="X272" s="1270"/>
      <c r="Y272" s="91"/>
      <c r="Z272" s="91"/>
      <c r="AA272" s="91"/>
    </row>
    <row r="273" spans="1:27" ht="14.4" customHeight="1" x14ac:dyDescent="0.3">
      <c r="A273">
        <v>481100</v>
      </c>
      <c r="B273" s="97" t="s">
        <v>365</v>
      </c>
      <c r="C273" t="s">
        <v>366</v>
      </c>
      <c r="D273" s="87" t="str">
        <f t="shared" si="20"/>
        <v>48</v>
      </c>
      <c r="E273" s="92"/>
      <c r="F273" s="93">
        <f>(+IFERROR(VLOOKUP($A273,'[152]BG (2)'!$B$9:$J$570,4,FALSE),0))*1</f>
        <v>0</v>
      </c>
      <c r="G273" s="73">
        <f>(+IFERROR(VLOOKUP($A273,'[152]BG (2)'!$B$9:$J$570,5,FALSE),0))*-1</f>
        <v>-366147187</v>
      </c>
      <c r="H273" s="93">
        <f>(+IFERROR(VLOOKUP($A273,'[152]BG (2)'!$B$9:$J$570,6,FALSE),0))*1</f>
        <v>1007979098</v>
      </c>
      <c r="I273" s="73">
        <f>(+IFERROR(VLOOKUP($A273,'[152]BG (2)'!$B$9:$J$570,7,FALSE),0))*-1</f>
        <v>-918344040</v>
      </c>
      <c r="J273" s="1293">
        <f>(+IFERROR(VLOOKUP($A273,'[152]BG (2)'!$B$9:$J$570,8,FALSE),0))*1</f>
        <v>0</v>
      </c>
      <c r="K273" s="73">
        <f>(+IFERROR(VLOOKUP($A273,'[152]BG (2)'!$B$9:$J$570,9,FALSE),0))*-1</f>
        <v>-276512129</v>
      </c>
      <c r="P273" s="90">
        <f t="shared" si="19"/>
        <v>-276512129</v>
      </c>
      <c r="S273" s="90"/>
      <c r="T273" s="102">
        <f t="shared" si="21"/>
        <v>-276512129</v>
      </c>
      <c r="U273" s="95"/>
      <c r="V273" s="72"/>
      <c r="W273" s="75" t="e">
        <f>+A273-#REF!</f>
        <v>#REF!</v>
      </c>
      <c r="X273" s="1270"/>
      <c r="Y273" s="91"/>
      <c r="Z273" s="91"/>
      <c r="AA273" s="91"/>
    </row>
    <row r="274" spans="1:27" ht="14.4" customHeight="1" x14ac:dyDescent="0.3">
      <c r="A274">
        <v>481200</v>
      </c>
      <c r="B274" s="97" t="s">
        <v>367</v>
      </c>
      <c r="C274" t="s">
        <v>366</v>
      </c>
      <c r="D274" s="87" t="str">
        <f t="shared" si="20"/>
        <v>48</v>
      </c>
      <c r="E274" s="92"/>
      <c r="F274" s="93">
        <f>(+IFERROR(VLOOKUP($A274,'[152]BG (2)'!$B$9:$J$570,4,FALSE),0))*1</f>
        <v>0</v>
      </c>
      <c r="G274" s="73">
        <f>(+IFERROR(VLOOKUP($A274,'[152]BG (2)'!$B$9:$J$570,5,FALSE),0))*-1</f>
        <v>-2690079827</v>
      </c>
      <c r="H274" s="93">
        <f>(+IFERROR(VLOOKUP($A274,'[152]BG (2)'!$B$9:$J$570,6,FALSE),0))*1</f>
        <v>12424994321</v>
      </c>
      <c r="I274" s="73">
        <f>(+IFERROR(VLOOKUP($A274,'[152]BG (2)'!$B$9:$J$570,7,FALSE),0))*-1</f>
        <v>-13639736474</v>
      </c>
      <c r="J274" s="1293">
        <f>(+IFERROR(VLOOKUP($A274,'[152]BG (2)'!$B$9:$J$570,8,FALSE),0))*1</f>
        <v>0</v>
      </c>
      <c r="K274" s="73">
        <f>(+IFERROR(VLOOKUP($A274,'[152]BG (2)'!$B$9:$J$570,9,FALSE),0))*-1</f>
        <v>-3904821980</v>
      </c>
      <c r="P274" s="90">
        <f t="shared" si="19"/>
        <v>-3904821980</v>
      </c>
      <c r="S274" s="90"/>
      <c r="T274" s="102">
        <f t="shared" si="21"/>
        <v>-3904821980</v>
      </c>
      <c r="U274" s="95"/>
      <c r="V274" s="72"/>
      <c r="W274" s="75" t="e">
        <f>+A274-#REF!</f>
        <v>#REF!</v>
      </c>
      <c r="X274" s="1270"/>
      <c r="Y274" s="91"/>
      <c r="Z274" s="91"/>
      <c r="AA274" s="91"/>
    </row>
    <row r="275" spans="1:27" ht="14.4" customHeight="1" x14ac:dyDescent="0.3">
      <c r="A275">
        <v>481209</v>
      </c>
      <c r="B275" s="97" t="s">
        <v>368</v>
      </c>
      <c r="C275" t="s">
        <v>366</v>
      </c>
      <c r="D275" s="87" t="str">
        <f t="shared" si="20"/>
        <v>48</v>
      </c>
      <c r="E275" s="92"/>
      <c r="F275" s="93">
        <f>(+IFERROR(VLOOKUP($A275,'[152]BG (2)'!$B$9:$J$570,4,FALSE),0))*1</f>
        <v>0</v>
      </c>
      <c r="G275" s="73">
        <f>(+IFERROR(VLOOKUP($A275,'[152]BG (2)'!$B$9:$J$570,5,FALSE),0))*-1</f>
        <v>0</v>
      </c>
      <c r="H275" s="93">
        <f>(+IFERROR(VLOOKUP($A275,'[152]BG (2)'!$B$9:$J$570,6,FALSE),0))*1</f>
        <v>0</v>
      </c>
      <c r="I275" s="73">
        <f>(+IFERROR(VLOOKUP($A275,'[152]BG (2)'!$B$9:$J$570,7,FALSE),0))*-1</f>
        <v>0</v>
      </c>
      <c r="J275" s="1293">
        <f>(+IFERROR(VLOOKUP($A275,'[152]BG (2)'!$B$9:$J$570,8,FALSE),0))*1</f>
        <v>0</v>
      </c>
      <c r="K275" s="73">
        <f>(+IFERROR(VLOOKUP($A275,'[152]BG (2)'!$B$9:$J$570,9,FALSE),0))*-1</f>
        <v>0</v>
      </c>
      <c r="P275" s="90">
        <f t="shared" si="19"/>
        <v>0</v>
      </c>
      <c r="S275" s="90"/>
      <c r="T275" s="102">
        <f t="shared" si="21"/>
        <v>0</v>
      </c>
      <c r="U275" s="95"/>
      <c r="V275" s="72"/>
      <c r="W275" s="75" t="e">
        <f>+A275-#REF!</f>
        <v>#REF!</v>
      </c>
      <c r="X275" s="1270"/>
      <c r="Y275" s="91"/>
      <c r="Z275" s="91"/>
      <c r="AA275" s="91"/>
    </row>
    <row r="276" spans="1:27" ht="14.4" customHeight="1" x14ac:dyDescent="0.3">
      <c r="A276">
        <v>481210</v>
      </c>
      <c r="B276" s="97" t="s">
        <v>368</v>
      </c>
      <c r="C276" t="s">
        <v>366</v>
      </c>
      <c r="D276" s="87" t="str">
        <f t="shared" si="20"/>
        <v>48</v>
      </c>
      <c r="E276" s="92"/>
      <c r="F276" s="93">
        <f>(+IFERROR(VLOOKUP($A276,'[152]BG (2)'!$B$9:$J$570,4,FALSE),0))*1</f>
        <v>0</v>
      </c>
      <c r="G276" s="73">
        <f>(+IFERROR(VLOOKUP($A276,'[152]BG (2)'!$B$9:$J$570,5,FALSE),0))*-1</f>
        <v>-4726265558</v>
      </c>
      <c r="H276" s="93">
        <f>(+IFERROR(VLOOKUP($A276,'[152]BG (2)'!$B$9:$J$570,6,FALSE),0))*1</f>
        <v>11532020738</v>
      </c>
      <c r="I276" s="73">
        <f>(+IFERROR(VLOOKUP($A276,'[152]BG (2)'!$B$9:$J$570,7,FALSE),0))*-1</f>
        <v>-6143673458</v>
      </c>
      <c r="J276" s="125">
        <f>(+IFERROR(VLOOKUP($A276,'[152]BG (2)'!$B$9:$J$570,8,FALSE),0))*1</f>
        <v>662081722</v>
      </c>
      <c r="K276" s="73">
        <f>(+IFERROR(VLOOKUP($A276,'[152]BG (2)'!$B$9:$J$570,9,FALSE),0))*-1</f>
        <v>0</v>
      </c>
      <c r="P276" s="90">
        <f t="shared" si="19"/>
        <v>662081722</v>
      </c>
      <c r="S276" s="90"/>
      <c r="T276" s="102">
        <f t="shared" si="21"/>
        <v>662081722</v>
      </c>
      <c r="U276" s="95"/>
      <c r="V276" s="72"/>
      <c r="W276" s="75" t="e">
        <f>+A276-#REF!</f>
        <v>#REF!</v>
      </c>
      <c r="X276" s="1270"/>
      <c r="Y276" s="91"/>
      <c r="Z276" s="91"/>
      <c r="AA276" s="91"/>
    </row>
    <row r="277" spans="1:27" ht="14.4" customHeight="1" x14ac:dyDescent="0.3">
      <c r="A277">
        <v>481220</v>
      </c>
      <c r="B277" s="97" t="s">
        <v>369</v>
      </c>
      <c r="C277" t="s">
        <v>366</v>
      </c>
      <c r="D277" s="87" t="str">
        <f t="shared" si="20"/>
        <v>48</v>
      </c>
      <c r="E277" s="92"/>
      <c r="F277" s="93">
        <f>(+IFERROR(VLOOKUP($A277,'[152]BG (2)'!$B$9:$J$570,4,FALSE),0))*1</f>
        <v>0</v>
      </c>
      <c r="G277" s="73">
        <f>(+IFERROR(VLOOKUP($A277,'[152]BG (2)'!$B$9:$J$570,5,FALSE),0))*-1</f>
        <v>0</v>
      </c>
      <c r="H277" s="93">
        <f>(+IFERROR(VLOOKUP($A277,'[152]BG (2)'!$B$9:$J$570,6,FALSE),0))*1</f>
        <v>0</v>
      </c>
      <c r="I277" s="73">
        <f>(+IFERROR(VLOOKUP($A277,'[152]BG (2)'!$B$9:$J$570,7,FALSE),0))*-1</f>
        <v>0</v>
      </c>
      <c r="J277" s="125">
        <f>(+IFERROR(VLOOKUP($A277,'[152]BG (2)'!$B$9:$J$570,8,FALSE),0))*1</f>
        <v>0</v>
      </c>
      <c r="K277" s="73">
        <f>(+IFERROR(VLOOKUP($A277,'[152]BG (2)'!$B$9:$J$570,9,FALSE),0))*-1</f>
        <v>0</v>
      </c>
      <c r="P277" s="90">
        <f t="shared" si="19"/>
        <v>0</v>
      </c>
      <c r="S277" s="90"/>
      <c r="T277" s="102">
        <f t="shared" si="21"/>
        <v>0</v>
      </c>
      <c r="U277" s="95"/>
      <c r="V277" s="72"/>
      <c r="W277" s="75" t="e">
        <f>+A277-#REF!</f>
        <v>#REF!</v>
      </c>
      <c r="X277" s="1270"/>
      <c r="Y277" s="91"/>
      <c r="Z277" s="91"/>
      <c r="AA277" s="91"/>
    </row>
    <row r="278" spans="1:27" ht="14.4" customHeight="1" x14ac:dyDescent="0.3">
      <c r="A278">
        <v>481230</v>
      </c>
      <c r="B278" s="97" t="s">
        <v>370</v>
      </c>
      <c r="C278" t="s">
        <v>366</v>
      </c>
      <c r="D278" s="87" t="str">
        <f t="shared" si="20"/>
        <v>48</v>
      </c>
      <c r="E278" s="92"/>
      <c r="F278" s="93">
        <f>(+IFERROR(VLOOKUP($A278,'[152]BG (2)'!$B$9:$J$570,4,FALSE),0))*1</f>
        <v>37994824</v>
      </c>
      <c r="G278" s="73">
        <f>(+IFERROR(VLOOKUP($A278,'[152]BG (2)'!$B$9:$J$570,5,FALSE),0))*-1</f>
        <v>0</v>
      </c>
      <c r="H278" s="93">
        <f>(+IFERROR(VLOOKUP($A278,'[152]BG (2)'!$B$9:$J$570,6,FALSE),0))*1</f>
        <v>0</v>
      </c>
      <c r="I278" s="73">
        <f>(+IFERROR(VLOOKUP($A278,'[152]BG (2)'!$B$9:$J$570,7,FALSE),0))*-1</f>
        <v>0</v>
      </c>
      <c r="J278" s="125">
        <f>(+IFERROR(VLOOKUP($A278,'[152]BG (2)'!$B$9:$J$570,8,FALSE),0))*1</f>
        <v>37994824</v>
      </c>
      <c r="K278" s="73">
        <f>(+IFERROR(VLOOKUP($A278,'[152]BG (2)'!$B$9:$J$570,9,FALSE),0))*-1</f>
        <v>0</v>
      </c>
      <c r="P278" s="90">
        <f t="shared" si="19"/>
        <v>37994824</v>
      </c>
      <c r="S278" s="90"/>
      <c r="T278" s="102">
        <f t="shared" si="21"/>
        <v>37994824</v>
      </c>
      <c r="U278" s="95"/>
      <c r="V278" s="72"/>
      <c r="W278" s="75" t="e">
        <f>+A278-#REF!</f>
        <v>#REF!</v>
      </c>
      <c r="X278" s="1270"/>
      <c r="Y278" s="91"/>
      <c r="Z278" s="91"/>
      <c r="AA278" s="91"/>
    </row>
    <row r="279" spans="1:27" ht="14.4" customHeight="1" x14ac:dyDescent="0.3">
      <c r="A279">
        <v>481252</v>
      </c>
      <c r="B279" s="97"/>
      <c r="C279" t="s">
        <v>371</v>
      </c>
      <c r="D279" s="87" t="str">
        <f t="shared" si="20"/>
        <v>48</v>
      </c>
      <c r="E279" s="92"/>
      <c r="F279" s="93">
        <f>(+IFERROR(VLOOKUP($A279,'[152]BG (2)'!$B$9:$J$570,4,FALSE),0))*1</f>
        <v>0</v>
      </c>
      <c r="G279" s="73">
        <f>(+IFERROR(VLOOKUP($A279,'[152]BG (2)'!$B$9:$J$570,5,FALSE),0))*-1</f>
        <v>0</v>
      </c>
      <c r="H279" s="93">
        <f>(+IFERROR(VLOOKUP($A279,'[152]BG (2)'!$B$9:$J$570,6,FALSE),0))*1</f>
        <v>0</v>
      </c>
      <c r="I279" s="73">
        <f>(+IFERROR(VLOOKUP($A279,'[152]BG (2)'!$B$9:$J$570,7,FALSE),0))*-1</f>
        <v>0</v>
      </c>
      <c r="J279" s="125">
        <f>(+IFERROR(VLOOKUP($A279,'[152]BG (2)'!$B$9:$J$570,8,FALSE),0))*1</f>
        <v>0</v>
      </c>
      <c r="K279" s="73">
        <f>(+IFERROR(VLOOKUP($A279,'[152]BG (2)'!$B$9:$J$570,9,FALSE),0))*-1</f>
        <v>0</v>
      </c>
      <c r="P279" s="90">
        <f t="shared" si="19"/>
        <v>0</v>
      </c>
      <c r="S279" s="90"/>
      <c r="T279" s="102">
        <f t="shared" si="21"/>
        <v>0</v>
      </c>
      <c r="U279" s="95"/>
      <c r="V279" s="72"/>
      <c r="W279" s="75" t="e">
        <f>+A279-#REF!</f>
        <v>#REF!</v>
      </c>
      <c r="X279" s="1270"/>
      <c r="Y279" s="91"/>
      <c r="Z279" s="91"/>
      <c r="AA279" s="91"/>
    </row>
    <row r="280" spans="1:27" ht="14.4" customHeight="1" x14ac:dyDescent="0.3">
      <c r="A280">
        <v>481699</v>
      </c>
      <c r="B280" s="97"/>
      <c r="C280" t="s">
        <v>366</v>
      </c>
      <c r="D280" s="87" t="str">
        <f t="shared" si="20"/>
        <v>48</v>
      </c>
      <c r="E280" s="92"/>
      <c r="F280" s="93">
        <f>(+IFERROR(VLOOKUP($A280,'[152]BG (2)'!$B$9:$J$570,4,FALSE),0))*1</f>
        <v>0</v>
      </c>
      <c r="G280" s="73">
        <f>(+IFERROR(VLOOKUP($A280,'[152]BG (2)'!$B$9:$J$570,5,FALSE),0))*-1</f>
        <v>0</v>
      </c>
      <c r="H280" s="93">
        <f>(+IFERROR(VLOOKUP($A280,'[152]BG (2)'!$B$9:$J$570,6,FALSE),0))*1</f>
        <v>0</v>
      </c>
      <c r="I280" s="73">
        <f>(+IFERROR(VLOOKUP($A280,'[152]BG (2)'!$B$9:$J$570,7,FALSE),0))*-1</f>
        <v>0</v>
      </c>
      <c r="J280" s="125">
        <f>(+IFERROR(VLOOKUP($A280,'[152]BG (2)'!$B$9:$J$570,8,FALSE),0))*1</f>
        <v>0</v>
      </c>
      <c r="K280" s="73">
        <f>(+IFERROR(VLOOKUP($A280,'[152]BG (2)'!$B$9:$J$570,9,FALSE),0))*-1</f>
        <v>0</v>
      </c>
      <c r="P280" s="90">
        <f t="shared" si="19"/>
        <v>0</v>
      </c>
      <c r="S280" s="90"/>
      <c r="T280" s="102">
        <f t="shared" si="21"/>
        <v>0</v>
      </c>
      <c r="U280" s="95"/>
      <c r="V280" s="72"/>
      <c r="W280" s="75" t="e">
        <f>+A280-#REF!</f>
        <v>#REF!</v>
      </c>
      <c r="X280" s="1270"/>
      <c r="Y280" s="91"/>
      <c r="Z280" s="91"/>
      <c r="AA280" s="91"/>
    </row>
    <row r="281" spans="1:27" ht="14.4" customHeight="1" x14ac:dyDescent="0.3">
      <c r="A281">
        <v>481700</v>
      </c>
      <c r="B281" s="97" t="s">
        <v>372</v>
      </c>
      <c r="C281" t="s">
        <v>366</v>
      </c>
      <c r="D281" s="87" t="str">
        <f t="shared" si="20"/>
        <v>48</v>
      </c>
      <c r="E281" s="92"/>
      <c r="F281" s="93">
        <f>(+IFERROR(VLOOKUP($A281,'[152]BG (2)'!$B$9:$J$570,4,FALSE),0))*1</f>
        <v>0</v>
      </c>
      <c r="G281" s="73">
        <f>(+IFERROR(VLOOKUP($A281,'[152]BG (2)'!$B$9:$J$570,5,FALSE),0))*-1</f>
        <v>-490373784</v>
      </c>
      <c r="H281" s="93">
        <f>(+IFERROR(VLOOKUP($A281,'[152]BG (2)'!$B$9:$J$570,6,FALSE),0))*1</f>
        <v>306692883</v>
      </c>
      <c r="I281" s="73">
        <f>(+IFERROR(VLOOKUP($A281,'[152]BG (2)'!$B$9:$J$570,7,FALSE),0))*-1</f>
        <v>-849608937</v>
      </c>
      <c r="J281" s="125">
        <f>(+IFERROR(VLOOKUP($A281,'[152]BG (2)'!$B$9:$J$570,8,FALSE),0))*1</f>
        <v>0</v>
      </c>
      <c r="K281" s="73">
        <f>(+IFERROR(VLOOKUP($A281,'[152]BG (2)'!$B$9:$J$570,9,FALSE),0))*-1</f>
        <v>-1033289838</v>
      </c>
      <c r="P281" s="90">
        <f t="shared" si="19"/>
        <v>-1033289838</v>
      </c>
      <c r="S281" s="90"/>
      <c r="T281" s="102">
        <f t="shared" si="21"/>
        <v>-1033289838</v>
      </c>
      <c r="U281" s="95"/>
      <c r="V281" s="72"/>
      <c r="W281" s="75" t="e">
        <f>+A281-#REF!</f>
        <v>#REF!</v>
      </c>
      <c r="X281" s="1270"/>
      <c r="Y281" s="91"/>
      <c r="Z281" s="91"/>
      <c r="AA281" s="91"/>
    </row>
    <row r="282" spans="1:27" ht="14.4" customHeight="1" x14ac:dyDescent="0.3">
      <c r="A282">
        <v>481800</v>
      </c>
      <c r="B282" s="97" t="s">
        <v>373</v>
      </c>
      <c r="C282" t="s">
        <v>366</v>
      </c>
      <c r="D282" s="87" t="str">
        <f t="shared" si="20"/>
        <v>48</v>
      </c>
      <c r="E282" s="92"/>
      <c r="F282" s="93">
        <f>(+IFERROR(VLOOKUP($A282,'[152]BG (2)'!$B$9:$J$570,4,FALSE),0))*1</f>
        <v>0</v>
      </c>
      <c r="G282" s="73">
        <f>(+IFERROR(VLOOKUP($A282,'[152]BG (2)'!$B$9:$J$570,5,FALSE),0))*-1</f>
        <v>-8936592350</v>
      </c>
      <c r="H282" s="93">
        <f>(+IFERROR(VLOOKUP($A282,'[152]BG (2)'!$B$9:$J$570,6,FALSE),0))*1</f>
        <v>868762495</v>
      </c>
      <c r="I282" s="73">
        <f>(+IFERROR(VLOOKUP($A282,'[152]BG (2)'!$B$9:$J$570,7,FALSE),0))*-1</f>
        <v>-6891311950</v>
      </c>
      <c r="J282" s="125">
        <f>(+IFERROR(VLOOKUP($A282,'[152]BG (2)'!$B$9:$J$570,8,FALSE),0))*1</f>
        <v>0</v>
      </c>
      <c r="K282" s="73">
        <f>(+IFERROR(VLOOKUP($A282,'[152]BG (2)'!$B$9:$J$570,9,FALSE),0))*-1</f>
        <v>-14959141805</v>
      </c>
      <c r="P282" s="90">
        <f t="shared" si="19"/>
        <v>-14959141805</v>
      </c>
      <c r="S282" s="90"/>
      <c r="T282" s="102">
        <f t="shared" si="21"/>
        <v>-14959141805</v>
      </c>
      <c r="U282" s="95"/>
      <c r="V282" s="72"/>
      <c r="W282" s="75" t="e">
        <f>+A282-#REF!</f>
        <v>#REF!</v>
      </c>
      <c r="X282" s="1270"/>
      <c r="Y282" s="91"/>
      <c r="Z282" s="91"/>
      <c r="AA282" s="91"/>
    </row>
    <row r="283" spans="1:27" ht="14.4" customHeight="1" x14ac:dyDescent="0.3">
      <c r="A283">
        <v>485000</v>
      </c>
      <c r="B283" s="97" t="s">
        <v>374</v>
      </c>
      <c r="C283" t="s">
        <v>375</v>
      </c>
      <c r="D283" s="87" t="str">
        <f t="shared" si="20"/>
        <v>48</v>
      </c>
      <c r="E283" s="92"/>
      <c r="F283" s="93">
        <f>(+IFERROR(VLOOKUP($A283,'[152]BG (2)'!$B$9:$J$570,4,FALSE),0))*1</f>
        <v>9392494</v>
      </c>
      <c r="G283" s="73">
        <f>(+IFERROR(VLOOKUP($A283,'[152]BG (2)'!$B$9:$J$570,5,FALSE),0))*-1</f>
        <v>0</v>
      </c>
      <c r="H283" s="93">
        <f>(+IFERROR(VLOOKUP($A283,'[152]BG (2)'!$B$9:$J$570,6,FALSE),0))*1</f>
        <v>0</v>
      </c>
      <c r="I283" s="73">
        <f>(+IFERROR(VLOOKUP($A283,'[152]BG (2)'!$B$9:$J$570,7,FALSE),0))*-1</f>
        <v>-617489</v>
      </c>
      <c r="J283" s="125">
        <f>(+IFERROR(VLOOKUP($A283,'[152]BG (2)'!$B$9:$J$570,8,FALSE),0))*1</f>
        <v>8775005</v>
      </c>
      <c r="K283" s="73">
        <f>(+IFERROR(VLOOKUP($A283,'[152]BG (2)'!$B$9:$J$570,9,FALSE),0))*-1</f>
        <v>0</v>
      </c>
      <c r="P283" s="90">
        <f t="shared" si="19"/>
        <v>8775005</v>
      </c>
      <c r="S283" s="90"/>
      <c r="T283" s="102">
        <f t="shared" si="21"/>
        <v>8775005</v>
      </c>
      <c r="U283" s="95"/>
      <c r="V283" s="72"/>
      <c r="W283" s="75" t="e">
        <f>+A283-#REF!</f>
        <v>#REF!</v>
      </c>
      <c r="X283" s="1270"/>
      <c r="Y283" s="91"/>
      <c r="Z283" s="91"/>
      <c r="AA283" s="91"/>
    </row>
    <row r="284" spans="1:27" ht="14.4" customHeight="1" x14ac:dyDescent="0.3">
      <c r="A284">
        <v>488000</v>
      </c>
      <c r="B284" s="97" t="s">
        <v>376</v>
      </c>
      <c r="C284" t="s">
        <v>377</v>
      </c>
      <c r="D284" s="87" t="str">
        <f t="shared" si="20"/>
        <v>48</v>
      </c>
      <c r="E284" s="92"/>
      <c r="F284" s="93">
        <f>(+IFERROR(VLOOKUP($A284,'[152]BG (2)'!$B$9:$J$570,4,FALSE),0))*1</f>
        <v>439555988</v>
      </c>
      <c r="G284" s="73">
        <f>(+IFERROR(VLOOKUP($A284,'[152]BG (2)'!$B$9:$J$570,5,FALSE),0))*-1</f>
        <v>0</v>
      </c>
      <c r="H284" s="93">
        <f>(+IFERROR(VLOOKUP($A284,'[152]BG (2)'!$B$9:$J$570,6,FALSE),0))*1</f>
        <v>166024865</v>
      </c>
      <c r="I284" s="73">
        <f>(+IFERROR(VLOOKUP($A284,'[152]BG (2)'!$B$9:$J$570,7,FALSE),0))*-1</f>
        <v>-6604973</v>
      </c>
      <c r="J284" s="125">
        <f>(+IFERROR(VLOOKUP($A284,'[152]BG (2)'!$B$9:$J$570,8,FALSE),0))*1</f>
        <v>598975880</v>
      </c>
      <c r="K284" s="73">
        <f>(+IFERROR(VLOOKUP($A284,'[152]BG (2)'!$B$9:$J$570,9,FALSE),0))*-1</f>
        <v>0</v>
      </c>
      <c r="P284" s="90">
        <f t="shared" si="19"/>
        <v>598975880</v>
      </c>
      <c r="S284" s="90"/>
      <c r="T284" s="102"/>
      <c r="U284" s="95"/>
      <c r="V284" s="72"/>
      <c r="W284" s="75" t="e">
        <f>+A284-#REF!</f>
        <v>#REF!</v>
      </c>
      <c r="X284" s="1270"/>
      <c r="Y284" s="91"/>
      <c r="Z284" s="91"/>
      <c r="AA284" s="91"/>
    </row>
    <row r="285" spans="1:27" ht="14.4" customHeight="1" x14ac:dyDescent="0.3">
      <c r="A285">
        <v>491210</v>
      </c>
      <c r="B285" t="s">
        <v>378</v>
      </c>
      <c r="C285" t="s">
        <v>379</v>
      </c>
      <c r="D285" s="87" t="str">
        <f t="shared" si="20"/>
        <v>49</v>
      </c>
      <c r="E285" s="92"/>
      <c r="F285" s="93">
        <f>(+IFERROR(VLOOKUP($A285,'[152]BG (2)'!$B$9:$J$570,4,FALSE),0))*1</f>
        <v>0</v>
      </c>
      <c r="G285" s="1584">
        <f>(+IFERROR(VLOOKUP($A285,'[152]BG (2)'!$B$9:$J$570,5,FALSE),0))*-1</f>
        <v>-1926564515</v>
      </c>
      <c r="H285" s="108">
        <f>(+IFERROR(VLOOKUP($A285,'[152]BG (2)'!$B$9:$J$570,6,FALSE),0))*1</f>
        <v>87758220</v>
      </c>
      <c r="I285" s="1328">
        <f>(+IFERROR(VLOOKUP($A285,'[152]BG (2)'!$B$9:$J$570,7,FALSE),0))*-1</f>
        <v>-401236173</v>
      </c>
      <c r="J285" s="109">
        <f>(+IFERROR(VLOOKUP($A285,'[152]BG (2)'!$B$9:$J$570,8,FALSE),0))*1</f>
        <v>0</v>
      </c>
      <c r="K285" s="73">
        <f>(+IFERROR(VLOOKUP($A285,'[152]BG (2)'!$B$9:$J$570,9,FALSE),0))*-1</f>
        <v>-2240042468</v>
      </c>
      <c r="P285" s="90">
        <f t="shared" si="19"/>
        <v>-2240042468</v>
      </c>
      <c r="S285" s="90"/>
      <c r="T285" s="102">
        <f t="shared" ref="T285:T319" si="22">K285+J285</f>
        <v>-2240042468</v>
      </c>
      <c r="U285" s="95"/>
      <c r="V285" s="72"/>
      <c r="W285" s="75" t="e">
        <f>+A285-#REF!</f>
        <v>#REF!</v>
      </c>
      <c r="X285" s="1270"/>
      <c r="Y285" s="91"/>
      <c r="Z285" s="91"/>
      <c r="AA285" s="91"/>
    </row>
    <row r="286" spans="1:27" ht="14.4" customHeight="1" x14ac:dyDescent="0.3">
      <c r="A286">
        <v>491220</v>
      </c>
      <c r="B286" t="s">
        <v>380</v>
      </c>
      <c r="C286" t="s">
        <v>379</v>
      </c>
      <c r="D286" s="87" t="str">
        <f t="shared" si="20"/>
        <v>49</v>
      </c>
      <c r="E286" s="92"/>
      <c r="F286" s="93">
        <f>(+IFERROR(VLOOKUP($A286,'[152]BG (2)'!$B$9:$J$570,4,FALSE),0))*1</f>
        <v>0</v>
      </c>
      <c r="G286" s="1584">
        <f>(+IFERROR(VLOOKUP($A286,'[152]BG (2)'!$B$9:$J$570,5,FALSE),0))*-1</f>
        <v>-2417100862</v>
      </c>
      <c r="H286" s="108">
        <f>(+IFERROR(VLOOKUP($A286,'[152]BG (2)'!$B$9:$J$570,6,FALSE),0))*1</f>
        <v>495030519</v>
      </c>
      <c r="I286" s="1328">
        <f>(+IFERROR(VLOOKUP($A286,'[152]BG (2)'!$B$9:$J$570,7,FALSE),0))*-1</f>
        <v>0</v>
      </c>
      <c r="J286" s="109">
        <f>(+IFERROR(VLOOKUP($A286,'[152]BG (2)'!$B$9:$J$570,8,FALSE),0))*1</f>
        <v>0</v>
      </c>
      <c r="K286" s="73">
        <f>(+IFERROR(VLOOKUP($A286,'[152]BG (2)'!$B$9:$J$570,9,FALSE),0))*-1</f>
        <v>-1922070343</v>
      </c>
      <c r="P286" s="90">
        <f t="shared" si="19"/>
        <v>-1922070343</v>
      </c>
      <c r="S286" s="90"/>
      <c r="T286" s="102">
        <f t="shared" si="22"/>
        <v>-1922070343</v>
      </c>
      <c r="U286" s="95"/>
      <c r="V286" s="72"/>
      <c r="W286" s="75" t="e">
        <f>+A286-#REF!</f>
        <v>#REF!</v>
      </c>
      <c r="X286" s="1270"/>
      <c r="Y286" s="91"/>
      <c r="Z286" s="91"/>
      <c r="AA286" s="91"/>
    </row>
    <row r="287" spans="1:27" ht="14.4" customHeight="1" x14ac:dyDescent="0.3">
      <c r="A287">
        <v>491230</v>
      </c>
      <c r="B287" t="s">
        <v>381</v>
      </c>
      <c r="C287" t="s">
        <v>379</v>
      </c>
      <c r="D287" s="87" t="str">
        <f t="shared" si="20"/>
        <v>49</v>
      </c>
      <c r="E287" s="92"/>
      <c r="F287" s="93">
        <f>(+IFERROR(VLOOKUP($A287,'[152]BG (2)'!$B$9:$J$570,4,FALSE),0))*1</f>
        <v>0</v>
      </c>
      <c r="G287" s="1584">
        <f>(+IFERROR(VLOOKUP($A287,'[152]BG (2)'!$B$9:$J$570,5,FALSE),0))*-1</f>
        <v>-571065121</v>
      </c>
      <c r="H287" s="108">
        <f>(+IFERROR(VLOOKUP($A287,'[152]BG (2)'!$B$9:$J$570,6,FALSE),0))*1</f>
        <v>535669884</v>
      </c>
      <c r="I287" s="1328">
        <f>(+IFERROR(VLOOKUP($A287,'[152]BG (2)'!$B$9:$J$570,7,FALSE),0))*-1</f>
        <v>0</v>
      </c>
      <c r="J287" s="109">
        <f>(+IFERROR(VLOOKUP($A287,'[152]BG (2)'!$B$9:$J$570,8,FALSE),0))*1</f>
        <v>0</v>
      </c>
      <c r="K287" s="73">
        <f>(+IFERROR(VLOOKUP($A287,'[152]BG (2)'!$B$9:$J$570,9,FALSE),0))*-1</f>
        <v>-35395237</v>
      </c>
      <c r="P287" s="90">
        <f t="shared" si="19"/>
        <v>-35395237</v>
      </c>
      <c r="S287" s="90"/>
      <c r="T287" s="102">
        <f t="shared" si="22"/>
        <v>-35395237</v>
      </c>
      <c r="U287" s="95"/>
      <c r="V287" s="72"/>
      <c r="W287" s="75" t="e">
        <f>+A287-#REF!</f>
        <v>#REF!</v>
      </c>
      <c r="X287" s="1270"/>
      <c r="Y287" s="91"/>
      <c r="Z287" s="91"/>
      <c r="AA287" s="91"/>
    </row>
    <row r="288" spans="1:27" ht="14.4" customHeight="1" x14ac:dyDescent="0.3">
      <c r="A288">
        <v>499000</v>
      </c>
      <c r="B288" t="s">
        <v>382</v>
      </c>
      <c r="C288" t="s">
        <v>383</v>
      </c>
      <c r="D288" s="87" t="str">
        <f t="shared" si="20"/>
        <v>49</v>
      </c>
      <c r="E288" s="92"/>
      <c r="F288" s="93">
        <f>(+IFERROR(VLOOKUP($A288,'[152]BG (2)'!$B$9:$J$570,4,FALSE),0))*1</f>
        <v>0</v>
      </c>
      <c r="G288" s="73">
        <f>(+IFERROR(VLOOKUP($A288,'[152]BG (2)'!$B$9:$J$570,5,FALSE),0))*-1</f>
        <v>-82863242</v>
      </c>
      <c r="H288" s="93">
        <f>(+IFERROR(VLOOKUP($A288,'[152]BG (2)'!$B$9:$J$570,6,FALSE),0))*1</f>
        <v>0</v>
      </c>
      <c r="I288" s="73">
        <f>(+IFERROR(VLOOKUP($A288,'[152]BG (2)'!$B$9:$J$570,7,FALSE),0))*-1</f>
        <v>0</v>
      </c>
      <c r="J288" s="109">
        <f>(+IFERROR(VLOOKUP($A288,'[152]BG (2)'!$B$9:$J$570,8,FALSE),0))*1</f>
        <v>0</v>
      </c>
      <c r="K288" s="73">
        <f>(+IFERROR(VLOOKUP($A288,'[152]BG (2)'!$B$9:$J$570,9,FALSE),0))*-1</f>
        <v>-82863242</v>
      </c>
      <c r="P288" s="90">
        <f t="shared" si="19"/>
        <v>-82863242</v>
      </c>
      <c r="S288" s="90"/>
      <c r="T288" s="102">
        <f t="shared" si="22"/>
        <v>-82863242</v>
      </c>
      <c r="U288" s="95"/>
      <c r="V288" s="72"/>
      <c r="W288" s="75" t="e">
        <f>+A288-#REF!</f>
        <v>#REF!</v>
      </c>
      <c r="X288" s="1270"/>
      <c r="Y288" s="91"/>
      <c r="Z288" s="91"/>
      <c r="AA288" s="91"/>
    </row>
    <row r="289" spans="1:27" ht="14.4" customHeight="1" x14ac:dyDescent="0.3">
      <c r="A289">
        <v>512000</v>
      </c>
      <c r="B289" t="s">
        <v>384</v>
      </c>
      <c r="C289" t="s">
        <v>385</v>
      </c>
      <c r="D289" s="87" t="str">
        <f t="shared" si="20"/>
        <v>51</v>
      </c>
      <c r="E289" s="92"/>
      <c r="F289" s="93">
        <f>(+IFERROR(VLOOKUP($A289,'[152]BG (2)'!$B$9:$J$570,4,FALSE),0))*1</f>
        <v>0</v>
      </c>
      <c r="G289" s="73">
        <f>(+IFERROR(VLOOKUP($A289,'[152]BG (2)'!$B$9:$J$570,5,FALSE),0))*-1</f>
        <v>0</v>
      </c>
      <c r="H289" s="93">
        <f>(+IFERROR(VLOOKUP($A289,'[152]BG (2)'!$B$9:$J$570,6,FALSE),0))*1</f>
        <v>4249800000</v>
      </c>
      <c r="I289" s="73">
        <f>(+IFERROR(VLOOKUP($A289,'[152]BG (2)'!$B$9:$J$570,7,FALSE),0))*-1</f>
        <v>-4249800000</v>
      </c>
      <c r="J289" s="109">
        <f>(+IFERROR(VLOOKUP($A289,'[152]BG (2)'!$B$9:$J$570,8,FALSE),0))*1</f>
        <v>0</v>
      </c>
      <c r="K289" s="73">
        <f>(+IFERROR(VLOOKUP($A289,'[152]BG (2)'!$B$9:$J$570,9,FALSE),0))*-1</f>
        <v>0</v>
      </c>
      <c r="P289" s="90">
        <f t="shared" si="19"/>
        <v>0</v>
      </c>
      <c r="S289" s="90"/>
      <c r="T289" s="127">
        <f t="shared" si="22"/>
        <v>0</v>
      </c>
      <c r="U289" s="95"/>
      <c r="V289" s="72"/>
      <c r="W289" s="75" t="e">
        <f>+A289-#REF!</f>
        <v>#REF!</v>
      </c>
      <c r="X289" s="1270"/>
      <c r="Y289" s="91"/>
      <c r="Z289" s="91"/>
      <c r="AA289" s="91"/>
    </row>
    <row r="290" spans="1:27" ht="14.4" customHeight="1" x14ac:dyDescent="0.3">
      <c r="A290">
        <v>513000</v>
      </c>
      <c r="B290" t="s">
        <v>386</v>
      </c>
      <c r="C290" t="s">
        <v>385</v>
      </c>
      <c r="D290" s="87" t="str">
        <f t="shared" si="20"/>
        <v>51</v>
      </c>
      <c r="E290" s="92"/>
      <c r="F290" s="103">
        <f>(+IFERROR(VLOOKUP($A290,'[152]BG (2)'!$B$9:$J$570,4,FALSE),0))*1</f>
        <v>18704407</v>
      </c>
      <c r="G290" s="73">
        <f>(+IFERROR(VLOOKUP($A290,'[152]BG (2)'!$B$9:$J$570,5,FALSE),0))*-1</f>
        <v>0</v>
      </c>
      <c r="H290" s="93">
        <f>(+IFERROR(VLOOKUP($A290,'[152]BG (2)'!$B$9:$J$570,6,FALSE),0))*1</f>
        <v>12755685212</v>
      </c>
      <c r="I290" s="73">
        <f>(+IFERROR(VLOOKUP($A290,'[152]BG (2)'!$B$9:$J$570,7,FALSE),0))*-1</f>
        <v>-12763916754</v>
      </c>
      <c r="J290" s="89">
        <f>(+IFERROR(VLOOKUP($A290,'[152]BG (2)'!$B$9:$J$570,8,FALSE),0))*1</f>
        <v>10472865</v>
      </c>
      <c r="K290" s="73">
        <f>(+IFERROR(VLOOKUP($A290,'[152]BG (2)'!$B$9:$J$570,9,FALSE),0))*-1</f>
        <v>0</v>
      </c>
      <c r="L290" s="75"/>
      <c r="M290" s="101"/>
      <c r="P290" s="90">
        <f t="shared" si="19"/>
        <v>10472865</v>
      </c>
      <c r="S290" s="90"/>
      <c r="T290" s="127">
        <f t="shared" si="22"/>
        <v>10472865</v>
      </c>
      <c r="U290" s="95"/>
      <c r="V290" s="72"/>
      <c r="W290" s="75" t="e">
        <f>+A290-#REF!</f>
        <v>#REF!</v>
      </c>
      <c r="X290" s="1270"/>
      <c r="Y290" s="91"/>
      <c r="Z290" s="91"/>
      <c r="AA290" s="91"/>
    </row>
    <row r="291" spans="1:27" ht="14.4" customHeight="1" x14ac:dyDescent="0.3">
      <c r="A291">
        <v>513120</v>
      </c>
      <c r="B291" t="s">
        <v>387</v>
      </c>
      <c r="C291" s="105"/>
      <c r="D291" s="87" t="str">
        <f t="shared" si="20"/>
        <v>51</v>
      </c>
      <c r="E291" s="92"/>
      <c r="F291" s="93">
        <f>(+IFERROR(VLOOKUP($A291,'[152]BG (2)'!$B$9:$J$570,4,FALSE),0))*1</f>
        <v>0</v>
      </c>
      <c r="G291" s="73">
        <f>(+IFERROR(VLOOKUP($A291,'[152]BG (2)'!$B$9:$J$570,5,FALSE),0))*-1</f>
        <v>0</v>
      </c>
      <c r="H291" s="93">
        <f>(+IFERROR(VLOOKUP($A291,'[152]BG (2)'!$B$9:$J$570,6,FALSE),0))*1</f>
        <v>0</v>
      </c>
      <c r="I291" s="73">
        <f>(+IFERROR(VLOOKUP($A291,'[152]BG (2)'!$B$9:$J$570,7,FALSE),0))*-1</f>
        <v>0</v>
      </c>
      <c r="J291" s="114">
        <f>(+IFERROR(VLOOKUP($A291,'[152]BG (2)'!$B$9:$J$570,8,FALSE),0))*1</f>
        <v>0</v>
      </c>
      <c r="K291" s="73">
        <f>(+IFERROR(VLOOKUP($A291,'[152]BG (2)'!$B$9:$J$570,9,FALSE),0))*-1</f>
        <v>0</v>
      </c>
      <c r="L291" s="75"/>
      <c r="M291" s="101"/>
      <c r="P291" s="90">
        <f t="shared" si="19"/>
        <v>0</v>
      </c>
      <c r="S291" s="90"/>
      <c r="T291" s="127">
        <f t="shared" si="22"/>
        <v>0</v>
      </c>
      <c r="U291" s="95"/>
      <c r="V291" s="72"/>
      <c r="W291" s="75" t="e">
        <f>+A291-#REF!</f>
        <v>#REF!</v>
      </c>
      <c r="X291" s="1270"/>
      <c r="Y291" s="91"/>
      <c r="Z291" s="91"/>
      <c r="AA291" s="91"/>
    </row>
    <row r="292" spans="1:27" ht="14.4" customHeight="1" x14ac:dyDescent="0.3">
      <c r="A292">
        <v>513300</v>
      </c>
      <c r="B292" t="s">
        <v>388</v>
      </c>
      <c r="C292" t="s">
        <v>258</v>
      </c>
      <c r="D292" s="87" t="str">
        <f t="shared" si="20"/>
        <v>51</v>
      </c>
      <c r="E292" s="92"/>
      <c r="F292" s="93">
        <f>(+IFERROR(VLOOKUP($A292,'[152]BG (2)'!$B$9:$J$570,4,FALSE),0))*1</f>
        <v>0</v>
      </c>
      <c r="G292" s="73">
        <f>(+IFERROR(VLOOKUP($A292,'[152]BG (2)'!$B$9:$J$570,5,FALSE),0))*-1</f>
        <v>0</v>
      </c>
      <c r="H292" s="93">
        <f>(+IFERROR(VLOOKUP($A292,'[152]BG (2)'!$B$9:$J$570,6,FALSE),0))*1</f>
        <v>0</v>
      </c>
      <c r="I292" s="73">
        <f>(+IFERROR(VLOOKUP($A292,'[152]BG (2)'!$B$9:$J$570,7,FALSE),0))*-1</f>
        <v>0</v>
      </c>
      <c r="J292" s="109">
        <f>(+IFERROR(VLOOKUP($A292,'[152]BG (2)'!$B$9:$J$570,8,FALSE),0))*1</f>
        <v>0</v>
      </c>
      <c r="K292" s="73">
        <f>(+IFERROR(VLOOKUP($A292,'[152]BG (2)'!$B$9:$J$570,9,FALSE),0))*-1</f>
        <v>0</v>
      </c>
      <c r="L292" s="75"/>
      <c r="M292" s="101"/>
      <c r="P292" s="90">
        <f t="shared" si="19"/>
        <v>0</v>
      </c>
      <c r="S292" s="90"/>
      <c r="T292" s="128">
        <f t="shared" si="22"/>
        <v>0</v>
      </c>
      <c r="U292" s="95"/>
      <c r="V292" s="72"/>
      <c r="W292" s="75" t="e">
        <f>+A292-#REF!</f>
        <v>#REF!</v>
      </c>
      <c r="X292" s="1270"/>
      <c r="Y292" s="91"/>
      <c r="Z292" s="91"/>
      <c r="AA292" s="91"/>
    </row>
    <row r="293" spans="1:27" ht="14.4" customHeight="1" x14ac:dyDescent="0.3">
      <c r="A293">
        <v>517000</v>
      </c>
      <c r="B293" t="s">
        <v>389</v>
      </c>
      <c r="C293" t="s">
        <v>385</v>
      </c>
      <c r="D293" s="87" t="str">
        <f t="shared" si="20"/>
        <v>51</v>
      </c>
      <c r="E293" s="92"/>
      <c r="F293" s="103">
        <f>(+IFERROR(VLOOKUP($A293,'[152]BG (2)'!$B$9:$J$570,4,FALSE),0))*1</f>
        <v>0</v>
      </c>
      <c r="G293" s="73">
        <f>(+IFERROR(VLOOKUP($A293,'[152]BG (2)'!$B$9:$J$570,5,FALSE),0))*-1</f>
        <v>0</v>
      </c>
      <c r="H293" s="93">
        <f>(+IFERROR(VLOOKUP($A293,'[152]BG (2)'!$B$9:$J$570,6,FALSE),0))*1</f>
        <v>0</v>
      </c>
      <c r="I293" s="73">
        <f>(+IFERROR(VLOOKUP($A293,'[152]BG (2)'!$B$9:$J$570,7,FALSE),0))*-1</f>
        <v>0</v>
      </c>
      <c r="J293" s="89">
        <f>(+IFERROR(VLOOKUP($A293,'[152]BG (2)'!$B$9:$J$570,8,FALSE),0))*1</f>
        <v>0</v>
      </c>
      <c r="K293" s="73">
        <f>(+IFERROR(VLOOKUP($A293,'[152]BG (2)'!$B$9:$J$570,9,FALSE),0))*-1</f>
        <v>0</v>
      </c>
      <c r="L293" s="75"/>
      <c r="M293" s="101"/>
      <c r="P293" s="90">
        <f t="shared" si="19"/>
        <v>0</v>
      </c>
      <c r="S293" s="90"/>
      <c r="T293" s="128">
        <f t="shared" si="22"/>
        <v>0</v>
      </c>
      <c r="U293" s="95"/>
      <c r="V293" s="72"/>
      <c r="W293" s="75" t="e">
        <f>+A293-#REF!</f>
        <v>#REF!</v>
      </c>
      <c r="X293" s="1270"/>
      <c r="Y293" s="91"/>
      <c r="Z293" s="91"/>
      <c r="AA293" s="91"/>
    </row>
    <row r="294" spans="1:27" ht="14.4" customHeight="1" x14ac:dyDescent="0.3">
      <c r="A294">
        <v>517201</v>
      </c>
      <c r="B294" t="s">
        <v>390</v>
      </c>
      <c r="C294" t="s">
        <v>385</v>
      </c>
      <c r="D294" s="87" t="str">
        <f t="shared" si="20"/>
        <v>51</v>
      </c>
      <c r="E294" s="92"/>
      <c r="F294" s="103">
        <f>(+IFERROR(VLOOKUP($A294,'[152]BG (2)'!$B$9:$J$570,4,FALSE),0))*1</f>
        <v>0</v>
      </c>
      <c r="G294" s="73">
        <f>(+IFERROR(VLOOKUP($A294,'[152]BG (2)'!$B$9:$J$570,5,FALSE),0))*-1</f>
        <v>0</v>
      </c>
      <c r="H294" s="93">
        <f>(+IFERROR(VLOOKUP($A294,'[152]BG (2)'!$B$9:$J$570,6,FALSE),0))*1</f>
        <v>0</v>
      </c>
      <c r="I294" s="73">
        <f>(+IFERROR(VLOOKUP($A294,'[152]BG (2)'!$B$9:$J$570,7,FALSE),0))*-1</f>
        <v>0</v>
      </c>
      <c r="J294" s="89">
        <f>(+IFERROR(VLOOKUP($A294,'[152]BG (2)'!$B$9:$J$570,8,FALSE),0))*1</f>
        <v>0</v>
      </c>
      <c r="K294" s="73">
        <f>(+IFERROR(VLOOKUP($A294,'[152]BG (2)'!$B$9:$J$570,9,FALSE),0))*-1</f>
        <v>0</v>
      </c>
      <c r="L294" s="75"/>
      <c r="M294" s="101"/>
      <c r="P294" s="90">
        <f t="shared" si="19"/>
        <v>0</v>
      </c>
      <c r="S294" s="90"/>
      <c r="T294" s="128">
        <f t="shared" si="22"/>
        <v>0</v>
      </c>
      <c r="U294" s="95"/>
      <c r="V294" s="72"/>
      <c r="W294" s="75" t="e">
        <f>+A294-#REF!</f>
        <v>#REF!</v>
      </c>
      <c r="X294" s="1270"/>
      <c r="Y294" s="91"/>
      <c r="Z294" s="91"/>
      <c r="AA294" s="91"/>
    </row>
    <row r="295" spans="1:27" ht="14.4" customHeight="1" x14ac:dyDescent="0.3">
      <c r="A295">
        <v>517202</v>
      </c>
      <c r="B295" t="s">
        <v>391</v>
      </c>
      <c r="C295" t="s">
        <v>385</v>
      </c>
      <c r="D295" s="87" t="str">
        <f t="shared" si="20"/>
        <v>51</v>
      </c>
      <c r="E295" s="92"/>
      <c r="F295" s="103">
        <f>(+IFERROR(VLOOKUP($A295,'[152]BG (2)'!$B$9:$J$570,4,FALSE),0))*1</f>
        <v>0</v>
      </c>
      <c r="G295" s="73">
        <f>(+IFERROR(VLOOKUP($A295,'[152]BG (2)'!$B$9:$J$570,5,FALSE),0))*-1</f>
        <v>0</v>
      </c>
      <c r="H295" s="93">
        <f>(+IFERROR(VLOOKUP($A295,'[152]BG (2)'!$B$9:$J$570,6,FALSE),0))*1</f>
        <v>0</v>
      </c>
      <c r="I295" s="73">
        <f>(+IFERROR(VLOOKUP($A295,'[152]BG (2)'!$B$9:$J$570,7,FALSE),0))*-1</f>
        <v>0</v>
      </c>
      <c r="J295" s="89">
        <f>(+IFERROR(VLOOKUP($A295,'[152]BG (2)'!$B$9:$J$570,8,FALSE),0))*1</f>
        <v>0</v>
      </c>
      <c r="K295" s="73">
        <f>(+IFERROR(VLOOKUP($A295,'[152]BG (2)'!$B$9:$J$570,9,FALSE),0))*-1</f>
        <v>0</v>
      </c>
      <c r="L295" s="75"/>
      <c r="M295" s="101"/>
      <c r="P295" s="90">
        <f t="shared" si="19"/>
        <v>0</v>
      </c>
      <c r="S295" s="90"/>
      <c r="T295" s="128">
        <f t="shared" si="22"/>
        <v>0</v>
      </c>
      <c r="U295" s="95"/>
      <c r="V295" s="72"/>
      <c r="W295" s="75" t="e">
        <f>+A295-#REF!</f>
        <v>#REF!</v>
      </c>
      <c r="X295" s="1270"/>
      <c r="Y295" s="91"/>
      <c r="Z295" s="91"/>
      <c r="AA295" s="91"/>
    </row>
    <row r="296" spans="1:27" ht="14.4" customHeight="1" x14ac:dyDescent="0.3">
      <c r="A296">
        <v>517203</v>
      </c>
      <c r="B296" t="s">
        <v>392</v>
      </c>
      <c r="C296" t="s">
        <v>385</v>
      </c>
      <c r="D296" s="87" t="str">
        <f t="shared" si="20"/>
        <v>51</v>
      </c>
      <c r="E296" s="92"/>
      <c r="F296" s="103">
        <f>(+IFERROR(VLOOKUP($A296,'[152]BG (2)'!$B$9:$J$570,4,FALSE),0))*1</f>
        <v>0</v>
      </c>
      <c r="G296" s="73">
        <f>(+IFERROR(VLOOKUP($A296,'[152]BG (2)'!$B$9:$J$570,5,FALSE),0))*-1</f>
        <v>0</v>
      </c>
      <c r="H296" s="93">
        <f>(+IFERROR(VLOOKUP($A296,'[152]BG (2)'!$B$9:$J$570,6,FALSE),0))*1</f>
        <v>0</v>
      </c>
      <c r="I296" s="73">
        <f>(+IFERROR(VLOOKUP($A296,'[152]BG (2)'!$B$9:$J$570,7,FALSE),0))*-1</f>
        <v>0</v>
      </c>
      <c r="J296" s="89">
        <f>(+IFERROR(VLOOKUP($A296,'[152]BG (2)'!$B$9:$J$570,8,FALSE),0))*1</f>
        <v>0</v>
      </c>
      <c r="K296" s="73">
        <f>(+IFERROR(VLOOKUP($A296,'[152]BG (2)'!$B$9:$J$570,9,FALSE),0))*-1</f>
        <v>0</v>
      </c>
      <c r="L296" s="75"/>
      <c r="M296" s="101"/>
      <c r="P296" s="90">
        <f t="shared" si="19"/>
        <v>0</v>
      </c>
      <c r="S296" s="90"/>
      <c r="T296" s="128">
        <f t="shared" si="22"/>
        <v>0</v>
      </c>
      <c r="U296" s="95"/>
      <c r="V296" s="72"/>
      <c r="W296" s="75" t="e">
        <f>+A296-#REF!</f>
        <v>#REF!</v>
      </c>
      <c r="X296" s="1270"/>
      <c r="Y296" s="91"/>
      <c r="Z296" s="91"/>
      <c r="AA296" s="91"/>
    </row>
    <row r="297" spans="1:27" ht="14.4" customHeight="1" x14ac:dyDescent="0.3">
      <c r="A297">
        <v>517204</v>
      </c>
      <c r="B297" t="s">
        <v>393</v>
      </c>
      <c r="C297" t="s">
        <v>385</v>
      </c>
      <c r="D297" s="87" t="str">
        <f t="shared" si="20"/>
        <v>51</v>
      </c>
      <c r="E297" s="92"/>
      <c r="F297" s="103">
        <f>(+IFERROR(VLOOKUP($A297,'[152]BG (2)'!$B$9:$J$570,4,FALSE),0))*1</f>
        <v>0</v>
      </c>
      <c r="G297" s="73">
        <f>(+IFERROR(VLOOKUP($A297,'[152]BG (2)'!$B$9:$J$570,5,FALSE),0))*-1</f>
        <v>0</v>
      </c>
      <c r="H297" s="93">
        <f>(+IFERROR(VLOOKUP($A297,'[152]BG (2)'!$B$9:$J$570,6,FALSE),0))*1</f>
        <v>0</v>
      </c>
      <c r="I297" s="73">
        <f>(+IFERROR(VLOOKUP($A297,'[152]BG (2)'!$B$9:$J$570,7,FALSE),0))*-1</f>
        <v>0</v>
      </c>
      <c r="J297" s="89">
        <f>(+IFERROR(VLOOKUP($A297,'[152]BG (2)'!$B$9:$J$570,8,FALSE),0))*1</f>
        <v>0</v>
      </c>
      <c r="K297" s="73">
        <f>(+IFERROR(VLOOKUP($A297,'[152]BG (2)'!$B$9:$J$570,9,FALSE),0))*-1</f>
        <v>0</v>
      </c>
      <c r="L297" s="75"/>
      <c r="M297" s="101"/>
      <c r="P297" s="90">
        <f t="shared" si="19"/>
        <v>0</v>
      </c>
      <c r="S297" s="90"/>
      <c r="T297" s="128">
        <f t="shared" si="22"/>
        <v>0</v>
      </c>
      <c r="U297" s="95"/>
      <c r="V297" s="72"/>
      <c r="W297" s="75" t="e">
        <f>+A297-#REF!</f>
        <v>#REF!</v>
      </c>
      <c r="X297" s="1270"/>
      <c r="Y297" s="91"/>
      <c r="Z297" s="91"/>
      <c r="AA297" s="91"/>
    </row>
    <row r="298" spans="1:27" ht="14.4" customHeight="1" x14ac:dyDescent="0.3">
      <c r="A298">
        <v>517205</v>
      </c>
      <c r="B298" t="s">
        <v>394</v>
      </c>
      <c r="C298" t="s">
        <v>385</v>
      </c>
      <c r="D298" s="87" t="str">
        <f t="shared" si="20"/>
        <v>51</v>
      </c>
      <c r="E298" s="92"/>
      <c r="F298" s="103">
        <f>(+IFERROR(VLOOKUP($A298,'[152]BG (2)'!$B$9:$J$570,4,FALSE),0))*1</f>
        <v>0</v>
      </c>
      <c r="G298" s="73">
        <f>(+IFERROR(VLOOKUP($A298,'[152]BG (2)'!$B$9:$J$570,5,FALSE),0))*-1</f>
        <v>0</v>
      </c>
      <c r="H298" s="93">
        <f>(+IFERROR(VLOOKUP($A298,'[152]BG (2)'!$B$9:$J$570,6,FALSE),0))*1</f>
        <v>0</v>
      </c>
      <c r="I298" s="73">
        <f>(+IFERROR(VLOOKUP($A298,'[152]BG (2)'!$B$9:$J$570,7,FALSE),0))*-1</f>
        <v>0</v>
      </c>
      <c r="J298" s="89">
        <f>(+IFERROR(VLOOKUP($A298,'[152]BG (2)'!$B$9:$J$570,8,FALSE),0))*1</f>
        <v>0</v>
      </c>
      <c r="K298" s="73">
        <f>(+IFERROR(VLOOKUP($A298,'[152]BG (2)'!$B$9:$J$570,9,FALSE),0))*-1</f>
        <v>0</v>
      </c>
      <c r="L298" s="75"/>
      <c r="M298" s="101"/>
      <c r="P298" s="90">
        <f t="shared" si="19"/>
        <v>0</v>
      </c>
      <c r="S298" s="90"/>
      <c r="T298" s="128">
        <f t="shared" si="22"/>
        <v>0</v>
      </c>
      <c r="U298" s="95"/>
      <c r="V298" s="72"/>
      <c r="W298" s="75" t="e">
        <f>+A298-#REF!</f>
        <v>#REF!</v>
      </c>
      <c r="X298" s="1270"/>
      <c r="Y298" s="91"/>
      <c r="Z298" s="91"/>
      <c r="AA298" s="91"/>
    </row>
    <row r="299" spans="1:27" ht="14.4" customHeight="1" x14ac:dyDescent="0.3">
      <c r="A299">
        <v>517206</v>
      </c>
      <c r="B299" t="s">
        <v>395</v>
      </c>
      <c r="C299" t="s">
        <v>385</v>
      </c>
      <c r="D299" s="87" t="str">
        <f t="shared" si="20"/>
        <v>51</v>
      </c>
      <c r="E299" s="92"/>
      <c r="F299" s="103">
        <f>(+IFERROR(VLOOKUP($A299,'[152]BG (2)'!$B$9:$J$570,4,FALSE),0))*1</f>
        <v>0</v>
      </c>
      <c r="G299" s="73">
        <f>(+IFERROR(VLOOKUP($A299,'[152]BG (2)'!$B$9:$J$570,5,FALSE),0))*-1</f>
        <v>0</v>
      </c>
      <c r="H299" s="93">
        <f>(+IFERROR(VLOOKUP($A299,'[152]BG (2)'!$B$9:$J$570,6,FALSE),0))*1</f>
        <v>0</v>
      </c>
      <c r="I299" s="73">
        <f>(+IFERROR(VLOOKUP($A299,'[152]BG (2)'!$B$9:$J$570,7,FALSE),0))*-1</f>
        <v>0</v>
      </c>
      <c r="J299" s="89">
        <f>(+IFERROR(VLOOKUP($A299,'[152]BG (2)'!$B$9:$J$570,8,FALSE),0))*1</f>
        <v>0</v>
      </c>
      <c r="K299" s="73">
        <f>(+IFERROR(VLOOKUP($A299,'[152]BG (2)'!$B$9:$J$570,9,FALSE),0))*-1</f>
        <v>0</v>
      </c>
      <c r="L299" s="75"/>
      <c r="M299" s="101"/>
      <c r="P299" s="90">
        <f t="shared" si="19"/>
        <v>0</v>
      </c>
      <c r="S299" s="90"/>
      <c r="T299" s="128">
        <f t="shared" si="22"/>
        <v>0</v>
      </c>
      <c r="U299" s="95"/>
      <c r="V299" s="72"/>
      <c r="W299" s="75" t="e">
        <f>+A299-#REF!</f>
        <v>#REF!</v>
      </c>
      <c r="X299" s="1270"/>
      <c r="Y299" s="91"/>
      <c r="Z299" s="91"/>
      <c r="AA299" s="91"/>
    </row>
    <row r="300" spans="1:27" ht="14.4" customHeight="1" x14ac:dyDescent="0.3">
      <c r="A300">
        <v>517207</v>
      </c>
      <c r="B300" t="s">
        <v>396</v>
      </c>
      <c r="C300" t="s">
        <v>385</v>
      </c>
      <c r="D300" s="87" t="str">
        <f t="shared" si="20"/>
        <v>51</v>
      </c>
      <c r="E300" s="92"/>
      <c r="F300" s="103">
        <f>(+IFERROR(VLOOKUP($A300,'[152]BG (2)'!$B$9:$J$570,4,FALSE),0))*1</f>
        <v>0</v>
      </c>
      <c r="G300" s="73">
        <f>(+IFERROR(VLOOKUP($A300,'[152]BG (2)'!$B$9:$J$570,5,FALSE),0))*-1</f>
        <v>0</v>
      </c>
      <c r="H300" s="93">
        <f>(+IFERROR(VLOOKUP($A300,'[152]BG (2)'!$B$9:$J$570,6,FALSE),0))*1</f>
        <v>0</v>
      </c>
      <c r="I300" s="73">
        <f>(+IFERROR(VLOOKUP($A300,'[152]BG (2)'!$B$9:$J$570,7,FALSE),0))*-1</f>
        <v>0</v>
      </c>
      <c r="J300" s="89">
        <f>(+IFERROR(VLOOKUP($A300,'[152]BG (2)'!$B$9:$J$570,8,FALSE),0))*1</f>
        <v>0</v>
      </c>
      <c r="K300" s="73">
        <f>(+IFERROR(VLOOKUP($A300,'[152]BG (2)'!$B$9:$J$570,9,FALSE),0))*-1</f>
        <v>0</v>
      </c>
      <c r="L300" s="75"/>
      <c r="M300" s="101"/>
      <c r="P300" s="90">
        <f t="shared" si="19"/>
        <v>0</v>
      </c>
      <c r="S300" s="90"/>
      <c r="T300" s="128">
        <f t="shared" si="22"/>
        <v>0</v>
      </c>
      <c r="U300" s="95"/>
      <c r="V300" s="72"/>
      <c r="W300" s="75" t="e">
        <f>+A300-#REF!</f>
        <v>#REF!</v>
      </c>
      <c r="X300" s="1270"/>
      <c r="Y300" s="91"/>
      <c r="Z300" s="91"/>
      <c r="AA300" s="91"/>
    </row>
    <row r="301" spans="1:27" ht="14.4" customHeight="1" x14ac:dyDescent="0.3">
      <c r="A301">
        <v>517208</v>
      </c>
      <c r="B301" t="s">
        <v>397</v>
      </c>
      <c r="C301" t="s">
        <v>385</v>
      </c>
      <c r="D301" s="87" t="str">
        <f t="shared" si="20"/>
        <v>51</v>
      </c>
      <c r="E301" s="92"/>
      <c r="F301" s="103">
        <f>(+IFERROR(VLOOKUP($A301,'[152]BG (2)'!$B$9:$J$570,4,FALSE),0))*1</f>
        <v>0</v>
      </c>
      <c r="G301" s="73">
        <f>(+IFERROR(VLOOKUP($A301,'[152]BG (2)'!$B$9:$J$570,5,FALSE),0))*-1</f>
        <v>0</v>
      </c>
      <c r="H301" s="93">
        <f>(+IFERROR(VLOOKUP($A301,'[152]BG (2)'!$B$9:$J$570,6,FALSE),0))*1</f>
        <v>0</v>
      </c>
      <c r="I301" s="73">
        <f>(+IFERROR(VLOOKUP($A301,'[152]BG (2)'!$B$9:$J$570,7,FALSE),0))*-1</f>
        <v>0</v>
      </c>
      <c r="J301" s="89">
        <f>(+IFERROR(VLOOKUP($A301,'[152]BG (2)'!$B$9:$J$570,8,FALSE),0))*1</f>
        <v>0</v>
      </c>
      <c r="K301" s="73">
        <f>(+IFERROR(VLOOKUP($A301,'[152]BG (2)'!$B$9:$J$570,9,FALSE),0))*-1</f>
        <v>0</v>
      </c>
      <c r="L301" s="75"/>
      <c r="M301" s="101"/>
      <c r="P301" s="90">
        <f t="shared" si="19"/>
        <v>0</v>
      </c>
      <c r="S301" s="90"/>
      <c r="T301" s="128">
        <f t="shared" si="22"/>
        <v>0</v>
      </c>
      <c r="U301" s="95"/>
      <c r="V301" s="72"/>
      <c r="W301" s="75" t="e">
        <f>+A301-#REF!</f>
        <v>#REF!</v>
      </c>
      <c r="X301" s="1270"/>
      <c r="Y301" s="91"/>
      <c r="Z301" s="91"/>
      <c r="AA301" s="91"/>
    </row>
    <row r="302" spans="1:27" ht="14.4" customHeight="1" x14ac:dyDescent="0.3">
      <c r="A302">
        <v>517209</v>
      </c>
      <c r="B302" t="s">
        <v>398</v>
      </c>
      <c r="C302" t="s">
        <v>385</v>
      </c>
      <c r="D302" s="87" t="str">
        <f t="shared" si="20"/>
        <v>51</v>
      </c>
      <c r="E302" s="92"/>
      <c r="F302" s="103">
        <f>(+IFERROR(VLOOKUP($A302,'[152]BG (2)'!$B$9:$J$570,4,FALSE),0))*1</f>
        <v>0</v>
      </c>
      <c r="G302" s="73">
        <f>(+IFERROR(VLOOKUP($A302,'[152]BG (2)'!$B$9:$J$570,5,FALSE),0))*-1</f>
        <v>0</v>
      </c>
      <c r="H302" s="93">
        <f>(+IFERROR(VLOOKUP($A302,'[152]BG (2)'!$B$9:$J$570,6,FALSE),0))*1</f>
        <v>0</v>
      </c>
      <c r="I302" s="73">
        <f>(+IFERROR(VLOOKUP($A302,'[152]BG (2)'!$B$9:$J$570,7,FALSE),0))*-1</f>
        <v>0</v>
      </c>
      <c r="J302" s="89">
        <f>(+IFERROR(VLOOKUP($A302,'[152]BG (2)'!$B$9:$J$570,8,FALSE),0))*1</f>
        <v>0</v>
      </c>
      <c r="K302" s="73">
        <f>(+IFERROR(VLOOKUP($A302,'[152]BG (2)'!$B$9:$J$570,9,FALSE),0))*-1</f>
        <v>0</v>
      </c>
      <c r="L302" s="75"/>
      <c r="M302" s="101"/>
      <c r="P302" s="90">
        <f t="shared" si="19"/>
        <v>0</v>
      </c>
      <c r="S302" s="90"/>
      <c r="T302" s="128">
        <f t="shared" si="22"/>
        <v>0</v>
      </c>
      <c r="U302" s="95"/>
      <c r="V302" s="72"/>
      <c r="W302" s="75" t="e">
        <f>+A302-#REF!</f>
        <v>#REF!</v>
      </c>
      <c r="X302" s="1270"/>
      <c r="Y302" s="91"/>
      <c r="Z302" s="91"/>
      <c r="AA302" s="91"/>
    </row>
    <row r="303" spans="1:27" ht="14.4" customHeight="1" x14ac:dyDescent="0.3">
      <c r="A303">
        <v>517210</v>
      </c>
      <c r="B303" t="s">
        <v>399</v>
      </c>
      <c r="C303" t="s">
        <v>385</v>
      </c>
      <c r="D303" s="87" t="str">
        <f t="shared" si="20"/>
        <v>51</v>
      </c>
      <c r="E303" s="92"/>
      <c r="F303" s="103">
        <f>(+IFERROR(VLOOKUP($A303,'[152]BG (2)'!$B$9:$J$570,4,FALSE),0))*1</f>
        <v>0</v>
      </c>
      <c r="G303" s="73">
        <f>(+IFERROR(VLOOKUP($A303,'[152]BG (2)'!$B$9:$J$570,5,FALSE),0))*-1</f>
        <v>0</v>
      </c>
      <c r="H303" s="93">
        <f>(+IFERROR(VLOOKUP($A303,'[152]BG (2)'!$B$9:$J$570,6,FALSE),0))*1</f>
        <v>0</v>
      </c>
      <c r="I303" s="73">
        <f>(+IFERROR(VLOOKUP($A303,'[152]BG (2)'!$B$9:$J$570,7,FALSE),0))*-1</f>
        <v>0</v>
      </c>
      <c r="J303" s="89">
        <f>(+IFERROR(VLOOKUP($A303,'[152]BG (2)'!$B$9:$J$570,8,FALSE),0))*1</f>
        <v>0</v>
      </c>
      <c r="K303" s="73">
        <f>(+IFERROR(VLOOKUP($A303,'[152]BG (2)'!$B$9:$J$570,9,FALSE),0))*-1</f>
        <v>0</v>
      </c>
      <c r="L303" s="75"/>
      <c r="M303" s="101"/>
      <c r="P303" s="90">
        <f t="shared" si="19"/>
        <v>0</v>
      </c>
      <c r="S303" s="90"/>
      <c r="T303" s="128">
        <f t="shared" si="22"/>
        <v>0</v>
      </c>
      <c r="U303" s="95"/>
      <c r="V303" s="72"/>
      <c r="W303" s="75" t="e">
        <f>+A303-#REF!</f>
        <v>#REF!</v>
      </c>
      <c r="X303" s="1270"/>
      <c r="Y303" s="91"/>
      <c r="Z303" s="91"/>
      <c r="AA303" s="91"/>
    </row>
    <row r="304" spans="1:27" ht="14.4" customHeight="1" x14ac:dyDescent="0.3">
      <c r="A304">
        <v>517211</v>
      </c>
      <c r="B304" t="s">
        <v>400</v>
      </c>
      <c r="C304" t="s">
        <v>385</v>
      </c>
      <c r="D304" s="87" t="str">
        <f t="shared" si="20"/>
        <v>51</v>
      </c>
      <c r="E304" s="92"/>
      <c r="F304" s="103">
        <f>(+IFERROR(VLOOKUP($A304,'[152]BG (2)'!$B$9:$J$570,4,FALSE),0))*1</f>
        <v>0</v>
      </c>
      <c r="G304" s="73">
        <f>(+IFERROR(VLOOKUP($A304,'[152]BG (2)'!$B$9:$J$570,5,FALSE),0))*-1</f>
        <v>0</v>
      </c>
      <c r="H304" s="93">
        <f>(+IFERROR(VLOOKUP($A304,'[152]BG (2)'!$B$9:$J$570,6,FALSE),0))*1</f>
        <v>0</v>
      </c>
      <c r="I304" s="73">
        <f>(+IFERROR(VLOOKUP($A304,'[152]BG (2)'!$B$9:$J$570,7,FALSE),0))*-1</f>
        <v>0</v>
      </c>
      <c r="J304" s="89">
        <f>(+IFERROR(VLOOKUP($A304,'[152]BG (2)'!$B$9:$J$570,8,FALSE),0))*1</f>
        <v>0</v>
      </c>
      <c r="K304" s="73">
        <f>(+IFERROR(VLOOKUP($A304,'[152]BG (2)'!$B$9:$J$570,9,FALSE),0))*-1</f>
        <v>0</v>
      </c>
      <c r="L304" s="75"/>
      <c r="M304" s="101"/>
      <c r="P304" s="90">
        <f t="shared" si="19"/>
        <v>0</v>
      </c>
      <c r="S304" s="90"/>
      <c r="T304" s="128">
        <f t="shared" si="22"/>
        <v>0</v>
      </c>
      <c r="U304" s="95"/>
      <c r="V304" s="72"/>
      <c r="W304" s="75" t="e">
        <f>+A304-#REF!</f>
        <v>#REF!</v>
      </c>
      <c r="X304" s="1270"/>
      <c r="Y304" s="91"/>
      <c r="Z304" s="91"/>
      <c r="AA304" s="91"/>
    </row>
    <row r="305" spans="1:27" ht="14.4" customHeight="1" x14ac:dyDescent="0.3">
      <c r="A305">
        <v>517213</v>
      </c>
      <c r="B305" t="s">
        <v>401</v>
      </c>
      <c r="C305" t="s">
        <v>385</v>
      </c>
      <c r="D305" s="87" t="str">
        <f t="shared" si="20"/>
        <v>51</v>
      </c>
      <c r="E305" s="92"/>
      <c r="F305" s="103">
        <f>(+IFERROR(VLOOKUP($A305,'[152]BG (2)'!$B$9:$J$570,4,FALSE),0))*1</f>
        <v>0</v>
      </c>
      <c r="G305" s="73">
        <f>(+IFERROR(VLOOKUP($A305,'[152]BG (2)'!$B$9:$J$570,5,FALSE),0))*-1</f>
        <v>0</v>
      </c>
      <c r="H305" s="93">
        <f>(+IFERROR(VLOOKUP($A305,'[152]BG (2)'!$B$9:$J$570,6,FALSE),0))*1</f>
        <v>0</v>
      </c>
      <c r="I305" s="73">
        <f>(+IFERROR(VLOOKUP($A305,'[152]BG (2)'!$B$9:$J$570,7,FALSE),0))*-1</f>
        <v>0</v>
      </c>
      <c r="J305" s="89">
        <f>(+IFERROR(VLOOKUP($A305,'[152]BG (2)'!$B$9:$J$570,8,FALSE),0))*1</f>
        <v>0</v>
      </c>
      <c r="K305" s="73">
        <f>(+IFERROR(VLOOKUP($A305,'[152]BG (2)'!$B$9:$J$570,9,FALSE),0))*-1</f>
        <v>0</v>
      </c>
      <c r="L305" s="75"/>
      <c r="M305" s="101"/>
      <c r="P305" s="90">
        <f t="shared" si="19"/>
        <v>0</v>
      </c>
      <c r="S305" s="90"/>
      <c r="T305" s="128">
        <f t="shared" si="22"/>
        <v>0</v>
      </c>
      <c r="U305" s="95"/>
      <c r="V305" s="72"/>
      <c r="W305" s="75" t="e">
        <f>+A305-#REF!</f>
        <v>#REF!</v>
      </c>
      <c r="X305" s="1270"/>
      <c r="Y305" s="91"/>
      <c r="Z305" s="91"/>
      <c r="AA305" s="91"/>
    </row>
    <row r="306" spans="1:27" ht="14.4" customHeight="1" x14ac:dyDescent="0.3">
      <c r="A306">
        <v>517214</v>
      </c>
      <c r="B306" t="s">
        <v>402</v>
      </c>
      <c r="C306" t="s">
        <v>385</v>
      </c>
      <c r="D306" s="87" t="str">
        <f t="shared" si="20"/>
        <v>51</v>
      </c>
      <c r="E306" s="92"/>
      <c r="F306" s="103">
        <f>(+IFERROR(VLOOKUP($A306,'[152]BG (2)'!$B$9:$J$570,4,FALSE),0))*1</f>
        <v>0</v>
      </c>
      <c r="G306" s="73">
        <f>(+IFERROR(VLOOKUP($A306,'[152]BG (2)'!$B$9:$J$570,5,FALSE),0))*-1</f>
        <v>0</v>
      </c>
      <c r="H306" s="93">
        <f>(+IFERROR(VLOOKUP($A306,'[152]BG (2)'!$B$9:$J$570,6,FALSE),0))*1</f>
        <v>0</v>
      </c>
      <c r="I306" s="73">
        <f>(+IFERROR(VLOOKUP($A306,'[152]BG (2)'!$B$9:$J$570,7,FALSE),0))*-1</f>
        <v>0</v>
      </c>
      <c r="J306" s="89">
        <f>(+IFERROR(VLOOKUP($A306,'[152]BG (2)'!$B$9:$J$570,8,FALSE),0))*1</f>
        <v>0</v>
      </c>
      <c r="K306" s="73">
        <f>(+IFERROR(VLOOKUP($A306,'[152]BG (2)'!$B$9:$J$570,9,FALSE),0))*-1</f>
        <v>0</v>
      </c>
      <c r="L306" s="75"/>
      <c r="M306" s="101"/>
      <c r="P306" s="90">
        <f t="shared" si="19"/>
        <v>0</v>
      </c>
      <c r="S306" s="90"/>
      <c r="T306" s="128">
        <f t="shared" si="22"/>
        <v>0</v>
      </c>
      <c r="U306" s="95"/>
      <c r="V306" s="72"/>
      <c r="W306" s="75" t="e">
        <f>+A306-#REF!</f>
        <v>#REF!</v>
      </c>
      <c r="X306" s="1270"/>
      <c r="Y306" s="91"/>
      <c r="Z306" s="91"/>
      <c r="AA306" s="91"/>
    </row>
    <row r="307" spans="1:27" ht="14.4" customHeight="1" x14ac:dyDescent="0.3">
      <c r="A307">
        <v>517215</v>
      </c>
      <c r="B307" t="s">
        <v>403</v>
      </c>
      <c r="C307" t="s">
        <v>385</v>
      </c>
      <c r="D307" s="87" t="str">
        <f t="shared" si="20"/>
        <v>51</v>
      </c>
      <c r="E307" s="92"/>
      <c r="F307" s="103">
        <f>(+IFERROR(VLOOKUP($A307,'[152]BG (2)'!$B$9:$J$570,4,FALSE),0))*1</f>
        <v>0</v>
      </c>
      <c r="G307" s="73">
        <f>(+IFERROR(VLOOKUP($A307,'[152]BG (2)'!$B$9:$J$570,5,FALSE),0))*-1</f>
        <v>0</v>
      </c>
      <c r="H307" s="93">
        <f>(+IFERROR(VLOOKUP($A307,'[152]BG (2)'!$B$9:$J$570,6,FALSE),0))*1</f>
        <v>0</v>
      </c>
      <c r="I307" s="73">
        <f>(+IFERROR(VLOOKUP($A307,'[152]BG (2)'!$B$9:$J$570,7,FALSE),0))*-1</f>
        <v>0</v>
      </c>
      <c r="J307" s="89">
        <f>(+IFERROR(VLOOKUP($A307,'[152]BG (2)'!$B$9:$J$570,8,FALSE),0))*1</f>
        <v>0</v>
      </c>
      <c r="K307" s="73">
        <f>(+IFERROR(VLOOKUP($A307,'[152]BG (2)'!$B$9:$J$570,9,FALSE),0))*-1</f>
        <v>0</v>
      </c>
      <c r="L307" s="75"/>
      <c r="M307" s="101"/>
      <c r="P307" s="90">
        <f t="shared" si="19"/>
        <v>0</v>
      </c>
      <c r="S307" s="90"/>
      <c r="T307" s="128">
        <f t="shared" si="22"/>
        <v>0</v>
      </c>
      <c r="U307" s="95"/>
      <c r="V307" s="72"/>
      <c r="W307" s="75" t="e">
        <f>+A307-#REF!</f>
        <v>#REF!</v>
      </c>
      <c r="X307" s="1270"/>
      <c r="Y307" s="91"/>
      <c r="Z307" s="91"/>
      <c r="AA307" s="91"/>
    </row>
    <row r="308" spans="1:27" ht="14.4" customHeight="1" x14ac:dyDescent="0.3">
      <c r="A308">
        <v>517216</v>
      </c>
      <c r="B308" t="s">
        <v>404</v>
      </c>
      <c r="C308" t="s">
        <v>385</v>
      </c>
      <c r="D308" s="87" t="str">
        <f t="shared" si="20"/>
        <v>51</v>
      </c>
      <c r="E308" s="92"/>
      <c r="F308" s="103">
        <f>(+IFERROR(VLOOKUP($A308,'[152]BG (2)'!$B$9:$J$570,4,FALSE),0))*1</f>
        <v>0</v>
      </c>
      <c r="G308" s="73">
        <f>(+IFERROR(VLOOKUP($A308,'[152]BG (2)'!$B$9:$J$570,5,FALSE),0))*-1</f>
        <v>0</v>
      </c>
      <c r="H308" s="93">
        <f>(+IFERROR(VLOOKUP($A308,'[152]BG (2)'!$B$9:$J$570,6,FALSE),0))*1</f>
        <v>0</v>
      </c>
      <c r="I308" s="73">
        <f>(+IFERROR(VLOOKUP($A308,'[152]BG (2)'!$B$9:$J$570,7,FALSE),0))*-1</f>
        <v>0</v>
      </c>
      <c r="J308" s="89">
        <f>(+IFERROR(VLOOKUP($A308,'[152]BG (2)'!$B$9:$J$570,8,FALSE),0))*1</f>
        <v>0</v>
      </c>
      <c r="K308" s="73">
        <f>(+IFERROR(VLOOKUP($A308,'[152]BG (2)'!$B$9:$J$570,9,FALSE),0))*-1</f>
        <v>0</v>
      </c>
      <c r="L308" s="75"/>
      <c r="M308" s="101"/>
      <c r="P308" s="90">
        <f t="shared" si="19"/>
        <v>0</v>
      </c>
      <c r="S308" s="90"/>
      <c r="T308" s="128">
        <f t="shared" si="22"/>
        <v>0</v>
      </c>
      <c r="U308" s="95"/>
      <c r="V308" s="72"/>
      <c r="W308" s="75" t="e">
        <f>+A308-#REF!</f>
        <v>#REF!</v>
      </c>
      <c r="X308" s="1270"/>
      <c r="Y308" s="91"/>
      <c r="Z308" s="91"/>
      <c r="AA308" s="91"/>
    </row>
    <row r="309" spans="1:27" ht="14.4" customHeight="1" x14ac:dyDescent="0.3">
      <c r="A309">
        <v>517217</v>
      </c>
      <c r="B309" t="s">
        <v>405</v>
      </c>
      <c r="C309" t="s">
        <v>385</v>
      </c>
      <c r="D309" s="87" t="str">
        <f t="shared" si="20"/>
        <v>51</v>
      </c>
      <c r="E309" s="92"/>
      <c r="F309" s="103">
        <f>(+IFERROR(VLOOKUP($A309,'[152]BG (2)'!$B$9:$J$570,4,FALSE),0))*1</f>
        <v>0</v>
      </c>
      <c r="G309" s="73">
        <f>(+IFERROR(VLOOKUP($A309,'[152]BG (2)'!$B$9:$J$570,5,FALSE),0))*-1</f>
        <v>0</v>
      </c>
      <c r="H309" s="93">
        <f>(+IFERROR(VLOOKUP($A309,'[152]BG (2)'!$B$9:$J$570,6,FALSE),0))*1</f>
        <v>0</v>
      </c>
      <c r="I309" s="73">
        <f>(+IFERROR(VLOOKUP($A309,'[152]BG (2)'!$B$9:$J$570,7,FALSE),0))*-1</f>
        <v>0</v>
      </c>
      <c r="J309" s="89">
        <f>(+IFERROR(VLOOKUP($A309,'[152]BG (2)'!$B$9:$J$570,8,FALSE),0))*1</f>
        <v>0</v>
      </c>
      <c r="K309" s="73">
        <f>(+IFERROR(VLOOKUP($A309,'[152]BG (2)'!$B$9:$J$570,9,FALSE),0))*-1</f>
        <v>0</v>
      </c>
      <c r="L309" s="75"/>
      <c r="M309" s="101"/>
      <c r="P309" s="90">
        <f t="shared" si="19"/>
        <v>0</v>
      </c>
      <c r="S309" s="90"/>
      <c r="T309" s="128">
        <f t="shared" si="22"/>
        <v>0</v>
      </c>
      <c r="U309" s="95"/>
      <c r="V309" s="72"/>
      <c r="W309" s="75" t="e">
        <f>+A309-#REF!</f>
        <v>#REF!</v>
      </c>
      <c r="X309" s="1270"/>
      <c r="Y309" s="91"/>
      <c r="Z309" s="91"/>
      <c r="AA309" s="91"/>
    </row>
    <row r="310" spans="1:27" ht="14.4" customHeight="1" x14ac:dyDescent="0.3">
      <c r="A310">
        <v>517218</v>
      </c>
      <c r="B310" t="s">
        <v>406</v>
      </c>
      <c r="C310" t="s">
        <v>385</v>
      </c>
      <c r="D310" s="87" t="str">
        <f t="shared" si="20"/>
        <v>51</v>
      </c>
      <c r="E310" s="92"/>
      <c r="F310" s="103">
        <f>(+IFERROR(VLOOKUP($A310,'[152]BG (2)'!$B$9:$J$570,4,FALSE),0))*1</f>
        <v>0</v>
      </c>
      <c r="G310" s="73">
        <f>(+IFERROR(VLOOKUP($A310,'[152]BG (2)'!$B$9:$J$570,5,FALSE),0))*-1</f>
        <v>0</v>
      </c>
      <c r="H310" s="93">
        <f>(+IFERROR(VLOOKUP($A310,'[152]BG (2)'!$B$9:$J$570,6,FALSE),0))*1</f>
        <v>0</v>
      </c>
      <c r="I310" s="73">
        <f>(+IFERROR(VLOOKUP($A310,'[152]BG (2)'!$B$9:$J$570,7,FALSE),0))*-1</f>
        <v>0</v>
      </c>
      <c r="J310" s="89">
        <f>(+IFERROR(VLOOKUP($A310,'[152]BG (2)'!$B$9:$J$570,8,FALSE),0))*1</f>
        <v>0</v>
      </c>
      <c r="K310" s="73">
        <f>(+IFERROR(VLOOKUP($A310,'[152]BG (2)'!$B$9:$J$570,9,FALSE),0))*-1</f>
        <v>0</v>
      </c>
      <c r="L310" s="75"/>
      <c r="M310" s="101"/>
      <c r="P310" s="90">
        <f t="shared" si="19"/>
        <v>0</v>
      </c>
      <c r="S310" s="90"/>
      <c r="T310" s="128">
        <f t="shared" si="22"/>
        <v>0</v>
      </c>
      <c r="U310" s="95"/>
      <c r="V310" s="72"/>
      <c r="W310" s="75" t="e">
        <f>+A310-#REF!</f>
        <v>#REF!</v>
      </c>
      <c r="X310" s="1270"/>
      <c r="Y310" s="91"/>
      <c r="Z310" s="91"/>
      <c r="AA310" s="91"/>
    </row>
    <row r="311" spans="1:27" ht="14.4" customHeight="1" x14ac:dyDescent="0.3">
      <c r="A311">
        <v>517219</v>
      </c>
      <c r="B311" t="s">
        <v>407</v>
      </c>
      <c r="C311" t="s">
        <v>385</v>
      </c>
      <c r="D311" s="87" t="str">
        <f t="shared" si="20"/>
        <v>51</v>
      </c>
      <c r="E311" s="92"/>
      <c r="F311" s="103">
        <f>(+IFERROR(VLOOKUP($A311,'[152]BG (2)'!$B$9:$J$570,4,FALSE),0))*1</f>
        <v>0</v>
      </c>
      <c r="G311" s="73">
        <f>(+IFERROR(VLOOKUP($A311,'[152]BG (2)'!$B$9:$J$570,5,FALSE),0))*-1</f>
        <v>0</v>
      </c>
      <c r="H311" s="93">
        <f>(+IFERROR(VLOOKUP($A311,'[152]BG (2)'!$B$9:$J$570,6,FALSE),0))*1</f>
        <v>0</v>
      </c>
      <c r="I311" s="73">
        <f>(+IFERROR(VLOOKUP($A311,'[152]BG (2)'!$B$9:$J$570,7,FALSE),0))*-1</f>
        <v>0</v>
      </c>
      <c r="J311" s="89">
        <f>(+IFERROR(VLOOKUP($A311,'[152]BG (2)'!$B$9:$J$570,8,FALSE),0))*1</f>
        <v>0</v>
      </c>
      <c r="K311" s="73">
        <f>(+IFERROR(VLOOKUP($A311,'[152]BG (2)'!$B$9:$J$570,9,FALSE),0))*-1</f>
        <v>0</v>
      </c>
      <c r="L311" s="75"/>
      <c r="M311" s="101"/>
      <c r="P311" s="90">
        <f t="shared" si="19"/>
        <v>0</v>
      </c>
      <c r="S311" s="90"/>
      <c r="T311" s="128">
        <f t="shared" si="22"/>
        <v>0</v>
      </c>
      <c r="U311" s="95"/>
      <c r="V311" s="72"/>
      <c r="W311" s="75" t="e">
        <f>+A311-#REF!</f>
        <v>#REF!</v>
      </c>
      <c r="X311" s="1270"/>
      <c r="Y311" s="91"/>
      <c r="Z311" s="91"/>
      <c r="AA311" s="91"/>
    </row>
    <row r="312" spans="1:27" ht="14.4" customHeight="1" x14ac:dyDescent="0.3">
      <c r="A312">
        <v>517220</v>
      </c>
      <c r="B312" t="s">
        <v>408</v>
      </c>
      <c r="C312" t="s">
        <v>385</v>
      </c>
      <c r="D312" s="87" t="str">
        <f t="shared" si="20"/>
        <v>51</v>
      </c>
      <c r="E312" s="92"/>
      <c r="F312" s="103">
        <f>(+IFERROR(VLOOKUP($A312,'[152]BG (2)'!$B$9:$J$570,4,FALSE),0))*1</f>
        <v>0</v>
      </c>
      <c r="G312" s="73">
        <f>(+IFERROR(VLOOKUP($A312,'[152]BG (2)'!$B$9:$J$570,5,FALSE),0))*-1</f>
        <v>0</v>
      </c>
      <c r="H312" s="93">
        <f>(+IFERROR(VLOOKUP($A312,'[152]BG (2)'!$B$9:$J$570,6,FALSE),0))*1</f>
        <v>0</v>
      </c>
      <c r="I312" s="73">
        <f>(+IFERROR(VLOOKUP($A312,'[152]BG (2)'!$B$9:$J$570,7,FALSE),0))*-1</f>
        <v>0</v>
      </c>
      <c r="J312" s="89">
        <f>(+IFERROR(VLOOKUP($A312,'[152]BG (2)'!$B$9:$J$570,8,FALSE),0))*1</f>
        <v>0</v>
      </c>
      <c r="K312" s="73">
        <f>(+IFERROR(VLOOKUP($A312,'[152]BG (2)'!$B$9:$J$570,9,FALSE),0))*-1</f>
        <v>0</v>
      </c>
      <c r="L312" s="75"/>
      <c r="M312" s="101"/>
      <c r="P312" s="90">
        <f t="shared" si="19"/>
        <v>0</v>
      </c>
      <c r="S312" s="90"/>
      <c r="T312" s="128">
        <f t="shared" si="22"/>
        <v>0</v>
      </c>
      <c r="U312" s="95"/>
      <c r="V312" s="72"/>
      <c r="W312" s="75" t="e">
        <f>+A312-#REF!</f>
        <v>#REF!</v>
      </c>
      <c r="X312" s="1270"/>
      <c r="Y312" s="91"/>
      <c r="Z312" s="91"/>
      <c r="AA312" s="91"/>
    </row>
    <row r="313" spans="1:27" ht="14.4" customHeight="1" x14ac:dyDescent="0.3">
      <c r="A313">
        <v>517222</v>
      </c>
      <c r="B313" t="s">
        <v>409</v>
      </c>
      <c r="C313" t="s">
        <v>385</v>
      </c>
      <c r="D313" s="87" t="str">
        <f t="shared" si="20"/>
        <v>51</v>
      </c>
      <c r="E313" s="92"/>
      <c r="F313" s="103">
        <f>(+IFERROR(VLOOKUP($A313,'[152]BG (2)'!$B$9:$J$570,4,FALSE),0))*1</f>
        <v>0</v>
      </c>
      <c r="G313" s="73">
        <f>(+IFERROR(VLOOKUP($A313,'[152]BG (2)'!$B$9:$J$570,5,FALSE),0))*-1</f>
        <v>0</v>
      </c>
      <c r="H313" s="93">
        <f>(+IFERROR(VLOOKUP($A313,'[152]BG (2)'!$B$9:$J$570,6,FALSE),0))*1</f>
        <v>0</v>
      </c>
      <c r="I313" s="73">
        <f>(+IFERROR(VLOOKUP($A313,'[152]BG (2)'!$B$9:$J$570,7,FALSE),0))*-1</f>
        <v>0</v>
      </c>
      <c r="J313" s="89">
        <f>(+IFERROR(VLOOKUP($A313,'[152]BG (2)'!$B$9:$J$570,8,FALSE),0))*1</f>
        <v>0</v>
      </c>
      <c r="K313" s="73">
        <f>(+IFERROR(VLOOKUP($A313,'[152]BG (2)'!$B$9:$J$570,9,FALSE),0))*-1</f>
        <v>0</v>
      </c>
      <c r="L313" s="75"/>
      <c r="M313" s="101"/>
      <c r="P313" s="90">
        <f t="shared" si="19"/>
        <v>0</v>
      </c>
      <c r="S313" s="90"/>
      <c r="T313" s="128">
        <f t="shared" si="22"/>
        <v>0</v>
      </c>
      <c r="U313" s="95"/>
      <c r="V313" s="72"/>
      <c r="W313" s="75" t="e">
        <f>+A313-#REF!</f>
        <v>#REF!</v>
      </c>
      <c r="X313" s="1270"/>
      <c r="Y313" s="91"/>
      <c r="Z313" s="91"/>
      <c r="AA313" s="91"/>
    </row>
    <row r="314" spans="1:27" ht="14.4" customHeight="1" x14ac:dyDescent="0.3">
      <c r="A314">
        <v>517223</v>
      </c>
      <c r="B314" t="s">
        <v>410</v>
      </c>
      <c r="C314" t="s">
        <v>385</v>
      </c>
      <c r="D314" s="87" t="str">
        <f t="shared" si="20"/>
        <v>51</v>
      </c>
      <c r="E314" s="92"/>
      <c r="F314" s="103">
        <f>(+IFERROR(VLOOKUP($A314,'[152]BG (2)'!$B$9:$J$570,4,FALSE),0))*1</f>
        <v>0</v>
      </c>
      <c r="G314" s="73">
        <f>(+IFERROR(VLOOKUP($A314,'[152]BG (2)'!$B$9:$J$570,5,FALSE),0))*-1</f>
        <v>0</v>
      </c>
      <c r="H314" s="93">
        <f>(+IFERROR(VLOOKUP($A314,'[152]BG (2)'!$B$9:$J$570,6,FALSE),0))*1</f>
        <v>0</v>
      </c>
      <c r="I314" s="73">
        <f>(+IFERROR(VLOOKUP($A314,'[152]BG (2)'!$B$9:$J$570,7,FALSE),0))*-1</f>
        <v>0</v>
      </c>
      <c r="J314" s="89">
        <f>(+IFERROR(VLOOKUP($A314,'[152]BG (2)'!$B$9:$J$570,8,FALSE),0))*1</f>
        <v>0</v>
      </c>
      <c r="K314" s="73">
        <f>(+IFERROR(VLOOKUP($A314,'[152]BG (2)'!$B$9:$J$570,9,FALSE),0))*-1</f>
        <v>0</v>
      </c>
      <c r="L314" s="75"/>
      <c r="M314" s="101"/>
      <c r="P314" s="90">
        <f t="shared" si="19"/>
        <v>0</v>
      </c>
      <c r="S314" s="90"/>
      <c r="T314" s="128">
        <f t="shared" si="22"/>
        <v>0</v>
      </c>
      <c r="U314" s="95"/>
      <c r="V314" s="72"/>
      <c r="W314" s="75" t="e">
        <f>+A314-#REF!</f>
        <v>#REF!</v>
      </c>
      <c r="X314" s="1270"/>
      <c r="Y314" s="91"/>
      <c r="Z314" s="91"/>
      <c r="AA314" s="91"/>
    </row>
    <row r="315" spans="1:27" ht="14.4" customHeight="1" x14ac:dyDescent="0.3">
      <c r="A315">
        <v>517224</v>
      </c>
      <c r="B315" t="s">
        <v>411</v>
      </c>
      <c r="C315" t="s">
        <v>385</v>
      </c>
      <c r="D315" s="87" t="str">
        <f t="shared" si="20"/>
        <v>51</v>
      </c>
      <c r="E315" s="92"/>
      <c r="F315" s="103">
        <f>(+IFERROR(VLOOKUP($A315,'[152]BG (2)'!$B$9:$J$570,4,FALSE),0))*1</f>
        <v>0</v>
      </c>
      <c r="G315" s="73">
        <f>(+IFERROR(VLOOKUP($A315,'[152]BG (2)'!$B$9:$J$570,5,FALSE),0))*-1</f>
        <v>0</v>
      </c>
      <c r="H315" s="93">
        <f>(+IFERROR(VLOOKUP($A315,'[152]BG (2)'!$B$9:$J$570,6,FALSE),0))*1</f>
        <v>0</v>
      </c>
      <c r="I315" s="73">
        <f>(+IFERROR(VLOOKUP($A315,'[152]BG (2)'!$B$9:$J$570,7,FALSE),0))*-1</f>
        <v>0</v>
      </c>
      <c r="J315" s="89">
        <f>(+IFERROR(VLOOKUP($A315,'[152]BG (2)'!$B$9:$J$570,8,FALSE),0))*1</f>
        <v>0</v>
      </c>
      <c r="K315" s="73">
        <f>(+IFERROR(VLOOKUP($A315,'[152]BG (2)'!$B$9:$J$570,9,FALSE),0))*-1</f>
        <v>0</v>
      </c>
      <c r="L315" s="75"/>
      <c r="M315" s="101"/>
      <c r="P315" s="90">
        <f t="shared" si="19"/>
        <v>0</v>
      </c>
      <c r="S315" s="90"/>
      <c r="T315" s="128">
        <f t="shared" si="22"/>
        <v>0</v>
      </c>
      <c r="U315" s="95"/>
      <c r="V315" s="72"/>
      <c r="W315" s="75" t="e">
        <f>+A315-#REF!</f>
        <v>#REF!</v>
      </c>
      <c r="X315" s="1270"/>
      <c r="Y315" s="91"/>
      <c r="Z315" s="91"/>
      <c r="AA315" s="91"/>
    </row>
    <row r="316" spans="1:27" ht="14.4" customHeight="1" x14ac:dyDescent="0.3">
      <c r="A316">
        <v>517225</v>
      </c>
      <c r="B316" t="s">
        <v>412</v>
      </c>
      <c r="C316" t="s">
        <v>385</v>
      </c>
      <c r="D316" s="87" t="str">
        <f t="shared" si="20"/>
        <v>51</v>
      </c>
      <c r="E316" s="92"/>
      <c r="F316" s="103">
        <f>(+IFERROR(VLOOKUP($A316,'[152]BG (2)'!$B$9:$J$570,4,FALSE),0))*1</f>
        <v>0</v>
      </c>
      <c r="G316" s="73">
        <f>(+IFERROR(VLOOKUP($A316,'[152]BG (2)'!$B$9:$J$570,5,FALSE),0))*-1</f>
        <v>0</v>
      </c>
      <c r="H316" s="93">
        <f>(+IFERROR(VLOOKUP($A316,'[152]BG (2)'!$B$9:$J$570,6,FALSE),0))*1</f>
        <v>0</v>
      </c>
      <c r="I316" s="73">
        <f>(+IFERROR(VLOOKUP($A316,'[152]BG (2)'!$B$9:$J$570,7,FALSE),0))*-1</f>
        <v>0</v>
      </c>
      <c r="J316" s="89">
        <f>(+IFERROR(VLOOKUP($A316,'[152]BG (2)'!$B$9:$J$570,8,FALSE),0))*1</f>
        <v>0</v>
      </c>
      <c r="K316" s="73">
        <f>(+IFERROR(VLOOKUP($A316,'[152]BG (2)'!$B$9:$J$570,9,FALSE),0))*-1</f>
        <v>0</v>
      </c>
      <c r="L316" s="75"/>
      <c r="M316" s="101"/>
      <c r="P316" s="90">
        <f t="shared" si="19"/>
        <v>0</v>
      </c>
      <c r="S316" s="90"/>
      <c r="T316" s="128">
        <f t="shared" si="22"/>
        <v>0</v>
      </c>
      <c r="U316" s="95"/>
      <c r="V316" s="72"/>
      <c r="W316" s="75" t="e">
        <f>+A316-#REF!</f>
        <v>#REF!</v>
      </c>
      <c r="X316" s="1270"/>
      <c r="Y316" s="91"/>
      <c r="Z316" s="91"/>
      <c r="AA316" s="91"/>
    </row>
    <row r="317" spans="1:27" ht="14.4" customHeight="1" x14ac:dyDescent="0.3">
      <c r="A317">
        <v>517226</v>
      </c>
      <c r="B317" t="s">
        <v>413</v>
      </c>
      <c r="C317" t="s">
        <v>385</v>
      </c>
      <c r="D317" s="87" t="str">
        <f t="shared" si="20"/>
        <v>51</v>
      </c>
      <c r="E317" s="92"/>
      <c r="F317" s="103">
        <f>(+IFERROR(VLOOKUP($A317,'[152]BG (2)'!$B$9:$J$570,4,FALSE),0))*1</f>
        <v>0</v>
      </c>
      <c r="G317" s="73">
        <f>(+IFERROR(VLOOKUP($A317,'[152]BG (2)'!$B$9:$J$570,5,FALSE),0))*-1</f>
        <v>0</v>
      </c>
      <c r="H317" s="93">
        <f>(+IFERROR(VLOOKUP($A317,'[152]BG (2)'!$B$9:$J$570,6,FALSE),0))*1</f>
        <v>0</v>
      </c>
      <c r="I317" s="73">
        <f>(+IFERROR(VLOOKUP($A317,'[152]BG (2)'!$B$9:$J$570,7,FALSE),0))*-1</f>
        <v>0</v>
      </c>
      <c r="J317" s="89">
        <f>(+IFERROR(VLOOKUP($A317,'[152]BG (2)'!$B$9:$J$570,8,FALSE),0))*1</f>
        <v>0</v>
      </c>
      <c r="K317" s="73">
        <f>(+IFERROR(VLOOKUP($A317,'[152]BG (2)'!$B$9:$J$570,9,FALSE),0))*-1</f>
        <v>0</v>
      </c>
      <c r="L317" s="75"/>
      <c r="M317" s="101"/>
      <c r="P317" s="90">
        <f t="shared" si="19"/>
        <v>0</v>
      </c>
      <c r="S317" s="90"/>
      <c r="T317" s="128">
        <f t="shared" si="22"/>
        <v>0</v>
      </c>
      <c r="U317" s="95"/>
      <c r="V317" s="72"/>
      <c r="W317" s="75" t="e">
        <f>+A317-#REF!</f>
        <v>#REF!</v>
      </c>
      <c r="X317" s="1270"/>
      <c r="Y317" s="91"/>
      <c r="Z317" s="91"/>
      <c r="AA317" s="91"/>
    </row>
    <row r="318" spans="1:27" ht="14.4" customHeight="1" x14ac:dyDescent="0.3">
      <c r="A318">
        <v>517227</v>
      </c>
      <c r="B318" t="s">
        <v>414</v>
      </c>
      <c r="C318" t="s">
        <v>385</v>
      </c>
      <c r="D318" s="87" t="str">
        <f t="shared" si="20"/>
        <v>51</v>
      </c>
      <c r="E318" s="92"/>
      <c r="F318" s="103">
        <f>(+IFERROR(VLOOKUP($A318,'[152]BG (2)'!$B$9:$J$570,4,FALSE),0))*1</f>
        <v>0</v>
      </c>
      <c r="G318" s="73">
        <f>(+IFERROR(VLOOKUP($A318,'[152]BG (2)'!$B$9:$J$570,5,FALSE),0))*-1</f>
        <v>0</v>
      </c>
      <c r="H318" s="93">
        <f>(+IFERROR(VLOOKUP($A318,'[152]BG (2)'!$B$9:$J$570,6,FALSE),0))*1</f>
        <v>0</v>
      </c>
      <c r="I318" s="73">
        <f>(+IFERROR(VLOOKUP($A318,'[152]BG (2)'!$B$9:$J$570,7,FALSE),0))*-1</f>
        <v>0</v>
      </c>
      <c r="J318" s="89">
        <f>(+IFERROR(VLOOKUP($A318,'[152]BG (2)'!$B$9:$J$570,8,FALSE),0))*1</f>
        <v>0</v>
      </c>
      <c r="K318" s="73">
        <f>(+IFERROR(VLOOKUP($A318,'[152]BG (2)'!$B$9:$J$570,9,FALSE),0))*-1</f>
        <v>0</v>
      </c>
      <c r="L318" s="75"/>
      <c r="M318" s="101"/>
      <c r="P318" s="90">
        <f t="shared" si="19"/>
        <v>0</v>
      </c>
      <c r="S318" s="90"/>
      <c r="T318" s="128">
        <f t="shared" si="22"/>
        <v>0</v>
      </c>
      <c r="U318" s="95"/>
      <c r="V318" s="72"/>
      <c r="W318" s="75" t="e">
        <f>+A318-#REF!</f>
        <v>#REF!</v>
      </c>
      <c r="X318" s="1270"/>
      <c r="Y318" s="91"/>
      <c r="Z318" s="91"/>
      <c r="AA318" s="91"/>
    </row>
    <row r="319" spans="1:27" ht="14.4" customHeight="1" x14ac:dyDescent="0.3">
      <c r="A319">
        <v>517228</v>
      </c>
      <c r="B319"/>
      <c r="C319" t="s">
        <v>385</v>
      </c>
      <c r="D319" s="87" t="str">
        <f t="shared" si="20"/>
        <v>51</v>
      </c>
      <c r="E319" s="92"/>
      <c r="F319" s="103">
        <f>(+IFERROR(VLOOKUP($A319,'[152]BG (2)'!$B$9:$J$570,4,FALSE),0))*1</f>
        <v>0</v>
      </c>
      <c r="G319" s="73">
        <f>(+IFERROR(VLOOKUP($A319,'[152]BG (2)'!$B$9:$J$570,5,FALSE),0))*-1</f>
        <v>0</v>
      </c>
      <c r="H319" s="93">
        <f>(+IFERROR(VLOOKUP($A319,'[152]BG (2)'!$B$9:$J$570,6,FALSE),0))*1</f>
        <v>0</v>
      </c>
      <c r="I319" s="73">
        <f>(+IFERROR(VLOOKUP($A319,'[152]BG (2)'!$B$9:$J$570,7,FALSE),0))*-1</f>
        <v>0</v>
      </c>
      <c r="J319" s="89">
        <f>(+IFERROR(VLOOKUP($A319,'[152]BG (2)'!$B$9:$J$570,8,FALSE),0))*1</f>
        <v>0</v>
      </c>
      <c r="K319" s="73">
        <f>(+IFERROR(VLOOKUP($A319,'[152]BG (2)'!$B$9:$J$570,9,FALSE),0))*-1</f>
        <v>0</v>
      </c>
      <c r="L319" s="75"/>
      <c r="M319" s="101"/>
      <c r="P319" s="90">
        <f t="shared" si="19"/>
        <v>0</v>
      </c>
      <c r="S319" s="90"/>
      <c r="T319" s="128">
        <f t="shared" si="22"/>
        <v>0</v>
      </c>
      <c r="U319" s="95"/>
      <c r="V319" s="72"/>
      <c r="W319" s="75" t="e">
        <f>+A319-#REF!</f>
        <v>#REF!</v>
      </c>
      <c r="X319" s="1270"/>
      <c r="Y319" s="91"/>
      <c r="Z319" s="91"/>
      <c r="AA319" s="91"/>
    </row>
    <row r="320" spans="1:27" ht="14.4" customHeight="1" x14ac:dyDescent="0.3">
      <c r="A320">
        <v>521091</v>
      </c>
      <c r="B320" t="s">
        <v>415</v>
      </c>
      <c r="C320" t="s">
        <v>385</v>
      </c>
      <c r="D320" s="87" t="str">
        <f t="shared" si="20"/>
        <v>52</v>
      </c>
      <c r="E320" s="92"/>
      <c r="F320" s="103">
        <f>(+IFERROR(VLOOKUP($A320,'[152]BG (2)'!$B$9:$J$570,4,FALSE),0))*1</f>
        <v>0</v>
      </c>
      <c r="G320" s="73">
        <f>(+IFERROR(VLOOKUP($A320,'[152]BG (2)'!$B$9:$J$570,5,FALSE),0))*-1</f>
        <v>-300379173</v>
      </c>
      <c r="H320" s="93">
        <f>(+IFERROR(VLOOKUP($A320,'[152]BG (2)'!$B$9:$J$570,6,FALSE),0))*1</f>
        <v>15713891351</v>
      </c>
      <c r="I320" s="73">
        <f>(+IFERROR(VLOOKUP($A320,'[152]BG (2)'!$B$9:$J$570,7,FALSE),0))*-1</f>
        <v>-15614489988</v>
      </c>
      <c r="J320" s="89">
        <f>(+IFERROR(VLOOKUP($A320,'[152]BG (2)'!$B$9:$J$570,8,FALSE),0))*1</f>
        <v>0</v>
      </c>
      <c r="K320" s="73">
        <f>(+IFERROR(VLOOKUP($A320,'[152]BG (2)'!$B$9:$J$570,9,FALSE),0))*-1</f>
        <v>-200977810</v>
      </c>
      <c r="L320" s="75"/>
      <c r="M320" s="101"/>
      <c r="P320" s="90">
        <f t="shared" si="19"/>
        <v>-200977810</v>
      </c>
      <c r="S320" s="90"/>
      <c r="T320" s="128"/>
      <c r="U320" s="95"/>
      <c r="V320" s="72"/>
      <c r="W320" s="75" t="e">
        <f>+A320-#REF!</f>
        <v>#REF!</v>
      </c>
      <c r="X320" s="1270"/>
      <c r="Y320" s="91"/>
      <c r="Z320" s="91"/>
      <c r="AA320" s="91"/>
    </row>
    <row r="321" spans="1:27" ht="14.4" customHeight="1" x14ac:dyDescent="0.3">
      <c r="A321" s="1684">
        <v>521101</v>
      </c>
      <c r="B321" s="1684" t="s">
        <v>2564</v>
      </c>
      <c r="C321" t="s">
        <v>2546</v>
      </c>
      <c r="D321" s="87" t="str">
        <f>+LEFT(A321,2)</f>
        <v>52</v>
      </c>
      <c r="E321" s="92"/>
      <c r="F321" s="103">
        <f>(+IFERROR(VLOOKUP($A321,'[152]BG (2)'!$B$9:$J$570,4,FALSE),0))*1</f>
        <v>0</v>
      </c>
      <c r="G321" s="73">
        <f>(+IFERROR(VLOOKUP($A321,'[152]BG (2)'!$B$9:$J$570,5,FALSE),0))*-1</f>
        <v>0</v>
      </c>
      <c r="H321" s="93">
        <f>(+IFERROR(VLOOKUP($A321,'[152]BG (2)'!$B$9:$J$570,6,FALSE),0))*1</f>
        <v>40590773</v>
      </c>
      <c r="I321" s="73">
        <f>(+IFERROR(VLOOKUP($A321,'[152]BG (2)'!$B$9:$J$570,7,FALSE),0))*-1</f>
        <v>-20907601</v>
      </c>
      <c r="J321" s="89">
        <f>(+IFERROR(VLOOKUP($A321,'[152]BG (2)'!$B$9:$J$570,8,FALSE),0))*1</f>
        <v>19683172</v>
      </c>
      <c r="K321" s="73">
        <f>(+IFERROR(VLOOKUP($A321,'[152]BG (2)'!$B$9:$J$570,9,FALSE),0))*-1</f>
        <v>0</v>
      </c>
      <c r="L321" s="75"/>
      <c r="M321" s="101"/>
      <c r="P321" s="90">
        <f t="shared" si="19"/>
        <v>19683172</v>
      </c>
      <c r="S321" s="90"/>
      <c r="T321" s="128"/>
      <c r="U321" s="95"/>
      <c r="V321" s="72"/>
      <c r="W321" s="75" t="e">
        <f>+A321-#REF!</f>
        <v>#REF!</v>
      </c>
      <c r="X321" s="1270"/>
      <c r="Y321" s="91"/>
      <c r="Z321" s="91"/>
      <c r="AA321" s="91"/>
    </row>
    <row r="322" spans="1:27" ht="14.4" customHeight="1" x14ac:dyDescent="0.3">
      <c r="A322">
        <v>521120</v>
      </c>
      <c r="B322" t="s">
        <v>416</v>
      </c>
      <c r="C322" t="s">
        <v>385</v>
      </c>
      <c r="D322" s="87" t="str">
        <f t="shared" si="20"/>
        <v>52</v>
      </c>
      <c r="E322" s="92"/>
      <c r="F322" s="103">
        <f>(+IFERROR(VLOOKUP($A322,'[152]BG (2)'!$B$9:$J$570,4,FALSE),0))*1</f>
        <v>0</v>
      </c>
      <c r="G322" s="73">
        <f>(+IFERROR(VLOOKUP($A322,'[152]BG (2)'!$B$9:$J$570,5,FALSE),0))*-1</f>
        <v>0</v>
      </c>
      <c r="H322" s="93">
        <f>(+IFERROR(VLOOKUP($A322,'[152]BG (2)'!$B$9:$J$570,6,FALSE),0))*1</f>
        <v>0</v>
      </c>
      <c r="I322" s="73">
        <f>(+IFERROR(VLOOKUP($A322,'[152]BG (2)'!$B$9:$J$570,7,FALSE),0))*-1</f>
        <v>0</v>
      </c>
      <c r="J322" s="89">
        <f>(+IFERROR(VLOOKUP($A322,'[152]BG (2)'!$B$9:$J$570,8,FALSE),0))*1</f>
        <v>0</v>
      </c>
      <c r="K322" s="73">
        <f>(+IFERROR(VLOOKUP($A322,'[152]BG (2)'!$B$9:$J$570,9,FALSE),0))*-1</f>
        <v>0</v>
      </c>
      <c r="L322" s="75"/>
      <c r="M322" s="101"/>
      <c r="P322" s="90">
        <f t="shared" si="19"/>
        <v>0</v>
      </c>
      <c r="S322" s="90"/>
      <c r="T322" s="127">
        <f t="shared" ref="T322:T327" si="23">K322+J322</f>
        <v>0</v>
      </c>
      <c r="U322" s="95"/>
      <c r="V322" s="72"/>
      <c r="W322" s="75" t="e">
        <f>+A322-#REF!</f>
        <v>#REF!</v>
      </c>
      <c r="X322" s="1270"/>
      <c r="Y322" s="91"/>
      <c r="Z322" s="91"/>
      <c r="AA322" s="91"/>
    </row>
    <row r="323" spans="1:27" ht="14.4" customHeight="1" x14ac:dyDescent="0.3">
      <c r="A323">
        <v>521150</v>
      </c>
      <c r="B323" t="s">
        <v>417</v>
      </c>
      <c r="C323" t="s">
        <v>385</v>
      </c>
      <c r="D323" s="87" t="str">
        <f t="shared" si="20"/>
        <v>52</v>
      </c>
      <c r="E323" s="92"/>
      <c r="F323" s="103">
        <f>(+IFERROR(VLOOKUP($A323,'[152]BG (2)'!$B$9:$J$570,4,FALSE),0))*1</f>
        <v>398802299</v>
      </c>
      <c r="G323" s="73">
        <f>(+IFERROR(VLOOKUP($A323,'[152]BG (2)'!$B$9:$J$570,5,FALSE),0))*-1</f>
        <v>0</v>
      </c>
      <c r="H323" s="93">
        <f>(+IFERROR(VLOOKUP($A323,'[152]BG (2)'!$B$9:$J$570,6,FALSE),0))*1</f>
        <v>23154232060</v>
      </c>
      <c r="I323" s="73">
        <f>(+IFERROR(VLOOKUP($A323,'[152]BG (2)'!$B$9:$J$570,7,FALSE),0))*-1</f>
        <v>-23567811689</v>
      </c>
      <c r="J323" s="89">
        <f>(+IFERROR(VLOOKUP($A323,'[152]BG (2)'!$B$9:$J$570,8,FALSE),0))*1</f>
        <v>0</v>
      </c>
      <c r="K323" s="73">
        <f>(+IFERROR(VLOOKUP($A323,'[152]BG (2)'!$B$9:$J$570,9,FALSE),0))*-1</f>
        <v>-14777330</v>
      </c>
      <c r="L323" s="75"/>
      <c r="M323" s="101"/>
      <c r="P323" s="90">
        <f t="shared" si="19"/>
        <v>-14777330</v>
      </c>
      <c r="S323" s="90"/>
      <c r="T323" s="128">
        <f t="shared" si="23"/>
        <v>-14777330</v>
      </c>
      <c r="U323" s="95"/>
      <c r="V323" s="72"/>
      <c r="W323" s="75" t="e">
        <f>+A323-#REF!</f>
        <v>#REF!</v>
      </c>
      <c r="X323" s="1270"/>
      <c r="Y323" s="91"/>
      <c r="Z323" s="91"/>
      <c r="AA323" s="91"/>
    </row>
    <row r="324" spans="1:27" ht="14.4" customHeight="1" x14ac:dyDescent="0.3">
      <c r="A324">
        <v>521160</v>
      </c>
      <c r="B324" t="s">
        <v>418</v>
      </c>
      <c r="C324" t="s">
        <v>385</v>
      </c>
      <c r="D324" s="87" t="str">
        <f t="shared" si="20"/>
        <v>52</v>
      </c>
      <c r="E324" s="92"/>
      <c r="F324" s="103">
        <f>(+IFERROR(VLOOKUP($A324,'[152]BG (2)'!$B$9:$J$570,4,FALSE),0))*1</f>
        <v>10223654</v>
      </c>
      <c r="G324" s="73">
        <f>(+IFERROR(VLOOKUP($A324,'[152]BG (2)'!$B$9:$J$570,5,FALSE),0))*-1</f>
        <v>0</v>
      </c>
      <c r="H324" s="93">
        <f>(+IFERROR(VLOOKUP($A324,'[152]BG (2)'!$B$9:$J$570,6,FALSE),0))*1</f>
        <v>3654940346</v>
      </c>
      <c r="I324" s="73">
        <f>(+IFERROR(VLOOKUP($A324,'[152]BG (2)'!$B$9:$J$570,7,FALSE),0))*-1</f>
        <v>-3557231214</v>
      </c>
      <c r="J324" s="89">
        <f>(+IFERROR(VLOOKUP($A324,'[152]BG (2)'!$B$9:$J$570,8,FALSE),0))*1</f>
        <v>107932786</v>
      </c>
      <c r="K324" s="73">
        <f>(+IFERROR(VLOOKUP($A324,'[152]BG (2)'!$B$9:$J$570,9,FALSE),0))*-1</f>
        <v>0</v>
      </c>
      <c r="L324" s="75"/>
      <c r="M324" s="101"/>
      <c r="P324" s="90">
        <f t="shared" si="19"/>
        <v>107932786</v>
      </c>
      <c r="S324" s="90"/>
      <c r="T324" s="128">
        <f t="shared" si="23"/>
        <v>107932786</v>
      </c>
      <c r="U324" s="95"/>
      <c r="V324" s="72"/>
      <c r="W324" s="75" t="e">
        <f>+A324-#REF!</f>
        <v>#REF!</v>
      </c>
      <c r="X324" s="1270"/>
      <c r="Y324" s="91"/>
      <c r="Z324" s="91"/>
      <c r="AA324" s="91"/>
    </row>
    <row r="325" spans="1:27" ht="14.4" customHeight="1" x14ac:dyDescent="0.3">
      <c r="A325">
        <v>521170</v>
      </c>
      <c r="B325" t="s">
        <v>419</v>
      </c>
      <c r="C325" t="s">
        <v>385</v>
      </c>
      <c r="D325" s="87" t="str">
        <f t="shared" si="20"/>
        <v>52</v>
      </c>
      <c r="E325" s="92"/>
      <c r="F325" s="103">
        <f>(+IFERROR(VLOOKUP($A325,'[152]BG (2)'!$B$9:$J$570,4,FALSE),0))*1</f>
        <v>0</v>
      </c>
      <c r="G325" s="73">
        <f>(+IFERROR(VLOOKUP($A325,'[152]BG (2)'!$B$9:$J$570,5,FALSE),0))*-1</f>
        <v>-6262180206</v>
      </c>
      <c r="H325" s="93">
        <f>(+IFERROR(VLOOKUP($A325,'[152]BG (2)'!$B$9:$J$570,6,FALSE),0))*1</f>
        <v>56992712230</v>
      </c>
      <c r="I325" s="73">
        <f>(+IFERROR(VLOOKUP($A325,'[152]BG (2)'!$B$9:$J$570,7,FALSE),0))*-1</f>
        <v>-59149190604</v>
      </c>
      <c r="J325" s="89">
        <f>(+IFERROR(VLOOKUP($A325,'[152]BG (2)'!$B$9:$J$570,8,FALSE),0))*1</f>
        <v>0</v>
      </c>
      <c r="K325" s="73">
        <f>(+IFERROR(VLOOKUP($A325,'[152]BG (2)'!$B$9:$J$570,9,FALSE),0))*-1</f>
        <v>-8418658580</v>
      </c>
      <c r="L325" s="75"/>
      <c r="M325" s="101"/>
      <c r="P325" s="90">
        <f t="shared" ref="P325:P389" si="24">J325+K325</f>
        <v>-8418658580</v>
      </c>
      <c r="S325" s="90"/>
      <c r="T325" s="127">
        <f t="shared" si="23"/>
        <v>-8418658580</v>
      </c>
      <c r="U325" s="95"/>
      <c r="V325" s="72"/>
      <c r="W325" s="75" t="e">
        <f>+A325-#REF!</f>
        <v>#REF!</v>
      </c>
      <c r="X325" s="1270"/>
      <c r="Y325" s="91"/>
      <c r="Z325" s="91"/>
      <c r="AA325" s="91"/>
    </row>
    <row r="326" spans="1:27" ht="14.4" customHeight="1" x14ac:dyDescent="0.3">
      <c r="A326">
        <v>521172</v>
      </c>
      <c r="B326" t="s">
        <v>420</v>
      </c>
      <c r="C326" t="s">
        <v>385</v>
      </c>
      <c r="D326" s="87" t="str">
        <f t="shared" si="20"/>
        <v>52</v>
      </c>
      <c r="E326" s="92"/>
      <c r="F326" s="103">
        <f>(+IFERROR(VLOOKUP($A326,'[152]BG (2)'!$B$9:$J$570,4,FALSE),0))*1</f>
        <v>0</v>
      </c>
      <c r="G326" s="73">
        <f>(+IFERROR(VLOOKUP($A326,'[152]BG (2)'!$B$9:$J$570,5,FALSE),0))*-1</f>
        <v>0</v>
      </c>
      <c r="H326" s="93">
        <f>(+IFERROR(VLOOKUP($A326,'[152]BG (2)'!$B$9:$J$570,6,FALSE),0))*1</f>
        <v>4367405090</v>
      </c>
      <c r="I326" s="73">
        <f>(+IFERROR(VLOOKUP($A326,'[152]BG (2)'!$B$9:$J$570,7,FALSE),0))*-1</f>
        <v>-4367405090</v>
      </c>
      <c r="J326" s="89">
        <f>(+IFERROR(VLOOKUP($A326,'[152]BG (2)'!$B$9:$J$570,8,FALSE),0))*1</f>
        <v>0</v>
      </c>
      <c r="K326" s="73">
        <f>(+IFERROR(VLOOKUP($A326,'[152]BG (2)'!$B$9:$J$570,9,FALSE),0))*-1</f>
        <v>0</v>
      </c>
      <c r="L326" s="75"/>
      <c r="M326" s="101"/>
      <c r="P326" s="90">
        <f t="shared" si="24"/>
        <v>0</v>
      </c>
      <c r="S326" s="90"/>
      <c r="T326" s="127">
        <f t="shared" si="23"/>
        <v>0</v>
      </c>
      <c r="U326" s="95"/>
      <c r="V326" s="72"/>
      <c r="W326" s="75" t="e">
        <f>+A326-#REF!</f>
        <v>#REF!</v>
      </c>
      <c r="X326" s="1270"/>
      <c r="Y326" s="91"/>
      <c r="Z326" s="91"/>
      <c r="AA326" s="91"/>
    </row>
    <row r="327" spans="1:27" ht="14.4" customHeight="1" x14ac:dyDescent="0.3">
      <c r="A327">
        <v>521173</v>
      </c>
      <c r="B327" t="s">
        <v>421</v>
      </c>
      <c r="C327" t="s">
        <v>385</v>
      </c>
      <c r="D327" s="87" t="str">
        <f t="shared" si="20"/>
        <v>52</v>
      </c>
      <c r="E327" s="92"/>
      <c r="F327" s="103">
        <f>(+IFERROR(VLOOKUP($A327,'[152]BG (2)'!$B$9:$J$570,4,FALSE),0))*1</f>
        <v>982217266</v>
      </c>
      <c r="G327" s="73">
        <f>(+IFERROR(VLOOKUP($A327,'[152]BG (2)'!$B$9:$J$570,5,FALSE),0))*-1</f>
        <v>0</v>
      </c>
      <c r="H327" s="93">
        <f>(+IFERROR(VLOOKUP($A327,'[152]BG (2)'!$B$9:$J$570,6,FALSE),0))*1</f>
        <v>3269831205</v>
      </c>
      <c r="I327" s="73">
        <f>(+IFERROR(VLOOKUP($A327,'[152]BG (2)'!$B$9:$J$570,7,FALSE),0))*-1</f>
        <v>-4000000000</v>
      </c>
      <c r="J327" s="89">
        <f>(+IFERROR(VLOOKUP($A327,'[152]BG (2)'!$B$9:$J$570,8,FALSE),0))*1</f>
        <v>252048471</v>
      </c>
      <c r="K327" s="73">
        <f>(+IFERROR(VLOOKUP($A327,'[152]BG (2)'!$B$9:$J$570,9,FALSE),0))*-1</f>
        <v>0</v>
      </c>
      <c r="L327" s="75"/>
      <c r="M327" s="101"/>
      <c r="P327" s="90">
        <f t="shared" si="24"/>
        <v>252048471</v>
      </c>
      <c r="S327" s="90"/>
      <c r="T327" s="128">
        <f t="shared" si="23"/>
        <v>252048471</v>
      </c>
      <c r="U327" s="95"/>
      <c r="V327" s="72"/>
      <c r="W327" s="75" t="e">
        <f>+A327-#REF!</f>
        <v>#REF!</v>
      </c>
      <c r="X327" s="1270"/>
      <c r="Y327" s="91"/>
      <c r="Z327" s="91"/>
      <c r="AA327" s="91"/>
    </row>
    <row r="328" spans="1:27" ht="14.4" customHeight="1" x14ac:dyDescent="0.3">
      <c r="A328">
        <v>521175</v>
      </c>
      <c r="B328" s="1284" t="s">
        <v>2243</v>
      </c>
      <c r="C328" t="s">
        <v>385</v>
      </c>
      <c r="D328" s="87" t="str">
        <f t="shared" ref="D328:D397" si="25">+LEFT(A328,2)</f>
        <v>52</v>
      </c>
      <c r="E328" s="92"/>
      <c r="F328" s="103">
        <f>(+IFERROR(VLOOKUP($A328,'[152]BG (2)'!$B$9:$J$570,4,FALSE),0))*1</f>
        <v>208264393</v>
      </c>
      <c r="G328" s="73">
        <f>(+IFERROR(VLOOKUP($A328,'[152]BG (2)'!$B$9:$J$570,5,FALSE),0))*-1</f>
        <v>0</v>
      </c>
      <c r="H328" s="93">
        <f>(+IFERROR(VLOOKUP($A328,'[152]BG (2)'!$B$9:$J$570,6,FALSE),0))*1</f>
        <v>1982416600</v>
      </c>
      <c r="I328" s="73">
        <f>(+IFERROR(VLOOKUP($A328,'[152]BG (2)'!$B$9:$J$570,7,FALSE),0))*-1</f>
        <v>-2141035417</v>
      </c>
      <c r="J328" s="89">
        <f>(+IFERROR(VLOOKUP($A328,'[152]BG (2)'!$B$9:$J$570,8,FALSE),0))*1</f>
        <v>49645576</v>
      </c>
      <c r="K328" s="73">
        <f>(+IFERROR(VLOOKUP($A328,'[152]BG (2)'!$B$9:$J$570,9,FALSE),0))*-1</f>
        <v>0</v>
      </c>
      <c r="L328" s="75"/>
      <c r="M328" s="101"/>
      <c r="P328" s="90">
        <f t="shared" si="24"/>
        <v>49645576</v>
      </c>
      <c r="S328" s="90"/>
      <c r="T328" s="128"/>
      <c r="U328" s="95"/>
      <c r="V328" s="72"/>
      <c r="W328" s="75"/>
      <c r="X328" s="1270"/>
      <c r="Y328" s="91"/>
      <c r="Z328" s="91"/>
      <c r="AA328" s="91"/>
    </row>
    <row r="329" spans="1:27" ht="14.4" customHeight="1" x14ac:dyDescent="0.3">
      <c r="A329" s="1443">
        <v>521177</v>
      </c>
      <c r="B329" s="1443" t="s">
        <v>2370</v>
      </c>
      <c r="C329" t="s">
        <v>385</v>
      </c>
      <c r="D329" s="87" t="str">
        <f t="shared" si="25"/>
        <v>52</v>
      </c>
      <c r="E329" s="72"/>
      <c r="F329" s="72">
        <f>(+IFERROR(VLOOKUP($A329,'[152]BG (2)'!$B$9:$J$570,4,FALSE),0))*1</f>
        <v>9966848</v>
      </c>
      <c r="G329" s="72">
        <f>(+IFERROR(VLOOKUP($A329,'[152]BG (2)'!$B$9:$J$570,5,FALSE),0))*-1</f>
        <v>0</v>
      </c>
      <c r="H329" s="72">
        <f>(+IFERROR(VLOOKUP($A329,'[152]BG (2)'!$B$9:$J$570,6,FALSE),0))*1</f>
        <v>78008355</v>
      </c>
      <c r="I329" s="72">
        <f>(+IFERROR(VLOOKUP($A329,'[152]BG (2)'!$B$9:$J$570,7,FALSE),0))*-1</f>
        <v>-12399603</v>
      </c>
      <c r="J329" s="72">
        <f>(+IFERROR(VLOOKUP($A329,'[152]BG (2)'!$B$9:$J$570,8,FALSE),0))*1</f>
        <v>75575600</v>
      </c>
      <c r="K329" s="91">
        <f>(+IFERROR(VLOOKUP($A329,'[152]BG (2)'!$B$9:$J$570,9,FALSE),0))*-1</f>
        <v>0</v>
      </c>
      <c r="L329" s="72"/>
      <c r="M329" s="72"/>
      <c r="N329" s="72"/>
      <c r="O329" s="72"/>
      <c r="P329" s="90">
        <f t="shared" si="24"/>
        <v>75575600</v>
      </c>
      <c r="Q329" s="72"/>
      <c r="R329" s="72"/>
      <c r="S329"/>
      <c r="T329"/>
      <c r="U329"/>
      <c r="V329" s="72"/>
      <c r="Y329" s="91"/>
      <c r="Z329" s="91"/>
      <c r="AA329" s="91"/>
    </row>
    <row r="330" spans="1:27" ht="14.4" customHeight="1" x14ac:dyDescent="0.3">
      <c r="A330" s="1443">
        <v>521203</v>
      </c>
      <c r="B330" s="1443" t="s">
        <v>2371</v>
      </c>
      <c r="C330" t="s">
        <v>385</v>
      </c>
      <c r="D330" s="87" t="str">
        <f t="shared" si="25"/>
        <v>52</v>
      </c>
      <c r="E330" s="72"/>
      <c r="F330" s="72">
        <f>(+IFERROR(VLOOKUP($A330,'[152]BG (2)'!$B$9:$J$570,4,FALSE),0))*1</f>
        <v>17810519</v>
      </c>
      <c r="G330" s="73">
        <f>(+IFERROR(VLOOKUP($A330,'[152]BG (2)'!$B$9:$J$570,5,FALSE),0))*-1</f>
        <v>0</v>
      </c>
      <c r="H330" s="72">
        <f>(+IFERROR(VLOOKUP($A330,'[152]BG (2)'!$B$9:$J$570,6,FALSE),0))*1</f>
        <v>578908659</v>
      </c>
      <c r="I330" s="72">
        <f>(+IFERROR(VLOOKUP($A330,'[152]BG (2)'!$B$9:$J$570,7,FALSE),0))*-1</f>
        <v>-79431023</v>
      </c>
      <c r="J330" s="72">
        <f>(+IFERROR(VLOOKUP($A330,'[152]BG (2)'!$B$9:$J$570,8,FALSE),0))*1</f>
        <v>517288155</v>
      </c>
      <c r="K330" s="91">
        <f>(+IFERROR(VLOOKUP($A330,'[152]BG (2)'!$B$9:$J$570,9,FALSE),0))*-1</f>
        <v>0</v>
      </c>
      <c r="L330" s="72"/>
      <c r="M330" s="72"/>
      <c r="N330" s="72"/>
      <c r="O330" s="72"/>
      <c r="P330" s="90">
        <f t="shared" si="24"/>
        <v>517288155</v>
      </c>
      <c r="Q330" s="72"/>
      <c r="R330" s="72"/>
      <c r="S330"/>
      <c r="V330" s="72"/>
      <c r="Y330" s="91"/>
      <c r="Z330" s="91"/>
      <c r="AA330" s="91"/>
    </row>
    <row r="331" spans="1:27" ht="14.4" customHeight="1" x14ac:dyDescent="0.3">
      <c r="A331" s="1443">
        <v>521205</v>
      </c>
      <c r="B331" s="1443" t="s">
        <v>2542</v>
      </c>
      <c r="C331" t="s">
        <v>2546</v>
      </c>
      <c r="D331" s="87" t="str">
        <f t="shared" si="25"/>
        <v>52</v>
      </c>
      <c r="E331" s="72"/>
      <c r="F331" s="72">
        <f>(+IFERROR(VLOOKUP($A331,'[152]BG (2)'!$B$9:$J$570,4,FALSE),0))*1</f>
        <v>0</v>
      </c>
      <c r="G331" s="73">
        <f>(+IFERROR(VLOOKUP($A331,'[152]BG (2)'!$B$9:$J$570,5,FALSE),0))*-1</f>
        <v>0</v>
      </c>
      <c r="H331" s="72">
        <f>(+IFERROR(VLOOKUP($A331,'[152]BG (2)'!$B$9:$J$570,6,FALSE),0))*1</f>
        <v>153098302</v>
      </c>
      <c r="I331" s="72">
        <f>(+IFERROR(VLOOKUP($A331,'[152]BG (2)'!$B$9:$J$570,7,FALSE),0))*-1</f>
        <v>-44000</v>
      </c>
      <c r="J331" s="72">
        <f>(+IFERROR(VLOOKUP($A331,'[152]BG (2)'!$B$9:$J$570,8,FALSE),0))*1</f>
        <v>153054302</v>
      </c>
      <c r="K331" s="91">
        <f>(+IFERROR(VLOOKUP($A331,'[152]BG (2)'!$B$9:$J$570,9,FALSE),0))*-1</f>
        <v>0</v>
      </c>
      <c r="L331" s="72"/>
      <c r="M331" s="72"/>
      <c r="N331" s="72"/>
      <c r="O331" s="72"/>
      <c r="P331" s="90">
        <f t="shared" si="24"/>
        <v>153054302</v>
      </c>
      <c r="Q331" s="72"/>
      <c r="R331" s="72"/>
      <c r="S331"/>
      <c r="V331" s="72"/>
      <c r="Y331" s="91"/>
      <c r="Z331" s="91"/>
      <c r="AA331" s="91"/>
    </row>
    <row r="332" spans="1:27" ht="14.4" customHeight="1" x14ac:dyDescent="0.3">
      <c r="A332" s="1443">
        <v>521206</v>
      </c>
      <c r="B332" s="1443" t="s">
        <v>2543</v>
      </c>
      <c r="C332" t="s">
        <v>2547</v>
      </c>
      <c r="D332" s="87" t="str">
        <f t="shared" si="25"/>
        <v>52</v>
      </c>
      <c r="E332" s="72"/>
      <c r="F332" s="72">
        <f>(+IFERROR(VLOOKUP($A332,'[152]BG (2)'!$B$9:$J$570,4,FALSE),0))*1</f>
        <v>0</v>
      </c>
      <c r="G332" s="73">
        <f>(+IFERROR(VLOOKUP($A332,'[152]BG (2)'!$B$9:$J$570,5,FALSE),0))*-1</f>
        <v>0</v>
      </c>
      <c r="H332" s="72">
        <f>(+IFERROR(VLOOKUP($A332,'[152]BG (2)'!$B$9:$J$570,6,FALSE),0))*1</f>
        <v>7819847</v>
      </c>
      <c r="I332" s="72">
        <f>(+IFERROR(VLOOKUP($A332,'[152]BG (2)'!$B$9:$J$570,7,FALSE),0))*-1</f>
        <v>-140496</v>
      </c>
      <c r="J332" s="72">
        <f>(+IFERROR(VLOOKUP($A332,'[152]BG (2)'!$B$9:$J$570,8,FALSE),0))*1</f>
        <v>7679351</v>
      </c>
      <c r="K332" s="91">
        <f>(+IFERROR(VLOOKUP($A332,'[152]BG (2)'!$B$9:$J$570,9,FALSE),0))*-1</f>
        <v>0</v>
      </c>
      <c r="L332" s="72"/>
      <c r="M332" s="72"/>
      <c r="N332" s="72"/>
      <c r="O332" s="72"/>
      <c r="P332" s="90">
        <f t="shared" si="24"/>
        <v>7679351</v>
      </c>
      <c r="Q332" s="72"/>
      <c r="R332" s="72"/>
      <c r="S332"/>
      <c r="V332" s="72"/>
      <c r="Y332" s="91"/>
      <c r="Z332" s="91"/>
      <c r="AA332" s="91"/>
    </row>
    <row r="333" spans="1:27" ht="14.4" customHeight="1" x14ac:dyDescent="0.3">
      <c r="A333" s="1443">
        <v>521207</v>
      </c>
      <c r="B333" s="1443" t="s">
        <v>2544</v>
      </c>
      <c r="C333" t="s">
        <v>2548</v>
      </c>
      <c r="D333" s="87" t="str">
        <f t="shared" si="25"/>
        <v>52</v>
      </c>
      <c r="E333" s="72"/>
      <c r="F333" s="72">
        <f>(+IFERROR(VLOOKUP($A333,'[152]BG (2)'!$B$9:$J$570,4,FALSE),0))*1</f>
        <v>0</v>
      </c>
      <c r="G333" s="73">
        <f>(+IFERROR(VLOOKUP($A333,'[152]BG (2)'!$B$9:$J$570,5,FALSE),0))*-1</f>
        <v>0</v>
      </c>
      <c r="H333" s="72">
        <f>(+IFERROR(VLOOKUP($A333,'[152]BG (2)'!$B$9:$J$570,6,FALSE),0))*1</f>
        <v>65544349</v>
      </c>
      <c r="I333" s="72">
        <f>(+IFERROR(VLOOKUP($A333,'[152]BG (2)'!$B$9:$J$570,7,FALSE),0))*-1</f>
        <v>-88000</v>
      </c>
      <c r="J333" s="72">
        <f>(+IFERROR(VLOOKUP($A333,'[152]BG (2)'!$B$9:$J$570,8,FALSE),0))*1</f>
        <v>65456349</v>
      </c>
      <c r="K333" s="91">
        <f>(+IFERROR(VLOOKUP($A333,'[152]BG (2)'!$B$9:$J$570,9,FALSE),0))*-1</f>
        <v>0</v>
      </c>
      <c r="L333" s="72"/>
      <c r="M333" s="72"/>
      <c r="N333" s="72"/>
      <c r="O333" s="72"/>
      <c r="P333" s="90">
        <f t="shared" si="24"/>
        <v>65456349</v>
      </c>
      <c r="Q333" s="72"/>
      <c r="R333" s="72"/>
      <c r="S333"/>
      <c r="V333" s="72"/>
      <c r="Y333" s="91"/>
      <c r="Z333" s="91"/>
      <c r="AA333" s="91"/>
    </row>
    <row r="334" spans="1:27" ht="14.4" customHeight="1" x14ac:dyDescent="0.3">
      <c r="A334" s="1684">
        <v>521208</v>
      </c>
      <c r="B334" s="1684" t="s">
        <v>2571</v>
      </c>
      <c r="C334" t="s">
        <v>2549</v>
      </c>
      <c r="D334" s="87" t="str">
        <f t="shared" si="25"/>
        <v>52</v>
      </c>
      <c r="E334" s="72"/>
      <c r="F334" s="72">
        <f>(+IFERROR(VLOOKUP($A334,'[152]BG (2)'!$B$9:$J$570,4,FALSE),0))*1</f>
        <v>0</v>
      </c>
      <c r="G334" s="73">
        <f>(+IFERROR(VLOOKUP($A334,'[152]BG (2)'!$B$9:$J$570,5,FALSE),0))*-1</f>
        <v>0</v>
      </c>
      <c r="H334" s="72">
        <f>(+IFERROR(VLOOKUP($A334,'[152]BG (2)'!$B$9:$J$570,6,FALSE),0))*1</f>
        <v>14292500</v>
      </c>
      <c r="I334" s="72">
        <f>(+IFERROR(VLOOKUP($A334,'[152]BG (2)'!$B$9:$J$570,7,FALSE),0))*-1</f>
        <v>0</v>
      </c>
      <c r="J334" s="72">
        <f>(+IFERROR(VLOOKUP($A334,'[152]BG (2)'!$B$9:$J$570,8,FALSE),0))*1</f>
        <v>14292500</v>
      </c>
      <c r="K334" s="91">
        <f>(+IFERROR(VLOOKUP($A334,'[152]BG (2)'!$B$9:$J$570,9,FALSE),0))*-1</f>
        <v>0</v>
      </c>
      <c r="L334" s="72"/>
      <c r="M334" s="72"/>
      <c r="N334" s="72"/>
      <c r="O334" s="72"/>
      <c r="P334" s="90"/>
      <c r="Q334" s="72"/>
      <c r="R334" s="72"/>
      <c r="S334"/>
      <c r="V334" s="72"/>
      <c r="Y334" s="91"/>
      <c r="Z334" s="91"/>
      <c r="AA334" s="91"/>
    </row>
    <row r="335" spans="1:27" ht="14.4" customHeight="1" x14ac:dyDescent="0.3">
      <c r="A335" s="1443">
        <v>525160</v>
      </c>
      <c r="B335" s="1443" t="s">
        <v>2545</v>
      </c>
      <c r="C335" t="s">
        <v>2549</v>
      </c>
      <c r="D335" s="87" t="str">
        <f t="shared" si="25"/>
        <v>52</v>
      </c>
      <c r="E335" s="72"/>
      <c r="F335" s="72">
        <f>(+IFERROR(VLOOKUP($A335,'[152]BG (2)'!$B$9:$J$570,4,FALSE),0))*1</f>
        <v>0</v>
      </c>
      <c r="G335" s="73">
        <f>(+IFERROR(VLOOKUP($A335,'[152]BG (2)'!$B$9:$J$570,5,FALSE),0))*-1</f>
        <v>0</v>
      </c>
      <c r="H335" s="72">
        <f>(+IFERROR(VLOOKUP($A335,'[152]BG (2)'!$B$9:$J$570,6,FALSE),0))*1</f>
        <v>311006790</v>
      </c>
      <c r="I335" s="72">
        <f>(+IFERROR(VLOOKUP($A335,'[152]BG (2)'!$B$9:$J$570,7,FALSE),0))*-1</f>
        <v>0</v>
      </c>
      <c r="J335" s="91">
        <f>(+IFERROR(VLOOKUP($A335,'[152]BG (2)'!$B$9:$J$570,8,FALSE),0))*1</f>
        <v>311006790</v>
      </c>
      <c r="K335" s="91">
        <f>(+IFERROR(VLOOKUP($A335,'[152]BG (2)'!$B$9:$J$570,9,FALSE),0))*-1</f>
        <v>0</v>
      </c>
      <c r="L335" s="72"/>
      <c r="M335" s="72"/>
      <c r="N335" s="72"/>
      <c r="O335" s="72"/>
      <c r="P335" s="90">
        <f t="shared" si="24"/>
        <v>311006790</v>
      </c>
      <c r="Q335" s="72"/>
      <c r="R335" s="72"/>
      <c r="S335"/>
      <c r="V335" s="72"/>
      <c r="Y335" s="91"/>
      <c r="Z335" s="91"/>
      <c r="AA335" s="91"/>
    </row>
    <row r="336" spans="1:27" ht="14.4" customHeight="1" x14ac:dyDescent="0.3">
      <c r="A336">
        <v>521180</v>
      </c>
      <c r="B336" t="s">
        <v>422</v>
      </c>
      <c r="C336" t="s">
        <v>385</v>
      </c>
      <c r="D336" s="87" t="str">
        <f t="shared" si="25"/>
        <v>52</v>
      </c>
      <c r="E336" s="92"/>
      <c r="F336" s="103">
        <f>(+IFERROR(VLOOKUP($A336,'[152]BG (2)'!$B$9:$J$570,4,FALSE),0))*1</f>
        <v>0</v>
      </c>
      <c r="G336" s="73">
        <f>(+IFERROR(VLOOKUP($A336,'[152]BG (2)'!$B$9:$J$570,5,FALSE),0))*-1</f>
        <v>-847041784</v>
      </c>
      <c r="H336" s="93">
        <f>(+IFERROR(VLOOKUP($A336,'[152]BG (2)'!$B$9:$J$570,6,FALSE),0))*1</f>
        <v>18169136531</v>
      </c>
      <c r="I336" s="73">
        <f>(+IFERROR(VLOOKUP($A336,'[152]BG (2)'!$B$9:$J$570,7,FALSE),0))*-1</f>
        <v>-18791354943</v>
      </c>
      <c r="J336" s="89">
        <f>(+IFERROR(VLOOKUP($A336,'[152]BG (2)'!$B$9:$J$570,8,FALSE),0))*1</f>
        <v>0</v>
      </c>
      <c r="K336" s="73">
        <f>(+IFERROR(VLOOKUP($A336,'[152]BG (2)'!$B$9:$J$570,9,FALSE),0))*-1</f>
        <v>-1469260196</v>
      </c>
      <c r="L336" s="75"/>
      <c r="M336" s="101"/>
      <c r="P336" s="90">
        <f t="shared" si="24"/>
        <v>-1469260196</v>
      </c>
      <c r="S336" s="90"/>
      <c r="T336" s="127">
        <f>K336+J336</f>
        <v>-1469260196</v>
      </c>
      <c r="U336" s="95"/>
      <c r="V336" s="72"/>
      <c r="W336" s="75" t="e">
        <f>+A336-#REF!</f>
        <v>#REF!</v>
      </c>
      <c r="X336" s="1270"/>
      <c r="Y336" s="91"/>
      <c r="Z336" s="91"/>
      <c r="AA336" s="91"/>
    </row>
    <row r="337" spans="1:27" customFormat="1" ht="14.4" customHeight="1" x14ac:dyDescent="0.3">
      <c r="A337">
        <v>521190</v>
      </c>
      <c r="B337" t="s">
        <v>423</v>
      </c>
      <c r="C337" t="s">
        <v>385</v>
      </c>
      <c r="D337" s="87" t="str">
        <f t="shared" si="25"/>
        <v>52</v>
      </c>
      <c r="E337" s="92"/>
      <c r="F337" s="103">
        <f>(+IFERROR(VLOOKUP($A337,'[152]BG (2)'!$B$9:$J$570,4,FALSE),0))*1</f>
        <v>46433434</v>
      </c>
      <c r="G337" s="73">
        <f>(+IFERROR(VLOOKUP($A337,'[152]BG (2)'!$B$9:$J$570,5,FALSE),0))*-1</f>
        <v>0</v>
      </c>
      <c r="H337" s="93">
        <f>(+IFERROR(VLOOKUP($A337,'[152]BG (2)'!$B$9:$J$570,6,FALSE),0))*1</f>
        <v>7611333981</v>
      </c>
      <c r="I337" s="73">
        <f>(+IFERROR(VLOOKUP($A337,'[152]BG (2)'!$B$9:$J$570,7,FALSE),0))*-1</f>
        <v>-7711766615</v>
      </c>
      <c r="J337" s="89">
        <f>(+IFERROR(VLOOKUP($A337,'[152]BG (2)'!$B$9:$J$570,8,FALSE),0))*1</f>
        <v>0</v>
      </c>
      <c r="K337" s="73">
        <f>(+IFERROR(VLOOKUP($A337,'[152]BG (2)'!$B$9:$J$570,9,FALSE),0))*-1</f>
        <v>-53999200</v>
      </c>
      <c r="L337" s="75"/>
      <c r="M337" s="101"/>
      <c r="N337" s="2"/>
      <c r="O337" s="2"/>
      <c r="P337" s="90">
        <f t="shared" si="24"/>
        <v>-53999200</v>
      </c>
      <c r="Q337" s="2"/>
      <c r="R337" s="2"/>
      <c r="S337" s="90"/>
      <c r="T337" s="128">
        <f>K337+J337</f>
        <v>-53999200</v>
      </c>
      <c r="U337" s="95"/>
      <c r="V337" s="72"/>
      <c r="W337" s="75" t="e">
        <f>+A337-#REF!</f>
        <v>#REF!</v>
      </c>
      <c r="X337" s="1270"/>
      <c r="Y337" s="91"/>
      <c r="Z337" s="91"/>
      <c r="AA337" s="91"/>
    </row>
    <row r="338" spans="1:27" customFormat="1" ht="14.4" customHeight="1" x14ac:dyDescent="0.3">
      <c r="A338">
        <v>521196</v>
      </c>
      <c r="B338" t="s">
        <v>424</v>
      </c>
      <c r="C338" t="s">
        <v>385</v>
      </c>
      <c r="D338" s="87" t="str">
        <f t="shared" si="25"/>
        <v>52</v>
      </c>
      <c r="E338" s="92"/>
      <c r="F338" s="103">
        <f>(+IFERROR(VLOOKUP($A338,'[152]BG (2)'!$B$9:$J$570,4,FALSE),0))*1</f>
        <v>0</v>
      </c>
      <c r="G338" s="73">
        <f>(+IFERROR(VLOOKUP($A338,'[152]BG (2)'!$B$9:$J$570,5,FALSE),0))*-1</f>
        <v>-2022463662</v>
      </c>
      <c r="H338" s="93">
        <f>(+IFERROR(VLOOKUP($A338,'[152]BG (2)'!$B$9:$J$570,6,FALSE),0))*1</f>
        <v>5223556054</v>
      </c>
      <c r="I338" s="73">
        <f>(+IFERROR(VLOOKUP($A338,'[152]BG (2)'!$B$9:$J$570,7,FALSE),0))*-1</f>
        <v>-5195154120</v>
      </c>
      <c r="J338" s="89">
        <f>(+IFERROR(VLOOKUP($A338,'[152]BG (2)'!$B$9:$J$570,8,FALSE),0))*1</f>
        <v>0</v>
      </c>
      <c r="K338" s="73">
        <f>(+IFERROR(VLOOKUP($A338,'[152]BG (2)'!$B$9:$J$570,9,FALSE),0))*-1</f>
        <v>-1994061728</v>
      </c>
      <c r="L338" s="75"/>
      <c r="M338" s="101"/>
      <c r="N338" s="2"/>
      <c r="O338" s="2"/>
      <c r="P338" s="90">
        <f t="shared" si="24"/>
        <v>-1994061728</v>
      </c>
      <c r="Q338" s="2"/>
      <c r="R338" s="2"/>
      <c r="S338" s="90"/>
      <c r="T338" s="128">
        <f>K338+J338</f>
        <v>-1994061728</v>
      </c>
      <c r="U338" s="95"/>
      <c r="V338" s="72"/>
      <c r="W338" s="75" t="e">
        <f>+A338-#REF!</f>
        <v>#REF!</v>
      </c>
      <c r="X338" s="1270"/>
      <c r="Y338" s="91"/>
      <c r="Z338" s="91"/>
      <c r="AA338" s="91"/>
    </row>
    <row r="339" spans="1:27" ht="14.4" customHeight="1" x14ac:dyDescent="0.3">
      <c r="A339">
        <v>521197</v>
      </c>
      <c r="B339" t="s">
        <v>425</v>
      </c>
      <c r="C339" t="s">
        <v>385</v>
      </c>
      <c r="D339" s="87" t="str">
        <f t="shared" si="25"/>
        <v>52</v>
      </c>
      <c r="E339" s="92"/>
      <c r="F339" s="103">
        <f>(+IFERROR(VLOOKUP($A339,'[152]BG (2)'!$B$9:$J$570,4,FALSE),0))*1</f>
        <v>0</v>
      </c>
      <c r="G339" s="73">
        <f>(+IFERROR(VLOOKUP($A339,'[152]BG (2)'!$B$9:$J$570,5,FALSE),0))*-1</f>
        <v>-3748434138</v>
      </c>
      <c r="H339" s="93">
        <f>(+IFERROR(VLOOKUP($A339,'[152]BG (2)'!$B$9:$J$570,6,FALSE),0))*1</f>
        <v>11137053730</v>
      </c>
      <c r="I339" s="73">
        <f>(+IFERROR(VLOOKUP($A339,'[152]BG (2)'!$B$9:$J$570,7,FALSE),0))*-1</f>
        <v>-11281606825</v>
      </c>
      <c r="J339" s="89">
        <f>(+IFERROR(VLOOKUP($A339,'[152]BG (2)'!$B$9:$J$570,8,FALSE),0))*1</f>
        <v>0</v>
      </c>
      <c r="K339" s="73">
        <f>(+IFERROR(VLOOKUP($A339,'[152]BG (2)'!$B$9:$J$570,9,FALSE),0))*-1</f>
        <v>-3892987233</v>
      </c>
      <c r="L339" s="75"/>
      <c r="M339" s="101"/>
      <c r="P339" s="90">
        <f t="shared" si="24"/>
        <v>-3892987233</v>
      </c>
      <c r="S339" s="90"/>
      <c r="T339" s="127">
        <f>K339+J339</f>
        <v>-3892987233</v>
      </c>
      <c r="U339" s="95"/>
      <c r="V339" s="72"/>
      <c r="W339" s="75" t="e">
        <f>+A339-#REF!</f>
        <v>#REF!</v>
      </c>
      <c r="X339" s="1269"/>
      <c r="Y339" s="91"/>
      <c r="Z339" s="91"/>
      <c r="AA339" s="91"/>
    </row>
    <row r="340" spans="1:27" ht="14.4" customHeight="1" x14ac:dyDescent="0.3">
      <c r="A340">
        <v>521198</v>
      </c>
      <c r="B340" t="s">
        <v>426</v>
      </c>
      <c r="C340" t="s">
        <v>385</v>
      </c>
      <c r="D340" s="87" t="str">
        <f t="shared" si="25"/>
        <v>52</v>
      </c>
      <c r="E340" s="92"/>
      <c r="F340" s="103">
        <f>(+IFERROR(VLOOKUP($A340,'[152]BG (2)'!$B$9:$J$570,4,FALSE),0))*1</f>
        <v>738738771</v>
      </c>
      <c r="G340" s="73">
        <f>(+IFERROR(VLOOKUP($A340,'[152]BG (2)'!$B$9:$J$570,5,FALSE),0))*-1</f>
        <v>0</v>
      </c>
      <c r="H340" s="93">
        <f>(+IFERROR(VLOOKUP($A340,'[152]BG (2)'!$B$9:$J$570,6,FALSE),0))*1</f>
        <v>3114254775</v>
      </c>
      <c r="I340" s="73">
        <f>(+IFERROR(VLOOKUP($A340,'[152]BG (2)'!$B$9:$J$570,7,FALSE),0))*-1</f>
        <v>-3738115876</v>
      </c>
      <c r="J340" s="89">
        <f>(+IFERROR(VLOOKUP($A340,'[152]BG (2)'!$B$9:$J$570,8,FALSE),0))*1</f>
        <v>114877670</v>
      </c>
      <c r="K340" s="73">
        <f>(+IFERROR(VLOOKUP($A340,'[152]BG (2)'!$B$9:$J$570,9,FALSE),0))*-1</f>
        <v>0</v>
      </c>
      <c r="L340" s="75"/>
      <c r="M340" s="101"/>
      <c r="P340" s="90">
        <f t="shared" si="24"/>
        <v>114877670</v>
      </c>
      <c r="S340" s="90"/>
      <c r="T340" s="128">
        <f>K340+J340</f>
        <v>114877670</v>
      </c>
      <c r="U340" s="95"/>
      <c r="V340" s="72"/>
      <c r="W340" s="75" t="e">
        <f>+A340-#REF!</f>
        <v>#REF!</v>
      </c>
      <c r="X340" s="1269"/>
      <c r="Y340" s="91"/>
      <c r="Z340" s="91"/>
      <c r="AA340" s="91"/>
    </row>
    <row r="341" spans="1:27" ht="14.4" customHeight="1" x14ac:dyDescent="0.3">
      <c r="A341">
        <v>521199</v>
      </c>
      <c r="B341" s="113" t="s">
        <v>427</v>
      </c>
      <c r="C341" t="s">
        <v>385</v>
      </c>
      <c r="D341" s="87" t="str">
        <f t="shared" si="25"/>
        <v>52</v>
      </c>
      <c r="E341"/>
      <c r="F341">
        <f>(+IFERROR(VLOOKUP($A341,'[152]BG (2)'!$B$9:$J$570,4,FALSE),0))*1</f>
        <v>508233670</v>
      </c>
      <c r="G341" s="73">
        <f>(+IFERROR(VLOOKUP($A341,'[152]BG (2)'!$B$9:$J$570,5,FALSE),0))*-1</f>
        <v>0</v>
      </c>
      <c r="H341">
        <f>(+IFERROR(VLOOKUP($A341,'[152]BG (2)'!$B$9:$J$570,6,FALSE),0))*1</f>
        <v>209267236</v>
      </c>
      <c r="I341" s="73">
        <f>(+IFERROR(VLOOKUP($A341,'[152]BG (2)'!$B$9:$J$570,7,FALSE),0))*-1</f>
        <v>0</v>
      </c>
      <c r="J341">
        <f>(+IFERROR(VLOOKUP($A341,'[152]BG (2)'!$B$9:$J$570,8,FALSE),0))*1</f>
        <v>717500906</v>
      </c>
      <c r="K341" s="73">
        <f>(+IFERROR(VLOOKUP($A341,'[152]BG (2)'!$B$9:$J$570,9,FALSE),0))*-1</f>
        <v>0</v>
      </c>
      <c r="N341"/>
      <c r="O341"/>
      <c r="P341" s="90">
        <f t="shared" si="24"/>
        <v>717500906</v>
      </c>
      <c r="Q341"/>
      <c r="R341"/>
      <c r="S341"/>
      <c r="T341"/>
      <c r="U341"/>
      <c r="W341" s="75" t="e">
        <f>+A341-#REF!</f>
        <v>#REF!</v>
      </c>
      <c r="X341" s="1270"/>
      <c r="Y341" s="91"/>
      <c r="Z341" s="91"/>
      <c r="AA341" s="91"/>
    </row>
    <row r="342" spans="1:27" ht="14.4" customHeight="1" x14ac:dyDescent="0.3">
      <c r="A342">
        <v>521200</v>
      </c>
      <c r="B342" s="113" t="s">
        <v>428</v>
      </c>
      <c r="C342" t="s">
        <v>385</v>
      </c>
      <c r="D342" s="87" t="str">
        <f t="shared" si="25"/>
        <v>52</v>
      </c>
      <c r="E342"/>
      <c r="F342">
        <f>(+IFERROR(VLOOKUP($A342,'[152]BG (2)'!$B$9:$J$570,4,FALSE),0))*1</f>
        <v>266044452</v>
      </c>
      <c r="G342" s="73">
        <f>(+IFERROR(VLOOKUP($A342,'[152]BG (2)'!$B$9:$J$570,5,FALSE),0))*-1</f>
        <v>0</v>
      </c>
      <c r="H342">
        <f>(+IFERROR(VLOOKUP($A342,'[152]BG (2)'!$B$9:$J$570,6,FALSE),0))*1</f>
        <v>2193127181</v>
      </c>
      <c r="I342" s="73">
        <f>(+IFERROR(VLOOKUP($A342,'[152]BG (2)'!$B$9:$J$570,7,FALSE),0))*-1</f>
        <v>-2054765176</v>
      </c>
      <c r="J342">
        <f>(+IFERROR(VLOOKUP($A342,'[152]BG (2)'!$B$9:$J$570,8,FALSE),0))*1</f>
        <v>404406457</v>
      </c>
      <c r="K342" s="73">
        <f>(+IFERROR(VLOOKUP($A342,'[152]BG (2)'!$B$9:$J$570,9,FALSE),0))*-1</f>
        <v>0</v>
      </c>
      <c r="N342"/>
      <c r="O342"/>
      <c r="P342" s="90">
        <f t="shared" si="24"/>
        <v>404406457</v>
      </c>
      <c r="Q342"/>
      <c r="R342"/>
      <c r="S342"/>
      <c r="T342"/>
      <c r="U342"/>
      <c r="W342" s="75" t="e">
        <f>+A342-#REF!</f>
        <v>#REF!</v>
      </c>
      <c r="X342" s="1270"/>
      <c r="Y342" s="91"/>
      <c r="Z342" s="91"/>
      <c r="AA342" s="91"/>
    </row>
    <row r="343" spans="1:27" ht="14.4" customHeight="1" x14ac:dyDescent="0.3">
      <c r="A343">
        <v>521201</v>
      </c>
      <c r="B343" s="113" t="s">
        <v>2254</v>
      </c>
      <c r="C343" t="s">
        <v>385</v>
      </c>
      <c r="D343" s="87" t="str">
        <f t="shared" si="25"/>
        <v>52</v>
      </c>
      <c r="E343"/>
      <c r="F343">
        <f>(+IFERROR(VLOOKUP($A343,'[152]BG (2)'!$B$9:$J$570,4,FALSE),0))*1</f>
        <v>258584346</v>
      </c>
      <c r="G343" s="73">
        <f>(+IFERROR(VLOOKUP($A343,'[152]BG (2)'!$B$9:$J$570,5,FALSE),0))*-1</f>
        <v>0</v>
      </c>
      <c r="H343">
        <f>(+IFERROR(VLOOKUP($A343,'[152]BG (2)'!$B$9:$J$570,6,FALSE),0))*1</f>
        <v>3839069883</v>
      </c>
      <c r="I343" s="73">
        <f>(+IFERROR(VLOOKUP($A343,'[152]BG (2)'!$B$9:$J$570,7,FALSE),0))*-1</f>
        <v>-4069598903</v>
      </c>
      <c r="J343">
        <f>(+IFERROR(VLOOKUP($A343,'[152]BG (2)'!$B$9:$J$570,8,FALSE),0))*1</f>
        <v>28055326</v>
      </c>
      <c r="K343" s="73">
        <f>(+IFERROR(VLOOKUP($A343,'[152]BG (2)'!$B$9:$J$570,9,FALSE),0))*-1</f>
        <v>0</v>
      </c>
      <c r="N343"/>
      <c r="O343"/>
      <c r="P343" s="90">
        <f t="shared" si="24"/>
        <v>28055326</v>
      </c>
      <c r="Q343"/>
      <c r="R343"/>
      <c r="S343"/>
      <c r="T343"/>
      <c r="U343"/>
      <c r="W343" s="75"/>
      <c r="X343" s="1270"/>
      <c r="Y343" s="91"/>
      <c r="Z343" s="91"/>
      <c r="AA343" s="91"/>
    </row>
    <row r="344" spans="1:27" ht="14.4" customHeight="1" x14ac:dyDescent="0.3">
      <c r="A344">
        <v>521202</v>
      </c>
      <c r="B344" s="113" t="s">
        <v>2261</v>
      </c>
      <c r="C344" t="s">
        <v>385</v>
      </c>
      <c r="D344" s="87" t="str">
        <f t="shared" si="25"/>
        <v>52</v>
      </c>
      <c r="E344"/>
      <c r="F344">
        <f>(+IFERROR(VLOOKUP($A344,'[152]BG (2)'!$B$9:$J$570,4,FALSE),0))*1</f>
        <v>174309</v>
      </c>
      <c r="G344" s="73">
        <f>(+IFERROR(VLOOKUP($A344,'[152]BG (2)'!$B$9:$J$570,5,FALSE),0))*-1</f>
        <v>0</v>
      </c>
      <c r="H344">
        <f>(+IFERROR(VLOOKUP($A344,'[152]BG (2)'!$B$9:$J$570,6,FALSE),0))*1</f>
        <v>198031055</v>
      </c>
      <c r="I344" s="73">
        <f>(+IFERROR(VLOOKUP($A344,'[152]BG (2)'!$B$9:$J$570,7,FALSE),0))*-1</f>
        <v>-187778856</v>
      </c>
      <c r="J344">
        <f>(+IFERROR(VLOOKUP($A344,'[152]BG (2)'!$B$9:$J$570,8,FALSE),0))*1</f>
        <v>10426508</v>
      </c>
      <c r="K344" s="73">
        <f>(+IFERROR(VLOOKUP($A344,'[152]BG (2)'!$B$9:$J$570,9,FALSE),0))*-1</f>
        <v>0</v>
      </c>
      <c r="N344"/>
      <c r="O344"/>
      <c r="P344" s="90">
        <f t="shared" si="24"/>
        <v>10426508</v>
      </c>
      <c r="Q344"/>
      <c r="R344"/>
      <c r="S344"/>
      <c r="T344"/>
      <c r="U344"/>
      <c r="W344" s="75"/>
      <c r="X344" s="1270"/>
      <c r="Y344" s="91"/>
      <c r="Z344" s="91"/>
      <c r="AA344" s="91"/>
    </row>
    <row r="345" spans="1:27" ht="14.4" customHeight="1" x14ac:dyDescent="0.3">
      <c r="A345">
        <v>521204</v>
      </c>
      <c r="B345" s="113" t="s">
        <v>2439</v>
      </c>
      <c r="C345" t="s">
        <v>385</v>
      </c>
      <c r="D345" s="87" t="str">
        <f t="shared" si="25"/>
        <v>52</v>
      </c>
      <c r="E345"/>
      <c r="F345">
        <f>(+IFERROR(VLOOKUP($A345,'[152]BG (2)'!$B$9:$J$570,4,FALSE),0))*1</f>
        <v>0</v>
      </c>
      <c r="G345" s="73">
        <f>(+IFERROR(VLOOKUP($A345,'[152]BG (2)'!$B$9:$J$570,5,FALSE),0))*-1</f>
        <v>0</v>
      </c>
      <c r="H345">
        <f>(+IFERROR(VLOOKUP($A345,'[152]BG (2)'!$B$9:$J$570,6,FALSE),0))*1</f>
        <v>48136404</v>
      </c>
      <c r="I345" s="73">
        <f>(+IFERROR(VLOOKUP($A345,'[152]BG (2)'!$B$9:$J$570,7,FALSE),0))*-1</f>
        <v>-163204</v>
      </c>
      <c r="J345">
        <f>(+IFERROR(VLOOKUP($A345,'[152]BG (2)'!$B$9:$J$570,8,FALSE),0))*1</f>
        <v>47973200</v>
      </c>
      <c r="K345" s="73">
        <f>(+IFERROR(VLOOKUP($A345,'[152]BG (2)'!$B$9:$J$570,9,FALSE),0))*-1</f>
        <v>0</v>
      </c>
      <c r="N345"/>
      <c r="O345"/>
      <c r="P345" s="90">
        <f t="shared" si="24"/>
        <v>47973200</v>
      </c>
      <c r="Q345"/>
      <c r="R345"/>
      <c r="S345"/>
      <c r="T345"/>
      <c r="U345"/>
      <c r="W345" s="75"/>
      <c r="X345" s="1270"/>
      <c r="Y345" s="91"/>
      <c r="Z345" s="91"/>
      <c r="AA345" s="91"/>
    </row>
    <row r="346" spans="1:27" ht="14.4" customHeight="1" x14ac:dyDescent="0.3">
      <c r="A346">
        <v>524140</v>
      </c>
      <c r="B346" t="s">
        <v>429</v>
      </c>
      <c r="C346" t="s">
        <v>385</v>
      </c>
      <c r="D346" s="87" t="str">
        <f t="shared" si="25"/>
        <v>52</v>
      </c>
      <c r="E346" s="92"/>
      <c r="F346" s="103">
        <f>(+IFERROR(VLOOKUP($A346,'[152]BG (2)'!$B$9:$J$570,4,FALSE),0))*1</f>
        <v>346214524</v>
      </c>
      <c r="G346" s="73">
        <f>(+IFERROR(VLOOKUP($A346,'[152]BG (2)'!$B$9:$J$570,5,FALSE),0))*-1</f>
        <v>0</v>
      </c>
      <c r="H346" s="93">
        <f>(+IFERROR(VLOOKUP($A346,'[152]BG (2)'!$B$9:$J$570,6,FALSE),0))*1</f>
        <v>289271134</v>
      </c>
      <c r="I346" s="73">
        <f>(+IFERROR(VLOOKUP($A346,'[152]BG (2)'!$B$9:$J$570,7,FALSE),0))*-1</f>
        <v>-65415371</v>
      </c>
      <c r="J346" s="89">
        <f>(+IFERROR(VLOOKUP($A346,'[152]BG (2)'!$B$9:$J$570,8,FALSE),0))*1</f>
        <v>570070287</v>
      </c>
      <c r="K346" s="73">
        <f>(+IFERROR(VLOOKUP($A346,'[152]BG (2)'!$B$9:$J$570,9,FALSE),0))*-1</f>
        <v>0</v>
      </c>
      <c r="L346" s="75"/>
      <c r="M346" s="101"/>
      <c r="P346" s="90">
        <f t="shared" si="24"/>
        <v>570070287</v>
      </c>
      <c r="S346" s="90"/>
      <c r="T346" s="128">
        <f>K346+J346</f>
        <v>570070287</v>
      </c>
      <c r="U346" s="95"/>
      <c r="V346" s="72"/>
      <c r="W346" s="75" t="e">
        <f>+A346-#REF!</f>
        <v>#REF!</v>
      </c>
      <c r="X346" s="1270"/>
      <c r="Y346" s="91"/>
      <c r="Z346" s="91"/>
      <c r="AA346" s="91"/>
    </row>
    <row r="347" spans="1:27" ht="14.4" customHeight="1" x14ac:dyDescent="0.3">
      <c r="A347">
        <v>524150</v>
      </c>
      <c r="B347" t="s">
        <v>430</v>
      </c>
      <c r="C347" t="s">
        <v>385</v>
      </c>
      <c r="D347" s="87" t="str">
        <f t="shared" si="25"/>
        <v>52</v>
      </c>
      <c r="E347" s="92"/>
      <c r="F347" s="103">
        <f>(+IFERROR(VLOOKUP($A347,'[152]BG (2)'!$B$9:$J$570,4,FALSE),0))*1</f>
        <v>6226706</v>
      </c>
      <c r="G347" s="73">
        <f>(+IFERROR(VLOOKUP($A347,'[152]BG (2)'!$B$9:$J$570,5,FALSE),0))*-1</f>
        <v>0</v>
      </c>
      <c r="H347" s="93">
        <f>(+IFERROR(VLOOKUP($A347,'[152]BG (2)'!$B$9:$J$570,6,FALSE),0))*1</f>
        <v>646076098</v>
      </c>
      <c r="I347" s="73">
        <f>(+IFERROR(VLOOKUP($A347,'[152]BG (2)'!$B$9:$J$570,7,FALSE),0))*-1</f>
        <v>-356253723</v>
      </c>
      <c r="J347" s="89">
        <f>(+IFERROR(VLOOKUP($A347,'[152]BG (2)'!$B$9:$J$570,8,FALSE),0))*1</f>
        <v>296049081</v>
      </c>
      <c r="K347" s="73">
        <f>(+IFERROR(VLOOKUP($A347,'[152]BG (2)'!$B$9:$J$570,9,FALSE),0))*-1</f>
        <v>0</v>
      </c>
      <c r="L347" s="75"/>
      <c r="M347" s="101"/>
      <c r="P347" s="90">
        <f t="shared" si="24"/>
        <v>296049081</v>
      </c>
      <c r="S347" s="90"/>
      <c r="T347" s="128">
        <f>K347+J347</f>
        <v>296049081</v>
      </c>
      <c r="U347" s="95"/>
      <c r="V347" s="72"/>
      <c r="W347" s="75" t="e">
        <f>+A347-#REF!</f>
        <v>#REF!</v>
      </c>
      <c r="X347" s="1270"/>
      <c r="Y347" s="91"/>
      <c r="Z347" s="91"/>
      <c r="AA347" s="91"/>
    </row>
    <row r="348" spans="1:27" ht="14.4" customHeight="1" x14ac:dyDescent="0.3">
      <c r="A348" s="1443">
        <v>525110</v>
      </c>
      <c r="B348" s="1443" t="s">
        <v>2372</v>
      </c>
      <c r="C348" t="s">
        <v>385</v>
      </c>
      <c r="D348" s="87" t="str">
        <f t="shared" si="25"/>
        <v>52</v>
      </c>
      <c r="F348" s="73">
        <f>(+IFERROR(VLOOKUP($A348,'[152]BG (2)'!$B$9:$J$570,4,FALSE),0))*1</f>
        <v>1015713572</v>
      </c>
      <c r="G348" s="73">
        <f>(+IFERROR(VLOOKUP($A348,'[152]BG (2)'!$B$9:$J$570,5,FALSE),0))*-1</f>
        <v>0</v>
      </c>
      <c r="H348" s="73">
        <f>(+IFERROR(VLOOKUP($A348,'[152]BG (2)'!$B$9:$J$570,6,FALSE),0))*1</f>
        <v>13022345441</v>
      </c>
      <c r="I348" s="141">
        <f>(+IFERROR(VLOOKUP($A348,'[152]BG (2)'!$B$9:$J$570,7,FALSE),0))*-1</f>
        <v>-9482333485</v>
      </c>
      <c r="J348" s="91">
        <f>(+IFERROR(VLOOKUP($A348,'[152]BG (2)'!$B$9:$J$570,8,FALSE),0))*1</f>
        <v>4555725528</v>
      </c>
      <c r="K348" s="91">
        <f>(+IFERROR(VLOOKUP($A348,'[152]BG (2)'!$B$9:$J$570,9,FALSE),0))*-1</f>
        <v>0</v>
      </c>
      <c r="P348" s="90">
        <f t="shared" si="24"/>
        <v>4555725528</v>
      </c>
      <c r="Y348" s="91"/>
      <c r="Z348" s="91"/>
      <c r="AA348" s="91"/>
    </row>
    <row r="349" spans="1:27" ht="14.4" customHeight="1" x14ac:dyDescent="0.3">
      <c r="A349" s="1443">
        <v>525120</v>
      </c>
      <c r="B349" s="1443" t="s">
        <v>2373</v>
      </c>
      <c r="C349" t="s">
        <v>385</v>
      </c>
      <c r="D349" s="87" t="str">
        <f t="shared" si="25"/>
        <v>52</v>
      </c>
      <c r="F349" s="73">
        <f>(+IFERROR(VLOOKUP($A349,'[152]BG (2)'!$B$9:$J$570,4,FALSE),0))*1</f>
        <v>4225642785</v>
      </c>
      <c r="G349" s="73">
        <f>(+IFERROR(VLOOKUP($A349,'[152]BG (2)'!$B$9:$J$570,5,FALSE),0))*-1</f>
        <v>0</v>
      </c>
      <c r="H349" s="73">
        <f>(+IFERROR(VLOOKUP($A349,'[152]BG (2)'!$B$9:$J$570,6,FALSE),0))*1</f>
        <v>794696011</v>
      </c>
      <c r="I349" s="141">
        <f>(+IFERROR(VLOOKUP($A349,'[152]BG (2)'!$B$9:$J$570,7,FALSE),0))*-1</f>
        <v>-1718599121</v>
      </c>
      <c r="J349" s="91">
        <f>(+IFERROR(VLOOKUP($A349,'[152]BG (2)'!$B$9:$J$570,8,FALSE),0))*1</f>
        <v>3301739675</v>
      </c>
      <c r="K349" s="91">
        <f>(+IFERROR(VLOOKUP($A349,'[152]BG (2)'!$B$9:$J$570,9,FALSE),0))*-1</f>
        <v>0</v>
      </c>
      <c r="P349" s="90">
        <f t="shared" si="24"/>
        <v>3301739675</v>
      </c>
      <c r="Y349" s="91"/>
      <c r="Z349" s="91"/>
      <c r="AA349" s="91"/>
    </row>
    <row r="350" spans="1:27" ht="14.4" customHeight="1" x14ac:dyDescent="0.3">
      <c r="A350" s="1443">
        <v>525130</v>
      </c>
      <c r="B350" s="1443" t="s">
        <v>2374</v>
      </c>
      <c r="C350" t="s">
        <v>385</v>
      </c>
      <c r="D350" s="87" t="str">
        <f t="shared" si="25"/>
        <v>52</v>
      </c>
      <c r="F350" s="73">
        <f>(+IFERROR(VLOOKUP($A350,'[152]BG (2)'!$B$9:$J$570,4,FALSE),0))*1</f>
        <v>4097160238</v>
      </c>
      <c r="G350" s="73">
        <f>(+IFERROR(VLOOKUP($A350,'[152]BG (2)'!$B$9:$J$570,5,FALSE),0))*-1</f>
        <v>0</v>
      </c>
      <c r="H350" s="73">
        <f>(+IFERROR(VLOOKUP($A350,'[152]BG (2)'!$B$9:$J$570,6,FALSE),0))*1</f>
        <v>9608252250</v>
      </c>
      <c r="I350" s="141">
        <f>(+IFERROR(VLOOKUP($A350,'[152]BG (2)'!$B$9:$J$570,7,FALSE),0))*-1</f>
        <v>-13529785173</v>
      </c>
      <c r="J350" s="91">
        <f>(+IFERROR(VLOOKUP($A350,'[152]BG (2)'!$B$9:$J$570,8,FALSE),0))*1</f>
        <v>175627315</v>
      </c>
      <c r="K350" s="91">
        <f>(+IFERROR(VLOOKUP($A350,'[152]BG (2)'!$B$9:$J$570,9,FALSE),0))*-1</f>
        <v>0</v>
      </c>
      <c r="P350" s="90">
        <f t="shared" si="24"/>
        <v>175627315</v>
      </c>
      <c r="Y350" s="91"/>
      <c r="Z350" s="91"/>
      <c r="AA350" s="91"/>
    </row>
    <row r="351" spans="1:27" ht="14.4" customHeight="1" x14ac:dyDescent="0.3">
      <c r="A351" s="1443">
        <v>525140</v>
      </c>
      <c r="B351" s="1443" t="s">
        <v>2375</v>
      </c>
      <c r="C351" t="s">
        <v>385</v>
      </c>
      <c r="D351" s="87" t="str">
        <f t="shared" si="25"/>
        <v>52</v>
      </c>
      <c r="F351" s="73">
        <f>(+IFERROR(VLOOKUP($A351,'[152]BG (2)'!$B$9:$J$570,4,FALSE),0))*1</f>
        <v>5052391669</v>
      </c>
      <c r="G351" s="73">
        <f>(+IFERROR(VLOOKUP($A351,'[152]BG (2)'!$B$9:$J$570,5,FALSE),0))*-1</f>
        <v>0</v>
      </c>
      <c r="H351" s="73">
        <f>(+IFERROR(VLOOKUP($A351,'[152]BG (2)'!$B$9:$J$570,6,FALSE),0))*1</f>
        <v>9487414578</v>
      </c>
      <c r="I351" s="141">
        <f>(+IFERROR(VLOOKUP($A351,'[152]BG (2)'!$B$9:$J$570,7,FALSE),0))*-1</f>
        <v>-6447745198</v>
      </c>
      <c r="J351" s="91">
        <f>(+IFERROR(VLOOKUP($A351,'[152]BG (2)'!$B$9:$J$570,8,FALSE),0))*1</f>
        <v>8092061049</v>
      </c>
      <c r="K351" s="91">
        <f>(+IFERROR(VLOOKUP($A351,'[152]BG (2)'!$B$9:$J$570,9,FALSE),0))*-1</f>
        <v>0</v>
      </c>
      <c r="P351" s="90">
        <f t="shared" si="24"/>
        <v>8092061049</v>
      </c>
      <c r="Y351" s="91"/>
      <c r="Z351" s="91"/>
      <c r="AA351" s="91"/>
    </row>
    <row r="352" spans="1:27" ht="14.4" customHeight="1" x14ac:dyDescent="0.3">
      <c r="A352" s="1443">
        <v>525150</v>
      </c>
      <c r="B352" s="1443" t="s">
        <v>2376</v>
      </c>
      <c r="C352" t="s">
        <v>385</v>
      </c>
      <c r="D352" s="87" t="str">
        <f t="shared" si="25"/>
        <v>52</v>
      </c>
      <c r="F352" s="73">
        <f>(+IFERROR(VLOOKUP($A352,'[152]BG (2)'!$B$9:$J$570,4,FALSE),0))*1</f>
        <v>6066579995</v>
      </c>
      <c r="G352" s="73">
        <f>(+IFERROR(VLOOKUP($A352,'[152]BG (2)'!$B$9:$J$570,5,FALSE),0))*-1</f>
        <v>0</v>
      </c>
      <c r="H352" s="73">
        <f>(+IFERROR(VLOOKUP($A352,'[152]BG (2)'!$B$9:$J$570,6,FALSE),0))*1</f>
        <v>18457624026</v>
      </c>
      <c r="I352" s="141">
        <f>(+IFERROR(VLOOKUP($A352,'[152]BG (2)'!$B$9:$J$570,7,FALSE),0))*-1</f>
        <v>-18210745825</v>
      </c>
      <c r="J352" s="91">
        <f>(+IFERROR(VLOOKUP($A352,'[152]BG (2)'!$B$9:$J$570,8,FALSE),0))*1</f>
        <v>6313458196</v>
      </c>
      <c r="K352" s="91">
        <f>(+IFERROR(VLOOKUP($A352,'[152]BG (2)'!$B$9:$J$570,9,FALSE),0))*-1</f>
        <v>0</v>
      </c>
      <c r="P352" s="90">
        <f t="shared" si="24"/>
        <v>6313458196</v>
      </c>
      <c r="Y352" s="91"/>
      <c r="Z352" s="91"/>
      <c r="AA352" s="91"/>
    </row>
    <row r="353" spans="1:27" ht="14.4" customHeight="1" x14ac:dyDescent="0.3">
      <c r="A353" s="1443">
        <v>525170</v>
      </c>
      <c r="B353" s="1443" t="s">
        <v>2377</v>
      </c>
      <c r="C353" t="s">
        <v>385</v>
      </c>
      <c r="D353" s="87" t="str">
        <f t="shared" si="25"/>
        <v>52</v>
      </c>
      <c r="F353" s="73">
        <f>(+IFERROR(VLOOKUP($A353,'[152]BG (2)'!$B$9:$J$570,4,FALSE),0))*1</f>
        <v>1633025005</v>
      </c>
      <c r="G353" s="73">
        <f>(+IFERROR(VLOOKUP($A353,'[152]BG (2)'!$B$9:$J$570,5,FALSE),0))*-1</f>
        <v>0</v>
      </c>
      <c r="H353" s="73">
        <f>(+IFERROR(VLOOKUP($A353,'[152]BG (2)'!$B$9:$J$570,6,FALSE),0))*1</f>
        <v>17393326</v>
      </c>
      <c r="I353" s="141">
        <f>(+IFERROR(VLOOKUP($A353,'[152]BG (2)'!$B$9:$J$570,7,FALSE),0))*-1</f>
        <v>-7830847</v>
      </c>
      <c r="J353" s="91">
        <f>(+IFERROR(VLOOKUP($A353,'[152]BG (2)'!$B$9:$J$570,8,FALSE),0))*1</f>
        <v>1642587484</v>
      </c>
      <c r="K353" s="91">
        <f>(+IFERROR(VLOOKUP($A353,'[152]BG (2)'!$B$9:$J$570,9,FALSE),0))*-1</f>
        <v>0</v>
      </c>
      <c r="P353" s="90">
        <f t="shared" si="24"/>
        <v>1642587484</v>
      </c>
      <c r="Y353" s="91"/>
      <c r="Z353" s="91"/>
      <c r="AA353" s="91"/>
    </row>
    <row r="354" spans="1:27" customFormat="1" ht="14.4" customHeight="1" x14ac:dyDescent="0.3">
      <c r="A354" s="1443">
        <v>525190</v>
      </c>
      <c r="B354" s="1443" t="s">
        <v>2378</v>
      </c>
      <c r="C354" t="s">
        <v>385</v>
      </c>
      <c r="D354" s="87" t="str">
        <f t="shared" si="25"/>
        <v>52</v>
      </c>
      <c r="E354" s="73"/>
      <c r="F354" s="73">
        <f>(+IFERROR(VLOOKUP($A354,'[152]BG (2)'!$B$9:$J$570,4,FALSE),0))*1</f>
        <v>9801346</v>
      </c>
      <c r="G354" s="73">
        <f>(+IFERROR(VLOOKUP($A354,'[152]BG (2)'!$B$9:$J$570,5,FALSE),0))*-1</f>
        <v>0</v>
      </c>
      <c r="H354" s="73">
        <f>(+IFERROR(VLOOKUP($A354,'[152]BG (2)'!$B$9:$J$570,6,FALSE),0))*1</f>
        <v>0</v>
      </c>
      <c r="I354" s="141">
        <f>(+IFERROR(VLOOKUP($A354,'[152]BG (2)'!$B$9:$J$570,7,FALSE),0))*-1</f>
        <v>-2500000</v>
      </c>
      <c r="J354" s="91">
        <f>(+IFERROR(VLOOKUP($A354,'[152]BG (2)'!$B$9:$J$570,8,FALSE),0))*1</f>
        <v>7301346</v>
      </c>
      <c r="K354" s="91">
        <f>(+IFERROR(VLOOKUP($A354,'[152]BG (2)'!$B$9:$J$570,9,FALSE),0))*-1</f>
        <v>0</v>
      </c>
      <c r="N354" s="2"/>
      <c r="O354" s="2"/>
      <c r="P354" s="90">
        <f t="shared" si="24"/>
        <v>7301346</v>
      </c>
      <c r="Q354" s="2"/>
      <c r="R354" s="2"/>
      <c r="S354" s="2"/>
      <c r="T354" s="2"/>
      <c r="U354" s="72"/>
      <c r="Y354" s="91"/>
      <c r="Z354" s="91"/>
      <c r="AA354" s="91"/>
    </row>
    <row r="355" spans="1:27" customFormat="1" ht="14.4" customHeight="1" x14ac:dyDescent="0.3">
      <c r="A355" s="1684">
        <v>526000</v>
      </c>
      <c r="B355" s="1684" t="s">
        <v>2565</v>
      </c>
      <c r="C355" t="s">
        <v>2546</v>
      </c>
      <c r="D355" s="87" t="str">
        <f>+LEFT(A355,2)</f>
        <v>52</v>
      </c>
      <c r="E355" s="73"/>
      <c r="F355" s="73">
        <f>(+IFERROR(VLOOKUP($A355,'[152]BG (2)'!$B$9:$J$570,4,FALSE),0))*1</f>
        <v>0</v>
      </c>
      <c r="G355" s="73">
        <f>(+IFERROR(VLOOKUP($A355,'[152]BG (2)'!$B$9:$J$570,5,FALSE),0))*-1</f>
        <v>0</v>
      </c>
      <c r="H355" s="73">
        <f>(+IFERROR(VLOOKUP($A355,'[152]BG (2)'!$B$9:$J$570,6,FALSE),0))*1</f>
        <v>0</v>
      </c>
      <c r="I355" s="141">
        <f>(+IFERROR(VLOOKUP($A355,'[152]BG (2)'!$B$9:$J$570,7,FALSE),0))*-1</f>
        <v>0</v>
      </c>
      <c r="J355" s="91">
        <f>(+IFERROR(VLOOKUP($A355,'[152]BG (2)'!$B$9:$J$570,8,FALSE),0))*1</f>
        <v>0</v>
      </c>
      <c r="K355" s="91">
        <f>(+IFERROR(VLOOKUP($A355,'[152]BG (2)'!$B$9:$J$570,9,FALSE),0))*-1</f>
        <v>0</v>
      </c>
      <c r="N355" s="2"/>
      <c r="O355" s="2"/>
      <c r="P355" s="90">
        <f t="shared" si="24"/>
        <v>0</v>
      </c>
      <c r="Q355" s="2"/>
      <c r="R355" s="2"/>
      <c r="S355" s="2"/>
      <c r="T355" s="2"/>
      <c r="U355" s="72"/>
      <c r="Y355" s="91"/>
      <c r="Z355" s="91"/>
      <c r="AA355" s="91"/>
    </row>
    <row r="356" spans="1:27" customFormat="1" ht="14.4" customHeight="1" x14ac:dyDescent="0.3">
      <c r="A356">
        <v>531100</v>
      </c>
      <c r="B356" t="s">
        <v>2262</v>
      </c>
      <c r="C356" t="s">
        <v>385</v>
      </c>
      <c r="D356" s="87" t="str">
        <f t="shared" si="25"/>
        <v>53</v>
      </c>
      <c r="E356" s="92"/>
      <c r="F356" s="103">
        <f>(+IFERROR(VLOOKUP($A356,'[152]BG (2)'!$B$9:$J$570,4,FALSE),0))*1</f>
        <v>574707909</v>
      </c>
      <c r="G356" s="73">
        <f>(+IFERROR(VLOOKUP($A356,'[152]BG (2)'!$B$9:$J$570,5,FALSE),0))*-1</f>
        <v>0</v>
      </c>
      <c r="H356" s="93">
        <f>(+IFERROR(VLOOKUP($A356,'[152]BG (2)'!$B$9:$J$570,6,FALSE),0))*1</f>
        <v>36006298550</v>
      </c>
      <c r="I356" s="73">
        <f>(+IFERROR(VLOOKUP($A356,'[152]BG (2)'!$B$9:$J$570,7,FALSE),0))*-1</f>
        <v>-36007463792</v>
      </c>
      <c r="J356" s="89">
        <f>(+IFERROR(VLOOKUP($A356,'[152]BG (2)'!$B$9:$J$570,8,FALSE),0))*1</f>
        <v>573542667</v>
      </c>
      <c r="K356" s="73">
        <f>(+IFERROR(VLOOKUP($A356,'[152]BG (2)'!$B$9:$J$570,9,FALSE),0))*-1</f>
        <v>0</v>
      </c>
      <c r="L356" s="75"/>
      <c r="M356" s="101"/>
      <c r="N356" s="2"/>
      <c r="O356" s="2"/>
      <c r="P356" s="90">
        <f t="shared" si="24"/>
        <v>573542667</v>
      </c>
      <c r="Q356" s="2"/>
      <c r="R356" s="2"/>
      <c r="S356" s="90"/>
      <c r="T356" s="128"/>
      <c r="U356" s="95"/>
      <c r="V356" s="72"/>
      <c r="W356" s="75"/>
      <c r="X356" s="1270"/>
      <c r="Y356" s="91"/>
      <c r="Z356" s="91"/>
      <c r="AA356" s="91"/>
    </row>
    <row r="357" spans="1:27" customFormat="1" ht="14.4" customHeight="1" x14ac:dyDescent="0.3">
      <c r="A357">
        <v>533010</v>
      </c>
      <c r="B357" t="s">
        <v>431</v>
      </c>
      <c r="C357" t="s">
        <v>385</v>
      </c>
      <c r="D357" s="87" t="str">
        <f t="shared" si="25"/>
        <v>53</v>
      </c>
      <c r="E357" s="92"/>
      <c r="F357" s="103">
        <f>(+IFERROR(VLOOKUP($A357,'[152]BG (2)'!$B$9:$J$570,4,FALSE),0))*1</f>
        <v>0</v>
      </c>
      <c r="G357" s="73">
        <f>(+IFERROR(VLOOKUP($A357,'[152]BG (2)'!$B$9:$J$570,5,FALSE),0))*-1</f>
        <v>0</v>
      </c>
      <c r="H357" s="93">
        <f>(+IFERROR(VLOOKUP($A357,'[152]BG (2)'!$B$9:$J$570,6,FALSE),0))*1</f>
        <v>0</v>
      </c>
      <c r="I357" s="73">
        <f>(+IFERROR(VLOOKUP($A357,'[152]BG (2)'!$B$9:$J$570,7,FALSE),0))*-1</f>
        <v>0</v>
      </c>
      <c r="J357" s="89">
        <f>(+IFERROR(VLOOKUP($A357,'[152]BG (2)'!$B$9:$J$570,8,FALSE),0))*1</f>
        <v>0</v>
      </c>
      <c r="K357" s="73">
        <f>(+IFERROR(VLOOKUP($A357,'[152]BG (2)'!$B$9:$J$570,9,FALSE),0))*-1</f>
        <v>0</v>
      </c>
      <c r="L357" s="75"/>
      <c r="M357" s="101"/>
      <c r="N357" s="2"/>
      <c r="O357" s="2"/>
      <c r="P357" s="90">
        <f t="shared" si="24"/>
        <v>0</v>
      </c>
      <c r="Q357" s="2"/>
      <c r="R357" s="2"/>
      <c r="S357" s="90"/>
      <c r="T357" s="128">
        <f>K357+J357</f>
        <v>0</v>
      </c>
      <c r="U357" s="95"/>
      <c r="V357" s="72"/>
      <c r="W357" s="75" t="e">
        <f>+A357-#REF!</f>
        <v>#REF!</v>
      </c>
      <c r="X357" s="1269"/>
      <c r="Y357" s="91"/>
      <c r="Z357" s="91"/>
      <c r="AA357" s="91"/>
    </row>
    <row r="358" spans="1:27" customFormat="1" ht="14.4" customHeight="1" x14ac:dyDescent="0.3">
      <c r="A358">
        <v>538100</v>
      </c>
      <c r="C358" t="s">
        <v>385</v>
      </c>
      <c r="D358" s="87" t="str">
        <f t="shared" si="25"/>
        <v>53</v>
      </c>
      <c r="E358" s="92"/>
      <c r="F358" s="103">
        <f>(+IFERROR(VLOOKUP($A358,'[152]BG (2)'!$B$9:$J$570,4,FALSE),0))*1</f>
        <v>208064625</v>
      </c>
      <c r="G358" s="73">
        <f>(+IFERROR(VLOOKUP($A358,'[152]BG (2)'!$B$9:$J$570,5,FALSE),0))*-1</f>
        <v>0</v>
      </c>
      <c r="H358" s="93">
        <f>(+IFERROR(VLOOKUP($A358,'[152]BG (2)'!$B$9:$J$570,6,FALSE),0))*1</f>
        <v>16006050</v>
      </c>
      <c r="I358" s="73">
        <f>(+IFERROR(VLOOKUP($A358,'[152]BG (2)'!$B$9:$J$570,7,FALSE),0))*-1</f>
        <v>0</v>
      </c>
      <c r="J358" s="89">
        <f>(+IFERROR(VLOOKUP($A358,'[152]BG (2)'!$B$9:$J$570,8,FALSE),0))*1</f>
        <v>224070675</v>
      </c>
      <c r="K358" s="73">
        <f>(+IFERROR(VLOOKUP($A358,'[152]BG (2)'!$B$9:$J$570,9,FALSE),0))*-1</f>
        <v>0</v>
      </c>
      <c r="L358" s="75"/>
      <c r="M358" s="101"/>
      <c r="N358" s="2"/>
      <c r="O358" s="2"/>
      <c r="P358" s="90">
        <f t="shared" si="24"/>
        <v>224070675</v>
      </c>
      <c r="Q358" s="2"/>
      <c r="R358" s="2"/>
      <c r="S358" s="90"/>
      <c r="T358" s="128"/>
      <c r="U358" s="95"/>
      <c r="V358" s="72"/>
      <c r="W358" s="75" t="e">
        <f>+A358-#REF!</f>
        <v>#REF!</v>
      </c>
      <c r="X358" s="1269"/>
      <c r="Y358" s="91"/>
      <c r="Z358" s="91"/>
      <c r="AA358" s="91"/>
    </row>
    <row r="359" spans="1:27" ht="14.4" customHeight="1" x14ac:dyDescent="0.3">
      <c r="A359">
        <v>552000</v>
      </c>
      <c r="B359" s="129" t="s">
        <v>389</v>
      </c>
      <c r="C359" t="s">
        <v>385</v>
      </c>
      <c r="D359" s="87" t="str">
        <f t="shared" si="25"/>
        <v>55</v>
      </c>
      <c r="E359" s="92"/>
      <c r="F359" s="103">
        <f>(+IFERROR(VLOOKUP($A359,'[152]BG (2)'!$B$9:$J$570,4,FALSE),0))*1</f>
        <v>3136379266</v>
      </c>
      <c r="G359" s="73">
        <f>(+IFERROR(VLOOKUP($A359,'[152]BG (2)'!$B$9:$J$570,5,FALSE),0))*-1</f>
        <v>0</v>
      </c>
      <c r="H359" s="93">
        <f>(+IFERROR(VLOOKUP($A359,'[152]BG (2)'!$B$9:$J$570,6,FALSE),0))*1</f>
        <v>204912151926</v>
      </c>
      <c r="I359" s="73">
        <f>(+IFERROR(VLOOKUP($A359,'[152]BG (2)'!$B$9:$J$570,7,FALSE),0))*-1</f>
        <v>-203822087112</v>
      </c>
      <c r="J359" s="89">
        <f>(+IFERROR(VLOOKUP($A359,'[152]BG (2)'!$B$9:$J$570,8,FALSE),0))*1</f>
        <v>4226444080</v>
      </c>
      <c r="K359" s="73">
        <f>(+IFERROR(VLOOKUP($A359,'[152]BG (2)'!$B$9:$J$570,9,FALSE),0))*-1</f>
        <v>0</v>
      </c>
      <c r="L359" s="75"/>
      <c r="M359" s="101"/>
      <c r="P359" s="90">
        <f t="shared" si="24"/>
        <v>4226444080</v>
      </c>
      <c r="S359" s="90"/>
      <c r="T359" s="128">
        <f>K359+J359</f>
        <v>4226444080</v>
      </c>
      <c r="U359" s="95"/>
      <c r="V359" s="72"/>
      <c r="W359" s="75" t="e">
        <f>+A359-#REF!</f>
        <v>#REF!</v>
      </c>
      <c r="X359" s="1269"/>
      <c r="Y359" s="91"/>
      <c r="Z359" s="91"/>
      <c r="AA359" s="91"/>
    </row>
    <row r="360" spans="1:27" ht="14.4" customHeight="1" x14ac:dyDescent="0.3">
      <c r="A360">
        <v>552101</v>
      </c>
      <c r="B360" s="113" t="s">
        <v>432</v>
      </c>
      <c r="C360" t="s">
        <v>385</v>
      </c>
      <c r="D360" s="87" t="str">
        <f t="shared" si="25"/>
        <v>55</v>
      </c>
      <c r="E360"/>
      <c r="F360">
        <f>(+IFERROR(VLOOKUP($A360,'[152]BG (2)'!$B$9:$J$570,4,FALSE),0))*1</f>
        <v>0</v>
      </c>
      <c r="G360" s="73">
        <f>(+IFERROR(VLOOKUP($A360,'[152]BG (2)'!$B$9:$J$570,5,FALSE),0))*-1</f>
        <v>0</v>
      </c>
      <c r="H360">
        <f>(+IFERROR(VLOOKUP($A360,'[152]BG (2)'!$B$9:$J$570,6,FALSE),0))*1</f>
        <v>8778397411</v>
      </c>
      <c r="I360" s="73">
        <f>(+IFERROR(VLOOKUP($A360,'[152]BG (2)'!$B$9:$J$570,7,FALSE),0))*-1</f>
        <v>-8778397411</v>
      </c>
      <c r="J360">
        <f>(+IFERROR(VLOOKUP($A360,'[152]BG (2)'!$B$9:$J$570,8,FALSE),0))*1</f>
        <v>0</v>
      </c>
      <c r="K360" s="73">
        <f>(+IFERROR(VLOOKUP($A360,'[152]BG (2)'!$B$9:$J$570,9,FALSE),0))*-1</f>
        <v>0</v>
      </c>
      <c r="N360"/>
      <c r="O360"/>
      <c r="P360" s="90">
        <f t="shared" si="24"/>
        <v>0</v>
      </c>
      <c r="Q360"/>
      <c r="R360"/>
      <c r="S360"/>
      <c r="T360"/>
      <c r="U360"/>
      <c r="W360" s="75" t="e">
        <f>+A360-#REF!</f>
        <v>#REF!</v>
      </c>
      <c r="X360" s="1269"/>
      <c r="Y360" s="91"/>
      <c r="Z360" s="91"/>
      <c r="AA360" s="91"/>
    </row>
    <row r="361" spans="1:27" ht="14.4" customHeight="1" x14ac:dyDescent="0.3">
      <c r="A361">
        <v>552102</v>
      </c>
      <c r="B361" s="113" t="s">
        <v>433</v>
      </c>
      <c r="C361" t="s">
        <v>385</v>
      </c>
      <c r="D361" s="87" t="str">
        <f t="shared" si="25"/>
        <v>55</v>
      </c>
      <c r="E361"/>
      <c r="F361">
        <f>(+IFERROR(VLOOKUP($A361,'[152]BG (2)'!$B$9:$J$570,4,FALSE),0))*1</f>
        <v>0</v>
      </c>
      <c r="G361" s="73">
        <f>(+IFERROR(VLOOKUP($A361,'[152]BG (2)'!$B$9:$J$570,5,FALSE),0))*-1</f>
        <v>0</v>
      </c>
      <c r="H361">
        <f>(+IFERROR(VLOOKUP($A361,'[152]BG (2)'!$B$9:$J$570,6,FALSE),0))*1</f>
        <v>1037216218</v>
      </c>
      <c r="I361" s="73">
        <f>(+IFERROR(VLOOKUP($A361,'[152]BG (2)'!$B$9:$J$570,7,FALSE),0))*-1</f>
        <v>-1037216218</v>
      </c>
      <c r="J361">
        <f>(+IFERROR(VLOOKUP($A361,'[152]BG (2)'!$B$9:$J$570,8,FALSE),0))*1</f>
        <v>0</v>
      </c>
      <c r="K361" s="73">
        <f>(+IFERROR(VLOOKUP($A361,'[152]BG (2)'!$B$9:$J$570,9,FALSE),0))*-1</f>
        <v>0</v>
      </c>
      <c r="N361"/>
      <c r="O361"/>
      <c r="P361" s="90">
        <f t="shared" si="24"/>
        <v>0</v>
      </c>
      <c r="Q361"/>
      <c r="R361"/>
      <c r="S361"/>
      <c r="T361"/>
      <c r="U361"/>
      <c r="W361" s="75" t="e">
        <f>+A361-#REF!</f>
        <v>#REF!</v>
      </c>
      <c r="X361" s="1270"/>
      <c r="Y361" s="91"/>
      <c r="Z361" s="91"/>
      <c r="AA361" s="91"/>
    </row>
    <row r="362" spans="1:27" ht="14.4" customHeight="1" x14ac:dyDescent="0.3">
      <c r="A362">
        <v>552103</v>
      </c>
      <c r="B362" s="113" t="s">
        <v>434</v>
      </c>
      <c r="C362" t="s">
        <v>385</v>
      </c>
      <c r="D362" s="87" t="str">
        <f t="shared" si="25"/>
        <v>55</v>
      </c>
      <c r="E362"/>
      <c r="F362">
        <f>(+IFERROR(VLOOKUP($A362,'[152]BG (2)'!$B$9:$J$570,4,FALSE),0))*1</f>
        <v>0</v>
      </c>
      <c r="G362" s="73">
        <f>(+IFERROR(VLOOKUP($A362,'[152]BG (2)'!$B$9:$J$570,5,FALSE),0))*-1</f>
        <v>0</v>
      </c>
      <c r="H362">
        <f>(+IFERROR(VLOOKUP($A362,'[152]BG (2)'!$B$9:$J$570,6,FALSE),0))*1</f>
        <v>11634408459</v>
      </c>
      <c r="I362" s="73">
        <f>(+IFERROR(VLOOKUP($A362,'[152]BG (2)'!$B$9:$J$570,7,FALSE),0))*-1</f>
        <v>-11634408459</v>
      </c>
      <c r="J362">
        <f>(+IFERROR(VLOOKUP($A362,'[152]BG (2)'!$B$9:$J$570,8,FALSE),0))*1</f>
        <v>0</v>
      </c>
      <c r="K362" s="73">
        <f>(+IFERROR(VLOOKUP($A362,'[152]BG (2)'!$B$9:$J$570,9,FALSE),0))*-1</f>
        <v>0</v>
      </c>
      <c r="N362"/>
      <c r="O362"/>
      <c r="P362" s="90">
        <f t="shared" si="24"/>
        <v>0</v>
      </c>
      <c r="Q362"/>
      <c r="R362"/>
      <c r="S362"/>
      <c r="T362"/>
      <c r="U362"/>
      <c r="W362" s="75" t="e">
        <f>+A362-#REF!</f>
        <v>#REF!</v>
      </c>
      <c r="X362" s="1270"/>
      <c r="Y362" s="91"/>
      <c r="Z362" s="91"/>
      <c r="AA362" s="91"/>
    </row>
    <row r="363" spans="1:27" ht="14.4" customHeight="1" x14ac:dyDescent="0.3">
      <c r="A363">
        <v>552104</v>
      </c>
      <c r="B363" s="1263" t="s">
        <v>2212</v>
      </c>
      <c r="C363" t="s">
        <v>385</v>
      </c>
      <c r="D363" s="87" t="str">
        <f t="shared" si="25"/>
        <v>55</v>
      </c>
      <c r="E363"/>
      <c r="F363">
        <f>(+IFERROR(VLOOKUP($A363,'[152]BG (2)'!$B$9:$J$570,4,FALSE),0))*1</f>
        <v>0</v>
      </c>
      <c r="G363" s="73">
        <f>(+IFERROR(VLOOKUP($A363,'[152]BG (2)'!$B$9:$J$570,5,FALSE),0))*-1</f>
        <v>0</v>
      </c>
      <c r="H363">
        <f>(+IFERROR(VLOOKUP($A363,'[152]BG (2)'!$B$9:$J$570,6,FALSE),0))*1</f>
        <v>0</v>
      </c>
      <c r="I363" s="73">
        <f>(+IFERROR(VLOOKUP($A363,'[152]BG (2)'!$B$9:$J$570,7,FALSE),0))*-1</f>
        <v>0</v>
      </c>
      <c r="J363">
        <f>(+IFERROR(VLOOKUP($A363,'[152]BG (2)'!$B$9:$J$570,8,FALSE),0))*1</f>
        <v>0</v>
      </c>
      <c r="K363" s="73">
        <f>(+IFERROR(VLOOKUP($A363,'[152]BG (2)'!$B$9:$J$570,9,FALSE),0))*-1</f>
        <v>0</v>
      </c>
      <c r="N363"/>
      <c r="O363"/>
      <c r="P363" s="90">
        <f t="shared" si="24"/>
        <v>0</v>
      </c>
      <c r="Q363"/>
      <c r="R363"/>
      <c r="S363"/>
      <c r="T363"/>
      <c r="U363"/>
      <c r="W363" s="75" t="e">
        <f>+A363-#REF!</f>
        <v>#REF!</v>
      </c>
      <c r="X363" s="1270"/>
      <c r="Y363" s="91"/>
      <c r="Z363" s="91"/>
      <c r="AA363" s="91"/>
    </row>
    <row r="364" spans="1:27" ht="14.4" customHeight="1" x14ac:dyDescent="0.3">
      <c r="A364">
        <v>552201</v>
      </c>
      <c r="B364" s="129" t="s">
        <v>390</v>
      </c>
      <c r="C364" t="s">
        <v>385</v>
      </c>
      <c r="D364" s="87" t="str">
        <f t="shared" si="25"/>
        <v>55</v>
      </c>
      <c r="E364" s="92"/>
      <c r="F364" s="103">
        <f>(+IFERROR(VLOOKUP($A364,'[152]BG (2)'!$B$9:$J$570,4,FALSE),0))*1</f>
        <v>2990314</v>
      </c>
      <c r="G364" s="73">
        <f>(+IFERROR(VLOOKUP($A364,'[152]BG (2)'!$B$9:$J$570,5,FALSE),0))*-1</f>
        <v>0</v>
      </c>
      <c r="H364" s="93">
        <f>(+IFERROR(VLOOKUP($A364,'[152]BG (2)'!$B$9:$J$570,6,FALSE),0))*1</f>
        <v>1126387539</v>
      </c>
      <c r="I364" s="73">
        <f>(+IFERROR(VLOOKUP($A364,'[152]BG (2)'!$B$9:$J$570,7,FALSE),0))*-1</f>
        <v>-1125553273</v>
      </c>
      <c r="J364" s="89">
        <f>(+IFERROR(VLOOKUP($A364,'[152]BG (2)'!$B$9:$J$570,8,FALSE),0))*1</f>
        <v>3824580</v>
      </c>
      <c r="K364" s="73">
        <f>(+IFERROR(VLOOKUP($A364,'[152]BG (2)'!$B$9:$J$570,9,FALSE),0))*-1</f>
        <v>0</v>
      </c>
      <c r="L364" s="75"/>
      <c r="M364" s="101"/>
      <c r="P364" s="90">
        <f t="shared" si="24"/>
        <v>3824580</v>
      </c>
      <c r="S364" s="90"/>
      <c r="T364" s="128">
        <f t="shared" ref="T364:T389" si="26">K364+J364</f>
        <v>3824580</v>
      </c>
      <c r="U364" s="95"/>
      <c r="V364" s="72"/>
      <c r="W364" s="75" t="e">
        <f>+A364-#REF!</f>
        <v>#REF!</v>
      </c>
      <c r="X364" s="1270"/>
      <c r="Y364" s="91"/>
      <c r="Z364" s="91"/>
      <c r="AA364" s="91"/>
    </row>
    <row r="365" spans="1:27" ht="14.4" customHeight="1" x14ac:dyDescent="0.3">
      <c r="A365">
        <v>552202</v>
      </c>
      <c r="B365" s="129" t="s">
        <v>391</v>
      </c>
      <c r="C365" t="s">
        <v>385</v>
      </c>
      <c r="D365" s="87" t="str">
        <f t="shared" si="25"/>
        <v>55</v>
      </c>
      <c r="E365" s="92"/>
      <c r="F365" s="103">
        <f>(+IFERROR(VLOOKUP($A365,'[152]BG (2)'!$B$9:$J$570,4,FALSE),0))*1</f>
        <v>5577007</v>
      </c>
      <c r="G365" s="73">
        <f>(+IFERROR(VLOOKUP($A365,'[152]BG (2)'!$B$9:$J$570,5,FALSE),0))*-1</f>
        <v>0</v>
      </c>
      <c r="H365" s="93">
        <f>(+IFERROR(VLOOKUP($A365,'[152]BG (2)'!$B$9:$J$570,6,FALSE),0))*1</f>
        <v>5966808973</v>
      </c>
      <c r="I365" s="73">
        <f>(+IFERROR(VLOOKUP($A365,'[152]BG (2)'!$B$9:$J$570,7,FALSE),0))*-1</f>
        <v>-5969110782</v>
      </c>
      <c r="J365" s="89">
        <f>(+IFERROR(VLOOKUP($A365,'[152]BG (2)'!$B$9:$J$570,8,FALSE),0))*1</f>
        <v>3275198</v>
      </c>
      <c r="K365" s="73">
        <f>(+IFERROR(VLOOKUP($A365,'[152]BG (2)'!$B$9:$J$570,9,FALSE),0))*-1</f>
        <v>0</v>
      </c>
      <c r="L365" s="75"/>
      <c r="M365" s="101"/>
      <c r="P365" s="90">
        <f t="shared" si="24"/>
        <v>3275198</v>
      </c>
      <c r="S365" s="90"/>
      <c r="T365" s="128">
        <f t="shared" si="26"/>
        <v>3275198</v>
      </c>
      <c r="U365" s="95"/>
      <c r="V365" s="72"/>
      <c r="W365" s="75" t="e">
        <f>+A365-#REF!</f>
        <v>#REF!</v>
      </c>
      <c r="X365" s="1270"/>
      <c r="Y365" s="91"/>
      <c r="Z365" s="91"/>
      <c r="AA365" s="91"/>
    </row>
    <row r="366" spans="1:27" ht="14.4" customHeight="1" x14ac:dyDescent="0.3">
      <c r="A366">
        <v>552203</v>
      </c>
      <c r="B366" s="129" t="s">
        <v>392</v>
      </c>
      <c r="C366" t="s">
        <v>385</v>
      </c>
      <c r="D366" s="87" t="str">
        <f t="shared" si="25"/>
        <v>55</v>
      </c>
      <c r="E366" s="92"/>
      <c r="F366" s="103">
        <f>(+IFERROR(VLOOKUP($A366,'[152]BG (2)'!$B$9:$J$570,4,FALSE),0))*1</f>
        <v>158985</v>
      </c>
      <c r="G366" s="73">
        <f>(+IFERROR(VLOOKUP($A366,'[152]BG (2)'!$B$9:$J$570,5,FALSE),0))*-1</f>
        <v>0</v>
      </c>
      <c r="H366" s="93">
        <f>(+IFERROR(VLOOKUP($A366,'[152]BG (2)'!$B$9:$J$570,6,FALSE),0))*1</f>
        <v>219553905</v>
      </c>
      <c r="I366" s="73">
        <f>(+IFERROR(VLOOKUP($A366,'[152]BG (2)'!$B$9:$J$570,7,FALSE),0))*-1</f>
        <v>-216651245</v>
      </c>
      <c r="J366" s="89">
        <f>(+IFERROR(VLOOKUP($A366,'[152]BG (2)'!$B$9:$J$570,8,FALSE),0))*1</f>
        <v>3061645</v>
      </c>
      <c r="K366" s="73">
        <f>(+IFERROR(VLOOKUP($A366,'[152]BG (2)'!$B$9:$J$570,9,FALSE),0))*-1</f>
        <v>0</v>
      </c>
      <c r="L366" s="75"/>
      <c r="M366" s="101"/>
      <c r="P366" s="90">
        <f t="shared" si="24"/>
        <v>3061645</v>
      </c>
      <c r="S366" s="90"/>
      <c r="T366" s="128">
        <f t="shared" si="26"/>
        <v>3061645</v>
      </c>
      <c r="U366" s="95"/>
      <c r="V366" s="72"/>
      <c r="W366" s="75" t="e">
        <f>+A366-#REF!</f>
        <v>#REF!</v>
      </c>
      <c r="X366" s="1270"/>
      <c r="Y366" s="91"/>
      <c r="Z366" s="91"/>
      <c r="AA366" s="91"/>
    </row>
    <row r="367" spans="1:27" ht="14.4" customHeight="1" x14ac:dyDescent="0.3">
      <c r="A367">
        <v>552204</v>
      </c>
      <c r="B367" s="129" t="s">
        <v>393</v>
      </c>
      <c r="C367" t="s">
        <v>385</v>
      </c>
      <c r="D367" s="87" t="str">
        <f t="shared" si="25"/>
        <v>55</v>
      </c>
      <c r="E367" s="92"/>
      <c r="F367" s="103">
        <f>(+IFERROR(VLOOKUP($A367,'[152]BG (2)'!$B$9:$J$570,4,FALSE),0))*1</f>
        <v>865916</v>
      </c>
      <c r="G367" s="73">
        <f>(+IFERROR(VLOOKUP($A367,'[152]BG (2)'!$B$9:$J$570,5,FALSE),0))*-1</f>
        <v>0</v>
      </c>
      <c r="H367" s="93">
        <f>(+IFERROR(VLOOKUP($A367,'[152]BG (2)'!$B$9:$J$570,6,FALSE),0))*1</f>
        <v>128135663</v>
      </c>
      <c r="I367" s="73">
        <f>(+IFERROR(VLOOKUP($A367,'[152]BG (2)'!$B$9:$J$570,7,FALSE),0))*-1</f>
        <v>-127081359</v>
      </c>
      <c r="J367" s="89">
        <f>(+IFERROR(VLOOKUP($A367,'[152]BG (2)'!$B$9:$J$570,8,FALSE),0))*1</f>
        <v>1920220</v>
      </c>
      <c r="K367" s="73">
        <f>(+IFERROR(VLOOKUP($A367,'[152]BG (2)'!$B$9:$J$570,9,FALSE),0))*-1</f>
        <v>0</v>
      </c>
      <c r="L367" s="75"/>
      <c r="M367" s="101"/>
      <c r="P367" s="90">
        <f t="shared" si="24"/>
        <v>1920220</v>
      </c>
      <c r="S367" s="90"/>
      <c r="T367" s="128">
        <f t="shared" si="26"/>
        <v>1920220</v>
      </c>
      <c r="U367" s="95"/>
      <c r="V367" s="72"/>
      <c r="W367" s="75" t="e">
        <f>+A367-#REF!</f>
        <v>#REF!</v>
      </c>
      <c r="X367" s="1270"/>
      <c r="Y367" s="91"/>
      <c r="Z367" s="91"/>
      <c r="AA367" s="91"/>
    </row>
    <row r="368" spans="1:27" ht="14.4" customHeight="1" x14ac:dyDescent="0.3">
      <c r="A368">
        <v>552205</v>
      </c>
      <c r="B368" s="129" t="s">
        <v>394</v>
      </c>
      <c r="C368" t="s">
        <v>385</v>
      </c>
      <c r="D368" s="87" t="str">
        <f t="shared" si="25"/>
        <v>55</v>
      </c>
      <c r="E368" s="92"/>
      <c r="F368" s="103">
        <f>(+IFERROR(VLOOKUP($A368,'[152]BG (2)'!$B$9:$J$570,4,FALSE),0))*1</f>
        <v>712309</v>
      </c>
      <c r="G368" s="73">
        <f>(+IFERROR(VLOOKUP($A368,'[152]BG (2)'!$B$9:$J$570,5,FALSE),0))*-1</f>
        <v>0</v>
      </c>
      <c r="H368" s="93">
        <f>(+IFERROR(VLOOKUP($A368,'[152]BG (2)'!$B$9:$J$570,6,FALSE),0))*1</f>
        <v>324921436</v>
      </c>
      <c r="I368" s="73">
        <f>(+IFERROR(VLOOKUP($A368,'[152]BG (2)'!$B$9:$J$570,7,FALSE),0))*-1</f>
        <v>-322997196</v>
      </c>
      <c r="J368" s="89">
        <f>(+IFERROR(VLOOKUP($A368,'[152]BG (2)'!$B$9:$J$570,8,FALSE),0))*1</f>
        <v>2636549</v>
      </c>
      <c r="K368" s="73">
        <f>(+IFERROR(VLOOKUP($A368,'[152]BG (2)'!$B$9:$J$570,9,FALSE),0))*-1</f>
        <v>0</v>
      </c>
      <c r="L368" s="75"/>
      <c r="M368" s="101"/>
      <c r="P368" s="90">
        <f t="shared" si="24"/>
        <v>2636549</v>
      </c>
      <c r="S368" s="90"/>
      <c r="T368" s="128">
        <f t="shared" si="26"/>
        <v>2636549</v>
      </c>
      <c r="U368" s="95"/>
      <c r="V368" s="72"/>
      <c r="W368" s="75" t="e">
        <f>+A368-#REF!</f>
        <v>#REF!</v>
      </c>
      <c r="X368" s="1270"/>
      <c r="Y368" s="91"/>
      <c r="Z368" s="91"/>
      <c r="AA368" s="91"/>
    </row>
    <row r="369" spans="1:27" ht="14.4" customHeight="1" x14ac:dyDescent="0.3">
      <c r="A369">
        <v>552206</v>
      </c>
      <c r="B369" s="129" t="s">
        <v>395</v>
      </c>
      <c r="C369" t="s">
        <v>385</v>
      </c>
      <c r="D369" s="87" t="str">
        <f t="shared" si="25"/>
        <v>55</v>
      </c>
      <c r="E369" s="92"/>
      <c r="F369" s="103">
        <f>(+IFERROR(VLOOKUP($A369,'[152]BG (2)'!$B$9:$J$570,4,FALSE),0))*1</f>
        <v>6057303</v>
      </c>
      <c r="G369" s="73">
        <f>(+IFERROR(VLOOKUP($A369,'[152]BG (2)'!$B$9:$J$570,5,FALSE),0))*-1</f>
        <v>0</v>
      </c>
      <c r="H369" s="93">
        <f>(+IFERROR(VLOOKUP($A369,'[152]BG (2)'!$B$9:$J$570,6,FALSE),0))*1</f>
        <v>268588089</v>
      </c>
      <c r="I369" s="73">
        <f>(+IFERROR(VLOOKUP($A369,'[152]BG (2)'!$B$9:$J$570,7,FALSE),0))*-1</f>
        <v>-273437840</v>
      </c>
      <c r="J369" s="89">
        <f>(+IFERROR(VLOOKUP($A369,'[152]BG (2)'!$B$9:$J$570,8,FALSE),0))*1</f>
        <v>1207552</v>
      </c>
      <c r="K369" s="73">
        <f>(+IFERROR(VLOOKUP($A369,'[152]BG (2)'!$B$9:$J$570,9,FALSE),0))*-1</f>
        <v>0</v>
      </c>
      <c r="L369" s="75"/>
      <c r="M369" s="101"/>
      <c r="P369" s="90">
        <f t="shared" si="24"/>
        <v>1207552</v>
      </c>
      <c r="S369" s="90"/>
      <c r="T369" s="128">
        <f t="shared" si="26"/>
        <v>1207552</v>
      </c>
      <c r="U369" s="95"/>
      <c r="V369" s="72"/>
      <c r="W369" s="75" t="e">
        <f>+A369-#REF!</f>
        <v>#REF!</v>
      </c>
      <c r="X369" s="1270"/>
      <c r="Y369" s="91"/>
      <c r="Z369" s="91"/>
      <c r="AA369" s="91"/>
    </row>
    <row r="370" spans="1:27" ht="14.4" customHeight="1" x14ac:dyDescent="0.3">
      <c r="A370">
        <v>552207</v>
      </c>
      <c r="B370" s="129" t="s">
        <v>396</v>
      </c>
      <c r="C370" t="s">
        <v>385</v>
      </c>
      <c r="D370" s="87" t="str">
        <f t="shared" si="25"/>
        <v>55</v>
      </c>
      <c r="E370" s="92"/>
      <c r="F370" s="103">
        <f>(+IFERROR(VLOOKUP($A370,'[152]BG (2)'!$B$9:$J$570,4,FALSE),0))*1</f>
        <v>2884556</v>
      </c>
      <c r="G370" s="73">
        <f>(+IFERROR(VLOOKUP($A370,'[152]BG (2)'!$B$9:$J$570,5,FALSE),0))*-1</f>
        <v>0</v>
      </c>
      <c r="H370" s="93">
        <f>(+IFERROR(VLOOKUP($A370,'[152]BG (2)'!$B$9:$J$570,6,FALSE),0))*1</f>
        <v>408593208</v>
      </c>
      <c r="I370" s="73">
        <f>(+IFERROR(VLOOKUP($A370,'[152]BG (2)'!$B$9:$J$570,7,FALSE),0))*-1</f>
        <v>-408345224</v>
      </c>
      <c r="J370" s="89">
        <f>(+IFERROR(VLOOKUP($A370,'[152]BG (2)'!$B$9:$J$570,8,FALSE),0))*1</f>
        <v>3132540</v>
      </c>
      <c r="K370" s="73">
        <f>(+IFERROR(VLOOKUP($A370,'[152]BG (2)'!$B$9:$J$570,9,FALSE),0))*-1</f>
        <v>0</v>
      </c>
      <c r="L370" s="75"/>
      <c r="M370" s="101"/>
      <c r="P370" s="90">
        <f t="shared" si="24"/>
        <v>3132540</v>
      </c>
      <c r="S370" s="90"/>
      <c r="T370" s="128">
        <f t="shared" si="26"/>
        <v>3132540</v>
      </c>
      <c r="U370" s="95"/>
      <c r="V370" s="72"/>
      <c r="W370" s="75" t="e">
        <f>+A370-#REF!</f>
        <v>#REF!</v>
      </c>
      <c r="X370" s="1270"/>
      <c r="Y370" s="91"/>
      <c r="Z370" s="91"/>
      <c r="AA370" s="91"/>
    </row>
    <row r="371" spans="1:27" ht="14.4" customHeight="1" x14ac:dyDescent="0.3">
      <c r="A371">
        <v>552208</v>
      </c>
      <c r="B371" s="129" t="s">
        <v>397</v>
      </c>
      <c r="C371" t="s">
        <v>385</v>
      </c>
      <c r="D371" s="87" t="str">
        <f t="shared" si="25"/>
        <v>55</v>
      </c>
      <c r="E371" s="92"/>
      <c r="F371" s="103">
        <f>(+IFERROR(VLOOKUP($A371,'[152]BG (2)'!$B$9:$J$570,4,FALSE),0))*1</f>
        <v>7147323</v>
      </c>
      <c r="G371" s="73">
        <f>(+IFERROR(VLOOKUP($A371,'[152]BG (2)'!$B$9:$J$570,5,FALSE),0))*-1</f>
        <v>0</v>
      </c>
      <c r="H371" s="93">
        <f>(+IFERROR(VLOOKUP($A371,'[152]BG (2)'!$B$9:$J$570,6,FALSE),0))*1</f>
        <v>300385241</v>
      </c>
      <c r="I371" s="73">
        <f>(+IFERROR(VLOOKUP($A371,'[152]BG (2)'!$B$9:$J$570,7,FALSE),0))*-1</f>
        <v>-301512747</v>
      </c>
      <c r="J371" s="89">
        <f>(+IFERROR(VLOOKUP($A371,'[152]BG (2)'!$B$9:$J$570,8,FALSE),0))*1</f>
        <v>6019817</v>
      </c>
      <c r="K371" s="73">
        <f>(+IFERROR(VLOOKUP($A371,'[152]BG (2)'!$B$9:$J$570,9,FALSE),0))*-1</f>
        <v>0</v>
      </c>
      <c r="L371" s="75"/>
      <c r="M371" s="101"/>
      <c r="P371" s="90">
        <f t="shared" si="24"/>
        <v>6019817</v>
      </c>
      <c r="S371" s="90"/>
      <c r="T371" s="128">
        <f t="shared" si="26"/>
        <v>6019817</v>
      </c>
      <c r="U371" s="95"/>
      <c r="V371" s="72"/>
      <c r="W371" s="75" t="e">
        <f>+A371-#REF!</f>
        <v>#REF!</v>
      </c>
      <c r="X371" s="1270"/>
      <c r="Y371" s="91"/>
      <c r="Z371" s="91"/>
      <c r="AA371" s="91"/>
    </row>
    <row r="372" spans="1:27" ht="14.4" customHeight="1" x14ac:dyDescent="0.3">
      <c r="A372">
        <v>552209</v>
      </c>
      <c r="B372" s="129" t="s">
        <v>398</v>
      </c>
      <c r="C372" t="s">
        <v>385</v>
      </c>
      <c r="D372" s="87" t="str">
        <f t="shared" si="25"/>
        <v>55</v>
      </c>
      <c r="E372" s="92"/>
      <c r="F372" s="103">
        <f>(+IFERROR(VLOOKUP($A372,'[152]BG (2)'!$B$9:$J$570,4,FALSE),0))*1</f>
        <v>8016800</v>
      </c>
      <c r="G372" s="73">
        <f>(+IFERROR(VLOOKUP($A372,'[152]BG (2)'!$B$9:$J$570,5,FALSE),0))*-1</f>
        <v>0</v>
      </c>
      <c r="H372" s="93">
        <f>(+IFERROR(VLOOKUP($A372,'[152]BG (2)'!$B$9:$J$570,6,FALSE),0))*1</f>
        <v>333488130</v>
      </c>
      <c r="I372" s="73">
        <f>(+IFERROR(VLOOKUP($A372,'[152]BG (2)'!$B$9:$J$570,7,FALSE),0))*-1</f>
        <v>-334924030</v>
      </c>
      <c r="J372" s="89">
        <f>(+IFERROR(VLOOKUP($A372,'[152]BG (2)'!$B$9:$J$570,8,FALSE),0))*1</f>
        <v>6580900</v>
      </c>
      <c r="K372" s="73">
        <f>(+IFERROR(VLOOKUP($A372,'[152]BG (2)'!$B$9:$J$570,9,FALSE),0))*-1</f>
        <v>0</v>
      </c>
      <c r="L372" s="75"/>
      <c r="M372" s="101"/>
      <c r="P372" s="90">
        <f t="shared" si="24"/>
        <v>6580900</v>
      </c>
      <c r="S372" s="90"/>
      <c r="T372" s="128">
        <f t="shared" si="26"/>
        <v>6580900</v>
      </c>
      <c r="U372" s="95"/>
      <c r="V372" s="72"/>
      <c r="W372" s="75" t="e">
        <f>+A372-#REF!</f>
        <v>#REF!</v>
      </c>
      <c r="X372" s="1270"/>
      <c r="Y372" s="91"/>
      <c r="Z372" s="91"/>
      <c r="AA372" s="91"/>
    </row>
    <row r="373" spans="1:27" ht="14.4" customHeight="1" x14ac:dyDescent="0.3">
      <c r="A373">
        <v>552210</v>
      </c>
      <c r="B373" s="129" t="s">
        <v>399</v>
      </c>
      <c r="C373" t="s">
        <v>385</v>
      </c>
      <c r="D373" s="87" t="str">
        <f t="shared" si="25"/>
        <v>55</v>
      </c>
      <c r="E373" s="92"/>
      <c r="F373" s="103">
        <f>(+IFERROR(VLOOKUP($A373,'[152]BG (2)'!$B$9:$J$570,4,FALSE),0))*1</f>
        <v>2888383</v>
      </c>
      <c r="G373" s="73">
        <f>(+IFERROR(VLOOKUP($A373,'[152]BG (2)'!$B$9:$J$570,5,FALSE),0))*-1</f>
        <v>0</v>
      </c>
      <c r="H373" s="93">
        <f>(+IFERROR(VLOOKUP($A373,'[152]BG (2)'!$B$9:$J$570,6,FALSE),0))*1</f>
        <v>313744852</v>
      </c>
      <c r="I373" s="73">
        <f>(+IFERROR(VLOOKUP($A373,'[152]BG (2)'!$B$9:$J$570,7,FALSE),0))*-1</f>
        <v>-313890588</v>
      </c>
      <c r="J373" s="89">
        <f>(+IFERROR(VLOOKUP($A373,'[152]BG (2)'!$B$9:$J$570,8,FALSE),0))*1</f>
        <v>2742647</v>
      </c>
      <c r="K373" s="73">
        <f>(+IFERROR(VLOOKUP($A373,'[152]BG (2)'!$B$9:$J$570,9,FALSE),0))*-1</f>
        <v>0</v>
      </c>
      <c r="L373" s="75"/>
      <c r="M373" s="101"/>
      <c r="P373" s="90">
        <f t="shared" si="24"/>
        <v>2742647</v>
      </c>
      <c r="S373" s="90"/>
      <c r="T373" s="128">
        <f t="shared" si="26"/>
        <v>2742647</v>
      </c>
      <c r="U373" s="95"/>
      <c r="V373" s="72"/>
      <c r="W373" s="75" t="e">
        <f>+A373-#REF!</f>
        <v>#REF!</v>
      </c>
      <c r="X373" s="1270"/>
      <c r="Y373" s="91"/>
      <c r="Z373" s="91"/>
      <c r="AA373" s="91"/>
    </row>
    <row r="374" spans="1:27" ht="14.4" customHeight="1" x14ac:dyDescent="0.3">
      <c r="A374">
        <v>552211</v>
      </c>
      <c r="B374" s="129" t="s">
        <v>400</v>
      </c>
      <c r="C374" t="s">
        <v>385</v>
      </c>
      <c r="D374" s="87" t="str">
        <f t="shared" si="25"/>
        <v>55</v>
      </c>
      <c r="E374" s="92"/>
      <c r="F374" s="103">
        <f>(+IFERROR(VLOOKUP($A374,'[152]BG (2)'!$B$9:$J$570,4,FALSE),0))*1</f>
        <v>2497900</v>
      </c>
      <c r="G374" s="73">
        <f>(+IFERROR(VLOOKUP($A374,'[152]BG (2)'!$B$9:$J$570,5,FALSE),0))*-1</f>
        <v>0</v>
      </c>
      <c r="H374" s="93">
        <f>(+IFERROR(VLOOKUP($A374,'[152]BG (2)'!$B$9:$J$570,6,FALSE),0))*1</f>
        <v>345130549</v>
      </c>
      <c r="I374" s="73">
        <f>(+IFERROR(VLOOKUP($A374,'[152]BG (2)'!$B$9:$J$570,7,FALSE),0))*-1</f>
        <v>-344187499</v>
      </c>
      <c r="J374" s="89">
        <f>(+IFERROR(VLOOKUP($A374,'[152]BG (2)'!$B$9:$J$570,8,FALSE),0))*1</f>
        <v>3440950</v>
      </c>
      <c r="K374" s="73">
        <f>(+IFERROR(VLOOKUP($A374,'[152]BG (2)'!$B$9:$J$570,9,FALSE),0))*-1</f>
        <v>0</v>
      </c>
      <c r="L374" s="75"/>
      <c r="M374" s="101"/>
      <c r="P374" s="90">
        <f t="shared" si="24"/>
        <v>3440950</v>
      </c>
      <c r="S374" s="90"/>
      <c r="T374" s="128">
        <f t="shared" si="26"/>
        <v>3440950</v>
      </c>
      <c r="U374" s="95"/>
      <c r="V374" s="72"/>
      <c r="W374" s="75" t="e">
        <f>+A374-#REF!</f>
        <v>#REF!</v>
      </c>
      <c r="X374" s="1270"/>
      <c r="Y374" s="91"/>
      <c r="Z374" s="91"/>
      <c r="AA374" s="91"/>
    </row>
    <row r="375" spans="1:27" ht="14.4" customHeight="1" x14ac:dyDescent="0.3">
      <c r="A375">
        <v>552213</v>
      </c>
      <c r="B375" s="129" t="s">
        <v>401</v>
      </c>
      <c r="C375" t="s">
        <v>385</v>
      </c>
      <c r="D375" s="87" t="str">
        <f t="shared" si="25"/>
        <v>55</v>
      </c>
      <c r="E375" s="92"/>
      <c r="F375" s="103">
        <f>(+IFERROR(VLOOKUP($A375,'[152]BG (2)'!$B$9:$J$570,4,FALSE),0))*1</f>
        <v>3208125</v>
      </c>
      <c r="G375" s="73">
        <f>(+IFERROR(VLOOKUP($A375,'[152]BG (2)'!$B$9:$J$570,5,FALSE),0))*-1</f>
        <v>0</v>
      </c>
      <c r="H375" s="93">
        <f>(+IFERROR(VLOOKUP($A375,'[152]BG (2)'!$B$9:$J$570,6,FALSE),0))*1</f>
        <v>94734528</v>
      </c>
      <c r="I375" s="73">
        <f>(+IFERROR(VLOOKUP($A375,'[152]BG (2)'!$B$9:$J$570,7,FALSE),0))*-1</f>
        <v>-97234619</v>
      </c>
      <c r="J375" s="89">
        <f>(+IFERROR(VLOOKUP($A375,'[152]BG (2)'!$B$9:$J$570,8,FALSE),0))*1</f>
        <v>708034</v>
      </c>
      <c r="K375" s="73">
        <f>(+IFERROR(VLOOKUP($A375,'[152]BG (2)'!$B$9:$J$570,9,FALSE),0))*-1</f>
        <v>0</v>
      </c>
      <c r="L375" s="75"/>
      <c r="M375" s="101"/>
      <c r="P375" s="90">
        <f t="shared" si="24"/>
        <v>708034</v>
      </c>
      <c r="S375" s="90"/>
      <c r="T375" s="128">
        <f t="shared" si="26"/>
        <v>708034</v>
      </c>
      <c r="U375" s="95"/>
      <c r="V375" s="72"/>
      <c r="W375" s="75" t="e">
        <f>+A375-#REF!</f>
        <v>#REF!</v>
      </c>
      <c r="X375" s="1270"/>
      <c r="Y375" s="91"/>
      <c r="Z375" s="91"/>
      <c r="AA375" s="91"/>
    </row>
    <row r="376" spans="1:27" ht="14.4" customHeight="1" x14ac:dyDescent="0.3">
      <c r="A376">
        <v>552214</v>
      </c>
      <c r="B376" s="129" t="s">
        <v>402</v>
      </c>
      <c r="C376" t="s">
        <v>385</v>
      </c>
      <c r="D376" s="87" t="str">
        <f t="shared" si="25"/>
        <v>55</v>
      </c>
      <c r="E376" s="92"/>
      <c r="F376" s="103">
        <f>(+IFERROR(VLOOKUP($A376,'[152]BG (2)'!$B$9:$J$570,4,FALSE),0))*1</f>
        <v>8003172</v>
      </c>
      <c r="G376" s="73">
        <f>(+IFERROR(VLOOKUP($A376,'[152]BG (2)'!$B$9:$J$570,5,FALSE),0))*-1</f>
        <v>0</v>
      </c>
      <c r="H376" s="93">
        <f>(+IFERROR(VLOOKUP($A376,'[152]BG (2)'!$B$9:$J$570,6,FALSE),0))*1</f>
        <v>950296156</v>
      </c>
      <c r="I376" s="73">
        <f>(+IFERROR(VLOOKUP($A376,'[152]BG (2)'!$B$9:$J$570,7,FALSE),0))*-1</f>
        <v>-955723428</v>
      </c>
      <c r="J376" s="89">
        <f>(+IFERROR(VLOOKUP($A376,'[152]BG (2)'!$B$9:$J$570,8,FALSE),0))*1</f>
        <v>2575900</v>
      </c>
      <c r="K376" s="73">
        <f>(+IFERROR(VLOOKUP($A376,'[152]BG (2)'!$B$9:$J$570,9,FALSE),0))*-1</f>
        <v>0</v>
      </c>
      <c r="L376" s="75"/>
      <c r="M376" s="101"/>
      <c r="P376" s="90">
        <f t="shared" si="24"/>
        <v>2575900</v>
      </c>
      <c r="S376" s="90"/>
      <c r="T376" s="128">
        <f t="shared" si="26"/>
        <v>2575900</v>
      </c>
      <c r="U376" s="95"/>
      <c r="V376" s="72"/>
      <c r="W376" s="75" t="e">
        <f>+A376-#REF!</f>
        <v>#REF!</v>
      </c>
      <c r="X376" s="1270"/>
      <c r="Y376" s="91"/>
      <c r="Z376" s="91"/>
      <c r="AA376" s="91"/>
    </row>
    <row r="377" spans="1:27" ht="14.4" customHeight="1" x14ac:dyDescent="0.3">
      <c r="A377">
        <v>552215</v>
      </c>
      <c r="B377" s="129" t="s">
        <v>403</v>
      </c>
      <c r="C377" t="s">
        <v>385</v>
      </c>
      <c r="D377" s="87" t="str">
        <f t="shared" si="25"/>
        <v>55</v>
      </c>
      <c r="E377" s="92"/>
      <c r="F377" s="103">
        <f>(+IFERROR(VLOOKUP($A377,'[152]BG (2)'!$B$9:$J$570,4,FALSE),0))*1</f>
        <v>1627565</v>
      </c>
      <c r="G377" s="73">
        <f>(+IFERROR(VLOOKUP($A377,'[152]BG (2)'!$B$9:$J$570,5,FALSE),0))*-1</f>
        <v>0</v>
      </c>
      <c r="H377" s="93">
        <f>(+IFERROR(VLOOKUP($A377,'[152]BG (2)'!$B$9:$J$570,6,FALSE),0))*1</f>
        <v>75523190</v>
      </c>
      <c r="I377" s="73">
        <f>(+IFERROR(VLOOKUP($A377,'[152]BG (2)'!$B$9:$J$570,7,FALSE),0))*-1</f>
        <v>-75929377</v>
      </c>
      <c r="J377" s="89">
        <f>(+IFERROR(VLOOKUP($A377,'[152]BG (2)'!$B$9:$J$570,8,FALSE),0))*1</f>
        <v>1221378</v>
      </c>
      <c r="K377" s="73">
        <f>(+IFERROR(VLOOKUP($A377,'[152]BG (2)'!$B$9:$J$570,9,FALSE),0))*-1</f>
        <v>0</v>
      </c>
      <c r="L377" s="75"/>
      <c r="M377" s="101"/>
      <c r="P377" s="90">
        <f t="shared" si="24"/>
        <v>1221378</v>
      </c>
      <c r="S377" s="90"/>
      <c r="T377" s="128">
        <f t="shared" si="26"/>
        <v>1221378</v>
      </c>
      <c r="U377" s="95"/>
      <c r="V377" s="72"/>
      <c r="W377" s="75" t="e">
        <f>+A377-#REF!</f>
        <v>#REF!</v>
      </c>
      <c r="X377" s="1270"/>
      <c r="Y377" s="91"/>
      <c r="Z377" s="91"/>
      <c r="AA377" s="91"/>
    </row>
    <row r="378" spans="1:27" ht="14.4" customHeight="1" x14ac:dyDescent="0.3">
      <c r="A378">
        <v>552216</v>
      </c>
      <c r="B378" s="129" t="s">
        <v>404</v>
      </c>
      <c r="C378" t="s">
        <v>385</v>
      </c>
      <c r="D378" s="87" t="str">
        <f t="shared" si="25"/>
        <v>55</v>
      </c>
      <c r="E378" s="92"/>
      <c r="F378" s="103">
        <f>(+IFERROR(VLOOKUP($A378,'[152]BG (2)'!$B$9:$J$570,4,FALSE),0))*1</f>
        <v>5613700</v>
      </c>
      <c r="G378" s="73">
        <f>(+IFERROR(VLOOKUP($A378,'[152]BG (2)'!$B$9:$J$570,5,FALSE),0))*-1</f>
        <v>0</v>
      </c>
      <c r="H378" s="93">
        <f>(+IFERROR(VLOOKUP($A378,'[152]BG (2)'!$B$9:$J$570,6,FALSE),0))*1</f>
        <v>63454050</v>
      </c>
      <c r="I378" s="73">
        <f>(+IFERROR(VLOOKUP($A378,'[152]BG (2)'!$B$9:$J$570,7,FALSE),0))*-1</f>
        <v>-68426700</v>
      </c>
      <c r="J378" s="89">
        <f>(+IFERROR(VLOOKUP($A378,'[152]BG (2)'!$B$9:$J$570,8,FALSE),0))*1</f>
        <v>641050</v>
      </c>
      <c r="K378" s="73">
        <f>(+IFERROR(VLOOKUP($A378,'[152]BG (2)'!$B$9:$J$570,9,FALSE),0))*-1</f>
        <v>0</v>
      </c>
      <c r="L378" s="75"/>
      <c r="M378" s="101"/>
      <c r="P378" s="90">
        <f t="shared" si="24"/>
        <v>641050</v>
      </c>
      <c r="S378" s="90"/>
      <c r="T378" s="128">
        <f t="shared" si="26"/>
        <v>641050</v>
      </c>
      <c r="U378" s="95"/>
      <c r="V378" s="72"/>
      <c r="W378" s="75" t="e">
        <f>+A378-#REF!</f>
        <v>#REF!</v>
      </c>
      <c r="X378" s="1270"/>
      <c r="Y378" s="91"/>
      <c r="Z378" s="91"/>
      <c r="AA378" s="91"/>
    </row>
    <row r="379" spans="1:27" ht="14.4" customHeight="1" x14ac:dyDescent="0.3">
      <c r="A379">
        <v>552217</v>
      </c>
      <c r="B379" s="129" t="s">
        <v>405</v>
      </c>
      <c r="C379" t="s">
        <v>385</v>
      </c>
      <c r="D379" s="87" t="str">
        <f t="shared" si="25"/>
        <v>55</v>
      </c>
      <c r="E379" s="92"/>
      <c r="F379" s="103">
        <f>(+IFERROR(VLOOKUP($A379,'[152]BG (2)'!$B$9:$J$570,4,FALSE),0))*1</f>
        <v>1436303</v>
      </c>
      <c r="G379" s="73">
        <f>(+IFERROR(VLOOKUP($A379,'[152]BG (2)'!$B$9:$J$570,5,FALSE),0))*-1</f>
        <v>0</v>
      </c>
      <c r="H379" s="93">
        <f>(+IFERROR(VLOOKUP($A379,'[152]BG (2)'!$B$9:$J$570,6,FALSE),0))*1</f>
        <v>70901561</v>
      </c>
      <c r="I379" s="73">
        <f>(+IFERROR(VLOOKUP($A379,'[152]BG (2)'!$B$9:$J$570,7,FALSE),0))*-1</f>
        <v>-71278794</v>
      </c>
      <c r="J379" s="89">
        <f>(+IFERROR(VLOOKUP($A379,'[152]BG (2)'!$B$9:$J$570,8,FALSE),0))*1</f>
        <v>1059070</v>
      </c>
      <c r="K379" s="73">
        <f>(+IFERROR(VLOOKUP($A379,'[152]BG (2)'!$B$9:$J$570,9,FALSE),0))*-1</f>
        <v>0</v>
      </c>
      <c r="L379" s="75"/>
      <c r="M379" s="101"/>
      <c r="P379" s="90">
        <f t="shared" si="24"/>
        <v>1059070</v>
      </c>
      <c r="S379" s="90"/>
      <c r="T379" s="128">
        <f t="shared" si="26"/>
        <v>1059070</v>
      </c>
      <c r="U379" s="95"/>
      <c r="V379" s="72"/>
      <c r="W379" s="75" t="e">
        <f>+A379-#REF!</f>
        <v>#REF!</v>
      </c>
      <c r="X379" s="1270"/>
      <c r="Y379" s="91"/>
      <c r="Z379" s="91"/>
      <c r="AA379" s="91"/>
    </row>
    <row r="380" spans="1:27" ht="14.4" customHeight="1" x14ac:dyDescent="0.3">
      <c r="A380">
        <v>552218</v>
      </c>
      <c r="B380" s="129" t="s">
        <v>406</v>
      </c>
      <c r="C380" t="s">
        <v>385</v>
      </c>
      <c r="D380" s="87" t="str">
        <f t="shared" si="25"/>
        <v>55</v>
      </c>
      <c r="E380" s="92"/>
      <c r="F380" s="103">
        <f>(+IFERROR(VLOOKUP($A380,'[152]BG (2)'!$B$9:$J$570,4,FALSE),0))*1</f>
        <v>1398085</v>
      </c>
      <c r="G380" s="73">
        <f>(+IFERROR(VLOOKUP($A380,'[152]BG (2)'!$B$9:$J$570,5,FALSE),0))*-1</f>
        <v>0</v>
      </c>
      <c r="H380" s="93">
        <f>(+IFERROR(VLOOKUP($A380,'[152]BG (2)'!$B$9:$J$570,6,FALSE),0))*1</f>
        <v>79678020</v>
      </c>
      <c r="I380" s="73">
        <f>(+IFERROR(VLOOKUP($A380,'[152]BG (2)'!$B$9:$J$570,7,FALSE),0))*-1</f>
        <v>-79802408</v>
      </c>
      <c r="J380" s="89">
        <f>(+IFERROR(VLOOKUP($A380,'[152]BG (2)'!$B$9:$J$570,8,FALSE),0))*1</f>
        <v>1273697</v>
      </c>
      <c r="K380" s="73">
        <f>(+IFERROR(VLOOKUP($A380,'[152]BG (2)'!$B$9:$J$570,9,FALSE),0))*-1</f>
        <v>0</v>
      </c>
      <c r="L380" s="75"/>
      <c r="M380" s="101"/>
      <c r="P380" s="90">
        <f t="shared" si="24"/>
        <v>1273697</v>
      </c>
      <c r="S380" s="90"/>
      <c r="T380" s="128">
        <f t="shared" si="26"/>
        <v>1273697</v>
      </c>
      <c r="U380" s="95"/>
      <c r="V380" s="72"/>
      <c r="W380" s="75" t="e">
        <f>+A380-#REF!</f>
        <v>#REF!</v>
      </c>
      <c r="X380" s="1270"/>
      <c r="Y380" s="91"/>
      <c r="Z380" s="91"/>
      <c r="AA380" s="91"/>
    </row>
    <row r="381" spans="1:27" ht="14.4" customHeight="1" x14ac:dyDescent="0.3">
      <c r="A381">
        <v>552219</v>
      </c>
      <c r="B381" s="129" t="s">
        <v>407</v>
      </c>
      <c r="C381" t="s">
        <v>385</v>
      </c>
      <c r="D381" s="87" t="str">
        <f t="shared" si="25"/>
        <v>55</v>
      </c>
      <c r="E381" s="92"/>
      <c r="F381" s="103">
        <f>(+IFERROR(VLOOKUP($A381,'[152]BG (2)'!$B$9:$J$570,4,FALSE),0))*1</f>
        <v>0</v>
      </c>
      <c r="G381" s="73">
        <f>(+IFERROR(VLOOKUP($A381,'[152]BG (2)'!$B$9:$J$570,5,FALSE),0))*-1</f>
        <v>0</v>
      </c>
      <c r="H381" s="93">
        <f>(+IFERROR(VLOOKUP($A381,'[152]BG (2)'!$B$9:$J$570,6,FALSE),0))*1</f>
        <v>0</v>
      </c>
      <c r="I381" s="73">
        <f>(+IFERROR(VLOOKUP($A381,'[152]BG (2)'!$B$9:$J$570,7,FALSE),0))*-1</f>
        <v>0</v>
      </c>
      <c r="J381" s="89">
        <f>(+IFERROR(VLOOKUP($A381,'[152]BG (2)'!$B$9:$J$570,8,FALSE),0))*1</f>
        <v>0</v>
      </c>
      <c r="K381" s="73">
        <f>(+IFERROR(VLOOKUP($A381,'[152]BG (2)'!$B$9:$J$570,9,FALSE),0))*-1</f>
        <v>0</v>
      </c>
      <c r="L381" s="75"/>
      <c r="M381" s="101"/>
      <c r="P381" s="90">
        <f t="shared" si="24"/>
        <v>0</v>
      </c>
      <c r="S381" s="90"/>
      <c r="T381" s="128">
        <f t="shared" si="26"/>
        <v>0</v>
      </c>
      <c r="U381" s="95"/>
      <c r="V381" s="72"/>
      <c r="W381" s="75" t="e">
        <f>+A381-#REF!</f>
        <v>#REF!</v>
      </c>
      <c r="X381" s="1270"/>
      <c r="Y381" s="91"/>
      <c r="Z381" s="91"/>
      <c r="AA381" s="91"/>
    </row>
    <row r="382" spans="1:27" ht="14.4" customHeight="1" x14ac:dyDescent="0.3">
      <c r="A382">
        <v>552220</v>
      </c>
      <c r="B382" s="129" t="s">
        <v>408</v>
      </c>
      <c r="C382" t="s">
        <v>385</v>
      </c>
      <c r="D382" s="87" t="str">
        <f t="shared" si="25"/>
        <v>55</v>
      </c>
      <c r="E382" s="92"/>
      <c r="F382" s="103">
        <f>(+IFERROR(VLOOKUP($A382,'[152]BG (2)'!$B$9:$J$570,4,FALSE),0))*1</f>
        <v>1184676</v>
      </c>
      <c r="G382" s="73">
        <f>(+IFERROR(VLOOKUP($A382,'[152]BG (2)'!$B$9:$J$570,5,FALSE),0))*-1</f>
        <v>0</v>
      </c>
      <c r="H382" s="93">
        <f>(+IFERROR(VLOOKUP($A382,'[152]BG (2)'!$B$9:$J$570,6,FALSE),0))*1</f>
        <v>248810228</v>
      </c>
      <c r="I382" s="73">
        <f>(+IFERROR(VLOOKUP($A382,'[152]BG (2)'!$B$9:$J$570,7,FALSE),0))*-1</f>
        <v>-245378888</v>
      </c>
      <c r="J382" s="89">
        <f>(+IFERROR(VLOOKUP($A382,'[152]BG (2)'!$B$9:$J$570,8,FALSE),0))*1</f>
        <v>4616016</v>
      </c>
      <c r="K382" s="73">
        <f>(+IFERROR(VLOOKUP($A382,'[152]BG (2)'!$B$9:$J$570,9,FALSE),0))*-1</f>
        <v>0</v>
      </c>
      <c r="L382" s="75"/>
      <c r="M382" s="101"/>
      <c r="P382" s="90">
        <f t="shared" si="24"/>
        <v>4616016</v>
      </c>
      <c r="S382" s="90"/>
      <c r="T382" s="128">
        <f t="shared" si="26"/>
        <v>4616016</v>
      </c>
      <c r="U382" s="95"/>
      <c r="V382" s="72"/>
      <c r="W382" s="75" t="e">
        <f>+A382-#REF!</f>
        <v>#REF!</v>
      </c>
      <c r="X382" s="1270"/>
      <c r="Y382" s="91"/>
      <c r="Z382" s="91"/>
      <c r="AA382" s="91"/>
    </row>
    <row r="383" spans="1:27" ht="14.4" customHeight="1" x14ac:dyDescent="0.3">
      <c r="A383">
        <v>552222</v>
      </c>
      <c r="B383" s="129" t="s">
        <v>409</v>
      </c>
      <c r="C383" t="s">
        <v>385</v>
      </c>
      <c r="D383" s="87" t="str">
        <f t="shared" si="25"/>
        <v>55</v>
      </c>
      <c r="E383" s="92"/>
      <c r="F383" s="103">
        <f>(+IFERROR(VLOOKUP($A383,'[152]BG (2)'!$B$9:$J$570,4,FALSE),0))*1</f>
        <v>0</v>
      </c>
      <c r="G383" s="73">
        <f>(+IFERROR(VLOOKUP($A383,'[152]BG (2)'!$B$9:$J$570,5,FALSE),0))*-1</f>
        <v>0</v>
      </c>
      <c r="H383" s="93">
        <f>(+IFERROR(VLOOKUP($A383,'[152]BG (2)'!$B$9:$J$570,6,FALSE),0))*1</f>
        <v>0</v>
      </c>
      <c r="I383" s="73">
        <f>(+IFERROR(VLOOKUP($A383,'[152]BG (2)'!$B$9:$J$570,7,FALSE),0))*-1</f>
        <v>0</v>
      </c>
      <c r="J383" s="89">
        <f>(+IFERROR(VLOOKUP($A383,'[152]BG (2)'!$B$9:$J$570,8,FALSE),0))*1</f>
        <v>0</v>
      </c>
      <c r="K383" s="73">
        <f>(+IFERROR(VLOOKUP($A383,'[152]BG (2)'!$B$9:$J$570,9,FALSE),0))*-1</f>
        <v>0</v>
      </c>
      <c r="L383" s="75"/>
      <c r="M383" s="101"/>
      <c r="P383" s="90">
        <f t="shared" si="24"/>
        <v>0</v>
      </c>
      <c r="S383" s="90"/>
      <c r="T383" s="128">
        <f t="shared" si="26"/>
        <v>0</v>
      </c>
      <c r="U383" s="95"/>
      <c r="V383" s="72"/>
      <c r="W383" s="75" t="e">
        <f>+A383-#REF!</f>
        <v>#REF!</v>
      </c>
      <c r="X383" s="1270"/>
      <c r="Y383" s="91"/>
      <c r="Z383" s="91"/>
      <c r="AA383" s="91"/>
    </row>
    <row r="384" spans="1:27" ht="14.4" customHeight="1" x14ac:dyDescent="0.3">
      <c r="A384">
        <v>552223</v>
      </c>
      <c r="B384" s="129" t="s">
        <v>410</v>
      </c>
      <c r="C384" t="s">
        <v>385</v>
      </c>
      <c r="D384" s="87" t="str">
        <f t="shared" si="25"/>
        <v>55</v>
      </c>
      <c r="E384" s="92"/>
      <c r="F384" s="103">
        <f>(+IFERROR(VLOOKUP($A384,'[152]BG (2)'!$B$9:$J$570,4,FALSE),0))*1</f>
        <v>0</v>
      </c>
      <c r="G384" s="73">
        <f>(+IFERROR(VLOOKUP($A384,'[152]BG (2)'!$B$9:$J$570,5,FALSE),0))*-1</f>
        <v>0</v>
      </c>
      <c r="H384" s="93">
        <f>(+IFERROR(VLOOKUP($A384,'[152]BG (2)'!$B$9:$J$570,6,FALSE),0))*1</f>
        <v>0</v>
      </c>
      <c r="I384" s="73">
        <f>(+IFERROR(VLOOKUP($A384,'[152]BG (2)'!$B$9:$J$570,7,FALSE),0))*-1</f>
        <v>0</v>
      </c>
      <c r="J384" s="89">
        <f>(+IFERROR(VLOOKUP($A384,'[152]BG (2)'!$B$9:$J$570,8,FALSE),0))*1</f>
        <v>0</v>
      </c>
      <c r="K384" s="73">
        <f>(+IFERROR(VLOOKUP($A384,'[152]BG (2)'!$B$9:$J$570,9,FALSE),0))*-1</f>
        <v>0</v>
      </c>
      <c r="L384" s="75"/>
      <c r="M384" s="101"/>
      <c r="P384" s="90">
        <f t="shared" si="24"/>
        <v>0</v>
      </c>
      <c r="S384" s="90"/>
      <c r="T384" s="128">
        <f t="shared" si="26"/>
        <v>0</v>
      </c>
      <c r="U384" s="95"/>
      <c r="V384" s="72"/>
      <c r="W384" s="75" t="e">
        <f>+A384-#REF!</f>
        <v>#REF!</v>
      </c>
      <c r="X384" s="1270"/>
      <c r="Y384" s="91"/>
      <c r="Z384" s="91"/>
      <c r="AA384" s="91"/>
    </row>
    <row r="385" spans="1:27" ht="14.4" customHeight="1" x14ac:dyDescent="0.3">
      <c r="A385">
        <v>552224</v>
      </c>
      <c r="B385" s="129" t="s">
        <v>411</v>
      </c>
      <c r="C385" t="s">
        <v>385</v>
      </c>
      <c r="D385" s="87" t="str">
        <f t="shared" si="25"/>
        <v>55</v>
      </c>
      <c r="E385" s="92"/>
      <c r="F385" s="103">
        <f>(+IFERROR(VLOOKUP($A385,'[152]BG (2)'!$B$9:$J$570,4,FALSE),0))*1</f>
        <v>1460818</v>
      </c>
      <c r="G385" s="73">
        <f>(+IFERROR(VLOOKUP($A385,'[152]BG (2)'!$B$9:$J$570,5,FALSE),0))*-1</f>
        <v>0</v>
      </c>
      <c r="H385" s="93">
        <f>(+IFERROR(VLOOKUP($A385,'[152]BG (2)'!$B$9:$J$570,6,FALSE),0))*1</f>
        <v>316186763</v>
      </c>
      <c r="I385" s="73">
        <f>(+IFERROR(VLOOKUP($A385,'[152]BG (2)'!$B$9:$J$570,7,FALSE),0))*-1</f>
        <v>-314564809</v>
      </c>
      <c r="J385" s="89">
        <f>(+IFERROR(VLOOKUP($A385,'[152]BG (2)'!$B$9:$J$570,8,FALSE),0))*1</f>
        <v>3082772</v>
      </c>
      <c r="K385" s="73">
        <f>(+IFERROR(VLOOKUP($A385,'[152]BG (2)'!$B$9:$J$570,9,FALSE),0))*-1</f>
        <v>0</v>
      </c>
      <c r="L385" s="75"/>
      <c r="M385" s="101"/>
      <c r="P385" s="90">
        <f t="shared" si="24"/>
        <v>3082772</v>
      </c>
      <c r="S385" s="90"/>
      <c r="T385" s="128">
        <f t="shared" si="26"/>
        <v>3082772</v>
      </c>
      <c r="U385" s="95"/>
      <c r="V385" s="72"/>
      <c r="W385" s="75" t="e">
        <f>+A385-#REF!</f>
        <v>#REF!</v>
      </c>
      <c r="X385" s="1270"/>
      <c r="Y385" s="91"/>
      <c r="Z385" s="91"/>
      <c r="AA385" s="91"/>
    </row>
    <row r="386" spans="1:27" ht="14.4" customHeight="1" x14ac:dyDescent="0.3">
      <c r="A386">
        <v>552225</v>
      </c>
      <c r="B386" s="129" t="s">
        <v>412</v>
      </c>
      <c r="C386" t="s">
        <v>385</v>
      </c>
      <c r="D386" s="87" t="str">
        <f t="shared" si="25"/>
        <v>55</v>
      </c>
      <c r="E386" s="92"/>
      <c r="F386" s="103">
        <f>(+IFERROR(VLOOKUP($A386,'[152]BG (2)'!$B$9:$J$570,4,FALSE),0))*1</f>
        <v>0</v>
      </c>
      <c r="G386" s="73">
        <f>(+IFERROR(VLOOKUP($A386,'[152]BG (2)'!$B$9:$J$570,5,FALSE),0))*-1</f>
        <v>0</v>
      </c>
      <c r="H386" s="93">
        <f>(+IFERROR(VLOOKUP($A386,'[152]BG (2)'!$B$9:$J$570,6,FALSE),0))*1</f>
        <v>0</v>
      </c>
      <c r="I386" s="73">
        <f>(+IFERROR(VLOOKUP($A386,'[152]BG (2)'!$B$9:$J$570,7,FALSE),0))*-1</f>
        <v>0</v>
      </c>
      <c r="J386" s="89">
        <f>(+IFERROR(VLOOKUP($A386,'[152]BG (2)'!$B$9:$J$570,8,FALSE),0))*1</f>
        <v>0</v>
      </c>
      <c r="K386" s="73">
        <f>(+IFERROR(VLOOKUP($A386,'[152]BG (2)'!$B$9:$J$570,9,FALSE),0))*-1</f>
        <v>0</v>
      </c>
      <c r="L386" s="75"/>
      <c r="M386" s="101"/>
      <c r="P386" s="90">
        <f t="shared" si="24"/>
        <v>0</v>
      </c>
      <c r="S386" s="90"/>
      <c r="T386" s="128">
        <f t="shared" si="26"/>
        <v>0</v>
      </c>
      <c r="U386" s="95"/>
      <c r="V386" s="72"/>
      <c r="W386" s="75" t="e">
        <f>+A386-#REF!</f>
        <v>#REF!</v>
      </c>
      <c r="X386" s="1270"/>
      <c r="Y386" s="91"/>
      <c r="Z386" s="91"/>
      <c r="AA386" s="91"/>
    </row>
    <row r="387" spans="1:27" ht="14.4" customHeight="1" x14ac:dyDescent="0.3">
      <c r="A387">
        <v>552226</v>
      </c>
      <c r="B387" s="129" t="s">
        <v>413</v>
      </c>
      <c r="C387" t="s">
        <v>385</v>
      </c>
      <c r="D387" s="87" t="str">
        <f t="shared" si="25"/>
        <v>55</v>
      </c>
      <c r="E387" s="92"/>
      <c r="F387" s="103">
        <f>(+IFERROR(VLOOKUP($A387,'[152]BG (2)'!$B$9:$J$570,4,FALSE),0))*1</f>
        <v>0</v>
      </c>
      <c r="G387" s="73">
        <f>(+IFERROR(VLOOKUP($A387,'[152]BG (2)'!$B$9:$J$570,5,FALSE),0))*-1</f>
        <v>0</v>
      </c>
      <c r="H387" s="93">
        <f>(+IFERROR(VLOOKUP($A387,'[152]BG (2)'!$B$9:$J$570,6,FALSE),0))*1</f>
        <v>504930452</v>
      </c>
      <c r="I387" s="73">
        <f>(+IFERROR(VLOOKUP($A387,'[152]BG (2)'!$B$9:$J$570,7,FALSE),0))*-1</f>
        <v>-504930452</v>
      </c>
      <c r="J387" s="89">
        <f>(+IFERROR(VLOOKUP($A387,'[152]BG (2)'!$B$9:$J$570,8,FALSE),0))*1</f>
        <v>0</v>
      </c>
      <c r="K387" s="73">
        <f>(+IFERROR(VLOOKUP($A387,'[152]BG (2)'!$B$9:$J$570,9,FALSE),0))*-1</f>
        <v>0</v>
      </c>
      <c r="L387" s="75"/>
      <c r="M387" s="101"/>
      <c r="P387" s="90">
        <f t="shared" si="24"/>
        <v>0</v>
      </c>
      <c r="S387" s="90"/>
      <c r="T387" s="128">
        <f t="shared" si="26"/>
        <v>0</v>
      </c>
      <c r="U387" s="95"/>
      <c r="V387" s="72"/>
      <c r="W387" s="75" t="e">
        <f>+A387-#REF!</f>
        <v>#REF!</v>
      </c>
      <c r="X387" s="1270"/>
      <c r="Y387" s="91"/>
      <c r="Z387" s="91"/>
      <c r="AA387" s="91"/>
    </row>
    <row r="388" spans="1:27" ht="14.4" customHeight="1" x14ac:dyDescent="0.3">
      <c r="A388">
        <v>552227</v>
      </c>
      <c r="B388" s="129" t="s">
        <v>414</v>
      </c>
      <c r="C388" t="s">
        <v>385</v>
      </c>
      <c r="D388" s="87" t="str">
        <f t="shared" si="25"/>
        <v>55</v>
      </c>
      <c r="E388" s="92"/>
      <c r="F388" s="103">
        <f>(+IFERROR(VLOOKUP($A388,'[152]BG (2)'!$B$9:$J$570,4,FALSE),0))*1</f>
        <v>30780</v>
      </c>
      <c r="G388" s="73">
        <f>(+IFERROR(VLOOKUP($A388,'[152]BG (2)'!$B$9:$J$570,5,FALSE),0))*-1</f>
        <v>0</v>
      </c>
      <c r="H388" s="93">
        <f>(+IFERROR(VLOOKUP($A388,'[152]BG (2)'!$B$9:$J$570,6,FALSE),0))*1</f>
        <v>394312753</v>
      </c>
      <c r="I388" s="73">
        <f>(+IFERROR(VLOOKUP($A388,'[152]BG (2)'!$B$9:$J$570,7,FALSE),0))*-1</f>
        <v>-386104229</v>
      </c>
      <c r="J388" s="89">
        <f>(+IFERROR(VLOOKUP($A388,'[152]BG (2)'!$B$9:$J$570,8,FALSE),0))*1</f>
        <v>8239304</v>
      </c>
      <c r="K388" s="73">
        <f>(+IFERROR(VLOOKUP($A388,'[152]BG (2)'!$B$9:$J$570,9,FALSE),0))*-1</f>
        <v>0</v>
      </c>
      <c r="L388" s="75"/>
      <c r="M388" s="101"/>
      <c r="P388" s="90">
        <f t="shared" si="24"/>
        <v>8239304</v>
      </c>
      <c r="S388" s="90"/>
      <c r="T388" s="128">
        <f t="shared" si="26"/>
        <v>8239304</v>
      </c>
      <c r="U388" s="95"/>
      <c r="V388" s="72"/>
      <c r="W388" s="75" t="e">
        <f>+A388-#REF!</f>
        <v>#REF!</v>
      </c>
      <c r="X388" s="1270"/>
      <c r="Y388" s="91"/>
      <c r="Z388" s="91"/>
      <c r="AA388" s="91"/>
    </row>
    <row r="389" spans="1:27" ht="14.4" customHeight="1" x14ac:dyDescent="0.3">
      <c r="A389">
        <v>552228</v>
      </c>
      <c r="B389" s="129" t="s">
        <v>435</v>
      </c>
      <c r="C389" t="s">
        <v>385</v>
      </c>
      <c r="D389" s="87" t="str">
        <f t="shared" si="25"/>
        <v>55</v>
      </c>
      <c r="E389" s="92"/>
      <c r="F389" s="103">
        <f>(+IFERROR(VLOOKUP($A389,'[152]BG (2)'!$B$9:$J$570,4,FALSE),0))*1</f>
        <v>4093311</v>
      </c>
      <c r="G389" s="73">
        <f>(+IFERROR(VLOOKUP($A389,'[152]BG (2)'!$B$9:$J$570,5,FALSE),0))*-1</f>
        <v>0</v>
      </c>
      <c r="H389" s="93">
        <f>(+IFERROR(VLOOKUP($A389,'[152]BG (2)'!$B$9:$J$570,6,FALSE),0))*1</f>
        <v>186790519</v>
      </c>
      <c r="I389" s="73">
        <f>(+IFERROR(VLOOKUP($A389,'[152]BG (2)'!$B$9:$J$570,7,FALSE),0))*-1</f>
        <v>-189709480</v>
      </c>
      <c r="J389" s="89">
        <f>(+IFERROR(VLOOKUP($A389,'[152]BG (2)'!$B$9:$J$570,8,FALSE),0))*1</f>
        <v>1174350</v>
      </c>
      <c r="K389" s="73">
        <f>(+IFERROR(VLOOKUP($A389,'[152]BG (2)'!$B$9:$J$570,9,FALSE),0))*-1</f>
        <v>0</v>
      </c>
      <c r="L389" s="75"/>
      <c r="M389" s="101"/>
      <c r="P389" s="90">
        <f t="shared" si="24"/>
        <v>1174350</v>
      </c>
      <c r="S389" s="90"/>
      <c r="T389" s="128">
        <f t="shared" si="26"/>
        <v>1174350</v>
      </c>
      <c r="U389" s="95"/>
      <c r="V389" s="72"/>
      <c r="W389" s="75" t="e">
        <f>+A389-#REF!</f>
        <v>#REF!</v>
      </c>
      <c r="X389" s="1270"/>
      <c r="Y389" s="91"/>
      <c r="Z389" s="91"/>
      <c r="AA389" s="91"/>
    </row>
    <row r="390" spans="1:27" ht="14.4" customHeight="1" x14ac:dyDescent="0.3">
      <c r="A390">
        <v>552229</v>
      </c>
      <c r="B390" s="129" t="s">
        <v>2255</v>
      </c>
      <c r="C390" t="s">
        <v>385</v>
      </c>
      <c r="D390" s="87" t="str">
        <f t="shared" si="25"/>
        <v>55</v>
      </c>
      <c r="E390" s="92"/>
      <c r="F390" s="103">
        <f>(+IFERROR(VLOOKUP($A390,'[152]BG (2)'!$B$9:$J$570,4,FALSE),0))*1</f>
        <v>5368893</v>
      </c>
      <c r="G390" s="73">
        <f>(+IFERROR(VLOOKUP($A390,'[152]BG (2)'!$B$9:$J$570,5,FALSE),0))*-1</f>
        <v>0</v>
      </c>
      <c r="H390" s="93">
        <f>(+IFERROR(VLOOKUP($A390,'[152]BG (2)'!$B$9:$J$570,6,FALSE),0))*1</f>
        <v>118663806</v>
      </c>
      <c r="I390" s="73">
        <f>(+IFERROR(VLOOKUP($A390,'[152]BG (2)'!$B$9:$J$570,7,FALSE),0))*-1</f>
        <v>-121055585</v>
      </c>
      <c r="J390" s="89">
        <f>(+IFERROR(VLOOKUP($A390,'[152]BG (2)'!$B$9:$J$570,8,FALSE),0))*1</f>
        <v>2977114</v>
      </c>
      <c r="K390" s="73">
        <f>(+IFERROR(VLOOKUP($A390,'[152]BG (2)'!$B$9:$J$570,9,FALSE),0))*-1</f>
        <v>0</v>
      </c>
      <c r="L390" s="75"/>
      <c r="M390" s="101"/>
      <c r="P390" s="90">
        <f t="shared" ref="P390:P453" si="27">J390+K390</f>
        <v>2977114</v>
      </c>
      <c r="S390" s="90"/>
      <c r="T390" s="128"/>
      <c r="U390" s="95"/>
      <c r="V390" s="72"/>
      <c r="W390" s="75"/>
      <c r="X390" s="1270"/>
      <c r="Y390" s="91"/>
      <c r="Z390" s="91"/>
      <c r="AA390" s="91"/>
    </row>
    <row r="391" spans="1:27" ht="14.4" customHeight="1" x14ac:dyDescent="0.3">
      <c r="A391" s="1296">
        <v>552230</v>
      </c>
      <c r="B391" s="1296" t="s">
        <v>2363</v>
      </c>
      <c r="C391" t="s">
        <v>385</v>
      </c>
      <c r="D391" s="87" t="str">
        <f t="shared" si="25"/>
        <v>55</v>
      </c>
      <c r="E391" s="72"/>
      <c r="F391" s="72">
        <f>(+IFERROR(VLOOKUP($A391,'[152]BG (2)'!$B$9:$J$570,4,FALSE),0))*1</f>
        <v>1024950</v>
      </c>
      <c r="G391" s="72">
        <f>(+IFERROR(VLOOKUP($A391,'[152]BG (2)'!$B$9:$J$570,5,FALSE),0))*-1</f>
        <v>0</v>
      </c>
      <c r="H391" s="72">
        <f>(+IFERROR(VLOOKUP($A391,'[152]BG (2)'!$B$9:$J$570,6,FALSE),0))*1</f>
        <v>93150990</v>
      </c>
      <c r="I391" s="72">
        <f>(+IFERROR(VLOOKUP($A391,'[152]BG (2)'!$B$9:$J$570,7,FALSE),0))*-1</f>
        <v>-92468790</v>
      </c>
      <c r="J391" s="72">
        <f>(+IFERROR(VLOOKUP($A391,'[152]BG (2)'!$B$9:$J$570,8,FALSE),0))*1</f>
        <v>1707150</v>
      </c>
      <c r="K391" s="91">
        <f>(+IFERROR(VLOOKUP($A391,'[152]BG (2)'!$B$9:$J$570,9,FALSE),0))*-1</f>
        <v>0</v>
      </c>
      <c r="L391" s="72"/>
      <c r="M391" s="72"/>
      <c r="N391" s="72"/>
      <c r="O391" s="72"/>
      <c r="P391" s="90">
        <f t="shared" si="27"/>
        <v>1707150</v>
      </c>
      <c r="Q391" s="72"/>
      <c r="R391" s="72"/>
      <c r="S391"/>
      <c r="T391"/>
      <c r="U391"/>
      <c r="V391" s="72"/>
      <c r="W391" s="72"/>
      <c r="X391" s="72"/>
      <c r="Y391" s="91"/>
      <c r="Z391" s="91"/>
      <c r="AA391" s="91"/>
    </row>
    <row r="392" spans="1:27" ht="14.4" customHeight="1" x14ac:dyDescent="0.3">
      <c r="A392" s="1296">
        <v>566000</v>
      </c>
      <c r="B392" s="1296" t="s">
        <v>2276</v>
      </c>
      <c r="C392" t="s">
        <v>385</v>
      </c>
      <c r="D392" s="87" t="str">
        <f t="shared" si="25"/>
        <v>56</v>
      </c>
      <c r="E392" s="92"/>
      <c r="F392" s="103">
        <f>(+IFERROR(VLOOKUP($A392,'[152]BG (2)'!$B$9:$J$570,4,FALSE),0))*1</f>
        <v>0</v>
      </c>
      <c r="G392" s="73">
        <f>(+IFERROR(VLOOKUP($A392,'[152]BG (2)'!$B$9:$J$570,5,FALSE),0))*-1</f>
        <v>-29928110</v>
      </c>
      <c r="H392" s="93">
        <f>(+IFERROR(VLOOKUP($A392,'[152]BG (2)'!$B$9:$J$570,6,FALSE),0))*1</f>
        <v>0</v>
      </c>
      <c r="I392" s="73">
        <f>(+IFERROR(VLOOKUP($A392,'[152]BG (2)'!$B$9:$J$570,7,FALSE),0))*-1</f>
        <v>-22348986</v>
      </c>
      <c r="J392" s="89">
        <f>(+IFERROR(VLOOKUP($A392,'[152]BG (2)'!$B$9:$J$570,8,FALSE),0))*1</f>
        <v>0</v>
      </c>
      <c r="K392" s="73">
        <f>(+IFERROR(VLOOKUP($A392,'[152]BG (2)'!$B$9:$J$570,9,FALSE),0))*-1</f>
        <v>-52277096</v>
      </c>
      <c r="L392" s="75"/>
      <c r="M392" s="101"/>
      <c r="P392" s="90">
        <f t="shared" si="27"/>
        <v>-52277096</v>
      </c>
      <c r="S392" s="90"/>
      <c r="T392" s="128"/>
      <c r="U392" s="95"/>
      <c r="V392" s="72"/>
      <c r="W392" s="75"/>
      <c r="X392" s="1270"/>
      <c r="Y392" s="91"/>
      <c r="Z392" s="91"/>
      <c r="AA392" s="91"/>
    </row>
    <row r="393" spans="1:27" ht="14.4" customHeight="1" x14ac:dyDescent="0.3">
      <c r="A393">
        <v>571000</v>
      </c>
      <c r="B393" t="s">
        <v>436</v>
      </c>
      <c r="C393" t="s">
        <v>385</v>
      </c>
      <c r="D393" s="87" t="str">
        <f t="shared" si="25"/>
        <v>57</v>
      </c>
      <c r="E393" s="92"/>
      <c r="F393" s="103">
        <f>(+IFERROR(VLOOKUP($A393,'[152]BG (2)'!$B$9:$J$570,4,FALSE),0))*1</f>
        <v>0</v>
      </c>
      <c r="G393" s="73">
        <f>(+IFERROR(VLOOKUP($A393,'[152]BG (2)'!$B$9:$J$570,5,FALSE),0))*-1</f>
        <v>0</v>
      </c>
      <c r="H393" s="93">
        <f>(+IFERROR(VLOOKUP($A393,'[152]BG (2)'!$B$9:$J$570,6,FALSE),0))*1</f>
        <v>0</v>
      </c>
      <c r="I393" s="73">
        <f>(+IFERROR(VLOOKUP($A393,'[152]BG (2)'!$B$9:$J$570,7,FALSE),0))*-1</f>
        <v>0</v>
      </c>
      <c r="J393" s="89">
        <f>(+IFERROR(VLOOKUP($A393,'[152]BG (2)'!$B$9:$J$570,8,FALSE),0))*1</f>
        <v>0</v>
      </c>
      <c r="K393" s="73">
        <f>(+IFERROR(VLOOKUP($A393,'[152]BG (2)'!$B$9:$J$570,9,FALSE),0))*-1</f>
        <v>0</v>
      </c>
      <c r="L393" s="75"/>
      <c r="M393" s="101"/>
      <c r="P393" s="90">
        <f t="shared" si="27"/>
        <v>0</v>
      </c>
      <c r="S393" s="90"/>
      <c r="T393" s="128">
        <f t="shared" ref="T393:T418" si="28">K393+J393</f>
        <v>0</v>
      </c>
      <c r="U393" s="95"/>
      <c r="V393" s="72"/>
      <c r="W393" s="75" t="e">
        <f>+A393-#REF!</f>
        <v>#REF!</v>
      </c>
      <c r="X393" s="1270"/>
      <c r="Y393" s="91"/>
      <c r="Z393" s="91"/>
      <c r="AA393" s="91"/>
    </row>
    <row r="394" spans="1:27" ht="14.4" customHeight="1" x14ac:dyDescent="0.3">
      <c r="A394">
        <v>571080</v>
      </c>
      <c r="B394" t="s">
        <v>437</v>
      </c>
      <c r="C394" t="s">
        <v>385</v>
      </c>
      <c r="D394" s="87" t="str">
        <f t="shared" si="25"/>
        <v>57</v>
      </c>
      <c r="E394" s="92"/>
      <c r="F394" s="103">
        <f>(+IFERROR(VLOOKUP($A394,'[152]BG (2)'!$B$9:$J$570,4,FALSE),0))*1</f>
        <v>1819792</v>
      </c>
      <c r="G394" s="73">
        <f>(+IFERROR(VLOOKUP($A394,'[152]BG (2)'!$B$9:$J$570,5,FALSE),0))*-1</f>
        <v>0</v>
      </c>
      <c r="H394" s="93">
        <f>(+IFERROR(VLOOKUP($A394,'[152]BG (2)'!$B$9:$J$570,6,FALSE),0))*1</f>
        <v>33811467</v>
      </c>
      <c r="I394" s="73">
        <f>(+IFERROR(VLOOKUP($A394,'[152]BG (2)'!$B$9:$J$570,7,FALSE),0))*-1</f>
        <v>-35312710</v>
      </c>
      <c r="J394" s="89">
        <f>(+IFERROR(VLOOKUP($A394,'[152]BG (2)'!$B$9:$J$570,8,FALSE),0))*1</f>
        <v>318549</v>
      </c>
      <c r="K394" s="73">
        <f>(+IFERROR(VLOOKUP($A394,'[152]BG (2)'!$B$9:$J$570,9,FALSE),0))*-1</f>
        <v>0</v>
      </c>
      <c r="L394" s="75"/>
      <c r="M394" s="101"/>
      <c r="P394" s="90">
        <f t="shared" si="27"/>
        <v>318549</v>
      </c>
      <c r="S394" s="90"/>
      <c r="T394" s="128">
        <f t="shared" si="28"/>
        <v>318549</v>
      </c>
      <c r="U394" s="95"/>
      <c r="V394" s="72"/>
      <c r="W394" s="75" t="e">
        <f>+A394-#REF!</f>
        <v>#REF!</v>
      </c>
      <c r="X394" s="1270"/>
      <c r="Y394" s="91"/>
      <c r="Z394" s="91"/>
      <c r="AA394" s="91"/>
    </row>
    <row r="395" spans="1:27" ht="14.4" customHeight="1" x14ac:dyDescent="0.3">
      <c r="A395">
        <v>572010</v>
      </c>
      <c r="B395" t="s">
        <v>438</v>
      </c>
      <c r="C395" t="s">
        <v>385</v>
      </c>
      <c r="D395" s="87" t="str">
        <f t="shared" si="25"/>
        <v>57</v>
      </c>
      <c r="E395" s="92"/>
      <c r="F395" s="103">
        <f>(+IFERROR(VLOOKUP($A395,'[152]BG (2)'!$B$9:$J$570,4,FALSE),0))*1</f>
        <v>1636055</v>
      </c>
      <c r="G395" s="73">
        <f>(+IFERROR(VLOOKUP($A395,'[152]BG (2)'!$B$9:$J$570,5,FALSE),0))*-1</f>
        <v>0</v>
      </c>
      <c r="H395" s="93">
        <f>(+IFERROR(VLOOKUP($A395,'[152]BG (2)'!$B$9:$J$570,6,FALSE),0))*1</f>
        <v>8981656258</v>
      </c>
      <c r="I395" s="73">
        <f>(+IFERROR(VLOOKUP($A395,'[152]BG (2)'!$B$9:$J$570,7,FALSE),0))*-1</f>
        <v>-8979827238</v>
      </c>
      <c r="J395" s="89">
        <f>(+IFERROR(VLOOKUP($A395,'[152]BG (2)'!$B$9:$J$570,8,FALSE),0))*1</f>
        <v>3465075</v>
      </c>
      <c r="K395" s="73">
        <f>(+IFERROR(VLOOKUP($A395,'[152]BG (2)'!$B$9:$J$570,9,FALSE),0))*-1</f>
        <v>0</v>
      </c>
      <c r="L395" s="75"/>
      <c r="M395" s="101"/>
      <c r="P395" s="90">
        <f t="shared" si="27"/>
        <v>3465075</v>
      </c>
      <c r="S395" s="90"/>
      <c r="T395" s="128">
        <f t="shared" si="28"/>
        <v>3465075</v>
      </c>
      <c r="U395" s="95"/>
      <c r="V395" s="72"/>
      <c r="W395" s="75" t="e">
        <f>+A395-#REF!</f>
        <v>#REF!</v>
      </c>
      <c r="X395" s="1270"/>
      <c r="Y395" s="91"/>
      <c r="Z395" s="91"/>
      <c r="AA395" s="91"/>
    </row>
    <row r="396" spans="1:27" ht="14.4" customHeight="1" x14ac:dyDescent="0.3">
      <c r="A396">
        <v>572015</v>
      </c>
      <c r="B396" t="s">
        <v>439</v>
      </c>
      <c r="C396" t="s">
        <v>385</v>
      </c>
      <c r="D396" s="87" t="str">
        <f t="shared" si="25"/>
        <v>57</v>
      </c>
      <c r="E396" s="92"/>
      <c r="F396" s="103">
        <f>(+IFERROR(VLOOKUP($A396,'[152]BG (2)'!$B$9:$J$570,4,FALSE),0))*1</f>
        <v>1427334</v>
      </c>
      <c r="G396" s="73">
        <f>(+IFERROR(VLOOKUP($A396,'[152]BG (2)'!$B$9:$J$570,5,FALSE),0))*-1</f>
        <v>0</v>
      </c>
      <c r="H396" s="93">
        <f>(+IFERROR(VLOOKUP($A396,'[152]BG (2)'!$B$9:$J$570,6,FALSE),0))*1</f>
        <v>291929009</v>
      </c>
      <c r="I396" s="73">
        <f>(+IFERROR(VLOOKUP($A396,'[152]BG (2)'!$B$9:$J$570,7,FALSE),0))*-1</f>
        <v>-292284543</v>
      </c>
      <c r="J396" s="89">
        <f>(+IFERROR(VLOOKUP($A396,'[152]BG (2)'!$B$9:$J$570,8,FALSE),0))*1</f>
        <v>1071800</v>
      </c>
      <c r="K396" s="73">
        <f>(+IFERROR(VLOOKUP($A396,'[152]BG (2)'!$B$9:$J$570,9,FALSE),0))*-1</f>
        <v>0</v>
      </c>
      <c r="L396" s="75"/>
      <c r="M396" s="101"/>
      <c r="P396" s="90">
        <f t="shared" si="27"/>
        <v>1071800</v>
      </c>
      <c r="S396" s="90"/>
      <c r="T396" s="128">
        <f t="shared" si="28"/>
        <v>1071800</v>
      </c>
      <c r="U396" s="95"/>
      <c r="V396" s="72"/>
      <c r="W396" s="75" t="e">
        <f>+A396-#REF!</f>
        <v>#REF!</v>
      </c>
      <c r="X396" s="1270"/>
      <c r="Y396" s="91"/>
      <c r="Z396" s="91"/>
      <c r="AA396" s="91"/>
    </row>
    <row r="397" spans="1:27" ht="14.4" customHeight="1" x14ac:dyDescent="0.3">
      <c r="A397">
        <v>572020</v>
      </c>
      <c r="B397" t="s">
        <v>440</v>
      </c>
      <c r="C397" t="s">
        <v>385</v>
      </c>
      <c r="D397" s="87" t="str">
        <f t="shared" si="25"/>
        <v>57</v>
      </c>
      <c r="E397" s="92"/>
      <c r="F397" s="103">
        <f>(+IFERROR(VLOOKUP($A397,'[152]BG (2)'!$B$9:$J$570,4,FALSE),0))*1</f>
        <v>751000</v>
      </c>
      <c r="G397" s="73">
        <f>(+IFERROR(VLOOKUP($A397,'[152]BG (2)'!$B$9:$J$570,5,FALSE),0))*-1</f>
        <v>0</v>
      </c>
      <c r="H397" s="93">
        <f>(+IFERROR(VLOOKUP($A397,'[152]BG (2)'!$B$9:$J$570,6,FALSE),0))*1</f>
        <v>228316141</v>
      </c>
      <c r="I397" s="73">
        <f>(+IFERROR(VLOOKUP($A397,'[152]BG (2)'!$B$9:$J$570,7,FALSE),0))*-1</f>
        <v>-229016141</v>
      </c>
      <c r="J397" s="89">
        <f>(+IFERROR(VLOOKUP($A397,'[152]BG (2)'!$B$9:$J$570,8,FALSE),0))*1</f>
        <v>51000</v>
      </c>
      <c r="K397" s="73">
        <f>(+IFERROR(VLOOKUP($A397,'[152]BG (2)'!$B$9:$J$570,9,FALSE),0))*-1</f>
        <v>0</v>
      </c>
      <c r="L397" s="75"/>
      <c r="M397" s="101"/>
      <c r="P397" s="90">
        <f t="shared" si="27"/>
        <v>51000</v>
      </c>
      <c r="S397" s="90"/>
      <c r="T397" s="128">
        <f t="shared" si="28"/>
        <v>51000</v>
      </c>
      <c r="U397" s="95"/>
      <c r="V397" s="72"/>
      <c r="W397" s="75" t="e">
        <f>+A397-#REF!</f>
        <v>#REF!</v>
      </c>
      <c r="X397" s="1270"/>
      <c r="Y397" s="91"/>
      <c r="Z397" s="91"/>
      <c r="AA397" s="91"/>
    </row>
    <row r="398" spans="1:27" ht="14.4" customHeight="1" x14ac:dyDescent="0.3">
      <c r="A398">
        <v>572030</v>
      </c>
      <c r="B398" t="s">
        <v>441</v>
      </c>
      <c r="C398" t="s">
        <v>385</v>
      </c>
      <c r="D398" s="87" t="str">
        <f t="shared" ref="D398:D461" si="29">+LEFT(A398,2)</f>
        <v>57</v>
      </c>
      <c r="E398" s="92"/>
      <c r="F398" s="103">
        <f>(+IFERROR(VLOOKUP($A398,'[152]BG (2)'!$B$9:$J$570,4,FALSE),0))*1</f>
        <v>615575</v>
      </c>
      <c r="G398" s="73">
        <f>(+IFERROR(VLOOKUP($A398,'[152]BG (2)'!$B$9:$J$570,5,FALSE),0))*-1</f>
        <v>0</v>
      </c>
      <c r="H398" s="93">
        <f>(+IFERROR(VLOOKUP($A398,'[152]BG (2)'!$B$9:$J$570,6,FALSE),0))*1</f>
        <v>150773024</v>
      </c>
      <c r="I398" s="73">
        <f>(+IFERROR(VLOOKUP($A398,'[152]BG (2)'!$B$9:$J$570,7,FALSE),0))*-1</f>
        <v>-151340143</v>
      </c>
      <c r="J398" s="89">
        <f>(+IFERROR(VLOOKUP($A398,'[152]BG (2)'!$B$9:$J$570,8,FALSE),0))*1</f>
        <v>48456</v>
      </c>
      <c r="K398" s="73">
        <f>(+IFERROR(VLOOKUP($A398,'[152]BG (2)'!$B$9:$J$570,9,FALSE),0))*-1</f>
        <v>0</v>
      </c>
      <c r="L398" s="75"/>
      <c r="M398" s="101"/>
      <c r="P398" s="90">
        <f t="shared" si="27"/>
        <v>48456</v>
      </c>
      <c r="S398" s="90"/>
      <c r="T398" s="128">
        <f t="shared" si="28"/>
        <v>48456</v>
      </c>
      <c r="U398" s="95"/>
      <c r="V398" s="72"/>
      <c r="W398" s="75" t="e">
        <f>+A398-#REF!</f>
        <v>#REF!</v>
      </c>
      <c r="X398" s="1270"/>
      <c r="Y398" s="91"/>
      <c r="Z398" s="91"/>
      <c r="AA398" s="91"/>
    </row>
    <row r="399" spans="1:27" ht="14.4" customHeight="1" x14ac:dyDescent="0.3">
      <c r="A399">
        <v>572040</v>
      </c>
      <c r="B399" t="s">
        <v>442</v>
      </c>
      <c r="C399" t="s">
        <v>385</v>
      </c>
      <c r="D399" s="87" t="str">
        <f t="shared" si="29"/>
        <v>57</v>
      </c>
      <c r="E399" s="92"/>
      <c r="F399" s="103">
        <f>(+IFERROR(VLOOKUP($A399,'[152]BG (2)'!$B$9:$J$570,4,FALSE),0))*1</f>
        <v>392300</v>
      </c>
      <c r="G399" s="73">
        <f>(+IFERROR(VLOOKUP($A399,'[152]BG (2)'!$B$9:$J$570,5,FALSE),0))*-1</f>
        <v>0</v>
      </c>
      <c r="H399" s="93">
        <f>(+IFERROR(VLOOKUP($A399,'[152]BG (2)'!$B$9:$J$570,6,FALSE),0))*1</f>
        <v>142057622</v>
      </c>
      <c r="I399" s="73">
        <f>(+IFERROR(VLOOKUP($A399,'[152]BG (2)'!$B$9:$J$570,7,FALSE),0))*-1</f>
        <v>-141805272</v>
      </c>
      <c r="J399" s="89">
        <f>(+IFERROR(VLOOKUP($A399,'[152]BG (2)'!$B$9:$J$570,8,FALSE),0))*1</f>
        <v>644650</v>
      </c>
      <c r="K399" s="73">
        <f>(+IFERROR(VLOOKUP($A399,'[152]BG (2)'!$B$9:$J$570,9,FALSE),0))*-1</f>
        <v>0</v>
      </c>
      <c r="L399" s="75"/>
      <c r="M399" s="101"/>
      <c r="P399" s="90">
        <f t="shared" si="27"/>
        <v>644650</v>
      </c>
      <c r="S399" s="90"/>
      <c r="T399" s="128">
        <f t="shared" si="28"/>
        <v>644650</v>
      </c>
      <c r="U399" s="95"/>
      <c r="V399" s="72"/>
      <c r="W399" s="75" t="e">
        <f>+A399-#REF!</f>
        <v>#REF!</v>
      </c>
      <c r="X399" s="1270"/>
      <c r="Y399" s="91"/>
      <c r="Z399" s="91"/>
      <c r="AA399" s="91"/>
    </row>
    <row r="400" spans="1:27" ht="14.4" customHeight="1" x14ac:dyDescent="0.3">
      <c r="A400">
        <v>572050</v>
      </c>
      <c r="B400" t="s">
        <v>443</v>
      </c>
      <c r="C400" t="s">
        <v>385</v>
      </c>
      <c r="D400" s="87" t="str">
        <f t="shared" si="29"/>
        <v>57</v>
      </c>
      <c r="E400" s="92"/>
      <c r="F400" s="103">
        <f>(+IFERROR(VLOOKUP($A400,'[152]BG (2)'!$B$9:$J$570,4,FALSE),0))*1</f>
        <v>2500150</v>
      </c>
      <c r="G400" s="73">
        <f>(+IFERROR(VLOOKUP($A400,'[152]BG (2)'!$B$9:$J$570,5,FALSE),0))*-1</f>
        <v>0</v>
      </c>
      <c r="H400" s="93">
        <f>(+IFERROR(VLOOKUP($A400,'[152]BG (2)'!$B$9:$J$570,6,FALSE),0))*1</f>
        <v>298850130</v>
      </c>
      <c r="I400" s="73">
        <f>(+IFERROR(VLOOKUP($A400,'[152]BG (2)'!$B$9:$J$570,7,FALSE),0))*-1</f>
        <v>-299996280</v>
      </c>
      <c r="J400" s="89">
        <f>(+IFERROR(VLOOKUP($A400,'[152]BG (2)'!$B$9:$J$570,8,FALSE),0))*1</f>
        <v>1354000</v>
      </c>
      <c r="K400" s="73">
        <f>(+IFERROR(VLOOKUP($A400,'[152]BG (2)'!$B$9:$J$570,9,FALSE),0))*-1</f>
        <v>0</v>
      </c>
      <c r="L400" s="75"/>
      <c r="M400" s="101"/>
      <c r="P400" s="90">
        <f t="shared" si="27"/>
        <v>1354000</v>
      </c>
      <c r="S400" s="90"/>
      <c r="T400" s="128">
        <f t="shared" si="28"/>
        <v>1354000</v>
      </c>
      <c r="U400" s="95"/>
      <c r="V400" s="72"/>
      <c r="W400" s="75" t="e">
        <f>+A400-#REF!</f>
        <v>#REF!</v>
      </c>
      <c r="X400" s="1270"/>
      <c r="Y400" s="91"/>
      <c r="Z400" s="91"/>
      <c r="AA400" s="91"/>
    </row>
    <row r="401" spans="1:27" ht="14.4" customHeight="1" x14ac:dyDescent="0.3">
      <c r="A401">
        <v>572060</v>
      </c>
      <c r="B401" t="s">
        <v>444</v>
      </c>
      <c r="C401" t="s">
        <v>385</v>
      </c>
      <c r="D401" s="87" t="str">
        <f t="shared" si="29"/>
        <v>57</v>
      </c>
      <c r="E401" s="92"/>
      <c r="F401" s="103">
        <f>(+IFERROR(VLOOKUP($A401,'[152]BG (2)'!$B$9:$J$570,4,FALSE),0))*1</f>
        <v>273700</v>
      </c>
      <c r="G401" s="73">
        <f>(+IFERROR(VLOOKUP($A401,'[152]BG (2)'!$B$9:$J$570,5,FALSE),0))*-1</f>
        <v>0</v>
      </c>
      <c r="H401" s="93">
        <f>(+IFERROR(VLOOKUP($A401,'[152]BG (2)'!$B$9:$J$570,6,FALSE),0))*1</f>
        <v>214975431</v>
      </c>
      <c r="I401" s="73">
        <f>(+IFERROR(VLOOKUP($A401,'[152]BG (2)'!$B$9:$J$570,7,FALSE),0))*-1</f>
        <v>-215249131</v>
      </c>
      <c r="J401" s="89">
        <f>(+IFERROR(VLOOKUP($A401,'[152]BG (2)'!$B$9:$J$570,8,FALSE),0))*1</f>
        <v>0</v>
      </c>
      <c r="K401" s="73">
        <f>(+IFERROR(VLOOKUP($A401,'[152]BG (2)'!$B$9:$J$570,9,FALSE),0))*-1</f>
        <v>0</v>
      </c>
      <c r="L401" s="75"/>
      <c r="M401" s="101"/>
      <c r="P401" s="90">
        <f t="shared" si="27"/>
        <v>0</v>
      </c>
      <c r="S401" s="90"/>
      <c r="T401" s="128">
        <f t="shared" si="28"/>
        <v>0</v>
      </c>
      <c r="U401" s="95"/>
      <c r="V401" s="72"/>
      <c r="W401" s="75" t="e">
        <f>+A401-#REF!</f>
        <v>#REF!</v>
      </c>
      <c r="X401" s="1270"/>
      <c r="Y401" s="91"/>
      <c r="Z401" s="91"/>
      <c r="AA401" s="91"/>
    </row>
    <row r="402" spans="1:27" ht="14.4" customHeight="1" x14ac:dyDescent="0.3">
      <c r="A402">
        <v>572070</v>
      </c>
      <c r="B402" t="s">
        <v>445</v>
      </c>
      <c r="C402" t="s">
        <v>385</v>
      </c>
      <c r="D402" s="87" t="str">
        <f t="shared" si="29"/>
        <v>57</v>
      </c>
      <c r="E402" s="92"/>
      <c r="F402" s="103">
        <f>(+IFERROR(VLOOKUP($A402,'[152]BG (2)'!$B$9:$J$570,4,FALSE),0))*1</f>
        <v>1041550</v>
      </c>
      <c r="G402" s="73">
        <f>(+IFERROR(VLOOKUP($A402,'[152]BG (2)'!$B$9:$J$570,5,FALSE),0))*-1</f>
        <v>0</v>
      </c>
      <c r="H402" s="93">
        <f>(+IFERROR(VLOOKUP($A402,'[152]BG (2)'!$B$9:$J$570,6,FALSE),0))*1</f>
        <v>235231123</v>
      </c>
      <c r="I402" s="73">
        <f>(+IFERROR(VLOOKUP($A402,'[152]BG (2)'!$B$9:$J$570,7,FALSE),0))*-1</f>
        <v>-236172673</v>
      </c>
      <c r="J402" s="89">
        <f>(+IFERROR(VLOOKUP($A402,'[152]BG (2)'!$B$9:$J$570,8,FALSE),0))*1</f>
        <v>100000</v>
      </c>
      <c r="K402" s="73">
        <f>(+IFERROR(VLOOKUP($A402,'[152]BG (2)'!$B$9:$J$570,9,FALSE),0))*-1</f>
        <v>0</v>
      </c>
      <c r="L402" s="75"/>
      <c r="M402" s="101"/>
      <c r="P402" s="90">
        <f t="shared" si="27"/>
        <v>100000</v>
      </c>
      <c r="S402" s="90"/>
      <c r="T402" s="128">
        <f t="shared" si="28"/>
        <v>100000</v>
      </c>
      <c r="U402" s="95"/>
      <c r="V402" s="72"/>
      <c r="W402" s="75" t="e">
        <f>+A402-#REF!</f>
        <v>#REF!</v>
      </c>
      <c r="X402" s="1270"/>
      <c r="Y402" s="91"/>
      <c r="Z402" s="91"/>
      <c r="AA402" s="91"/>
    </row>
    <row r="403" spans="1:27" ht="14.4" customHeight="1" x14ac:dyDescent="0.3">
      <c r="A403">
        <v>572090</v>
      </c>
      <c r="B403" t="s">
        <v>446</v>
      </c>
      <c r="C403" t="s">
        <v>385</v>
      </c>
      <c r="D403" s="87" t="str">
        <f t="shared" si="29"/>
        <v>57</v>
      </c>
      <c r="E403" s="92"/>
      <c r="F403" s="103">
        <f>(+IFERROR(VLOOKUP($A403,'[152]BG (2)'!$B$9:$J$570,4,FALSE),0))*1</f>
        <v>576350</v>
      </c>
      <c r="G403" s="73">
        <f>(+IFERROR(VLOOKUP($A403,'[152]BG (2)'!$B$9:$J$570,5,FALSE),0))*-1</f>
        <v>0</v>
      </c>
      <c r="H403" s="93">
        <f>(+IFERROR(VLOOKUP($A403,'[152]BG (2)'!$B$9:$J$570,6,FALSE),0))*1</f>
        <v>89636389</v>
      </c>
      <c r="I403" s="73">
        <f>(+IFERROR(VLOOKUP($A403,'[152]BG (2)'!$B$9:$J$570,7,FALSE),0))*-1</f>
        <v>-90055739</v>
      </c>
      <c r="J403" s="89">
        <f>(+IFERROR(VLOOKUP($A403,'[152]BG (2)'!$B$9:$J$570,8,FALSE),0))*1</f>
        <v>157000</v>
      </c>
      <c r="K403" s="73">
        <f>(+IFERROR(VLOOKUP($A403,'[152]BG (2)'!$B$9:$J$570,9,FALSE),0))*-1</f>
        <v>0</v>
      </c>
      <c r="L403" s="75"/>
      <c r="M403" s="101"/>
      <c r="P403" s="90">
        <f t="shared" si="27"/>
        <v>157000</v>
      </c>
      <c r="S403" s="90"/>
      <c r="T403" s="128">
        <f t="shared" si="28"/>
        <v>157000</v>
      </c>
      <c r="U403" s="95"/>
      <c r="V403" s="72"/>
      <c r="W403" s="75" t="e">
        <f>+A403-#REF!</f>
        <v>#REF!</v>
      </c>
      <c r="X403" s="1270"/>
      <c r="Y403" s="91"/>
      <c r="Z403" s="91"/>
      <c r="AA403" s="91"/>
    </row>
    <row r="404" spans="1:27" ht="14.4" customHeight="1" x14ac:dyDescent="0.3">
      <c r="A404">
        <v>572100</v>
      </c>
      <c r="B404" t="s">
        <v>447</v>
      </c>
      <c r="C404" t="s">
        <v>385</v>
      </c>
      <c r="D404" s="87" t="str">
        <f t="shared" si="29"/>
        <v>57</v>
      </c>
      <c r="E404" s="92"/>
      <c r="F404" s="103">
        <f>(+IFERROR(VLOOKUP($A404,'[152]BG (2)'!$B$9:$J$570,4,FALSE),0))*1</f>
        <v>226500</v>
      </c>
      <c r="G404" s="73">
        <f>(+IFERROR(VLOOKUP($A404,'[152]BG (2)'!$B$9:$J$570,5,FALSE),0))*-1</f>
        <v>0</v>
      </c>
      <c r="H404" s="93">
        <f>(+IFERROR(VLOOKUP($A404,'[152]BG (2)'!$B$9:$J$570,6,FALSE),0))*1</f>
        <v>63349404</v>
      </c>
      <c r="I404" s="73">
        <f>(+IFERROR(VLOOKUP($A404,'[152]BG (2)'!$B$9:$J$570,7,FALSE),0))*-1</f>
        <v>-63554904</v>
      </c>
      <c r="J404" s="89">
        <f>(+IFERROR(VLOOKUP($A404,'[152]BG (2)'!$B$9:$J$570,8,FALSE),0))*1</f>
        <v>21000</v>
      </c>
      <c r="K404" s="73">
        <f>(+IFERROR(VLOOKUP($A404,'[152]BG (2)'!$B$9:$J$570,9,FALSE),0))*-1</f>
        <v>0</v>
      </c>
      <c r="L404" s="75"/>
      <c r="M404" s="101"/>
      <c r="P404" s="90">
        <f t="shared" si="27"/>
        <v>21000</v>
      </c>
      <c r="S404" s="90"/>
      <c r="T404" s="128">
        <f t="shared" si="28"/>
        <v>21000</v>
      </c>
      <c r="U404" s="95"/>
      <c r="V404" s="72"/>
      <c r="W404" s="75" t="e">
        <f>+A404-#REF!</f>
        <v>#REF!</v>
      </c>
      <c r="X404" s="1270"/>
      <c r="Y404" s="91"/>
      <c r="Z404" s="91"/>
      <c r="AA404" s="91"/>
    </row>
    <row r="405" spans="1:27" ht="14.4" customHeight="1" x14ac:dyDescent="0.3">
      <c r="A405">
        <v>572110</v>
      </c>
      <c r="B405" t="s">
        <v>448</v>
      </c>
      <c r="C405" t="s">
        <v>385</v>
      </c>
      <c r="D405" s="87" t="str">
        <f t="shared" si="29"/>
        <v>57</v>
      </c>
      <c r="E405" s="92"/>
      <c r="F405" s="103">
        <f>(+IFERROR(VLOOKUP($A405,'[152]BG (2)'!$B$9:$J$570,4,FALSE),0))*1</f>
        <v>913465</v>
      </c>
      <c r="G405" s="73">
        <f>(+IFERROR(VLOOKUP($A405,'[152]BG (2)'!$B$9:$J$570,5,FALSE),0))*-1</f>
        <v>0</v>
      </c>
      <c r="H405" s="93">
        <f>(+IFERROR(VLOOKUP($A405,'[152]BG (2)'!$B$9:$J$570,6,FALSE),0))*1</f>
        <v>111121414</v>
      </c>
      <c r="I405" s="73">
        <f>(+IFERROR(VLOOKUP($A405,'[152]BG (2)'!$B$9:$J$570,7,FALSE),0))*-1</f>
        <v>-112034879</v>
      </c>
      <c r="J405" s="89">
        <f>(+IFERROR(VLOOKUP($A405,'[152]BG (2)'!$B$9:$J$570,8,FALSE),0))*1</f>
        <v>0</v>
      </c>
      <c r="K405" s="73">
        <f>(+IFERROR(VLOOKUP($A405,'[152]BG (2)'!$B$9:$J$570,9,FALSE),0))*-1</f>
        <v>0</v>
      </c>
      <c r="L405" s="75"/>
      <c r="M405" s="101"/>
      <c r="P405" s="90">
        <f t="shared" si="27"/>
        <v>0</v>
      </c>
      <c r="S405" s="90"/>
      <c r="T405" s="128">
        <f t="shared" si="28"/>
        <v>0</v>
      </c>
      <c r="U405" s="95"/>
      <c r="V405" s="72"/>
      <c r="W405" s="75" t="e">
        <f>+A405-#REF!</f>
        <v>#REF!</v>
      </c>
      <c r="X405" s="1270"/>
      <c r="Y405" s="91"/>
      <c r="Z405" s="91"/>
      <c r="AA405" s="91"/>
    </row>
    <row r="406" spans="1:27" ht="14.4" customHeight="1" x14ac:dyDescent="0.3">
      <c r="A406">
        <v>572120</v>
      </c>
      <c r="B406" t="s">
        <v>449</v>
      </c>
      <c r="C406" t="s">
        <v>385</v>
      </c>
      <c r="D406" s="87" t="str">
        <f t="shared" si="29"/>
        <v>57</v>
      </c>
      <c r="E406" s="92"/>
      <c r="F406" s="103">
        <f>(+IFERROR(VLOOKUP($A406,'[152]BG (2)'!$B$9:$J$570,4,FALSE),0))*1</f>
        <v>526000</v>
      </c>
      <c r="G406" s="73">
        <f>(+IFERROR(VLOOKUP($A406,'[152]BG (2)'!$B$9:$J$570,5,FALSE),0))*-1</f>
        <v>0</v>
      </c>
      <c r="H406" s="93">
        <f>(+IFERROR(VLOOKUP($A406,'[152]BG (2)'!$B$9:$J$570,6,FALSE),0))*1</f>
        <v>103369349</v>
      </c>
      <c r="I406" s="73">
        <f>(+IFERROR(VLOOKUP($A406,'[152]BG (2)'!$B$9:$J$570,7,FALSE),0))*-1</f>
        <v>-103814549</v>
      </c>
      <c r="J406" s="89">
        <f>(+IFERROR(VLOOKUP($A406,'[152]BG (2)'!$B$9:$J$570,8,FALSE),0))*1</f>
        <v>80800</v>
      </c>
      <c r="K406" s="73">
        <f>(+IFERROR(VLOOKUP($A406,'[152]BG (2)'!$B$9:$J$570,9,FALSE),0))*-1</f>
        <v>0</v>
      </c>
      <c r="L406" s="75"/>
      <c r="M406" s="101"/>
      <c r="P406" s="90">
        <f t="shared" si="27"/>
        <v>80800</v>
      </c>
      <c r="S406" s="90"/>
      <c r="T406" s="128">
        <f t="shared" si="28"/>
        <v>80800</v>
      </c>
      <c r="U406" s="95"/>
      <c r="V406" s="72"/>
      <c r="W406" s="75" t="e">
        <f>+A406-#REF!</f>
        <v>#REF!</v>
      </c>
      <c r="X406" s="1270"/>
      <c r="Y406" s="91"/>
      <c r="Z406" s="91"/>
      <c r="AA406" s="91"/>
    </row>
    <row r="407" spans="1:27" ht="14.4" customHeight="1" x14ac:dyDescent="0.3">
      <c r="A407">
        <v>572130</v>
      </c>
      <c r="B407" t="s">
        <v>450</v>
      </c>
      <c r="C407" t="s">
        <v>385</v>
      </c>
      <c r="D407" s="87" t="str">
        <f t="shared" si="29"/>
        <v>57</v>
      </c>
      <c r="E407" s="92"/>
      <c r="F407" s="103">
        <f>(+IFERROR(VLOOKUP($A407,'[152]BG (2)'!$B$9:$J$570,4,FALSE),0))*1</f>
        <v>603300</v>
      </c>
      <c r="G407" s="73">
        <f>(+IFERROR(VLOOKUP($A407,'[152]BG (2)'!$B$9:$J$570,5,FALSE),0))*-1</f>
        <v>0</v>
      </c>
      <c r="H407" s="93">
        <f>(+IFERROR(VLOOKUP($A407,'[152]BG (2)'!$B$9:$J$570,6,FALSE),0))*1</f>
        <v>80088995</v>
      </c>
      <c r="I407" s="73">
        <f>(+IFERROR(VLOOKUP($A407,'[152]BG (2)'!$B$9:$J$570,7,FALSE),0))*-1</f>
        <v>-80579990</v>
      </c>
      <c r="J407" s="89">
        <f>(+IFERROR(VLOOKUP($A407,'[152]BG (2)'!$B$9:$J$570,8,FALSE),0))*1</f>
        <v>112305</v>
      </c>
      <c r="K407" s="73">
        <f>(+IFERROR(VLOOKUP($A407,'[152]BG (2)'!$B$9:$J$570,9,FALSE),0))*-1</f>
        <v>0</v>
      </c>
      <c r="L407" s="75"/>
      <c r="M407" s="101"/>
      <c r="P407" s="90">
        <f t="shared" si="27"/>
        <v>112305</v>
      </c>
      <c r="S407" s="90"/>
      <c r="T407" s="128">
        <f t="shared" si="28"/>
        <v>112305</v>
      </c>
      <c r="U407" s="95"/>
      <c r="V407" s="72"/>
      <c r="W407" s="75" t="e">
        <f>+A407-#REF!</f>
        <v>#REF!</v>
      </c>
      <c r="X407" s="1270"/>
      <c r="Y407" s="91"/>
      <c r="Z407" s="91"/>
      <c r="AA407" s="91"/>
    </row>
    <row r="408" spans="1:27" ht="14.4" customHeight="1" x14ac:dyDescent="0.3">
      <c r="A408">
        <v>572140</v>
      </c>
      <c r="B408" t="s">
        <v>451</v>
      </c>
      <c r="C408" t="s">
        <v>385</v>
      </c>
      <c r="D408" s="87" t="str">
        <f t="shared" si="29"/>
        <v>57</v>
      </c>
      <c r="E408" s="92"/>
      <c r="F408" s="103">
        <f>(+IFERROR(VLOOKUP($A408,'[152]BG (2)'!$B$9:$J$570,4,FALSE),0))*1</f>
        <v>2701</v>
      </c>
      <c r="G408" s="73">
        <f>(+IFERROR(VLOOKUP($A408,'[152]BG (2)'!$B$9:$J$570,5,FALSE),0))*-1</f>
        <v>0</v>
      </c>
      <c r="H408" s="93">
        <f>(+IFERROR(VLOOKUP($A408,'[152]BG (2)'!$B$9:$J$570,6,FALSE),0))*1</f>
        <v>48176919</v>
      </c>
      <c r="I408" s="73">
        <f>(+IFERROR(VLOOKUP($A408,'[152]BG (2)'!$B$9:$J$570,7,FALSE),0))*-1</f>
        <v>-48072920</v>
      </c>
      <c r="J408" s="89">
        <f>(+IFERROR(VLOOKUP($A408,'[152]BG (2)'!$B$9:$J$570,8,FALSE),0))*1</f>
        <v>106700</v>
      </c>
      <c r="K408" s="73">
        <f>(+IFERROR(VLOOKUP($A408,'[152]BG (2)'!$B$9:$J$570,9,FALSE),0))*-1</f>
        <v>0</v>
      </c>
      <c r="L408" s="75"/>
      <c r="M408" s="101"/>
      <c r="P408" s="90">
        <f t="shared" si="27"/>
        <v>106700</v>
      </c>
      <c r="S408" s="90"/>
      <c r="T408" s="128">
        <f t="shared" si="28"/>
        <v>106700</v>
      </c>
      <c r="U408" s="95"/>
      <c r="V408" s="72"/>
      <c r="W408" s="75" t="e">
        <f>+A408-#REF!</f>
        <v>#REF!</v>
      </c>
      <c r="X408" s="1270"/>
      <c r="Y408" s="91"/>
      <c r="Z408" s="91"/>
      <c r="AA408" s="91"/>
    </row>
    <row r="409" spans="1:27" ht="14.4" customHeight="1" x14ac:dyDescent="0.3">
      <c r="A409">
        <v>572150</v>
      </c>
      <c r="B409" t="s">
        <v>452</v>
      </c>
      <c r="C409" t="s">
        <v>385</v>
      </c>
      <c r="D409" s="87" t="str">
        <f t="shared" si="29"/>
        <v>57</v>
      </c>
      <c r="E409" s="92"/>
      <c r="F409" s="103">
        <f>(+IFERROR(VLOOKUP($A409,'[152]BG (2)'!$B$9:$J$570,4,FALSE),0))*1</f>
        <v>906850</v>
      </c>
      <c r="G409" s="73">
        <f>(+IFERROR(VLOOKUP($A409,'[152]BG (2)'!$B$9:$J$570,5,FALSE),0))*-1</f>
        <v>0</v>
      </c>
      <c r="H409" s="93">
        <f>(+IFERROR(VLOOKUP($A409,'[152]BG (2)'!$B$9:$J$570,6,FALSE),0))*1</f>
        <v>244062722</v>
      </c>
      <c r="I409" s="73">
        <f>(+IFERROR(VLOOKUP($A409,'[152]BG (2)'!$B$9:$J$570,7,FALSE),0))*-1</f>
        <v>-244969572</v>
      </c>
      <c r="J409" s="89">
        <f>(+IFERROR(VLOOKUP($A409,'[152]BG (2)'!$B$9:$J$570,8,FALSE),0))*1</f>
        <v>0</v>
      </c>
      <c r="K409" s="73">
        <f>(+IFERROR(VLOOKUP($A409,'[152]BG (2)'!$B$9:$J$570,9,FALSE),0))*-1</f>
        <v>0</v>
      </c>
      <c r="L409" s="75"/>
      <c r="M409" s="101"/>
      <c r="P409" s="90">
        <f t="shared" si="27"/>
        <v>0</v>
      </c>
      <c r="S409" s="90"/>
      <c r="T409" s="128">
        <f t="shared" si="28"/>
        <v>0</v>
      </c>
      <c r="U409" s="95"/>
      <c r="V409" s="72"/>
      <c r="W409" s="75" t="e">
        <f>+A409-#REF!</f>
        <v>#REF!</v>
      </c>
      <c r="X409" s="1270"/>
      <c r="Y409" s="91"/>
      <c r="Z409" s="91"/>
      <c r="AA409" s="91"/>
    </row>
    <row r="410" spans="1:27" ht="14.4" customHeight="1" x14ac:dyDescent="0.3">
      <c r="A410">
        <v>572152</v>
      </c>
      <c r="B410" t="s">
        <v>453</v>
      </c>
      <c r="C410" t="s">
        <v>385</v>
      </c>
      <c r="D410" s="87" t="str">
        <f t="shared" si="29"/>
        <v>57</v>
      </c>
      <c r="E410" s="92"/>
      <c r="F410" s="103">
        <f>(+IFERROR(VLOOKUP($A410,'[152]BG (2)'!$B$9:$J$570,4,FALSE),0))*1</f>
        <v>0</v>
      </c>
      <c r="G410" s="73">
        <f>(+IFERROR(VLOOKUP($A410,'[152]BG (2)'!$B$9:$J$570,5,FALSE),0))*-1</f>
        <v>0</v>
      </c>
      <c r="H410" s="93">
        <f>(+IFERROR(VLOOKUP($A410,'[152]BG (2)'!$B$9:$J$570,6,FALSE),0))*1</f>
        <v>0</v>
      </c>
      <c r="I410" s="73">
        <f>(+IFERROR(VLOOKUP($A410,'[152]BG (2)'!$B$9:$J$570,7,FALSE),0))*-1</f>
        <v>0</v>
      </c>
      <c r="J410" s="89">
        <f>(+IFERROR(VLOOKUP($A410,'[152]BG (2)'!$B$9:$J$570,8,FALSE),0))*1</f>
        <v>0</v>
      </c>
      <c r="K410" s="73">
        <f>(+IFERROR(VLOOKUP($A410,'[152]BG (2)'!$B$9:$J$570,9,FALSE),0))*-1</f>
        <v>0</v>
      </c>
      <c r="L410" s="75"/>
      <c r="M410" s="101"/>
      <c r="P410" s="90">
        <f t="shared" si="27"/>
        <v>0</v>
      </c>
      <c r="S410" s="90"/>
      <c r="T410" s="128">
        <f t="shared" si="28"/>
        <v>0</v>
      </c>
      <c r="U410" s="95"/>
      <c r="V410" s="72"/>
      <c r="W410" s="75" t="e">
        <f>+A410-#REF!</f>
        <v>#REF!</v>
      </c>
      <c r="X410" s="1270"/>
      <c r="Y410" s="91"/>
      <c r="Z410" s="91"/>
      <c r="AA410" s="91"/>
    </row>
    <row r="411" spans="1:27" ht="14.4" customHeight="1" x14ac:dyDescent="0.3">
      <c r="A411">
        <v>572153</v>
      </c>
      <c r="B411" t="s">
        <v>454</v>
      </c>
      <c r="C411" t="s">
        <v>385</v>
      </c>
      <c r="D411" s="87" t="str">
        <f t="shared" si="29"/>
        <v>57</v>
      </c>
      <c r="E411" s="92"/>
      <c r="F411" s="103">
        <f>(+IFERROR(VLOOKUP($A411,'[152]BG (2)'!$B$9:$J$570,4,FALSE),0))*1</f>
        <v>731750</v>
      </c>
      <c r="G411" s="73">
        <f>(+IFERROR(VLOOKUP($A411,'[152]BG (2)'!$B$9:$J$570,5,FALSE),0))*-1</f>
        <v>0</v>
      </c>
      <c r="H411" s="93">
        <f>(+IFERROR(VLOOKUP($A411,'[152]BG (2)'!$B$9:$J$570,6,FALSE),0))*1</f>
        <v>127828990</v>
      </c>
      <c r="I411" s="73">
        <f>(+IFERROR(VLOOKUP($A411,'[152]BG (2)'!$B$9:$J$570,7,FALSE),0))*-1</f>
        <v>-128536740</v>
      </c>
      <c r="J411" s="89">
        <f>(+IFERROR(VLOOKUP($A411,'[152]BG (2)'!$B$9:$J$570,8,FALSE),0))*1</f>
        <v>24000</v>
      </c>
      <c r="K411" s="73">
        <f>(+IFERROR(VLOOKUP($A411,'[152]BG (2)'!$B$9:$J$570,9,FALSE),0))*-1</f>
        <v>0</v>
      </c>
      <c r="L411" s="75"/>
      <c r="M411" s="101"/>
      <c r="P411" s="90">
        <f t="shared" si="27"/>
        <v>24000</v>
      </c>
      <c r="S411" s="90"/>
      <c r="T411" s="128">
        <f t="shared" si="28"/>
        <v>24000</v>
      </c>
      <c r="U411" s="95"/>
      <c r="V411" s="72"/>
      <c r="W411" s="75" t="e">
        <f>+A411-#REF!</f>
        <v>#REF!</v>
      </c>
      <c r="X411" s="1270"/>
      <c r="Y411" s="91"/>
      <c r="Z411" s="91"/>
      <c r="AA411" s="91"/>
    </row>
    <row r="412" spans="1:27" ht="14.4" customHeight="1" x14ac:dyDescent="0.3">
      <c r="A412">
        <v>572154</v>
      </c>
      <c r="B412" t="s">
        <v>455</v>
      </c>
      <c r="C412" t="s">
        <v>385</v>
      </c>
      <c r="D412" s="87" t="str">
        <f t="shared" si="29"/>
        <v>57</v>
      </c>
      <c r="E412" s="92"/>
      <c r="F412" s="103">
        <f>(+IFERROR(VLOOKUP($A412,'[152]BG (2)'!$B$9:$J$570,4,FALSE),0))*1</f>
        <v>1186460</v>
      </c>
      <c r="G412" s="73">
        <f>(+IFERROR(VLOOKUP($A412,'[152]BG (2)'!$B$9:$J$570,5,FALSE),0))*-1</f>
        <v>0</v>
      </c>
      <c r="H412" s="93">
        <f>(+IFERROR(VLOOKUP($A412,'[152]BG (2)'!$B$9:$J$570,6,FALSE),0))*1</f>
        <v>136709751</v>
      </c>
      <c r="I412" s="73">
        <f>(+IFERROR(VLOOKUP($A412,'[152]BG (2)'!$B$9:$J$570,7,FALSE),0))*-1</f>
        <v>-137818811</v>
      </c>
      <c r="J412" s="89">
        <f>(+IFERROR(VLOOKUP($A412,'[152]BG (2)'!$B$9:$J$570,8,FALSE),0))*1</f>
        <v>77400</v>
      </c>
      <c r="K412" s="73">
        <f>(+IFERROR(VLOOKUP($A412,'[152]BG (2)'!$B$9:$J$570,9,FALSE),0))*-1</f>
        <v>0</v>
      </c>
      <c r="L412" s="75"/>
      <c r="M412" s="101"/>
      <c r="P412" s="90">
        <f t="shared" si="27"/>
        <v>77400</v>
      </c>
      <c r="S412" s="90"/>
      <c r="T412" s="128">
        <f t="shared" si="28"/>
        <v>77400</v>
      </c>
      <c r="U412" s="95"/>
      <c r="V412" s="72"/>
      <c r="W412" s="75" t="e">
        <f>+A412-#REF!</f>
        <v>#REF!</v>
      </c>
      <c r="X412" s="1270"/>
      <c r="Y412" s="91"/>
      <c r="Z412" s="91"/>
      <c r="AA412" s="91"/>
    </row>
    <row r="413" spans="1:27" ht="14.4" customHeight="1" x14ac:dyDescent="0.3">
      <c r="A413">
        <v>572155</v>
      </c>
      <c r="B413" t="s">
        <v>456</v>
      </c>
      <c r="C413" t="s">
        <v>385</v>
      </c>
      <c r="D413" s="87" t="str">
        <f t="shared" si="29"/>
        <v>57</v>
      </c>
      <c r="E413" s="92"/>
      <c r="F413" s="103">
        <f>(+IFERROR(VLOOKUP($A413,'[152]BG (2)'!$B$9:$J$570,4,FALSE),0))*1</f>
        <v>352875</v>
      </c>
      <c r="G413" s="73">
        <f>(+IFERROR(VLOOKUP($A413,'[152]BG (2)'!$B$9:$J$570,5,FALSE),0))*-1</f>
        <v>0</v>
      </c>
      <c r="H413" s="93">
        <f>(+IFERROR(VLOOKUP($A413,'[152]BG (2)'!$B$9:$J$570,6,FALSE),0))*1</f>
        <v>59398225</v>
      </c>
      <c r="I413" s="73">
        <f>(+IFERROR(VLOOKUP($A413,'[152]BG (2)'!$B$9:$J$570,7,FALSE),0))*-1</f>
        <v>-59424900</v>
      </c>
      <c r="J413" s="89">
        <f>(+IFERROR(VLOOKUP($A413,'[152]BG (2)'!$B$9:$J$570,8,FALSE),0))*1</f>
        <v>326200</v>
      </c>
      <c r="K413" s="73">
        <f>(+IFERROR(VLOOKUP($A413,'[152]BG (2)'!$B$9:$J$570,9,FALSE),0))*-1</f>
        <v>0</v>
      </c>
      <c r="L413" s="75"/>
      <c r="M413" s="101"/>
      <c r="P413" s="90">
        <f t="shared" si="27"/>
        <v>326200</v>
      </c>
      <c r="S413" s="90"/>
      <c r="T413" s="128">
        <f t="shared" si="28"/>
        <v>326200</v>
      </c>
      <c r="U413" s="95"/>
      <c r="V413" s="72"/>
      <c r="W413" s="75" t="e">
        <f>+A413-#REF!</f>
        <v>#REF!</v>
      </c>
      <c r="X413" s="1270"/>
      <c r="Y413" s="91"/>
      <c r="Z413" s="91"/>
      <c r="AA413" s="91"/>
    </row>
    <row r="414" spans="1:27" ht="14.4" customHeight="1" x14ac:dyDescent="0.3">
      <c r="A414">
        <v>572157</v>
      </c>
      <c r="B414" t="s">
        <v>457</v>
      </c>
      <c r="C414" t="s">
        <v>385</v>
      </c>
      <c r="D414" s="87" t="str">
        <f t="shared" si="29"/>
        <v>57</v>
      </c>
      <c r="E414" s="92"/>
      <c r="F414" s="103">
        <f>(+IFERROR(VLOOKUP($A414,'[152]BG (2)'!$B$9:$J$570,4,FALSE),0))*1</f>
        <v>0</v>
      </c>
      <c r="G414" s="73">
        <f>(+IFERROR(VLOOKUP($A414,'[152]BG (2)'!$B$9:$J$570,5,FALSE),0))*-1</f>
        <v>0</v>
      </c>
      <c r="H414" s="93">
        <f>(+IFERROR(VLOOKUP($A414,'[152]BG (2)'!$B$9:$J$570,6,FALSE),0))*1</f>
        <v>0</v>
      </c>
      <c r="I414" s="73">
        <f>(+IFERROR(VLOOKUP($A414,'[152]BG (2)'!$B$9:$J$570,7,FALSE),0))*-1</f>
        <v>0</v>
      </c>
      <c r="J414" s="89">
        <f>(+IFERROR(VLOOKUP($A414,'[152]BG (2)'!$B$9:$J$570,8,FALSE),0))*1</f>
        <v>0</v>
      </c>
      <c r="K414" s="73">
        <f>(+IFERROR(VLOOKUP($A414,'[152]BG (2)'!$B$9:$J$570,9,FALSE),0))*-1</f>
        <v>0</v>
      </c>
      <c r="L414" s="75"/>
      <c r="M414" s="101"/>
      <c r="P414" s="90">
        <f t="shared" si="27"/>
        <v>0</v>
      </c>
      <c r="S414" s="90"/>
      <c r="T414" s="128">
        <f t="shared" si="28"/>
        <v>0</v>
      </c>
      <c r="U414" s="95"/>
      <c r="V414" s="72"/>
      <c r="W414" s="75" t="e">
        <f>+A414-#REF!</f>
        <v>#REF!</v>
      </c>
      <c r="X414" s="1270"/>
      <c r="Y414" s="91"/>
      <c r="Z414" s="91"/>
      <c r="AA414" s="91"/>
    </row>
    <row r="415" spans="1:27" ht="14.4" customHeight="1" x14ac:dyDescent="0.3">
      <c r="A415">
        <v>572159</v>
      </c>
      <c r="B415" t="s">
        <v>458</v>
      </c>
      <c r="C415" t="s">
        <v>385</v>
      </c>
      <c r="D415" s="87" t="str">
        <f t="shared" si="29"/>
        <v>57</v>
      </c>
      <c r="E415" s="92"/>
      <c r="F415" s="103">
        <f>(+IFERROR(VLOOKUP($A415,'[152]BG (2)'!$B$9:$J$570,4,FALSE),0))*1</f>
        <v>605700</v>
      </c>
      <c r="G415" s="73">
        <f>(+IFERROR(VLOOKUP($A415,'[152]BG (2)'!$B$9:$J$570,5,FALSE),0))*-1</f>
        <v>0</v>
      </c>
      <c r="H415" s="93">
        <f>(+IFERROR(VLOOKUP($A415,'[152]BG (2)'!$B$9:$J$570,6,FALSE),0))*1</f>
        <v>54872409</v>
      </c>
      <c r="I415" s="73">
        <f>(+IFERROR(VLOOKUP($A415,'[152]BG (2)'!$B$9:$J$570,7,FALSE),0))*-1</f>
        <v>-55478109</v>
      </c>
      <c r="J415" s="89">
        <f>(+IFERROR(VLOOKUP($A415,'[152]BG (2)'!$B$9:$J$570,8,FALSE),0))*1</f>
        <v>0</v>
      </c>
      <c r="K415" s="73">
        <f>(+IFERROR(VLOOKUP($A415,'[152]BG (2)'!$B$9:$J$570,9,FALSE),0))*-1</f>
        <v>0</v>
      </c>
      <c r="L415" s="75"/>
      <c r="M415" s="101"/>
      <c r="P415" s="90">
        <f t="shared" si="27"/>
        <v>0</v>
      </c>
      <c r="S415" s="90"/>
      <c r="T415" s="128">
        <f t="shared" si="28"/>
        <v>0</v>
      </c>
      <c r="U415" s="95"/>
      <c r="V415" s="72"/>
      <c r="W415" s="75" t="e">
        <f>+A415-#REF!</f>
        <v>#REF!</v>
      </c>
      <c r="X415" s="1270"/>
      <c r="Y415" s="91"/>
      <c r="Z415" s="91"/>
      <c r="AA415" s="91"/>
    </row>
    <row r="416" spans="1:27" ht="14.4" customHeight="1" x14ac:dyDescent="0.3">
      <c r="A416">
        <v>572160</v>
      </c>
      <c r="B416" t="s">
        <v>459</v>
      </c>
      <c r="C416" t="s">
        <v>385</v>
      </c>
      <c r="D416" s="87" t="str">
        <f t="shared" si="29"/>
        <v>57</v>
      </c>
      <c r="E416" s="92"/>
      <c r="F416" s="103">
        <f>(+IFERROR(VLOOKUP($A416,'[152]BG (2)'!$B$9:$J$570,4,FALSE),0))*1</f>
        <v>839900</v>
      </c>
      <c r="G416" s="73">
        <f>(+IFERROR(VLOOKUP($A416,'[152]BG (2)'!$B$9:$J$570,5,FALSE),0))*-1</f>
        <v>0</v>
      </c>
      <c r="H416" s="93">
        <f>(+IFERROR(VLOOKUP($A416,'[152]BG (2)'!$B$9:$J$570,6,FALSE),0))*1</f>
        <v>93691864</v>
      </c>
      <c r="I416" s="73">
        <f>(+IFERROR(VLOOKUP($A416,'[152]BG (2)'!$B$9:$J$570,7,FALSE),0))*-1</f>
        <v>-94296564</v>
      </c>
      <c r="J416" s="89">
        <f>(+IFERROR(VLOOKUP($A416,'[152]BG (2)'!$B$9:$J$570,8,FALSE),0))*1</f>
        <v>235200</v>
      </c>
      <c r="K416" s="73">
        <f>(+IFERROR(VLOOKUP($A416,'[152]BG (2)'!$B$9:$J$570,9,FALSE),0))*-1</f>
        <v>0</v>
      </c>
      <c r="L416" s="75"/>
      <c r="M416" s="101"/>
      <c r="P416" s="90">
        <f t="shared" si="27"/>
        <v>235200</v>
      </c>
      <c r="S416" s="90"/>
      <c r="T416" s="128">
        <f t="shared" si="28"/>
        <v>235200</v>
      </c>
      <c r="U416" s="95"/>
      <c r="V416" s="72"/>
      <c r="W416" s="75" t="e">
        <f>+A416-#REF!</f>
        <v>#REF!</v>
      </c>
      <c r="X416" s="1270"/>
      <c r="Y416" s="91"/>
      <c r="Z416" s="91"/>
      <c r="AA416" s="91"/>
    </row>
    <row r="417" spans="1:27" ht="14.4" customHeight="1" x14ac:dyDescent="0.3">
      <c r="A417">
        <v>572161</v>
      </c>
      <c r="B417" t="s">
        <v>460</v>
      </c>
      <c r="C417" t="s">
        <v>385</v>
      </c>
      <c r="D417" s="87" t="str">
        <f t="shared" si="29"/>
        <v>57</v>
      </c>
      <c r="E417" s="92"/>
      <c r="F417" s="103">
        <f>(+IFERROR(VLOOKUP($A417,'[152]BG (2)'!$B$9:$J$570,4,FALSE),0))*1</f>
        <v>0</v>
      </c>
      <c r="G417" s="73">
        <f>(+IFERROR(VLOOKUP($A417,'[152]BG (2)'!$B$9:$J$570,5,FALSE),0))*-1</f>
        <v>0</v>
      </c>
      <c r="H417" s="93">
        <f>(+IFERROR(VLOOKUP($A417,'[152]BG (2)'!$B$9:$J$570,6,FALSE),0))*1</f>
        <v>0</v>
      </c>
      <c r="I417" s="73">
        <f>(+IFERROR(VLOOKUP($A417,'[152]BG (2)'!$B$9:$J$570,7,FALSE),0))*-1</f>
        <v>0</v>
      </c>
      <c r="J417" s="89">
        <f>(+IFERROR(VLOOKUP($A417,'[152]BG (2)'!$B$9:$J$570,8,FALSE),0))*1</f>
        <v>0</v>
      </c>
      <c r="K417" s="73">
        <f>(+IFERROR(VLOOKUP($A417,'[152]BG (2)'!$B$9:$J$570,9,FALSE),0))*-1</f>
        <v>0</v>
      </c>
      <c r="L417" s="75"/>
      <c r="M417" s="101"/>
      <c r="P417" s="90">
        <f t="shared" si="27"/>
        <v>0</v>
      </c>
      <c r="S417" s="90"/>
      <c r="T417" s="128">
        <f t="shared" si="28"/>
        <v>0</v>
      </c>
      <c r="U417" s="95"/>
      <c r="V417" s="72"/>
      <c r="W417" s="75" t="e">
        <f>+A417-#REF!</f>
        <v>#REF!</v>
      </c>
      <c r="X417" s="1270"/>
      <c r="Y417" s="91"/>
      <c r="Z417" s="91"/>
      <c r="AA417" s="91"/>
    </row>
    <row r="418" spans="1:27" ht="14.4" customHeight="1" x14ac:dyDescent="0.3">
      <c r="A418" s="110">
        <v>572162</v>
      </c>
      <c r="B418"/>
      <c r="C418" t="s">
        <v>385</v>
      </c>
      <c r="D418" s="87" t="str">
        <f t="shared" si="29"/>
        <v>57</v>
      </c>
      <c r="E418" s="92"/>
      <c r="F418" s="103">
        <f>(+IFERROR(VLOOKUP($A418,'[152]BG (2)'!$B$9:$J$570,4,FALSE),0))*1</f>
        <v>515500</v>
      </c>
      <c r="G418" s="73">
        <f>(+IFERROR(VLOOKUP($A418,'[152]BG (2)'!$B$9:$J$570,5,FALSE),0))*-1</f>
        <v>0</v>
      </c>
      <c r="H418" s="93">
        <f>(+IFERROR(VLOOKUP($A418,'[152]BG (2)'!$B$9:$J$570,6,FALSE),0))*1</f>
        <v>73242622</v>
      </c>
      <c r="I418" s="73">
        <f>(+IFERROR(VLOOKUP($A418,'[152]BG (2)'!$B$9:$J$570,7,FALSE),0))*-1</f>
        <v>-73758122</v>
      </c>
      <c r="J418" s="89">
        <f>(+IFERROR(VLOOKUP($A418,'[152]BG (2)'!$B$9:$J$570,8,FALSE),0))*1</f>
        <v>0</v>
      </c>
      <c r="K418" s="73">
        <f>(+IFERROR(VLOOKUP($A418,'[152]BG (2)'!$B$9:$J$570,9,FALSE),0))*-1</f>
        <v>0</v>
      </c>
      <c r="L418" s="75"/>
      <c r="M418" s="101"/>
      <c r="P418" s="90">
        <f t="shared" si="27"/>
        <v>0</v>
      </c>
      <c r="S418" s="90"/>
      <c r="T418" s="128">
        <f t="shared" si="28"/>
        <v>0</v>
      </c>
      <c r="U418" s="95"/>
      <c r="V418" s="72"/>
      <c r="W418" s="75" t="e">
        <f>+A418-#REF!</f>
        <v>#REF!</v>
      </c>
      <c r="X418" s="1270"/>
      <c r="Y418" s="91"/>
      <c r="Z418" s="91"/>
      <c r="AA418" s="91"/>
    </row>
    <row r="419" spans="1:27" ht="14.4" customHeight="1" x14ac:dyDescent="0.3">
      <c r="A419" s="110">
        <v>572163</v>
      </c>
      <c r="B419"/>
      <c r="C419" t="s">
        <v>385</v>
      </c>
      <c r="D419" s="87" t="str">
        <f t="shared" si="29"/>
        <v>57</v>
      </c>
      <c r="E419" s="92"/>
      <c r="F419" s="103">
        <f>(+IFERROR(VLOOKUP($A419,'[152]BG (2)'!$B$9:$J$570,4,FALSE),0))*1</f>
        <v>443900</v>
      </c>
      <c r="G419" s="73">
        <f>(+IFERROR(VLOOKUP($A419,'[152]BG (2)'!$B$9:$J$570,5,FALSE),0))*-1</f>
        <v>0</v>
      </c>
      <c r="H419" s="93">
        <f>(+IFERROR(VLOOKUP($A419,'[152]BG (2)'!$B$9:$J$570,6,FALSE),0))*1</f>
        <v>81536415</v>
      </c>
      <c r="I419" s="73">
        <f>(+IFERROR(VLOOKUP($A419,'[152]BG (2)'!$B$9:$J$570,7,FALSE),0))*-1</f>
        <v>-81962315</v>
      </c>
      <c r="J419" s="89">
        <f>(+IFERROR(VLOOKUP($A419,'[152]BG (2)'!$B$9:$J$570,8,FALSE),0))*1</f>
        <v>18000</v>
      </c>
      <c r="K419" s="73">
        <f>(+IFERROR(VLOOKUP($A419,'[152]BG (2)'!$B$9:$J$570,9,FALSE),0))*-1</f>
        <v>0</v>
      </c>
      <c r="L419" s="75"/>
      <c r="M419" s="101"/>
      <c r="P419" s="90">
        <f t="shared" si="27"/>
        <v>18000</v>
      </c>
      <c r="S419" s="90"/>
      <c r="T419" s="128"/>
      <c r="U419" s="95"/>
      <c r="V419" s="72"/>
      <c r="W419" s="75"/>
      <c r="X419" s="1270"/>
      <c r="Y419" s="91"/>
      <c r="Z419" s="91"/>
      <c r="AA419" s="91"/>
    </row>
    <row r="420" spans="1:27" ht="14.4" customHeight="1" x14ac:dyDescent="0.3">
      <c r="A420" s="1296">
        <v>572164</v>
      </c>
      <c r="B420" s="1296" t="s">
        <v>2364</v>
      </c>
      <c r="C420" t="s">
        <v>385</v>
      </c>
      <c r="D420" s="87" t="str">
        <f t="shared" si="29"/>
        <v>57</v>
      </c>
      <c r="E420" s="72"/>
      <c r="F420" s="72">
        <f>(+IFERROR(VLOOKUP($A420,'[152]BG (2)'!$B$9:$J$570,4,FALSE),0))*1</f>
        <v>348900</v>
      </c>
      <c r="G420" s="72">
        <f>(+IFERROR(VLOOKUP($A420,'[152]BG (2)'!$B$9:$J$570,5,FALSE),0))*-1</f>
        <v>0</v>
      </c>
      <c r="H420" s="72">
        <f>(+IFERROR(VLOOKUP($A420,'[152]BG (2)'!$B$9:$J$570,6,FALSE),0))*1</f>
        <v>39575705</v>
      </c>
      <c r="I420" s="72">
        <f>(+IFERROR(VLOOKUP($A420,'[152]BG (2)'!$B$9:$J$570,7,FALSE),0))*-1</f>
        <v>-39805105</v>
      </c>
      <c r="J420" s="72">
        <f>(+IFERROR(VLOOKUP($A420,'[152]BG (2)'!$B$9:$J$570,8,FALSE),0))*1</f>
        <v>119500</v>
      </c>
      <c r="K420" s="91">
        <f>(+IFERROR(VLOOKUP($A420,'[152]BG (2)'!$B$9:$J$570,9,FALSE),0))*-1</f>
        <v>0</v>
      </c>
      <c r="L420" s="72"/>
      <c r="M420" s="72"/>
      <c r="N420" s="72"/>
      <c r="O420" s="72"/>
      <c r="P420" s="90">
        <f t="shared" si="27"/>
        <v>119500</v>
      </c>
      <c r="Q420" s="72"/>
      <c r="R420" s="72"/>
      <c r="S420"/>
      <c r="T420"/>
      <c r="U420"/>
      <c r="V420" s="72"/>
      <c r="W420" s="72"/>
      <c r="X420" s="72"/>
      <c r="Y420" s="91"/>
      <c r="Z420" s="91"/>
      <c r="AA420" s="91"/>
    </row>
    <row r="421" spans="1:27" ht="14.4" customHeight="1" x14ac:dyDescent="0.3">
      <c r="A421">
        <v>573110</v>
      </c>
      <c r="B421" t="s">
        <v>461</v>
      </c>
      <c r="C421" t="s">
        <v>385</v>
      </c>
      <c r="D421" s="87" t="str">
        <f t="shared" si="29"/>
        <v>57</v>
      </c>
      <c r="E421" s="92"/>
      <c r="F421" s="103">
        <f>(+IFERROR(VLOOKUP($A421,'[152]BG (2)'!$B$9:$J$570,4,FALSE),0))*1</f>
        <v>8005430</v>
      </c>
      <c r="G421" s="73">
        <f>(+IFERROR(VLOOKUP($A421,'[152]BG (2)'!$B$9:$J$570,5,FALSE),0))*-1</f>
        <v>0</v>
      </c>
      <c r="H421" s="93">
        <f>(+IFERROR(VLOOKUP($A421,'[152]BG (2)'!$B$9:$J$570,6,FALSE),0))*1</f>
        <v>1132268044</v>
      </c>
      <c r="I421" s="73">
        <f>(+IFERROR(VLOOKUP($A421,'[152]BG (2)'!$B$9:$J$570,7,FALSE),0))*-1</f>
        <v>-1126850989</v>
      </c>
      <c r="J421" s="89">
        <f>(+IFERROR(VLOOKUP($A421,'[152]BG (2)'!$B$9:$J$570,8,FALSE),0))*1</f>
        <v>13422485</v>
      </c>
      <c r="K421" s="73">
        <f>(+IFERROR(VLOOKUP($A421,'[152]BG (2)'!$B$9:$J$570,9,FALSE),0))*-1</f>
        <v>0</v>
      </c>
      <c r="L421" s="75"/>
      <c r="M421" s="101"/>
      <c r="P421" s="90">
        <f t="shared" si="27"/>
        <v>13422485</v>
      </c>
      <c r="S421" s="90"/>
      <c r="T421" s="128">
        <f t="shared" ref="T421:T439" si="30">K421+J421</f>
        <v>13422485</v>
      </c>
      <c r="U421" s="95"/>
      <c r="V421" s="72"/>
      <c r="W421" s="75" t="e">
        <f>+A421-#REF!</f>
        <v>#REF!</v>
      </c>
      <c r="X421" s="1270"/>
      <c r="Y421" s="91"/>
      <c r="Z421" s="91"/>
      <c r="AA421" s="91"/>
    </row>
    <row r="422" spans="1:27" ht="14.4" customHeight="1" x14ac:dyDescent="0.3">
      <c r="A422">
        <v>573120</v>
      </c>
      <c r="B422" t="s">
        <v>462</v>
      </c>
      <c r="C422" t="s">
        <v>385</v>
      </c>
      <c r="D422" s="87" t="str">
        <f t="shared" si="29"/>
        <v>57</v>
      </c>
      <c r="E422" s="92"/>
      <c r="F422" s="103">
        <f>(+IFERROR(VLOOKUP($A422,'[152]BG (2)'!$B$9:$J$570,4,FALSE),0))*1</f>
        <v>4923520</v>
      </c>
      <c r="G422" s="73">
        <f>(+IFERROR(VLOOKUP($A422,'[152]BG (2)'!$B$9:$J$570,5,FALSE),0))*-1</f>
        <v>0</v>
      </c>
      <c r="H422" s="93">
        <f>(+IFERROR(VLOOKUP($A422,'[152]BG (2)'!$B$9:$J$570,6,FALSE),0))*1</f>
        <v>892400140</v>
      </c>
      <c r="I422" s="73">
        <f>(+IFERROR(VLOOKUP($A422,'[152]BG (2)'!$B$9:$J$570,7,FALSE),0))*-1</f>
        <v>-892598200</v>
      </c>
      <c r="J422" s="89">
        <f>(+IFERROR(VLOOKUP($A422,'[152]BG (2)'!$B$9:$J$570,8,FALSE),0))*1</f>
        <v>4725460</v>
      </c>
      <c r="K422" s="73">
        <f>(+IFERROR(VLOOKUP($A422,'[152]BG (2)'!$B$9:$J$570,9,FALSE),0))*-1</f>
        <v>0</v>
      </c>
      <c r="L422" s="75"/>
      <c r="M422" s="101"/>
      <c r="P422" s="90">
        <f t="shared" si="27"/>
        <v>4725460</v>
      </c>
      <c r="S422" s="90"/>
      <c r="T422" s="128">
        <f t="shared" si="30"/>
        <v>4725460</v>
      </c>
      <c r="U422" s="95"/>
      <c r="V422" s="72"/>
      <c r="W422" s="75" t="e">
        <f>+A422-#REF!</f>
        <v>#REF!</v>
      </c>
      <c r="X422" s="1270"/>
      <c r="Y422" s="91"/>
      <c r="Z422" s="91"/>
      <c r="AA422" s="91"/>
    </row>
    <row r="423" spans="1:27" ht="14.4" customHeight="1" x14ac:dyDescent="0.3">
      <c r="A423">
        <v>573130</v>
      </c>
      <c r="B423" t="s">
        <v>463</v>
      </c>
      <c r="C423" t="s">
        <v>385</v>
      </c>
      <c r="D423" s="87" t="str">
        <f t="shared" si="29"/>
        <v>57</v>
      </c>
      <c r="E423" s="92"/>
      <c r="F423" s="103">
        <f>(+IFERROR(VLOOKUP($A423,'[152]BG (2)'!$B$9:$J$570,4,FALSE),0))*1</f>
        <v>4841105</v>
      </c>
      <c r="G423" s="73">
        <f>(+IFERROR(VLOOKUP($A423,'[152]BG (2)'!$B$9:$J$570,5,FALSE),0))*-1</f>
        <v>0</v>
      </c>
      <c r="H423" s="93">
        <f>(+IFERROR(VLOOKUP($A423,'[152]BG (2)'!$B$9:$J$570,6,FALSE),0))*1</f>
        <v>248161859</v>
      </c>
      <c r="I423" s="73">
        <f>(+IFERROR(VLOOKUP($A423,'[152]BG (2)'!$B$9:$J$570,7,FALSE),0))*-1</f>
        <v>-250064609</v>
      </c>
      <c r="J423" s="89">
        <f>(+IFERROR(VLOOKUP($A423,'[152]BG (2)'!$B$9:$J$570,8,FALSE),0))*1</f>
        <v>2938355</v>
      </c>
      <c r="K423" s="73">
        <f>(+IFERROR(VLOOKUP($A423,'[152]BG (2)'!$B$9:$J$570,9,FALSE),0))*-1</f>
        <v>0</v>
      </c>
      <c r="L423" s="75"/>
      <c r="M423" s="101"/>
      <c r="P423" s="90">
        <f t="shared" si="27"/>
        <v>2938355</v>
      </c>
      <c r="S423" s="90"/>
      <c r="T423" s="128">
        <f t="shared" si="30"/>
        <v>2938355</v>
      </c>
      <c r="U423" s="95"/>
      <c r="V423" s="72"/>
      <c r="W423" s="75" t="e">
        <f>+A423-#REF!</f>
        <v>#REF!</v>
      </c>
      <c r="X423" s="1270"/>
      <c r="Y423" s="91"/>
      <c r="Z423" s="91"/>
      <c r="AA423" s="91"/>
    </row>
    <row r="424" spans="1:27" ht="14.4" customHeight="1" x14ac:dyDescent="0.3">
      <c r="A424">
        <v>573140</v>
      </c>
      <c r="B424" t="s">
        <v>464</v>
      </c>
      <c r="C424" t="s">
        <v>385</v>
      </c>
      <c r="D424" s="87" t="str">
        <f t="shared" si="29"/>
        <v>57</v>
      </c>
      <c r="E424" s="92"/>
      <c r="F424" s="103">
        <f>(+IFERROR(VLOOKUP($A424,'[152]BG (2)'!$B$9:$J$570,4,FALSE),0))*1</f>
        <v>734084</v>
      </c>
      <c r="G424" s="73">
        <f>(+IFERROR(VLOOKUP($A424,'[152]BG (2)'!$B$9:$J$570,5,FALSE),0))*-1</f>
        <v>0</v>
      </c>
      <c r="H424" s="93">
        <f>(+IFERROR(VLOOKUP($A424,'[152]BG (2)'!$B$9:$J$570,6,FALSE),0))*1</f>
        <v>108900703</v>
      </c>
      <c r="I424" s="73">
        <f>(+IFERROR(VLOOKUP($A424,'[152]BG (2)'!$B$9:$J$570,7,FALSE),0))*-1</f>
        <v>-108555006</v>
      </c>
      <c r="J424" s="89">
        <f>(+IFERROR(VLOOKUP($A424,'[152]BG (2)'!$B$9:$J$570,8,FALSE),0))*1</f>
        <v>1079781</v>
      </c>
      <c r="K424" s="73">
        <f>(+IFERROR(VLOOKUP($A424,'[152]BG (2)'!$B$9:$J$570,9,FALSE),0))*-1</f>
        <v>0</v>
      </c>
      <c r="L424" s="75"/>
      <c r="M424" s="101"/>
      <c r="P424" s="90">
        <f t="shared" si="27"/>
        <v>1079781</v>
      </c>
      <c r="S424" s="90"/>
      <c r="T424" s="128">
        <f t="shared" si="30"/>
        <v>1079781</v>
      </c>
      <c r="U424" s="95"/>
      <c r="V424" s="72"/>
      <c r="W424" s="75" t="e">
        <f>+A424-#REF!</f>
        <v>#REF!</v>
      </c>
      <c r="X424" s="1270"/>
      <c r="Y424" s="91"/>
      <c r="Z424" s="91"/>
      <c r="AA424" s="91"/>
    </row>
    <row r="425" spans="1:27" ht="14.4" customHeight="1" x14ac:dyDescent="0.3">
      <c r="A425">
        <v>573150</v>
      </c>
      <c r="B425" t="s">
        <v>465</v>
      </c>
      <c r="C425" t="s">
        <v>385</v>
      </c>
      <c r="D425" s="87" t="str">
        <f t="shared" si="29"/>
        <v>57</v>
      </c>
      <c r="E425" s="92"/>
      <c r="F425" s="103">
        <f>(+IFERROR(VLOOKUP($A425,'[152]BG (2)'!$B$9:$J$570,4,FALSE),0))*1</f>
        <v>4287383</v>
      </c>
      <c r="G425" s="73">
        <f>(+IFERROR(VLOOKUP($A425,'[152]BG (2)'!$B$9:$J$570,5,FALSE),0))*-1</f>
        <v>0</v>
      </c>
      <c r="H425" s="93">
        <f>(+IFERROR(VLOOKUP($A425,'[152]BG (2)'!$B$9:$J$570,6,FALSE),0))*1</f>
        <v>262708224</v>
      </c>
      <c r="I425" s="73">
        <f>(+IFERROR(VLOOKUP($A425,'[152]BG (2)'!$B$9:$J$570,7,FALSE),0))*-1</f>
        <v>-263632156</v>
      </c>
      <c r="J425" s="89">
        <f>(+IFERROR(VLOOKUP($A425,'[152]BG (2)'!$B$9:$J$570,8,FALSE),0))*1</f>
        <v>3363451</v>
      </c>
      <c r="K425" s="73">
        <f>(+IFERROR(VLOOKUP($A425,'[152]BG (2)'!$B$9:$J$570,9,FALSE),0))*-1</f>
        <v>0</v>
      </c>
      <c r="L425" s="75"/>
      <c r="M425" s="101"/>
      <c r="P425" s="90">
        <f t="shared" si="27"/>
        <v>3363451</v>
      </c>
      <c r="S425" s="90"/>
      <c r="T425" s="128">
        <f t="shared" si="30"/>
        <v>3363451</v>
      </c>
      <c r="U425" s="95"/>
      <c r="V425" s="72"/>
      <c r="W425" s="75" t="e">
        <f>+A425-#REF!</f>
        <v>#REF!</v>
      </c>
      <c r="X425" s="1270"/>
      <c r="Y425" s="91"/>
      <c r="Z425" s="91"/>
      <c r="AA425" s="91"/>
    </row>
    <row r="426" spans="1:27" ht="14.4" customHeight="1" x14ac:dyDescent="0.3">
      <c r="A426">
        <v>573160</v>
      </c>
      <c r="B426" t="s">
        <v>466</v>
      </c>
      <c r="C426" t="s">
        <v>385</v>
      </c>
      <c r="D426" s="87" t="str">
        <f t="shared" si="29"/>
        <v>57</v>
      </c>
      <c r="E426" s="92"/>
      <c r="F426" s="103">
        <f>(+IFERROR(VLOOKUP($A426,'[152]BG (2)'!$B$9:$J$570,4,FALSE),0))*1</f>
        <v>2442697</v>
      </c>
      <c r="G426" s="73">
        <f>(+IFERROR(VLOOKUP($A426,'[152]BG (2)'!$B$9:$J$570,5,FALSE),0))*-1</f>
        <v>0</v>
      </c>
      <c r="H426" s="93">
        <f>(+IFERROR(VLOOKUP($A426,'[152]BG (2)'!$B$9:$J$570,6,FALSE),0))*1</f>
        <v>241383081</v>
      </c>
      <c r="I426" s="73">
        <f>(+IFERROR(VLOOKUP($A426,'[152]BG (2)'!$B$9:$J$570,7,FALSE),0))*-1</f>
        <v>-239033293</v>
      </c>
      <c r="J426" s="89">
        <f>(+IFERROR(VLOOKUP($A426,'[152]BG (2)'!$B$9:$J$570,8,FALSE),0))*1</f>
        <v>4792485</v>
      </c>
      <c r="K426" s="73">
        <f>(+IFERROR(VLOOKUP($A426,'[152]BG (2)'!$B$9:$J$570,9,FALSE),0))*-1</f>
        <v>0</v>
      </c>
      <c r="L426" s="75"/>
      <c r="M426" s="101"/>
      <c r="P426" s="90">
        <f t="shared" si="27"/>
        <v>4792485</v>
      </c>
      <c r="S426" s="90"/>
      <c r="T426" s="128">
        <f t="shared" si="30"/>
        <v>4792485</v>
      </c>
      <c r="U426" s="95"/>
      <c r="V426" s="72"/>
      <c r="W426" s="75" t="e">
        <f>+A426-#REF!</f>
        <v>#REF!</v>
      </c>
      <c r="X426" s="1270"/>
      <c r="Y426" s="91"/>
      <c r="Z426" s="91"/>
      <c r="AA426" s="91"/>
    </row>
    <row r="427" spans="1:27" ht="14.4" customHeight="1" x14ac:dyDescent="0.3">
      <c r="A427">
        <v>573170</v>
      </c>
      <c r="B427" t="s">
        <v>467</v>
      </c>
      <c r="C427" t="s">
        <v>385</v>
      </c>
      <c r="D427" s="87" t="str">
        <f t="shared" si="29"/>
        <v>57</v>
      </c>
      <c r="E427" s="92"/>
      <c r="F427" s="103">
        <f>(+IFERROR(VLOOKUP($A427,'[152]BG (2)'!$B$9:$J$570,4,FALSE),0))*1</f>
        <v>27115470</v>
      </c>
      <c r="G427" s="73">
        <f>(+IFERROR(VLOOKUP($A427,'[152]BG (2)'!$B$9:$J$570,5,FALSE),0))*-1</f>
        <v>0</v>
      </c>
      <c r="H427" s="93">
        <f>(+IFERROR(VLOOKUP($A427,'[152]BG (2)'!$B$9:$J$570,6,FALSE),0))*1</f>
        <v>313499608</v>
      </c>
      <c r="I427" s="73">
        <f>(+IFERROR(VLOOKUP($A427,'[152]BG (2)'!$B$9:$J$570,7,FALSE),0))*-1</f>
        <v>-337747618</v>
      </c>
      <c r="J427" s="89">
        <f>(+IFERROR(VLOOKUP($A427,'[152]BG (2)'!$B$9:$J$570,8,FALSE),0))*1</f>
        <v>2867460</v>
      </c>
      <c r="K427" s="73">
        <f>(+IFERROR(VLOOKUP($A427,'[152]BG (2)'!$B$9:$J$570,9,FALSE),0))*-1</f>
        <v>0</v>
      </c>
      <c r="L427" s="75"/>
      <c r="M427" s="101"/>
      <c r="P427" s="90">
        <f t="shared" si="27"/>
        <v>2867460</v>
      </c>
      <c r="S427" s="90"/>
      <c r="T427" s="128">
        <f t="shared" si="30"/>
        <v>2867460</v>
      </c>
      <c r="U427" s="95"/>
      <c r="V427" s="72"/>
      <c r="W427" s="75" t="e">
        <f>+A427-#REF!</f>
        <v>#REF!</v>
      </c>
      <c r="X427" s="1270"/>
      <c r="Y427" s="91"/>
      <c r="Z427" s="91"/>
      <c r="AA427" s="91"/>
    </row>
    <row r="428" spans="1:27" ht="14.4" customHeight="1" x14ac:dyDescent="0.3">
      <c r="A428">
        <v>573180</v>
      </c>
      <c r="B428" t="s">
        <v>468</v>
      </c>
      <c r="C428" t="s">
        <v>385</v>
      </c>
      <c r="D428" s="87" t="str">
        <f t="shared" si="29"/>
        <v>57</v>
      </c>
      <c r="E428" s="92"/>
      <c r="F428" s="103">
        <f>(+IFERROR(VLOOKUP($A428,'[152]BG (2)'!$B$9:$J$570,4,FALSE),0))*1</f>
        <v>7653350</v>
      </c>
      <c r="G428" s="73">
        <f>(+IFERROR(VLOOKUP($A428,'[152]BG (2)'!$B$9:$J$570,5,FALSE),0))*-1</f>
        <v>0</v>
      </c>
      <c r="H428" s="93">
        <f>(+IFERROR(VLOOKUP($A428,'[152]BG (2)'!$B$9:$J$570,6,FALSE),0))*1</f>
        <v>189310017</v>
      </c>
      <c r="I428" s="73">
        <f>(+IFERROR(VLOOKUP($A428,'[152]BG (2)'!$B$9:$J$570,7,FALSE),0))*-1</f>
        <v>-193483139</v>
      </c>
      <c r="J428" s="89">
        <f>(+IFERROR(VLOOKUP($A428,'[152]BG (2)'!$B$9:$J$570,8,FALSE),0))*1</f>
        <v>3480228</v>
      </c>
      <c r="K428" s="73">
        <f>(+IFERROR(VLOOKUP($A428,'[152]BG (2)'!$B$9:$J$570,9,FALSE),0))*-1</f>
        <v>0</v>
      </c>
      <c r="L428" s="75"/>
      <c r="M428" s="101"/>
      <c r="P428" s="90">
        <f t="shared" si="27"/>
        <v>3480228</v>
      </c>
      <c r="S428" s="90"/>
      <c r="T428" s="128">
        <f t="shared" si="30"/>
        <v>3480228</v>
      </c>
      <c r="U428" s="95"/>
      <c r="V428" s="72"/>
      <c r="W428" s="75" t="e">
        <f>+A428-#REF!</f>
        <v>#REF!</v>
      </c>
      <c r="X428" s="1270"/>
      <c r="Y428" s="91"/>
      <c r="Z428" s="91"/>
      <c r="AA428" s="91"/>
    </row>
    <row r="429" spans="1:27" ht="14.4" customHeight="1" x14ac:dyDescent="0.3">
      <c r="A429">
        <v>573190</v>
      </c>
      <c r="B429" t="s">
        <v>469</v>
      </c>
      <c r="C429" t="s">
        <v>385</v>
      </c>
      <c r="D429" s="87" t="str">
        <f t="shared" si="29"/>
        <v>57</v>
      </c>
      <c r="E429" s="92"/>
      <c r="F429" s="103">
        <f>(+IFERROR(VLOOKUP($A429,'[152]BG (2)'!$B$9:$J$570,4,FALSE),0))*1</f>
        <v>1983200</v>
      </c>
      <c r="G429" s="73">
        <f>(+IFERROR(VLOOKUP($A429,'[152]BG (2)'!$B$9:$J$570,5,FALSE),0))*-1</f>
        <v>0</v>
      </c>
      <c r="H429" s="93">
        <f>(+IFERROR(VLOOKUP($A429,'[152]BG (2)'!$B$9:$J$570,6,FALSE),0))*1</f>
        <v>250814597</v>
      </c>
      <c r="I429" s="73">
        <f>(+IFERROR(VLOOKUP($A429,'[152]BG (2)'!$B$9:$J$570,7,FALSE),0))*-1</f>
        <v>-249378697</v>
      </c>
      <c r="J429" s="89">
        <f>(+IFERROR(VLOOKUP($A429,'[152]BG (2)'!$B$9:$J$570,8,FALSE),0))*1</f>
        <v>3419100</v>
      </c>
      <c r="K429" s="73">
        <f>(+IFERROR(VLOOKUP($A429,'[152]BG (2)'!$B$9:$J$570,9,FALSE),0))*-1</f>
        <v>0</v>
      </c>
      <c r="L429" s="75"/>
      <c r="M429" s="101"/>
      <c r="P429" s="90">
        <f t="shared" si="27"/>
        <v>3419100</v>
      </c>
      <c r="S429" s="90"/>
      <c r="T429" s="128">
        <f t="shared" si="30"/>
        <v>3419100</v>
      </c>
      <c r="U429" s="95"/>
      <c r="V429" s="72"/>
      <c r="W429" s="75" t="e">
        <f>+A429-#REF!</f>
        <v>#REF!</v>
      </c>
      <c r="X429" s="1270"/>
      <c r="Y429" s="91"/>
      <c r="Z429" s="91"/>
      <c r="AA429" s="91"/>
    </row>
    <row r="430" spans="1:27" ht="14.4" customHeight="1" x14ac:dyDescent="0.3">
      <c r="A430">
        <v>573200</v>
      </c>
      <c r="B430" t="s">
        <v>470</v>
      </c>
      <c r="C430" t="s">
        <v>385</v>
      </c>
      <c r="D430" s="87" t="str">
        <f t="shared" si="29"/>
        <v>57</v>
      </c>
      <c r="E430" s="92"/>
      <c r="F430" s="103">
        <f>(+IFERROR(VLOOKUP($A430,'[152]BG (2)'!$B$9:$J$570,4,FALSE),0))*1</f>
        <v>6958896</v>
      </c>
      <c r="G430" s="73">
        <f>(+IFERROR(VLOOKUP($A430,'[152]BG (2)'!$B$9:$J$570,5,FALSE),0))*-1</f>
        <v>0</v>
      </c>
      <c r="H430" s="93">
        <f>(+IFERROR(VLOOKUP($A430,'[152]BG (2)'!$B$9:$J$570,6,FALSE),0))*1</f>
        <v>360489783</v>
      </c>
      <c r="I430" s="73">
        <f>(+IFERROR(VLOOKUP($A430,'[152]BG (2)'!$B$9:$J$570,7,FALSE),0))*-1</f>
        <v>-363190894</v>
      </c>
      <c r="J430" s="89">
        <f>(+IFERROR(VLOOKUP($A430,'[152]BG (2)'!$B$9:$J$570,8,FALSE),0))*1</f>
        <v>4257785</v>
      </c>
      <c r="K430" s="73">
        <f>(+IFERROR(VLOOKUP($A430,'[152]BG (2)'!$B$9:$J$570,9,FALSE),0))*-1</f>
        <v>0</v>
      </c>
      <c r="L430" s="75"/>
      <c r="M430" s="101"/>
      <c r="P430" s="90">
        <f t="shared" si="27"/>
        <v>4257785</v>
      </c>
      <c r="S430" s="90"/>
      <c r="T430" s="128">
        <f t="shared" si="30"/>
        <v>4257785</v>
      </c>
      <c r="U430" s="95"/>
      <c r="V430" s="72"/>
      <c r="W430" s="75" t="e">
        <f>+A430-#REF!</f>
        <v>#REF!</v>
      </c>
      <c r="X430" s="1270"/>
      <c r="Y430" s="91"/>
      <c r="Z430" s="91"/>
      <c r="AA430" s="91"/>
    </row>
    <row r="431" spans="1:27" ht="14.4" customHeight="1" x14ac:dyDescent="0.3">
      <c r="A431">
        <v>573210</v>
      </c>
      <c r="B431" t="s">
        <v>471</v>
      </c>
      <c r="C431" t="s">
        <v>385</v>
      </c>
      <c r="D431" s="87" t="str">
        <f t="shared" si="29"/>
        <v>57</v>
      </c>
      <c r="E431" s="92"/>
      <c r="F431" s="103">
        <f>(+IFERROR(VLOOKUP($A431,'[152]BG (2)'!$B$9:$J$570,4,FALSE),0))*1</f>
        <v>13502100</v>
      </c>
      <c r="G431" s="73">
        <f>(+IFERROR(VLOOKUP($A431,'[152]BG (2)'!$B$9:$J$570,5,FALSE),0))*-1</f>
        <v>0</v>
      </c>
      <c r="H431" s="93">
        <f>(+IFERROR(VLOOKUP($A431,'[152]BG (2)'!$B$9:$J$570,6,FALSE),0))*1</f>
        <v>325426024</v>
      </c>
      <c r="I431" s="73">
        <f>(+IFERROR(VLOOKUP($A431,'[152]BG (2)'!$B$9:$J$570,7,FALSE),0))*-1</f>
        <v>-337369074</v>
      </c>
      <c r="J431" s="89">
        <f>(+IFERROR(VLOOKUP($A431,'[152]BG (2)'!$B$9:$J$570,8,FALSE),0))*1</f>
        <v>1559050</v>
      </c>
      <c r="K431" s="73">
        <f>(+IFERROR(VLOOKUP($A431,'[152]BG (2)'!$B$9:$J$570,9,FALSE),0))*-1</f>
        <v>0</v>
      </c>
      <c r="L431" s="75"/>
      <c r="M431" s="101"/>
      <c r="P431" s="90">
        <f t="shared" si="27"/>
        <v>1559050</v>
      </c>
      <c r="S431" s="90"/>
      <c r="T431" s="128">
        <f t="shared" si="30"/>
        <v>1559050</v>
      </c>
      <c r="U431" s="95"/>
      <c r="V431" s="72"/>
      <c r="W431" s="75" t="e">
        <f>+A431-#REF!</f>
        <v>#REF!</v>
      </c>
      <c r="X431" s="1270"/>
      <c r="Y431" s="91"/>
      <c r="Z431" s="91"/>
      <c r="AA431" s="91"/>
    </row>
    <row r="432" spans="1:27" ht="14.4" customHeight="1" x14ac:dyDescent="0.3">
      <c r="A432">
        <v>573230</v>
      </c>
      <c r="B432" t="s">
        <v>472</v>
      </c>
      <c r="C432" t="s">
        <v>385</v>
      </c>
      <c r="D432" s="87" t="str">
        <f t="shared" si="29"/>
        <v>57</v>
      </c>
      <c r="E432" s="92"/>
      <c r="F432" s="103">
        <f>(+IFERROR(VLOOKUP($A432,'[152]BG (2)'!$B$9:$J$570,4,FALSE),0))*1</f>
        <v>6291875</v>
      </c>
      <c r="G432" s="73">
        <f>(+IFERROR(VLOOKUP($A432,'[152]BG (2)'!$B$9:$J$570,5,FALSE),0))*-1</f>
        <v>0</v>
      </c>
      <c r="H432" s="93">
        <f>(+IFERROR(VLOOKUP($A432,'[152]BG (2)'!$B$9:$J$570,6,FALSE),0))*1</f>
        <v>48762898</v>
      </c>
      <c r="I432" s="73">
        <f>(+IFERROR(VLOOKUP($A432,'[152]BG (2)'!$B$9:$J$570,7,FALSE),0))*-1</f>
        <v>-52661553</v>
      </c>
      <c r="J432" s="89">
        <f>(+IFERROR(VLOOKUP($A432,'[152]BG (2)'!$B$9:$J$570,8,FALSE),0))*1</f>
        <v>2393220</v>
      </c>
      <c r="K432" s="73">
        <f>(+IFERROR(VLOOKUP($A432,'[152]BG (2)'!$B$9:$J$570,9,FALSE),0))*-1</f>
        <v>0</v>
      </c>
      <c r="L432" s="75"/>
      <c r="M432" s="101"/>
      <c r="P432" s="90">
        <f t="shared" si="27"/>
        <v>2393220</v>
      </c>
      <c r="S432" s="90"/>
      <c r="T432" s="128">
        <f t="shared" si="30"/>
        <v>2393220</v>
      </c>
      <c r="U432" s="95"/>
      <c r="V432" s="72"/>
      <c r="W432" s="75" t="e">
        <f>+A432-#REF!</f>
        <v>#REF!</v>
      </c>
      <c r="X432" s="1270"/>
      <c r="Y432" s="91"/>
      <c r="Z432" s="91"/>
      <c r="AA432" s="91"/>
    </row>
    <row r="433" spans="1:27" ht="14.4" customHeight="1" x14ac:dyDescent="0.3">
      <c r="A433">
        <v>573240</v>
      </c>
      <c r="B433" t="s">
        <v>473</v>
      </c>
      <c r="C433" t="s">
        <v>385</v>
      </c>
      <c r="D433" s="87" t="str">
        <f t="shared" si="29"/>
        <v>57</v>
      </c>
      <c r="E433" s="92"/>
      <c r="F433" s="103">
        <f>(+IFERROR(VLOOKUP($A433,'[152]BG (2)'!$B$9:$J$570,4,FALSE),0))*1</f>
        <v>9005750</v>
      </c>
      <c r="G433" s="73">
        <f>(+IFERROR(VLOOKUP($A433,'[152]BG (2)'!$B$9:$J$570,5,FALSE),0))*-1</f>
        <v>0</v>
      </c>
      <c r="H433" s="93">
        <f>(+IFERROR(VLOOKUP($A433,'[152]BG (2)'!$B$9:$J$570,6,FALSE),0))*1</f>
        <v>861395332</v>
      </c>
      <c r="I433" s="73">
        <f>(+IFERROR(VLOOKUP($A433,'[152]BG (2)'!$B$9:$J$570,7,FALSE),0))*-1</f>
        <v>-865976982</v>
      </c>
      <c r="J433" s="89">
        <f>(+IFERROR(VLOOKUP($A433,'[152]BG (2)'!$B$9:$J$570,8,FALSE),0))*1</f>
        <v>4424100</v>
      </c>
      <c r="K433" s="73">
        <f>(+IFERROR(VLOOKUP($A433,'[152]BG (2)'!$B$9:$J$570,9,FALSE),0))*-1</f>
        <v>0</v>
      </c>
      <c r="L433" s="75"/>
      <c r="M433" s="101"/>
      <c r="P433" s="90">
        <f t="shared" si="27"/>
        <v>4424100</v>
      </c>
      <c r="S433" s="90"/>
      <c r="T433" s="128">
        <f t="shared" si="30"/>
        <v>4424100</v>
      </c>
      <c r="U433" s="95"/>
      <c r="V433" s="72"/>
      <c r="W433" s="75" t="e">
        <f>+A433-#REF!</f>
        <v>#REF!</v>
      </c>
      <c r="X433" s="1270"/>
      <c r="Y433" s="91"/>
      <c r="Z433" s="91"/>
      <c r="AA433" s="91"/>
    </row>
    <row r="434" spans="1:27" ht="14.4" customHeight="1" x14ac:dyDescent="0.3">
      <c r="A434">
        <v>573250</v>
      </c>
      <c r="B434" t="s">
        <v>474</v>
      </c>
      <c r="C434" t="s">
        <v>385</v>
      </c>
      <c r="D434" s="87" t="str">
        <f t="shared" si="29"/>
        <v>57</v>
      </c>
      <c r="E434" s="92"/>
      <c r="F434" s="103">
        <f>(+IFERROR(VLOOKUP($A434,'[152]BG (2)'!$B$9:$J$570,4,FALSE),0))*1</f>
        <v>2572435</v>
      </c>
      <c r="G434" s="73">
        <f>(+IFERROR(VLOOKUP($A434,'[152]BG (2)'!$B$9:$J$570,5,FALSE),0))*-1</f>
        <v>0</v>
      </c>
      <c r="H434" s="93">
        <f>(+IFERROR(VLOOKUP($A434,'[152]BG (2)'!$B$9:$J$570,6,FALSE),0))*1</f>
        <v>32574525</v>
      </c>
      <c r="I434" s="73">
        <f>(+IFERROR(VLOOKUP($A434,'[152]BG (2)'!$B$9:$J$570,7,FALSE),0))*-1</f>
        <v>-34368270</v>
      </c>
      <c r="J434" s="89">
        <f>(+IFERROR(VLOOKUP($A434,'[152]BG (2)'!$B$9:$J$570,8,FALSE),0))*1</f>
        <v>778690</v>
      </c>
      <c r="K434" s="73">
        <f>(+IFERROR(VLOOKUP($A434,'[152]BG (2)'!$B$9:$J$570,9,FALSE),0))*-1</f>
        <v>0</v>
      </c>
      <c r="L434" s="75"/>
      <c r="M434" s="101"/>
      <c r="P434" s="90">
        <f t="shared" si="27"/>
        <v>778690</v>
      </c>
      <c r="S434" s="90"/>
      <c r="T434" s="128">
        <f t="shared" si="30"/>
        <v>778690</v>
      </c>
      <c r="U434" s="95"/>
      <c r="V434" s="72"/>
      <c r="W434" s="75" t="e">
        <f>+A434-#REF!</f>
        <v>#REF!</v>
      </c>
      <c r="X434" s="1270"/>
      <c r="Y434" s="91"/>
      <c r="Z434" s="91"/>
      <c r="AA434" s="91"/>
    </row>
    <row r="435" spans="1:27" ht="14.4" customHeight="1" x14ac:dyDescent="0.3">
      <c r="A435">
        <v>573260</v>
      </c>
      <c r="B435" t="s">
        <v>475</v>
      </c>
      <c r="C435" t="s">
        <v>385</v>
      </c>
      <c r="D435" s="87" t="str">
        <f t="shared" si="29"/>
        <v>57</v>
      </c>
      <c r="E435" s="92"/>
      <c r="F435" s="103">
        <f>(+IFERROR(VLOOKUP($A435,'[152]BG (2)'!$B$9:$J$570,4,FALSE),0))*1</f>
        <v>4161300</v>
      </c>
      <c r="G435" s="73">
        <f>(+IFERROR(VLOOKUP($A435,'[152]BG (2)'!$B$9:$J$570,5,FALSE),0))*-1</f>
        <v>0</v>
      </c>
      <c r="H435" s="93">
        <f>(+IFERROR(VLOOKUP($A435,'[152]BG (2)'!$B$9:$J$570,6,FALSE),0))*1</f>
        <v>46339900</v>
      </c>
      <c r="I435" s="73">
        <f>(+IFERROR(VLOOKUP($A435,'[152]BG (2)'!$B$9:$J$570,7,FALSE),0))*-1</f>
        <v>-49867250</v>
      </c>
      <c r="J435" s="89">
        <f>(+IFERROR(VLOOKUP($A435,'[152]BG (2)'!$B$9:$J$570,8,FALSE),0))*1</f>
        <v>633950</v>
      </c>
      <c r="K435" s="73">
        <f>(+IFERROR(VLOOKUP($A435,'[152]BG (2)'!$B$9:$J$570,9,FALSE),0))*-1</f>
        <v>0</v>
      </c>
      <c r="L435" s="75"/>
      <c r="M435" s="101"/>
      <c r="P435" s="90">
        <f t="shared" si="27"/>
        <v>633950</v>
      </c>
      <c r="S435" s="90"/>
      <c r="T435" s="128">
        <f t="shared" si="30"/>
        <v>633950</v>
      </c>
      <c r="U435" s="95"/>
      <c r="V435" s="72"/>
      <c r="W435" s="75" t="e">
        <f>+A435-#REF!</f>
        <v>#REF!</v>
      </c>
      <c r="X435" s="1270"/>
      <c r="Y435" s="91"/>
      <c r="Z435" s="91"/>
      <c r="AA435" s="91"/>
    </row>
    <row r="436" spans="1:27" ht="14.4" customHeight="1" x14ac:dyDescent="0.3">
      <c r="A436">
        <v>573270</v>
      </c>
      <c r="B436" t="s">
        <v>476</v>
      </c>
      <c r="C436" t="s">
        <v>385</v>
      </c>
      <c r="D436" s="87" t="str">
        <f t="shared" si="29"/>
        <v>57</v>
      </c>
      <c r="E436" s="92"/>
      <c r="F436" s="103">
        <f>(+IFERROR(VLOOKUP($A436,'[152]BG (2)'!$B$9:$J$570,4,FALSE),0))*1</f>
        <v>7218547</v>
      </c>
      <c r="G436" s="73">
        <f>(+IFERROR(VLOOKUP($A436,'[152]BG (2)'!$B$9:$J$570,5,FALSE),0))*-1</f>
        <v>0</v>
      </c>
      <c r="H436" s="93">
        <f>(+IFERROR(VLOOKUP($A436,'[152]BG (2)'!$B$9:$J$570,6,FALSE),0))*1</f>
        <v>54835634</v>
      </c>
      <c r="I436" s="73">
        <f>(+IFERROR(VLOOKUP($A436,'[152]BG (2)'!$B$9:$J$570,7,FALSE),0))*-1</f>
        <v>-61158401</v>
      </c>
      <c r="J436" s="89">
        <f>(+IFERROR(VLOOKUP($A436,'[152]BG (2)'!$B$9:$J$570,8,FALSE),0))*1</f>
        <v>895780</v>
      </c>
      <c r="K436" s="73">
        <f>(+IFERROR(VLOOKUP($A436,'[152]BG (2)'!$B$9:$J$570,9,FALSE),0))*-1</f>
        <v>0</v>
      </c>
      <c r="L436" s="75"/>
      <c r="M436" s="101"/>
      <c r="P436" s="90">
        <f t="shared" si="27"/>
        <v>895780</v>
      </c>
      <c r="S436" s="90"/>
      <c r="T436" s="128">
        <f t="shared" si="30"/>
        <v>895780</v>
      </c>
      <c r="U436" s="95"/>
      <c r="V436" s="72"/>
      <c r="W436" s="75" t="e">
        <f>+A436-#REF!</f>
        <v>#REF!</v>
      </c>
      <c r="X436" s="1270"/>
      <c r="Y436" s="91"/>
      <c r="Z436" s="91"/>
      <c r="AA436" s="91"/>
    </row>
    <row r="437" spans="1:27" ht="14.4" customHeight="1" x14ac:dyDescent="0.3">
      <c r="A437">
        <v>573280</v>
      </c>
      <c r="B437" t="s">
        <v>477</v>
      </c>
      <c r="C437" t="s">
        <v>385</v>
      </c>
      <c r="D437" s="87" t="str">
        <f t="shared" si="29"/>
        <v>57</v>
      </c>
      <c r="E437" s="92"/>
      <c r="F437" s="103">
        <f>(+IFERROR(VLOOKUP($A437,'[152]BG (2)'!$B$9:$J$570,4,FALSE),0))*1</f>
        <v>4276615</v>
      </c>
      <c r="G437" s="73">
        <f>(+IFERROR(VLOOKUP($A437,'[152]BG (2)'!$B$9:$J$570,5,FALSE),0))*-1</f>
        <v>0</v>
      </c>
      <c r="H437" s="93">
        <f>(+IFERROR(VLOOKUP($A437,'[152]BG (2)'!$B$9:$J$570,6,FALSE),0))*1</f>
        <v>57089074</v>
      </c>
      <c r="I437" s="73">
        <f>(+IFERROR(VLOOKUP($A437,'[152]BG (2)'!$B$9:$J$570,7,FALSE),0))*-1</f>
        <v>-59964654</v>
      </c>
      <c r="J437" s="89">
        <f>(+IFERROR(VLOOKUP($A437,'[152]BG (2)'!$B$9:$J$570,8,FALSE),0))*1</f>
        <v>1401035</v>
      </c>
      <c r="K437" s="73">
        <f>(+IFERROR(VLOOKUP($A437,'[152]BG (2)'!$B$9:$J$570,9,FALSE),0))*-1</f>
        <v>0</v>
      </c>
      <c r="L437" s="75"/>
      <c r="M437" s="101"/>
      <c r="P437" s="90">
        <f t="shared" si="27"/>
        <v>1401035</v>
      </c>
      <c r="S437" s="90"/>
      <c r="T437" s="128">
        <f t="shared" si="30"/>
        <v>1401035</v>
      </c>
      <c r="U437" s="95"/>
      <c r="V437" s="72"/>
      <c r="W437" s="75" t="e">
        <f>+A437-#REF!</f>
        <v>#REF!</v>
      </c>
      <c r="X437" s="1270"/>
      <c r="Y437" s="91"/>
      <c r="Z437" s="91"/>
      <c r="AA437" s="91"/>
    </row>
    <row r="438" spans="1:27" ht="14.4" customHeight="1" x14ac:dyDescent="0.3">
      <c r="A438">
        <v>573290</v>
      </c>
      <c r="B438" t="s">
        <v>478</v>
      </c>
      <c r="C438" t="s">
        <v>385</v>
      </c>
      <c r="D438" s="87" t="str">
        <f t="shared" si="29"/>
        <v>57</v>
      </c>
      <c r="E438" s="92"/>
      <c r="F438" s="103">
        <f>(+IFERROR(VLOOKUP($A438,'[152]BG (2)'!$B$9:$J$570,4,FALSE),0))*1</f>
        <v>0</v>
      </c>
      <c r="G438" s="73">
        <f>(+IFERROR(VLOOKUP($A438,'[152]BG (2)'!$B$9:$J$570,5,FALSE),0))*-1</f>
        <v>0</v>
      </c>
      <c r="H438" s="93">
        <f>(+IFERROR(VLOOKUP($A438,'[152]BG (2)'!$B$9:$J$570,6,FALSE),0))*1</f>
        <v>0</v>
      </c>
      <c r="I438" s="73">
        <f>(+IFERROR(VLOOKUP($A438,'[152]BG (2)'!$B$9:$J$570,7,FALSE),0))*-1</f>
        <v>0</v>
      </c>
      <c r="J438" s="89">
        <f>(+IFERROR(VLOOKUP($A438,'[152]BG (2)'!$B$9:$J$570,8,FALSE),0))*1</f>
        <v>0</v>
      </c>
      <c r="K438" s="73">
        <f>(+IFERROR(VLOOKUP($A438,'[152]BG (2)'!$B$9:$J$570,9,FALSE),0))*-1</f>
        <v>0</v>
      </c>
      <c r="L438" s="75"/>
      <c r="M438" s="101"/>
      <c r="P438" s="90">
        <f t="shared" si="27"/>
        <v>0</v>
      </c>
      <c r="S438" s="90"/>
      <c r="T438" s="128">
        <f t="shared" si="30"/>
        <v>0</v>
      </c>
      <c r="U438" s="95"/>
      <c r="V438" s="72"/>
      <c r="W438" s="75" t="e">
        <f>+A438-#REF!</f>
        <v>#REF!</v>
      </c>
      <c r="X438" s="1270"/>
      <c r="Y438" s="91"/>
      <c r="Z438" s="91"/>
      <c r="AA438" s="91"/>
    </row>
    <row r="439" spans="1:27" ht="14.4" customHeight="1" x14ac:dyDescent="0.3">
      <c r="A439">
        <v>573291</v>
      </c>
      <c r="B439" t="s">
        <v>479</v>
      </c>
      <c r="C439" t="s">
        <v>385</v>
      </c>
      <c r="D439" s="87" t="str">
        <f t="shared" si="29"/>
        <v>57</v>
      </c>
      <c r="E439" s="92"/>
      <c r="F439" s="103">
        <f>(+IFERROR(VLOOKUP($A439,'[152]BG (2)'!$B$9:$J$570,4,FALSE),0))*1</f>
        <v>2814994</v>
      </c>
      <c r="G439" s="73">
        <f>(+IFERROR(VLOOKUP($A439,'[152]BG (2)'!$B$9:$J$570,5,FALSE),0))*-1</f>
        <v>0</v>
      </c>
      <c r="H439" s="93">
        <f>(+IFERROR(VLOOKUP($A439,'[152]BG (2)'!$B$9:$J$570,6,FALSE),0))*1</f>
        <v>204241298</v>
      </c>
      <c r="I439" s="73">
        <f>(+IFERROR(VLOOKUP($A439,'[152]BG (2)'!$B$9:$J$570,7,FALSE),0))*-1</f>
        <v>-204672293</v>
      </c>
      <c r="J439" s="89">
        <f>(+IFERROR(VLOOKUP($A439,'[152]BG (2)'!$B$9:$J$570,8,FALSE),0))*1</f>
        <v>2383999</v>
      </c>
      <c r="K439" s="73">
        <f>(+IFERROR(VLOOKUP($A439,'[152]BG (2)'!$B$9:$J$570,9,FALSE),0))*-1</f>
        <v>0</v>
      </c>
      <c r="L439" s="75"/>
      <c r="M439" s="101"/>
      <c r="P439" s="90">
        <f t="shared" si="27"/>
        <v>2383999</v>
      </c>
      <c r="S439" s="90"/>
      <c r="T439" s="128">
        <f t="shared" si="30"/>
        <v>2383999</v>
      </c>
      <c r="U439" s="95"/>
      <c r="V439" s="72"/>
      <c r="W439" s="75" t="e">
        <f>+A439-#REF!</f>
        <v>#REF!</v>
      </c>
      <c r="X439" s="1270"/>
      <c r="Y439" s="91"/>
      <c r="Z439" s="91"/>
      <c r="AA439" s="91"/>
    </row>
    <row r="440" spans="1:27" ht="14.4" customHeight="1" x14ac:dyDescent="0.3">
      <c r="A440" s="1296">
        <v>573292</v>
      </c>
      <c r="B440" s="1296" t="s">
        <v>2365</v>
      </c>
      <c r="C440" t="s">
        <v>385</v>
      </c>
      <c r="D440" s="87" t="str">
        <f t="shared" si="29"/>
        <v>57</v>
      </c>
      <c r="E440" s="72"/>
      <c r="F440" s="72">
        <f>(+IFERROR(VLOOKUP($A440,'[152]BG (2)'!$B$9:$J$570,4,FALSE),0))*1</f>
        <v>2975050</v>
      </c>
      <c r="G440" s="72">
        <f>(+IFERROR(VLOOKUP($A440,'[152]BG (2)'!$B$9:$J$570,5,FALSE),0))*-1</f>
        <v>0</v>
      </c>
      <c r="H440" s="72">
        <f>(+IFERROR(VLOOKUP($A440,'[152]BG (2)'!$B$9:$J$570,6,FALSE),0))*1</f>
        <v>77474240</v>
      </c>
      <c r="I440" s="72">
        <f>(+IFERROR(VLOOKUP($A440,'[152]BG (2)'!$B$9:$J$570,7,FALSE),0))*-1</f>
        <v>-78156440</v>
      </c>
      <c r="J440" s="72">
        <f>(+IFERROR(VLOOKUP($A440,'[152]BG (2)'!$B$9:$J$570,8,FALSE),0))*1</f>
        <v>2292850</v>
      </c>
      <c r="K440" s="91">
        <f>(+IFERROR(VLOOKUP($A440,'[152]BG (2)'!$B$9:$J$570,9,FALSE),0))*-1</f>
        <v>0</v>
      </c>
      <c r="L440" s="72"/>
      <c r="M440" s="72"/>
      <c r="N440" s="72"/>
      <c r="O440" s="72"/>
      <c r="P440" s="90">
        <f t="shared" si="27"/>
        <v>2292850</v>
      </c>
      <c r="Q440" s="72"/>
      <c r="R440" s="72"/>
      <c r="S440"/>
      <c r="T440"/>
      <c r="U440"/>
      <c r="V440" s="72"/>
      <c r="W440" s="72"/>
      <c r="X440" s="72"/>
      <c r="Y440" s="91"/>
      <c r="Z440" s="91"/>
      <c r="AA440" s="91"/>
    </row>
    <row r="441" spans="1:27" ht="14.4" customHeight="1" x14ac:dyDescent="0.3">
      <c r="A441">
        <v>573293</v>
      </c>
      <c r="B441" t="s">
        <v>480</v>
      </c>
      <c r="C441" t="s">
        <v>385</v>
      </c>
      <c r="D441" s="87" t="str">
        <f t="shared" si="29"/>
        <v>57</v>
      </c>
      <c r="E441" s="92"/>
      <c r="F441" s="103">
        <f>(+IFERROR(VLOOKUP($A441,'[152]BG (2)'!$B$9:$J$570,4,FALSE),0))*1</f>
        <v>0</v>
      </c>
      <c r="G441" s="73">
        <f>(+IFERROR(VLOOKUP($A441,'[152]BG (2)'!$B$9:$J$570,5,FALSE),0))*-1</f>
        <v>0</v>
      </c>
      <c r="H441" s="93">
        <f>(+IFERROR(VLOOKUP($A441,'[152]BG (2)'!$B$9:$J$570,6,FALSE),0))*1</f>
        <v>0</v>
      </c>
      <c r="I441" s="73">
        <f>(+IFERROR(VLOOKUP($A441,'[152]BG (2)'!$B$9:$J$570,7,FALSE),0))*-1</f>
        <v>0</v>
      </c>
      <c r="J441" s="89">
        <f>(+IFERROR(VLOOKUP($A441,'[152]BG (2)'!$B$9:$J$570,8,FALSE),0))*1</f>
        <v>0</v>
      </c>
      <c r="K441" s="73">
        <f>(+IFERROR(VLOOKUP($A441,'[152]BG (2)'!$B$9:$J$570,9,FALSE),0))*-1</f>
        <v>0</v>
      </c>
      <c r="L441" s="75"/>
      <c r="M441" s="101"/>
      <c r="P441" s="90">
        <f t="shared" si="27"/>
        <v>0</v>
      </c>
      <c r="S441" s="90"/>
      <c r="T441" s="128">
        <f>K441+J441</f>
        <v>0</v>
      </c>
      <c r="U441" s="95"/>
      <c r="V441" s="72"/>
      <c r="W441" s="75" t="e">
        <f>+A441-#REF!</f>
        <v>#REF!</v>
      </c>
      <c r="X441" s="1270"/>
      <c r="Y441" s="91"/>
      <c r="Z441" s="91"/>
      <c r="AA441" s="91"/>
    </row>
    <row r="442" spans="1:27" ht="14.4" customHeight="1" x14ac:dyDescent="0.3">
      <c r="A442">
        <v>573295</v>
      </c>
      <c r="B442" t="s">
        <v>481</v>
      </c>
      <c r="C442" t="s">
        <v>385</v>
      </c>
      <c r="D442" s="87" t="str">
        <f t="shared" si="29"/>
        <v>57</v>
      </c>
      <c r="E442" s="92"/>
      <c r="F442" s="103">
        <f>(+IFERROR(VLOOKUP($A442,'[152]BG (2)'!$B$9:$J$570,4,FALSE),0))*1</f>
        <v>8545882</v>
      </c>
      <c r="G442" s="73">
        <f>(+IFERROR(VLOOKUP($A442,'[152]BG (2)'!$B$9:$J$570,5,FALSE),0))*-1</f>
        <v>0</v>
      </c>
      <c r="H442" s="93">
        <f>(+IFERROR(VLOOKUP($A442,'[152]BG (2)'!$B$9:$J$570,6,FALSE),0))*1</f>
        <v>298082321</v>
      </c>
      <c r="I442" s="73">
        <f>(+IFERROR(VLOOKUP($A442,'[152]BG (2)'!$B$9:$J$570,7,FALSE),0))*-1</f>
        <v>-304710975</v>
      </c>
      <c r="J442" s="89">
        <f>(+IFERROR(VLOOKUP($A442,'[152]BG (2)'!$B$9:$J$570,8,FALSE),0))*1</f>
        <v>1917228</v>
      </c>
      <c r="K442" s="73">
        <f>(+IFERROR(VLOOKUP($A442,'[152]BG (2)'!$B$9:$J$570,9,FALSE),0))*-1</f>
        <v>0</v>
      </c>
      <c r="L442" s="75"/>
      <c r="M442" s="101"/>
      <c r="P442" s="90">
        <f t="shared" si="27"/>
        <v>1917228</v>
      </c>
      <c r="S442" s="90"/>
      <c r="T442" s="128">
        <f>K442+J442</f>
        <v>1917228</v>
      </c>
      <c r="U442" s="95"/>
      <c r="V442" s="72"/>
      <c r="W442" s="75" t="e">
        <f>+A442-#REF!</f>
        <v>#REF!</v>
      </c>
      <c r="X442" s="1270"/>
      <c r="Y442" s="91"/>
      <c r="Z442" s="91"/>
      <c r="AA442" s="91"/>
    </row>
    <row r="443" spans="1:27" ht="14.4" customHeight="1" x14ac:dyDescent="0.3">
      <c r="A443">
        <v>573296</v>
      </c>
      <c r="B443" t="s">
        <v>482</v>
      </c>
      <c r="C443" t="s">
        <v>385</v>
      </c>
      <c r="D443" s="87" t="str">
        <f t="shared" si="29"/>
        <v>57</v>
      </c>
      <c r="E443" s="92"/>
      <c r="F443" s="103">
        <f>(+IFERROR(VLOOKUP($A443,'[152]BG (2)'!$B$9:$J$570,4,FALSE),0))*1</f>
        <v>0</v>
      </c>
      <c r="G443" s="73">
        <f>(+IFERROR(VLOOKUP($A443,'[152]BG (2)'!$B$9:$J$570,5,FALSE),0))*-1</f>
        <v>0</v>
      </c>
      <c r="H443" s="93">
        <f>(+IFERROR(VLOOKUP($A443,'[152]BG (2)'!$B$9:$J$570,6,FALSE),0))*1</f>
        <v>0</v>
      </c>
      <c r="I443" s="73">
        <f>(+IFERROR(VLOOKUP($A443,'[152]BG (2)'!$B$9:$J$570,7,FALSE),0))*-1</f>
        <v>0</v>
      </c>
      <c r="J443" s="89">
        <f>(+IFERROR(VLOOKUP($A443,'[152]BG (2)'!$B$9:$J$570,8,FALSE),0))*1</f>
        <v>0</v>
      </c>
      <c r="K443" s="73">
        <f>(+IFERROR(VLOOKUP($A443,'[152]BG (2)'!$B$9:$J$570,9,FALSE),0))*-1</f>
        <v>0</v>
      </c>
      <c r="L443" s="75"/>
      <c r="M443" s="101"/>
      <c r="P443" s="90">
        <f t="shared" si="27"/>
        <v>0</v>
      </c>
      <c r="S443" s="90"/>
      <c r="T443" s="128">
        <f>K443+J443</f>
        <v>0</v>
      </c>
      <c r="U443" s="95"/>
      <c r="V443" s="72"/>
      <c r="W443" s="75" t="e">
        <f>+A443-#REF!</f>
        <v>#REF!</v>
      </c>
      <c r="X443" s="1270"/>
      <c r="Y443" s="91"/>
      <c r="Z443" s="91"/>
      <c r="AA443" s="91"/>
    </row>
    <row r="444" spans="1:27" ht="14.4" customHeight="1" x14ac:dyDescent="0.3">
      <c r="A444" s="110">
        <v>573297</v>
      </c>
      <c r="B444" t="s">
        <v>483</v>
      </c>
      <c r="C444" t="s">
        <v>385</v>
      </c>
      <c r="D444" s="87" t="str">
        <f t="shared" si="29"/>
        <v>57</v>
      </c>
      <c r="E444" s="92"/>
      <c r="F444" s="103">
        <f>(+IFERROR(VLOOKUP($A444,'[152]BG (2)'!$B$9:$J$570,4,FALSE),0))*1</f>
        <v>1606689</v>
      </c>
      <c r="G444" s="73">
        <f>(+IFERROR(VLOOKUP($A444,'[152]BG (2)'!$B$9:$J$570,5,FALSE),0))*-1</f>
        <v>0</v>
      </c>
      <c r="H444" s="93">
        <f>(+IFERROR(VLOOKUP($A444,'[152]BG (2)'!$B$9:$J$570,6,FALSE),0))*1</f>
        <v>156311753</v>
      </c>
      <c r="I444" s="73">
        <f>(+IFERROR(VLOOKUP($A444,'[152]BG (2)'!$B$9:$J$570,7,FALSE),0))*-1</f>
        <v>-156392792</v>
      </c>
      <c r="J444" s="89">
        <f>(+IFERROR(VLOOKUP($A444,'[152]BG (2)'!$B$9:$J$570,8,FALSE),0))*1</f>
        <v>1525650</v>
      </c>
      <c r="K444" s="73">
        <f>(+IFERROR(VLOOKUP($A444,'[152]BG (2)'!$B$9:$J$570,9,FALSE),0))*-1</f>
        <v>0</v>
      </c>
      <c r="L444" s="75"/>
      <c r="M444" s="101"/>
      <c r="P444" s="90">
        <f t="shared" si="27"/>
        <v>1525650</v>
      </c>
      <c r="S444" s="90"/>
      <c r="T444" s="128">
        <f>K444+J444</f>
        <v>1525650</v>
      </c>
      <c r="U444" s="95"/>
      <c r="V444" s="72"/>
      <c r="W444" s="75" t="e">
        <f>+A444-#REF!</f>
        <v>#REF!</v>
      </c>
      <c r="X444" s="1270"/>
      <c r="Y444" s="91"/>
      <c r="Z444" s="91"/>
      <c r="AA444" s="91"/>
    </row>
    <row r="445" spans="1:27" ht="14.4" customHeight="1" x14ac:dyDescent="0.3">
      <c r="A445" s="110">
        <v>573298</v>
      </c>
      <c r="B445"/>
      <c r="C445" t="s">
        <v>385</v>
      </c>
      <c r="D445" s="87" t="str">
        <f t="shared" si="29"/>
        <v>57</v>
      </c>
      <c r="E445" s="92"/>
      <c r="F445" s="103">
        <f>(+IFERROR(VLOOKUP($A445,'[152]BG (2)'!$B$9:$J$570,4,FALSE),0))*1</f>
        <v>632650</v>
      </c>
      <c r="G445" s="73">
        <f>(+IFERROR(VLOOKUP($A445,'[152]BG (2)'!$B$9:$J$570,5,FALSE),0))*-1</f>
        <v>0</v>
      </c>
      <c r="H445" s="93">
        <f>(+IFERROR(VLOOKUP($A445,'[152]BG (2)'!$B$9:$J$570,6,FALSE),0))*1</f>
        <v>74967278</v>
      </c>
      <c r="I445" s="73">
        <f>(+IFERROR(VLOOKUP($A445,'[152]BG (2)'!$B$9:$J$570,7,FALSE),0))*-1</f>
        <v>-72574503</v>
      </c>
      <c r="J445" s="89">
        <f>(+IFERROR(VLOOKUP($A445,'[152]BG (2)'!$B$9:$J$570,8,FALSE),0))*1</f>
        <v>3025425</v>
      </c>
      <c r="K445" s="73">
        <f>(+IFERROR(VLOOKUP($A445,'[152]BG (2)'!$B$9:$J$570,9,FALSE),0))*-1</f>
        <v>0</v>
      </c>
      <c r="L445" s="75"/>
      <c r="M445" s="101"/>
      <c r="P445" s="90">
        <f t="shared" si="27"/>
        <v>3025425</v>
      </c>
      <c r="S445" s="90"/>
      <c r="T445" s="128"/>
      <c r="U445" s="95"/>
      <c r="V445" s="72"/>
      <c r="W445" s="75"/>
      <c r="X445" s="1270"/>
      <c r="Y445" s="91"/>
      <c r="Z445" s="91"/>
      <c r="AA445" s="91"/>
    </row>
    <row r="446" spans="1:27" ht="14.4" customHeight="1" x14ac:dyDescent="0.3">
      <c r="A446">
        <v>585000</v>
      </c>
      <c r="B446" t="s">
        <v>484</v>
      </c>
      <c r="C446" t="s">
        <v>385</v>
      </c>
      <c r="D446" s="87" t="str">
        <f t="shared" si="29"/>
        <v>58</v>
      </c>
      <c r="E446" s="92"/>
      <c r="F446" s="93">
        <f>(+IFERROR(VLOOKUP($A446,'[152]BG (2)'!$B$9:$J$570,4,FALSE),0))*1</f>
        <v>0</v>
      </c>
      <c r="G446" s="73">
        <f>(+IFERROR(VLOOKUP($A446,'[152]BG (2)'!$B$9:$J$570,5,FALSE),0))*-1</f>
        <v>0</v>
      </c>
      <c r="H446" s="93">
        <f>(+IFERROR(VLOOKUP($A446,'[152]BG (2)'!$B$9:$J$570,6,FALSE),0))*1</f>
        <v>59826185779</v>
      </c>
      <c r="I446" s="73">
        <f>(+IFERROR(VLOOKUP($A446,'[152]BG (2)'!$B$9:$J$570,7,FALSE),0))*-1</f>
        <v>-59826185779</v>
      </c>
      <c r="J446" s="114">
        <f>(+IFERROR(VLOOKUP($A446,'[152]BG (2)'!$B$9:$J$570,8,FALSE),0))*1</f>
        <v>0</v>
      </c>
      <c r="K446" s="73">
        <f>(+IFERROR(VLOOKUP($A446,'[152]BG (2)'!$B$9:$J$570,9,FALSE),0))*-1</f>
        <v>0</v>
      </c>
      <c r="M446" s="101"/>
      <c r="P446" s="90">
        <f t="shared" si="27"/>
        <v>0</v>
      </c>
      <c r="S446" s="90"/>
      <c r="T446" s="128">
        <f>K446+J446</f>
        <v>0</v>
      </c>
      <c r="U446" s="95"/>
      <c r="V446" s="72"/>
      <c r="W446" s="75" t="e">
        <f>+A446-#REF!</f>
        <v>#REF!</v>
      </c>
      <c r="X446" s="1270"/>
      <c r="Y446" s="91"/>
      <c r="Z446" s="91"/>
      <c r="AA446" s="91"/>
    </row>
    <row r="447" spans="1:27" ht="14.4" customHeight="1" x14ac:dyDescent="0.3">
      <c r="A447">
        <v>599000</v>
      </c>
      <c r="B447" t="s">
        <v>485</v>
      </c>
      <c r="C447" t="s">
        <v>486</v>
      </c>
      <c r="D447" s="87" t="str">
        <f t="shared" si="29"/>
        <v>59</v>
      </c>
      <c r="E447" s="92"/>
      <c r="F447" s="93">
        <f>(+IFERROR(VLOOKUP($A447,'[152]BG (2)'!$B$9:$J$570,4,FALSE),0))*1</f>
        <v>0</v>
      </c>
      <c r="G447" s="73">
        <f>(+IFERROR(VLOOKUP($A447,'[152]BG (2)'!$B$9:$J$570,5,FALSE),0))*-1</f>
        <v>-414825105</v>
      </c>
      <c r="H447" s="93">
        <f>(+IFERROR(VLOOKUP($A447,'[152]BG (2)'!$B$9:$J$570,6,FALSE),0))*1</f>
        <v>501032286</v>
      </c>
      <c r="I447" s="73">
        <f>(+IFERROR(VLOOKUP($A447,'[152]BG (2)'!$B$9:$J$570,7,FALSE),0))*-1</f>
        <v>-216298720</v>
      </c>
      <c r="J447" s="114">
        <f>(+IFERROR(VLOOKUP($A447,'[152]BG (2)'!$B$9:$J$570,8,FALSE),0))*1</f>
        <v>0</v>
      </c>
      <c r="K447" s="73">
        <f>(+IFERROR(VLOOKUP($A447,'[152]BG (2)'!$B$9:$J$570,9,FALSE),0))*-1</f>
        <v>-130091539</v>
      </c>
      <c r="M447" s="101"/>
      <c r="P447" s="90">
        <f t="shared" si="27"/>
        <v>-130091539</v>
      </c>
      <c r="S447" s="90"/>
      <c r="T447" s="127">
        <f>K447+J447</f>
        <v>-130091539</v>
      </c>
      <c r="U447" s="95"/>
      <c r="V447" s="72"/>
      <c r="W447" s="75" t="e">
        <f>+A447-#REF!</f>
        <v>#REF!</v>
      </c>
      <c r="X447" s="1270"/>
      <c r="Y447" s="91"/>
      <c r="Z447" s="91"/>
      <c r="AA447" s="91"/>
    </row>
    <row r="448" spans="1:27" ht="14.4" customHeight="1" x14ac:dyDescent="0.3">
      <c r="A448" s="1296">
        <v>601110</v>
      </c>
      <c r="B448" s="1296" t="s">
        <v>2277</v>
      </c>
      <c r="C448" t="s">
        <v>488</v>
      </c>
      <c r="D448" s="87" t="str">
        <f t="shared" si="29"/>
        <v>60</v>
      </c>
      <c r="E448" s="92"/>
      <c r="F448" s="93">
        <f>(+IFERROR(VLOOKUP($A448,'[152]BG (2)'!$B$9:$J$570,4,FALSE),0))*1</f>
        <v>0</v>
      </c>
      <c r="G448" s="73">
        <f>(+IFERROR(VLOOKUP($A448,'[152]BG (2)'!$B$9:$J$570,5,FALSE),0))*-1</f>
        <v>0</v>
      </c>
      <c r="H448" s="93">
        <f>(+IFERROR(VLOOKUP($A448,'[152]BG (2)'!$B$9:$J$570,6,FALSE),0))*1</f>
        <v>18207000</v>
      </c>
      <c r="I448" s="73">
        <f>(+IFERROR(VLOOKUP($A448,'[152]BG (2)'!$B$9:$J$570,7,FALSE),0))*-1</f>
        <v>-34250</v>
      </c>
      <c r="J448" s="1275">
        <f>(+IFERROR(VLOOKUP($A448,'[152]BG (2)'!$B$9:$J$570,8,FALSE),0))*1</f>
        <v>18172750</v>
      </c>
      <c r="K448" s="1303">
        <f>(+IFERROR(VLOOKUP($A448,'[152]BG (2)'!$B$9:$J$570,9,FALSE),0))*-1</f>
        <v>0</v>
      </c>
      <c r="M448" s="101"/>
      <c r="P448" s="90">
        <f t="shared" si="27"/>
        <v>18172750</v>
      </c>
      <c r="S448" s="90"/>
      <c r="T448" s="127"/>
      <c r="U448" s="95"/>
      <c r="V448" s="72"/>
      <c r="W448" s="75"/>
      <c r="X448" s="1270"/>
      <c r="Y448" s="91"/>
      <c r="Z448" s="91"/>
      <c r="AA448" s="91"/>
    </row>
    <row r="449" spans="1:27" ht="14.4" customHeight="1" x14ac:dyDescent="0.3">
      <c r="A449">
        <v>601120</v>
      </c>
      <c r="B449" t="s">
        <v>487</v>
      </c>
      <c r="C449" t="s">
        <v>488</v>
      </c>
      <c r="D449" s="87" t="str">
        <f t="shared" si="29"/>
        <v>60</v>
      </c>
      <c r="E449" s="92"/>
      <c r="F449" s="93">
        <f>(+IFERROR(VLOOKUP($A449,'[152]BG (2)'!$B$9:$J$570,4,FALSE),0))*1</f>
        <v>0</v>
      </c>
      <c r="G449" s="73">
        <f>(+IFERROR(VLOOKUP($A449,'[152]BG (2)'!$B$9:$J$570,5,FALSE),0))*-1</f>
        <v>0</v>
      </c>
      <c r="H449" s="93">
        <f>(+IFERROR(VLOOKUP($A449,'[152]BG (2)'!$B$9:$J$570,6,FALSE),0))*1</f>
        <v>13888229</v>
      </c>
      <c r="I449" s="73">
        <f>(+IFERROR(VLOOKUP($A449,'[152]BG (2)'!$B$9:$J$570,7,FALSE),0))*-1</f>
        <v>0</v>
      </c>
      <c r="J449" s="1275">
        <f>(+IFERROR(VLOOKUP($A449,'[152]BG (2)'!$B$9:$J$570,8,FALSE),0))*1</f>
        <v>13888229</v>
      </c>
      <c r="K449" s="1303">
        <f>(+IFERROR(VLOOKUP($A449,'[152]BG (2)'!$B$9:$J$570,9,FALSE),0))*-1</f>
        <v>0</v>
      </c>
      <c r="L449" s="96"/>
      <c r="M449" s="101"/>
      <c r="P449" s="90">
        <f t="shared" si="27"/>
        <v>13888229</v>
      </c>
      <c r="R449" s="130">
        <f t="shared" ref="R449:R518" si="31">J449+K449</f>
        <v>13888229</v>
      </c>
      <c r="S449" s="90"/>
      <c r="T449" s="131">
        <f>K449+J449</f>
        <v>13888229</v>
      </c>
      <c r="U449" s="95"/>
      <c r="V449" s="72"/>
      <c r="W449" s="75" t="e">
        <f>+A449-#REF!</f>
        <v>#REF!</v>
      </c>
      <c r="X449" s="1270"/>
      <c r="Y449" s="91"/>
      <c r="Z449" s="91"/>
      <c r="AA449" s="91"/>
    </row>
    <row r="450" spans="1:27" ht="14.4" customHeight="1" x14ac:dyDescent="0.3">
      <c r="A450">
        <v>601210</v>
      </c>
      <c r="B450" t="s">
        <v>489</v>
      </c>
      <c r="C450" t="s">
        <v>488</v>
      </c>
      <c r="D450" s="87" t="str">
        <f t="shared" si="29"/>
        <v>60</v>
      </c>
      <c r="E450" s="92"/>
      <c r="F450" s="93">
        <f>(+IFERROR(VLOOKUP($A450,'[152]BG (2)'!$B$9:$J$570,4,FALSE),0))*1</f>
        <v>0</v>
      </c>
      <c r="G450" s="73">
        <f>(+IFERROR(VLOOKUP($A450,'[152]BG (2)'!$B$9:$J$570,5,FALSE),0))*-1</f>
        <v>0</v>
      </c>
      <c r="H450" s="93">
        <f>(+IFERROR(VLOOKUP($A450,'[152]BG (2)'!$B$9:$J$570,6,FALSE),0))*1</f>
        <v>732500653</v>
      </c>
      <c r="I450" s="73">
        <f>(+IFERROR(VLOOKUP($A450,'[152]BG (2)'!$B$9:$J$570,7,FALSE),0))*-1</f>
        <v>-37838199</v>
      </c>
      <c r="J450" s="1275">
        <f>(+IFERROR(VLOOKUP($A450,'[152]BG (2)'!$B$9:$J$570,8,FALSE),0))*1</f>
        <v>694662454</v>
      </c>
      <c r="K450" s="1303">
        <f>(+IFERROR(VLOOKUP($A450,'[152]BG (2)'!$B$9:$J$570,9,FALSE),0))*-1</f>
        <v>0</v>
      </c>
      <c r="L450" s="96"/>
      <c r="M450" s="101"/>
      <c r="P450" s="90">
        <f t="shared" si="27"/>
        <v>694662454</v>
      </c>
      <c r="R450" s="130">
        <f t="shared" si="31"/>
        <v>694662454</v>
      </c>
      <c r="S450" s="90"/>
      <c r="T450" s="131">
        <f t="shared" ref="T450:T519" si="32">K450+J450</f>
        <v>694662454</v>
      </c>
      <c r="U450" s="95"/>
      <c r="V450" s="72"/>
      <c r="W450" s="75" t="e">
        <f>+A450-#REF!</f>
        <v>#REF!</v>
      </c>
      <c r="X450" s="1270"/>
      <c r="Y450" s="91"/>
      <c r="Z450" s="91"/>
      <c r="AA450" s="91"/>
    </row>
    <row r="451" spans="1:27" ht="14.4" customHeight="1" x14ac:dyDescent="0.3">
      <c r="A451">
        <v>601220</v>
      </c>
      <c r="B451" t="s">
        <v>490</v>
      </c>
      <c r="C451" t="s">
        <v>488</v>
      </c>
      <c r="D451" s="87" t="str">
        <f t="shared" si="29"/>
        <v>60</v>
      </c>
      <c r="E451" s="92"/>
      <c r="F451" s="93">
        <f>(+IFERROR(VLOOKUP($A451,'[152]BG (2)'!$B$9:$J$570,4,FALSE),0))*1</f>
        <v>0</v>
      </c>
      <c r="G451" s="73">
        <f>(+IFERROR(VLOOKUP($A451,'[152]BG (2)'!$B$9:$J$570,5,FALSE),0))*-1</f>
        <v>0</v>
      </c>
      <c r="H451" s="93">
        <f>(+IFERROR(VLOOKUP($A451,'[152]BG (2)'!$B$9:$J$570,6,FALSE),0))*1</f>
        <v>430256198</v>
      </c>
      <c r="I451" s="73">
        <f>(+IFERROR(VLOOKUP($A451,'[152]BG (2)'!$B$9:$J$570,7,FALSE),0))*-1</f>
        <v>-37969419</v>
      </c>
      <c r="J451" s="1275">
        <f>(+IFERROR(VLOOKUP($A451,'[152]BG (2)'!$B$9:$J$570,8,FALSE),0))*1</f>
        <v>392286779</v>
      </c>
      <c r="K451" s="1303">
        <f>(+IFERROR(VLOOKUP($A451,'[152]BG (2)'!$B$9:$J$570,9,FALSE),0))*-1</f>
        <v>0</v>
      </c>
      <c r="L451" s="96"/>
      <c r="M451" s="101"/>
      <c r="P451" s="90">
        <f t="shared" si="27"/>
        <v>392286779</v>
      </c>
      <c r="R451" s="130">
        <f t="shared" si="31"/>
        <v>392286779</v>
      </c>
      <c r="S451" s="90"/>
      <c r="T451" s="131">
        <f t="shared" si="32"/>
        <v>392286779</v>
      </c>
      <c r="U451" s="95"/>
      <c r="V451" s="72"/>
      <c r="W451" s="75" t="e">
        <f>+A451-#REF!</f>
        <v>#REF!</v>
      </c>
      <c r="X451" s="1270"/>
      <c r="Y451" s="91"/>
      <c r="Z451" s="91"/>
      <c r="AA451" s="91"/>
    </row>
    <row r="452" spans="1:27" x14ac:dyDescent="0.3">
      <c r="A452">
        <v>601230</v>
      </c>
      <c r="B452" t="s">
        <v>491</v>
      </c>
      <c r="C452" t="s">
        <v>492</v>
      </c>
      <c r="D452" s="87" t="str">
        <f t="shared" si="29"/>
        <v>60</v>
      </c>
      <c r="E452" s="92"/>
      <c r="F452" s="93">
        <f>(+IFERROR(VLOOKUP($A452,'[152]BG (2)'!$B$9:$J$570,4,FALSE),0))*1</f>
        <v>0</v>
      </c>
      <c r="G452" s="73">
        <f>(+IFERROR(VLOOKUP($A452,'[152]BG (2)'!$B$9:$J$570,5,FALSE),0))*-1</f>
        <v>0</v>
      </c>
      <c r="H452" s="93">
        <f>(+IFERROR(VLOOKUP($A452,'[152]BG (2)'!$B$9:$J$570,6,FALSE),0))*1</f>
        <v>764300430</v>
      </c>
      <c r="I452" s="73">
        <f>(+IFERROR(VLOOKUP($A452,'[152]BG (2)'!$B$9:$J$570,7,FALSE),0))*-1</f>
        <v>-4805848</v>
      </c>
      <c r="J452" s="1729">
        <f>(+IFERROR(VLOOKUP($A452,'[152]BG (2)'!$B$9:$J$570,8,FALSE),0))*1</f>
        <v>759494582</v>
      </c>
      <c r="K452" s="73">
        <f>(+IFERROR(VLOOKUP($A452,'[152]BG (2)'!$B$9:$J$570,9,FALSE),0))*-1</f>
        <v>0</v>
      </c>
      <c r="L452" s="96"/>
      <c r="M452" s="101"/>
      <c r="P452" s="90">
        <f t="shared" si="27"/>
        <v>759494582</v>
      </c>
      <c r="R452" s="130">
        <f t="shared" si="31"/>
        <v>759494582</v>
      </c>
      <c r="S452" s="90"/>
      <c r="T452" s="131">
        <f t="shared" si="32"/>
        <v>759494582</v>
      </c>
      <c r="U452" s="95"/>
      <c r="V452" s="72"/>
      <c r="W452" s="75" t="e">
        <f>+A452-#REF!</f>
        <v>#REF!</v>
      </c>
      <c r="X452" s="1270"/>
      <c r="Y452" s="91"/>
      <c r="Z452" s="91"/>
      <c r="AA452" s="91"/>
    </row>
    <row r="453" spans="1:27" x14ac:dyDescent="0.3">
      <c r="A453">
        <v>601240</v>
      </c>
      <c r="B453" t="s">
        <v>493</v>
      </c>
      <c r="C453" t="s">
        <v>492</v>
      </c>
      <c r="D453" s="87" t="str">
        <f t="shared" si="29"/>
        <v>60</v>
      </c>
      <c r="E453" s="92"/>
      <c r="F453" s="93">
        <f>(+IFERROR(VLOOKUP($A453,'[152]BG (2)'!$B$9:$J$570,4,FALSE),0))*1</f>
        <v>0</v>
      </c>
      <c r="G453" s="73">
        <f>(+IFERROR(VLOOKUP($A453,'[152]BG (2)'!$B$9:$J$570,5,FALSE),0))*-1</f>
        <v>0</v>
      </c>
      <c r="H453" s="93">
        <f>(+IFERROR(VLOOKUP($A453,'[152]BG (2)'!$B$9:$J$570,6,FALSE),0))*1</f>
        <v>0</v>
      </c>
      <c r="I453" s="73">
        <f>(+IFERROR(VLOOKUP($A453,'[152]BG (2)'!$B$9:$J$570,7,FALSE),0))*-1</f>
        <v>-9509</v>
      </c>
      <c r="J453" s="109">
        <f>(+IFERROR(VLOOKUP($A453,'[152]BG (2)'!$B$9:$J$570,8,FALSE),0))*1</f>
        <v>0</v>
      </c>
      <c r="K453" s="73">
        <f>(+IFERROR(VLOOKUP($A453,'[152]BG (2)'!$B$9:$J$570,9,FALSE),0))*-1</f>
        <v>-9509</v>
      </c>
      <c r="L453" s="96"/>
      <c r="M453" s="101"/>
      <c r="P453" s="90">
        <f t="shared" si="27"/>
        <v>-9509</v>
      </c>
      <c r="R453" s="130">
        <f t="shared" si="31"/>
        <v>-9509</v>
      </c>
      <c r="S453" s="90"/>
      <c r="T453" s="131">
        <f t="shared" si="32"/>
        <v>-9509</v>
      </c>
      <c r="U453" s="95"/>
      <c r="V453" s="72"/>
      <c r="W453" s="75" t="e">
        <f>+A453-#REF!</f>
        <v>#REF!</v>
      </c>
      <c r="X453" s="1270"/>
      <c r="Y453" s="91"/>
      <c r="Z453" s="91"/>
      <c r="AA453" s="91"/>
    </row>
    <row r="454" spans="1:27" ht="14.4" customHeight="1" x14ac:dyDescent="0.3">
      <c r="A454">
        <v>603110</v>
      </c>
      <c r="B454" t="s">
        <v>494</v>
      </c>
      <c r="C454" t="s">
        <v>488</v>
      </c>
      <c r="D454" s="87" t="str">
        <f t="shared" si="29"/>
        <v>60</v>
      </c>
      <c r="E454" s="92"/>
      <c r="F454" s="93">
        <f>(+IFERROR(VLOOKUP($A454,'[152]BG (2)'!$B$9:$J$570,4,FALSE),0))*1</f>
        <v>0</v>
      </c>
      <c r="G454" s="73">
        <f>(+IFERROR(VLOOKUP($A454,'[152]BG (2)'!$B$9:$J$570,5,FALSE),0))*-1</f>
        <v>0</v>
      </c>
      <c r="H454" s="93">
        <f>(+IFERROR(VLOOKUP($A454,'[152]BG (2)'!$B$9:$J$570,6,FALSE),0))*1</f>
        <v>0</v>
      </c>
      <c r="I454" s="73">
        <f>(+IFERROR(VLOOKUP($A454,'[152]BG (2)'!$B$9:$J$570,7,FALSE),0))*-1</f>
        <v>371325442</v>
      </c>
      <c r="J454" s="1275">
        <f>(+IFERROR(VLOOKUP($A454,'[152]BG (2)'!$B$9:$J$570,8,FALSE),0))*1</f>
        <v>371325442</v>
      </c>
      <c r="K454" s="1303">
        <f>(+IFERROR(VLOOKUP($A454,'[152]BG (2)'!$B$9:$J$570,9,FALSE),0))*-1</f>
        <v>0</v>
      </c>
      <c r="L454" s="96"/>
      <c r="M454" s="101"/>
      <c r="P454" s="90">
        <f t="shared" ref="P454:P517" si="33">J454+K454</f>
        <v>371325442</v>
      </c>
      <c r="R454" s="130">
        <f t="shared" si="31"/>
        <v>371325442</v>
      </c>
      <c r="S454" s="90"/>
      <c r="T454" s="131">
        <f t="shared" si="32"/>
        <v>371325442</v>
      </c>
      <c r="U454" s="95"/>
      <c r="V454" s="72"/>
      <c r="W454" s="75" t="e">
        <f>+A454-#REF!</f>
        <v>#REF!</v>
      </c>
      <c r="X454" s="1270"/>
      <c r="Y454" s="91"/>
      <c r="Z454" s="91"/>
      <c r="AA454" s="91"/>
    </row>
    <row r="455" spans="1:27" ht="14.4" customHeight="1" x14ac:dyDescent="0.3">
      <c r="A455">
        <v>603120</v>
      </c>
      <c r="B455" t="s">
        <v>495</v>
      </c>
      <c r="C455" t="s">
        <v>488</v>
      </c>
      <c r="D455" s="87" t="str">
        <f t="shared" si="29"/>
        <v>60</v>
      </c>
      <c r="E455" s="92"/>
      <c r="F455" s="93">
        <f>(+IFERROR(VLOOKUP($A455,'[152]BG (2)'!$B$9:$J$570,4,FALSE),0))*1</f>
        <v>0</v>
      </c>
      <c r="G455" s="73">
        <f>(+IFERROR(VLOOKUP($A455,'[152]BG (2)'!$B$9:$J$570,5,FALSE),0))*-1</f>
        <v>0</v>
      </c>
      <c r="H455" s="93">
        <f>(+IFERROR(VLOOKUP($A455,'[152]BG (2)'!$B$9:$J$570,6,FALSE),0))*1</f>
        <v>-27551121</v>
      </c>
      <c r="I455" s="73">
        <f>(+IFERROR(VLOOKUP($A455,'[152]BG (2)'!$B$9:$J$570,7,FALSE),0))*-1</f>
        <v>56368324</v>
      </c>
      <c r="J455" s="1275">
        <f>(+IFERROR(VLOOKUP($A455,'[152]BG (2)'!$B$9:$J$570,8,FALSE),0))*1</f>
        <v>28817203</v>
      </c>
      <c r="K455" s="1303">
        <f>(+IFERROR(VLOOKUP($A455,'[152]BG (2)'!$B$9:$J$570,9,FALSE),0))*-1</f>
        <v>0</v>
      </c>
      <c r="L455" s="96"/>
      <c r="M455" s="101"/>
      <c r="P455" s="90">
        <f t="shared" si="33"/>
        <v>28817203</v>
      </c>
      <c r="R455" s="130">
        <f t="shared" si="31"/>
        <v>28817203</v>
      </c>
      <c r="S455" s="90"/>
      <c r="T455" s="131">
        <f t="shared" si="32"/>
        <v>28817203</v>
      </c>
      <c r="U455" s="95"/>
      <c r="V455" s="72"/>
      <c r="W455" s="75" t="e">
        <f>+A455-#REF!</f>
        <v>#REF!</v>
      </c>
      <c r="X455" s="1270"/>
      <c r="Y455" s="91"/>
      <c r="Z455" s="91"/>
      <c r="AA455" s="91"/>
    </row>
    <row r="456" spans="1:27" x14ac:dyDescent="0.3">
      <c r="A456">
        <v>603130</v>
      </c>
      <c r="B456" t="s">
        <v>496</v>
      </c>
      <c r="C456" t="s">
        <v>492</v>
      </c>
      <c r="D456" s="87" t="str">
        <f t="shared" si="29"/>
        <v>60</v>
      </c>
      <c r="E456" s="92"/>
      <c r="F456" s="93">
        <f>(+IFERROR(VLOOKUP($A456,'[152]BG (2)'!$B$9:$J$570,4,FALSE),0))*1</f>
        <v>0</v>
      </c>
      <c r="G456" s="73">
        <f>(+IFERROR(VLOOKUP($A456,'[152]BG (2)'!$B$9:$J$570,5,FALSE),0))*-1</f>
        <v>0</v>
      </c>
      <c r="H456" s="93">
        <f>(+IFERROR(VLOOKUP($A456,'[152]BG (2)'!$B$9:$J$570,6,FALSE),0))*1</f>
        <v>0</v>
      </c>
      <c r="I456" s="73">
        <f>(+IFERROR(VLOOKUP($A456,'[152]BG (2)'!$B$9:$J$570,7,FALSE),0))*-1</f>
        <v>-233654546</v>
      </c>
      <c r="J456" s="1729">
        <f>(+IFERROR(VLOOKUP($A456,'[152]BG (2)'!$B$9:$J$570,8,FALSE),0))*1</f>
        <v>0</v>
      </c>
      <c r="K456" s="1428">
        <f>(+IFERROR(VLOOKUP($A456,'[152]BG (2)'!$B$9:$J$570,9,FALSE),0))*-1</f>
        <v>-233654546</v>
      </c>
      <c r="L456" s="96"/>
      <c r="M456" s="101"/>
      <c r="P456" s="90">
        <f t="shared" si="33"/>
        <v>-233654546</v>
      </c>
      <c r="R456" s="130">
        <f t="shared" si="31"/>
        <v>-233654546</v>
      </c>
      <c r="S456" s="90"/>
      <c r="T456" s="131">
        <f t="shared" si="32"/>
        <v>-233654546</v>
      </c>
      <c r="U456" s="95"/>
      <c r="V456" s="72"/>
      <c r="W456" s="75" t="e">
        <f>+A456-#REF!</f>
        <v>#REF!</v>
      </c>
      <c r="X456" s="1270"/>
      <c r="Y456" s="91"/>
      <c r="Z456" s="91"/>
      <c r="AA456" s="91"/>
    </row>
    <row r="457" spans="1:27" x14ac:dyDescent="0.3">
      <c r="A457">
        <v>603131</v>
      </c>
      <c r="B457" t="s">
        <v>497</v>
      </c>
      <c r="C457" t="s">
        <v>492</v>
      </c>
      <c r="D457" s="87" t="str">
        <f t="shared" si="29"/>
        <v>60</v>
      </c>
      <c r="E457" s="92"/>
      <c r="F457" s="93">
        <f>(+IFERROR(VLOOKUP($A457,'[152]BG (2)'!$B$9:$J$570,4,FALSE),0))*1</f>
        <v>0</v>
      </c>
      <c r="G457" s="73">
        <f>(+IFERROR(VLOOKUP($A457,'[152]BG (2)'!$B$9:$J$570,5,FALSE),0))*-1</f>
        <v>0</v>
      </c>
      <c r="H457" s="93">
        <f>(+IFERROR(VLOOKUP($A457,'[152]BG (2)'!$B$9:$J$570,6,FALSE),0))*1</f>
        <v>0</v>
      </c>
      <c r="I457" s="73">
        <f>(+IFERROR(VLOOKUP($A457,'[152]BG (2)'!$B$9:$J$570,7,FALSE),0))*-1</f>
        <v>0</v>
      </c>
      <c r="J457" s="109">
        <f>(+IFERROR(VLOOKUP($A457,'[152]BG (2)'!$B$9:$J$570,8,FALSE),0))*1</f>
        <v>0</v>
      </c>
      <c r="K457" s="1428">
        <f>(+IFERROR(VLOOKUP($A457,'[152]BG (2)'!$B$9:$J$570,9,FALSE),0))*-1</f>
        <v>0</v>
      </c>
      <c r="L457" s="96"/>
      <c r="M457" s="101"/>
      <c r="P457" s="90">
        <f t="shared" si="33"/>
        <v>0</v>
      </c>
      <c r="R457" s="130">
        <f t="shared" si="31"/>
        <v>0</v>
      </c>
      <c r="S457" s="90"/>
      <c r="T457" s="131">
        <f t="shared" si="32"/>
        <v>0</v>
      </c>
      <c r="U457" s="95"/>
      <c r="V457" s="72"/>
      <c r="W457" s="75" t="e">
        <f>+A457-#REF!</f>
        <v>#REF!</v>
      </c>
      <c r="X457" s="1270"/>
      <c r="Y457" s="91"/>
      <c r="Z457" s="91"/>
      <c r="AA457" s="91"/>
    </row>
    <row r="458" spans="1:27" x14ac:dyDescent="0.3">
      <c r="A458">
        <v>603140</v>
      </c>
      <c r="B458" t="s">
        <v>498</v>
      </c>
      <c r="C458" t="s">
        <v>492</v>
      </c>
      <c r="D458" s="87" t="str">
        <f t="shared" si="29"/>
        <v>60</v>
      </c>
      <c r="E458" s="92"/>
      <c r="F458" s="93">
        <f>(+IFERROR(VLOOKUP($A458,'[152]BG (2)'!$B$9:$J$570,4,FALSE),0))*1</f>
        <v>0</v>
      </c>
      <c r="G458" s="73">
        <f>(+IFERROR(VLOOKUP($A458,'[152]BG (2)'!$B$9:$J$570,5,FALSE),0))*-1</f>
        <v>0</v>
      </c>
      <c r="H458" s="93">
        <f>(+IFERROR(VLOOKUP($A458,'[152]BG (2)'!$B$9:$J$570,6,FALSE),0))*1</f>
        <v>0</v>
      </c>
      <c r="I458" s="73">
        <f>(+IFERROR(VLOOKUP($A458,'[152]BG (2)'!$B$9:$J$570,7,FALSE),0))*-1</f>
        <v>570327</v>
      </c>
      <c r="J458" s="1729">
        <f>(+IFERROR(VLOOKUP($A458,'[152]BG (2)'!$B$9:$J$570,8,FALSE),0))*1</f>
        <v>570327</v>
      </c>
      <c r="K458" s="73">
        <f>(+IFERROR(VLOOKUP($A458,'[152]BG (2)'!$B$9:$J$570,9,FALSE),0))*-1</f>
        <v>0</v>
      </c>
      <c r="L458" s="96"/>
      <c r="M458" s="101"/>
      <c r="P458" s="90">
        <f t="shared" si="33"/>
        <v>570327</v>
      </c>
      <c r="R458" s="130">
        <f t="shared" si="31"/>
        <v>570327</v>
      </c>
      <c r="S458" s="90"/>
      <c r="T458" s="131">
        <f t="shared" si="32"/>
        <v>570327</v>
      </c>
      <c r="U458" s="95"/>
      <c r="V458" s="72"/>
      <c r="W458" s="75" t="e">
        <f>+A458-#REF!</f>
        <v>#REF!</v>
      </c>
      <c r="X458" s="1270"/>
      <c r="Y458" s="91"/>
      <c r="Z458" s="91"/>
      <c r="AA458" s="91"/>
    </row>
    <row r="459" spans="1:27" x14ac:dyDescent="0.3">
      <c r="A459" s="132">
        <v>603200</v>
      </c>
      <c r="B459" s="132" t="s">
        <v>499</v>
      </c>
      <c r="C459" s="105" t="s">
        <v>500</v>
      </c>
      <c r="D459" s="87" t="str">
        <f t="shared" si="29"/>
        <v>60</v>
      </c>
      <c r="E459" s="92"/>
      <c r="F459" s="93">
        <f>(+IFERROR(VLOOKUP($A459,'[152]BG (2)'!$B$9:$J$570,4,FALSE),0))*1</f>
        <v>0</v>
      </c>
      <c r="G459" s="73">
        <f>(+IFERROR(VLOOKUP($A459,'[152]BG (2)'!$B$9:$J$570,5,FALSE),0))*-1</f>
        <v>0</v>
      </c>
      <c r="H459" s="93">
        <f>(+IFERROR(VLOOKUP($A459,'[152]BG (2)'!$B$9:$J$570,6,FALSE),0))*1</f>
        <v>0</v>
      </c>
      <c r="I459" s="73">
        <f>(+IFERROR(VLOOKUP($A459,'[152]BG (2)'!$B$9:$J$570,7,FALSE),0))*-1</f>
        <v>-20982830</v>
      </c>
      <c r="J459" s="1283">
        <f>(+IFERROR(VLOOKUP($A459,'[152]BG (2)'!$B$9:$J$570,8,FALSE),0))*1</f>
        <v>0</v>
      </c>
      <c r="K459" s="73">
        <f>(+IFERROR(VLOOKUP($A459,'[152]BG (2)'!$B$9:$J$570,9,FALSE),0))*-1</f>
        <v>-20982830</v>
      </c>
      <c r="L459" s="96"/>
      <c r="M459" s="101"/>
      <c r="P459" s="90">
        <f t="shared" si="33"/>
        <v>-20982830</v>
      </c>
      <c r="R459" s="130">
        <f t="shared" si="31"/>
        <v>-20982830</v>
      </c>
      <c r="S459" s="90">
        <f>J459-'[153]BG '!$J$355</f>
        <v>0</v>
      </c>
      <c r="T459" s="131">
        <f t="shared" si="32"/>
        <v>-20982830</v>
      </c>
      <c r="U459" s="95"/>
      <c r="V459" s="72"/>
      <c r="W459" s="75" t="e">
        <f>+A459-#REF!</f>
        <v>#REF!</v>
      </c>
      <c r="X459" s="1270"/>
      <c r="Y459" s="91"/>
      <c r="Z459" s="91"/>
      <c r="AA459" s="91"/>
    </row>
    <row r="460" spans="1:27" x14ac:dyDescent="0.3">
      <c r="A460" s="132">
        <v>603300</v>
      </c>
      <c r="B460" s="132" t="s">
        <v>501</v>
      </c>
      <c r="C460" s="105" t="s">
        <v>500</v>
      </c>
      <c r="D460" s="87" t="str">
        <f t="shared" si="29"/>
        <v>60</v>
      </c>
      <c r="E460" s="92"/>
      <c r="F460" s="93">
        <f>(+IFERROR(VLOOKUP($A460,'[152]BG (2)'!$B$9:$J$570,4,FALSE),0))*1</f>
        <v>0</v>
      </c>
      <c r="G460" s="73">
        <f>(+IFERROR(VLOOKUP($A460,'[152]BG (2)'!$B$9:$J$570,5,FALSE),0))*-1</f>
        <v>0</v>
      </c>
      <c r="H460" s="93">
        <f>(+IFERROR(VLOOKUP($A460,'[152]BG (2)'!$B$9:$J$570,6,FALSE),0))*1</f>
        <v>-1119310388</v>
      </c>
      <c r="I460" s="73">
        <f>(+IFERROR(VLOOKUP($A460,'[152]BG (2)'!$B$9:$J$570,7,FALSE),0))*-1</f>
        <v>1326670466</v>
      </c>
      <c r="J460" s="1283">
        <f>(+IFERROR(VLOOKUP($A460,'[152]BG (2)'!$B$9:$J$570,8,FALSE),0))*1</f>
        <v>207360078</v>
      </c>
      <c r="K460" s="73">
        <f>(+IFERROR(VLOOKUP($A460,'[152]BG (2)'!$B$9:$J$570,9,FALSE),0))*-1</f>
        <v>0</v>
      </c>
      <c r="L460" s="96"/>
      <c r="M460" s="101"/>
      <c r="P460" s="90">
        <f t="shared" si="33"/>
        <v>207360078</v>
      </c>
      <c r="R460" s="130">
        <f t="shared" si="31"/>
        <v>207360078</v>
      </c>
      <c r="S460" s="90"/>
      <c r="T460" s="131">
        <f t="shared" si="32"/>
        <v>207360078</v>
      </c>
      <c r="U460" s="95"/>
      <c r="V460" s="72"/>
      <c r="W460" s="75" t="e">
        <f>+A460-#REF!</f>
        <v>#REF!</v>
      </c>
      <c r="X460" s="1270"/>
      <c r="Y460" s="91"/>
      <c r="Z460" s="91"/>
      <c r="AA460" s="91"/>
    </row>
    <row r="461" spans="1:27" x14ac:dyDescent="0.3">
      <c r="A461" s="132">
        <v>603310</v>
      </c>
      <c r="B461" s="132" t="s">
        <v>2502</v>
      </c>
      <c r="C461" s="105" t="s">
        <v>500</v>
      </c>
      <c r="D461" s="87" t="str">
        <f t="shared" si="29"/>
        <v>60</v>
      </c>
      <c r="E461" s="92"/>
      <c r="F461" s="93">
        <f>(+IFERROR(VLOOKUP($A461,'[152]BG (2)'!$B$9:$J$570,4,FALSE),0))*1</f>
        <v>0</v>
      </c>
      <c r="G461" s="73">
        <f>(+IFERROR(VLOOKUP($A461,'[152]BG (2)'!$B$9:$J$570,5,FALSE),0))*-1</f>
        <v>0</v>
      </c>
      <c r="H461" s="93">
        <f>(+IFERROR(VLOOKUP($A461,'[152]BG (2)'!$B$9:$J$570,6,FALSE),0))*1</f>
        <v>0</v>
      </c>
      <c r="I461" s="73">
        <f>(+IFERROR(VLOOKUP($A461,'[152]BG (2)'!$B$9:$J$570,7,FALSE),0))*-1</f>
        <v>-1165578</v>
      </c>
      <c r="J461" s="1283">
        <f>(+IFERROR(VLOOKUP($A461,'[152]BG (2)'!$B$9:$J$570,8,FALSE),0))*1</f>
        <v>0</v>
      </c>
      <c r="K461" s="73">
        <f>(+IFERROR(VLOOKUP($A461,'[152]BG (2)'!$B$9:$J$570,9,FALSE),0))*-1</f>
        <v>-1165578</v>
      </c>
      <c r="L461" s="96"/>
      <c r="M461" s="101"/>
      <c r="P461" s="90">
        <f t="shared" si="33"/>
        <v>-1165578</v>
      </c>
      <c r="R461" s="130">
        <f>J461+K461</f>
        <v>-1165578</v>
      </c>
      <c r="S461" s="90"/>
      <c r="T461" s="131">
        <f>K461+J461</f>
        <v>-1165578</v>
      </c>
      <c r="U461" s="95"/>
      <c r="V461" s="72"/>
      <c r="W461" s="75" t="e">
        <f>+A461-#REF!</f>
        <v>#REF!</v>
      </c>
      <c r="X461" s="1270"/>
      <c r="Y461" s="91"/>
      <c r="Z461" s="91"/>
      <c r="AA461" s="91"/>
    </row>
    <row r="462" spans="1:27" ht="14.4" customHeight="1" x14ac:dyDescent="0.3">
      <c r="A462" s="132">
        <v>603320</v>
      </c>
      <c r="B462" s="132" t="s">
        <v>2503</v>
      </c>
      <c r="C462" s="105" t="s">
        <v>500</v>
      </c>
      <c r="D462" s="87" t="str">
        <f t="shared" ref="D462:D526" si="34">+LEFT(A462,2)</f>
        <v>60</v>
      </c>
      <c r="E462" s="92"/>
      <c r="F462" s="93">
        <f>(+IFERROR(VLOOKUP($A462,'[152]BG (2)'!$B$9:$J$570,4,FALSE),0))*1</f>
        <v>0</v>
      </c>
      <c r="G462" s="73">
        <f>(+IFERROR(VLOOKUP($A462,'[152]BG (2)'!$B$9:$J$570,5,FALSE),0))*-1</f>
        <v>0</v>
      </c>
      <c r="H462" s="93">
        <f>(+IFERROR(VLOOKUP($A462,'[152]BG (2)'!$B$9:$J$570,6,FALSE),0))*1</f>
        <v>0</v>
      </c>
      <c r="I462" s="73">
        <f>(+IFERROR(VLOOKUP($A462,'[152]BG (2)'!$B$9:$J$570,7,FALSE),0))*-1</f>
        <v>-155992127</v>
      </c>
      <c r="J462" s="1283">
        <f>(+IFERROR(VLOOKUP($A462,'[152]BG (2)'!$B$9:$J$570,8,FALSE),0))*1</f>
        <v>0</v>
      </c>
      <c r="K462" s="73">
        <f>(+IFERROR(VLOOKUP($A462,'[152]BG (2)'!$B$9:$J$570,9,FALSE),0))*-1</f>
        <v>-155992127</v>
      </c>
      <c r="L462" s="96"/>
      <c r="M462" s="101"/>
      <c r="P462" s="90">
        <f t="shared" si="33"/>
        <v>-155992127</v>
      </c>
      <c r="R462" s="130">
        <f>J462+K462</f>
        <v>-155992127</v>
      </c>
      <c r="S462" s="90"/>
      <c r="T462" s="131">
        <f>K462+J462</f>
        <v>-155992127</v>
      </c>
      <c r="U462" s="95"/>
      <c r="V462" s="72"/>
      <c r="W462" s="75" t="e">
        <f>+A462-#REF!</f>
        <v>#REF!</v>
      </c>
      <c r="X462" s="1270"/>
      <c r="Y462" s="91"/>
      <c r="Z462" s="91"/>
      <c r="AA462" s="91"/>
    </row>
    <row r="463" spans="1:27" ht="14.4" customHeight="1" x14ac:dyDescent="0.3">
      <c r="A463" s="132">
        <v>603330</v>
      </c>
      <c r="B463" s="132" t="s">
        <v>2504</v>
      </c>
      <c r="C463" s="105" t="s">
        <v>500</v>
      </c>
      <c r="D463" s="87" t="str">
        <f t="shared" si="34"/>
        <v>60</v>
      </c>
      <c r="E463" s="92"/>
      <c r="F463" s="93">
        <f>(+IFERROR(VLOOKUP($A463,'[152]BG (2)'!$B$9:$J$570,4,FALSE),0))*1</f>
        <v>0</v>
      </c>
      <c r="G463" s="73">
        <f>(+IFERROR(VLOOKUP($A463,'[152]BG (2)'!$B$9:$J$570,5,FALSE),0))*-1</f>
        <v>0</v>
      </c>
      <c r="H463" s="93">
        <f>(+IFERROR(VLOOKUP($A463,'[152]BG (2)'!$B$9:$J$570,6,FALSE),0))*1</f>
        <v>0</v>
      </c>
      <c r="I463" s="73">
        <f>(+IFERROR(VLOOKUP($A463,'[152]BG (2)'!$B$9:$J$570,7,FALSE),0))*-1</f>
        <v>7859827</v>
      </c>
      <c r="J463" s="1283">
        <f>(+IFERROR(VLOOKUP($A463,'[152]BG (2)'!$B$9:$J$570,8,FALSE),0))*1</f>
        <v>7859827</v>
      </c>
      <c r="K463" s="73">
        <f>(+IFERROR(VLOOKUP($A463,'[152]BG (2)'!$B$9:$J$570,9,FALSE),0))*-1</f>
        <v>0</v>
      </c>
      <c r="L463" s="96"/>
      <c r="M463" s="101"/>
      <c r="P463" s="90">
        <f t="shared" si="33"/>
        <v>7859827</v>
      </c>
      <c r="R463" s="130">
        <f>J463+K463</f>
        <v>7859827</v>
      </c>
      <c r="S463" s="90"/>
      <c r="T463" s="131">
        <f>K463+J463</f>
        <v>7859827</v>
      </c>
      <c r="U463" s="95"/>
      <c r="V463" s="72"/>
      <c r="W463" s="75" t="e">
        <f>+A463-#REF!</f>
        <v>#REF!</v>
      </c>
      <c r="X463" s="1270"/>
      <c r="Y463" s="91"/>
      <c r="Z463" s="91"/>
      <c r="AA463" s="91"/>
    </row>
    <row r="464" spans="1:27" x14ac:dyDescent="0.3">
      <c r="A464" s="132">
        <v>603340</v>
      </c>
      <c r="B464" s="132" t="s">
        <v>2505</v>
      </c>
      <c r="C464" s="105" t="s">
        <v>500</v>
      </c>
      <c r="D464" s="87" t="str">
        <f t="shared" si="34"/>
        <v>60</v>
      </c>
      <c r="E464" s="92"/>
      <c r="F464" s="93">
        <f>(+IFERROR(VLOOKUP($A464,'[152]BG (2)'!$B$9:$J$570,4,FALSE),0))*1</f>
        <v>0</v>
      </c>
      <c r="G464" s="73">
        <f>(+IFERROR(VLOOKUP($A464,'[152]BG (2)'!$B$9:$J$570,5,FALSE),0))*-1</f>
        <v>0</v>
      </c>
      <c r="H464" s="93">
        <f>(+IFERROR(VLOOKUP($A464,'[152]BG (2)'!$B$9:$J$570,6,FALSE),0))*1</f>
        <v>0</v>
      </c>
      <c r="I464" s="73">
        <f>(+IFERROR(VLOOKUP($A464,'[152]BG (2)'!$B$9:$J$570,7,FALSE),0))*-1</f>
        <v>12570368</v>
      </c>
      <c r="J464" s="1283">
        <f>(+IFERROR(VLOOKUP($A464,'[152]BG (2)'!$B$9:$J$570,8,FALSE),0))*1</f>
        <v>12570368</v>
      </c>
      <c r="K464" s="73">
        <f>(+IFERROR(VLOOKUP($A464,'[152]BG (2)'!$B$9:$J$570,9,FALSE),0))*-1</f>
        <v>0</v>
      </c>
      <c r="L464" s="96"/>
      <c r="M464" s="101"/>
      <c r="P464" s="90">
        <f t="shared" si="33"/>
        <v>12570368</v>
      </c>
      <c r="R464" s="130">
        <f>J464+K464</f>
        <v>12570368</v>
      </c>
      <c r="S464" s="90"/>
      <c r="T464" s="131">
        <f>K464+J464</f>
        <v>12570368</v>
      </c>
      <c r="U464" s="95"/>
      <c r="V464" s="72"/>
      <c r="W464" s="75" t="e">
        <f>+A464-#REF!</f>
        <v>#REF!</v>
      </c>
      <c r="X464" s="1270"/>
      <c r="Y464" s="91"/>
      <c r="Z464" s="91"/>
      <c r="AA464" s="91"/>
    </row>
    <row r="465" spans="1:27" ht="14.4" customHeight="1" x14ac:dyDescent="0.3">
      <c r="A465" s="132">
        <v>604200</v>
      </c>
      <c r="B465" s="132" t="s">
        <v>502</v>
      </c>
      <c r="C465" s="105" t="s">
        <v>500</v>
      </c>
      <c r="D465" s="87" t="str">
        <f t="shared" si="34"/>
        <v>60</v>
      </c>
      <c r="E465" s="92"/>
      <c r="F465" s="93">
        <f>(+IFERROR(VLOOKUP($A465,'[152]BG (2)'!$B$9:$J$570,4,FALSE),0))*1</f>
        <v>0</v>
      </c>
      <c r="G465" s="73">
        <f>(+IFERROR(VLOOKUP($A465,'[152]BG (2)'!$B$9:$J$570,5,FALSE),0))*-1</f>
        <v>0</v>
      </c>
      <c r="H465" s="93">
        <f>(+IFERROR(VLOOKUP($A465,'[152]BG (2)'!$B$9:$J$570,6,FALSE),0))*1</f>
        <v>56467983</v>
      </c>
      <c r="I465" s="73">
        <f>(+IFERROR(VLOOKUP($A465,'[152]BG (2)'!$B$9:$J$570,7,FALSE),0))*-1</f>
        <v>-5556700</v>
      </c>
      <c r="J465" s="1283">
        <f>(+IFERROR(VLOOKUP($A465,'[152]BG (2)'!$B$9:$J$570,8,FALSE),0))*1</f>
        <v>50911283</v>
      </c>
      <c r="K465" s="73">
        <f>(+IFERROR(VLOOKUP($A465,'[152]BG (2)'!$B$9:$J$570,9,FALSE),0))*-1</f>
        <v>0</v>
      </c>
      <c r="L465" s="96"/>
      <c r="M465" s="101"/>
      <c r="P465" s="90">
        <f t="shared" si="33"/>
        <v>50911283</v>
      </c>
      <c r="R465" s="130">
        <f t="shared" si="31"/>
        <v>50911283</v>
      </c>
      <c r="S465" s="90"/>
      <c r="T465" s="131">
        <f t="shared" si="32"/>
        <v>50911283</v>
      </c>
      <c r="U465" s="95"/>
      <c r="V465" s="72"/>
      <c r="W465" s="75" t="e">
        <f>+A465-#REF!</f>
        <v>#REF!</v>
      </c>
      <c r="X465" s="1270"/>
      <c r="Y465" s="91"/>
      <c r="Z465" s="91"/>
      <c r="AA465" s="91"/>
    </row>
    <row r="466" spans="1:27" x14ac:dyDescent="0.3">
      <c r="A466" s="132">
        <v>605110</v>
      </c>
      <c r="B466" s="132" t="s">
        <v>503</v>
      </c>
      <c r="C466" t="s">
        <v>500</v>
      </c>
      <c r="D466" s="87" t="str">
        <f t="shared" si="34"/>
        <v>60</v>
      </c>
      <c r="E466" s="92"/>
      <c r="F466" s="93">
        <f>(+IFERROR(VLOOKUP($A466,'[152]BG (2)'!$B$9:$J$570,4,FALSE),0))*1</f>
        <v>0</v>
      </c>
      <c r="G466" s="73">
        <f>(+IFERROR(VLOOKUP($A466,'[152]BG (2)'!$B$9:$J$570,5,FALSE),0))*-1</f>
        <v>0</v>
      </c>
      <c r="H466" s="93">
        <f>(+IFERROR(VLOOKUP($A466,'[152]BG (2)'!$B$9:$J$570,6,FALSE),0))*1</f>
        <v>14238369</v>
      </c>
      <c r="I466" s="73">
        <f>(+IFERROR(VLOOKUP($A466,'[152]BG (2)'!$B$9:$J$570,7,FALSE),0))*-1</f>
        <v>0</v>
      </c>
      <c r="J466" s="1283">
        <f>(+IFERROR(VLOOKUP($A466,'[152]BG (2)'!$B$9:$J$570,8,FALSE),0))*1</f>
        <v>14238369</v>
      </c>
      <c r="K466" s="73">
        <f>(+IFERROR(VLOOKUP($A466,'[152]BG (2)'!$B$9:$J$570,9,FALSE),0))*-1</f>
        <v>0</v>
      </c>
      <c r="L466" s="96"/>
      <c r="M466" s="101"/>
      <c r="P466" s="90">
        <f t="shared" si="33"/>
        <v>14238369</v>
      </c>
      <c r="R466" s="130">
        <f t="shared" si="31"/>
        <v>14238369</v>
      </c>
      <c r="S466" s="90"/>
      <c r="T466" s="131">
        <f t="shared" si="32"/>
        <v>14238369</v>
      </c>
      <c r="U466" s="95"/>
      <c r="V466" s="72"/>
      <c r="W466" s="75" t="e">
        <f>+A466-#REF!</f>
        <v>#REF!</v>
      </c>
      <c r="X466" s="1270"/>
      <c r="Y466" s="91"/>
      <c r="Z466" s="91"/>
      <c r="AA466" s="91"/>
    </row>
    <row r="467" spans="1:27" x14ac:dyDescent="0.3">
      <c r="A467" s="132">
        <v>605130</v>
      </c>
      <c r="B467" s="132" t="s">
        <v>504</v>
      </c>
      <c r="C467" t="s">
        <v>500</v>
      </c>
      <c r="D467" s="87" t="str">
        <f t="shared" si="34"/>
        <v>60</v>
      </c>
      <c r="E467" s="92"/>
      <c r="F467" s="93">
        <f>(+IFERROR(VLOOKUP($A467,'[152]BG (2)'!$B$9:$J$570,4,FALSE),0))*1</f>
        <v>0</v>
      </c>
      <c r="G467" s="73">
        <f>(+IFERROR(VLOOKUP($A467,'[152]BG (2)'!$B$9:$J$570,5,FALSE),0))*-1</f>
        <v>0</v>
      </c>
      <c r="H467" s="93">
        <f>(+IFERROR(VLOOKUP($A467,'[152]BG (2)'!$B$9:$J$570,6,FALSE),0))*1</f>
        <v>4384232</v>
      </c>
      <c r="I467" s="73">
        <f>(+IFERROR(VLOOKUP($A467,'[152]BG (2)'!$B$9:$J$570,7,FALSE),0))*-1</f>
        <v>0</v>
      </c>
      <c r="J467" s="1283">
        <f>(+IFERROR(VLOOKUP($A467,'[152]BG (2)'!$B$9:$J$570,8,FALSE),0))*1</f>
        <v>4384232</v>
      </c>
      <c r="K467" s="73">
        <f>(+IFERROR(VLOOKUP($A467,'[152]BG (2)'!$B$9:$J$570,9,FALSE),0))*-1</f>
        <v>0</v>
      </c>
      <c r="L467" s="96"/>
      <c r="M467" s="101"/>
      <c r="P467" s="90">
        <f t="shared" si="33"/>
        <v>4384232</v>
      </c>
      <c r="R467" s="130">
        <f t="shared" si="31"/>
        <v>4384232</v>
      </c>
      <c r="S467" s="90"/>
      <c r="T467" s="131">
        <f t="shared" si="32"/>
        <v>4384232</v>
      </c>
      <c r="U467" s="95"/>
      <c r="V467" s="72"/>
      <c r="W467" s="75" t="e">
        <f>+A467-#REF!</f>
        <v>#REF!</v>
      </c>
      <c r="X467" s="1270"/>
      <c r="Y467" s="91"/>
      <c r="Z467" s="91"/>
      <c r="AA467" s="91"/>
    </row>
    <row r="468" spans="1:27" x14ac:dyDescent="0.3">
      <c r="A468" s="132">
        <v>605210</v>
      </c>
      <c r="B468" s="132" t="s">
        <v>505</v>
      </c>
      <c r="C468" t="s">
        <v>500</v>
      </c>
      <c r="D468" s="87" t="str">
        <f t="shared" si="34"/>
        <v>60</v>
      </c>
      <c r="E468" s="92"/>
      <c r="F468" s="93">
        <f>(+IFERROR(VLOOKUP($A468,'[152]BG (2)'!$B$9:$J$570,4,FALSE),0))*1</f>
        <v>0</v>
      </c>
      <c r="G468" s="73">
        <f>(+IFERROR(VLOOKUP($A468,'[152]BG (2)'!$B$9:$J$570,5,FALSE),0))*-1</f>
        <v>0</v>
      </c>
      <c r="H468" s="93">
        <f>(+IFERROR(VLOOKUP($A468,'[152]BG (2)'!$B$9:$J$570,6,FALSE),0))*1</f>
        <v>580434719</v>
      </c>
      <c r="I468" s="73">
        <f>(+IFERROR(VLOOKUP($A468,'[152]BG (2)'!$B$9:$J$570,7,FALSE),0))*-1</f>
        <v>0</v>
      </c>
      <c r="J468" s="1283">
        <f>(+IFERROR(VLOOKUP($A468,'[152]BG (2)'!$B$9:$J$570,8,FALSE),0))*1</f>
        <v>580434719</v>
      </c>
      <c r="K468" s="73">
        <f>(+IFERROR(VLOOKUP($A468,'[152]BG (2)'!$B$9:$J$570,9,FALSE),0))*-1</f>
        <v>0</v>
      </c>
      <c r="L468" s="96"/>
      <c r="M468" s="101"/>
      <c r="P468" s="90">
        <f t="shared" si="33"/>
        <v>580434719</v>
      </c>
      <c r="R468" s="130">
        <f t="shared" si="31"/>
        <v>580434719</v>
      </c>
      <c r="S468" s="90"/>
      <c r="T468" s="131">
        <f t="shared" si="32"/>
        <v>580434719</v>
      </c>
      <c r="U468" s="95"/>
      <c r="V468" s="72"/>
      <c r="W468" s="75" t="e">
        <f>+A468-#REF!</f>
        <v>#REF!</v>
      </c>
      <c r="X468" s="1270"/>
      <c r="Y468" s="91"/>
      <c r="Z468" s="91"/>
      <c r="AA468" s="91"/>
    </row>
    <row r="469" spans="1:27" x14ac:dyDescent="0.3">
      <c r="A469" s="132">
        <v>605240</v>
      </c>
      <c r="B469" s="132" t="s">
        <v>506</v>
      </c>
      <c r="C469" t="s">
        <v>500</v>
      </c>
      <c r="D469" s="87" t="str">
        <f t="shared" si="34"/>
        <v>60</v>
      </c>
      <c r="E469" s="92"/>
      <c r="F469" s="93">
        <f>(+IFERROR(VLOOKUP($A469,'[152]BG (2)'!$B$9:$J$570,4,FALSE),0))*1</f>
        <v>0</v>
      </c>
      <c r="G469" s="73">
        <f>(+IFERROR(VLOOKUP($A469,'[152]BG (2)'!$B$9:$J$570,5,FALSE),0))*-1</f>
        <v>0</v>
      </c>
      <c r="H469" s="93">
        <f>(+IFERROR(VLOOKUP($A469,'[152]BG (2)'!$B$9:$J$570,6,FALSE),0))*1</f>
        <v>3108272401</v>
      </c>
      <c r="I469" s="73">
        <f>(+IFERROR(VLOOKUP($A469,'[152]BG (2)'!$B$9:$J$570,7,FALSE),0))*-1</f>
        <v>-17572990</v>
      </c>
      <c r="J469" s="1283">
        <f>(+IFERROR(VLOOKUP($A469,'[152]BG (2)'!$B$9:$J$570,8,FALSE),0))*1</f>
        <v>3090699411</v>
      </c>
      <c r="K469" s="73">
        <f>(+IFERROR(VLOOKUP($A469,'[152]BG (2)'!$B$9:$J$570,9,FALSE),0))*-1</f>
        <v>0</v>
      </c>
      <c r="L469" s="96"/>
      <c r="M469" s="101"/>
      <c r="P469" s="90">
        <f t="shared" si="33"/>
        <v>3090699411</v>
      </c>
      <c r="R469" s="130">
        <f t="shared" si="31"/>
        <v>3090699411</v>
      </c>
      <c r="S469" s="90">
        <v>1300015825</v>
      </c>
      <c r="T469" s="131">
        <f t="shared" si="32"/>
        <v>3090699411</v>
      </c>
      <c r="U469" s="95"/>
      <c r="V469" s="72"/>
      <c r="W469" s="75" t="e">
        <f>+A469-#REF!</f>
        <v>#REF!</v>
      </c>
      <c r="X469" s="1270"/>
      <c r="Y469" s="91"/>
      <c r="Z469" s="91"/>
      <c r="AA469" s="91"/>
    </row>
    <row r="470" spans="1:27" x14ac:dyDescent="0.3">
      <c r="A470" s="132">
        <v>605260</v>
      </c>
      <c r="B470" s="132" t="s">
        <v>507</v>
      </c>
      <c r="C470" t="s">
        <v>500</v>
      </c>
      <c r="D470" s="87" t="str">
        <f t="shared" si="34"/>
        <v>60</v>
      </c>
      <c r="E470" s="92"/>
      <c r="F470" s="93">
        <f>(+IFERROR(VLOOKUP($A470,'[152]BG (2)'!$B$9:$J$570,4,FALSE),0))*1</f>
        <v>0</v>
      </c>
      <c r="G470" s="73">
        <f>(+IFERROR(VLOOKUP($A470,'[152]BG (2)'!$B$9:$J$570,5,FALSE),0))*-1</f>
        <v>0</v>
      </c>
      <c r="H470" s="93">
        <f>(+IFERROR(VLOOKUP($A470,'[152]BG (2)'!$B$9:$J$570,6,FALSE),0))*1</f>
        <v>23722875</v>
      </c>
      <c r="I470" s="73">
        <f>(+IFERROR(VLOOKUP($A470,'[152]BG (2)'!$B$9:$J$570,7,FALSE),0))*-1</f>
        <v>0</v>
      </c>
      <c r="J470" s="1283">
        <f>(+IFERROR(VLOOKUP($A470,'[152]BG (2)'!$B$9:$J$570,8,FALSE),0))*1</f>
        <v>23722875</v>
      </c>
      <c r="K470" s="73">
        <f>(+IFERROR(VLOOKUP($A470,'[152]BG (2)'!$B$9:$J$570,9,FALSE),0))*-1</f>
        <v>0</v>
      </c>
      <c r="L470" s="96"/>
      <c r="M470" s="101"/>
      <c r="P470" s="90">
        <f t="shared" si="33"/>
        <v>23722875</v>
      </c>
      <c r="R470" s="130">
        <f t="shared" si="31"/>
        <v>23722875</v>
      </c>
      <c r="S470" s="90"/>
      <c r="T470" s="131">
        <f t="shared" si="32"/>
        <v>23722875</v>
      </c>
      <c r="U470" s="95"/>
      <c r="V470" s="72"/>
      <c r="W470" s="75" t="e">
        <f>+A470-#REF!</f>
        <v>#REF!</v>
      </c>
      <c r="X470" s="1270"/>
      <c r="Y470" s="91"/>
      <c r="Z470" s="91"/>
      <c r="AA470" s="91"/>
    </row>
    <row r="471" spans="1:27" x14ac:dyDescent="0.3">
      <c r="A471" s="132">
        <v>605310</v>
      </c>
      <c r="B471" s="132" t="s">
        <v>508</v>
      </c>
      <c r="C471" t="s">
        <v>500</v>
      </c>
      <c r="D471" s="87" t="str">
        <f t="shared" si="34"/>
        <v>60</v>
      </c>
      <c r="E471" s="92"/>
      <c r="F471" s="93">
        <f>(+IFERROR(VLOOKUP($A471,'[152]BG (2)'!$B$9:$J$570,4,FALSE),0))*1</f>
        <v>0</v>
      </c>
      <c r="G471" s="73">
        <f>(+IFERROR(VLOOKUP($A471,'[152]BG (2)'!$B$9:$J$570,5,FALSE),0))*-1</f>
        <v>0</v>
      </c>
      <c r="H471" s="93">
        <f>(+IFERROR(VLOOKUP($A471,'[152]BG (2)'!$B$9:$J$570,6,FALSE),0))*1</f>
        <v>2314700987</v>
      </c>
      <c r="I471" s="73">
        <f>(+IFERROR(VLOOKUP($A471,'[152]BG (2)'!$B$9:$J$570,7,FALSE),0))*-1</f>
        <v>91551954</v>
      </c>
      <c r="J471" s="1283">
        <f>(+IFERROR(VLOOKUP($A471,'[152]BG (2)'!$B$9:$J$570,8,FALSE),0))*1</f>
        <v>2406252941</v>
      </c>
      <c r="K471" s="73">
        <f>(+IFERROR(VLOOKUP($A471,'[152]BG (2)'!$B$9:$J$570,9,FALSE),0))*-1</f>
        <v>0</v>
      </c>
      <c r="L471" s="96"/>
      <c r="M471" s="101"/>
      <c r="P471" s="90">
        <f t="shared" si="33"/>
        <v>2406252941</v>
      </c>
      <c r="R471" s="130">
        <f t="shared" si="31"/>
        <v>2406252941</v>
      </c>
      <c r="S471" s="90">
        <v>1293287830</v>
      </c>
      <c r="T471" s="131">
        <f t="shared" si="32"/>
        <v>2406252941</v>
      </c>
      <c r="U471" s="95"/>
      <c r="V471" s="72"/>
      <c r="W471" s="75" t="e">
        <f>+A471-#REF!</f>
        <v>#REF!</v>
      </c>
      <c r="X471" s="1270"/>
      <c r="Y471" s="91"/>
      <c r="Z471" s="91"/>
      <c r="AA471" s="91"/>
    </row>
    <row r="472" spans="1:27" x14ac:dyDescent="0.3">
      <c r="A472" s="132">
        <v>605400</v>
      </c>
      <c r="B472" s="132" t="s">
        <v>2256</v>
      </c>
      <c r="C472" t="s">
        <v>500</v>
      </c>
      <c r="D472" s="87" t="str">
        <f t="shared" si="34"/>
        <v>60</v>
      </c>
      <c r="E472" s="92"/>
      <c r="F472" s="93">
        <f>(+IFERROR(VLOOKUP($A472,'[152]BG (2)'!$B$9:$J$570,4,FALSE),0))*1</f>
        <v>0</v>
      </c>
      <c r="G472" s="73">
        <f>(+IFERROR(VLOOKUP($A472,'[152]BG (2)'!$B$9:$J$570,5,FALSE),0))*-1</f>
        <v>0</v>
      </c>
      <c r="H472" s="93">
        <f>(+IFERROR(VLOOKUP($A472,'[152]BG (2)'!$B$9:$J$570,6,FALSE),0))*1</f>
        <v>0</v>
      </c>
      <c r="I472" s="73">
        <f>(+IFERROR(VLOOKUP($A472,'[152]BG (2)'!$B$9:$J$570,7,FALSE),0))*-1</f>
        <v>0</v>
      </c>
      <c r="J472" s="1283">
        <f>(+IFERROR(VLOOKUP($A472,'[152]BG (2)'!$B$9:$J$570,8,FALSE),0))*1</f>
        <v>0</v>
      </c>
      <c r="K472" s="73">
        <f>(+IFERROR(VLOOKUP($A472,'[152]BG (2)'!$B$9:$J$570,9,FALSE),0))*-1</f>
        <v>0</v>
      </c>
      <c r="L472" s="96"/>
      <c r="M472" s="101"/>
      <c r="P472" s="90">
        <f t="shared" si="33"/>
        <v>0</v>
      </c>
      <c r="R472" s="130"/>
      <c r="S472" s="90"/>
      <c r="T472" s="131"/>
      <c r="U472" s="95"/>
      <c r="V472" s="72"/>
      <c r="W472" s="75"/>
      <c r="X472" s="1270"/>
      <c r="Y472" s="91"/>
      <c r="Z472" s="91"/>
      <c r="AA472" s="91"/>
    </row>
    <row r="473" spans="1:27" x14ac:dyDescent="0.3">
      <c r="A473">
        <v>605500</v>
      </c>
      <c r="B473" t="s">
        <v>509</v>
      </c>
      <c r="C473" t="s">
        <v>500</v>
      </c>
      <c r="D473" s="87" t="str">
        <f t="shared" si="34"/>
        <v>60</v>
      </c>
      <c r="E473" s="92"/>
      <c r="F473" s="93">
        <f>(+IFERROR(VLOOKUP($A473,'[152]BG (2)'!$B$9:$J$570,4,FALSE),0))*1</f>
        <v>0</v>
      </c>
      <c r="G473" s="73">
        <f>(+IFERROR(VLOOKUP($A473,'[152]BG (2)'!$B$9:$J$570,5,FALSE),0))*-1</f>
        <v>0</v>
      </c>
      <c r="H473" s="93">
        <f>(+IFERROR(VLOOKUP($A473,'[152]BG (2)'!$B$9:$J$570,6,FALSE),0))*1</f>
        <v>24018644</v>
      </c>
      <c r="I473" s="73">
        <f>(+IFERROR(VLOOKUP($A473,'[152]BG (2)'!$B$9:$J$570,7,FALSE),0))*-1</f>
        <v>0</v>
      </c>
      <c r="J473" s="109">
        <f>(+IFERROR(VLOOKUP($A473,'[152]BG (2)'!$B$9:$J$570,8,FALSE),0))*1</f>
        <v>24018644</v>
      </c>
      <c r="K473" s="73">
        <f>(+IFERROR(VLOOKUP($A473,'[152]BG (2)'!$B$9:$J$570,9,FALSE),0))*-1</f>
        <v>0</v>
      </c>
      <c r="L473" s="96"/>
      <c r="M473" s="101"/>
      <c r="P473" s="90">
        <f t="shared" si="33"/>
        <v>24018644</v>
      </c>
      <c r="R473" s="130">
        <f t="shared" si="31"/>
        <v>24018644</v>
      </c>
      <c r="S473" s="90"/>
      <c r="T473" s="131">
        <f t="shared" si="32"/>
        <v>24018644</v>
      </c>
      <c r="U473" s="95"/>
      <c r="V473" s="72"/>
      <c r="W473" s="75" t="e">
        <f>+A473-#REF!</f>
        <v>#REF!</v>
      </c>
      <c r="X473" s="1270"/>
      <c r="Y473" s="91"/>
      <c r="Z473" s="91"/>
      <c r="AA473" s="91"/>
    </row>
    <row r="474" spans="1:27" x14ac:dyDescent="0.3">
      <c r="A474">
        <v>605510</v>
      </c>
      <c r="B474" t="s">
        <v>510</v>
      </c>
      <c r="C474" t="s">
        <v>500</v>
      </c>
      <c r="D474" s="87" t="str">
        <f t="shared" si="34"/>
        <v>60</v>
      </c>
      <c r="E474" s="92"/>
      <c r="F474" s="93">
        <f>(+IFERROR(VLOOKUP($A474,'[152]BG (2)'!$B$9:$J$570,4,FALSE),0))*1</f>
        <v>0</v>
      </c>
      <c r="G474" s="73">
        <f>(+IFERROR(VLOOKUP($A474,'[152]BG (2)'!$B$9:$J$570,5,FALSE),0))*-1</f>
        <v>0</v>
      </c>
      <c r="H474" s="93">
        <f>(+IFERROR(VLOOKUP($A474,'[152]BG (2)'!$B$9:$J$570,6,FALSE),0))*1</f>
        <v>50398521</v>
      </c>
      <c r="I474" s="73">
        <f>(+IFERROR(VLOOKUP($A474,'[152]BG (2)'!$B$9:$J$570,7,FALSE),0))*-1</f>
        <v>-9109270</v>
      </c>
      <c r="J474" s="109">
        <f>(+IFERROR(VLOOKUP($A474,'[152]BG (2)'!$B$9:$J$570,8,FALSE),0))*1</f>
        <v>41289251</v>
      </c>
      <c r="K474" s="73">
        <f>(+IFERROR(VLOOKUP($A474,'[152]BG (2)'!$B$9:$J$570,9,FALSE),0))*-1</f>
        <v>0</v>
      </c>
      <c r="L474" s="96"/>
      <c r="M474" s="101"/>
      <c r="P474" s="90">
        <f t="shared" si="33"/>
        <v>41289251</v>
      </c>
      <c r="R474" s="130">
        <f t="shared" si="31"/>
        <v>41289251</v>
      </c>
      <c r="S474" s="90"/>
      <c r="T474" s="131">
        <f t="shared" si="32"/>
        <v>41289251</v>
      </c>
      <c r="U474" s="95"/>
      <c r="V474" s="72"/>
      <c r="W474" s="75" t="e">
        <f>+A474-#REF!</f>
        <v>#REF!</v>
      </c>
      <c r="X474" s="1270"/>
      <c r="Y474" s="91"/>
      <c r="Z474" s="91"/>
      <c r="AA474" s="91"/>
    </row>
    <row r="475" spans="1:27" x14ac:dyDescent="0.3">
      <c r="A475">
        <v>605600</v>
      </c>
      <c r="B475" t="s">
        <v>511</v>
      </c>
      <c r="C475" t="s">
        <v>500</v>
      </c>
      <c r="D475" s="87" t="str">
        <f t="shared" si="34"/>
        <v>60</v>
      </c>
      <c r="E475" s="92"/>
      <c r="F475" s="93">
        <f>(+IFERROR(VLOOKUP($A475,'[152]BG (2)'!$B$9:$J$570,4,FALSE),0))*1</f>
        <v>0</v>
      </c>
      <c r="G475" s="73">
        <f>(+IFERROR(VLOOKUP($A475,'[152]BG (2)'!$B$9:$J$570,5,FALSE),0))*-1</f>
        <v>0</v>
      </c>
      <c r="H475" s="93">
        <f>(+IFERROR(VLOOKUP($A475,'[152]BG (2)'!$B$9:$J$570,6,FALSE),0))*1</f>
        <v>11286712</v>
      </c>
      <c r="I475" s="73">
        <f>(+IFERROR(VLOOKUP($A475,'[152]BG (2)'!$B$9:$J$570,7,FALSE),0))*-1</f>
        <v>-191669568</v>
      </c>
      <c r="J475" s="109">
        <f>(+IFERROR(VLOOKUP($A475,'[152]BG (2)'!$B$9:$J$570,8,FALSE),0))*1</f>
        <v>0</v>
      </c>
      <c r="K475" s="73">
        <f>(+IFERROR(VLOOKUP($A475,'[152]BG (2)'!$B$9:$J$570,9,FALSE),0))*-1</f>
        <v>-180382856</v>
      </c>
      <c r="L475" s="96"/>
      <c r="M475" s="101"/>
      <c r="P475" s="90">
        <f t="shared" si="33"/>
        <v>-180382856</v>
      </c>
      <c r="R475" s="130">
        <f t="shared" si="31"/>
        <v>-180382856</v>
      </c>
      <c r="S475" s="90"/>
      <c r="T475" s="131">
        <f t="shared" si="32"/>
        <v>-180382856</v>
      </c>
      <c r="U475" s="95"/>
      <c r="V475" s="72"/>
      <c r="W475" s="75" t="e">
        <f>+A475-#REF!</f>
        <v>#REF!</v>
      </c>
      <c r="X475" s="1270"/>
      <c r="Y475" s="91"/>
      <c r="Z475" s="91"/>
      <c r="AA475" s="91"/>
    </row>
    <row r="476" spans="1:27" ht="14.4" customHeight="1" x14ac:dyDescent="0.3">
      <c r="A476">
        <v>605712</v>
      </c>
      <c r="B476" s="133" t="s">
        <v>512</v>
      </c>
      <c r="C476" t="s">
        <v>513</v>
      </c>
      <c r="D476" s="87" t="str">
        <f t="shared" si="34"/>
        <v>60</v>
      </c>
      <c r="E476" s="92"/>
      <c r="F476" s="93">
        <f>(+IFERROR(VLOOKUP($A476,'[152]BG (2)'!$B$9:$J$570,4,FALSE),0))*1</f>
        <v>0</v>
      </c>
      <c r="G476" s="73">
        <f>(+IFERROR(VLOOKUP($A476,'[152]BG (2)'!$B$9:$J$570,5,FALSE),0))*-1</f>
        <v>0</v>
      </c>
      <c r="H476" s="93">
        <f>(+IFERROR(VLOOKUP($A476,'[152]BG (2)'!$B$9:$J$570,6,FALSE),0))*1</f>
        <v>4058878</v>
      </c>
      <c r="I476" s="73">
        <f>(+IFERROR(VLOOKUP($A476,'[152]BG (2)'!$B$9:$J$570,7,FALSE),0))*-1</f>
        <v>0</v>
      </c>
      <c r="J476" s="1730">
        <f>(+IFERROR(VLOOKUP($A476,'[152]BG (2)'!$B$9:$J$570,8,FALSE),0))*1</f>
        <v>4058878</v>
      </c>
      <c r="K476" s="73">
        <f>(+IFERROR(VLOOKUP($A476,'[152]BG (2)'!$B$9:$J$570,9,FALSE),0))*-1</f>
        <v>0</v>
      </c>
      <c r="L476" s="96"/>
      <c r="M476" s="101"/>
      <c r="P476" s="90">
        <f t="shared" si="33"/>
        <v>4058878</v>
      </c>
      <c r="R476" s="130">
        <f t="shared" si="31"/>
        <v>4058878</v>
      </c>
      <c r="S476" s="90"/>
      <c r="T476" s="131">
        <f>K476+J476</f>
        <v>4058878</v>
      </c>
      <c r="U476" s="95"/>
      <c r="V476" s="72"/>
      <c r="W476" s="75" t="e">
        <f>+A476-#REF!</f>
        <v>#REF!</v>
      </c>
      <c r="X476" s="1270"/>
      <c r="Y476" s="91"/>
      <c r="Z476" s="91"/>
      <c r="AA476" s="91"/>
    </row>
    <row r="477" spans="1:27" ht="14.4" customHeight="1" x14ac:dyDescent="0.3">
      <c r="A477">
        <v>605713</v>
      </c>
      <c r="B477" s="133" t="s">
        <v>514</v>
      </c>
      <c r="C477" t="s">
        <v>513</v>
      </c>
      <c r="D477" s="87" t="str">
        <f t="shared" si="34"/>
        <v>60</v>
      </c>
      <c r="E477" s="92"/>
      <c r="F477" s="93">
        <f>(+IFERROR(VLOOKUP($A477,'[152]BG (2)'!$B$9:$J$570,4,FALSE),0))*1</f>
        <v>0</v>
      </c>
      <c r="G477" s="73">
        <f>(+IFERROR(VLOOKUP($A477,'[152]BG (2)'!$B$9:$J$570,5,FALSE),0))*-1</f>
        <v>0</v>
      </c>
      <c r="H477" s="93">
        <f>(+IFERROR(VLOOKUP($A477,'[152]BG (2)'!$B$9:$J$570,6,FALSE),0))*1</f>
        <v>4739538</v>
      </c>
      <c r="I477" s="73">
        <f>(+IFERROR(VLOOKUP($A477,'[152]BG (2)'!$B$9:$J$570,7,FALSE),0))*-1</f>
        <v>0</v>
      </c>
      <c r="J477" s="1730">
        <f>(+IFERROR(VLOOKUP($A477,'[152]BG (2)'!$B$9:$J$570,8,FALSE),0))*1</f>
        <v>4739538</v>
      </c>
      <c r="K477" s="73">
        <f>(+IFERROR(VLOOKUP($A477,'[152]BG (2)'!$B$9:$J$570,9,FALSE),0))*-1</f>
        <v>0</v>
      </c>
      <c r="L477" s="96"/>
      <c r="M477" s="101"/>
      <c r="P477" s="90">
        <f t="shared" si="33"/>
        <v>4739538</v>
      </c>
      <c r="R477" s="130">
        <f t="shared" si="31"/>
        <v>4739538</v>
      </c>
      <c r="S477" s="90"/>
      <c r="T477" s="131">
        <f t="shared" si="32"/>
        <v>4739538</v>
      </c>
      <c r="U477" s="95"/>
      <c r="V477" s="72"/>
      <c r="W477" s="75" t="e">
        <f>+A477-#REF!</f>
        <v>#REF!</v>
      </c>
      <c r="X477" s="1270"/>
      <c r="Y477" s="91"/>
      <c r="Z477" s="91"/>
      <c r="AA477" s="91"/>
    </row>
    <row r="478" spans="1:27" ht="14.4" customHeight="1" x14ac:dyDescent="0.3">
      <c r="A478">
        <v>605721</v>
      </c>
      <c r="B478" s="133" t="s">
        <v>515</v>
      </c>
      <c r="C478" t="s">
        <v>513</v>
      </c>
      <c r="D478" s="87" t="str">
        <f t="shared" si="34"/>
        <v>60</v>
      </c>
      <c r="E478" s="92"/>
      <c r="F478" s="93">
        <f>(+IFERROR(VLOOKUP($A478,'[152]BG (2)'!$B$9:$J$570,4,FALSE),0))*1</f>
        <v>0</v>
      </c>
      <c r="G478" s="73">
        <f>(+IFERROR(VLOOKUP($A478,'[152]BG (2)'!$B$9:$J$570,5,FALSE),0))*-1</f>
        <v>0</v>
      </c>
      <c r="H478" s="93">
        <f>(+IFERROR(VLOOKUP($A478,'[152]BG (2)'!$B$9:$J$570,6,FALSE),0))*1</f>
        <v>0</v>
      </c>
      <c r="I478" s="73">
        <f>(+IFERROR(VLOOKUP($A478,'[152]BG (2)'!$B$9:$J$570,7,FALSE),0))*-1</f>
        <v>0</v>
      </c>
      <c r="J478" s="1730">
        <f>(+IFERROR(VLOOKUP($A478,'[152]BG (2)'!$B$9:$J$570,8,FALSE),0))*1</f>
        <v>0</v>
      </c>
      <c r="K478" s="73">
        <f>(+IFERROR(VLOOKUP($A478,'[152]BG (2)'!$B$9:$J$570,9,FALSE),0))*-1</f>
        <v>0</v>
      </c>
      <c r="L478" s="96"/>
      <c r="M478" s="101"/>
      <c r="P478" s="90">
        <f t="shared" si="33"/>
        <v>0</v>
      </c>
      <c r="R478" s="130">
        <f t="shared" si="31"/>
        <v>0</v>
      </c>
      <c r="S478" s="90"/>
      <c r="T478" s="131">
        <f t="shared" si="32"/>
        <v>0</v>
      </c>
      <c r="U478" s="95"/>
      <c r="V478" s="72"/>
      <c r="W478" s="75" t="e">
        <f>+A478-#REF!</f>
        <v>#REF!</v>
      </c>
      <c r="X478" s="1270"/>
      <c r="Y478" s="91"/>
      <c r="Z478" s="91"/>
      <c r="AA478" s="91"/>
    </row>
    <row r="479" spans="1:27" ht="14.4" customHeight="1" x14ac:dyDescent="0.3">
      <c r="A479">
        <v>605722</v>
      </c>
      <c r="B479" s="133" t="s">
        <v>516</v>
      </c>
      <c r="C479" t="s">
        <v>513</v>
      </c>
      <c r="D479" s="87" t="str">
        <f t="shared" si="34"/>
        <v>60</v>
      </c>
      <c r="E479" s="92"/>
      <c r="F479" s="93">
        <f>(+IFERROR(VLOOKUP($A479,'[152]BG (2)'!$B$9:$J$570,4,FALSE),0))*1</f>
        <v>0</v>
      </c>
      <c r="G479" s="73">
        <f>(+IFERROR(VLOOKUP($A479,'[152]BG (2)'!$B$9:$J$570,5,FALSE),0))*-1</f>
        <v>0</v>
      </c>
      <c r="H479" s="93">
        <f>(+IFERROR(VLOOKUP($A479,'[152]BG (2)'!$B$9:$J$570,6,FALSE),0))*1</f>
        <v>0</v>
      </c>
      <c r="I479" s="73">
        <f>(+IFERROR(VLOOKUP($A479,'[152]BG (2)'!$B$9:$J$570,7,FALSE),0))*-1</f>
        <v>0</v>
      </c>
      <c r="J479" s="1730">
        <f>(+IFERROR(VLOOKUP($A479,'[152]BG (2)'!$B$9:$J$570,8,FALSE),0))*1</f>
        <v>0</v>
      </c>
      <c r="K479" s="73">
        <f>(+IFERROR(VLOOKUP($A479,'[152]BG (2)'!$B$9:$J$570,9,FALSE),0))*-1</f>
        <v>0</v>
      </c>
      <c r="L479" s="96"/>
      <c r="M479" s="101"/>
      <c r="P479" s="90">
        <f t="shared" si="33"/>
        <v>0</v>
      </c>
      <c r="R479" s="130"/>
      <c r="S479" s="90"/>
      <c r="T479" s="131">
        <f t="shared" si="32"/>
        <v>0</v>
      </c>
      <c r="U479" s="95"/>
      <c r="V479" s="72"/>
      <c r="W479" s="75" t="e">
        <f>+A479-#REF!</f>
        <v>#REF!</v>
      </c>
      <c r="X479" s="1270"/>
      <c r="Y479" s="91"/>
      <c r="Z479" s="91"/>
      <c r="AA479" s="91"/>
    </row>
    <row r="480" spans="1:27" ht="14.4" customHeight="1" x14ac:dyDescent="0.3">
      <c r="A480">
        <v>605723</v>
      </c>
      <c r="B480" s="133" t="s">
        <v>517</v>
      </c>
      <c r="C480" t="s">
        <v>513</v>
      </c>
      <c r="D480" s="87" t="str">
        <f t="shared" si="34"/>
        <v>60</v>
      </c>
      <c r="E480" s="92"/>
      <c r="F480" s="93">
        <f>(+IFERROR(VLOOKUP($A480,'[152]BG (2)'!$B$9:$J$570,4,FALSE),0))*1</f>
        <v>0</v>
      </c>
      <c r="G480" s="73">
        <f>(+IFERROR(VLOOKUP($A480,'[152]BG (2)'!$B$9:$J$570,5,FALSE),0))*-1</f>
        <v>0</v>
      </c>
      <c r="H480" s="93">
        <f>(+IFERROR(VLOOKUP($A480,'[152]BG (2)'!$B$9:$J$570,6,FALSE),0))*1</f>
        <v>40534904</v>
      </c>
      <c r="I480" s="73">
        <f>(+IFERROR(VLOOKUP($A480,'[152]BG (2)'!$B$9:$J$570,7,FALSE),0))*-1</f>
        <v>0</v>
      </c>
      <c r="J480" s="1730">
        <f>(+IFERROR(VLOOKUP($A480,'[152]BG (2)'!$B$9:$J$570,8,FALSE),0))*1</f>
        <v>40534904</v>
      </c>
      <c r="K480" s="73">
        <f>(+IFERROR(VLOOKUP($A480,'[152]BG (2)'!$B$9:$J$570,9,FALSE),0))*-1</f>
        <v>0</v>
      </c>
      <c r="L480" s="96"/>
      <c r="M480" s="101"/>
      <c r="P480" s="90">
        <f t="shared" si="33"/>
        <v>40534904</v>
      </c>
      <c r="R480" s="130">
        <f t="shared" si="31"/>
        <v>40534904</v>
      </c>
      <c r="S480" s="90"/>
      <c r="T480" s="131">
        <f t="shared" si="32"/>
        <v>40534904</v>
      </c>
      <c r="U480" s="95"/>
      <c r="V480" s="72"/>
      <c r="W480" s="75" t="e">
        <f>+A480-#REF!</f>
        <v>#REF!</v>
      </c>
      <c r="X480" s="1270"/>
      <c r="Y480" s="91"/>
      <c r="Z480" s="91"/>
      <c r="AA480" s="91"/>
    </row>
    <row r="481" spans="1:27" ht="14.4" customHeight="1" x14ac:dyDescent="0.3">
      <c r="A481">
        <v>605724</v>
      </c>
      <c r="B481" s="133" t="s">
        <v>518</v>
      </c>
      <c r="C481" t="s">
        <v>513</v>
      </c>
      <c r="D481" s="87" t="str">
        <f t="shared" si="34"/>
        <v>60</v>
      </c>
      <c r="E481" s="92"/>
      <c r="F481" s="93">
        <f>(+IFERROR(VLOOKUP($A481,'[152]BG (2)'!$B$9:$J$570,4,FALSE),0))*1</f>
        <v>0</v>
      </c>
      <c r="G481" s="73">
        <f>(+IFERROR(VLOOKUP($A481,'[152]BG (2)'!$B$9:$J$570,5,FALSE),0))*-1</f>
        <v>0</v>
      </c>
      <c r="H481" s="93">
        <f>(+IFERROR(VLOOKUP($A481,'[152]BG (2)'!$B$9:$J$570,6,FALSE),0))*1</f>
        <v>0</v>
      </c>
      <c r="I481" s="73">
        <f>(+IFERROR(VLOOKUP($A481,'[152]BG (2)'!$B$9:$J$570,7,FALSE),0))*-1</f>
        <v>0</v>
      </c>
      <c r="J481" s="1730">
        <f>(+IFERROR(VLOOKUP($A481,'[152]BG (2)'!$B$9:$J$570,8,FALSE),0))*1</f>
        <v>0</v>
      </c>
      <c r="K481" s="73">
        <f>(+IFERROR(VLOOKUP($A481,'[152]BG (2)'!$B$9:$J$570,9,FALSE),0))*-1</f>
        <v>0</v>
      </c>
      <c r="L481" s="96"/>
      <c r="M481" s="101"/>
      <c r="P481" s="90">
        <f t="shared" si="33"/>
        <v>0</v>
      </c>
      <c r="R481" s="130">
        <f t="shared" si="31"/>
        <v>0</v>
      </c>
      <c r="S481" s="90"/>
      <c r="T481" s="131">
        <f t="shared" si="32"/>
        <v>0</v>
      </c>
      <c r="U481" s="95"/>
      <c r="V481" s="72"/>
      <c r="W481" s="75" t="e">
        <f>+A481-#REF!</f>
        <v>#REF!</v>
      </c>
      <c r="X481" s="1270"/>
      <c r="Y481" s="91"/>
      <c r="Z481" s="91"/>
      <c r="AA481" s="91"/>
    </row>
    <row r="482" spans="1:27" ht="14.4" customHeight="1" x14ac:dyDescent="0.3">
      <c r="A482">
        <v>605730</v>
      </c>
      <c r="B482" s="133" t="s">
        <v>519</v>
      </c>
      <c r="C482" t="s">
        <v>513</v>
      </c>
      <c r="D482" s="87" t="str">
        <f t="shared" si="34"/>
        <v>60</v>
      </c>
      <c r="E482" s="92"/>
      <c r="F482" s="93">
        <f>(+IFERROR(VLOOKUP($A482,'[152]BG (2)'!$B$9:$J$570,4,FALSE),0))*1</f>
        <v>0</v>
      </c>
      <c r="G482" s="73">
        <f>(+IFERROR(VLOOKUP($A482,'[152]BG (2)'!$B$9:$J$570,5,FALSE),0))*-1</f>
        <v>0</v>
      </c>
      <c r="H482" s="93">
        <f>(+IFERROR(VLOOKUP($A482,'[152]BG (2)'!$B$9:$J$570,6,FALSE),0))*1</f>
        <v>490032632</v>
      </c>
      <c r="I482" s="73">
        <f>(+IFERROR(VLOOKUP($A482,'[152]BG (2)'!$B$9:$J$570,7,FALSE),0))*-1</f>
        <v>-36989343</v>
      </c>
      <c r="J482" s="1730">
        <f>(+IFERROR(VLOOKUP($A482,'[152]BG (2)'!$B$9:$J$570,8,FALSE),0))*1</f>
        <v>453043289</v>
      </c>
      <c r="K482" s="73">
        <f>(+IFERROR(VLOOKUP($A482,'[152]BG (2)'!$B$9:$J$570,9,FALSE),0))*-1</f>
        <v>0</v>
      </c>
      <c r="L482" s="96"/>
      <c r="M482" s="101"/>
      <c r="P482" s="90">
        <f t="shared" si="33"/>
        <v>453043289</v>
      </c>
      <c r="R482" s="130">
        <f t="shared" si="31"/>
        <v>453043289</v>
      </c>
      <c r="S482" s="90"/>
      <c r="T482" s="131">
        <f t="shared" si="32"/>
        <v>453043289</v>
      </c>
      <c r="U482" s="95"/>
      <c r="V482" s="72"/>
      <c r="W482" s="75" t="e">
        <f>+A482-#REF!</f>
        <v>#REF!</v>
      </c>
      <c r="X482" s="1270"/>
      <c r="Y482" s="91"/>
      <c r="Z482" s="91"/>
      <c r="AA482" s="91"/>
    </row>
    <row r="483" spans="1:27" ht="14.4" customHeight="1" x14ac:dyDescent="0.3">
      <c r="A483">
        <v>605731</v>
      </c>
      <c r="B483" s="133" t="s">
        <v>520</v>
      </c>
      <c r="C483" t="s">
        <v>513</v>
      </c>
      <c r="D483" s="87" t="str">
        <f t="shared" si="34"/>
        <v>60</v>
      </c>
      <c r="E483" s="92"/>
      <c r="F483" s="93">
        <f>(+IFERROR(VLOOKUP($A483,'[152]BG (2)'!$B$9:$J$570,4,FALSE),0))*1</f>
        <v>0</v>
      </c>
      <c r="G483" s="73">
        <f>(+IFERROR(VLOOKUP($A483,'[152]BG (2)'!$B$9:$J$570,5,FALSE),0))*-1</f>
        <v>0</v>
      </c>
      <c r="H483" s="93">
        <f>(+IFERROR(VLOOKUP($A483,'[152]BG (2)'!$B$9:$J$570,6,FALSE),0))*1</f>
        <v>4519328301</v>
      </c>
      <c r="I483" s="73">
        <f>(+IFERROR(VLOOKUP($A483,'[152]BG (2)'!$B$9:$J$570,7,FALSE),0))*-1</f>
        <v>0</v>
      </c>
      <c r="J483" s="1730">
        <f>(+IFERROR(VLOOKUP($A483,'[152]BG (2)'!$B$9:$J$570,8,FALSE),0))*1</f>
        <v>4519328301</v>
      </c>
      <c r="K483" s="73">
        <f>(+IFERROR(VLOOKUP($A483,'[152]BG (2)'!$B$9:$J$570,9,FALSE),0))*-1</f>
        <v>0</v>
      </c>
      <c r="L483" s="96"/>
      <c r="M483" s="101"/>
      <c r="P483" s="90">
        <f t="shared" si="33"/>
        <v>4519328301</v>
      </c>
      <c r="R483" s="130">
        <f t="shared" si="31"/>
        <v>4519328301</v>
      </c>
      <c r="S483" s="90"/>
      <c r="T483" s="131">
        <f t="shared" si="32"/>
        <v>4519328301</v>
      </c>
      <c r="U483" s="95"/>
      <c r="V483" s="72"/>
      <c r="W483" s="75" t="e">
        <f>+A483-#REF!</f>
        <v>#REF!</v>
      </c>
      <c r="X483" s="1270"/>
      <c r="Y483" s="91"/>
      <c r="Z483" s="91"/>
      <c r="AA483" s="91"/>
    </row>
    <row r="484" spans="1:27" x14ac:dyDescent="0.3">
      <c r="A484" s="1684">
        <v>605732</v>
      </c>
      <c r="B484" s="1684" t="s">
        <v>2566</v>
      </c>
      <c r="C484" t="s">
        <v>513</v>
      </c>
      <c r="D484" s="87" t="str">
        <f>+LEFT(A484,2)</f>
        <v>60</v>
      </c>
      <c r="E484" s="92"/>
      <c r="F484" s="93">
        <f>(+IFERROR(VLOOKUP($A484,'[152]BG (2)'!$B$9:$J$570,4,FALSE),0))*1</f>
        <v>0</v>
      </c>
      <c r="G484" s="73">
        <f>(+IFERROR(VLOOKUP($A484,'[152]BG (2)'!$B$9:$J$570,5,FALSE),0))*-1</f>
        <v>0</v>
      </c>
      <c r="H484" s="93">
        <f>(+IFERROR(VLOOKUP($A484,'[152]BG (2)'!$B$9:$J$570,6,FALSE),0))*1</f>
        <v>222478751</v>
      </c>
      <c r="I484" s="73">
        <f>(+IFERROR(VLOOKUP($A484,'[152]BG (2)'!$B$9:$J$570,7,FALSE),0))*-1</f>
        <v>0</v>
      </c>
      <c r="J484" s="1729">
        <f>(+IFERROR(VLOOKUP($A484,'[152]BG (2)'!$B$9:$J$570,8,FALSE),0))*1</f>
        <v>222478751</v>
      </c>
      <c r="K484" s="73">
        <f>(+IFERROR(VLOOKUP($A484,'[152]BG (2)'!$B$9:$J$570,9,FALSE),0))*-1</f>
        <v>0</v>
      </c>
      <c r="L484" s="96"/>
      <c r="M484" s="101"/>
      <c r="P484" s="90">
        <f t="shared" si="33"/>
        <v>222478751</v>
      </c>
      <c r="R484" s="130">
        <f>J484+K484</f>
        <v>222478751</v>
      </c>
      <c r="S484" s="90"/>
      <c r="T484" s="131">
        <f>K484+J484</f>
        <v>222478751</v>
      </c>
      <c r="U484" s="95"/>
      <c r="V484" s="72"/>
      <c r="W484" s="75" t="e">
        <f>+A484-#REF!</f>
        <v>#REF!</v>
      </c>
      <c r="X484" s="1270"/>
      <c r="Y484" s="91"/>
      <c r="Z484" s="91"/>
      <c r="AA484" s="91"/>
    </row>
    <row r="485" spans="1:27" ht="14.4" customHeight="1" x14ac:dyDescent="0.3">
      <c r="A485">
        <v>605740</v>
      </c>
      <c r="B485" s="133" t="s">
        <v>521</v>
      </c>
      <c r="C485" t="s">
        <v>513</v>
      </c>
      <c r="D485" s="87" t="str">
        <f t="shared" si="34"/>
        <v>60</v>
      </c>
      <c r="E485" s="92"/>
      <c r="F485" s="93">
        <f>(+IFERROR(VLOOKUP($A485,'[152]BG (2)'!$B$9:$J$570,4,FALSE),0))*1</f>
        <v>0</v>
      </c>
      <c r="G485" s="73">
        <f>(+IFERROR(VLOOKUP($A485,'[152]BG (2)'!$B$9:$J$570,5,FALSE),0))*-1</f>
        <v>0</v>
      </c>
      <c r="H485" s="93">
        <f>(+IFERROR(VLOOKUP($A485,'[152]BG (2)'!$B$9:$J$570,6,FALSE),0))*1</f>
        <v>2236389444</v>
      </c>
      <c r="I485" s="73">
        <f>(+IFERROR(VLOOKUP($A485,'[152]BG (2)'!$B$9:$J$570,7,FALSE),0))*-1</f>
        <v>-580280</v>
      </c>
      <c r="J485" s="1730">
        <f>(+IFERROR(VLOOKUP($A485,'[152]BG (2)'!$B$9:$J$570,8,FALSE),0))*1</f>
        <v>2235809164</v>
      </c>
      <c r="K485" s="73">
        <f>(+IFERROR(VLOOKUP($A485,'[152]BG (2)'!$B$9:$J$570,9,FALSE),0))*-1</f>
        <v>0</v>
      </c>
      <c r="L485" s="96"/>
      <c r="M485" s="101"/>
      <c r="P485" s="90">
        <f t="shared" si="33"/>
        <v>2235809164</v>
      </c>
      <c r="R485" s="130">
        <f t="shared" si="31"/>
        <v>2235809164</v>
      </c>
      <c r="S485" s="90"/>
      <c r="T485" s="131">
        <f t="shared" si="32"/>
        <v>2235809164</v>
      </c>
      <c r="U485" s="95"/>
      <c r="V485" s="72"/>
      <c r="W485" s="75" t="e">
        <f>+A485-#REF!</f>
        <v>#REF!</v>
      </c>
      <c r="X485" s="1270"/>
      <c r="Y485" s="91"/>
      <c r="Z485" s="91"/>
      <c r="AA485" s="91"/>
    </row>
    <row r="486" spans="1:27" x14ac:dyDescent="0.3">
      <c r="A486">
        <v>605780</v>
      </c>
      <c r="B486" s="133" t="s">
        <v>522</v>
      </c>
      <c r="C486" t="s">
        <v>513</v>
      </c>
      <c r="D486" s="87" t="str">
        <f t="shared" si="34"/>
        <v>60</v>
      </c>
      <c r="E486" s="92"/>
      <c r="F486" s="93">
        <f>(+IFERROR(VLOOKUP($A486,'[152]BG (2)'!$B$9:$J$570,4,FALSE),0))*1</f>
        <v>0</v>
      </c>
      <c r="G486" s="73">
        <f>(+IFERROR(VLOOKUP($A486,'[152]BG (2)'!$B$9:$J$570,5,FALSE),0))*-1</f>
        <v>0</v>
      </c>
      <c r="H486" s="93">
        <f>(+IFERROR(VLOOKUP($A486,'[152]BG (2)'!$B$9:$J$570,6,FALSE),0))*1</f>
        <v>0</v>
      </c>
      <c r="I486" s="73">
        <f>(+IFERROR(VLOOKUP($A486,'[152]BG (2)'!$B$9:$J$570,7,FALSE),0))*-1</f>
        <v>0</v>
      </c>
      <c r="J486" s="107">
        <f>(+IFERROR(VLOOKUP($A486,'[152]BG (2)'!$B$9:$J$570,8,FALSE),0))*1</f>
        <v>0</v>
      </c>
      <c r="K486" s="73">
        <f>(+IFERROR(VLOOKUP($A486,'[152]BG (2)'!$B$9:$J$570,9,FALSE),0))*-1</f>
        <v>0</v>
      </c>
      <c r="L486" s="96"/>
      <c r="M486" s="101"/>
      <c r="P486" s="90">
        <f t="shared" si="33"/>
        <v>0</v>
      </c>
      <c r="R486" s="130">
        <f t="shared" si="31"/>
        <v>0</v>
      </c>
      <c r="S486" s="90"/>
      <c r="T486" s="131">
        <f t="shared" si="32"/>
        <v>0</v>
      </c>
      <c r="U486" s="95"/>
      <c r="V486" s="72"/>
      <c r="W486" s="75" t="e">
        <f>+A486-#REF!</f>
        <v>#REF!</v>
      </c>
      <c r="X486" s="1270"/>
      <c r="Y486" s="91"/>
      <c r="Z486" s="91"/>
      <c r="AA486" s="91"/>
    </row>
    <row r="487" spans="1:27" x14ac:dyDescent="0.3">
      <c r="A487">
        <v>605800</v>
      </c>
      <c r="B487" t="s">
        <v>523</v>
      </c>
      <c r="C487" t="s">
        <v>500</v>
      </c>
      <c r="D487" s="87" t="str">
        <f t="shared" si="34"/>
        <v>60</v>
      </c>
      <c r="E487" s="92"/>
      <c r="F487" s="93">
        <f>(+IFERROR(VLOOKUP($A487,'[152]BG (2)'!$B$9:$J$570,4,FALSE),0))*1</f>
        <v>0</v>
      </c>
      <c r="G487" s="73">
        <f>(+IFERROR(VLOOKUP($A487,'[152]BG (2)'!$B$9:$J$570,5,FALSE),0))*-1</f>
        <v>0</v>
      </c>
      <c r="H487" s="93">
        <f>(+IFERROR(VLOOKUP($A487,'[152]BG (2)'!$B$9:$J$570,6,FALSE),0))*1</f>
        <v>0</v>
      </c>
      <c r="I487" s="73">
        <f>(+IFERROR(VLOOKUP($A487,'[152]BG (2)'!$B$9:$J$570,7,FALSE),0))*-1</f>
        <v>0</v>
      </c>
      <c r="J487" s="109">
        <f>(+IFERROR(VLOOKUP($A487,'[152]BG (2)'!$B$9:$J$570,8,FALSE),0))*1</f>
        <v>0</v>
      </c>
      <c r="K487" s="73">
        <f>(+IFERROR(VLOOKUP($A487,'[152]BG (2)'!$B$9:$J$570,9,FALSE),0))*-1</f>
        <v>0</v>
      </c>
      <c r="L487" s="96"/>
      <c r="M487" s="101"/>
      <c r="P487" s="90">
        <f t="shared" si="33"/>
        <v>0</v>
      </c>
      <c r="R487" s="130">
        <f t="shared" si="31"/>
        <v>0</v>
      </c>
      <c r="S487" s="90"/>
      <c r="T487" s="131">
        <f t="shared" si="32"/>
        <v>0</v>
      </c>
      <c r="U487" s="95"/>
      <c r="V487" s="72"/>
      <c r="W487" s="75" t="e">
        <f>+A487-#REF!</f>
        <v>#REF!</v>
      </c>
      <c r="X487" s="1270"/>
      <c r="Y487" s="91"/>
      <c r="Z487" s="91"/>
      <c r="AA487" s="91"/>
    </row>
    <row r="488" spans="1:27" ht="14.4" customHeight="1" x14ac:dyDescent="0.3">
      <c r="A488">
        <v>614200</v>
      </c>
      <c r="B488" t="s">
        <v>524</v>
      </c>
      <c r="C488" t="s">
        <v>500</v>
      </c>
      <c r="D488" s="87" t="str">
        <f t="shared" si="34"/>
        <v>61</v>
      </c>
      <c r="E488" s="92"/>
      <c r="F488" s="93">
        <f>(+IFERROR(VLOOKUP($A488,'[152]BG (2)'!$B$9:$J$570,4,FALSE),0))*1</f>
        <v>0</v>
      </c>
      <c r="G488" s="73">
        <f>(+IFERROR(VLOOKUP($A488,'[152]BG (2)'!$B$9:$J$570,5,FALSE),0))*-1</f>
        <v>0</v>
      </c>
      <c r="H488" s="93">
        <f>(+IFERROR(VLOOKUP($A488,'[152]BG (2)'!$B$9:$J$570,6,FALSE),0))*1</f>
        <v>1227568</v>
      </c>
      <c r="I488" s="73">
        <f>(+IFERROR(VLOOKUP($A488,'[152]BG (2)'!$B$9:$J$570,7,FALSE),0))*-1</f>
        <v>0</v>
      </c>
      <c r="J488" s="109">
        <f>(+IFERROR(VLOOKUP($A488,'[152]BG (2)'!$B$9:$J$570,8,FALSE),0))*1</f>
        <v>1227568</v>
      </c>
      <c r="K488" s="73">
        <f>(+IFERROR(VLOOKUP($A488,'[152]BG (2)'!$B$9:$J$570,9,FALSE),0))*-1</f>
        <v>0</v>
      </c>
      <c r="L488" s="96"/>
      <c r="M488" s="101"/>
      <c r="P488" s="90">
        <f t="shared" si="33"/>
        <v>1227568</v>
      </c>
      <c r="R488" s="130">
        <f t="shared" si="31"/>
        <v>1227568</v>
      </c>
      <c r="S488" s="90"/>
      <c r="T488" s="131">
        <f t="shared" si="32"/>
        <v>1227568</v>
      </c>
      <c r="U488" s="95"/>
      <c r="V488" s="72"/>
      <c r="W488" s="75" t="e">
        <f>+A488-#REF!</f>
        <v>#REF!</v>
      </c>
      <c r="X488" s="1270"/>
      <c r="Y488" s="91"/>
      <c r="Z488" s="91"/>
      <c r="AA488" s="91"/>
    </row>
    <row r="489" spans="1:27" ht="14.4" customHeight="1" x14ac:dyDescent="0.3">
      <c r="A489">
        <v>616100</v>
      </c>
      <c r="B489" t="s">
        <v>525</v>
      </c>
      <c r="C489" t="s">
        <v>500</v>
      </c>
      <c r="D489" s="87" t="str">
        <f t="shared" si="34"/>
        <v>61</v>
      </c>
      <c r="E489" s="92"/>
      <c r="F489" s="93">
        <f>(+IFERROR(VLOOKUP($A489,'[152]BG (2)'!$B$9:$J$570,4,FALSE),0))*1</f>
        <v>0</v>
      </c>
      <c r="G489" s="73">
        <f>(+IFERROR(VLOOKUP($A489,'[152]BG (2)'!$B$9:$J$570,5,FALSE),0))*-1</f>
        <v>0</v>
      </c>
      <c r="H489" s="93">
        <f>(+IFERROR(VLOOKUP($A489,'[152]BG (2)'!$B$9:$J$570,6,FALSE),0))*1</f>
        <v>42879957</v>
      </c>
      <c r="I489" s="73">
        <f>(+IFERROR(VLOOKUP($A489,'[152]BG (2)'!$B$9:$J$570,7,FALSE),0))*-1</f>
        <v>0</v>
      </c>
      <c r="J489" s="109">
        <f>(+IFERROR(VLOOKUP($A489,'[152]BG (2)'!$B$9:$J$570,8,FALSE),0))*1</f>
        <v>42879957</v>
      </c>
      <c r="K489" s="73">
        <f>(+IFERROR(VLOOKUP($A489,'[152]BG (2)'!$B$9:$J$570,9,FALSE),0))*-1</f>
        <v>0</v>
      </c>
      <c r="L489" s="96"/>
      <c r="M489" s="101"/>
      <c r="P489" s="90">
        <f t="shared" si="33"/>
        <v>42879957</v>
      </c>
      <c r="R489" s="130">
        <f t="shared" si="31"/>
        <v>42879957</v>
      </c>
      <c r="S489" s="90"/>
      <c r="T489" s="131">
        <f t="shared" si="32"/>
        <v>42879957</v>
      </c>
      <c r="U489" s="95"/>
      <c r="V489" s="72"/>
      <c r="W489" s="75" t="e">
        <f>+A489-#REF!</f>
        <v>#REF!</v>
      </c>
      <c r="X489" s="1270"/>
      <c r="Y489" s="91"/>
      <c r="Z489" s="91"/>
      <c r="AA489" s="91"/>
    </row>
    <row r="490" spans="1:27" ht="14.4" customHeight="1" x14ac:dyDescent="0.3">
      <c r="A490">
        <v>618100</v>
      </c>
      <c r="B490" t="s">
        <v>526</v>
      </c>
      <c r="C490" t="s">
        <v>500</v>
      </c>
      <c r="D490" s="87" t="str">
        <f t="shared" si="34"/>
        <v>61</v>
      </c>
      <c r="E490" s="92"/>
      <c r="F490" s="93">
        <f>(+IFERROR(VLOOKUP($A490,'[152]BG (2)'!$B$9:$J$570,4,FALSE),0))*1</f>
        <v>0</v>
      </c>
      <c r="G490" s="73">
        <f>(+IFERROR(VLOOKUP($A490,'[152]BG (2)'!$B$9:$J$570,5,FALSE),0))*-1</f>
        <v>0</v>
      </c>
      <c r="H490" s="93">
        <f>(+IFERROR(VLOOKUP($A490,'[152]BG (2)'!$B$9:$J$570,6,FALSE),0))*1</f>
        <v>140670675</v>
      </c>
      <c r="I490" s="73">
        <f>(+IFERROR(VLOOKUP($A490,'[152]BG (2)'!$B$9:$J$570,7,FALSE),0))*-1</f>
        <v>0</v>
      </c>
      <c r="J490" s="109">
        <f>(+IFERROR(VLOOKUP($A490,'[152]BG (2)'!$B$9:$J$570,8,FALSE),0))*1</f>
        <v>140670675</v>
      </c>
      <c r="K490" s="73">
        <f>(+IFERROR(VLOOKUP($A490,'[152]BG (2)'!$B$9:$J$570,9,FALSE),0))*-1</f>
        <v>0</v>
      </c>
      <c r="L490" s="96"/>
      <c r="M490" s="101"/>
      <c r="P490" s="90">
        <f t="shared" si="33"/>
        <v>140670675</v>
      </c>
      <c r="R490" s="130">
        <f t="shared" si="31"/>
        <v>140670675</v>
      </c>
      <c r="S490" s="90"/>
      <c r="T490" s="131">
        <f t="shared" si="32"/>
        <v>140670675</v>
      </c>
      <c r="U490" s="95"/>
      <c r="V490" s="72"/>
      <c r="W490" s="75" t="e">
        <f>+A490-#REF!</f>
        <v>#REF!</v>
      </c>
      <c r="X490" s="1270"/>
      <c r="Y490" s="91"/>
      <c r="Z490" s="91"/>
      <c r="AA490" s="91"/>
    </row>
    <row r="491" spans="1:27" ht="14.4" customHeight="1" x14ac:dyDescent="0.3">
      <c r="A491">
        <v>618800</v>
      </c>
      <c r="B491" t="s">
        <v>527</v>
      </c>
      <c r="C491" t="s">
        <v>500</v>
      </c>
      <c r="D491" s="87" t="str">
        <f t="shared" si="34"/>
        <v>61</v>
      </c>
      <c r="E491" s="92"/>
      <c r="F491" s="93">
        <f>(+IFERROR(VLOOKUP($A491,'[152]BG (2)'!$B$9:$J$570,4,FALSE),0))*1</f>
        <v>0</v>
      </c>
      <c r="G491" s="73">
        <f>(+IFERROR(VLOOKUP($A491,'[152]BG (2)'!$B$9:$J$570,5,FALSE),0))*-1</f>
        <v>0</v>
      </c>
      <c r="H491" s="93">
        <f>(+IFERROR(VLOOKUP($A491,'[152]BG (2)'!$B$9:$J$570,6,FALSE),0))*1</f>
        <v>330508</v>
      </c>
      <c r="I491" s="73">
        <f>(+IFERROR(VLOOKUP($A491,'[152]BG (2)'!$B$9:$J$570,7,FALSE),0))*-1</f>
        <v>0</v>
      </c>
      <c r="J491" s="109">
        <f>(+IFERROR(VLOOKUP($A491,'[152]BG (2)'!$B$9:$J$570,8,FALSE),0))*1</f>
        <v>330508</v>
      </c>
      <c r="K491" s="73">
        <f>(+IFERROR(VLOOKUP($A491,'[152]BG (2)'!$B$9:$J$570,9,FALSE),0))*-1</f>
        <v>0</v>
      </c>
      <c r="L491" s="96"/>
      <c r="M491" s="101"/>
      <c r="P491" s="90">
        <f t="shared" si="33"/>
        <v>330508</v>
      </c>
      <c r="R491" s="130">
        <f t="shared" si="31"/>
        <v>330508</v>
      </c>
      <c r="S491" s="90"/>
      <c r="T491" s="131">
        <f t="shared" si="32"/>
        <v>330508</v>
      </c>
      <c r="U491" s="95"/>
      <c r="V491" s="72"/>
      <c r="W491" s="75" t="e">
        <f>+A491-#REF!</f>
        <v>#REF!</v>
      </c>
      <c r="X491" s="1270"/>
      <c r="Y491" s="91"/>
      <c r="Z491" s="91"/>
      <c r="AA491" s="91"/>
    </row>
    <row r="492" spans="1:27" ht="14.4" customHeight="1" x14ac:dyDescent="0.3">
      <c r="A492">
        <v>622100</v>
      </c>
      <c r="B492" t="s">
        <v>528</v>
      </c>
      <c r="C492" t="s">
        <v>529</v>
      </c>
      <c r="D492" s="87" t="str">
        <f t="shared" si="34"/>
        <v>62</v>
      </c>
      <c r="E492" s="92"/>
      <c r="F492" s="93">
        <f>(+IFERROR(VLOOKUP($A492,'[152]BG (2)'!$B$9:$J$570,4,FALSE),0))*1</f>
        <v>0</v>
      </c>
      <c r="G492" s="73">
        <f>(+IFERROR(VLOOKUP($A492,'[152]BG (2)'!$B$9:$J$570,5,FALSE),0))*-1</f>
        <v>0</v>
      </c>
      <c r="H492" s="93">
        <f>(+IFERROR(VLOOKUP($A492,'[152]BG (2)'!$B$9:$J$570,6,FALSE),0))*1</f>
        <v>794895020</v>
      </c>
      <c r="I492" s="73">
        <f>(+IFERROR(VLOOKUP($A492,'[152]BG (2)'!$B$9:$J$570,7,FALSE),0))*-1</f>
        <v>-9257124</v>
      </c>
      <c r="J492" s="109">
        <f>(+IFERROR(VLOOKUP($A492,'[152]BG (2)'!$B$9:$J$570,8,FALSE),0))*1</f>
        <v>785637896</v>
      </c>
      <c r="K492" s="73">
        <f>(+IFERROR(VLOOKUP($A492,'[152]BG (2)'!$B$9:$J$570,9,FALSE),0))*-1</f>
        <v>0</v>
      </c>
      <c r="L492" s="96"/>
      <c r="M492" s="101"/>
      <c r="P492" s="90">
        <f t="shared" si="33"/>
        <v>785637896</v>
      </c>
      <c r="R492" s="130">
        <f t="shared" si="31"/>
        <v>785637896</v>
      </c>
      <c r="S492" s="90"/>
      <c r="T492" s="131">
        <f t="shared" si="32"/>
        <v>785637896</v>
      </c>
      <c r="U492" s="95"/>
      <c r="V492" s="72"/>
      <c r="W492" s="75" t="e">
        <f>+A492-#REF!</f>
        <v>#REF!</v>
      </c>
      <c r="X492" s="1270"/>
      <c r="Y492" s="91"/>
      <c r="Z492" s="91"/>
      <c r="AA492" s="91"/>
    </row>
    <row r="493" spans="1:27" ht="14.4" customHeight="1" x14ac:dyDescent="0.3">
      <c r="A493">
        <v>622210</v>
      </c>
      <c r="B493" t="s">
        <v>530</v>
      </c>
      <c r="C493" t="s">
        <v>529</v>
      </c>
      <c r="D493" s="87" t="str">
        <f t="shared" si="34"/>
        <v>62</v>
      </c>
      <c r="E493" s="92"/>
      <c r="F493" s="93">
        <f>(+IFERROR(VLOOKUP($A493,'[152]BG (2)'!$B$9:$J$570,4,FALSE),0))*1</f>
        <v>0</v>
      </c>
      <c r="G493" s="73">
        <f>(+IFERROR(VLOOKUP($A493,'[152]BG (2)'!$B$9:$J$570,5,FALSE),0))*-1</f>
        <v>0</v>
      </c>
      <c r="H493" s="93">
        <f>(+IFERROR(VLOOKUP($A493,'[152]BG (2)'!$B$9:$J$570,6,FALSE),0))*1</f>
        <v>632741341</v>
      </c>
      <c r="I493" s="73">
        <f>(+IFERROR(VLOOKUP($A493,'[152]BG (2)'!$B$9:$J$570,7,FALSE),0))*-1</f>
        <v>-37944435</v>
      </c>
      <c r="J493" s="109">
        <f>(+IFERROR(VLOOKUP($A493,'[152]BG (2)'!$B$9:$J$570,8,FALSE),0))*1</f>
        <v>594796906</v>
      </c>
      <c r="K493" s="73">
        <f>(+IFERROR(VLOOKUP($A493,'[152]BG (2)'!$B$9:$J$570,9,FALSE),0))*-1</f>
        <v>0</v>
      </c>
      <c r="L493" s="96"/>
      <c r="M493" s="101"/>
      <c r="P493" s="90">
        <f t="shared" si="33"/>
        <v>594796906</v>
      </c>
      <c r="R493" s="130">
        <f t="shared" si="31"/>
        <v>594796906</v>
      </c>
      <c r="S493" s="90"/>
      <c r="T493" s="131">
        <f t="shared" si="32"/>
        <v>594796906</v>
      </c>
      <c r="U493" s="95"/>
      <c r="V493" s="72"/>
      <c r="W493" s="75" t="e">
        <f>+A493-#REF!</f>
        <v>#REF!</v>
      </c>
      <c r="X493" s="1270"/>
      <c r="Y493" s="91"/>
      <c r="Z493" s="91"/>
      <c r="AA493" s="91"/>
    </row>
    <row r="494" spans="1:27" ht="14.4" customHeight="1" x14ac:dyDescent="0.3">
      <c r="A494">
        <v>622230</v>
      </c>
      <c r="B494" t="s">
        <v>531</v>
      </c>
      <c r="C494" t="s">
        <v>529</v>
      </c>
      <c r="D494" s="87" t="str">
        <f t="shared" si="34"/>
        <v>62</v>
      </c>
      <c r="E494" s="92"/>
      <c r="F494" s="93">
        <f>(+IFERROR(VLOOKUP($A494,'[152]BG (2)'!$B$9:$J$570,4,FALSE),0))*1</f>
        <v>0</v>
      </c>
      <c r="G494" s="73">
        <f>(+IFERROR(VLOOKUP($A494,'[152]BG (2)'!$B$9:$J$570,5,FALSE),0))*-1</f>
        <v>0</v>
      </c>
      <c r="H494" s="93">
        <f>(+IFERROR(VLOOKUP($A494,'[152]BG (2)'!$B$9:$J$570,6,FALSE),0))*1</f>
        <v>129036000</v>
      </c>
      <c r="I494" s="73">
        <f>(+IFERROR(VLOOKUP($A494,'[152]BG (2)'!$B$9:$J$570,7,FALSE),0))*-1</f>
        <v>0</v>
      </c>
      <c r="J494" s="109">
        <f>(+IFERROR(VLOOKUP($A494,'[152]BG (2)'!$B$9:$J$570,8,FALSE),0))*1</f>
        <v>129036000</v>
      </c>
      <c r="K494" s="73">
        <f>(+IFERROR(VLOOKUP($A494,'[152]BG (2)'!$B$9:$J$570,9,FALSE),0))*-1</f>
        <v>0</v>
      </c>
      <c r="L494" s="96"/>
      <c r="M494" s="101"/>
      <c r="P494" s="90">
        <f t="shared" si="33"/>
        <v>129036000</v>
      </c>
      <c r="R494" s="130">
        <f t="shared" si="31"/>
        <v>129036000</v>
      </c>
      <c r="S494" s="90"/>
      <c r="T494" s="131">
        <f t="shared" si="32"/>
        <v>129036000</v>
      </c>
      <c r="U494" s="95"/>
      <c r="V494" s="72"/>
      <c r="W494" s="75" t="e">
        <f>+A494-#REF!</f>
        <v>#REF!</v>
      </c>
      <c r="X494" s="1270"/>
      <c r="Y494" s="91"/>
      <c r="Z494" s="91"/>
      <c r="AA494" s="91"/>
    </row>
    <row r="495" spans="1:27" ht="14.4" customHeight="1" x14ac:dyDescent="0.3">
      <c r="A495">
        <v>622240</v>
      </c>
      <c r="B495" t="s">
        <v>532</v>
      </c>
      <c r="C495" t="s">
        <v>529</v>
      </c>
      <c r="D495" s="87" t="str">
        <f t="shared" si="34"/>
        <v>62</v>
      </c>
      <c r="E495" s="92"/>
      <c r="F495" s="93">
        <f>(+IFERROR(VLOOKUP($A495,'[152]BG (2)'!$B$9:$J$570,4,FALSE),0))*1</f>
        <v>0</v>
      </c>
      <c r="G495" s="73">
        <f>(+IFERROR(VLOOKUP($A495,'[152]BG (2)'!$B$9:$J$570,5,FALSE),0))*-1</f>
        <v>0</v>
      </c>
      <c r="H495" s="93">
        <f>(+IFERROR(VLOOKUP($A495,'[152]BG (2)'!$B$9:$J$570,6,FALSE),0))*1</f>
        <v>155426669</v>
      </c>
      <c r="I495" s="73">
        <f>(+IFERROR(VLOOKUP($A495,'[152]BG (2)'!$B$9:$J$570,7,FALSE),0))*-1</f>
        <v>2608940</v>
      </c>
      <c r="J495" s="109">
        <f>(+IFERROR(VLOOKUP($A495,'[152]BG (2)'!$B$9:$J$570,8,FALSE),0))*1</f>
        <v>158035609</v>
      </c>
      <c r="K495" s="73">
        <f>(+IFERROR(VLOOKUP($A495,'[152]BG (2)'!$B$9:$J$570,9,FALSE),0))*-1</f>
        <v>0</v>
      </c>
      <c r="L495" s="96"/>
      <c r="M495" s="101"/>
      <c r="P495" s="90">
        <f t="shared" si="33"/>
        <v>158035609</v>
      </c>
      <c r="R495" s="130">
        <f t="shared" si="31"/>
        <v>158035609</v>
      </c>
      <c r="S495" s="90"/>
      <c r="T495" s="131">
        <f t="shared" si="32"/>
        <v>158035609</v>
      </c>
      <c r="U495" s="95"/>
      <c r="V495" s="72"/>
      <c r="W495" s="75" t="e">
        <f>+A495-#REF!</f>
        <v>#REF!</v>
      </c>
      <c r="X495" s="1270"/>
      <c r="Y495" s="91"/>
      <c r="Z495" s="91"/>
      <c r="AA495" s="91"/>
    </row>
    <row r="496" spans="1:27" ht="14.4" customHeight="1" x14ac:dyDescent="0.3">
      <c r="A496">
        <v>622310</v>
      </c>
      <c r="B496" t="s">
        <v>533</v>
      </c>
      <c r="C496" t="s">
        <v>529</v>
      </c>
      <c r="D496" s="87" t="str">
        <f t="shared" si="34"/>
        <v>62</v>
      </c>
      <c r="E496" s="92"/>
      <c r="F496" s="93">
        <f>(+IFERROR(VLOOKUP($A496,'[152]BG (2)'!$B$9:$J$570,4,FALSE),0))*1</f>
        <v>0</v>
      </c>
      <c r="G496" s="73">
        <f>(+IFERROR(VLOOKUP($A496,'[152]BG (2)'!$B$9:$J$570,5,FALSE),0))*-1</f>
        <v>0</v>
      </c>
      <c r="H496" s="93">
        <f>(+IFERROR(VLOOKUP($A496,'[152]BG (2)'!$B$9:$J$570,6,FALSE),0))*1</f>
        <v>276317138</v>
      </c>
      <c r="I496" s="73">
        <f>(+IFERROR(VLOOKUP($A496,'[152]BG (2)'!$B$9:$J$570,7,FALSE),0))*-1</f>
        <v>0</v>
      </c>
      <c r="J496" s="109">
        <f>(+IFERROR(VLOOKUP($A496,'[152]BG (2)'!$B$9:$J$570,8,FALSE),0))*1</f>
        <v>276317138</v>
      </c>
      <c r="K496" s="73">
        <f>(+IFERROR(VLOOKUP($A496,'[152]BG (2)'!$B$9:$J$570,9,FALSE),0))*-1</f>
        <v>0</v>
      </c>
      <c r="L496" s="96"/>
      <c r="M496" s="101"/>
      <c r="P496" s="90">
        <f t="shared" si="33"/>
        <v>276317138</v>
      </c>
      <c r="R496" s="130">
        <f t="shared" si="31"/>
        <v>276317138</v>
      </c>
      <c r="S496" s="90"/>
      <c r="T496" s="131">
        <f t="shared" si="32"/>
        <v>276317138</v>
      </c>
      <c r="U496" s="95"/>
      <c r="V496" s="72"/>
      <c r="W496" s="75" t="e">
        <f>+A496-#REF!</f>
        <v>#REF!</v>
      </c>
      <c r="X496" s="1270"/>
      <c r="Y496" s="91"/>
      <c r="Z496" s="91"/>
      <c r="AA496" s="91"/>
    </row>
    <row r="497" spans="1:27" ht="14.4" customHeight="1" x14ac:dyDescent="0.3">
      <c r="A497">
        <v>622320</v>
      </c>
      <c r="B497" t="s">
        <v>534</v>
      </c>
      <c r="C497" t="s">
        <v>529</v>
      </c>
      <c r="D497" s="87" t="str">
        <f t="shared" si="34"/>
        <v>62</v>
      </c>
      <c r="E497" s="92"/>
      <c r="F497" s="93">
        <f>(+IFERROR(VLOOKUP($A497,'[152]BG (2)'!$B$9:$J$570,4,FALSE),0))*1</f>
        <v>0</v>
      </c>
      <c r="G497" s="73">
        <f>(+IFERROR(VLOOKUP($A497,'[152]BG (2)'!$B$9:$J$570,5,FALSE),0))*-1</f>
        <v>0</v>
      </c>
      <c r="H497" s="93">
        <f>(+IFERROR(VLOOKUP($A497,'[152]BG (2)'!$B$9:$J$570,6,FALSE),0))*1</f>
        <v>19022757</v>
      </c>
      <c r="I497" s="73">
        <f>(+IFERROR(VLOOKUP($A497,'[152]BG (2)'!$B$9:$J$570,7,FALSE),0))*-1</f>
        <v>0</v>
      </c>
      <c r="J497" s="109">
        <f>(+IFERROR(VLOOKUP($A497,'[152]BG (2)'!$B$9:$J$570,8,FALSE),0))*1</f>
        <v>19022757</v>
      </c>
      <c r="K497" s="73">
        <f>(+IFERROR(VLOOKUP($A497,'[152]BG (2)'!$B$9:$J$570,9,FALSE),0))*-1</f>
        <v>0</v>
      </c>
      <c r="L497" s="96"/>
      <c r="M497" s="101"/>
      <c r="P497" s="90">
        <f t="shared" si="33"/>
        <v>19022757</v>
      </c>
      <c r="R497" s="130">
        <f t="shared" si="31"/>
        <v>19022757</v>
      </c>
      <c r="S497" s="90"/>
      <c r="T497" s="131">
        <f t="shared" si="32"/>
        <v>19022757</v>
      </c>
      <c r="U497" s="95"/>
      <c r="V497" s="72"/>
      <c r="W497" s="75" t="e">
        <f>+A497-#REF!</f>
        <v>#REF!</v>
      </c>
      <c r="X497" s="1270"/>
      <c r="Y497" s="91"/>
      <c r="Z497" s="91"/>
      <c r="AA497" s="91"/>
    </row>
    <row r="498" spans="1:27" ht="14.4" customHeight="1" x14ac:dyDescent="0.3">
      <c r="A498">
        <v>622330</v>
      </c>
      <c r="B498" t="s">
        <v>535</v>
      </c>
      <c r="C498" t="s">
        <v>529</v>
      </c>
      <c r="D498" s="87" t="str">
        <f t="shared" si="34"/>
        <v>62</v>
      </c>
      <c r="E498" s="92"/>
      <c r="F498" s="93">
        <f>(+IFERROR(VLOOKUP($A498,'[152]BG (2)'!$B$9:$J$570,4,FALSE),0))*1</f>
        <v>0</v>
      </c>
      <c r="G498" s="73">
        <f>(+IFERROR(VLOOKUP($A498,'[152]BG (2)'!$B$9:$J$570,5,FALSE),0))*-1</f>
        <v>0</v>
      </c>
      <c r="H498" s="93">
        <f>(+IFERROR(VLOOKUP($A498,'[152]BG (2)'!$B$9:$J$570,6,FALSE),0))*1</f>
        <v>0</v>
      </c>
      <c r="I498" s="73">
        <f>(+IFERROR(VLOOKUP($A498,'[152]BG (2)'!$B$9:$J$570,7,FALSE),0))*-1</f>
        <v>0</v>
      </c>
      <c r="J498" s="109">
        <f>(+IFERROR(VLOOKUP($A498,'[152]BG (2)'!$B$9:$J$570,8,FALSE),0))*1</f>
        <v>0</v>
      </c>
      <c r="K498" s="73">
        <f>(+IFERROR(VLOOKUP($A498,'[152]BG (2)'!$B$9:$J$570,9,FALSE),0))*-1</f>
        <v>0</v>
      </c>
      <c r="L498" s="96"/>
      <c r="M498" s="101"/>
      <c r="P498" s="90">
        <f t="shared" si="33"/>
        <v>0</v>
      </c>
      <c r="R498" s="130">
        <f t="shared" si="31"/>
        <v>0</v>
      </c>
      <c r="S498" s="90"/>
      <c r="T498" s="131">
        <f t="shared" si="32"/>
        <v>0</v>
      </c>
      <c r="U498" s="95"/>
      <c r="V498" s="72"/>
      <c r="W498" s="75" t="e">
        <f>+A498-#REF!</f>
        <v>#REF!</v>
      </c>
      <c r="X498" s="1270"/>
      <c r="Y498" s="91"/>
      <c r="Z498" s="91"/>
      <c r="AA498" s="91"/>
    </row>
    <row r="499" spans="1:27" ht="14.4" customHeight="1" x14ac:dyDescent="0.3">
      <c r="A499">
        <v>622350</v>
      </c>
      <c r="B499" t="s">
        <v>536</v>
      </c>
      <c r="C499" t="s">
        <v>529</v>
      </c>
      <c r="D499" s="87" t="str">
        <f t="shared" si="34"/>
        <v>62</v>
      </c>
      <c r="E499" s="92"/>
      <c r="F499" s="93">
        <f>(+IFERROR(VLOOKUP($A499,'[152]BG (2)'!$B$9:$J$570,4,FALSE),0))*1</f>
        <v>0</v>
      </c>
      <c r="G499" s="73">
        <f>(+IFERROR(VLOOKUP($A499,'[152]BG (2)'!$B$9:$J$570,5,FALSE),0))*-1</f>
        <v>0</v>
      </c>
      <c r="H499" s="93">
        <f>(+IFERROR(VLOOKUP($A499,'[152]BG (2)'!$B$9:$J$570,6,FALSE),0))*1</f>
        <v>2140215860</v>
      </c>
      <c r="I499" s="73">
        <f>(+IFERROR(VLOOKUP($A499,'[152]BG (2)'!$B$9:$J$570,7,FALSE),0))*-1</f>
        <v>-12717960</v>
      </c>
      <c r="J499" s="109">
        <f>(+IFERROR(VLOOKUP($A499,'[152]BG (2)'!$B$9:$J$570,8,FALSE),0))*1</f>
        <v>2127497900</v>
      </c>
      <c r="K499" s="73">
        <f>(+IFERROR(VLOOKUP($A499,'[152]BG (2)'!$B$9:$J$570,9,FALSE),0))*-1</f>
        <v>0</v>
      </c>
      <c r="L499" s="96"/>
      <c r="M499" s="101"/>
      <c r="P499" s="90">
        <f t="shared" si="33"/>
        <v>2127497900</v>
      </c>
      <c r="R499" s="130">
        <f t="shared" si="31"/>
        <v>2127497900</v>
      </c>
      <c r="S499" s="90"/>
      <c r="T499" s="131">
        <f t="shared" si="32"/>
        <v>2127497900</v>
      </c>
      <c r="U499" s="95"/>
      <c r="V499" s="72"/>
      <c r="W499" s="75" t="e">
        <f>+A499-#REF!</f>
        <v>#REF!</v>
      </c>
      <c r="X499" s="1270"/>
      <c r="Y499" s="91"/>
      <c r="Z499" s="91"/>
      <c r="AA499" s="91"/>
    </row>
    <row r="500" spans="1:27" ht="14.4" customHeight="1" x14ac:dyDescent="0.3">
      <c r="A500">
        <v>622360</v>
      </c>
      <c r="B500" t="s">
        <v>537</v>
      </c>
      <c r="C500" t="s">
        <v>529</v>
      </c>
      <c r="D500" s="87" t="str">
        <f t="shared" si="34"/>
        <v>62</v>
      </c>
      <c r="E500" s="92"/>
      <c r="F500" s="93">
        <f>(+IFERROR(VLOOKUP($A500,'[152]BG (2)'!$B$9:$J$570,4,FALSE),0))*1</f>
        <v>0</v>
      </c>
      <c r="G500" s="73">
        <f>(+IFERROR(VLOOKUP($A500,'[152]BG (2)'!$B$9:$J$570,5,FALSE),0))*-1</f>
        <v>0</v>
      </c>
      <c r="H500" s="93">
        <f>(+IFERROR(VLOOKUP($A500,'[152]BG (2)'!$B$9:$J$570,6,FALSE),0))*1</f>
        <v>615854690</v>
      </c>
      <c r="I500" s="73">
        <f>(+IFERROR(VLOOKUP($A500,'[152]BG (2)'!$B$9:$J$570,7,FALSE),0))*-1</f>
        <v>0</v>
      </c>
      <c r="J500" s="109">
        <f>(+IFERROR(VLOOKUP($A500,'[152]BG (2)'!$B$9:$J$570,8,FALSE),0))*1</f>
        <v>615854690</v>
      </c>
      <c r="K500" s="73">
        <f>(+IFERROR(VLOOKUP($A500,'[152]BG (2)'!$B$9:$J$570,9,FALSE),0))*-1</f>
        <v>0</v>
      </c>
      <c r="L500" s="96"/>
      <c r="M500" s="101"/>
      <c r="P500" s="90">
        <f t="shared" si="33"/>
        <v>615854690</v>
      </c>
      <c r="R500" s="130">
        <f t="shared" si="31"/>
        <v>615854690</v>
      </c>
      <c r="S500" s="90"/>
      <c r="T500" s="131">
        <f t="shared" si="32"/>
        <v>615854690</v>
      </c>
      <c r="U500" s="95"/>
      <c r="V500" s="72"/>
      <c r="W500" s="75" t="e">
        <f>+A500-#REF!</f>
        <v>#REF!</v>
      </c>
      <c r="X500" s="1270"/>
      <c r="Y500" s="91"/>
      <c r="Z500" s="91"/>
      <c r="AA500" s="91"/>
    </row>
    <row r="501" spans="1:27" ht="14.4" customHeight="1" x14ac:dyDescent="0.3">
      <c r="A501">
        <v>622800</v>
      </c>
      <c r="B501" t="s">
        <v>538</v>
      </c>
      <c r="C501" t="s">
        <v>529</v>
      </c>
      <c r="D501" s="87" t="str">
        <f t="shared" si="34"/>
        <v>62</v>
      </c>
      <c r="E501" s="92"/>
      <c r="F501" s="93">
        <f>(+IFERROR(VLOOKUP($A501,'[152]BG (2)'!$B$9:$J$570,4,FALSE),0))*1</f>
        <v>0</v>
      </c>
      <c r="G501" s="73">
        <f>(+IFERROR(VLOOKUP($A501,'[152]BG (2)'!$B$9:$J$570,5,FALSE),0))*-1</f>
        <v>0</v>
      </c>
      <c r="H501" s="93">
        <f>(+IFERROR(VLOOKUP($A501,'[152]BG (2)'!$B$9:$J$570,6,FALSE),0))*1</f>
        <v>256909919</v>
      </c>
      <c r="I501" s="73">
        <f>(+IFERROR(VLOOKUP($A501,'[152]BG (2)'!$B$9:$J$570,7,FALSE),0))*-1</f>
        <v>0</v>
      </c>
      <c r="J501" s="109">
        <f>(+IFERROR(VLOOKUP($A501,'[152]BG (2)'!$B$9:$J$570,8,FALSE),0))*1</f>
        <v>256909919</v>
      </c>
      <c r="K501" s="73">
        <f>(+IFERROR(VLOOKUP($A501,'[152]BG (2)'!$B$9:$J$570,9,FALSE),0))*-1</f>
        <v>0</v>
      </c>
      <c r="L501" s="96"/>
      <c r="M501" s="101"/>
      <c r="P501" s="90">
        <f t="shared" si="33"/>
        <v>256909919</v>
      </c>
      <c r="R501" s="130">
        <f t="shared" si="31"/>
        <v>256909919</v>
      </c>
      <c r="S501" s="90"/>
      <c r="T501" s="131">
        <f t="shared" si="32"/>
        <v>256909919</v>
      </c>
      <c r="U501" s="95"/>
      <c r="V501" s="72"/>
      <c r="W501" s="75" t="e">
        <f>+A501-#REF!</f>
        <v>#REF!</v>
      </c>
      <c r="X501" s="1270"/>
      <c r="Y501" s="91"/>
      <c r="Z501" s="91"/>
      <c r="AA501" s="91"/>
    </row>
    <row r="502" spans="1:27" ht="14.4" customHeight="1" x14ac:dyDescent="0.3">
      <c r="A502">
        <v>624120</v>
      </c>
      <c r="B502" t="s">
        <v>539</v>
      </c>
      <c r="C502" t="s">
        <v>540</v>
      </c>
      <c r="D502" s="87" t="str">
        <f t="shared" si="34"/>
        <v>62</v>
      </c>
      <c r="E502" s="92"/>
      <c r="F502" s="93">
        <f>(+IFERROR(VLOOKUP($A502,'[152]BG (2)'!$B$9:$J$570,4,FALSE),0))*1</f>
        <v>0</v>
      </c>
      <c r="G502" s="73">
        <f>(+IFERROR(VLOOKUP($A502,'[152]BG (2)'!$B$9:$J$570,5,FALSE),0))*-1</f>
        <v>0</v>
      </c>
      <c r="H502" s="93">
        <f>(+IFERROR(VLOOKUP($A502,'[152]BG (2)'!$B$9:$J$570,6,FALSE),0))*1</f>
        <v>188075728</v>
      </c>
      <c r="I502" s="73">
        <f>(+IFERROR(VLOOKUP($A502,'[152]BG (2)'!$B$9:$J$570,7,FALSE),0))*-1</f>
        <v>-338600</v>
      </c>
      <c r="J502" s="109">
        <f>(+IFERROR(VLOOKUP($A502,'[152]BG (2)'!$B$9:$J$570,8,FALSE),0))*1</f>
        <v>187737128</v>
      </c>
      <c r="K502" s="73">
        <f>(+IFERROR(VLOOKUP($A502,'[152]BG (2)'!$B$9:$J$570,9,FALSE),0))*-1</f>
        <v>0</v>
      </c>
      <c r="L502" s="96"/>
      <c r="M502" s="101"/>
      <c r="P502" s="90">
        <f t="shared" si="33"/>
        <v>187737128</v>
      </c>
      <c r="R502" s="130">
        <f t="shared" si="31"/>
        <v>187737128</v>
      </c>
      <c r="S502" s="90"/>
      <c r="T502" s="131">
        <f t="shared" si="32"/>
        <v>187737128</v>
      </c>
      <c r="U502" s="95"/>
      <c r="V502" s="72"/>
      <c r="W502" s="75" t="e">
        <f>+A502-#REF!</f>
        <v>#REF!</v>
      </c>
      <c r="X502" s="1270"/>
      <c r="Y502" s="91"/>
      <c r="Z502" s="91"/>
      <c r="AA502" s="91"/>
    </row>
    <row r="503" spans="1:27" ht="14.4" customHeight="1" x14ac:dyDescent="0.3">
      <c r="A503">
        <v>624130</v>
      </c>
      <c r="B503" t="s">
        <v>541</v>
      </c>
      <c r="C503" t="s">
        <v>540</v>
      </c>
      <c r="D503" s="87" t="str">
        <f t="shared" si="34"/>
        <v>62</v>
      </c>
      <c r="E503" s="92"/>
      <c r="F503" s="93">
        <f>(+IFERROR(VLOOKUP($A503,'[152]BG (2)'!$B$9:$J$570,4,FALSE),0))*1</f>
        <v>0</v>
      </c>
      <c r="G503" s="73">
        <f>(+IFERROR(VLOOKUP($A503,'[152]BG (2)'!$B$9:$J$570,5,FALSE),0))*-1</f>
        <v>0</v>
      </c>
      <c r="H503" s="93">
        <f>(+IFERROR(VLOOKUP($A503,'[152]BG (2)'!$B$9:$J$570,6,FALSE),0))*1</f>
        <v>2487749497</v>
      </c>
      <c r="I503" s="73">
        <f>(+IFERROR(VLOOKUP($A503,'[152]BG (2)'!$B$9:$J$570,7,FALSE),0))*-1</f>
        <v>-127737545</v>
      </c>
      <c r="J503" s="109">
        <f>(+IFERROR(VLOOKUP($A503,'[152]BG (2)'!$B$9:$J$570,8,FALSE),0))*1</f>
        <v>2360011952</v>
      </c>
      <c r="K503" s="73">
        <f>(+IFERROR(VLOOKUP($A503,'[152]BG (2)'!$B$9:$J$570,9,FALSE),0))*-1</f>
        <v>0</v>
      </c>
      <c r="L503" s="96"/>
      <c r="M503" s="101"/>
      <c r="P503" s="90">
        <f t="shared" si="33"/>
        <v>2360011952</v>
      </c>
      <c r="R503" s="130">
        <f t="shared" si="31"/>
        <v>2360011952</v>
      </c>
      <c r="S503" s="90"/>
      <c r="T503" s="131">
        <f t="shared" si="32"/>
        <v>2360011952</v>
      </c>
      <c r="U503" s="95"/>
      <c r="V503" s="72"/>
      <c r="W503" s="75" t="e">
        <f>+A503-#REF!</f>
        <v>#REF!</v>
      </c>
      <c r="X503" s="1270"/>
      <c r="Y503" s="91"/>
      <c r="Z503" s="91"/>
      <c r="AA503" s="91"/>
    </row>
    <row r="504" spans="1:27" ht="14.4" customHeight="1" x14ac:dyDescent="0.3">
      <c r="A504">
        <v>624140</v>
      </c>
      <c r="B504" t="s">
        <v>542</v>
      </c>
      <c r="C504" t="s">
        <v>540</v>
      </c>
      <c r="D504" s="87" t="str">
        <f t="shared" si="34"/>
        <v>62</v>
      </c>
      <c r="E504" s="92"/>
      <c r="F504" s="93">
        <f>(+IFERROR(VLOOKUP($A504,'[152]BG (2)'!$B$9:$J$570,4,FALSE),0))*1</f>
        <v>0</v>
      </c>
      <c r="G504" s="73">
        <f>(+IFERROR(VLOOKUP($A504,'[152]BG (2)'!$B$9:$J$570,5,FALSE),0))*-1</f>
        <v>0</v>
      </c>
      <c r="H504" s="93">
        <f>(+IFERROR(VLOOKUP($A504,'[152]BG (2)'!$B$9:$J$570,6,FALSE),0))*1</f>
        <v>24638082</v>
      </c>
      <c r="I504" s="73">
        <f>(+IFERROR(VLOOKUP($A504,'[152]BG (2)'!$B$9:$J$570,7,FALSE),0))*-1</f>
        <v>-677456</v>
      </c>
      <c r="J504" s="109">
        <f>(+IFERROR(VLOOKUP($A504,'[152]BG (2)'!$B$9:$J$570,8,FALSE),0))*1</f>
        <v>23960626</v>
      </c>
      <c r="K504" s="73">
        <f>(+IFERROR(VLOOKUP($A504,'[152]BG (2)'!$B$9:$J$570,9,FALSE),0))*-1</f>
        <v>0</v>
      </c>
      <c r="L504" s="96"/>
      <c r="M504" s="101"/>
      <c r="P504" s="90">
        <f t="shared" si="33"/>
        <v>23960626</v>
      </c>
      <c r="R504" s="130">
        <f t="shared" si="31"/>
        <v>23960626</v>
      </c>
      <c r="S504" s="90"/>
      <c r="T504" s="131">
        <f t="shared" si="32"/>
        <v>23960626</v>
      </c>
      <c r="U504" s="95"/>
      <c r="V504" s="72"/>
      <c r="W504" s="75" t="e">
        <f>+A504-#REF!</f>
        <v>#REF!</v>
      </c>
      <c r="X504" s="1270"/>
      <c r="Y504" s="91"/>
      <c r="Z504" s="91"/>
      <c r="AA504" s="91"/>
    </row>
    <row r="505" spans="1:27" ht="14.4" customHeight="1" x14ac:dyDescent="0.3">
      <c r="A505">
        <v>624210</v>
      </c>
      <c r="B505" t="s">
        <v>543</v>
      </c>
      <c r="C505" t="s">
        <v>540</v>
      </c>
      <c r="D505" s="87" t="str">
        <f t="shared" si="34"/>
        <v>62</v>
      </c>
      <c r="E505" s="92"/>
      <c r="F505" s="93">
        <f>(+IFERROR(VLOOKUP($A505,'[152]BG (2)'!$B$9:$J$570,4,FALSE),0))*1</f>
        <v>0</v>
      </c>
      <c r="G505" s="73">
        <f>(+IFERROR(VLOOKUP($A505,'[152]BG (2)'!$B$9:$J$570,5,FALSE),0))*-1</f>
        <v>0</v>
      </c>
      <c r="H505" s="93">
        <f>(+IFERROR(VLOOKUP($A505,'[152]BG (2)'!$B$9:$J$570,6,FALSE),0))*1</f>
        <v>14784160</v>
      </c>
      <c r="I505" s="73">
        <f>(+IFERROR(VLOOKUP($A505,'[152]BG (2)'!$B$9:$J$570,7,FALSE),0))*-1</f>
        <v>-56350</v>
      </c>
      <c r="J505" s="109">
        <f>(+IFERROR(VLOOKUP($A505,'[152]BG (2)'!$B$9:$J$570,8,FALSE),0))*1</f>
        <v>14727810</v>
      </c>
      <c r="K505" s="73">
        <f>(+IFERROR(VLOOKUP($A505,'[152]BG (2)'!$B$9:$J$570,9,FALSE),0))*-1</f>
        <v>0</v>
      </c>
      <c r="L505" s="96"/>
      <c r="M505" s="101"/>
      <c r="P505" s="90">
        <f t="shared" si="33"/>
        <v>14727810</v>
      </c>
      <c r="R505" s="130">
        <f t="shared" si="31"/>
        <v>14727810</v>
      </c>
      <c r="S505" s="90"/>
      <c r="T505" s="131">
        <f t="shared" si="32"/>
        <v>14727810</v>
      </c>
      <c r="U505" s="95"/>
      <c r="V505" s="72"/>
      <c r="W505" s="75" t="e">
        <f>+A505-#REF!</f>
        <v>#REF!</v>
      </c>
      <c r="X505" s="1270"/>
      <c r="Y505" s="91"/>
      <c r="Z505" s="91"/>
      <c r="AA505" s="91"/>
    </row>
    <row r="506" spans="1:27" ht="14.4" customHeight="1" x14ac:dyDescent="0.3">
      <c r="A506">
        <v>624220</v>
      </c>
      <c r="B506" t="s">
        <v>544</v>
      </c>
      <c r="C506" t="s">
        <v>540</v>
      </c>
      <c r="D506" s="87" t="str">
        <f t="shared" si="34"/>
        <v>62</v>
      </c>
      <c r="E506" s="92"/>
      <c r="F506" s="93">
        <f>(+IFERROR(VLOOKUP($A506,'[152]BG (2)'!$B$9:$J$570,4,FALSE),0))*1</f>
        <v>0</v>
      </c>
      <c r="G506" s="73">
        <f>(+IFERROR(VLOOKUP($A506,'[152]BG (2)'!$B$9:$J$570,5,FALSE),0))*-1</f>
        <v>0</v>
      </c>
      <c r="H506" s="93">
        <f>(+IFERROR(VLOOKUP($A506,'[152]BG (2)'!$B$9:$J$570,6,FALSE),0))*1</f>
        <v>149724289</v>
      </c>
      <c r="I506" s="73">
        <f>(+IFERROR(VLOOKUP($A506,'[152]BG (2)'!$B$9:$J$570,7,FALSE),0))*-1</f>
        <v>0</v>
      </c>
      <c r="J506" s="109">
        <f>(+IFERROR(VLOOKUP($A506,'[152]BG (2)'!$B$9:$J$570,8,FALSE),0))*1</f>
        <v>149724289</v>
      </c>
      <c r="K506" s="73">
        <f>(+IFERROR(VLOOKUP($A506,'[152]BG (2)'!$B$9:$J$570,9,FALSE),0))*-1</f>
        <v>0</v>
      </c>
      <c r="L506" s="96"/>
      <c r="M506" s="101"/>
      <c r="P506" s="90">
        <f t="shared" si="33"/>
        <v>149724289</v>
      </c>
      <c r="R506" s="130">
        <f t="shared" si="31"/>
        <v>149724289</v>
      </c>
      <c r="S506" s="90"/>
      <c r="T506" s="131">
        <f t="shared" si="32"/>
        <v>149724289</v>
      </c>
      <c r="U506" s="95"/>
      <c r="V506" s="72"/>
      <c r="W506" s="75" t="e">
        <f>+A506-#REF!</f>
        <v>#REF!</v>
      </c>
      <c r="X506" s="1270"/>
      <c r="Y506" s="91"/>
      <c r="Z506" s="91"/>
      <c r="AA506" s="91"/>
    </row>
    <row r="507" spans="1:27" ht="14.4" customHeight="1" x14ac:dyDescent="0.3">
      <c r="A507">
        <v>624230</v>
      </c>
      <c r="B507" t="s">
        <v>545</v>
      </c>
      <c r="C507" t="s">
        <v>540</v>
      </c>
      <c r="D507" s="87" t="str">
        <f t="shared" si="34"/>
        <v>62</v>
      </c>
      <c r="E507" s="92"/>
      <c r="F507" s="93">
        <f>(+IFERROR(VLOOKUP($A507,'[152]BG (2)'!$B$9:$J$570,4,FALSE),0))*1</f>
        <v>0</v>
      </c>
      <c r="G507" s="73">
        <f>(+IFERROR(VLOOKUP($A507,'[152]BG (2)'!$B$9:$J$570,5,FALSE),0))*-1</f>
        <v>0</v>
      </c>
      <c r="H507" s="93">
        <f>(+IFERROR(VLOOKUP($A507,'[152]BG (2)'!$B$9:$J$570,6,FALSE),0))*1</f>
        <v>257582417</v>
      </c>
      <c r="I507" s="73">
        <f>(+IFERROR(VLOOKUP($A507,'[152]BG (2)'!$B$9:$J$570,7,FALSE),0))*-1</f>
        <v>-76158297</v>
      </c>
      <c r="J507" s="109">
        <f>(+IFERROR(VLOOKUP($A507,'[152]BG (2)'!$B$9:$J$570,8,FALSE),0))*1</f>
        <v>181424120</v>
      </c>
      <c r="K507" s="73">
        <f>(+IFERROR(VLOOKUP($A507,'[152]BG (2)'!$B$9:$J$570,9,FALSE),0))*-1</f>
        <v>0</v>
      </c>
      <c r="L507" s="96"/>
      <c r="M507" s="101"/>
      <c r="P507" s="90">
        <f t="shared" si="33"/>
        <v>181424120</v>
      </c>
      <c r="R507" s="130">
        <f t="shared" si="31"/>
        <v>181424120</v>
      </c>
      <c r="S507" s="90"/>
      <c r="T507" s="131">
        <f t="shared" si="32"/>
        <v>181424120</v>
      </c>
      <c r="U507" s="95"/>
      <c r="V507" s="72"/>
      <c r="W507" s="75" t="e">
        <f>+A507-#REF!</f>
        <v>#REF!</v>
      </c>
      <c r="X507" s="1270"/>
      <c r="Y507" s="91"/>
      <c r="Z507" s="91"/>
      <c r="AA507" s="91"/>
    </row>
    <row r="508" spans="1:27" ht="14.4" customHeight="1" x14ac:dyDescent="0.3">
      <c r="A508">
        <v>624310</v>
      </c>
      <c r="B508" t="s">
        <v>546</v>
      </c>
      <c r="C508" t="s">
        <v>540</v>
      </c>
      <c r="D508" s="87" t="str">
        <f t="shared" si="34"/>
        <v>62</v>
      </c>
      <c r="E508" s="92"/>
      <c r="F508" s="93">
        <f>(+IFERROR(VLOOKUP($A508,'[152]BG (2)'!$B$9:$J$570,4,FALSE),0))*1</f>
        <v>0</v>
      </c>
      <c r="G508" s="73">
        <f>(+IFERROR(VLOOKUP($A508,'[152]BG (2)'!$B$9:$J$570,5,FALSE),0))*-1</f>
        <v>0</v>
      </c>
      <c r="H508" s="93">
        <f>(+IFERROR(VLOOKUP($A508,'[152]BG (2)'!$B$9:$J$570,6,FALSE),0))*1</f>
        <v>465036785</v>
      </c>
      <c r="I508" s="73">
        <f>(+IFERROR(VLOOKUP($A508,'[152]BG (2)'!$B$9:$J$570,7,FALSE),0))*-1</f>
        <v>0</v>
      </c>
      <c r="J508" s="109">
        <f>(+IFERROR(VLOOKUP($A508,'[152]BG (2)'!$B$9:$J$570,8,FALSE),0))*1</f>
        <v>465036785</v>
      </c>
      <c r="K508" s="73">
        <f>(+IFERROR(VLOOKUP($A508,'[152]BG (2)'!$B$9:$J$570,9,FALSE),0))*-1</f>
        <v>0</v>
      </c>
      <c r="L508" s="96"/>
      <c r="M508" s="101"/>
      <c r="P508" s="90">
        <f t="shared" si="33"/>
        <v>465036785</v>
      </c>
      <c r="R508" s="130">
        <f t="shared" si="31"/>
        <v>465036785</v>
      </c>
      <c r="S508" s="90"/>
      <c r="T508" s="131">
        <f t="shared" si="32"/>
        <v>465036785</v>
      </c>
      <c r="U508" s="95"/>
      <c r="V508" s="72"/>
      <c r="W508" s="75" t="e">
        <f>+A508-#REF!</f>
        <v>#REF!</v>
      </c>
      <c r="X508" s="1270"/>
      <c r="Y508" s="91"/>
      <c r="Z508" s="91"/>
      <c r="AA508" s="91"/>
    </row>
    <row r="509" spans="1:27" ht="14.4" customHeight="1" x14ac:dyDescent="0.3">
      <c r="A509">
        <v>624320</v>
      </c>
      <c r="B509" t="s">
        <v>547</v>
      </c>
      <c r="C509" t="s">
        <v>540</v>
      </c>
      <c r="D509" s="87" t="str">
        <f t="shared" si="34"/>
        <v>62</v>
      </c>
      <c r="E509" s="92"/>
      <c r="F509" s="93">
        <f>(+IFERROR(VLOOKUP($A509,'[152]BG (2)'!$B$9:$J$570,4,FALSE),0))*1</f>
        <v>0</v>
      </c>
      <c r="G509" s="73">
        <f>(+IFERROR(VLOOKUP($A509,'[152]BG (2)'!$B$9:$J$570,5,FALSE),0))*-1</f>
        <v>0</v>
      </c>
      <c r="H509" s="93">
        <f>(+IFERROR(VLOOKUP($A509,'[152]BG (2)'!$B$9:$J$570,6,FALSE),0))*1</f>
        <v>1231532316</v>
      </c>
      <c r="I509" s="73">
        <f>(+IFERROR(VLOOKUP($A509,'[152]BG (2)'!$B$9:$J$570,7,FALSE),0))*-1</f>
        <v>-212939630</v>
      </c>
      <c r="J509" s="109">
        <f>(+IFERROR(VLOOKUP($A509,'[152]BG (2)'!$B$9:$J$570,8,FALSE),0))*1</f>
        <v>1018592686</v>
      </c>
      <c r="K509" s="73">
        <f>(+IFERROR(VLOOKUP($A509,'[152]BG (2)'!$B$9:$J$570,9,FALSE),0))*-1</f>
        <v>0</v>
      </c>
      <c r="L509" s="96"/>
      <c r="M509" s="101"/>
      <c r="P509" s="90">
        <f t="shared" si="33"/>
        <v>1018592686</v>
      </c>
      <c r="R509" s="130">
        <f t="shared" si="31"/>
        <v>1018592686</v>
      </c>
      <c r="S509" s="90"/>
      <c r="T509" s="131">
        <f t="shared" si="32"/>
        <v>1018592686</v>
      </c>
      <c r="U509" s="95"/>
      <c r="V509" s="72"/>
      <c r="W509" s="75" t="e">
        <f>+A509-#REF!</f>
        <v>#REF!</v>
      </c>
      <c r="X509" s="1270"/>
      <c r="Y509" s="91"/>
      <c r="Z509" s="91"/>
      <c r="AA509" s="91"/>
    </row>
    <row r="510" spans="1:27" ht="14.4" customHeight="1" x14ac:dyDescent="0.3">
      <c r="A510">
        <v>624800</v>
      </c>
      <c r="B510" t="s">
        <v>548</v>
      </c>
      <c r="C510" t="s">
        <v>540</v>
      </c>
      <c r="D510" s="87" t="str">
        <f t="shared" si="34"/>
        <v>62</v>
      </c>
      <c r="E510" s="92"/>
      <c r="F510" s="93">
        <f>(+IFERROR(VLOOKUP($A510,'[152]BG (2)'!$B$9:$J$570,4,FALSE),0))*1</f>
        <v>0</v>
      </c>
      <c r="G510" s="73">
        <f>(+IFERROR(VLOOKUP($A510,'[152]BG (2)'!$B$9:$J$570,5,FALSE),0))*-1</f>
        <v>0</v>
      </c>
      <c r="H510" s="93">
        <f>(+IFERROR(VLOOKUP($A510,'[152]BG (2)'!$B$9:$J$570,6,FALSE),0))*1</f>
        <v>2655741</v>
      </c>
      <c r="I510" s="73">
        <f>(+IFERROR(VLOOKUP($A510,'[152]BG (2)'!$B$9:$J$570,7,FALSE),0))*-1</f>
        <v>0</v>
      </c>
      <c r="J510" s="109">
        <f>(+IFERROR(VLOOKUP($A510,'[152]BG (2)'!$B$9:$J$570,8,FALSE),0))*1</f>
        <v>2655741</v>
      </c>
      <c r="K510" s="73">
        <f>(+IFERROR(VLOOKUP($A510,'[152]BG (2)'!$B$9:$J$570,9,FALSE),0))*-1</f>
        <v>0</v>
      </c>
      <c r="L510" s="96"/>
      <c r="M510" s="101"/>
      <c r="P510" s="90">
        <f t="shared" si="33"/>
        <v>2655741</v>
      </c>
      <c r="R510" s="130">
        <f t="shared" si="31"/>
        <v>2655741</v>
      </c>
      <c r="S510" s="90"/>
      <c r="T510" s="131">
        <f t="shared" si="32"/>
        <v>2655741</v>
      </c>
      <c r="U510" s="95"/>
      <c r="V510" s="72"/>
      <c r="W510" s="75" t="e">
        <f>+A510-#REF!</f>
        <v>#REF!</v>
      </c>
      <c r="X510" s="1270"/>
      <c r="Y510" s="91"/>
      <c r="Z510" s="91"/>
      <c r="AA510" s="91"/>
    </row>
    <row r="511" spans="1:27" ht="14.4" customHeight="1" x14ac:dyDescent="0.3">
      <c r="A511">
        <v>625100</v>
      </c>
      <c r="B511" t="s">
        <v>549</v>
      </c>
      <c r="C511" t="s">
        <v>500</v>
      </c>
      <c r="D511" s="87" t="str">
        <f t="shared" si="34"/>
        <v>62</v>
      </c>
      <c r="E511" s="92"/>
      <c r="F511" s="93">
        <f>(+IFERROR(VLOOKUP($A511,'[152]BG (2)'!$B$9:$J$570,4,FALSE),0))*1</f>
        <v>0</v>
      </c>
      <c r="G511" s="73">
        <f>(+IFERROR(VLOOKUP($A511,'[152]BG (2)'!$B$9:$J$570,5,FALSE),0))*-1</f>
        <v>0</v>
      </c>
      <c r="H511" s="93">
        <f>(+IFERROR(VLOOKUP($A511,'[152]BG (2)'!$B$9:$J$570,6,FALSE),0))*1</f>
        <v>71177985</v>
      </c>
      <c r="I511" s="73">
        <f>(+IFERROR(VLOOKUP($A511,'[152]BG (2)'!$B$9:$J$570,7,FALSE),0))*-1</f>
        <v>-10791234</v>
      </c>
      <c r="J511" s="109">
        <f>(+IFERROR(VLOOKUP($A511,'[152]BG (2)'!$B$9:$J$570,8,FALSE),0))*1</f>
        <v>60386751</v>
      </c>
      <c r="K511" s="73">
        <f>(+IFERROR(VLOOKUP($A511,'[152]BG (2)'!$B$9:$J$570,9,FALSE),0))*-1</f>
        <v>0</v>
      </c>
      <c r="L511" s="96"/>
      <c r="M511" s="101"/>
      <c r="P511" s="90">
        <f t="shared" si="33"/>
        <v>60386751</v>
      </c>
      <c r="R511" s="130">
        <f t="shared" si="31"/>
        <v>60386751</v>
      </c>
      <c r="S511" s="90"/>
      <c r="T511" s="131">
        <f t="shared" si="32"/>
        <v>60386751</v>
      </c>
      <c r="U511" s="95"/>
      <c r="V511" s="72"/>
      <c r="W511" s="75" t="e">
        <f>+A511-#REF!</f>
        <v>#REF!</v>
      </c>
      <c r="X511" s="1270"/>
      <c r="Y511" s="91"/>
      <c r="Z511" s="91"/>
      <c r="AA511" s="91"/>
    </row>
    <row r="512" spans="1:27" ht="14.4" customHeight="1" x14ac:dyDescent="0.3">
      <c r="A512">
        <v>625200</v>
      </c>
      <c r="B512" t="s">
        <v>550</v>
      </c>
      <c r="C512" t="s">
        <v>500</v>
      </c>
      <c r="D512" s="87" t="str">
        <f t="shared" si="34"/>
        <v>62</v>
      </c>
      <c r="E512" s="92"/>
      <c r="F512" s="93">
        <f>(+IFERROR(VLOOKUP($A512,'[152]BG (2)'!$B$9:$J$570,4,FALSE),0))*1</f>
        <v>0</v>
      </c>
      <c r="G512" s="73">
        <f>(+IFERROR(VLOOKUP($A512,'[152]BG (2)'!$B$9:$J$570,5,FALSE),0))*-1</f>
        <v>0</v>
      </c>
      <c r="H512" s="93">
        <f>(+IFERROR(VLOOKUP($A512,'[152]BG (2)'!$B$9:$J$570,6,FALSE),0))*1</f>
        <v>15503788</v>
      </c>
      <c r="I512" s="73">
        <f>(+IFERROR(VLOOKUP($A512,'[152]BG (2)'!$B$9:$J$570,7,FALSE),0))*-1</f>
        <v>3347527</v>
      </c>
      <c r="J512" s="109">
        <f>(+IFERROR(VLOOKUP($A512,'[152]BG (2)'!$B$9:$J$570,8,FALSE),0))*1</f>
        <v>18851315</v>
      </c>
      <c r="K512" s="73">
        <f>(+IFERROR(VLOOKUP($A512,'[152]BG (2)'!$B$9:$J$570,9,FALSE),0))*-1</f>
        <v>0</v>
      </c>
      <c r="L512" s="96"/>
      <c r="M512" s="101"/>
      <c r="P512" s="90">
        <f t="shared" si="33"/>
        <v>18851315</v>
      </c>
      <c r="R512" s="130">
        <f t="shared" si="31"/>
        <v>18851315</v>
      </c>
      <c r="S512" s="90"/>
      <c r="T512" s="131">
        <f t="shared" si="32"/>
        <v>18851315</v>
      </c>
      <c r="U512" s="95"/>
      <c r="V512" s="72"/>
      <c r="W512" s="75" t="e">
        <f>+A512-#REF!</f>
        <v>#REF!</v>
      </c>
      <c r="X512" s="1270"/>
      <c r="Y512" s="91"/>
      <c r="Z512" s="91"/>
      <c r="AA512" s="91"/>
    </row>
    <row r="513" spans="1:27" ht="14.4" customHeight="1" x14ac:dyDescent="0.3">
      <c r="A513">
        <v>625810</v>
      </c>
      <c r="B513" t="s">
        <v>551</v>
      </c>
      <c r="C513" t="s">
        <v>552</v>
      </c>
      <c r="D513" s="87" t="str">
        <f t="shared" si="34"/>
        <v>62</v>
      </c>
      <c r="E513" s="92"/>
      <c r="F513" s="93">
        <f>(+IFERROR(VLOOKUP($A513,'[152]BG (2)'!$B$9:$J$570,4,FALSE),0))*1</f>
        <v>0</v>
      </c>
      <c r="G513" s="73">
        <f>(+IFERROR(VLOOKUP($A513,'[152]BG (2)'!$B$9:$J$570,5,FALSE),0))*-1</f>
        <v>0</v>
      </c>
      <c r="H513" s="93">
        <f>(+IFERROR(VLOOKUP($A513,'[152]BG (2)'!$B$9:$J$570,6,FALSE),0))*1</f>
        <v>170736150</v>
      </c>
      <c r="I513" s="73">
        <f>(+IFERROR(VLOOKUP($A513,'[152]BG (2)'!$B$9:$J$570,7,FALSE),0))*-1</f>
        <v>41199461</v>
      </c>
      <c r="J513" s="1267">
        <f>(+IFERROR(VLOOKUP($A513,'[152]BG (2)'!$B$9:$J$570,8,FALSE),0))*1</f>
        <v>211935611</v>
      </c>
      <c r="K513" s="73">
        <f>(+IFERROR(VLOOKUP($A513,'[152]BG (2)'!$B$9:$J$570,9,FALSE),0))*-1</f>
        <v>0</v>
      </c>
      <c r="L513" s="96"/>
      <c r="M513" s="101"/>
      <c r="P513" s="90">
        <f t="shared" si="33"/>
        <v>211935611</v>
      </c>
      <c r="R513" s="130">
        <f t="shared" si="31"/>
        <v>211935611</v>
      </c>
      <c r="S513" s="90"/>
      <c r="T513" s="131">
        <f t="shared" si="32"/>
        <v>211935611</v>
      </c>
      <c r="U513" s="95"/>
      <c r="V513" s="72"/>
      <c r="W513" s="75" t="e">
        <f>+A513-#REF!</f>
        <v>#REF!</v>
      </c>
      <c r="X513" s="1270"/>
      <c r="Y513" s="91"/>
      <c r="Z513" s="91"/>
      <c r="AA513" s="91"/>
    </row>
    <row r="514" spans="1:27" ht="14.4" customHeight="1" x14ac:dyDescent="0.3">
      <c r="A514">
        <v>626500</v>
      </c>
      <c r="B514" t="s">
        <v>553</v>
      </c>
      <c r="C514" t="s">
        <v>500</v>
      </c>
      <c r="D514" s="87" t="str">
        <f t="shared" si="34"/>
        <v>62</v>
      </c>
      <c r="E514" s="92"/>
      <c r="F514" s="93">
        <f>(+IFERROR(VLOOKUP($A514,'[152]BG (2)'!$B$9:$J$570,4,FALSE),0))*1</f>
        <v>0</v>
      </c>
      <c r="G514" s="73">
        <f>(+IFERROR(VLOOKUP($A514,'[152]BG (2)'!$B$9:$J$570,5,FALSE),0))*-1</f>
        <v>0</v>
      </c>
      <c r="H514" s="93">
        <f>(+IFERROR(VLOOKUP($A514,'[152]BG (2)'!$B$9:$J$570,6,FALSE),0))*1</f>
        <v>400000</v>
      </c>
      <c r="I514" s="73">
        <f>(+IFERROR(VLOOKUP($A514,'[152]BG (2)'!$B$9:$J$570,7,FALSE),0))*-1</f>
        <v>0</v>
      </c>
      <c r="J514" s="109">
        <f>(+IFERROR(VLOOKUP($A514,'[152]BG (2)'!$B$9:$J$570,8,FALSE),0))*1</f>
        <v>400000</v>
      </c>
      <c r="K514" s="73">
        <f>(+IFERROR(VLOOKUP($A514,'[152]BG (2)'!$B$9:$J$570,9,FALSE),0))*-1</f>
        <v>0</v>
      </c>
      <c r="L514" s="96"/>
      <c r="M514" s="101"/>
      <c r="P514" s="90">
        <f t="shared" si="33"/>
        <v>400000</v>
      </c>
      <c r="R514" s="130">
        <f t="shared" si="31"/>
        <v>400000</v>
      </c>
      <c r="S514" s="90"/>
      <c r="T514" s="131">
        <f t="shared" si="32"/>
        <v>400000</v>
      </c>
      <c r="U514" s="95"/>
      <c r="V514" s="72"/>
      <c r="W514" s="75" t="e">
        <f>+A514-#REF!</f>
        <v>#REF!</v>
      </c>
      <c r="X514" s="1270"/>
      <c r="Y514" s="91"/>
      <c r="Z514" s="91"/>
      <c r="AA514" s="91"/>
    </row>
    <row r="515" spans="1:27" ht="14.4" customHeight="1" x14ac:dyDescent="0.3">
      <c r="A515">
        <v>626600</v>
      </c>
      <c r="B515" t="s">
        <v>554</v>
      </c>
      <c r="C515" t="s">
        <v>500</v>
      </c>
      <c r="D515" s="87" t="str">
        <f t="shared" si="34"/>
        <v>62</v>
      </c>
      <c r="E515" s="92"/>
      <c r="F515" s="93">
        <f>(+IFERROR(VLOOKUP($A515,'[152]BG (2)'!$B$9:$J$570,4,FALSE),0))*1</f>
        <v>0</v>
      </c>
      <c r="G515" s="73">
        <f>(+IFERROR(VLOOKUP($A515,'[152]BG (2)'!$B$9:$J$570,5,FALSE),0))*-1</f>
        <v>0</v>
      </c>
      <c r="H515" s="93">
        <f>(+IFERROR(VLOOKUP($A515,'[152]BG (2)'!$B$9:$J$570,6,FALSE),0))*1</f>
        <v>5048306</v>
      </c>
      <c r="I515" s="73">
        <f>(+IFERROR(VLOOKUP($A515,'[152]BG (2)'!$B$9:$J$570,7,FALSE),0))*-1</f>
        <v>0</v>
      </c>
      <c r="J515" s="109">
        <f>(+IFERROR(VLOOKUP($A515,'[152]BG (2)'!$B$9:$J$570,8,FALSE),0))*1</f>
        <v>5048306</v>
      </c>
      <c r="K515" s="73">
        <f>(+IFERROR(VLOOKUP($A515,'[152]BG (2)'!$B$9:$J$570,9,FALSE),0))*-1</f>
        <v>0</v>
      </c>
      <c r="L515" s="96"/>
      <c r="M515" s="101"/>
      <c r="P515" s="90">
        <f t="shared" si="33"/>
        <v>5048306</v>
      </c>
      <c r="R515" s="130">
        <f t="shared" si="31"/>
        <v>5048306</v>
      </c>
      <c r="S515" s="90"/>
      <c r="T515" s="131">
        <f t="shared" si="32"/>
        <v>5048306</v>
      </c>
      <c r="U515" s="95"/>
      <c r="V515" s="72"/>
      <c r="W515" s="75" t="e">
        <f>+A515-#REF!</f>
        <v>#REF!</v>
      </c>
      <c r="X515" s="1270"/>
      <c r="Y515" s="91"/>
      <c r="Z515" s="91"/>
      <c r="AA515" s="91"/>
    </row>
    <row r="516" spans="1:27" ht="14.4" customHeight="1" x14ac:dyDescent="0.3">
      <c r="A516">
        <v>627110</v>
      </c>
      <c r="B516" s="1298" t="s">
        <v>555</v>
      </c>
      <c r="C516" t="s">
        <v>556</v>
      </c>
      <c r="D516" s="87" t="str">
        <f t="shared" si="34"/>
        <v>62</v>
      </c>
      <c r="E516" s="92"/>
      <c r="F516" s="93">
        <f>(+IFERROR(VLOOKUP($A516,'[152]BG (2)'!$B$9:$J$570,4,FALSE),0))*1</f>
        <v>0</v>
      </c>
      <c r="G516" s="73">
        <f>(+IFERROR(VLOOKUP($A516,'[152]BG (2)'!$B$9:$J$570,5,FALSE),0))*-1</f>
        <v>0</v>
      </c>
      <c r="H516" s="93">
        <f>(+IFERROR(VLOOKUP($A516,'[152]BG (2)'!$B$9:$J$570,6,FALSE),0))*1</f>
        <v>34537500</v>
      </c>
      <c r="I516" s="73">
        <f>(+IFERROR(VLOOKUP($A516,'[152]BG (2)'!$B$9:$J$570,7,FALSE),0))*-1</f>
        <v>0</v>
      </c>
      <c r="J516" s="1299">
        <f>(+IFERROR(VLOOKUP($A516,'[152]BG (2)'!$B$9:$J$570,8,FALSE),0))*1</f>
        <v>34537500</v>
      </c>
      <c r="K516" s="73">
        <f>(+IFERROR(VLOOKUP($A516,'[152]BG (2)'!$B$9:$J$570,9,FALSE),0))*-1</f>
        <v>0</v>
      </c>
      <c r="L516" s="96"/>
      <c r="M516" s="101"/>
      <c r="P516" s="90">
        <f t="shared" si="33"/>
        <v>34537500</v>
      </c>
      <c r="R516" s="130">
        <f t="shared" si="31"/>
        <v>34537500</v>
      </c>
      <c r="S516" s="90"/>
      <c r="T516" s="131">
        <f t="shared" si="32"/>
        <v>34537500</v>
      </c>
      <c r="U516" s="95"/>
      <c r="V516" s="72"/>
      <c r="W516" s="75" t="e">
        <f>+A516-#REF!</f>
        <v>#REF!</v>
      </c>
      <c r="X516" s="1270"/>
      <c r="Y516" s="91"/>
      <c r="Z516" s="91"/>
      <c r="AA516" s="91"/>
    </row>
    <row r="517" spans="1:27" ht="14.4" customHeight="1" x14ac:dyDescent="0.3">
      <c r="A517">
        <v>627120</v>
      </c>
      <c r="B517" s="1298" t="s">
        <v>557</v>
      </c>
      <c r="C517" t="s">
        <v>556</v>
      </c>
      <c r="D517" s="87" t="str">
        <f t="shared" si="34"/>
        <v>62</v>
      </c>
      <c r="E517" s="92"/>
      <c r="F517" s="93">
        <f>(+IFERROR(VLOOKUP($A517,'[152]BG (2)'!$B$9:$J$570,4,FALSE),0))*1</f>
        <v>0</v>
      </c>
      <c r="G517" s="73">
        <f>(+IFERROR(VLOOKUP($A517,'[152]BG (2)'!$B$9:$J$570,5,FALSE),0))*-1</f>
        <v>0</v>
      </c>
      <c r="H517" s="93">
        <f>(+IFERROR(VLOOKUP($A517,'[152]BG (2)'!$B$9:$J$570,6,FALSE),0))*1</f>
        <v>48113058</v>
      </c>
      <c r="I517" s="73">
        <f>(+IFERROR(VLOOKUP($A517,'[152]BG (2)'!$B$9:$J$570,7,FALSE),0))*-1</f>
        <v>0</v>
      </c>
      <c r="J517" s="1299">
        <f>(+IFERROR(VLOOKUP($A517,'[152]BG (2)'!$B$9:$J$570,8,FALSE),0))*1</f>
        <v>48113058</v>
      </c>
      <c r="K517" s="73">
        <f>(+IFERROR(VLOOKUP($A517,'[152]BG (2)'!$B$9:$J$570,9,FALSE),0))*-1</f>
        <v>0</v>
      </c>
      <c r="L517" s="96"/>
      <c r="M517" s="101"/>
      <c r="P517" s="90">
        <f t="shared" si="33"/>
        <v>48113058</v>
      </c>
      <c r="R517" s="130">
        <f t="shared" si="31"/>
        <v>48113058</v>
      </c>
      <c r="S517" s="90"/>
      <c r="T517" s="131">
        <f t="shared" si="32"/>
        <v>48113058</v>
      </c>
      <c r="U517" s="95"/>
      <c r="V517" s="72"/>
      <c r="W517" s="75" t="e">
        <f>+A517-#REF!</f>
        <v>#REF!</v>
      </c>
      <c r="X517" s="1270"/>
      <c r="Y517" s="91"/>
      <c r="Z517" s="91"/>
      <c r="AA517" s="91"/>
    </row>
    <row r="518" spans="1:27" ht="14.4" customHeight="1" x14ac:dyDescent="0.3">
      <c r="A518">
        <v>627130</v>
      </c>
      <c r="B518" s="1298" t="s">
        <v>558</v>
      </c>
      <c r="C518" t="s">
        <v>556</v>
      </c>
      <c r="D518" s="87" t="str">
        <f t="shared" si="34"/>
        <v>62</v>
      </c>
      <c r="E518" s="92"/>
      <c r="F518" s="93">
        <f>(+IFERROR(VLOOKUP($A518,'[152]BG (2)'!$B$9:$J$570,4,FALSE),0))*1</f>
        <v>0</v>
      </c>
      <c r="G518" s="73">
        <f>(+IFERROR(VLOOKUP($A518,'[152]BG (2)'!$B$9:$J$570,5,FALSE),0))*-1</f>
        <v>0</v>
      </c>
      <c r="H518" s="93">
        <f>(+IFERROR(VLOOKUP($A518,'[152]BG (2)'!$B$9:$J$570,6,FALSE),0))*1</f>
        <v>20595848</v>
      </c>
      <c r="I518" s="73">
        <f>(+IFERROR(VLOOKUP($A518,'[152]BG (2)'!$B$9:$J$570,7,FALSE),0))*-1</f>
        <v>0</v>
      </c>
      <c r="J518" s="1299">
        <f>(+IFERROR(VLOOKUP($A518,'[152]BG (2)'!$B$9:$J$570,8,FALSE),0))*1</f>
        <v>20595848</v>
      </c>
      <c r="K518" s="73">
        <f>(+IFERROR(VLOOKUP($A518,'[152]BG (2)'!$B$9:$J$570,9,FALSE),0))*-1</f>
        <v>0</v>
      </c>
      <c r="L518" s="96"/>
      <c r="M518" s="101"/>
      <c r="P518" s="90">
        <f t="shared" ref="P518:P581" si="35">J518+K518</f>
        <v>20595848</v>
      </c>
      <c r="R518" s="130">
        <f t="shared" si="31"/>
        <v>20595848</v>
      </c>
      <c r="S518" s="90"/>
      <c r="T518" s="131">
        <f t="shared" si="32"/>
        <v>20595848</v>
      </c>
      <c r="U518" s="95"/>
      <c r="V518" s="72"/>
      <c r="W518" s="75" t="e">
        <f>+A518-#REF!</f>
        <v>#REF!</v>
      </c>
      <c r="X518" s="1270"/>
      <c r="Y518" s="91"/>
      <c r="Z518" s="91"/>
      <c r="AA518" s="91"/>
    </row>
    <row r="519" spans="1:27" ht="14.4" customHeight="1" x14ac:dyDescent="0.3">
      <c r="A519">
        <v>627140</v>
      </c>
      <c r="B519" s="1298" t="s">
        <v>559</v>
      </c>
      <c r="C519" t="s">
        <v>556</v>
      </c>
      <c r="D519" s="87" t="str">
        <f t="shared" si="34"/>
        <v>62</v>
      </c>
      <c r="E519" s="92"/>
      <c r="F519" s="93">
        <f>(+IFERROR(VLOOKUP($A519,'[152]BG (2)'!$B$9:$J$570,4,FALSE),0))*1</f>
        <v>0</v>
      </c>
      <c r="G519" s="73">
        <f>(+IFERROR(VLOOKUP($A519,'[152]BG (2)'!$B$9:$J$570,5,FALSE),0))*-1</f>
        <v>0</v>
      </c>
      <c r="H519" s="93">
        <f>(+IFERROR(VLOOKUP($A519,'[152]BG (2)'!$B$9:$J$570,6,FALSE),0))*1</f>
        <v>1159456263</v>
      </c>
      <c r="I519" s="73">
        <f>(+IFERROR(VLOOKUP($A519,'[152]BG (2)'!$B$9:$J$570,7,FALSE),0))*-1</f>
        <v>0</v>
      </c>
      <c r="J519" s="1299">
        <f>(+IFERROR(VLOOKUP($A519,'[152]BG (2)'!$B$9:$J$570,8,FALSE),0))*1</f>
        <v>1159456263</v>
      </c>
      <c r="K519" s="73">
        <f>(+IFERROR(VLOOKUP($A519,'[152]BG (2)'!$B$9:$J$570,9,FALSE),0))*-1</f>
        <v>0</v>
      </c>
      <c r="L519" s="96"/>
      <c r="M519" s="101"/>
      <c r="P519" s="90">
        <f t="shared" si="35"/>
        <v>1159456263</v>
      </c>
      <c r="R519" s="130">
        <f>J519+K519</f>
        <v>1159456263</v>
      </c>
      <c r="S519" s="90"/>
      <c r="T519" s="131">
        <f t="shared" si="32"/>
        <v>1159456263</v>
      </c>
      <c r="U519" s="95"/>
      <c r="V519" s="72"/>
      <c r="W519" s="75" t="e">
        <f>+A519-#REF!</f>
        <v>#REF!</v>
      </c>
      <c r="X519" s="1270"/>
      <c r="Y519" s="91"/>
      <c r="Z519" s="91"/>
      <c r="AA519" s="91"/>
    </row>
    <row r="520" spans="1:27" ht="14.4" customHeight="1" x14ac:dyDescent="0.3">
      <c r="A520" s="97">
        <v>627150</v>
      </c>
      <c r="B520" s="1298" t="s">
        <v>560</v>
      </c>
      <c r="C520" t="s">
        <v>556</v>
      </c>
      <c r="D520" s="87" t="str">
        <f t="shared" si="34"/>
        <v>62</v>
      </c>
      <c r="E520" s="92"/>
      <c r="F520" s="93">
        <f>(+IFERROR(VLOOKUP($A520,'[152]BG (2)'!$B$9:$J$570,4,FALSE),0))*1</f>
        <v>0</v>
      </c>
      <c r="G520" s="73">
        <f>(+IFERROR(VLOOKUP($A520,'[152]BG (2)'!$B$9:$J$570,5,FALSE),0))*-1</f>
        <v>0</v>
      </c>
      <c r="H520" s="93">
        <f>(+IFERROR(VLOOKUP($A520,'[152]BG (2)'!$B$9:$J$570,6,FALSE),0))*1</f>
        <v>0</v>
      </c>
      <c r="I520" s="73">
        <f>(+IFERROR(VLOOKUP($A520,'[152]BG (2)'!$B$9:$J$570,7,FALSE),0))*-1</f>
        <v>0</v>
      </c>
      <c r="J520" s="1299">
        <f>(+IFERROR(VLOOKUP($A520,'[152]BG (2)'!$B$9:$J$570,8,FALSE),0))*1</f>
        <v>0</v>
      </c>
      <c r="K520" s="73">
        <f>(+IFERROR(VLOOKUP($A520,'[152]BG (2)'!$B$9:$J$570,9,FALSE),0))*-1</f>
        <v>0</v>
      </c>
      <c r="L520" s="96"/>
      <c r="M520" s="101"/>
      <c r="P520" s="90">
        <f t="shared" si="35"/>
        <v>0</v>
      </c>
      <c r="R520" s="130"/>
      <c r="S520" s="90"/>
      <c r="T520" s="131"/>
      <c r="U520" s="95"/>
      <c r="V520" s="72"/>
      <c r="W520" s="75" t="e">
        <f>+A520-#REF!</f>
        <v>#REF!</v>
      </c>
      <c r="X520" s="1270"/>
      <c r="Y520" s="91"/>
      <c r="Z520" s="91"/>
      <c r="AA520" s="91"/>
    </row>
    <row r="521" spans="1:27" ht="14.4" customHeight="1" x14ac:dyDescent="0.3">
      <c r="A521">
        <v>627210</v>
      </c>
      <c r="B521" s="1298" t="s">
        <v>561</v>
      </c>
      <c r="C521" t="s">
        <v>556</v>
      </c>
      <c r="D521" s="87" t="str">
        <f t="shared" si="34"/>
        <v>62</v>
      </c>
      <c r="E521" s="92"/>
      <c r="F521" s="93">
        <f>(+IFERROR(VLOOKUP($A521,'[152]BG (2)'!$B$9:$J$570,4,FALSE),0))*1</f>
        <v>0</v>
      </c>
      <c r="G521" s="73">
        <f>(+IFERROR(VLOOKUP($A521,'[152]BG (2)'!$B$9:$J$570,5,FALSE),0))*-1</f>
        <v>0</v>
      </c>
      <c r="H521" s="93">
        <f>(+IFERROR(VLOOKUP($A521,'[152]BG (2)'!$B$9:$J$570,6,FALSE),0))*1</f>
        <v>419556058</v>
      </c>
      <c r="I521" s="73">
        <f>(+IFERROR(VLOOKUP($A521,'[152]BG (2)'!$B$9:$J$570,7,FALSE),0))*-1</f>
        <v>0</v>
      </c>
      <c r="J521" s="1299">
        <f>(+IFERROR(VLOOKUP($A521,'[152]BG (2)'!$B$9:$J$570,8,FALSE),0))*1</f>
        <v>419556058</v>
      </c>
      <c r="K521" s="73">
        <f>(+IFERROR(VLOOKUP($A521,'[152]BG (2)'!$B$9:$J$570,9,FALSE),0))*-1</f>
        <v>0</v>
      </c>
      <c r="L521" s="96"/>
      <c r="M521" s="101"/>
      <c r="P521" s="90">
        <f t="shared" si="35"/>
        <v>419556058</v>
      </c>
      <c r="R521" s="130">
        <f t="shared" ref="R521:R549" si="36">J521+K521</f>
        <v>419556058</v>
      </c>
      <c r="S521" s="90"/>
      <c r="T521" s="131">
        <f t="shared" ref="T521:T588" si="37">K521+J521</f>
        <v>419556058</v>
      </c>
      <c r="U521" s="95"/>
      <c r="V521" s="72"/>
      <c r="W521" s="75" t="e">
        <f>+A521-#REF!</f>
        <v>#REF!</v>
      </c>
      <c r="X521" s="1270"/>
      <c r="Y521" s="91"/>
      <c r="Z521" s="91"/>
      <c r="AA521" s="91"/>
    </row>
    <row r="522" spans="1:27" ht="14.4" customHeight="1" x14ac:dyDescent="0.3">
      <c r="A522">
        <v>627220</v>
      </c>
      <c r="B522" s="1298" t="s">
        <v>562</v>
      </c>
      <c r="C522" t="s">
        <v>556</v>
      </c>
      <c r="D522" s="87" t="str">
        <f t="shared" si="34"/>
        <v>62</v>
      </c>
      <c r="E522" s="92"/>
      <c r="F522" s="93">
        <f>(+IFERROR(VLOOKUP($A522,'[152]BG (2)'!$B$9:$J$570,4,FALSE),0))*1</f>
        <v>0</v>
      </c>
      <c r="G522" s="73">
        <f>(+IFERROR(VLOOKUP($A522,'[152]BG (2)'!$B$9:$J$570,5,FALSE),0))*-1</f>
        <v>0</v>
      </c>
      <c r="H522" s="93">
        <f>(+IFERROR(VLOOKUP($A522,'[152]BG (2)'!$B$9:$J$570,6,FALSE),0))*1</f>
        <v>197298588</v>
      </c>
      <c r="I522" s="73">
        <f>(+IFERROR(VLOOKUP($A522,'[152]BG (2)'!$B$9:$J$570,7,FALSE),0))*-1</f>
        <v>91608724</v>
      </c>
      <c r="J522" s="1299">
        <f>(+IFERROR(VLOOKUP($A522,'[152]BG (2)'!$B$9:$J$570,8,FALSE),0))*1</f>
        <v>288907312</v>
      </c>
      <c r="K522" s="73">
        <f>(+IFERROR(VLOOKUP($A522,'[152]BG (2)'!$B$9:$J$570,9,FALSE),0))*-1</f>
        <v>0</v>
      </c>
      <c r="L522" s="96"/>
      <c r="M522" s="101"/>
      <c r="P522" s="90">
        <f t="shared" si="35"/>
        <v>288907312</v>
      </c>
      <c r="R522" s="130">
        <f t="shared" si="36"/>
        <v>288907312</v>
      </c>
      <c r="S522" s="90"/>
      <c r="T522" s="131">
        <f t="shared" si="37"/>
        <v>288907312</v>
      </c>
      <c r="U522" s="95"/>
      <c r="V522" s="72"/>
      <c r="W522" s="75" t="e">
        <f>+A522-#REF!</f>
        <v>#REF!</v>
      </c>
      <c r="X522" s="1270"/>
      <c r="Y522" s="91"/>
      <c r="Z522" s="91"/>
      <c r="AA522" s="91"/>
    </row>
    <row r="523" spans="1:27" ht="14.4" customHeight="1" x14ac:dyDescent="0.3">
      <c r="A523">
        <v>627600</v>
      </c>
      <c r="B523" s="1298" t="s">
        <v>563</v>
      </c>
      <c r="C523" t="s">
        <v>556</v>
      </c>
      <c r="D523" s="87" t="str">
        <f t="shared" si="34"/>
        <v>62</v>
      </c>
      <c r="E523" s="92"/>
      <c r="F523" s="93">
        <f>(+IFERROR(VLOOKUP($A523,'[152]BG (2)'!$B$9:$J$570,4,FALSE),0))*1</f>
        <v>0</v>
      </c>
      <c r="G523" s="73">
        <f>(+IFERROR(VLOOKUP($A523,'[152]BG (2)'!$B$9:$J$570,5,FALSE),0))*-1</f>
        <v>0</v>
      </c>
      <c r="H523" s="93">
        <f>(+IFERROR(VLOOKUP($A523,'[152]BG (2)'!$B$9:$J$570,6,FALSE),0))*1</f>
        <v>354516300</v>
      </c>
      <c r="I523" s="73">
        <f>(+IFERROR(VLOOKUP($A523,'[152]BG (2)'!$B$9:$J$570,7,FALSE),0))*-1</f>
        <v>-2600000</v>
      </c>
      <c r="J523" s="1299">
        <f>(+IFERROR(VLOOKUP($A523,'[152]BG (2)'!$B$9:$J$570,8,FALSE),0))*1</f>
        <v>351916300</v>
      </c>
      <c r="K523" s="73">
        <f>(+IFERROR(VLOOKUP($A523,'[152]BG (2)'!$B$9:$J$570,9,FALSE),0))*-1</f>
        <v>0</v>
      </c>
      <c r="L523" s="96"/>
      <c r="M523" s="101"/>
      <c r="P523" s="90">
        <f t="shared" si="35"/>
        <v>351916300</v>
      </c>
      <c r="R523" s="130">
        <f t="shared" si="36"/>
        <v>351916300</v>
      </c>
      <c r="S523" s="90"/>
      <c r="T523" s="131">
        <f t="shared" si="37"/>
        <v>351916300</v>
      </c>
      <c r="U523" s="95"/>
      <c r="V523" s="72"/>
      <c r="W523" s="75" t="e">
        <f>+A523-#REF!</f>
        <v>#REF!</v>
      </c>
      <c r="X523" s="1270"/>
      <c r="Y523" s="91"/>
      <c r="Z523" s="91"/>
      <c r="AA523" s="91"/>
    </row>
    <row r="524" spans="1:27" ht="14.4" customHeight="1" x14ac:dyDescent="0.3">
      <c r="A524">
        <v>627810</v>
      </c>
      <c r="B524" s="1298" t="s">
        <v>564</v>
      </c>
      <c r="C524" t="s">
        <v>556</v>
      </c>
      <c r="D524" s="87" t="str">
        <f t="shared" si="34"/>
        <v>62</v>
      </c>
      <c r="E524" s="92"/>
      <c r="F524" s="93">
        <f>(+IFERROR(VLOOKUP($A524,'[152]BG (2)'!$B$9:$J$570,4,FALSE),0))*1</f>
        <v>0</v>
      </c>
      <c r="G524" s="73">
        <f>(+IFERROR(VLOOKUP($A524,'[152]BG (2)'!$B$9:$J$570,5,FALSE),0))*-1</f>
        <v>0</v>
      </c>
      <c r="H524" s="93">
        <f>(+IFERROR(VLOOKUP($A524,'[152]BG (2)'!$B$9:$J$570,6,FALSE),0))*1</f>
        <v>1052946798</v>
      </c>
      <c r="I524" s="73">
        <f>(+IFERROR(VLOOKUP($A524,'[152]BG (2)'!$B$9:$J$570,7,FALSE),0))*-1</f>
        <v>-5000000</v>
      </c>
      <c r="J524" s="1299">
        <f>(+IFERROR(VLOOKUP($A524,'[152]BG (2)'!$B$9:$J$570,8,FALSE),0))*1</f>
        <v>1047946798</v>
      </c>
      <c r="K524" s="73">
        <f>(+IFERROR(VLOOKUP($A524,'[152]BG (2)'!$B$9:$J$570,9,FALSE),0))*-1</f>
        <v>0</v>
      </c>
      <c r="L524" s="96"/>
      <c r="M524" s="101"/>
      <c r="P524" s="90">
        <f t="shared" si="35"/>
        <v>1047946798</v>
      </c>
      <c r="R524" s="130">
        <f t="shared" si="36"/>
        <v>1047946798</v>
      </c>
      <c r="S524" s="90"/>
      <c r="T524" s="131">
        <f t="shared" si="37"/>
        <v>1047946798</v>
      </c>
      <c r="U524" s="95"/>
      <c r="V524" s="72"/>
      <c r="W524" s="75" t="e">
        <f>+A524-#REF!</f>
        <v>#REF!</v>
      </c>
      <c r="X524" s="1270"/>
      <c r="Y524" s="91"/>
      <c r="Z524" s="91"/>
      <c r="AA524" s="91"/>
    </row>
    <row r="525" spans="1:27" ht="14.4" customHeight="1" x14ac:dyDescent="0.3">
      <c r="A525">
        <v>627830</v>
      </c>
      <c r="B525" s="1298" t="s">
        <v>565</v>
      </c>
      <c r="C525" t="s">
        <v>556</v>
      </c>
      <c r="D525" s="87" t="str">
        <f t="shared" si="34"/>
        <v>62</v>
      </c>
      <c r="E525" s="92"/>
      <c r="F525" s="93">
        <f>(+IFERROR(VLOOKUP($A525,'[152]BG (2)'!$B$9:$J$570,4,FALSE),0))*1</f>
        <v>0</v>
      </c>
      <c r="G525" s="73">
        <f>(+IFERROR(VLOOKUP($A525,'[152]BG (2)'!$B$9:$J$570,5,FALSE),0))*-1</f>
        <v>0</v>
      </c>
      <c r="H525" s="93">
        <f>(+IFERROR(VLOOKUP($A525,'[152]BG (2)'!$B$9:$J$570,6,FALSE),0))*1</f>
        <v>25771847</v>
      </c>
      <c r="I525" s="73">
        <f>(+IFERROR(VLOOKUP($A525,'[152]BG (2)'!$B$9:$J$570,7,FALSE),0))*-1</f>
        <v>-488700</v>
      </c>
      <c r="J525" s="1299">
        <f>(+IFERROR(VLOOKUP($A525,'[152]BG (2)'!$B$9:$J$570,8,FALSE),0))*1</f>
        <v>25283147</v>
      </c>
      <c r="K525" s="73">
        <f>(+IFERROR(VLOOKUP($A525,'[152]BG (2)'!$B$9:$J$570,9,FALSE),0))*-1</f>
        <v>0</v>
      </c>
      <c r="L525" s="96"/>
      <c r="M525" s="101"/>
      <c r="P525" s="90">
        <f t="shared" si="35"/>
        <v>25283147</v>
      </c>
      <c r="R525" s="130">
        <f t="shared" si="36"/>
        <v>25283147</v>
      </c>
      <c r="S525" s="90"/>
      <c r="T525" s="131">
        <f t="shared" si="37"/>
        <v>25283147</v>
      </c>
      <c r="U525" s="95"/>
      <c r="V525" s="72"/>
      <c r="W525" s="75" t="e">
        <f>+A525-#REF!</f>
        <v>#REF!</v>
      </c>
      <c r="X525" s="1270"/>
      <c r="Y525" s="91"/>
      <c r="Z525" s="91"/>
      <c r="AA525" s="91"/>
    </row>
    <row r="526" spans="1:27" ht="14.4" customHeight="1" x14ac:dyDescent="0.3">
      <c r="A526">
        <v>628110</v>
      </c>
      <c r="B526" t="s">
        <v>566</v>
      </c>
      <c r="C526" t="s">
        <v>500</v>
      </c>
      <c r="D526" s="87" t="str">
        <f t="shared" si="34"/>
        <v>62</v>
      </c>
      <c r="E526" s="92"/>
      <c r="F526" s="93">
        <f>(+IFERROR(VLOOKUP($A526,'[152]BG (2)'!$B$9:$J$570,4,FALSE),0))*1</f>
        <v>0</v>
      </c>
      <c r="G526" s="73">
        <f>(+IFERROR(VLOOKUP($A526,'[152]BG (2)'!$B$9:$J$570,5,FALSE),0))*-1</f>
        <v>0</v>
      </c>
      <c r="H526" s="93">
        <f>(+IFERROR(VLOOKUP($A526,'[152]BG (2)'!$B$9:$J$570,6,FALSE),0))*1</f>
        <v>31062080</v>
      </c>
      <c r="I526" s="73">
        <f>(+IFERROR(VLOOKUP($A526,'[152]BG (2)'!$B$9:$J$570,7,FALSE),0))*-1</f>
        <v>0</v>
      </c>
      <c r="J526" s="109">
        <f>(+IFERROR(VLOOKUP($A526,'[152]BG (2)'!$B$9:$J$570,8,FALSE),0))*1</f>
        <v>31062080</v>
      </c>
      <c r="K526" s="73">
        <f>(+IFERROR(VLOOKUP($A526,'[152]BG (2)'!$B$9:$J$570,9,FALSE),0))*-1</f>
        <v>0</v>
      </c>
      <c r="L526" s="96"/>
      <c r="M526" s="101"/>
      <c r="P526" s="90">
        <f t="shared" si="35"/>
        <v>31062080</v>
      </c>
      <c r="R526" s="130">
        <f t="shared" si="36"/>
        <v>31062080</v>
      </c>
      <c r="S526" s="90"/>
      <c r="T526" s="131">
        <f t="shared" si="37"/>
        <v>31062080</v>
      </c>
      <c r="U526" s="95"/>
      <c r="V526" s="72"/>
      <c r="W526" s="75" t="e">
        <f>+A526-#REF!</f>
        <v>#REF!</v>
      </c>
      <c r="X526" s="1270"/>
      <c r="Y526" s="91"/>
      <c r="Z526" s="91"/>
      <c r="AA526" s="91"/>
    </row>
    <row r="527" spans="1:27" ht="14.4" customHeight="1" x14ac:dyDescent="0.3">
      <c r="A527">
        <v>628120</v>
      </c>
      <c r="B527" t="s">
        <v>567</v>
      </c>
      <c r="C527" t="s">
        <v>500</v>
      </c>
      <c r="D527" s="87" t="str">
        <f t="shared" ref="D527:D590" si="38">+LEFT(A527,2)</f>
        <v>62</v>
      </c>
      <c r="E527" s="92"/>
      <c r="F527" s="93">
        <f>(+IFERROR(VLOOKUP($A527,'[152]BG (2)'!$B$9:$J$570,4,FALSE),0))*1</f>
        <v>0</v>
      </c>
      <c r="G527" s="73">
        <f>(+IFERROR(VLOOKUP($A527,'[152]BG (2)'!$B$9:$J$570,5,FALSE),0))*-1</f>
        <v>0</v>
      </c>
      <c r="H527" s="93">
        <f>(+IFERROR(VLOOKUP($A527,'[152]BG (2)'!$B$9:$J$570,6,FALSE),0))*1</f>
        <v>-268380</v>
      </c>
      <c r="I527" s="73">
        <f>(+IFERROR(VLOOKUP($A527,'[152]BG (2)'!$B$9:$J$570,7,FALSE),0))*-1</f>
        <v>0</v>
      </c>
      <c r="J527" s="109">
        <f>(+IFERROR(VLOOKUP($A527,'[152]BG (2)'!$B$9:$J$570,8,FALSE),0))*1</f>
        <v>0</v>
      </c>
      <c r="K527" s="73">
        <f>(+IFERROR(VLOOKUP($A527,'[152]BG (2)'!$B$9:$J$570,9,FALSE),0))*-1</f>
        <v>-268380</v>
      </c>
      <c r="L527" s="96"/>
      <c r="M527" s="101"/>
      <c r="P527" s="90">
        <f t="shared" si="35"/>
        <v>-268380</v>
      </c>
      <c r="R527" s="130">
        <f t="shared" si="36"/>
        <v>-268380</v>
      </c>
      <c r="S527" s="90"/>
      <c r="T527" s="131">
        <f t="shared" si="37"/>
        <v>-268380</v>
      </c>
      <c r="U527" s="95"/>
      <c r="V527" s="72"/>
      <c r="W527" s="75" t="e">
        <f>+A527-#REF!</f>
        <v>#REF!</v>
      </c>
      <c r="X527" s="1270"/>
      <c r="Y527" s="91"/>
      <c r="Z527" s="91"/>
      <c r="AA527" s="91"/>
    </row>
    <row r="528" spans="1:27" ht="14.4" customHeight="1" x14ac:dyDescent="0.3">
      <c r="A528">
        <v>628300</v>
      </c>
      <c r="B528" t="s">
        <v>568</v>
      </c>
      <c r="C528" t="s">
        <v>500</v>
      </c>
      <c r="D528" s="87" t="str">
        <f t="shared" si="38"/>
        <v>62</v>
      </c>
      <c r="E528" s="92"/>
      <c r="F528" s="93">
        <f>(+IFERROR(VLOOKUP($A528,'[152]BG (2)'!$B$9:$J$570,4,FALSE),0))*1</f>
        <v>0</v>
      </c>
      <c r="G528" s="73">
        <f>(+IFERROR(VLOOKUP($A528,'[152]BG (2)'!$B$9:$J$570,5,FALSE),0))*-1</f>
        <v>0</v>
      </c>
      <c r="H528" s="93">
        <f>(+IFERROR(VLOOKUP($A528,'[152]BG (2)'!$B$9:$J$570,6,FALSE),0))*1</f>
        <v>-1619990</v>
      </c>
      <c r="I528" s="73">
        <f>(+IFERROR(VLOOKUP($A528,'[152]BG (2)'!$B$9:$J$570,7,FALSE),0))*-1</f>
        <v>0</v>
      </c>
      <c r="J528" s="109">
        <f>(+IFERROR(VLOOKUP($A528,'[152]BG (2)'!$B$9:$J$570,8,FALSE),0))*1</f>
        <v>0</v>
      </c>
      <c r="K528" s="73">
        <f>(+IFERROR(VLOOKUP($A528,'[152]BG (2)'!$B$9:$J$570,9,FALSE),0))*-1</f>
        <v>-1619990</v>
      </c>
      <c r="L528" s="96"/>
      <c r="M528" s="101"/>
      <c r="P528" s="90">
        <f t="shared" si="35"/>
        <v>-1619990</v>
      </c>
      <c r="R528" s="130">
        <f t="shared" si="36"/>
        <v>-1619990</v>
      </c>
      <c r="S528" s="90"/>
      <c r="T528" s="131">
        <f t="shared" si="37"/>
        <v>-1619990</v>
      </c>
      <c r="U528" s="95"/>
      <c r="V528" s="72"/>
      <c r="W528" s="75" t="e">
        <f>+A528-#REF!</f>
        <v>#REF!</v>
      </c>
      <c r="X528" s="1270"/>
      <c r="Y528" s="91"/>
      <c r="Z528" s="91"/>
      <c r="AA528" s="91"/>
    </row>
    <row r="529" spans="1:27" ht="14.4" customHeight="1" x14ac:dyDescent="0.3">
      <c r="A529">
        <v>628800</v>
      </c>
      <c r="B529" t="s">
        <v>569</v>
      </c>
      <c r="C529" t="s">
        <v>500</v>
      </c>
      <c r="D529" s="87" t="str">
        <f t="shared" si="38"/>
        <v>62</v>
      </c>
      <c r="E529" s="92"/>
      <c r="F529" s="93">
        <f>(+IFERROR(VLOOKUP($A529,'[152]BG (2)'!$B$9:$J$570,4,FALSE),0))*1</f>
        <v>0</v>
      </c>
      <c r="G529" s="73">
        <f>(+IFERROR(VLOOKUP($A529,'[152]BG (2)'!$B$9:$J$570,5,FALSE),0))*-1</f>
        <v>0</v>
      </c>
      <c r="H529" s="93">
        <f>(+IFERROR(VLOOKUP($A529,'[152]BG (2)'!$B$9:$J$570,6,FALSE),0))*1</f>
        <v>1569500</v>
      </c>
      <c r="I529" s="73">
        <f>(+IFERROR(VLOOKUP($A529,'[152]BG (2)'!$B$9:$J$570,7,FALSE),0))*-1</f>
        <v>0</v>
      </c>
      <c r="J529" s="109">
        <f>(+IFERROR(VLOOKUP($A529,'[152]BG (2)'!$B$9:$J$570,8,FALSE),0))*1</f>
        <v>1569500</v>
      </c>
      <c r="K529" s="73">
        <f>(+IFERROR(VLOOKUP($A529,'[152]BG (2)'!$B$9:$J$570,9,FALSE),0))*-1</f>
        <v>0</v>
      </c>
      <c r="L529" s="96"/>
      <c r="M529" s="101"/>
      <c r="P529" s="90">
        <f t="shared" si="35"/>
        <v>1569500</v>
      </c>
      <c r="R529" s="130">
        <f t="shared" si="36"/>
        <v>1569500</v>
      </c>
      <c r="S529" s="90"/>
      <c r="T529" s="131">
        <f t="shared" si="37"/>
        <v>1569500</v>
      </c>
      <c r="U529" s="95"/>
      <c r="V529" s="72"/>
      <c r="W529" s="75" t="e">
        <f>+A529-#REF!</f>
        <v>#REF!</v>
      </c>
      <c r="X529" s="1270"/>
      <c r="Y529" s="91"/>
      <c r="Z529" s="91"/>
      <c r="AA529" s="91"/>
    </row>
    <row r="530" spans="1:27" ht="14.4" customHeight="1" x14ac:dyDescent="0.3">
      <c r="A530">
        <v>628810</v>
      </c>
      <c r="B530" t="s">
        <v>570</v>
      </c>
      <c r="C530" t="s">
        <v>500</v>
      </c>
      <c r="D530" s="87" t="str">
        <f t="shared" si="38"/>
        <v>62</v>
      </c>
      <c r="E530" s="92"/>
      <c r="F530" s="93">
        <f>(+IFERROR(VLOOKUP($A530,'[152]BG (2)'!$B$9:$J$570,4,FALSE),0))*1</f>
        <v>0</v>
      </c>
      <c r="G530" s="73">
        <f>(+IFERROR(VLOOKUP($A530,'[152]BG (2)'!$B$9:$J$570,5,FALSE),0))*-1</f>
        <v>0</v>
      </c>
      <c r="H530" s="93">
        <f>(+IFERROR(VLOOKUP($A530,'[152]BG (2)'!$B$9:$J$570,6,FALSE),0))*1</f>
        <v>-2148900</v>
      </c>
      <c r="I530" s="73">
        <f>(+IFERROR(VLOOKUP($A530,'[152]BG (2)'!$B$9:$J$570,7,FALSE),0))*-1</f>
        <v>0</v>
      </c>
      <c r="J530" s="109">
        <f>(+IFERROR(VLOOKUP($A530,'[152]BG (2)'!$B$9:$J$570,8,FALSE),0))*1</f>
        <v>0</v>
      </c>
      <c r="K530" s="73">
        <f>(+IFERROR(VLOOKUP($A530,'[152]BG (2)'!$B$9:$J$570,9,FALSE),0))*-1</f>
        <v>-2148900</v>
      </c>
      <c r="L530" s="96"/>
      <c r="M530" s="101"/>
      <c r="P530" s="90">
        <f t="shared" si="35"/>
        <v>-2148900</v>
      </c>
      <c r="R530" s="130">
        <f t="shared" si="36"/>
        <v>-2148900</v>
      </c>
      <c r="S530" s="90"/>
      <c r="T530" s="102">
        <f t="shared" si="37"/>
        <v>-2148900</v>
      </c>
      <c r="U530" s="95"/>
      <c r="V530" s="72"/>
      <c r="W530" s="75" t="e">
        <f>+A530-#REF!</f>
        <v>#REF!</v>
      </c>
      <c r="X530" s="1270"/>
      <c r="Y530" s="91"/>
      <c r="Z530" s="91"/>
      <c r="AA530" s="91"/>
    </row>
    <row r="531" spans="1:27" ht="14.4" customHeight="1" x14ac:dyDescent="0.3">
      <c r="A531">
        <v>631810</v>
      </c>
      <c r="B531" t="s">
        <v>571</v>
      </c>
      <c r="C531" t="s">
        <v>572</v>
      </c>
      <c r="D531" s="87" t="str">
        <f t="shared" si="38"/>
        <v>63</v>
      </c>
      <c r="E531" s="92"/>
      <c r="F531" s="93">
        <f>(+IFERROR(VLOOKUP($A531,'[152]BG (2)'!$B$9:$J$570,4,FALSE),0))*1</f>
        <v>0</v>
      </c>
      <c r="G531" s="73">
        <f>(+IFERROR(VLOOKUP($A531,'[152]BG (2)'!$B$9:$J$570,5,FALSE),0))*-1</f>
        <v>0</v>
      </c>
      <c r="H531" s="93">
        <f>(+IFERROR(VLOOKUP($A531,'[152]BG (2)'!$B$9:$J$570,6,FALSE),0))*1</f>
        <v>61331109</v>
      </c>
      <c r="I531" s="73">
        <f>(+IFERROR(VLOOKUP($A531,'[152]BG (2)'!$B$9:$J$570,7,FALSE),0))*-1</f>
        <v>-6048876</v>
      </c>
      <c r="J531" s="1731">
        <f>(+IFERROR(VLOOKUP($A531,'[152]BG (2)'!$B$9:$J$570,8,FALSE),0))*1</f>
        <v>55282233</v>
      </c>
      <c r="K531" s="73">
        <f>(+IFERROR(VLOOKUP($A531,'[152]BG (2)'!$B$9:$J$570,9,FALSE),0))*-1</f>
        <v>0</v>
      </c>
      <c r="L531" s="96"/>
      <c r="M531" s="101"/>
      <c r="P531" s="90">
        <f t="shared" si="35"/>
        <v>55282233</v>
      </c>
      <c r="R531" s="130">
        <f t="shared" si="36"/>
        <v>55282233</v>
      </c>
      <c r="S531" s="90"/>
      <c r="T531" s="102">
        <f t="shared" si="37"/>
        <v>55282233</v>
      </c>
      <c r="U531" s="95"/>
      <c r="V531" s="72"/>
      <c r="W531" s="75" t="e">
        <f>+A531-#REF!</f>
        <v>#REF!</v>
      </c>
      <c r="X531" s="1270"/>
      <c r="Y531" s="91"/>
      <c r="Z531" s="91"/>
      <c r="AA531" s="91"/>
    </row>
    <row r="532" spans="1:27" ht="14.4" customHeight="1" x14ac:dyDescent="0.3">
      <c r="A532">
        <v>631820</v>
      </c>
      <c r="B532" t="s">
        <v>573</v>
      </c>
      <c r="C532" t="s">
        <v>572</v>
      </c>
      <c r="D532" s="87" t="str">
        <f t="shared" si="38"/>
        <v>63</v>
      </c>
      <c r="E532" s="92"/>
      <c r="F532" s="93">
        <f>(+IFERROR(VLOOKUP($A532,'[152]BG (2)'!$B$9:$J$570,4,FALSE),0))*1</f>
        <v>0</v>
      </c>
      <c r="G532" s="73">
        <f>(+IFERROR(VLOOKUP($A532,'[152]BG (2)'!$B$9:$J$570,5,FALSE),0))*-1</f>
        <v>0</v>
      </c>
      <c r="H532" s="93">
        <f>(+IFERROR(VLOOKUP($A532,'[152]BG (2)'!$B$9:$J$570,6,FALSE),0))*1</f>
        <v>155411449</v>
      </c>
      <c r="I532" s="73">
        <f>(+IFERROR(VLOOKUP($A532,'[152]BG (2)'!$B$9:$J$570,7,FALSE),0))*-1</f>
        <v>-52157</v>
      </c>
      <c r="J532" s="1731">
        <f>(+IFERROR(VLOOKUP($A532,'[152]BG (2)'!$B$9:$J$570,8,FALSE),0))*1</f>
        <v>155359292</v>
      </c>
      <c r="K532" s="73">
        <f>(+IFERROR(VLOOKUP($A532,'[152]BG (2)'!$B$9:$J$570,9,FALSE),0))*-1</f>
        <v>0</v>
      </c>
      <c r="L532" s="96"/>
      <c r="M532" s="101"/>
      <c r="P532" s="90">
        <f t="shared" si="35"/>
        <v>155359292</v>
      </c>
      <c r="R532" s="130">
        <f t="shared" si="36"/>
        <v>155359292</v>
      </c>
      <c r="S532" s="90"/>
      <c r="T532" s="102">
        <f t="shared" si="37"/>
        <v>155359292</v>
      </c>
      <c r="U532" s="95"/>
      <c r="V532" s="72"/>
      <c r="W532" s="75" t="e">
        <f>+A532-#REF!</f>
        <v>#REF!</v>
      </c>
      <c r="X532" s="1270"/>
      <c r="Y532" s="91"/>
      <c r="Z532" s="91"/>
      <c r="AA532" s="91"/>
    </row>
    <row r="533" spans="1:27" ht="14.4" customHeight="1" x14ac:dyDescent="0.3">
      <c r="A533">
        <v>631830</v>
      </c>
      <c r="B533" t="s">
        <v>574</v>
      </c>
      <c r="C533" t="s">
        <v>572</v>
      </c>
      <c r="D533" s="87" t="str">
        <f t="shared" si="38"/>
        <v>63</v>
      </c>
      <c r="E533" s="92"/>
      <c r="F533" s="93">
        <f>(+IFERROR(VLOOKUP($A533,'[152]BG (2)'!$B$9:$J$570,4,FALSE),0))*1</f>
        <v>0</v>
      </c>
      <c r="G533" s="73">
        <f>(+IFERROR(VLOOKUP($A533,'[152]BG (2)'!$B$9:$J$570,5,FALSE),0))*-1</f>
        <v>0</v>
      </c>
      <c r="H533" s="93">
        <f>(+IFERROR(VLOOKUP($A533,'[152]BG (2)'!$B$9:$J$570,6,FALSE),0))*1</f>
        <v>425661</v>
      </c>
      <c r="I533" s="73">
        <f>(+IFERROR(VLOOKUP($A533,'[152]BG (2)'!$B$9:$J$570,7,FALSE),0))*-1</f>
        <v>0</v>
      </c>
      <c r="J533" s="1731">
        <f>(+IFERROR(VLOOKUP($A533,'[152]BG (2)'!$B$9:$J$570,8,FALSE),0))*1</f>
        <v>425661</v>
      </c>
      <c r="K533" s="73">
        <f>(+IFERROR(VLOOKUP($A533,'[152]BG (2)'!$B$9:$J$570,9,FALSE),0))*-1</f>
        <v>0</v>
      </c>
      <c r="L533" s="96"/>
      <c r="M533" s="101"/>
      <c r="P533" s="90">
        <f t="shared" si="35"/>
        <v>425661</v>
      </c>
      <c r="R533" s="130">
        <f t="shared" si="36"/>
        <v>425661</v>
      </c>
      <c r="S533" s="90"/>
      <c r="T533" s="102">
        <f t="shared" si="37"/>
        <v>425661</v>
      </c>
      <c r="U533" s="95"/>
      <c r="V533" s="72"/>
      <c r="W533" s="75" t="e">
        <f>+A533-#REF!</f>
        <v>#REF!</v>
      </c>
      <c r="X533" s="1270"/>
      <c r="Y533" s="91"/>
      <c r="Z533" s="91"/>
      <c r="AA533" s="91"/>
    </row>
    <row r="534" spans="1:27" ht="14.4" customHeight="1" x14ac:dyDescent="0.3">
      <c r="A534">
        <v>632200</v>
      </c>
      <c r="B534" t="s">
        <v>575</v>
      </c>
      <c r="C534" t="s">
        <v>576</v>
      </c>
      <c r="D534" s="87" t="str">
        <f t="shared" si="38"/>
        <v>63</v>
      </c>
      <c r="E534" s="92"/>
      <c r="F534" s="93">
        <f>(+IFERROR(VLOOKUP($A534,'[152]BG (2)'!$B$9:$J$570,4,FALSE),0))*1</f>
        <v>0</v>
      </c>
      <c r="G534" s="73">
        <f>(+IFERROR(VLOOKUP($A534,'[152]BG (2)'!$B$9:$J$570,5,FALSE),0))*-1</f>
        <v>0</v>
      </c>
      <c r="H534" s="93">
        <f>(+IFERROR(VLOOKUP($A534,'[152]BG (2)'!$B$9:$J$570,6,FALSE),0))*1</f>
        <v>7004917483</v>
      </c>
      <c r="I534" s="73">
        <f>(+IFERROR(VLOOKUP($A534,'[152]BG (2)'!$B$9:$J$570,7,FALSE),0))*-1</f>
        <v>-163287979</v>
      </c>
      <c r="J534" s="109">
        <f>(+IFERROR(VLOOKUP($A534,'[152]BG (2)'!$B$9:$J$570,8,FALSE),0))*1</f>
        <v>6841629504</v>
      </c>
      <c r="K534" s="73">
        <f>(+IFERROR(VLOOKUP($A534,'[152]BG (2)'!$B$9:$J$570,9,FALSE),0))*-1</f>
        <v>0</v>
      </c>
      <c r="L534" s="96"/>
      <c r="M534" s="101"/>
      <c r="P534" s="90">
        <f t="shared" si="35"/>
        <v>6841629504</v>
      </c>
      <c r="R534" s="130">
        <f t="shared" si="36"/>
        <v>6841629504</v>
      </c>
      <c r="S534" s="90"/>
      <c r="T534" s="102">
        <f t="shared" si="37"/>
        <v>6841629504</v>
      </c>
      <c r="U534" s="95"/>
      <c r="V534" s="72"/>
      <c r="W534" s="75" t="e">
        <f>+A534-#REF!</f>
        <v>#REF!</v>
      </c>
      <c r="X534" s="1270"/>
      <c r="Y534" s="91"/>
      <c r="Z534" s="91"/>
      <c r="AA534" s="91"/>
    </row>
    <row r="535" spans="1:27" ht="14.4" customHeight="1" x14ac:dyDescent="0.3">
      <c r="A535">
        <v>632410</v>
      </c>
      <c r="B535" t="s">
        <v>577</v>
      </c>
      <c r="C535" t="s">
        <v>578</v>
      </c>
      <c r="D535" s="87" t="str">
        <f t="shared" si="38"/>
        <v>63</v>
      </c>
      <c r="E535" s="92"/>
      <c r="F535" s="93">
        <f>(+IFERROR(VLOOKUP($A535,'[152]BG (2)'!$B$9:$J$570,4,FALSE),0))*1</f>
        <v>0</v>
      </c>
      <c r="G535" s="73">
        <f>(+IFERROR(VLOOKUP($A535,'[152]BG (2)'!$B$9:$J$570,5,FALSE),0))*-1</f>
        <v>0</v>
      </c>
      <c r="H535" s="93">
        <f>(+IFERROR(VLOOKUP($A535,'[152]BG (2)'!$B$9:$J$570,6,FALSE),0))*1</f>
        <v>7132501</v>
      </c>
      <c r="I535" s="73">
        <f>(+IFERROR(VLOOKUP($A535,'[152]BG (2)'!$B$9:$J$570,7,FALSE),0))*-1</f>
        <v>0</v>
      </c>
      <c r="J535" s="1732">
        <f>(+IFERROR(VLOOKUP($A535,'[152]BG (2)'!$B$9:$J$570,8,FALSE),0))*1</f>
        <v>7132501</v>
      </c>
      <c r="K535" s="73">
        <f>(+IFERROR(VLOOKUP($A535,'[152]BG (2)'!$B$9:$J$570,9,FALSE),0))*-1</f>
        <v>0</v>
      </c>
      <c r="L535" s="96"/>
      <c r="M535" s="101"/>
      <c r="P535" s="90">
        <f t="shared" si="35"/>
        <v>7132501</v>
      </c>
      <c r="R535" s="130">
        <f t="shared" si="36"/>
        <v>7132501</v>
      </c>
      <c r="S535" s="90">
        <v>153296580</v>
      </c>
      <c r="T535" s="102">
        <f>J535-S535</f>
        <v>-146164079</v>
      </c>
      <c r="U535" s="95"/>
      <c r="V535" s="72"/>
      <c r="W535" s="75" t="e">
        <f>+A535-#REF!</f>
        <v>#REF!</v>
      </c>
      <c r="X535" s="1270"/>
      <c r="Y535" s="91"/>
      <c r="Z535" s="91"/>
      <c r="AA535" s="91"/>
    </row>
    <row r="536" spans="1:27" ht="14.4" customHeight="1" x14ac:dyDescent="0.3">
      <c r="A536">
        <v>632420</v>
      </c>
      <c r="B536" t="s">
        <v>579</v>
      </c>
      <c r="C536" t="s">
        <v>578</v>
      </c>
      <c r="D536" s="87" t="str">
        <f t="shared" si="38"/>
        <v>63</v>
      </c>
      <c r="E536" s="92"/>
      <c r="F536" s="93">
        <f>(+IFERROR(VLOOKUP($A536,'[152]BG (2)'!$B$9:$J$570,4,FALSE),0))*1</f>
        <v>0</v>
      </c>
      <c r="G536" s="73">
        <f>(+IFERROR(VLOOKUP($A536,'[152]BG (2)'!$B$9:$J$570,5,FALSE),0))*-1</f>
        <v>0</v>
      </c>
      <c r="H536" s="93">
        <f>(+IFERROR(VLOOKUP($A536,'[152]BG (2)'!$B$9:$J$570,6,FALSE),0))*1</f>
        <v>2307828685</v>
      </c>
      <c r="I536" s="73">
        <f>(+IFERROR(VLOOKUP($A536,'[152]BG (2)'!$B$9:$J$570,7,FALSE),0))*-1</f>
        <v>6666667</v>
      </c>
      <c r="J536" s="1732">
        <f>(+IFERROR(VLOOKUP($A536,'[152]BG (2)'!$B$9:$J$570,8,FALSE),0))*1</f>
        <v>2314495352</v>
      </c>
      <c r="K536" s="73">
        <f>(+IFERROR(VLOOKUP($A536,'[152]BG (2)'!$B$9:$J$570,9,FALSE),0))*-1</f>
        <v>0</v>
      </c>
      <c r="L536" s="96"/>
      <c r="M536" s="101"/>
      <c r="P536" s="90">
        <f t="shared" si="35"/>
        <v>2314495352</v>
      </c>
      <c r="R536" s="130">
        <f t="shared" si="36"/>
        <v>2314495352</v>
      </c>
      <c r="S536" s="90">
        <v>1398940956</v>
      </c>
      <c r="T536" s="102">
        <f>J536-S536</f>
        <v>915554396</v>
      </c>
      <c r="U536" s="95"/>
      <c r="V536" s="72"/>
      <c r="W536" s="75" t="e">
        <f>+A536-#REF!</f>
        <v>#REF!</v>
      </c>
      <c r="X536" s="1270"/>
      <c r="Y536" s="91"/>
      <c r="Z536" s="91"/>
      <c r="AA536" s="91"/>
    </row>
    <row r="537" spans="1:27" ht="14.4" customHeight="1" x14ac:dyDescent="0.3">
      <c r="A537">
        <v>632430</v>
      </c>
      <c r="B537" t="s">
        <v>580</v>
      </c>
      <c r="C537" t="s">
        <v>578</v>
      </c>
      <c r="D537" s="87" t="str">
        <f t="shared" si="38"/>
        <v>63</v>
      </c>
      <c r="E537" s="92"/>
      <c r="F537" s="93">
        <f>(+IFERROR(VLOOKUP($A537,'[152]BG (2)'!$B$9:$J$570,4,FALSE),0))*1</f>
        <v>0</v>
      </c>
      <c r="G537" s="73">
        <f>(+IFERROR(VLOOKUP($A537,'[152]BG (2)'!$B$9:$J$570,5,FALSE),0))*-1</f>
        <v>0</v>
      </c>
      <c r="H537" s="93">
        <f>(+IFERROR(VLOOKUP($A537,'[152]BG (2)'!$B$9:$J$570,6,FALSE),0))*1</f>
        <v>17500000</v>
      </c>
      <c r="I537" s="73">
        <f>(+IFERROR(VLOOKUP($A537,'[152]BG (2)'!$B$9:$J$570,7,FALSE),0))*-1</f>
        <v>0</v>
      </c>
      <c r="J537" s="1732">
        <f>(+IFERROR(VLOOKUP($A537,'[152]BG (2)'!$B$9:$J$570,8,FALSE),0))*1</f>
        <v>17500000</v>
      </c>
      <c r="K537" s="73">
        <f>(+IFERROR(VLOOKUP($A537,'[152]BG (2)'!$B$9:$J$570,9,FALSE),0))*-1</f>
        <v>0</v>
      </c>
      <c r="L537" s="96"/>
      <c r="M537" s="101"/>
      <c r="P537" s="90">
        <f t="shared" si="35"/>
        <v>17500000</v>
      </c>
      <c r="R537" s="130">
        <f t="shared" si="36"/>
        <v>17500000</v>
      </c>
      <c r="S537" s="90">
        <v>20500000</v>
      </c>
      <c r="T537" s="102">
        <f>J537-S537</f>
        <v>-3000000</v>
      </c>
      <c r="U537" s="95"/>
      <c r="V537" s="72"/>
      <c r="W537" s="75" t="e">
        <f>+A537-#REF!</f>
        <v>#REF!</v>
      </c>
      <c r="X537" s="1270"/>
      <c r="Y537" s="91"/>
      <c r="Z537" s="91"/>
      <c r="AA537" s="91"/>
    </row>
    <row r="538" spans="1:27" ht="14.4" customHeight="1" x14ac:dyDescent="0.3">
      <c r="A538">
        <v>632440</v>
      </c>
      <c r="B538" t="s">
        <v>581</v>
      </c>
      <c r="C538" t="s">
        <v>578</v>
      </c>
      <c r="D538" s="87" t="str">
        <f t="shared" si="38"/>
        <v>63</v>
      </c>
      <c r="E538" s="92"/>
      <c r="F538" s="93">
        <f>(+IFERROR(VLOOKUP($A538,'[152]BG (2)'!$B$9:$J$570,4,FALSE),0))*1</f>
        <v>0</v>
      </c>
      <c r="G538" s="73">
        <f>(+IFERROR(VLOOKUP($A538,'[152]BG (2)'!$B$9:$J$570,5,FALSE),0))*-1</f>
        <v>0</v>
      </c>
      <c r="H538" s="93">
        <f>(+IFERROR(VLOOKUP($A538,'[152]BG (2)'!$B$9:$J$570,6,FALSE),0))*1</f>
        <v>19558341</v>
      </c>
      <c r="I538" s="73">
        <f>(+IFERROR(VLOOKUP($A538,'[152]BG (2)'!$B$9:$J$570,7,FALSE),0))*-1</f>
        <v>0</v>
      </c>
      <c r="J538" s="1732">
        <f>(+IFERROR(VLOOKUP($A538,'[152]BG (2)'!$B$9:$J$570,8,FALSE),0))*1</f>
        <v>19558341</v>
      </c>
      <c r="K538" s="73">
        <f>(+IFERROR(VLOOKUP($A538,'[152]BG (2)'!$B$9:$J$570,9,FALSE),0))*-1</f>
        <v>0</v>
      </c>
      <c r="L538" s="96"/>
      <c r="M538" s="101"/>
      <c r="P538" s="90">
        <f t="shared" si="35"/>
        <v>19558341</v>
      </c>
      <c r="R538" s="130">
        <f t="shared" si="36"/>
        <v>19558341</v>
      </c>
      <c r="S538" s="90">
        <v>42614450</v>
      </c>
      <c r="T538" s="102">
        <f>J538-S538</f>
        <v>-23056109</v>
      </c>
      <c r="U538" s="95"/>
      <c r="V538" s="72"/>
      <c r="W538" s="75" t="e">
        <f>+A538-#REF!</f>
        <v>#REF!</v>
      </c>
      <c r="X538" s="1270"/>
      <c r="Y538" s="91"/>
      <c r="Z538" s="91"/>
      <c r="AA538" s="91"/>
    </row>
    <row r="539" spans="1:27" ht="14.4" customHeight="1" x14ac:dyDescent="0.3">
      <c r="A539">
        <v>632480</v>
      </c>
      <c r="B539" t="s">
        <v>582</v>
      </c>
      <c r="C539" t="s">
        <v>578</v>
      </c>
      <c r="D539" s="87" t="str">
        <f t="shared" si="38"/>
        <v>63</v>
      </c>
      <c r="E539" s="92"/>
      <c r="F539" s="93">
        <f>(+IFERROR(VLOOKUP($A539,'[152]BG (2)'!$B$9:$J$570,4,FALSE),0))*1</f>
        <v>0</v>
      </c>
      <c r="G539" s="73">
        <f>(+IFERROR(VLOOKUP($A539,'[152]BG (2)'!$B$9:$J$570,5,FALSE),0))*-1</f>
        <v>0</v>
      </c>
      <c r="H539" s="93">
        <f>(+IFERROR(VLOOKUP($A539,'[152]BG (2)'!$B$9:$J$570,6,FALSE),0))*1</f>
        <v>517527964</v>
      </c>
      <c r="I539" s="73">
        <f>(+IFERROR(VLOOKUP($A539,'[152]BG (2)'!$B$9:$J$570,7,FALSE),0))*-1</f>
        <v>0</v>
      </c>
      <c r="J539" s="1732">
        <f>(+IFERROR(VLOOKUP($A539,'[152]BG (2)'!$B$9:$J$570,8,FALSE),0))*1</f>
        <v>517527964</v>
      </c>
      <c r="K539" s="73">
        <f>(+IFERROR(VLOOKUP($A539,'[152]BG (2)'!$B$9:$J$570,9,FALSE),0))*-1</f>
        <v>0</v>
      </c>
      <c r="L539" s="96"/>
      <c r="M539" s="101"/>
      <c r="P539" s="90">
        <f t="shared" si="35"/>
        <v>517527964</v>
      </c>
      <c r="R539" s="130">
        <f t="shared" si="36"/>
        <v>517527964</v>
      </c>
      <c r="S539" s="90">
        <v>177843667</v>
      </c>
      <c r="T539" s="102">
        <f>J539-S539</f>
        <v>339684297</v>
      </c>
      <c r="U539" s="95"/>
      <c r="V539" s="72"/>
      <c r="W539" s="75" t="e">
        <f>+A539-#REF!</f>
        <v>#REF!</v>
      </c>
      <c r="X539" s="1270"/>
      <c r="Y539" s="91"/>
      <c r="Z539" s="91"/>
      <c r="AA539" s="91"/>
    </row>
    <row r="540" spans="1:27" ht="14.4" customHeight="1" x14ac:dyDescent="0.3">
      <c r="A540">
        <v>632800</v>
      </c>
      <c r="B540" t="s">
        <v>583</v>
      </c>
      <c r="C540" t="s">
        <v>500</v>
      </c>
      <c r="D540" s="87" t="str">
        <f t="shared" si="38"/>
        <v>63</v>
      </c>
      <c r="E540" s="92"/>
      <c r="F540" s="93">
        <f>(+IFERROR(VLOOKUP($A540,'[152]BG (2)'!$B$9:$J$570,4,FALSE),0))*1</f>
        <v>0</v>
      </c>
      <c r="G540" s="73">
        <f>(+IFERROR(VLOOKUP($A540,'[152]BG (2)'!$B$9:$J$570,5,FALSE),0))*-1</f>
        <v>0</v>
      </c>
      <c r="H540" s="93">
        <f>(+IFERROR(VLOOKUP($A540,'[152]BG (2)'!$B$9:$J$570,6,FALSE),0))*1</f>
        <v>973374008</v>
      </c>
      <c r="I540" s="73">
        <f>(+IFERROR(VLOOKUP($A540,'[152]BG (2)'!$B$9:$J$570,7,FALSE),0))*-1</f>
        <v>0</v>
      </c>
      <c r="J540" s="109">
        <f>(+IFERROR(VLOOKUP($A540,'[152]BG (2)'!$B$9:$J$570,8,FALSE),0))*1</f>
        <v>973374008</v>
      </c>
      <c r="K540" s="73">
        <f>(+IFERROR(VLOOKUP($A540,'[152]BG (2)'!$B$9:$J$570,9,FALSE),0))*-1</f>
        <v>0</v>
      </c>
      <c r="L540" s="96"/>
      <c r="M540" s="101"/>
      <c r="P540" s="90">
        <f t="shared" si="35"/>
        <v>973374008</v>
      </c>
      <c r="R540" s="130">
        <f t="shared" si="36"/>
        <v>973374008</v>
      </c>
      <c r="S540" s="90">
        <v>59500185</v>
      </c>
      <c r="T540" s="90">
        <f t="shared" si="37"/>
        <v>973374008</v>
      </c>
      <c r="U540" s="95"/>
      <c r="V540" s="72"/>
      <c r="W540" s="75" t="e">
        <f>+A540-#REF!</f>
        <v>#REF!</v>
      </c>
      <c r="X540" s="1270"/>
      <c r="Y540" s="91"/>
      <c r="Z540" s="91"/>
      <c r="AA540" s="91"/>
    </row>
    <row r="541" spans="1:27" ht="14.4" customHeight="1" x14ac:dyDescent="0.3">
      <c r="A541">
        <v>632820</v>
      </c>
      <c r="B541" t="s">
        <v>584</v>
      </c>
      <c r="C541" t="s">
        <v>578</v>
      </c>
      <c r="D541" s="87" t="str">
        <f t="shared" si="38"/>
        <v>63</v>
      </c>
      <c r="E541" s="92"/>
      <c r="F541" s="93">
        <f>(+IFERROR(VLOOKUP($A541,'[152]BG (2)'!$B$9:$J$570,4,FALSE),0))*1</f>
        <v>0</v>
      </c>
      <c r="G541" s="73">
        <f>(+IFERROR(VLOOKUP($A541,'[152]BG (2)'!$B$9:$J$570,5,FALSE),0))*-1</f>
        <v>0</v>
      </c>
      <c r="H541" s="93">
        <f>(+IFERROR(VLOOKUP($A541,'[152]BG (2)'!$B$9:$J$570,6,FALSE),0))*1</f>
        <v>97568021</v>
      </c>
      <c r="I541" s="73">
        <f>(+IFERROR(VLOOKUP($A541,'[152]BG (2)'!$B$9:$J$570,7,FALSE),0))*-1</f>
        <v>0</v>
      </c>
      <c r="J541" s="1732">
        <f>(+IFERROR(VLOOKUP($A541,'[152]BG (2)'!$B$9:$J$570,8,FALSE),0))*1</f>
        <v>97568021</v>
      </c>
      <c r="K541" s="73">
        <f>(+IFERROR(VLOOKUP($A541,'[152]BG (2)'!$B$9:$J$570,9,FALSE),0))*-1</f>
        <v>0</v>
      </c>
      <c r="L541" s="96"/>
      <c r="M541" s="101"/>
      <c r="P541" s="90">
        <f t="shared" si="35"/>
        <v>97568021</v>
      </c>
      <c r="R541" s="130">
        <f t="shared" si="36"/>
        <v>97568021</v>
      </c>
      <c r="S541" s="90">
        <v>59500185</v>
      </c>
      <c r="T541" s="102">
        <f>J541-S541</f>
        <v>38067836</v>
      </c>
      <c r="U541" s="95"/>
      <c r="V541" s="72"/>
      <c r="W541" s="75" t="e">
        <f>+A541-#REF!</f>
        <v>#REF!</v>
      </c>
      <c r="X541" s="1270"/>
      <c r="Y541" s="91"/>
      <c r="Z541" s="91"/>
      <c r="AA541" s="91"/>
    </row>
    <row r="542" spans="1:27" ht="14.4" customHeight="1" x14ac:dyDescent="0.3">
      <c r="A542">
        <v>632830</v>
      </c>
      <c r="B542" t="s">
        <v>585</v>
      </c>
      <c r="C542" t="s">
        <v>578</v>
      </c>
      <c r="D542" s="87" t="str">
        <f t="shared" si="38"/>
        <v>63</v>
      </c>
      <c r="E542" s="92"/>
      <c r="F542" s="93">
        <f>(+IFERROR(VLOOKUP($A542,'[152]BG (2)'!$B$9:$J$570,4,FALSE),0))*1</f>
        <v>0</v>
      </c>
      <c r="G542" s="73">
        <f>(+IFERROR(VLOOKUP($A542,'[152]BG (2)'!$B$9:$J$570,5,FALSE),0))*-1</f>
        <v>0</v>
      </c>
      <c r="H542" s="93">
        <f>(+IFERROR(VLOOKUP($A542,'[152]BG (2)'!$B$9:$J$570,6,FALSE),0))*1</f>
        <v>-607532050</v>
      </c>
      <c r="I542" s="73">
        <f>(+IFERROR(VLOOKUP($A542,'[152]BG (2)'!$B$9:$J$570,7,FALSE),0))*-1</f>
        <v>0</v>
      </c>
      <c r="J542" s="89">
        <f>(+IFERROR(VLOOKUP($A542,'[152]BG (2)'!$B$9:$J$570,8,FALSE),0))*1</f>
        <v>0</v>
      </c>
      <c r="K542" s="1733">
        <f>(+IFERROR(VLOOKUP($A542,'[152]BG (2)'!$B$9:$J$570,9,FALSE),0))*-1</f>
        <v>-607532050</v>
      </c>
      <c r="L542" s="96"/>
      <c r="M542" s="101"/>
      <c r="P542" s="90">
        <f t="shared" si="35"/>
        <v>-607532050</v>
      </c>
      <c r="R542" s="130">
        <f t="shared" si="36"/>
        <v>-607532050</v>
      </c>
      <c r="S542" s="90">
        <v>4128794696</v>
      </c>
      <c r="T542" s="102">
        <f>J542-S542</f>
        <v>-4128794696</v>
      </c>
      <c r="U542" s="95"/>
      <c r="V542" s="72"/>
      <c r="W542" s="75" t="e">
        <f>+A542-#REF!</f>
        <v>#REF!</v>
      </c>
      <c r="X542" s="1270"/>
      <c r="Y542" s="91"/>
      <c r="Z542" s="91"/>
      <c r="AA542" s="91"/>
    </row>
    <row r="543" spans="1:27" ht="14.4" customHeight="1" x14ac:dyDescent="0.3">
      <c r="A543">
        <v>632840</v>
      </c>
      <c r="B543" t="s">
        <v>586</v>
      </c>
      <c r="C543" t="s">
        <v>500</v>
      </c>
      <c r="D543" s="87" t="str">
        <f t="shared" si="38"/>
        <v>63</v>
      </c>
      <c r="E543" s="92"/>
      <c r="F543" s="93">
        <f>(+IFERROR(VLOOKUP($A543,'[152]BG (2)'!$B$9:$J$570,4,FALSE),0))*1</f>
        <v>0</v>
      </c>
      <c r="G543" s="73">
        <f>(+IFERROR(VLOOKUP($A543,'[152]BG (2)'!$B$9:$J$570,5,FALSE),0))*-1</f>
        <v>0</v>
      </c>
      <c r="H543" s="93">
        <f>(+IFERROR(VLOOKUP($A543,'[152]BG (2)'!$B$9:$J$570,6,FALSE),0))*1</f>
        <v>14965907</v>
      </c>
      <c r="I543" s="73">
        <f>(+IFERROR(VLOOKUP($A543,'[152]BG (2)'!$B$9:$J$570,7,FALSE),0))*-1</f>
        <v>-1500004</v>
      </c>
      <c r="J543" s="109">
        <f>(+IFERROR(VLOOKUP($A543,'[152]BG (2)'!$B$9:$J$570,8,FALSE),0))*1</f>
        <v>13465903</v>
      </c>
      <c r="K543" s="73">
        <f>(+IFERROR(VLOOKUP($A543,'[152]BG (2)'!$B$9:$J$570,9,FALSE),0))*-1</f>
        <v>0</v>
      </c>
      <c r="L543" s="96"/>
      <c r="M543" s="101"/>
      <c r="P543" s="90">
        <f t="shared" si="35"/>
        <v>13465903</v>
      </c>
      <c r="R543" s="130">
        <f t="shared" si="36"/>
        <v>13465903</v>
      </c>
      <c r="S543" s="90"/>
      <c r="T543" s="90">
        <f t="shared" si="37"/>
        <v>13465903</v>
      </c>
      <c r="U543" s="95"/>
      <c r="V543" s="72"/>
      <c r="W543" s="75" t="e">
        <f>+A543-#REF!</f>
        <v>#REF!</v>
      </c>
      <c r="X543" s="1270"/>
      <c r="Y543" s="91"/>
      <c r="Z543" s="91"/>
      <c r="AA543" s="91"/>
    </row>
    <row r="544" spans="1:27" ht="14.4" customHeight="1" x14ac:dyDescent="0.3">
      <c r="A544">
        <v>633000</v>
      </c>
      <c r="B544" t="s">
        <v>587</v>
      </c>
      <c r="C544" t="s">
        <v>500</v>
      </c>
      <c r="D544" s="87" t="str">
        <f t="shared" si="38"/>
        <v>63</v>
      </c>
      <c r="E544" s="92"/>
      <c r="F544" s="93">
        <f>(+IFERROR(VLOOKUP($A544,'[152]BG (2)'!$B$9:$J$570,4,FALSE),0))*1</f>
        <v>0</v>
      </c>
      <c r="G544" s="73">
        <f>(+IFERROR(VLOOKUP($A544,'[152]BG (2)'!$B$9:$J$570,5,FALSE),0))*-1</f>
        <v>0</v>
      </c>
      <c r="H544" s="93">
        <f>(+IFERROR(VLOOKUP($A544,'[152]BG (2)'!$B$9:$J$570,6,FALSE),0))*1</f>
        <v>82724841</v>
      </c>
      <c r="I544" s="73">
        <f>(+IFERROR(VLOOKUP($A544,'[152]BG (2)'!$B$9:$J$570,7,FALSE),0))*-1</f>
        <v>0</v>
      </c>
      <c r="J544" s="109">
        <f>(+IFERROR(VLOOKUP($A544,'[152]BG (2)'!$B$9:$J$570,8,FALSE),0))*1</f>
        <v>82724841</v>
      </c>
      <c r="K544" s="73">
        <f>(+IFERROR(VLOOKUP($A544,'[152]BG (2)'!$B$9:$J$570,9,FALSE),0))*-1</f>
        <v>0</v>
      </c>
      <c r="L544" s="96"/>
      <c r="M544" s="101"/>
      <c r="P544" s="90">
        <f t="shared" si="35"/>
        <v>82724841</v>
      </c>
      <c r="R544" s="130">
        <f t="shared" si="36"/>
        <v>82724841</v>
      </c>
      <c r="S544" s="90"/>
      <c r="T544" s="90">
        <f t="shared" si="37"/>
        <v>82724841</v>
      </c>
      <c r="U544" s="95"/>
      <c r="V544" s="72"/>
      <c r="W544" s="75" t="e">
        <f>+A544-#REF!</f>
        <v>#REF!</v>
      </c>
      <c r="X544" s="1270"/>
      <c r="Y544" s="91"/>
      <c r="Z544" s="91"/>
      <c r="AA544" s="91"/>
    </row>
    <row r="545" spans="1:27" ht="14.4" customHeight="1" x14ac:dyDescent="0.3">
      <c r="A545">
        <v>634210</v>
      </c>
      <c r="B545" t="s">
        <v>588</v>
      </c>
      <c r="C545" t="s">
        <v>589</v>
      </c>
      <c r="D545" s="87" t="str">
        <f t="shared" si="38"/>
        <v>63</v>
      </c>
      <c r="E545" s="92"/>
      <c r="F545" s="93">
        <f>(+IFERROR(VLOOKUP($A545,'[152]BG (2)'!$B$9:$J$570,4,FALSE),0))*1</f>
        <v>0</v>
      </c>
      <c r="G545" s="73">
        <f>(+IFERROR(VLOOKUP($A545,'[152]BG (2)'!$B$9:$J$570,5,FALSE),0))*-1</f>
        <v>0</v>
      </c>
      <c r="H545" s="93">
        <f>(+IFERROR(VLOOKUP($A545,'[152]BG (2)'!$B$9:$J$570,6,FALSE),0))*1</f>
        <v>30095550955</v>
      </c>
      <c r="I545" s="73">
        <f>(+IFERROR(VLOOKUP($A545,'[152]BG (2)'!$B$9:$J$570,7,FALSE),0))*-1</f>
        <v>0</v>
      </c>
      <c r="J545" s="1734">
        <f>(+IFERROR(VLOOKUP($A545,'[152]BG (2)'!$B$9:$J$570,8,FALSE),0))*1</f>
        <v>30095550955</v>
      </c>
      <c r="K545" s="73">
        <f>(+IFERROR(VLOOKUP($A545,'[152]BG (2)'!$B$9:$J$570,9,FALSE),0))*-1</f>
        <v>0</v>
      </c>
      <c r="L545" s="96"/>
      <c r="M545" s="101"/>
      <c r="P545" s="90">
        <f t="shared" si="35"/>
        <v>30095550955</v>
      </c>
      <c r="R545" s="130">
        <f t="shared" si="36"/>
        <v>30095550955</v>
      </c>
      <c r="S545" s="90"/>
      <c r="T545" s="90">
        <f t="shared" si="37"/>
        <v>30095550955</v>
      </c>
      <c r="U545" s="95"/>
      <c r="V545" s="72"/>
      <c r="W545" s="75" t="e">
        <f>+A545-#REF!</f>
        <v>#REF!</v>
      </c>
      <c r="X545" s="1270"/>
      <c r="Y545" s="91"/>
      <c r="Z545" s="91"/>
      <c r="AA545" s="91"/>
    </row>
    <row r="546" spans="1:27" ht="14.4" customHeight="1" x14ac:dyDescent="0.3">
      <c r="A546">
        <v>634400</v>
      </c>
      <c r="B546" t="s">
        <v>590</v>
      </c>
      <c r="C546" t="s">
        <v>578</v>
      </c>
      <c r="D546" s="87" t="str">
        <f t="shared" si="38"/>
        <v>63</v>
      </c>
      <c r="E546" s="92"/>
      <c r="F546" s="93">
        <f>(+IFERROR(VLOOKUP($A546,'[152]BG (2)'!$B$9:$J$570,4,FALSE),0))*1</f>
        <v>0</v>
      </c>
      <c r="G546" s="73">
        <f>(+IFERROR(VLOOKUP($A546,'[152]BG (2)'!$B$9:$J$570,5,FALSE),0))*-1</f>
        <v>0</v>
      </c>
      <c r="H546" s="93">
        <f>(+IFERROR(VLOOKUP($A546,'[152]BG (2)'!$B$9:$J$570,6,FALSE),0))*1</f>
        <v>851871793</v>
      </c>
      <c r="I546" s="73">
        <f>(+IFERROR(VLOOKUP($A546,'[152]BG (2)'!$B$9:$J$570,7,FALSE),0))*-1</f>
        <v>0</v>
      </c>
      <c r="J546" s="1732">
        <f>(+IFERROR(VLOOKUP($A546,'[152]BG (2)'!$B$9:$J$570,8,FALSE),0))*1</f>
        <v>851871793</v>
      </c>
      <c r="K546" s="73">
        <f>(+IFERROR(VLOOKUP($A546,'[152]BG (2)'!$B$9:$J$570,9,FALSE),0))*-1</f>
        <v>0</v>
      </c>
      <c r="L546" s="96"/>
      <c r="M546" s="101"/>
      <c r="P546" s="90">
        <f t="shared" si="35"/>
        <v>851871793</v>
      </c>
      <c r="R546" s="130">
        <f t="shared" si="36"/>
        <v>851871793</v>
      </c>
      <c r="S546" s="90">
        <v>743060123</v>
      </c>
      <c r="T546" s="102">
        <f>J546-S546</f>
        <v>108811670</v>
      </c>
      <c r="U546" s="95"/>
      <c r="V546" s="72"/>
      <c r="W546" s="75" t="e">
        <f>+A546-#REF!</f>
        <v>#REF!</v>
      </c>
      <c r="X546" s="1270"/>
      <c r="Y546" s="91"/>
      <c r="Z546" s="91"/>
      <c r="AA546" s="91"/>
    </row>
    <row r="547" spans="1:27" ht="14.4" customHeight="1" x14ac:dyDescent="0.3">
      <c r="A547">
        <v>635100</v>
      </c>
      <c r="B547" t="s">
        <v>591</v>
      </c>
      <c r="C547" t="s">
        <v>500</v>
      </c>
      <c r="D547" s="87" t="str">
        <f t="shared" si="38"/>
        <v>63</v>
      </c>
      <c r="E547" s="92"/>
      <c r="F547" s="93">
        <f>(+IFERROR(VLOOKUP($A547,'[152]BG (2)'!$B$9:$J$570,4,FALSE),0))*1</f>
        <v>0</v>
      </c>
      <c r="G547" s="73">
        <f>(+IFERROR(VLOOKUP($A547,'[152]BG (2)'!$B$9:$J$570,5,FALSE),0))*-1</f>
        <v>0</v>
      </c>
      <c r="H547" s="93">
        <f>(+IFERROR(VLOOKUP($A547,'[152]BG (2)'!$B$9:$J$570,6,FALSE),0))*1</f>
        <v>41873164</v>
      </c>
      <c r="I547" s="73">
        <f>(+IFERROR(VLOOKUP($A547,'[152]BG (2)'!$B$9:$J$570,7,FALSE),0))*-1</f>
        <v>759855</v>
      </c>
      <c r="J547" s="109">
        <f>(+IFERROR(VLOOKUP($A547,'[152]BG (2)'!$B$9:$J$570,8,FALSE),0))*1</f>
        <v>42633019</v>
      </c>
      <c r="K547" s="73">
        <f>(+IFERROR(VLOOKUP($A547,'[152]BG (2)'!$B$9:$J$570,9,FALSE),0))*-1</f>
        <v>0</v>
      </c>
      <c r="L547" s="96"/>
      <c r="M547" s="101"/>
      <c r="P547" s="90">
        <f t="shared" si="35"/>
        <v>42633019</v>
      </c>
      <c r="R547" s="130">
        <f t="shared" si="36"/>
        <v>42633019</v>
      </c>
      <c r="S547" s="90"/>
      <c r="T547" s="90">
        <f t="shared" si="37"/>
        <v>42633019</v>
      </c>
      <c r="U547" s="95"/>
      <c r="V547" s="72"/>
      <c r="W547" s="75" t="e">
        <f>+A547-#REF!</f>
        <v>#REF!</v>
      </c>
      <c r="X547" s="1270"/>
      <c r="Y547" s="91"/>
      <c r="Z547" s="91"/>
      <c r="AA547" s="91"/>
    </row>
    <row r="548" spans="1:27" ht="14.4" customHeight="1" x14ac:dyDescent="0.3">
      <c r="A548">
        <v>635800</v>
      </c>
      <c r="B548" t="s">
        <v>592</v>
      </c>
      <c r="C548" t="s">
        <v>500</v>
      </c>
      <c r="D548" s="87" t="str">
        <f t="shared" si="38"/>
        <v>63</v>
      </c>
      <c r="E548" s="92"/>
      <c r="F548" s="93">
        <f>(+IFERROR(VLOOKUP($A548,'[152]BG (2)'!$B$9:$J$570,4,FALSE),0))*1</f>
        <v>0</v>
      </c>
      <c r="G548" s="73">
        <f>(+IFERROR(VLOOKUP($A548,'[152]BG (2)'!$B$9:$J$570,5,FALSE),0))*-1</f>
        <v>0</v>
      </c>
      <c r="H548" s="93">
        <f>(+IFERROR(VLOOKUP($A548,'[152]BG (2)'!$B$9:$J$570,6,FALSE),0))*1</f>
        <v>20744504</v>
      </c>
      <c r="I548" s="73">
        <f>(+IFERROR(VLOOKUP($A548,'[152]BG (2)'!$B$9:$J$570,7,FALSE),0))*-1</f>
        <v>0</v>
      </c>
      <c r="J548" s="109">
        <f>(+IFERROR(VLOOKUP($A548,'[152]BG (2)'!$B$9:$J$570,8,FALSE),0))*1</f>
        <v>20744504</v>
      </c>
      <c r="K548" s="73">
        <f>(+IFERROR(VLOOKUP($A548,'[152]BG (2)'!$B$9:$J$570,9,FALSE),0))*-1</f>
        <v>0</v>
      </c>
      <c r="L548" s="96"/>
      <c r="M548" s="101"/>
      <c r="P548" s="90">
        <f t="shared" si="35"/>
        <v>20744504</v>
      </c>
      <c r="R548" s="130">
        <f t="shared" si="36"/>
        <v>20744504</v>
      </c>
      <c r="S548" s="90"/>
      <c r="T548" s="90">
        <f t="shared" si="37"/>
        <v>20744504</v>
      </c>
      <c r="U548" s="95"/>
      <c r="V548" s="72"/>
      <c r="W548" s="75" t="e">
        <f>+A548-#REF!</f>
        <v>#REF!</v>
      </c>
      <c r="X548" s="1270"/>
      <c r="Y548" s="91"/>
      <c r="Z548" s="91"/>
      <c r="AA548" s="91"/>
    </row>
    <row r="549" spans="1:27" ht="14.4" customHeight="1" x14ac:dyDescent="0.3">
      <c r="A549">
        <v>637100</v>
      </c>
      <c r="B549" t="s">
        <v>593</v>
      </c>
      <c r="C549" t="s">
        <v>594</v>
      </c>
      <c r="D549" s="87" t="str">
        <f t="shared" si="38"/>
        <v>63</v>
      </c>
      <c r="E549" s="92"/>
      <c r="F549" s="93">
        <f>(+IFERROR(VLOOKUP($A549,'[152]BG (2)'!$B$9:$J$570,4,FALSE),0))*1</f>
        <v>0</v>
      </c>
      <c r="G549" s="73">
        <f>(+IFERROR(VLOOKUP($A549,'[152]BG (2)'!$B$9:$J$570,5,FALSE),0))*-1</f>
        <v>0</v>
      </c>
      <c r="H549" s="93">
        <f>(+IFERROR(VLOOKUP($A549,'[152]BG (2)'!$B$9:$J$570,6,FALSE),0))*1</f>
        <v>1075375843</v>
      </c>
      <c r="I549" s="73">
        <f>(+IFERROR(VLOOKUP($A549,'[152]BG (2)'!$B$9:$J$570,7,FALSE),0))*-1</f>
        <v>-1125814</v>
      </c>
      <c r="J549" s="1267">
        <f>(+IFERROR(VLOOKUP($A549,'[152]BG (2)'!$B$9:$J$570,8,FALSE),0))*1</f>
        <v>1074250029</v>
      </c>
      <c r="K549" s="73">
        <f>(+IFERROR(VLOOKUP($A549,'[152]BG (2)'!$B$9:$J$570,9,FALSE),0))*-1</f>
        <v>0</v>
      </c>
      <c r="L549" s="96"/>
      <c r="M549" s="101"/>
      <c r="P549" s="90">
        <f t="shared" si="35"/>
        <v>1074250029</v>
      </c>
      <c r="R549" s="130">
        <f t="shared" si="36"/>
        <v>1074250029</v>
      </c>
      <c r="S549" s="90"/>
      <c r="T549" s="90">
        <f t="shared" si="37"/>
        <v>1074250029</v>
      </c>
      <c r="U549" s="95"/>
      <c r="V549" s="72"/>
      <c r="W549" s="75" t="e">
        <f>+A549-#REF!</f>
        <v>#REF!</v>
      </c>
      <c r="X549" s="1270"/>
      <c r="Y549" s="91"/>
      <c r="Z549" s="91"/>
      <c r="AA549" s="91"/>
    </row>
    <row r="550" spans="1:27" ht="14.4" customHeight="1" x14ac:dyDescent="0.3">
      <c r="A550" s="134">
        <v>638100</v>
      </c>
      <c r="B550" t="s">
        <v>595</v>
      </c>
      <c r="C550" t="s">
        <v>500</v>
      </c>
      <c r="D550" s="87" t="str">
        <f t="shared" si="38"/>
        <v>63</v>
      </c>
      <c r="E550" s="92"/>
      <c r="F550" s="93">
        <f>(+IFERROR(VLOOKUP($A550,'[152]BG (2)'!$B$9:$J$570,4,FALSE),0))*1</f>
        <v>0</v>
      </c>
      <c r="G550" s="73">
        <f>(+IFERROR(VLOOKUP($A550,'[152]BG (2)'!$B$9:$J$570,5,FALSE),0))*-1</f>
        <v>0</v>
      </c>
      <c r="H550" s="93">
        <f>(+IFERROR(VLOOKUP($A550,'[152]BG (2)'!$B$9:$J$570,6,FALSE),0))*1</f>
        <v>33883280</v>
      </c>
      <c r="I550" s="73">
        <f>(+IFERROR(VLOOKUP($A550,'[152]BG (2)'!$B$9:$J$570,7,FALSE),0))*-1</f>
        <v>0</v>
      </c>
      <c r="J550" s="125">
        <f>(+IFERROR(VLOOKUP($A550,'[152]BG (2)'!$B$9:$J$570,8,FALSE),0))*1</f>
        <v>33883280</v>
      </c>
      <c r="K550" s="73">
        <f>(+IFERROR(VLOOKUP($A550,'[152]BG (2)'!$B$9:$J$570,9,FALSE),0))*-1</f>
        <v>0</v>
      </c>
      <c r="L550" s="96"/>
      <c r="M550" s="101"/>
      <c r="P550" s="90">
        <f t="shared" si="35"/>
        <v>33883280</v>
      </c>
      <c r="R550" s="130"/>
      <c r="S550" s="90"/>
      <c r="T550" s="90">
        <f t="shared" si="37"/>
        <v>33883280</v>
      </c>
      <c r="U550" s="95"/>
      <c r="V550" s="72"/>
      <c r="W550" s="75" t="e">
        <f>+A550-#REF!</f>
        <v>#REF!</v>
      </c>
      <c r="X550" s="1270"/>
      <c r="Y550" s="91"/>
      <c r="Z550" s="91"/>
      <c r="AA550" s="91"/>
    </row>
    <row r="551" spans="1:27" ht="14.4" customHeight="1" x14ac:dyDescent="0.3">
      <c r="A551" s="134">
        <v>638200</v>
      </c>
      <c r="B551" t="s">
        <v>596</v>
      </c>
      <c r="C551" t="s">
        <v>500</v>
      </c>
      <c r="D551" s="87" t="str">
        <f t="shared" si="38"/>
        <v>63</v>
      </c>
      <c r="E551" s="92"/>
      <c r="F551" s="93">
        <f>(+IFERROR(VLOOKUP($A551,'[152]BG (2)'!$B$9:$J$570,4,FALSE),0))*1</f>
        <v>0</v>
      </c>
      <c r="G551" s="73">
        <f>(+IFERROR(VLOOKUP($A551,'[152]BG (2)'!$B$9:$J$570,5,FALSE),0))*-1</f>
        <v>0</v>
      </c>
      <c r="H551" s="93">
        <f>(+IFERROR(VLOOKUP($A551,'[152]BG (2)'!$B$9:$J$570,6,FALSE),0))*1</f>
        <v>1650000</v>
      </c>
      <c r="I551" s="73">
        <f>(+IFERROR(VLOOKUP($A551,'[152]BG (2)'!$B$9:$J$570,7,FALSE),0))*-1</f>
        <v>0</v>
      </c>
      <c r="J551" s="125">
        <f>(+IFERROR(VLOOKUP($A551,'[152]BG (2)'!$B$9:$J$570,8,FALSE),0))*1</f>
        <v>1650000</v>
      </c>
      <c r="K551" s="73">
        <f>(+IFERROR(VLOOKUP($A551,'[152]BG (2)'!$B$9:$J$570,9,FALSE),0))*-1</f>
        <v>0</v>
      </c>
      <c r="L551" s="96"/>
      <c r="M551" s="101"/>
      <c r="P551" s="90">
        <f t="shared" si="35"/>
        <v>1650000</v>
      </c>
      <c r="R551" s="130"/>
      <c r="S551" s="90"/>
      <c r="T551" s="90">
        <f t="shared" si="37"/>
        <v>1650000</v>
      </c>
      <c r="U551" s="95"/>
      <c r="V551" s="72"/>
      <c r="W551" s="75" t="e">
        <f>+A551-#REF!</f>
        <v>#REF!</v>
      </c>
      <c r="X551" s="1270"/>
      <c r="Y551" s="91"/>
      <c r="Z551" s="91"/>
      <c r="AA551" s="91"/>
    </row>
    <row r="552" spans="1:27" ht="14.4" customHeight="1" x14ac:dyDescent="0.3">
      <c r="A552">
        <v>638310</v>
      </c>
      <c r="B552" t="s">
        <v>597</v>
      </c>
      <c r="C552" t="s">
        <v>500</v>
      </c>
      <c r="D552" s="87" t="str">
        <f t="shared" si="38"/>
        <v>63</v>
      </c>
      <c r="E552" s="92"/>
      <c r="F552" s="93">
        <f>(+IFERROR(VLOOKUP($A552,'[152]BG (2)'!$B$9:$J$570,4,FALSE),0))*1</f>
        <v>0</v>
      </c>
      <c r="G552" s="73">
        <f>(+IFERROR(VLOOKUP($A552,'[152]BG (2)'!$B$9:$J$570,5,FALSE),0))*-1</f>
        <v>0</v>
      </c>
      <c r="H552" s="93">
        <f>(+IFERROR(VLOOKUP($A552,'[152]BG (2)'!$B$9:$J$570,6,FALSE),0))*1</f>
        <v>63961985</v>
      </c>
      <c r="I552" s="73">
        <f>(+IFERROR(VLOOKUP($A552,'[152]BG (2)'!$B$9:$J$570,7,FALSE),0))*-1</f>
        <v>0</v>
      </c>
      <c r="J552" s="109">
        <f>(+IFERROR(VLOOKUP($A552,'[152]BG (2)'!$B$9:$J$570,8,FALSE),0))*1</f>
        <v>63961985</v>
      </c>
      <c r="K552" s="73">
        <f>(+IFERROR(VLOOKUP($A552,'[152]BG (2)'!$B$9:$J$570,9,FALSE),0))*-1</f>
        <v>0</v>
      </c>
      <c r="L552" s="96"/>
      <c r="M552" s="101"/>
      <c r="P552" s="90">
        <f t="shared" si="35"/>
        <v>63961985</v>
      </c>
      <c r="R552" s="130">
        <f t="shared" ref="R552:R566" si="39">J552+K552</f>
        <v>63961985</v>
      </c>
      <c r="S552" s="90"/>
      <c r="T552" s="90">
        <f t="shared" si="37"/>
        <v>63961985</v>
      </c>
      <c r="U552" s="95"/>
      <c r="V552" s="72"/>
      <c r="W552" s="75" t="e">
        <f>+A552-#REF!</f>
        <v>#REF!</v>
      </c>
      <c r="X552" s="1270"/>
      <c r="Y552" s="91"/>
      <c r="Z552" s="91"/>
      <c r="AA552" s="91"/>
    </row>
    <row r="553" spans="1:27" ht="14.4" customHeight="1" x14ac:dyDescent="0.3">
      <c r="A553">
        <v>638320</v>
      </c>
      <c r="B553" t="s">
        <v>598</v>
      </c>
      <c r="C553" t="s">
        <v>500</v>
      </c>
      <c r="D553" s="87" t="str">
        <f t="shared" si="38"/>
        <v>63</v>
      </c>
      <c r="E553" s="92"/>
      <c r="F553" s="93">
        <f>(+IFERROR(VLOOKUP($A553,'[152]BG (2)'!$B$9:$J$570,4,FALSE),0))*1</f>
        <v>0</v>
      </c>
      <c r="G553" s="73">
        <f>(+IFERROR(VLOOKUP($A553,'[152]BG (2)'!$B$9:$J$570,5,FALSE),0))*-1</f>
        <v>0</v>
      </c>
      <c r="H553" s="93">
        <f>(+IFERROR(VLOOKUP($A553,'[152]BG (2)'!$B$9:$J$570,6,FALSE),0))*1</f>
        <v>1537686</v>
      </c>
      <c r="I553" s="73">
        <f>(+IFERROR(VLOOKUP($A553,'[152]BG (2)'!$B$9:$J$570,7,FALSE),0))*-1</f>
        <v>0</v>
      </c>
      <c r="J553" s="109">
        <f>(+IFERROR(VLOOKUP($A553,'[152]BG (2)'!$B$9:$J$570,8,FALSE),0))*1</f>
        <v>1537686</v>
      </c>
      <c r="K553" s="73">
        <f>(+IFERROR(VLOOKUP($A553,'[152]BG (2)'!$B$9:$J$570,9,FALSE),0))*-1</f>
        <v>0</v>
      </c>
      <c r="L553" s="96"/>
      <c r="M553" s="101"/>
      <c r="P553" s="90">
        <f t="shared" si="35"/>
        <v>1537686</v>
      </c>
      <c r="R553" s="130">
        <f t="shared" si="39"/>
        <v>1537686</v>
      </c>
      <c r="S553" s="90"/>
      <c r="T553" s="90">
        <f t="shared" si="37"/>
        <v>1537686</v>
      </c>
      <c r="U553" s="95"/>
      <c r="V553" s="72"/>
      <c r="W553" s="75" t="e">
        <f>+A553-#REF!</f>
        <v>#REF!</v>
      </c>
      <c r="X553" s="1270"/>
      <c r="Y553" s="91"/>
      <c r="Z553" s="91"/>
      <c r="AA553" s="91"/>
    </row>
    <row r="554" spans="1:27" ht="14.4" customHeight="1" x14ac:dyDescent="0.3">
      <c r="A554">
        <v>638410</v>
      </c>
      <c r="B554" t="s">
        <v>599</v>
      </c>
      <c r="C554" t="s">
        <v>500</v>
      </c>
      <c r="D554" s="87" t="str">
        <f t="shared" si="38"/>
        <v>63</v>
      </c>
      <c r="E554" s="92"/>
      <c r="F554" s="93">
        <f>(+IFERROR(VLOOKUP($A554,'[152]BG (2)'!$B$9:$J$570,4,FALSE),0))*1</f>
        <v>0</v>
      </c>
      <c r="G554" s="73">
        <f>(+IFERROR(VLOOKUP($A554,'[152]BG (2)'!$B$9:$J$570,5,FALSE),0))*-1</f>
        <v>0</v>
      </c>
      <c r="H554" s="93">
        <f>(+IFERROR(VLOOKUP($A554,'[152]BG (2)'!$B$9:$J$570,6,FALSE),0))*1</f>
        <v>146055823</v>
      </c>
      <c r="I554" s="73">
        <f>(+IFERROR(VLOOKUP($A554,'[152]BG (2)'!$B$9:$J$570,7,FALSE),0))*-1</f>
        <v>-11917815</v>
      </c>
      <c r="J554" s="109">
        <f>(+IFERROR(VLOOKUP($A554,'[152]BG (2)'!$B$9:$J$570,8,FALSE),0))*1</f>
        <v>134138008</v>
      </c>
      <c r="K554" s="73">
        <f>(+IFERROR(VLOOKUP($A554,'[152]BG (2)'!$B$9:$J$570,9,FALSE),0))*-1</f>
        <v>0</v>
      </c>
      <c r="L554" s="96"/>
      <c r="M554" s="101"/>
      <c r="P554" s="90">
        <f t="shared" si="35"/>
        <v>134138008</v>
      </c>
      <c r="R554" s="130">
        <f t="shared" si="39"/>
        <v>134138008</v>
      </c>
      <c r="S554" s="90"/>
      <c r="T554" s="90">
        <f t="shared" si="37"/>
        <v>134138008</v>
      </c>
      <c r="U554" s="95"/>
      <c r="V554" s="72"/>
      <c r="W554" s="75" t="e">
        <f>+A554-#REF!</f>
        <v>#REF!</v>
      </c>
      <c r="X554" s="1270"/>
      <c r="Y554" s="91"/>
      <c r="Z554" s="91"/>
      <c r="AA554" s="91"/>
    </row>
    <row r="555" spans="1:27" ht="14.4" customHeight="1" x14ac:dyDescent="0.3">
      <c r="A555">
        <v>638420</v>
      </c>
      <c r="B555" t="s">
        <v>600</v>
      </c>
      <c r="C555" t="s">
        <v>500</v>
      </c>
      <c r="D555" s="87" t="str">
        <f t="shared" si="38"/>
        <v>63</v>
      </c>
      <c r="E555" s="92"/>
      <c r="F555" s="93">
        <f>(+IFERROR(VLOOKUP($A555,'[152]BG (2)'!$B$9:$J$570,4,FALSE),0))*1</f>
        <v>0</v>
      </c>
      <c r="G555" s="73">
        <f>(+IFERROR(VLOOKUP($A555,'[152]BG (2)'!$B$9:$J$570,5,FALSE),0))*-1</f>
        <v>0</v>
      </c>
      <c r="H555" s="93">
        <f>(+IFERROR(VLOOKUP($A555,'[152]BG (2)'!$B$9:$J$570,6,FALSE),0))*1</f>
        <v>16817314</v>
      </c>
      <c r="I555" s="73">
        <f>(+IFERROR(VLOOKUP($A555,'[152]BG (2)'!$B$9:$J$570,7,FALSE),0))*-1</f>
        <v>0</v>
      </c>
      <c r="J555" s="109">
        <f>(+IFERROR(VLOOKUP($A555,'[152]BG (2)'!$B$9:$J$570,8,FALSE),0))*1</f>
        <v>16817314</v>
      </c>
      <c r="K555" s="73">
        <f>(+IFERROR(VLOOKUP($A555,'[152]BG (2)'!$B$9:$J$570,9,FALSE),0))*-1</f>
        <v>0</v>
      </c>
      <c r="L555" s="96"/>
      <c r="M555" s="101"/>
      <c r="P555" s="90">
        <f t="shared" si="35"/>
        <v>16817314</v>
      </c>
      <c r="R555" s="130">
        <f t="shared" si="39"/>
        <v>16817314</v>
      </c>
      <c r="S555" s="90"/>
      <c r="T555" s="90">
        <f t="shared" si="37"/>
        <v>16817314</v>
      </c>
      <c r="U555" s="95"/>
      <c r="V555" s="72"/>
      <c r="W555" s="75" t="e">
        <f>+A555-#REF!</f>
        <v>#REF!</v>
      </c>
      <c r="X555" s="1270"/>
      <c r="Y555" s="91"/>
      <c r="Z555" s="91"/>
      <c r="AA555" s="91"/>
    </row>
    <row r="556" spans="1:27" ht="14.4" customHeight="1" x14ac:dyDescent="0.3">
      <c r="A556" s="1284">
        <v>638810</v>
      </c>
      <c r="B556" s="1284" t="s">
        <v>2244</v>
      </c>
      <c r="C556"/>
      <c r="D556" s="87" t="str">
        <f t="shared" si="38"/>
        <v>63</v>
      </c>
      <c r="E556" s="92"/>
      <c r="F556" s="93">
        <f>(+IFERROR(VLOOKUP($A556,'[152]BG (2)'!$B$9:$J$570,4,FALSE),0))*1</f>
        <v>0</v>
      </c>
      <c r="G556" s="73">
        <f>(+IFERROR(VLOOKUP($A556,'[152]BG (2)'!$B$9:$J$570,5,FALSE),0))*-1</f>
        <v>0</v>
      </c>
      <c r="H556" s="93">
        <f>(+IFERROR(VLOOKUP($A556,'[152]BG (2)'!$B$9:$J$570,6,FALSE),0))*1</f>
        <v>58697776</v>
      </c>
      <c r="I556" s="73">
        <f>(+IFERROR(VLOOKUP($A556,'[152]BG (2)'!$B$9:$J$570,7,FALSE),0))*-1</f>
        <v>0</v>
      </c>
      <c r="J556" s="109">
        <f>(+IFERROR(VLOOKUP($A556,'[152]BG (2)'!$B$9:$J$570,8,FALSE),0))*1</f>
        <v>58697776</v>
      </c>
      <c r="K556" s="73">
        <f>(+IFERROR(VLOOKUP($A556,'[152]BG (2)'!$B$9:$J$570,9,FALSE),0))*-1</f>
        <v>0</v>
      </c>
      <c r="L556" s="96"/>
      <c r="M556" s="101"/>
      <c r="P556" s="90">
        <f t="shared" si="35"/>
        <v>58697776</v>
      </c>
      <c r="R556" s="130"/>
      <c r="S556" s="90"/>
      <c r="T556" s="90"/>
      <c r="U556" s="95"/>
      <c r="V556" s="72"/>
      <c r="W556" s="75"/>
      <c r="X556" s="1270"/>
      <c r="Y556" s="91"/>
      <c r="Z556" s="91"/>
      <c r="AA556" s="91"/>
    </row>
    <row r="557" spans="1:27" ht="14.4" customHeight="1" x14ac:dyDescent="0.3">
      <c r="A557">
        <v>641100</v>
      </c>
      <c r="B557" t="s">
        <v>601</v>
      </c>
      <c r="C557" t="s">
        <v>602</v>
      </c>
      <c r="D557" s="87" t="str">
        <f t="shared" si="38"/>
        <v>64</v>
      </c>
      <c r="E557" s="92"/>
      <c r="F557" s="93">
        <f>(+IFERROR(VLOOKUP($A557,'[152]BG (2)'!$B$9:$J$570,4,FALSE),0))*1</f>
        <v>0</v>
      </c>
      <c r="G557" s="73">
        <f>(+IFERROR(VLOOKUP($A557,'[152]BG (2)'!$B$9:$J$570,5,FALSE),0))*-1</f>
        <v>0</v>
      </c>
      <c r="H557" s="93">
        <f>(+IFERROR(VLOOKUP($A557,'[152]BG (2)'!$B$9:$J$570,6,FALSE),0))*1</f>
        <v>91175062</v>
      </c>
      <c r="I557" s="73">
        <f>(+IFERROR(VLOOKUP($A557,'[152]BG (2)'!$B$9:$J$570,7,FALSE),0))*-1</f>
        <v>0</v>
      </c>
      <c r="J557" s="1735">
        <f>(+IFERROR(VLOOKUP($A557,'[152]BG (2)'!$B$9:$J$570,8,FALSE),0))*1</f>
        <v>91175062</v>
      </c>
      <c r="K557" s="73">
        <f>(+IFERROR(VLOOKUP($A557,'[152]BG (2)'!$B$9:$J$570,9,FALSE),0))*-1</f>
        <v>0</v>
      </c>
      <c r="L557" s="96"/>
      <c r="M557" s="101"/>
      <c r="P557" s="90">
        <f t="shared" si="35"/>
        <v>91175062</v>
      </c>
      <c r="R557" s="130">
        <f t="shared" si="39"/>
        <v>91175062</v>
      </c>
      <c r="S557" s="90"/>
      <c r="T557" s="90">
        <f t="shared" si="37"/>
        <v>91175062</v>
      </c>
      <c r="U557" s="95"/>
      <c r="V557" s="72"/>
      <c r="W557" s="75" t="e">
        <f>+A557-#REF!</f>
        <v>#REF!</v>
      </c>
      <c r="X557" s="1270"/>
      <c r="Y557" s="91"/>
      <c r="Z557" s="91"/>
      <c r="AA557" s="91"/>
    </row>
    <row r="558" spans="1:27" ht="14.4" customHeight="1" x14ac:dyDescent="0.3">
      <c r="A558">
        <v>641200</v>
      </c>
      <c r="B558" t="s">
        <v>603</v>
      </c>
      <c r="C558" t="s">
        <v>602</v>
      </c>
      <c r="D558" s="87" t="str">
        <f t="shared" si="38"/>
        <v>64</v>
      </c>
      <c r="E558" s="92"/>
      <c r="F558" s="93">
        <f>(+IFERROR(VLOOKUP($A558,'[152]BG (2)'!$B$9:$J$570,4,FALSE),0))*1</f>
        <v>0</v>
      </c>
      <c r="G558" s="73">
        <f>(+IFERROR(VLOOKUP($A558,'[152]BG (2)'!$B$9:$J$570,5,FALSE),0))*-1</f>
        <v>0</v>
      </c>
      <c r="H558" s="93">
        <f>(+IFERROR(VLOOKUP($A558,'[152]BG (2)'!$B$9:$J$570,6,FALSE),0))*1</f>
        <v>377189305</v>
      </c>
      <c r="I558" s="73">
        <f>(+IFERROR(VLOOKUP($A558,'[152]BG (2)'!$B$9:$J$570,7,FALSE),0))*-1</f>
        <v>0</v>
      </c>
      <c r="J558" s="1735">
        <f>(+IFERROR(VLOOKUP($A558,'[152]BG (2)'!$B$9:$J$570,8,FALSE),0))*1</f>
        <v>377189305</v>
      </c>
      <c r="K558" s="73">
        <f>(+IFERROR(VLOOKUP($A558,'[152]BG (2)'!$B$9:$J$570,9,FALSE),0))*-1</f>
        <v>0</v>
      </c>
      <c r="L558" s="96"/>
      <c r="M558" s="101"/>
      <c r="P558" s="90">
        <f t="shared" si="35"/>
        <v>377189305</v>
      </c>
      <c r="R558" s="130">
        <f t="shared" si="39"/>
        <v>377189305</v>
      </c>
      <c r="S558" s="90"/>
      <c r="T558" s="90">
        <f t="shared" si="37"/>
        <v>377189305</v>
      </c>
      <c r="U558" s="95"/>
      <c r="V558" s="72"/>
      <c r="W558" s="75" t="e">
        <f>+A558-#REF!</f>
        <v>#REF!</v>
      </c>
      <c r="X558" s="1270"/>
      <c r="Y558" s="91"/>
      <c r="Z558" s="91"/>
      <c r="AA558" s="91"/>
    </row>
    <row r="559" spans="1:27" ht="14.4" customHeight="1" x14ac:dyDescent="0.3">
      <c r="A559">
        <v>641310</v>
      </c>
      <c r="B559" t="s">
        <v>604</v>
      </c>
      <c r="C559" t="s">
        <v>602</v>
      </c>
      <c r="D559" s="87" t="str">
        <f t="shared" si="38"/>
        <v>64</v>
      </c>
      <c r="E559" s="92"/>
      <c r="F559" s="93">
        <f>(+IFERROR(VLOOKUP($A559,'[152]BG (2)'!$B$9:$J$570,4,FALSE),0))*1</f>
        <v>0</v>
      </c>
      <c r="G559" s="73">
        <f>(+IFERROR(VLOOKUP($A559,'[152]BG (2)'!$B$9:$J$570,5,FALSE),0))*-1</f>
        <v>0</v>
      </c>
      <c r="H559" s="93">
        <f>(+IFERROR(VLOOKUP($A559,'[152]BG (2)'!$B$9:$J$570,6,FALSE),0))*1</f>
        <v>156387678</v>
      </c>
      <c r="I559" s="73">
        <f>(+IFERROR(VLOOKUP($A559,'[152]BG (2)'!$B$9:$J$570,7,FALSE),0))*-1</f>
        <v>0</v>
      </c>
      <c r="J559" s="1735">
        <f>(+IFERROR(VLOOKUP($A559,'[152]BG (2)'!$B$9:$J$570,8,FALSE),0))*1</f>
        <v>156387678</v>
      </c>
      <c r="K559" s="73">
        <f>(+IFERROR(VLOOKUP($A559,'[152]BG (2)'!$B$9:$J$570,9,FALSE),0))*-1</f>
        <v>0</v>
      </c>
      <c r="L559" s="96"/>
      <c r="M559" s="101"/>
      <c r="P559" s="90">
        <f t="shared" si="35"/>
        <v>156387678</v>
      </c>
      <c r="R559" s="130">
        <f t="shared" si="39"/>
        <v>156387678</v>
      </c>
      <c r="S559" s="90"/>
      <c r="T559" s="90">
        <f t="shared" si="37"/>
        <v>156387678</v>
      </c>
      <c r="U559" s="95"/>
      <c r="V559" s="72"/>
      <c r="W559" s="75" t="e">
        <f>+A559-#REF!</f>
        <v>#REF!</v>
      </c>
      <c r="X559" s="1270"/>
      <c r="Y559" s="91"/>
      <c r="Z559" s="91"/>
      <c r="AA559" s="91"/>
    </row>
    <row r="560" spans="1:27" ht="14.4" customHeight="1" x14ac:dyDescent="0.3">
      <c r="A560">
        <v>641800</v>
      </c>
      <c r="B560" t="s">
        <v>605</v>
      </c>
      <c r="C560" t="s">
        <v>602</v>
      </c>
      <c r="D560" s="87" t="str">
        <f t="shared" si="38"/>
        <v>64</v>
      </c>
      <c r="E560" s="92"/>
      <c r="F560" s="93">
        <f>(+IFERROR(VLOOKUP($A560,'[152]BG (2)'!$B$9:$J$570,4,FALSE),0))*1</f>
        <v>0</v>
      </c>
      <c r="G560" s="73">
        <f>(+IFERROR(VLOOKUP($A560,'[152]BG (2)'!$B$9:$J$570,5,FALSE),0))*-1</f>
        <v>0</v>
      </c>
      <c r="H560" s="93">
        <f>(+IFERROR(VLOOKUP($A560,'[152]BG (2)'!$B$9:$J$570,6,FALSE),0))*1</f>
        <v>2067065511</v>
      </c>
      <c r="I560" s="73">
        <f>(+IFERROR(VLOOKUP($A560,'[152]BG (2)'!$B$9:$J$570,7,FALSE),0))*-1</f>
        <v>-233999</v>
      </c>
      <c r="J560" s="1735">
        <f>(+IFERROR(VLOOKUP($A560,'[152]BG (2)'!$B$9:$J$570,8,FALSE),0))*1</f>
        <v>2066831512</v>
      </c>
      <c r="K560" s="73">
        <f>(+IFERROR(VLOOKUP($A560,'[152]BG (2)'!$B$9:$J$570,9,FALSE),0))*-1</f>
        <v>0</v>
      </c>
      <c r="L560" s="96"/>
      <c r="M560" s="101"/>
      <c r="P560" s="90">
        <f t="shared" si="35"/>
        <v>2066831512</v>
      </c>
      <c r="R560" s="130">
        <f t="shared" si="39"/>
        <v>2066831512</v>
      </c>
      <c r="S560" s="90"/>
      <c r="T560" s="90">
        <f t="shared" si="37"/>
        <v>2066831512</v>
      </c>
      <c r="U560" s="95"/>
      <c r="V560" s="72"/>
      <c r="W560" s="75" t="e">
        <f>+A560-#REF!</f>
        <v>#REF!</v>
      </c>
      <c r="X560" s="1270"/>
      <c r="Y560" s="91"/>
      <c r="Z560" s="91"/>
      <c r="AA560" s="91"/>
    </row>
    <row r="561" spans="1:27" ht="14.4" customHeight="1" x14ac:dyDescent="0.3">
      <c r="A561">
        <v>645000</v>
      </c>
      <c r="B561" t="s">
        <v>606</v>
      </c>
      <c r="C561" t="s">
        <v>602</v>
      </c>
      <c r="D561" s="87" t="str">
        <f t="shared" si="38"/>
        <v>64</v>
      </c>
      <c r="E561" s="92"/>
      <c r="F561" s="93">
        <f>(+IFERROR(VLOOKUP($A561,'[152]BG (2)'!$B$9:$J$570,4,FALSE),0))*1</f>
        <v>0</v>
      </c>
      <c r="G561" s="73">
        <f>(+IFERROR(VLOOKUP($A561,'[152]BG (2)'!$B$9:$J$570,5,FALSE),0))*-1</f>
        <v>0</v>
      </c>
      <c r="H561" s="93">
        <f>(+IFERROR(VLOOKUP($A561,'[152]BG (2)'!$B$9:$J$570,6,FALSE),0))*1</f>
        <v>0</v>
      </c>
      <c r="I561" s="73">
        <f>(+IFERROR(VLOOKUP($A561,'[152]BG (2)'!$B$9:$J$570,7,FALSE),0))*-1</f>
        <v>0</v>
      </c>
      <c r="J561" s="89">
        <f>(+IFERROR(VLOOKUP($A561,'[152]BG (2)'!$B$9:$J$570,8,FALSE),0))*1</f>
        <v>0</v>
      </c>
      <c r="K561" s="73">
        <f>(+IFERROR(VLOOKUP($A561,'[152]BG (2)'!$B$9:$J$570,9,FALSE),0))*-1</f>
        <v>0</v>
      </c>
      <c r="L561" s="96"/>
      <c r="M561" s="101"/>
      <c r="P561" s="90">
        <f t="shared" si="35"/>
        <v>0</v>
      </c>
      <c r="R561" s="130">
        <f t="shared" si="39"/>
        <v>0</v>
      </c>
      <c r="S561" s="90"/>
      <c r="T561" s="90">
        <f t="shared" si="37"/>
        <v>0</v>
      </c>
      <c r="U561" s="95"/>
      <c r="V561" s="72"/>
      <c r="W561" s="75" t="e">
        <f>+A561-#REF!</f>
        <v>#REF!</v>
      </c>
      <c r="X561" s="1270"/>
      <c r="Y561" s="91"/>
      <c r="Z561" s="91"/>
      <c r="AA561" s="91"/>
    </row>
    <row r="562" spans="1:27" ht="14.4" customHeight="1" x14ac:dyDescent="0.3">
      <c r="A562">
        <v>646300</v>
      </c>
      <c r="B562" t="s">
        <v>607</v>
      </c>
      <c r="C562" t="s">
        <v>602</v>
      </c>
      <c r="D562" s="87" t="str">
        <f t="shared" si="38"/>
        <v>64</v>
      </c>
      <c r="E562" s="92"/>
      <c r="F562" s="93">
        <f>(+IFERROR(VLOOKUP($A562,'[152]BG (2)'!$B$9:$J$570,4,FALSE),0))*1</f>
        <v>0</v>
      </c>
      <c r="G562" s="73">
        <f>(+IFERROR(VLOOKUP($A562,'[152]BG (2)'!$B$9:$J$570,5,FALSE),0))*-1</f>
        <v>0</v>
      </c>
      <c r="H562" s="93">
        <f>(+IFERROR(VLOOKUP($A562,'[152]BG (2)'!$B$9:$J$570,6,FALSE),0))*1</f>
        <v>4830700</v>
      </c>
      <c r="I562" s="73">
        <f>(+IFERROR(VLOOKUP($A562,'[152]BG (2)'!$B$9:$J$570,7,FALSE),0))*-1</f>
        <v>0</v>
      </c>
      <c r="J562" s="1735">
        <f>(+IFERROR(VLOOKUP($A562,'[152]BG (2)'!$B$9:$J$570,8,FALSE),0))*1</f>
        <v>4830700</v>
      </c>
      <c r="K562" s="73">
        <f>(+IFERROR(VLOOKUP($A562,'[152]BG (2)'!$B$9:$J$570,9,FALSE),0))*-1</f>
        <v>0</v>
      </c>
      <c r="L562" s="96"/>
      <c r="M562" s="101"/>
      <c r="P562" s="90">
        <f t="shared" si="35"/>
        <v>4830700</v>
      </c>
      <c r="R562" s="130">
        <f t="shared" si="39"/>
        <v>4830700</v>
      </c>
      <c r="S562" s="90"/>
      <c r="T562" s="90">
        <f t="shared" si="37"/>
        <v>4830700</v>
      </c>
      <c r="U562" s="95"/>
      <c r="V562" s="72"/>
      <c r="W562" s="75" t="e">
        <f>+A562-#REF!</f>
        <v>#REF!</v>
      </c>
      <c r="X562" s="1270"/>
      <c r="Y562" s="91"/>
      <c r="Z562" s="91"/>
      <c r="AA562" s="91"/>
    </row>
    <row r="563" spans="1:27" ht="14.4" customHeight="1" x14ac:dyDescent="0.3">
      <c r="A563">
        <v>646800</v>
      </c>
      <c r="B563" t="s">
        <v>608</v>
      </c>
      <c r="C563" t="s">
        <v>602</v>
      </c>
      <c r="D563" s="87" t="str">
        <f t="shared" si="38"/>
        <v>64</v>
      </c>
      <c r="E563" s="92"/>
      <c r="F563" s="93">
        <f>(+IFERROR(VLOOKUP($A563,'[152]BG (2)'!$B$9:$J$570,4,FALSE),0))*1</f>
        <v>0</v>
      </c>
      <c r="G563" s="73">
        <f>(+IFERROR(VLOOKUP($A563,'[152]BG (2)'!$B$9:$J$570,5,FALSE),0))*-1</f>
        <v>0</v>
      </c>
      <c r="H563" s="93">
        <f>(+IFERROR(VLOOKUP($A563,'[152]BG (2)'!$B$9:$J$570,6,FALSE),0))*1</f>
        <v>35762790</v>
      </c>
      <c r="I563" s="73">
        <f>(+IFERROR(VLOOKUP($A563,'[152]BG (2)'!$B$9:$J$570,7,FALSE),0))*-1</f>
        <v>0</v>
      </c>
      <c r="J563" s="1735">
        <f>(+IFERROR(VLOOKUP($A563,'[152]BG (2)'!$B$9:$J$570,8,FALSE),0))*1</f>
        <v>35762790</v>
      </c>
      <c r="K563" s="73">
        <f>(+IFERROR(VLOOKUP($A563,'[152]BG (2)'!$B$9:$J$570,9,FALSE),0))*-1</f>
        <v>0</v>
      </c>
      <c r="L563" s="96"/>
      <c r="M563" s="101"/>
      <c r="P563" s="90">
        <f t="shared" si="35"/>
        <v>35762790</v>
      </c>
      <c r="R563" s="130">
        <f t="shared" si="39"/>
        <v>35762790</v>
      </c>
      <c r="S563" s="90"/>
      <c r="T563" s="90">
        <f t="shared" si="37"/>
        <v>35762790</v>
      </c>
      <c r="U563" s="95"/>
      <c r="V563" s="72"/>
      <c r="W563" s="75" t="e">
        <f>+A563-#REF!</f>
        <v>#REF!</v>
      </c>
      <c r="X563" s="1270"/>
      <c r="Y563" s="91"/>
      <c r="Z563" s="91"/>
      <c r="AA563" s="91"/>
    </row>
    <row r="564" spans="1:27" ht="14.4" customHeight="1" x14ac:dyDescent="0.3">
      <c r="A564">
        <v>647000</v>
      </c>
      <c r="B564" t="s">
        <v>609</v>
      </c>
      <c r="C564" t="s">
        <v>602</v>
      </c>
      <c r="D564" s="87" t="str">
        <f t="shared" si="38"/>
        <v>64</v>
      </c>
      <c r="E564" s="92"/>
      <c r="F564" s="93">
        <f>(+IFERROR(VLOOKUP($A564,'[152]BG (2)'!$B$9:$J$570,4,FALSE),0))*1</f>
        <v>0</v>
      </c>
      <c r="G564" s="73">
        <f>(+IFERROR(VLOOKUP($A564,'[152]BG (2)'!$B$9:$J$570,5,FALSE),0))*-1</f>
        <v>0</v>
      </c>
      <c r="H564" s="93">
        <f>(+IFERROR(VLOOKUP($A564,'[152]BG (2)'!$B$9:$J$570,6,FALSE),0))*1</f>
        <v>2352367</v>
      </c>
      <c r="I564" s="73">
        <f>(+IFERROR(VLOOKUP($A564,'[152]BG (2)'!$B$9:$J$570,7,FALSE),0))*-1</f>
        <v>0</v>
      </c>
      <c r="J564" s="1735">
        <f>(+IFERROR(VLOOKUP($A564,'[152]BG (2)'!$B$9:$J$570,8,FALSE),0))*1</f>
        <v>2352367</v>
      </c>
      <c r="K564" s="73">
        <f>(+IFERROR(VLOOKUP($A564,'[152]BG (2)'!$B$9:$J$570,9,FALSE),0))*-1</f>
        <v>0</v>
      </c>
      <c r="L564" s="96"/>
      <c r="M564" s="101"/>
      <c r="N564" s="130"/>
      <c r="P564" s="90">
        <f t="shared" si="35"/>
        <v>2352367</v>
      </c>
      <c r="R564" s="130">
        <f t="shared" si="39"/>
        <v>2352367</v>
      </c>
      <c r="S564" s="90"/>
      <c r="T564" s="90">
        <f t="shared" si="37"/>
        <v>2352367</v>
      </c>
      <c r="U564" s="95"/>
      <c r="V564" s="72"/>
      <c r="W564" s="75" t="e">
        <f>+A564-#REF!</f>
        <v>#REF!</v>
      </c>
      <c r="X564" s="1270"/>
      <c r="Y564" s="91"/>
      <c r="Z564" s="91"/>
      <c r="AA564" s="91"/>
    </row>
    <row r="565" spans="1:27" ht="14.4" customHeight="1" x14ac:dyDescent="0.3">
      <c r="A565">
        <v>648000</v>
      </c>
      <c r="B565" t="s">
        <v>610</v>
      </c>
      <c r="C565"/>
      <c r="D565" s="87" t="str">
        <f t="shared" si="38"/>
        <v>64</v>
      </c>
      <c r="E565" s="92"/>
      <c r="F565" s="93">
        <f>(+IFERROR(VLOOKUP($A565,'[152]BG (2)'!$B$9:$J$570,4,FALSE),0))*1</f>
        <v>0</v>
      </c>
      <c r="G565" s="73">
        <f>(+IFERROR(VLOOKUP($A565,'[152]BG (2)'!$B$9:$J$570,5,FALSE),0))*-1</f>
        <v>0</v>
      </c>
      <c r="H565" s="93">
        <f>(+IFERROR(VLOOKUP($A565,'[152]BG (2)'!$B$9:$J$570,6,FALSE),0))*1</f>
        <v>22500000</v>
      </c>
      <c r="I565" s="73">
        <f>(+IFERROR(VLOOKUP($A565,'[152]BG (2)'!$B$9:$J$570,7,FALSE),0))*-1</f>
        <v>-62500</v>
      </c>
      <c r="J565" s="1735">
        <f>(+IFERROR(VLOOKUP($A565,'[152]BG (2)'!$B$9:$J$570,8,FALSE),0))*1</f>
        <v>22437500</v>
      </c>
      <c r="K565" s="73">
        <f>(+IFERROR(VLOOKUP($A565,'[152]BG (2)'!$B$9:$J$570,9,FALSE),0))*-1</f>
        <v>0</v>
      </c>
      <c r="L565" s="96"/>
      <c r="M565" s="101"/>
      <c r="N565" s="130"/>
      <c r="P565" s="90">
        <f t="shared" si="35"/>
        <v>22437500</v>
      </c>
      <c r="R565" s="130"/>
      <c r="S565" s="90"/>
      <c r="T565" s="90">
        <f t="shared" si="37"/>
        <v>22437500</v>
      </c>
      <c r="U565" s="95"/>
      <c r="V565" s="72"/>
      <c r="W565" s="75" t="e">
        <f>+A565-#REF!</f>
        <v>#REF!</v>
      </c>
      <c r="X565" s="1270"/>
      <c r="Y565" s="91"/>
      <c r="Z565" s="91"/>
      <c r="AA565" s="91"/>
    </row>
    <row r="566" spans="1:27" ht="14.4" customHeight="1" x14ac:dyDescent="0.3">
      <c r="A566">
        <v>651100</v>
      </c>
      <c r="B566" t="s">
        <v>611</v>
      </c>
      <c r="C566" t="s">
        <v>500</v>
      </c>
      <c r="D566" s="87" t="str">
        <f t="shared" si="38"/>
        <v>65</v>
      </c>
      <c r="E566" s="92"/>
      <c r="F566" s="93">
        <f>(+IFERROR(VLOOKUP($A566,'[152]BG (2)'!$B$9:$J$570,4,FALSE),0))*1</f>
        <v>0</v>
      </c>
      <c r="G566" s="73">
        <f>(+IFERROR(VLOOKUP($A566,'[152]BG (2)'!$B$9:$J$570,5,FALSE),0))*-1</f>
        <v>0</v>
      </c>
      <c r="H566" s="93">
        <f>(+IFERROR(VLOOKUP($A566,'[152]BG (2)'!$B$9:$J$570,6,FALSE),0))*1</f>
        <v>1997771033</v>
      </c>
      <c r="I566" s="73">
        <f>(+IFERROR(VLOOKUP($A566,'[152]BG (2)'!$B$9:$J$570,7,FALSE),0))*-1</f>
        <v>-161432013</v>
      </c>
      <c r="J566" s="94">
        <f>(+IFERROR(VLOOKUP($A566,'[152]BG (2)'!$B$9:$J$570,8,FALSE),0))*1</f>
        <v>1836339020</v>
      </c>
      <c r="K566" s="73">
        <f>(+IFERROR(VLOOKUP($A566,'[152]BG (2)'!$B$9:$J$570,9,FALSE),0))*-1</f>
        <v>0</v>
      </c>
      <c r="L566" s="96"/>
      <c r="M566" s="101"/>
      <c r="P566" s="90">
        <f t="shared" si="35"/>
        <v>1836339020</v>
      </c>
      <c r="R566" s="130">
        <f t="shared" si="39"/>
        <v>1836339020</v>
      </c>
      <c r="S566" s="90"/>
      <c r="T566" s="90">
        <f t="shared" si="37"/>
        <v>1836339020</v>
      </c>
      <c r="U566" s="95"/>
      <c r="V566" s="72"/>
      <c r="W566" s="75" t="e">
        <f>+A566-#REF!</f>
        <v>#REF!</v>
      </c>
      <c r="X566" s="1270"/>
      <c r="Y566" s="91"/>
      <c r="Z566" s="91"/>
      <c r="AA566" s="91"/>
    </row>
    <row r="567" spans="1:27" ht="14.4" customHeight="1" x14ac:dyDescent="0.3">
      <c r="A567">
        <v>651500</v>
      </c>
      <c r="B567" t="s">
        <v>612</v>
      </c>
      <c r="C567" t="s">
        <v>500</v>
      </c>
      <c r="D567" s="87" t="str">
        <f t="shared" si="38"/>
        <v>65</v>
      </c>
      <c r="E567" s="92"/>
      <c r="F567" s="93">
        <f>(+IFERROR(VLOOKUP($A567,'[152]BG (2)'!$B$9:$J$570,4,FALSE),0))*1</f>
        <v>0</v>
      </c>
      <c r="G567" s="73">
        <f>(+IFERROR(VLOOKUP($A567,'[152]BG (2)'!$B$9:$J$570,5,FALSE),0))*-1</f>
        <v>0</v>
      </c>
      <c r="H567" s="93">
        <f>(+IFERROR(VLOOKUP($A567,'[152]BG (2)'!$B$9:$J$570,6,FALSE),0))*1</f>
        <v>6934</v>
      </c>
      <c r="I567" s="73">
        <f>(+IFERROR(VLOOKUP($A567,'[152]BG (2)'!$B$9:$J$570,7,FALSE),0))*-1</f>
        <v>0</v>
      </c>
      <c r="J567" s="109">
        <f>(+IFERROR(VLOOKUP($A567,'[152]BG (2)'!$B$9:$J$570,8,FALSE),0))*1</f>
        <v>6934</v>
      </c>
      <c r="K567" s="73">
        <f>(+IFERROR(VLOOKUP($A567,'[152]BG (2)'!$B$9:$J$570,9,FALSE),0))*-1</f>
        <v>0</v>
      </c>
      <c r="L567" s="96"/>
      <c r="M567" s="101"/>
      <c r="P567" s="90">
        <f t="shared" si="35"/>
        <v>6934</v>
      </c>
      <c r="R567" s="130"/>
      <c r="S567" s="90"/>
      <c r="T567" s="90">
        <f t="shared" si="37"/>
        <v>6934</v>
      </c>
      <c r="U567" s="95"/>
      <c r="V567" s="72"/>
      <c r="W567" s="75" t="e">
        <f>+A567-#REF!</f>
        <v>#REF!</v>
      </c>
      <c r="X567" s="1270"/>
      <c r="Y567" s="91"/>
      <c r="Z567" s="91"/>
      <c r="AA567" s="91"/>
    </row>
    <row r="568" spans="1:27" ht="14.4" customHeight="1" x14ac:dyDescent="0.3">
      <c r="A568">
        <v>657000</v>
      </c>
      <c r="B568" t="s">
        <v>613</v>
      </c>
      <c r="C568"/>
      <c r="D568" s="87" t="str">
        <f t="shared" si="38"/>
        <v>65</v>
      </c>
      <c r="E568" s="92"/>
      <c r="F568" s="93">
        <f>(+IFERROR(VLOOKUP($A568,'[152]BG (2)'!$B$9:$J$570,4,FALSE),0))*1</f>
        <v>0</v>
      </c>
      <c r="G568" s="73">
        <f>(+IFERROR(VLOOKUP($A568,'[152]BG (2)'!$B$9:$J$570,5,FALSE),0))*-1</f>
        <v>0</v>
      </c>
      <c r="H568" s="93">
        <f>(+IFERROR(VLOOKUP($A568,'[152]BG (2)'!$B$9:$J$570,6,FALSE),0))*1</f>
        <v>6355453</v>
      </c>
      <c r="I568" s="73">
        <f>(+IFERROR(VLOOKUP($A568,'[152]BG (2)'!$B$9:$J$570,7,FALSE),0))*-1</f>
        <v>0</v>
      </c>
      <c r="J568" s="1735">
        <f>(+IFERROR(VLOOKUP($A568,'[152]BG (2)'!$B$9:$J$570,8,FALSE),0))*1</f>
        <v>6355453</v>
      </c>
      <c r="K568" s="73">
        <f>(+IFERROR(VLOOKUP($A568,'[152]BG (2)'!$B$9:$J$570,9,FALSE),0))*-1</f>
        <v>0</v>
      </c>
      <c r="L568" s="96"/>
      <c r="M568" s="101"/>
      <c r="P568" s="90">
        <f t="shared" si="35"/>
        <v>6355453</v>
      </c>
      <c r="R568" s="130"/>
      <c r="S568" s="90"/>
      <c r="T568" s="90">
        <f t="shared" si="37"/>
        <v>6355453</v>
      </c>
      <c r="U568" s="95"/>
      <c r="V568" s="72"/>
      <c r="W568" s="75" t="e">
        <f>+A568-#REF!</f>
        <v>#REF!</v>
      </c>
      <c r="X568" s="1270"/>
      <c r="Y568" s="91"/>
      <c r="Z568" s="91"/>
      <c r="AA568" s="91"/>
    </row>
    <row r="569" spans="1:27" ht="14.4" customHeight="1" x14ac:dyDescent="0.3">
      <c r="A569">
        <v>658200</v>
      </c>
      <c r="B569" t="s">
        <v>614</v>
      </c>
      <c r="C569" t="s">
        <v>500</v>
      </c>
      <c r="D569" s="87" t="str">
        <f t="shared" si="38"/>
        <v>65</v>
      </c>
      <c r="E569" s="92"/>
      <c r="F569" s="93">
        <f>(+IFERROR(VLOOKUP($A569,'[152]BG (2)'!$B$9:$J$570,4,FALSE),0))*1</f>
        <v>0</v>
      </c>
      <c r="G569" s="73">
        <f>(+IFERROR(VLOOKUP($A569,'[152]BG (2)'!$B$9:$J$570,5,FALSE),0))*-1</f>
        <v>0</v>
      </c>
      <c r="H569" s="93">
        <f>(+IFERROR(VLOOKUP($A569,'[152]BG (2)'!$B$9:$J$570,6,FALSE),0))*1</f>
        <v>80000</v>
      </c>
      <c r="I569" s="73">
        <f>(+IFERROR(VLOOKUP($A569,'[152]BG (2)'!$B$9:$J$570,7,FALSE),0))*-1</f>
        <v>0</v>
      </c>
      <c r="J569" s="109">
        <f>(+IFERROR(VLOOKUP($A569,'[152]BG (2)'!$B$9:$J$570,8,FALSE),0))*1</f>
        <v>80000</v>
      </c>
      <c r="K569" s="73">
        <f>(+IFERROR(VLOOKUP($A569,'[152]BG (2)'!$B$9:$J$570,9,FALSE),0))*-1</f>
        <v>0</v>
      </c>
      <c r="L569" s="96"/>
      <c r="M569" s="101"/>
      <c r="P569" s="90">
        <f t="shared" si="35"/>
        <v>80000</v>
      </c>
      <c r="R569" s="130">
        <f t="shared" ref="R569:R580" si="40">J569+K569</f>
        <v>80000</v>
      </c>
      <c r="S569" s="90"/>
      <c r="T569" s="90">
        <f t="shared" si="37"/>
        <v>80000</v>
      </c>
      <c r="U569" s="95"/>
      <c r="V569" s="72"/>
      <c r="W569" s="75" t="e">
        <f>+A569-#REF!</f>
        <v>#REF!</v>
      </c>
      <c r="X569" s="1270"/>
      <c r="Y569" s="91"/>
      <c r="Z569" s="91"/>
      <c r="AA569" s="91"/>
    </row>
    <row r="570" spans="1:27" ht="14.4" customHeight="1" x14ac:dyDescent="0.3">
      <c r="A570">
        <v>659300</v>
      </c>
      <c r="B570" t="s">
        <v>615</v>
      </c>
      <c r="C570" t="s">
        <v>616</v>
      </c>
      <c r="D570" s="87" t="str">
        <f t="shared" si="38"/>
        <v>65</v>
      </c>
      <c r="E570" s="92"/>
      <c r="F570" s="93">
        <f>(+IFERROR(VLOOKUP($A570,'[152]BG (2)'!$B$9:$J$570,4,FALSE),0))*1</f>
        <v>0</v>
      </c>
      <c r="G570" s="73">
        <f>(+IFERROR(VLOOKUP($A570,'[152]BG (2)'!$B$9:$J$570,5,FALSE),0))*-1</f>
        <v>0</v>
      </c>
      <c r="H570" s="93">
        <f>(+IFERROR(VLOOKUP($A570,'[152]BG (2)'!$B$9:$J$570,6,FALSE),0))*1</f>
        <v>71919948</v>
      </c>
      <c r="I570" s="73">
        <f>(+IFERROR(VLOOKUP($A570,'[152]BG (2)'!$B$9:$J$570,7,FALSE),0))*-1</f>
        <v>-102448693</v>
      </c>
      <c r="J570" s="109">
        <f>(+IFERROR(VLOOKUP($A570,'[152]BG (2)'!$B$9:$J$570,8,FALSE),0))*1</f>
        <v>0</v>
      </c>
      <c r="K570" s="73">
        <f>(+IFERROR(VLOOKUP($A570,'[152]BG (2)'!$B$9:$J$570,9,FALSE),0))*-1</f>
        <v>-30528745</v>
      </c>
      <c r="L570" s="96"/>
      <c r="M570" s="101"/>
      <c r="P570" s="90">
        <f t="shared" si="35"/>
        <v>-30528745</v>
      </c>
      <c r="R570" s="130">
        <f t="shared" si="40"/>
        <v>-30528745</v>
      </c>
      <c r="S570" s="90"/>
      <c r="T570" s="90">
        <f t="shared" si="37"/>
        <v>-30528745</v>
      </c>
      <c r="U570" s="95"/>
      <c r="V570" s="72"/>
      <c r="W570" s="75" t="e">
        <f>+A570-#REF!</f>
        <v>#REF!</v>
      </c>
      <c r="X570" s="1270"/>
      <c r="Y570" s="91"/>
      <c r="Z570" s="91"/>
      <c r="AA570" s="91"/>
    </row>
    <row r="571" spans="1:27" ht="14.4" customHeight="1" x14ac:dyDescent="0.3">
      <c r="A571">
        <v>659400</v>
      </c>
      <c r="B571" t="s">
        <v>617</v>
      </c>
      <c r="C571" t="s">
        <v>618</v>
      </c>
      <c r="D571" s="87" t="str">
        <f t="shared" si="38"/>
        <v>65</v>
      </c>
      <c r="E571" s="92"/>
      <c r="F571" s="93">
        <f>(+IFERROR(VLOOKUP($A571,'[152]BG (2)'!$B$9:$J$570,4,FALSE),0))*1</f>
        <v>0</v>
      </c>
      <c r="G571" s="73">
        <f>(+IFERROR(VLOOKUP($A571,'[152]BG (2)'!$B$9:$J$570,5,FALSE),0))*-1</f>
        <v>0</v>
      </c>
      <c r="H571" s="93">
        <f>(+IFERROR(VLOOKUP($A571,'[152]BG (2)'!$B$9:$J$570,6,FALSE),0))*1</f>
        <v>406329719</v>
      </c>
      <c r="I571" s="73">
        <f>(+IFERROR(VLOOKUP($A571,'[152]BG (2)'!$B$9:$J$570,7,FALSE),0))*-1</f>
        <v>-87758220</v>
      </c>
      <c r="J571" s="109">
        <f>(+IFERROR(VLOOKUP($A571,'[152]BG (2)'!$B$9:$J$570,8,FALSE),0))*1</f>
        <v>318571499</v>
      </c>
      <c r="K571" s="73">
        <f>(+IFERROR(VLOOKUP($A571,'[152]BG (2)'!$B$9:$J$570,9,FALSE),0))*-1</f>
        <v>0</v>
      </c>
      <c r="L571" s="96"/>
      <c r="M571" s="101"/>
      <c r="P571" s="90">
        <f t="shared" si="35"/>
        <v>318571499</v>
      </c>
      <c r="R571" s="130">
        <f t="shared" si="40"/>
        <v>318571499</v>
      </c>
      <c r="S571" s="90"/>
      <c r="T571" s="90">
        <f t="shared" si="37"/>
        <v>318571499</v>
      </c>
      <c r="U571" s="95"/>
      <c r="V571" s="72"/>
      <c r="W571" s="75" t="e">
        <f>+A571-#REF!</f>
        <v>#REF!</v>
      </c>
      <c r="X571" s="1270"/>
      <c r="Y571" s="91"/>
      <c r="Z571" s="91"/>
      <c r="AA571" s="91"/>
    </row>
    <row r="572" spans="1:27" ht="14.4" customHeight="1" x14ac:dyDescent="0.3">
      <c r="A572">
        <v>659800</v>
      </c>
      <c r="B572" t="s">
        <v>619</v>
      </c>
      <c r="C572" t="s">
        <v>620</v>
      </c>
      <c r="D572" s="87" t="str">
        <f t="shared" si="38"/>
        <v>65</v>
      </c>
      <c r="E572" s="92"/>
      <c r="F572" s="93">
        <f>(+IFERROR(VLOOKUP($A572,'[152]BG (2)'!$B$9:$J$570,4,FALSE),0))*1</f>
        <v>0</v>
      </c>
      <c r="G572" s="73">
        <f>(+IFERROR(VLOOKUP($A572,'[152]BG (2)'!$B$9:$J$570,5,FALSE),0))*-1</f>
        <v>0</v>
      </c>
      <c r="H572" s="93">
        <f>(+IFERROR(VLOOKUP($A572,'[152]BG (2)'!$B$9:$J$570,6,FALSE),0))*1</f>
        <v>0</v>
      </c>
      <c r="I572" s="73">
        <f>(+IFERROR(VLOOKUP($A572,'[152]BG (2)'!$B$9:$J$570,7,FALSE),0))*-1</f>
        <v>0</v>
      </c>
      <c r="J572" s="109">
        <f>(+IFERROR(VLOOKUP($A572,'[152]BG (2)'!$B$9:$J$570,8,FALSE),0))*1</f>
        <v>0</v>
      </c>
      <c r="K572" s="73">
        <f>(+IFERROR(VLOOKUP($A572,'[152]BG (2)'!$B$9:$J$570,9,FALSE),0))*-1</f>
        <v>0</v>
      </c>
      <c r="L572" s="96"/>
      <c r="M572" s="101"/>
      <c r="P572" s="90">
        <f t="shared" si="35"/>
        <v>0</v>
      </c>
      <c r="R572" s="130">
        <f t="shared" si="40"/>
        <v>0</v>
      </c>
      <c r="S572" s="90"/>
      <c r="T572" s="90">
        <f t="shared" si="37"/>
        <v>0</v>
      </c>
      <c r="U572" s="95"/>
      <c r="V572" s="72"/>
      <c r="W572" s="75" t="e">
        <f>+A572-#REF!</f>
        <v>#REF!</v>
      </c>
      <c r="X572" s="1270"/>
      <c r="Y572" s="91"/>
      <c r="Z572" s="91"/>
      <c r="AA572" s="91"/>
    </row>
    <row r="573" spans="1:27" ht="14.4" customHeight="1" x14ac:dyDescent="0.3">
      <c r="A573">
        <v>661100</v>
      </c>
      <c r="B573" t="s">
        <v>621</v>
      </c>
      <c r="C573" t="s">
        <v>594</v>
      </c>
      <c r="D573" s="87" t="str">
        <f t="shared" si="38"/>
        <v>66</v>
      </c>
      <c r="E573" s="92"/>
      <c r="F573" s="93">
        <f>(+IFERROR(VLOOKUP($A573,'[152]BG (2)'!$B$9:$J$570,4,FALSE),0))*1</f>
        <v>0</v>
      </c>
      <c r="G573" s="73">
        <f>(+IFERROR(VLOOKUP($A573,'[152]BG (2)'!$B$9:$J$570,5,FALSE),0))*-1</f>
        <v>0</v>
      </c>
      <c r="H573" s="93">
        <f>(+IFERROR(VLOOKUP($A573,'[152]BG (2)'!$B$9:$J$570,6,FALSE),0))*1</f>
        <v>3049648392</v>
      </c>
      <c r="I573" s="73">
        <f>(+IFERROR(VLOOKUP($A573,'[152]BG (2)'!$B$9:$J$570,7,FALSE),0))*-1</f>
        <v>0</v>
      </c>
      <c r="J573" s="1267">
        <f>(+IFERROR(VLOOKUP($A573,'[152]BG (2)'!$B$9:$J$570,8,FALSE),0))*1</f>
        <v>3049648392</v>
      </c>
      <c r="K573" s="73">
        <f>(+IFERROR(VLOOKUP($A573,'[152]BG (2)'!$B$9:$J$570,9,FALSE),0))*-1</f>
        <v>0</v>
      </c>
      <c r="L573" s="96"/>
      <c r="M573" s="101"/>
      <c r="P573" s="90">
        <f t="shared" si="35"/>
        <v>3049648392</v>
      </c>
      <c r="R573" s="130">
        <f t="shared" si="40"/>
        <v>3049648392</v>
      </c>
      <c r="S573" s="90"/>
      <c r="T573" s="90">
        <f t="shared" si="37"/>
        <v>3049648392</v>
      </c>
      <c r="U573" s="95"/>
      <c r="V573" s="72"/>
      <c r="W573" s="75" t="e">
        <f>+A573-#REF!</f>
        <v>#REF!</v>
      </c>
      <c r="X573" s="1270"/>
      <c r="Y573" s="91"/>
      <c r="Z573" s="91"/>
      <c r="AA573" s="91"/>
    </row>
    <row r="574" spans="1:27" ht="14.4" customHeight="1" x14ac:dyDescent="0.3">
      <c r="A574">
        <v>661200</v>
      </c>
      <c r="B574" t="s">
        <v>622</v>
      </c>
      <c r="C574" t="s">
        <v>594</v>
      </c>
      <c r="D574" s="87" t="str">
        <f t="shared" si="38"/>
        <v>66</v>
      </c>
      <c r="E574" s="92"/>
      <c r="F574" s="93">
        <f>(+IFERROR(VLOOKUP($A574,'[152]BG (2)'!$B$9:$J$570,4,FALSE),0))*1</f>
        <v>0</v>
      </c>
      <c r="G574" s="73">
        <f>(+IFERROR(VLOOKUP($A574,'[152]BG (2)'!$B$9:$J$570,5,FALSE),0))*-1</f>
        <v>0</v>
      </c>
      <c r="H574" s="93">
        <f>(+IFERROR(VLOOKUP($A574,'[152]BG (2)'!$B$9:$J$570,6,FALSE),0))*1</f>
        <v>468356047</v>
      </c>
      <c r="I574" s="73">
        <f>(+IFERROR(VLOOKUP($A574,'[152]BG (2)'!$B$9:$J$570,7,FALSE),0))*-1</f>
        <v>0</v>
      </c>
      <c r="J574" s="1267">
        <f>(+IFERROR(VLOOKUP($A574,'[152]BG (2)'!$B$9:$J$570,8,FALSE),0))*1</f>
        <v>468356047</v>
      </c>
      <c r="K574" s="73">
        <f>(+IFERROR(VLOOKUP($A574,'[152]BG (2)'!$B$9:$J$570,9,FALSE),0))*-1</f>
        <v>0</v>
      </c>
      <c r="L574" s="96"/>
      <c r="M574" s="101"/>
      <c r="P574" s="90">
        <f t="shared" si="35"/>
        <v>468356047</v>
      </c>
      <c r="R574" s="130">
        <f t="shared" si="40"/>
        <v>468356047</v>
      </c>
      <c r="S574" s="90"/>
      <c r="T574" s="90">
        <f t="shared" si="37"/>
        <v>468356047</v>
      </c>
      <c r="U574" s="95"/>
      <c r="V574" s="72"/>
      <c r="W574" s="75" t="e">
        <f>+A574-#REF!</f>
        <v>#REF!</v>
      </c>
      <c r="X574" s="1270"/>
      <c r="Y574" s="91"/>
      <c r="Z574" s="91"/>
      <c r="AA574" s="91"/>
    </row>
    <row r="575" spans="1:27" ht="14.4" customHeight="1" x14ac:dyDescent="0.3">
      <c r="A575">
        <v>661300</v>
      </c>
      <c r="B575" t="s">
        <v>623</v>
      </c>
      <c r="C575" t="s">
        <v>594</v>
      </c>
      <c r="D575" s="87" t="str">
        <f t="shared" si="38"/>
        <v>66</v>
      </c>
      <c r="E575" s="92"/>
      <c r="F575" s="93">
        <f>(+IFERROR(VLOOKUP($A575,'[152]BG (2)'!$B$9:$J$570,4,FALSE),0))*1</f>
        <v>0</v>
      </c>
      <c r="G575" s="73">
        <f>(+IFERROR(VLOOKUP($A575,'[152]BG (2)'!$B$9:$J$570,5,FALSE),0))*-1</f>
        <v>0</v>
      </c>
      <c r="H575" s="93">
        <f>(+IFERROR(VLOOKUP($A575,'[152]BG (2)'!$B$9:$J$570,6,FALSE),0))*1</f>
        <v>156918335</v>
      </c>
      <c r="I575" s="73">
        <f>(+IFERROR(VLOOKUP($A575,'[152]BG (2)'!$B$9:$J$570,7,FALSE),0))*-1</f>
        <v>0</v>
      </c>
      <c r="J575" s="1267">
        <f>(+IFERROR(VLOOKUP($A575,'[152]BG (2)'!$B$9:$J$570,8,FALSE),0))*1</f>
        <v>156918335</v>
      </c>
      <c r="K575" s="73">
        <f>(+IFERROR(VLOOKUP($A575,'[152]BG (2)'!$B$9:$J$570,9,FALSE),0))*-1</f>
        <v>0</v>
      </c>
      <c r="L575" s="96"/>
      <c r="M575" s="101"/>
      <c r="P575" s="90">
        <f t="shared" si="35"/>
        <v>156918335</v>
      </c>
      <c r="R575" s="130">
        <f t="shared" si="40"/>
        <v>156918335</v>
      </c>
      <c r="S575" s="90"/>
      <c r="T575" s="90">
        <f t="shared" si="37"/>
        <v>156918335</v>
      </c>
      <c r="U575" s="95"/>
      <c r="V575" s="72"/>
      <c r="W575" s="75" t="e">
        <f>+A575-#REF!</f>
        <v>#REF!</v>
      </c>
      <c r="X575" s="1270"/>
      <c r="Y575" s="91"/>
      <c r="Z575" s="91"/>
      <c r="AA575" s="91"/>
    </row>
    <row r="576" spans="1:27" ht="14.4" customHeight="1" x14ac:dyDescent="0.3">
      <c r="A576">
        <v>661700</v>
      </c>
      <c r="B576" t="s">
        <v>624</v>
      </c>
      <c r="C576" t="s">
        <v>594</v>
      </c>
      <c r="D576" s="87" t="str">
        <f t="shared" si="38"/>
        <v>66</v>
      </c>
      <c r="E576" s="92"/>
      <c r="F576" s="93">
        <f>(+IFERROR(VLOOKUP($A576,'[152]BG (2)'!$B$9:$J$570,4,FALSE),0))*1</f>
        <v>0</v>
      </c>
      <c r="G576" s="73">
        <f>(+IFERROR(VLOOKUP($A576,'[152]BG (2)'!$B$9:$J$570,5,FALSE),0))*-1</f>
        <v>0</v>
      </c>
      <c r="H576" s="93">
        <f>(+IFERROR(VLOOKUP($A576,'[152]BG (2)'!$B$9:$J$570,6,FALSE),0))*1</f>
        <v>285687315</v>
      </c>
      <c r="I576" s="73">
        <f>(+IFERROR(VLOOKUP($A576,'[152]BG (2)'!$B$9:$J$570,7,FALSE),0))*-1</f>
        <v>-13526471</v>
      </c>
      <c r="J576" s="1267">
        <f>(+IFERROR(VLOOKUP($A576,'[152]BG (2)'!$B$9:$J$570,8,FALSE),0))*1</f>
        <v>272160844</v>
      </c>
      <c r="K576" s="73">
        <f>(+IFERROR(VLOOKUP($A576,'[152]BG (2)'!$B$9:$J$570,9,FALSE),0))*-1</f>
        <v>0</v>
      </c>
      <c r="L576" s="96"/>
      <c r="M576" s="101"/>
      <c r="P576" s="90">
        <f t="shared" si="35"/>
        <v>272160844</v>
      </c>
      <c r="R576" s="130">
        <f t="shared" si="40"/>
        <v>272160844</v>
      </c>
      <c r="S576" s="90"/>
      <c r="T576" s="90">
        <f t="shared" si="37"/>
        <v>272160844</v>
      </c>
      <c r="U576" s="95"/>
      <c r="V576" s="72"/>
      <c r="W576" s="75" t="e">
        <f>+A576-#REF!</f>
        <v>#REF!</v>
      </c>
      <c r="X576" s="1270"/>
      <c r="Y576" s="91"/>
      <c r="Z576" s="91"/>
      <c r="AA576" s="91"/>
    </row>
    <row r="577" spans="1:27" ht="14.4" customHeight="1" x14ac:dyDescent="0.3">
      <c r="A577" s="1296">
        <v>661800</v>
      </c>
      <c r="B577" s="1296" t="s">
        <v>2379</v>
      </c>
      <c r="C577" t="s">
        <v>594</v>
      </c>
      <c r="D577" s="87" t="str">
        <f t="shared" si="38"/>
        <v>66</v>
      </c>
      <c r="E577" s="92"/>
      <c r="F577" s="93">
        <f>(+IFERROR(VLOOKUP($A577,'[152]BG (2)'!$B$9:$J$570,4,FALSE),0))*1</f>
        <v>0</v>
      </c>
      <c r="G577" s="73">
        <f>(+IFERROR(VLOOKUP($A577,'[152]BG (2)'!$B$9:$J$570,5,FALSE),0))*-1</f>
        <v>0</v>
      </c>
      <c r="H577" s="93">
        <f>(+IFERROR(VLOOKUP($A577,'[152]BG (2)'!$B$9:$J$570,6,FALSE),0))*1</f>
        <v>0</v>
      </c>
      <c r="I577" s="73">
        <f>(+IFERROR(VLOOKUP($A577,'[152]BG (2)'!$B$9:$J$570,7,FALSE),0))*-1</f>
        <v>0</v>
      </c>
      <c r="J577" s="1267">
        <f>(+IFERROR(VLOOKUP($A577,'[152]BG (2)'!$B$9:$J$570,8,FALSE),0))*1</f>
        <v>0</v>
      </c>
      <c r="K577" s="73">
        <f>(+IFERROR(VLOOKUP($A577,'[152]BG (2)'!$B$9:$J$570,9,FALSE),0))*-1</f>
        <v>0</v>
      </c>
      <c r="L577" s="75">
        <f>J577+K577</f>
        <v>0</v>
      </c>
      <c r="M577" s="72"/>
      <c r="N577" s="72"/>
      <c r="O577" s="72"/>
      <c r="P577" s="90">
        <f t="shared" si="35"/>
        <v>0</v>
      </c>
      <c r="Q577" s="72"/>
      <c r="R577" s="72"/>
      <c r="S577"/>
      <c r="T577"/>
      <c r="U577"/>
      <c r="V577" s="72"/>
      <c r="W577" s="72"/>
      <c r="X577" s="72"/>
      <c r="Y577" s="91"/>
      <c r="Z577" s="91"/>
      <c r="AA577" s="91"/>
    </row>
    <row r="578" spans="1:27" ht="14.4" customHeight="1" x14ac:dyDescent="0.3">
      <c r="A578">
        <v>662100</v>
      </c>
      <c r="B578" t="s">
        <v>621</v>
      </c>
      <c r="C578" t="s">
        <v>594</v>
      </c>
      <c r="D578" s="87" t="str">
        <f t="shared" si="38"/>
        <v>66</v>
      </c>
      <c r="E578" s="92"/>
      <c r="F578" s="93">
        <f>(+IFERROR(VLOOKUP($A578,'[152]BG (2)'!$B$9:$J$570,4,FALSE),0))*1</f>
        <v>0</v>
      </c>
      <c r="G578" s="73">
        <f>(+IFERROR(VLOOKUP($A578,'[152]BG (2)'!$B$9:$J$570,5,FALSE),0))*-1</f>
        <v>0</v>
      </c>
      <c r="H578" s="93">
        <f>(+IFERROR(VLOOKUP($A578,'[152]BG (2)'!$B$9:$J$570,6,FALSE),0))*1</f>
        <v>0</v>
      </c>
      <c r="I578" s="73">
        <f>(+IFERROR(VLOOKUP($A578,'[152]BG (2)'!$B$9:$J$570,7,FALSE),0))*-1</f>
        <v>0</v>
      </c>
      <c r="J578" s="1267">
        <f>(+IFERROR(VLOOKUP($A578,'[152]BG (2)'!$B$9:$J$570,8,FALSE),0))*1</f>
        <v>0</v>
      </c>
      <c r="K578" s="73">
        <f>(+IFERROR(VLOOKUP($A578,'[152]BG (2)'!$B$9:$J$570,9,FALSE),0))*-1</f>
        <v>0</v>
      </c>
      <c r="L578" s="96"/>
      <c r="M578" s="101"/>
      <c r="P578" s="90">
        <f t="shared" si="35"/>
        <v>0</v>
      </c>
      <c r="R578" s="130"/>
      <c r="S578" s="90"/>
      <c r="T578" s="90"/>
      <c r="U578" s="95"/>
      <c r="V578" s="72"/>
      <c r="W578" s="75"/>
      <c r="X578" s="1270"/>
      <c r="Y578" s="91"/>
      <c r="Z578" s="91"/>
      <c r="AA578" s="91"/>
    </row>
    <row r="579" spans="1:27" ht="14.4" customHeight="1" x14ac:dyDescent="0.3">
      <c r="A579" s="135">
        <v>662400</v>
      </c>
      <c r="B579" t="s">
        <v>625</v>
      </c>
      <c r="C579" t="s">
        <v>594</v>
      </c>
      <c r="D579" s="87" t="str">
        <f t="shared" si="38"/>
        <v>66</v>
      </c>
      <c r="E579" s="92"/>
      <c r="F579" s="93">
        <f>(+IFERROR(VLOOKUP($A579,'[152]BG (2)'!$B$9:$J$570,4,FALSE),0))*1</f>
        <v>0</v>
      </c>
      <c r="G579" s="73">
        <f>(+IFERROR(VLOOKUP($A579,'[152]BG (2)'!$B$9:$J$570,5,FALSE),0))*-1</f>
        <v>0</v>
      </c>
      <c r="H579" s="93">
        <f>(+IFERROR(VLOOKUP($A579,'[152]BG (2)'!$B$9:$J$570,6,FALSE),0))*1</f>
        <v>0</v>
      </c>
      <c r="I579" s="73">
        <f>(+IFERROR(VLOOKUP($A579,'[152]BG (2)'!$B$9:$J$570,7,FALSE),0))*-1</f>
        <v>0</v>
      </c>
      <c r="J579" s="109">
        <f>(+IFERROR(VLOOKUP($A579,'[152]BG (2)'!$B$9:$J$570,8,FALSE),0))*1</f>
        <v>0</v>
      </c>
      <c r="K579" s="73">
        <f>(+IFERROR(VLOOKUP($A579,'[152]BG (2)'!$B$9:$J$570,9,FALSE),0))*-1</f>
        <v>0</v>
      </c>
      <c r="L579" s="96"/>
      <c r="M579" s="101"/>
      <c r="P579" s="90">
        <f t="shared" si="35"/>
        <v>0</v>
      </c>
      <c r="R579" s="130">
        <f t="shared" si="40"/>
        <v>0</v>
      </c>
      <c r="S579" s="90"/>
      <c r="T579" s="90">
        <f t="shared" si="37"/>
        <v>0</v>
      </c>
      <c r="U579" s="95"/>
      <c r="V579" s="72"/>
      <c r="W579" s="75" t="e">
        <f>+A579-#REF!</f>
        <v>#REF!</v>
      </c>
      <c r="X579" s="1270"/>
      <c r="Y579" s="91"/>
      <c r="Z579" s="91"/>
      <c r="AA579" s="91"/>
    </row>
    <row r="580" spans="1:27" ht="14.4" customHeight="1" x14ac:dyDescent="0.3">
      <c r="A580">
        <v>664100</v>
      </c>
      <c r="B580" t="s">
        <v>626</v>
      </c>
      <c r="C580" t="s">
        <v>552</v>
      </c>
      <c r="D580" s="87" t="str">
        <f t="shared" si="38"/>
        <v>66</v>
      </c>
      <c r="E580" s="92"/>
      <c r="F580" s="93">
        <f>(+IFERROR(VLOOKUP($A580,'[152]BG (2)'!$B$9:$J$570,4,FALSE),0))*1</f>
        <v>0</v>
      </c>
      <c r="G580" s="73">
        <f>(+IFERROR(VLOOKUP($A580,'[152]BG (2)'!$B$9:$J$570,5,FALSE),0))*-1</f>
        <v>0</v>
      </c>
      <c r="H580" s="93">
        <f>(+IFERROR(VLOOKUP($A580,'[152]BG (2)'!$B$9:$J$570,6,FALSE),0))*1</f>
        <v>758480083</v>
      </c>
      <c r="I580" s="73">
        <f>(+IFERROR(VLOOKUP($A580,'[152]BG (2)'!$B$9:$J$570,7,FALSE),0))*-1</f>
        <v>0</v>
      </c>
      <c r="J580" s="1267">
        <f>(+IFERROR(VLOOKUP($A580,'[152]BG (2)'!$B$9:$J$570,8,FALSE),0))*1</f>
        <v>758480083</v>
      </c>
      <c r="K580" s="73">
        <f>(+IFERROR(VLOOKUP($A580,'[152]BG (2)'!$B$9:$J$570,9,FALSE),0))*-1</f>
        <v>0</v>
      </c>
      <c r="L580" s="96"/>
      <c r="M580" s="101"/>
      <c r="P580" s="90">
        <f t="shared" si="35"/>
        <v>758480083</v>
      </c>
      <c r="R580" s="130">
        <f t="shared" si="40"/>
        <v>758480083</v>
      </c>
      <c r="S580" s="90"/>
      <c r="T580" s="90">
        <f t="shared" si="37"/>
        <v>758480083</v>
      </c>
      <c r="U580" s="95"/>
      <c r="V580" s="72"/>
      <c r="W580" s="75" t="e">
        <f>+A580-#REF!</f>
        <v>#REF!</v>
      </c>
      <c r="X580" s="1270"/>
      <c r="Y580" s="91"/>
      <c r="Z580" s="91"/>
      <c r="AA580" s="91"/>
    </row>
    <row r="581" spans="1:27" ht="14.4" customHeight="1" x14ac:dyDescent="0.3">
      <c r="A581" s="126">
        <v>667100</v>
      </c>
      <c r="B581"/>
      <c r="C581" s="1313" t="s">
        <v>552</v>
      </c>
      <c r="D581" s="87" t="str">
        <f t="shared" si="38"/>
        <v>66</v>
      </c>
      <c r="E581" s="92"/>
      <c r="F581" s="93">
        <f>(+IFERROR(VLOOKUP($A581,'[152]BG (2)'!$B$9:$J$570,4,FALSE),0))*1</f>
        <v>0</v>
      </c>
      <c r="G581" s="73">
        <f>(+IFERROR(VLOOKUP($A581,'[152]BG (2)'!$B$9:$J$570,5,FALSE),0))*-1</f>
        <v>0</v>
      </c>
      <c r="H581" s="93">
        <f>(+IFERROR(VLOOKUP($A581,'[152]BG (2)'!$B$9:$J$570,6,FALSE),0))*1</f>
        <v>0</v>
      </c>
      <c r="I581" s="73">
        <f>(+IFERROR(VLOOKUP($A581,'[152]BG (2)'!$B$9:$J$570,7,FALSE),0))*-1</f>
        <v>0</v>
      </c>
      <c r="J581" s="116">
        <f>(+IFERROR(VLOOKUP($A581,'[152]BG (2)'!$B$9:$J$570,8,FALSE),0))*1</f>
        <v>0</v>
      </c>
      <c r="K581" s="73">
        <f>(+IFERROR(VLOOKUP($A581,'[152]BG (2)'!$B$9:$J$570,9,FALSE),0))*-1</f>
        <v>0</v>
      </c>
      <c r="L581" s="96"/>
      <c r="M581" s="101"/>
      <c r="P581" s="90">
        <f t="shared" si="35"/>
        <v>0</v>
      </c>
      <c r="R581" s="130"/>
      <c r="S581" s="90"/>
      <c r="T581" s="90">
        <f t="shared" si="37"/>
        <v>0</v>
      </c>
      <c r="U581" s="95"/>
      <c r="V581" s="72"/>
      <c r="W581" s="75" t="e">
        <f>+A581-#REF!</f>
        <v>#REF!</v>
      </c>
      <c r="X581" s="1270"/>
      <c r="Y581" s="91"/>
      <c r="Z581" s="91"/>
      <c r="AA581" s="91"/>
    </row>
    <row r="582" spans="1:27" ht="14.4" customHeight="1" x14ac:dyDescent="0.3">
      <c r="A582" s="1296">
        <v>663800</v>
      </c>
      <c r="B582" s="1296" t="s">
        <v>2316</v>
      </c>
      <c r="C582" t="s">
        <v>594</v>
      </c>
      <c r="D582" s="87" t="str">
        <f t="shared" si="38"/>
        <v>66</v>
      </c>
      <c r="E582" s="92"/>
      <c r="F582" s="93">
        <f>(+IFERROR(VLOOKUP($A582,'[152]BG (2)'!$B$9:$J$570,4,FALSE),0))*1</f>
        <v>0</v>
      </c>
      <c r="G582" s="73">
        <f>(+IFERROR(VLOOKUP($A582,'[152]BG (2)'!$B$9:$J$570,5,FALSE),0))*-1</f>
        <v>0</v>
      </c>
      <c r="H582" s="93">
        <f>(+IFERROR(VLOOKUP($A582,'[152]BG (2)'!$B$9:$J$570,6,FALSE),0))*1</f>
        <v>0</v>
      </c>
      <c r="I582" s="73">
        <f>(+IFERROR(VLOOKUP($A582,'[152]BG (2)'!$B$9:$J$570,7,FALSE),0))*-1</f>
        <v>0</v>
      </c>
      <c r="J582" s="116">
        <f>(+IFERROR(VLOOKUP($A582,'[152]BG (2)'!$B$9:$J$570,8,FALSE),0))*1</f>
        <v>0</v>
      </c>
      <c r="K582" s="73">
        <f>(+IFERROR(VLOOKUP($A582,'[152]BG (2)'!$B$9:$J$570,9,FALSE),0))*-1</f>
        <v>0</v>
      </c>
      <c r="L582" s="96"/>
      <c r="M582" s="101"/>
      <c r="P582" s="90">
        <f t="shared" ref="P582:P645" si="41">J582+K582</f>
        <v>0</v>
      </c>
      <c r="R582" s="130"/>
      <c r="S582" s="90"/>
      <c r="T582" s="90"/>
      <c r="U582" s="95"/>
      <c r="V582" s="72"/>
      <c r="W582" s="75"/>
      <c r="X582" s="1270"/>
      <c r="Y582" s="91"/>
      <c r="Z582" s="91"/>
      <c r="AA582" s="91"/>
    </row>
    <row r="583" spans="1:27" ht="14.4" customHeight="1" x14ac:dyDescent="0.3">
      <c r="A583">
        <v>668000</v>
      </c>
      <c r="B583" t="s">
        <v>627</v>
      </c>
      <c r="C583" t="s">
        <v>594</v>
      </c>
      <c r="D583" s="87" t="str">
        <f t="shared" si="38"/>
        <v>66</v>
      </c>
      <c r="E583" s="92"/>
      <c r="F583" s="93">
        <f>(+IFERROR(VLOOKUP($A583,'[152]BG (2)'!$B$9:$J$570,4,FALSE),0))*1</f>
        <v>0</v>
      </c>
      <c r="G583" s="73">
        <f>(+IFERROR(VLOOKUP($A583,'[152]BG (2)'!$B$9:$J$570,5,FALSE),0))*-1</f>
        <v>0</v>
      </c>
      <c r="H583" s="93">
        <f>(+IFERROR(VLOOKUP($A583,'[152]BG (2)'!$B$9:$J$570,6,FALSE),0))*1</f>
        <v>210552907</v>
      </c>
      <c r="I583" s="73">
        <f>(+IFERROR(VLOOKUP($A583,'[152]BG (2)'!$B$9:$J$570,7,FALSE),0))*-1</f>
        <v>-56618755</v>
      </c>
      <c r="J583" s="1267">
        <f>(+IFERROR(VLOOKUP($A583,'[152]BG (2)'!$B$9:$J$570,8,FALSE),0))*1</f>
        <v>153934152</v>
      </c>
      <c r="K583" s="73">
        <f>(+IFERROR(VLOOKUP($A583,'[152]BG (2)'!$B$9:$J$570,9,FALSE),0))*-1</f>
        <v>0</v>
      </c>
      <c r="L583" s="96"/>
      <c r="M583" s="101"/>
      <c r="P583" s="90">
        <f t="shared" si="41"/>
        <v>153934152</v>
      </c>
      <c r="R583" s="130">
        <f>J583+K583</f>
        <v>153934152</v>
      </c>
      <c r="S583" s="90"/>
      <c r="T583" s="90">
        <f t="shared" si="37"/>
        <v>153934152</v>
      </c>
      <c r="U583" s="95"/>
      <c r="V583" s="72"/>
      <c r="W583" s="75" t="e">
        <f>+A583-#REF!</f>
        <v>#REF!</v>
      </c>
      <c r="X583" s="1270"/>
      <c r="Y583" s="91"/>
      <c r="Z583" s="91"/>
      <c r="AA583" s="91"/>
    </row>
    <row r="584" spans="1:27" ht="14.4" customHeight="1" x14ac:dyDescent="0.3">
      <c r="A584">
        <v>671200</v>
      </c>
      <c r="B584" t="s">
        <v>628</v>
      </c>
      <c r="C584" t="s">
        <v>629</v>
      </c>
      <c r="D584" s="87" t="str">
        <f t="shared" si="38"/>
        <v>67</v>
      </c>
      <c r="E584" s="92"/>
      <c r="F584" s="93">
        <f>(+IFERROR(VLOOKUP($A584,'[152]BG (2)'!$B$9:$J$570,4,FALSE),0))*1</f>
        <v>0</v>
      </c>
      <c r="G584" s="73">
        <f>(+IFERROR(VLOOKUP($A584,'[152]BG (2)'!$B$9:$J$570,5,FALSE),0))*-1</f>
        <v>0</v>
      </c>
      <c r="H584" s="93">
        <f>(+IFERROR(VLOOKUP($A584,'[152]BG (2)'!$B$9:$J$570,6,FALSE),0))*1</f>
        <v>0</v>
      </c>
      <c r="I584" s="73">
        <f>(+IFERROR(VLOOKUP($A584,'[152]BG (2)'!$B$9:$J$570,7,FALSE),0))*-1</f>
        <v>0</v>
      </c>
      <c r="J584" s="89">
        <f>(+IFERROR(VLOOKUP($A584,'[152]BG (2)'!$B$9:$J$570,8,FALSE),0))*1</f>
        <v>0</v>
      </c>
      <c r="K584" s="73">
        <f>(+IFERROR(VLOOKUP($A584,'[152]BG (2)'!$B$9:$J$570,9,FALSE),0))*-1</f>
        <v>0</v>
      </c>
      <c r="L584" s="96"/>
      <c r="M584" s="101"/>
      <c r="P584" s="90">
        <f t="shared" si="41"/>
        <v>0</v>
      </c>
      <c r="R584" s="130">
        <f>J584+K584</f>
        <v>0</v>
      </c>
      <c r="S584" s="90"/>
      <c r="T584" s="90">
        <f t="shared" si="37"/>
        <v>0</v>
      </c>
      <c r="U584" s="95"/>
      <c r="V584" s="72"/>
      <c r="W584" s="75" t="e">
        <f>+A584-#REF!</f>
        <v>#REF!</v>
      </c>
      <c r="X584" s="1270"/>
      <c r="Y584" s="91"/>
      <c r="Z584" s="91"/>
      <c r="AA584" s="91"/>
    </row>
    <row r="585" spans="1:27" ht="14.4" customHeight="1" x14ac:dyDescent="0.3">
      <c r="A585">
        <v>674500</v>
      </c>
      <c r="B585" t="s">
        <v>630</v>
      </c>
      <c r="C585" t="s">
        <v>629</v>
      </c>
      <c r="D585" s="87" t="str">
        <f t="shared" si="38"/>
        <v>67</v>
      </c>
      <c r="E585" s="92"/>
      <c r="F585" s="93">
        <f>(+IFERROR(VLOOKUP($A585,'[152]BG (2)'!$B$9:$J$570,4,FALSE),0))*1</f>
        <v>0</v>
      </c>
      <c r="G585" s="73">
        <f>(+IFERROR(VLOOKUP($A585,'[152]BG (2)'!$B$9:$J$570,5,FALSE),0))*-1</f>
        <v>0</v>
      </c>
      <c r="H585" s="93">
        <f>(+IFERROR(VLOOKUP($A585,'[152]BG (2)'!$B$9:$J$570,6,FALSE),0))*1</f>
        <v>4049127827</v>
      </c>
      <c r="I585" s="73">
        <f>(+IFERROR(VLOOKUP($A585,'[152]BG (2)'!$B$9:$J$570,7,FALSE),0))*-1</f>
        <v>0</v>
      </c>
      <c r="J585" s="89">
        <f>(+IFERROR(VLOOKUP($A585,'[152]BG (2)'!$B$9:$J$570,8,FALSE),0))*1</f>
        <v>4049127827</v>
      </c>
      <c r="K585" s="73">
        <f>(+IFERROR(VLOOKUP($A585,'[152]BG (2)'!$B$9:$J$570,9,FALSE),0))*-1</f>
        <v>0</v>
      </c>
      <c r="L585" s="96"/>
      <c r="M585" s="101"/>
      <c r="P585" s="90">
        <f t="shared" si="41"/>
        <v>4049127827</v>
      </c>
      <c r="R585" s="130">
        <f>J585+K585</f>
        <v>4049127827</v>
      </c>
      <c r="S585" s="90"/>
      <c r="T585" s="90">
        <f t="shared" si="37"/>
        <v>4049127827</v>
      </c>
      <c r="U585" s="95"/>
      <c r="V585" s="72"/>
      <c r="W585" s="75" t="e">
        <f>+A585-#REF!</f>
        <v>#REF!</v>
      </c>
      <c r="X585" s="1270"/>
      <c r="Y585" s="91"/>
      <c r="Z585" s="91"/>
      <c r="AA585" s="91"/>
    </row>
    <row r="586" spans="1:27" ht="14.4" customHeight="1" x14ac:dyDescent="0.3">
      <c r="A586">
        <v>674800</v>
      </c>
      <c r="B586" t="s">
        <v>631</v>
      </c>
      <c r="C586" t="s">
        <v>629</v>
      </c>
      <c r="D586" s="87" t="str">
        <f t="shared" si="38"/>
        <v>67</v>
      </c>
      <c r="E586" s="92"/>
      <c r="F586" s="93">
        <f>(+IFERROR(VLOOKUP($A586,'[152]BG (2)'!$B$9:$J$570,4,FALSE),0))*1</f>
        <v>0</v>
      </c>
      <c r="G586" s="73">
        <f>(+IFERROR(VLOOKUP($A586,'[152]BG (2)'!$B$9:$J$570,5,FALSE),0))*-1</f>
        <v>0</v>
      </c>
      <c r="H586" s="93">
        <f>(+IFERROR(VLOOKUP($A586,'[152]BG (2)'!$B$9:$J$570,6,FALSE),0))*1</f>
        <v>0</v>
      </c>
      <c r="I586" s="73">
        <f>(+IFERROR(VLOOKUP($A586,'[152]BG (2)'!$B$9:$J$570,7,FALSE),0))*-1</f>
        <v>0</v>
      </c>
      <c r="J586" s="89">
        <f>(+IFERROR(VLOOKUP($A586,'[152]BG (2)'!$B$9:$J$570,8,FALSE),0))*1</f>
        <v>0</v>
      </c>
      <c r="K586" s="73">
        <f>(+IFERROR(VLOOKUP($A586,'[152]BG (2)'!$B$9:$J$570,9,FALSE),0))*-1</f>
        <v>0</v>
      </c>
      <c r="L586" s="96"/>
      <c r="M586" s="101"/>
      <c r="P586" s="90">
        <f t="shared" si="41"/>
        <v>0</v>
      </c>
      <c r="R586" s="130">
        <f>J586+K586</f>
        <v>0</v>
      </c>
      <c r="S586" s="90"/>
      <c r="T586" s="90">
        <f t="shared" si="37"/>
        <v>0</v>
      </c>
      <c r="U586" s="95"/>
      <c r="V586" s="72"/>
      <c r="W586" s="75" t="e">
        <f>+A586-#REF!</f>
        <v>#REF!</v>
      </c>
      <c r="X586" s="1270"/>
      <c r="Y586" s="91"/>
      <c r="Z586" s="91"/>
      <c r="AA586" s="91"/>
    </row>
    <row r="587" spans="1:27" ht="14.4" customHeight="1" x14ac:dyDescent="0.3">
      <c r="A587">
        <v>676000</v>
      </c>
      <c r="B587" t="s">
        <v>632</v>
      </c>
      <c r="C587" t="s">
        <v>633</v>
      </c>
      <c r="D587" s="87" t="str">
        <f t="shared" si="38"/>
        <v>67</v>
      </c>
      <c r="E587" s="92"/>
      <c r="F587" s="93">
        <f>(+IFERROR(VLOOKUP($A587,'[152]BG (2)'!$B$9:$J$570,4,FALSE),0))*1</f>
        <v>0</v>
      </c>
      <c r="G587" s="73">
        <f>(+IFERROR(VLOOKUP($A587,'[152]BG (2)'!$B$9:$J$570,5,FALSE),0))*-1</f>
        <v>0</v>
      </c>
      <c r="H587" s="93">
        <f>(+IFERROR(VLOOKUP($A587,'[152]BG (2)'!$B$9:$J$570,6,FALSE),0))*1</f>
        <v>18495122</v>
      </c>
      <c r="I587" s="73">
        <f>(+IFERROR(VLOOKUP($A587,'[152]BG (2)'!$B$9:$J$570,7,FALSE),0))*-1</f>
        <v>-73</v>
      </c>
      <c r="J587" s="89">
        <f>(+IFERROR(VLOOKUP($A587,'[152]BG (2)'!$B$9:$J$570,8,FALSE),0))*1</f>
        <v>18495049</v>
      </c>
      <c r="K587" s="73">
        <f>(+IFERROR(VLOOKUP($A587,'[152]BG (2)'!$B$9:$J$570,9,FALSE),0))*-1</f>
        <v>0</v>
      </c>
      <c r="L587" s="96"/>
      <c r="M587" s="101"/>
      <c r="P587" s="90">
        <f t="shared" si="41"/>
        <v>18495049</v>
      </c>
      <c r="R587" s="130">
        <f>J587+K587</f>
        <v>18495049</v>
      </c>
      <c r="S587" s="90"/>
      <c r="T587" s="90">
        <f t="shared" si="37"/>
        <v>18495049</v>
      </c>
      <c r="U587" s="95"/>
      <c r="V587" s="72"/>
      <c r="W587" s="75" t="e">
        <f>+A587-#REF!</f>
        <v>#REF!</v>
      </c>
      <c r="X587" s="1270"/>
      <c r="Y587" s="91"/>
      <c r="Z587" s="91"/>
      <c r="AA587" s="91"/>
    </row>
    <row r="588" spans="1:27" ht="14.4" customHeight="1" x14ac:dyDescent="0.3">
      <c r="A588" s="126">
        <v>679100</v>
      </c>
      <c r="B588" t="s">
        <v>634</v>
      </c>
      <c r="C588"/>
      <c r="D588" s="87" t="str">
        <f t="shared" si="38"/>
        <v>67</v>
      </c>
      <c r="E588" s="92"/>
      <c r="F588" s="93">
        <f>(+IFERROR(VLOOKUP($A588,'[152]BG (2)'!$B$9:$J$570,4,FALSE),0))*1</f>
        <v>0</v>
      </c>
      <c r="G588" s="73">
        <f>(+IFERROR(VLOOKUP($A588,'[152]BG (2)'!$B$9:$J$570,5,FALSE),0))*-1</f>
        <v>0</v>
      </c>
      <c r="H588" s="93">
        <f>(+IFERROR(VLOOKUP($A588,'[152]BG (2)'!$B$9:$J$570,6,FALSE),0))*1</f>
        <v>79926948</v>
      </c>
      <c r="I588" s="73">
        <f>(+IFERROR(VLOOKUP($A588,'[152]BG (2)'!$B$9:$J$570,7,FALSE),0))*-1</f>
        <v>0</v>
      </c>
      <c r="J588" s="89">
        <f>(+IFERROR(VLOOKUP($A588,'[152]BG (2)'!$B$9:$J$570,8,FALSE),0))*1</f>
        <v>79926948</v>
      </c>
      <c r="K588" s="73">
        <f>(+IFERROR(VLOOKUP($A588,'[152]BG (2)'!$B$9:$J$570,9,FALSE),0))*-1</f>
        <v>0</v>
      </c>
      <c r="L588" s="96"/>
      <c r="M588" s="101"/>
      <c r="P588" s="90">
        <f t="shared" si="41"/>
        <v>79926948</v>
      </c>
      <c r="R588" s="130"/>
      <c r="S588" s="90"/>
      <c r="T588" s="90">
        <f t="shared" si="37"/>
        <v>79926948</v>
      </c>
      <c r="U588" s="95"/>
      <c r="V588" s="72"/>
      <c r="W588" s="75" t="e">
        <f>+A588-#REF!</f>
        <v>#REF!</v>
      </c>
      <c r="X588" s="1270"/>
      <c r="Y588" s="91"/>
      <c r="Z588" s="91"/>
      <c r="AA588" s="91"/>
    </row>
    <row r="589" spans="1:27" ht="14.4" customHeight="1" x14ac:dyDescent="0.3">
      <c r="A589">
        <v>679800</v>
      </c>
      <c r="B589" t="s">
        <v>635</v>
      </c>
      <c r="C589" t="s">
        <v>636</v>
      </c>
      <c r="D589" s="87" t="str">
        <f t="shared" si="38"/>
        <v>67</v>
      </c>
      <c r="E589" s="92"/>
      <c r="F589" s="93">
        <f>(+IFERROR(VLOOKUP($A589,'[152]BG (2)'!$B$9:$J$570,4,FALSE),0))*1</f>
        <v>0</v>
      </c>
      <c r="G589" s="73">
        <f>(+IFERROR(VLOOKUP($A589,'[152]BG (2)'!$B$9:$J$570,5,FALSE),0))*-1</f>
        <v>0</v>
      </c>
      <c r="H589" s="93">
        <f>(+IFERROR(VLOOKUP($A589,'[152]BG (2)'!$B$9:$J$570,6,FALSE),0))*1</f>
        <v>136371772</v>
      </c>
      <c r="I589" s="73">
        <f>(+IFERROR(VLOOKUP($A589,'[152]BG (2)'!$B$9:$J$570,7,FALSE),0))*-1</f>
        <v>-128865117</v>
      </c>
      <c r="J589" s="89">
        <f>(+IFERROR(VLOOKUP($A589,'[152]BG (2)'!$B$9:$J$570,8,FALSE),0))*1</f>
        <v>7506655</v>
      </c>
      <c r="K589" s="73">
        <f>(+IFERROR(VLOOKUP($A589,'[152]BG (2)'!$B$9:$J$570,9,FALSE),0))*-1</f>
        <v>0</v>
      </c>
      <c r="L589" s="96"/>
      <c r="M589" s="101"/>
      <c r="P589" s="90">
        <f t="shared" si="41"/>
        <v>7506655</v>
      </c>
      <c r="R589" s="130">
        <f t="shared" ref="R589:R651" si="42">J589+K589</f>
        <v>7506655</v>
      </c>
      <c r="S589" s="90"/>
      <c r="T589" s="90">
        <f t="shared" ref="T589:T656" si="43">K589+J589</f>
        <v>7506655</v>
      </c>
      <c r="U589" s="95"/>
      <c r="V589" s="72"/>
      <c r="W589" s="75" t="e">
        <f>+A589-#REF!</f>
        <v>#REF!</v>
      </c>
      <c r="X589" s="1270"/>
      <c r="Y589" s="91"/>
      <c r="Z589" s="91"/>
      <c r="AA589" s="91"/>
    </row>
    <row r="590" spans="1:27" ht="14.4" customHeight="1" x14ac:dyDescent="0.3">
      <c r="A590">
        <v>681100</v>
      </c>
      <c r="B590" t="s">
        <v>637</v>
      </c>
      <c r="C590" t="s">
        <v>638</v>
      </c>
      <c r="D590" s="87" t="str">
        <f t="shared" si="38"/>
        <v>68</v>
      </c>
      <c r="E590" s="92"/>
      <c r="F590" s="93">
        <f>(+IFERROR(VLOOKUP($A590,'[152]BG (2)'!$B$9:$J$570,4,FALSE),0))*1</f>
        <v>0</v>
      </c>
      <c r="G590" s="73">
        <f>(+IFERROR(VLOOKUP($A590,'[152]BG (2)'!$B$9:$J$570,5,FALSE),0))*-1</f>
        <v>0</v>
      </c>
      <c r="H590" s="93">
        <f>(+IFERROR(VLOOKUP($A590,'[152]BG (2)'!$B$9:$J$570,6,FALSE),0))*1</f>
        <v>0</v>
      </c>
      <c r="I590" s="73">
        <f>(+IFERROR(VLOOKUP($A590,'[152]BG (2)'!$B$9:$J$570,7,FALSE),0))*-1</f>
        <v>0</v>
      </c>
      <c r="J590" s="125">
        <f>(+IFERROR(VLOOKUP($A590,'[152]BG (2)'!$B$9:$J$570,8,FALSE),0))*1</f>
        <v>0</v>
      </c>
      <c r="K590" s="73">
        <f>(+IFERROR(VLOOKUP($A590,'[152]BG (2)'!$B$9:$J$570,9,FALSE),0))*-1</f>
        <v>0</v>
      </c>
      <c r="L590" s="96" t="s">
        <v>2570</v>
      </c>
      <c r="M590" s="101"/>
      <c r="P590" s="90">
        <f t="shared" si="41"/>
        <v>0</v>
      </c>
      <c r="R590" s="130">
        <f t="shared" si="42"/>
        <v>0</v>
      </c>
      <c r="S590" s="90"/>
      <c r="T590" s="90">
        <f t="shared" si="43"/>
        <v>0</v>
      </c>
      <c r="U590" s="95"/>
      <c r="V590" s="72"/>
      <c r="W590" s="75" t="e">
        <f>+A590-#REF!</f>
        <v>#REF!</v>
      </c>
      <c r="X590" s="1270"/>
      <c r="Y590" s="91"/>
      <c r="Z590" s="91"/>
      <c r="AA590" s="91"/>
    </row>
    <row r="591" spans="1:27" ht="14.4" customHeight="1" x14ac:dyDescent="0.3">
      <c r="A591">
        <v>681221</v>
      </c>
      <c r="B591" t="s">
        <v>639</v>
      </c>
      <c r="C591" t="s">
        <v>640</v>
      </c>
      <c r="D591" s="87" t="str">
        <f t="shared" ref="D591:D654" si="44">+LEFT(A591,2)</f>
        <v>68</v>
      </c>
      <c r="E591" s="92"/>
      <c r="F591" s="93">
        <f>(+IFERROR(VLOOKUP($A591,'[152]BG (2)'!$B$9:$J$570,4,FALSE),0))*1</f>
        <v>0</v>
      </c>
      <c r="G591" s="73">
        <f>(+IFERROR(VLOOKUP($A591,'[152]BG (2)'!$B$9:$J$570,5,FALSE),0))*-1</f>
        <v>0</v>
      </c>
      <c r="H591" s="93">
        <f>(+IFERROR(VLOOKUP($A591,'[152]BG (2)'!$B$9:$J$570,6,FALSE),0))*1</f>
        <v>2555415583</v>
      </c>
      <c r="I591" s="73">
        <f>(+IFERROR(VLOOKUP($A591,'[152]BG (2)'!$B$9:$J$570,7,FALSE),0))*-1</f>
        <v>0</v>
      </c>
      <c r="J591" s="125">
        <f>(+IFERROR(VLOOKUP($A591,'[152]BG (2)'!$B$9:$J$570,8,FALSE),0))*1</f>
        <v>2555415583</v>
      </c>
      <c r="K591" s="73">
        <f>(+IFERROR(VLOOKUP($A591,'[152]BG (2)'!$B$9:$J$570,9,FALSE),0))*-1</f>
        <v>0</v>
      </c>
      <c r="L591" s="96"/>
      <c r="M591" s="101"/>
      <c r="P591" s="90">
        <f t="shared" si="41"/>
        <v>2555415583</v>
      </c>
      <c r="R591" s="130">
        <f t="shared" si="42"/>
        <v>2555415583</v>
      </c>
      <c r="S591" s="90"/>
      <c r="T591" s="90">
        <f t="shared" si="43"/>
        <v>2555415583</v>
      </c>
      <c r="U591" s="95"/>
      <c r="V591" s="72"/>
      <c r="W591" s="75" t="e">
        <f>+A591-#REF!</f>
        <v>#REF!</v>
      </c>
      <c r="X591" s="1270"/>
      <c r="Y591" s="91"/>
      <c r="Z591" s="91"/>
      <c r="AA591" s="91"/>
    </row>
    <row r="592" spans="1:27" ht="14.4" customHeight="1" x14ac:dyDescent="0.3">
      <c r="A592">
        <v>681222</v>
      </c>
      <c r="B592" t="s">
        <v>641</v>
      </c>
      <c r="C592" t="s">
        <v>640</v>
      </c>
      <c r="D592" s="87" t="str">
        <f t="shared" si="44"/>
        <v>68</v>
      </c>
      <c r="E592" s="92"/>
      <c r="F592" s="93">
        <f>(+IFERROR(VLOOKUP($A592,'[152]BG (2)'!$B$9:$J$570,4,FALSE),0))*1</f>
        <v>0</v>
      </c>
      <c r="G592" s="73">
        <f>(+IFERROR(VLOOKUP($A592,'[152]BG (2)'!$B$9:$J$570,5,FALSE),0))*-1</f>
        <v>0</v>
      </c>
      <c r="H592" s="93">
        <f>(+IFERROR(VLOOKUP($A592,'[152]BG (2)'!$B$9:$J$570,6,FALSE),0))*1</f>
        <v>3558750994</v>
      </c>
      <c r="I592" s="73">
        <f>(+IFERROR(VLOOKUP($A592,'[152]BG (2)'!$B$9:$J$570,7,FALSE),0))*-1</f>
        <v>0</v>
      </c>
      <c r="J592" s="125">
        <f>(+IFERROR(VLOOKUP($A592,'[152]BG (2)'!$B$9:$J$570,8,FALSE),0))*1</f>
        <v>3558750994</v>
      </c>
      <c r="K592" s="73">
        <f>(+IFERROR(VLOOKUP($A592,'[152]BG (2)'!$B$9:$J$570,9,FALSE),0))*-1</f>
        <v>0</v>
      </c>
      <c r="L592" s="96"/>
      <c r="M592" s="101"/>
      <c r="P592" s="90">
        <f t="shared" si="41"/>
        <v>3558750994</v>
      </c>
      <c r="R592" s="130">
        <f t="shared" si="42"/>
        <v>3558750994</v>
      </c>
      <c r="S592" s="90"/>
      <c r="T592" s="90">
        <f t="shared" si="43"/>
        <v>3558750994</v>
      </c>
      <c r="U592" s="95"/>
      <c r="V592" s="72"/>
      <c r="W592" s="75" t="e">
        <f>+A592-#REF!</f>
        <v>#REF!</v>
      </c>
      <c r="X592" s="1270"/>
      <c r="Y592" s="91"/>
      <c r="Z592" s="91"/>
      <c r="AA592" s="91"/>
    </row>
    <row r="593" spans="1:27" ht="14.4" customHeight="1" x14ac:dyDescent="0.3">
      <c r="A593">
        <v>681231</v>
      </c>
      <c r="B593" t="s">
        <v>642</v>
      </c>
      <c r="C593" t="s">
        <v>640</v>
      </c>
      <c r="D593" s="87" t="str">
        <f t="shared" si="44"/>
        <v>68</v>
      </c>
      <c r="E593" s="92"/>
      <c r="F593" s="93">
        <f>(+IFERROR(VLOOKUP($A593,'[152]BG (2)'!$B$9:$J$570,4,FALSE),0))*1</f>
        <v>0</v>
      </c>
      <c r="G593" s="73">
        <f>(+IFERROR(VLOOKUP($A593,'[152]BG (2)'!$B$9:$J$570,5,FALSE),0))*-1</f>
        <v>0</v>
      </c>
      <c r="H593" s="93">
        <f>(+IFERROR(VLOOKUP($A593,'[152]BG (2)'!$B$9:$J$570,6,FALSE),0))*1</f>
        <v>1170961072</v>
      </c>
      <c r="I593" s="73">
        <f>(+IFERROR(VLOOKUP($A593,'[152]BG (2)'!$B$9:$J$570,7,FALSE),0))*-1</f>
        <v>0</v>
      </c>
      <c r="J593" s="125">
        <f>(+IFERROR(VLOOKUP($A593,'[152]BG (2)'!$B$9:$J$570,8,FALSE),0))*1</f>
        <v>1170961072</v>
      </c>
      <c r="K593" s="73">
        <f>(+IFERROR(VLOOKUP($A593,'[152]BG (2)'!$B$9:$J$570,9,FALSE),0))*-1</f>
        <v>0</v>
      </c>
      <c r="L593" s="96"/>
      <c r="M593" s="101"/>
      <c r="P593" s="90">
        <f t="shared" si="41"/>
        <v>1170961072</v>
      </c>
      <c r="R593" s="130">
        <f t="shared" si="42"/>
        <v>1170961072</v>
      </c>
      <c r="S593" s="90"/>
      <c r="T593" s="90">
        <f t="shared" si="43"/>
        <v>1170961072</v>
      </c>
      <c r="U593" s="95"/>
      <c r="V593" s="72"/>
      <c r="W593" s="75" t="e">
        <f>+A593-#REF!</f>
        <v>#REF!</v>
      </c>
      <c r="X593" s="1270"/>
      <c r="Y593" s="91"/>
      <c r="Z593" s="91"/>
      <c r="AA593" s="91"/>
    </row>
    <row r="594" spans="1:27" ht="14.4" customHeight="1" x14ac:dyDescent="0.3">
      <c r="A594">
        <v>681232</v>
      </c>
      <c r="B594" t="s">
        <v>643</v>
      </c>
      <c r="C594" t="s">
        <v>640</v>
      </c>
      <c r="D594" s="87" t="str">
        <f t="shared" si="44"/>
        <v>68</v>
      </c>
      <c r="E594" s="92"/>
      <c r="F594" s="93">
        <f>(+IFERROR(VLOOKUP($A594,'[152]BG (2)'!$B$9:$J$570,4,FALSE),0))*1</f>
        <v>0</v>
      </c>
      <c r="G594" s="73">
        <f>(+IFERROR(VLOOKUP($A594,'[152]BG (2)'!$B$9:$J$570,5,FALSE),0))*-1</f>
        <v>0</v>
      </c>
      <c r="H594" s="93">
        <f>(+IFERROR(VLOOKUP($A594,'[152]BG (2)'!$B$9:$J$570,6,FALSE),0))*1</f>
        <v>33979024</v>
      </c>
      <c r="I594" s="73">
        <f>(+IFERROR(VLOOKUP($A594,'[152]BG (2)'!$B$9:$J$570,7,FALSE),0))*-1</f>
        <v>0</v>
      </c>
      <c r="J594" s="125">
        <f>(+IFERROR(VLOOKUP($A594,'[152]BG (2)'!$B$9:$J$570,8,FALSE),0))*1</f>
        <v>33979024</v>
      </c>
      <c r="K594" s="73">
        <f>(+IFERROR(VLOOKUP($A594,'[152]BG (2)'!$B$9:$J$570,9,FALSE),0))*-1</f>
        <v>0</v>
      </c>
      <c r="L594" s="96"/>
      <c r="M594" s="101"/>
      <c r="P594" s="90">
        <f t="shared" si="41"/>
        <v>33979024</v>
      </c>
      <c r="R594" s="130">
        <f t="shared" si="42"/>
        <v>33979024</v>
      </c>
      <c r="S594" s="90"/>
      <c r="T594" s="90">
        <f t="shared" si="43"/>
        <v>33979024</v>
      </c>
      <c r="U594" s="95"/>
      <c r="V594" s="72"/>
      <c r="W594" s="75" t="e">
        <f>+A594-#REF!</f>
        <v>#REF!</v>
      </c>
      <c r="X594" s="1270"/>
      <c r="Y594" s="91"/>
      <c r="Z594" s="91"/>
      <c r="AA594" s="91"/>
    </row>
    <row r="595" spans="1:27" ht="14.4" customHeight="1" x14ac:dyDescent="0.3">
      <c r="A595">
        <v>681310</v>
      </c>
      <c r="B595" t="s">
        <v>644</v>
      </c>
      <c r="C595" t="s">
        <v>645</v>
      </c>
      <c r="D595" s="87" t="str">
        <f t="shared" si="44"/>
        <v>68</v>
      </c>
      <c r="E595" s="92"/>
      <c r="F595" s="93">
        <f>(+IFERROR(VLOOKUP($A595,'[152]BG (2)'!$B$9:$J$570,4,FALSE),0))*1</f>
        <v>0</v>
      </c>
      <c r="G595" s="73">
        <f>(+IFERROR(VLOOKUP($A595,'[152]BG (2)'!$B$9:$J$570,5,FALSE),0))*-1</f>
        <v>0</v>
      </c>
      <c r="H595" s="93">
        <f>(+IFERROR(VLOOKUP($A595,'[152]BG (2)'!$B$9:$J$570,6,FALSE),0))*1</f>
        <v>22697004</v>
      </c>
      <c r="I595" s="73">
        <f>(+IFERROR(VLOOKUP($A595,'[152]BG (2)'!$B$9:$J$570,7,FALSE),0))*-1</f>
        <v>0</v>
      </c>
      <c r="J595" s="1728">
        <f>(+IFERROR(VLOOKUP($A595,'[152]BG (2)'!$B$9:$J$570,8,FALSE),0))*1</f>
        <v>22697004</v>
      </c>
      <c r="K595" s="73">
        <f>(+IFERROR(VLOOKUP($A595,'[152]BG (2)'!$B$9:$J$570,9,FALSE),0))*-1</f>
        <v>0</v>
      </c>
      <c r="L595" s="96"/>
      <c r="M595" s="101"/>
      <c r="P595" s="90">
        <f t="shared" si="41"/>
        <v>22697004</v>
      </c>
      <c r="R595" s="130">
        <f t="shared" si="42"/>
        <v>22697004</v>
      </c>
      <c r="S595" s="90"/>
      <c r="T595" s="90">
        <f t="shared" si="43"/>
        <v>22697004</v>
      </c>
      <c r="U595" s="95"/>
      <c r="V595" s="72"/>
      <c r="W595" s="75" t="e">
        <f>+A595-#REF!</f>
        <v>#REF!</v>
      </c>
      <c r="X595" s="1270"/>
      <c r="Y595" s="91"/>
      <c r="Z595" s="91"/>
      <c r="AA595" s="91"/>
    </row>
    <row r="596" spans="1:27" ht="14.4" customHeight="1" x14ac:dyDescent="0.3">
      <c r="A596">
        <v>681320</v>
      </c>
      <c r="B596" t="s">
        <v>646</v>
      </c>
      <c r="C596" t="s">
        <v>645</v>
      </c>
      <c r="D596" s="87" t="str">
        <f t="shared" si="44"/>
        <v>68</v>
      </c>
      <c r="E596" s="92"/>
      <c r="F596" s="93">
        <f>(+IFERROR(VLOOKUP($A596,'[152]BG (2)'!$B$9:$J$570,4,FALSE),0))*1</f>
        <v>0</v>
      </c>
      <c r="G596" s="73">
        <f>(+IFERROR(VLOOKUP($A596,'[152]BG (2)'!$B$9:$J$570,5,FALSE),0))*-1</f>
        <v>0</v>
      </c>
      <c r="H596" s="93">
        <f>(+IFERROR(VLOOKUP($A596,'[152]BG (2)'!$B$9:$J$570,6,FALSE),0))*1</f>
        <v>1632423351</v>
      </c>
      <c r="I596" s="73">
        <f>(+IFERROR(VLOOKUP($A596,'[152]BG (2)'!$B$9:$J$570,7,FALSE),0))*-1</f>
        <v>0</v>
      </c>
      <c r="J596" s="1728">
        <f>(+IFERROR(VLOOKUP($A596,'[152]BG (2)'!$B$9:$J$570,8,FALSE),0))*1</f>
        <v>1632423351</v>
      </c>
      <c r="K596" s="73">
        <f>(+IFERROR(VLOOKUP($A596,'[152]BG (2)'!$B$9:$J$570,9,FALSE),0))*-1</f>
        <v>0</v>
      </c>
      <c r="L596" s="96"/>
      <c r="M596" s="101"/>
      <c r="P596" s="90">
        <f t="shared" si="41"/>
        <v>1632423351</v>
      </c>
      <c r="R596" s="130">
        <f t="shared" si="42"/>
        <v>1632423351</v>
      </c>
      <c r="S596" s="90"/>
      <c r="T596" s="90">
        <f t="shared" si="43"/>
        <v>1632423351</v>
      </c>
      <c r="U596" s="95"/>
      <c r="V596" s="72"/>
      <c r="W596" s="75" t="e">
        <f>+A596-#REF!</f>
        <v>#REF!</v>
      </c>
      <c r="X596" s="1270"/>
      <c r="Y596" s="91"/>
      <c r="Z596" s="91"/>
      <c r="AA596" s="91"/>
    </row>
    <row r="597" spans="1:27" ht="14.4" customHeight="1" x14ac:dyDescent="0.3">
      <c r="A597">
        <v>681325</v>
      </c>
      <c r="B597" t="s">
        <v>647</v>
      </c>
      <c r="C597" t="s">
        <v>645</v>
      </c>
      <c r="D597" s="87" t="str">
        <f t="shared" si="44"/>
        <v>68</v>
      </c>
      <c r="E597" s="92"/>
      <c r="F597" s="93">
        <f>(+IFERROR(VLOOKUP($A597,'[152]BG (2)'!$B$9:$J$570,4,FALSE),0))*1</f>
        <v>0</v>
      </c>
      <c r="G597" s="73">
        <f>(+IFERROR(VLOOKUP($A597,'[152]BG (2)'!$B$9:$J$570,5,FALSE),0))*-1</f>
        <v>0</v>
      </c>
      <c r="H597" s="93">
        <f>(+IFERROR(VLOOKUP($A597,'[152]BG (2)'!$B$9:$J$570,6,FALSE),0))*1</f>
        <v>34373497</v>
      </c>
      <c r="I597" s="73">
        <f>(+IFERROR(VLOOKUP($A597,'[152]BG (2)'!$B$9:$J$570,7,FALSE),0))*-1</f>
        <v>0</v>
      </c>
      <c r="J597" s="1728">
        <f>(+IFERROR(VLOOKUP($A597,'[152]BG (2)'!$B$9:$J$570,8,FALSE),0))*1</f>
        <v>34373497</v>
      </c>
      <c r="K597" s="73">
        <f>(+IFERROR(VLOOKUP($A597,'[152]BG (2)'!$B$9:$J$570,9,FALSE),0))*-1</f>
        <v>0</v>
      </c>
      <c r="L597" s="96"/>
      <c r="M597" s="101"/>
      <c r="P597" s="90">
        <f t="shared" si="41"/>
        <v>34373497</v>
      </c>
      <c r="R597" s="130">
        <f t="shared" si="42"/>
        <v>34373497</v>
      </c>
      <c r="S597" s="90"/>
      <c r="T597" s="90">
        <f t="shared" si="43"/>
        <v>34373497</v>
      </c>
      <c r="U597" s="95"/>
      <c r="V597" s="72"/>
      <c r="W597" s="75" t="e">
        <f>+A597-#REF!</f>
        <v>#REF!</v>
      </c>
      <c r="X597" s="1270"/>
      <c r="Y597" s="91"/>
      <c r="Z597" s="91"/>
      <c r="AA597" s="91"/>
    </row>
    <row r="598" spans="1:27" ht="14.4" customHeight="1" x14ac:dyDescent="0.3">
      <c r="A598">
        <v>681330</v>
      </c>
      <c r="B598" t="s">
        <v>648</v>
      </c>
      <c r="C598" t="s">
        <v>645</v>
      </c>
      <c r="D598" s="87" t="str">
        <f t="shared" si="44"/>
        <v>68</v>
      </c>
      <c r="E598" s="92"/>
      <c r="F598" s="93">
        <f>(+IFERROR(VLOOKUP($A598,'[152]BG (2)'!$B$9:$J$570,4,FALSE),0))*1</f>
        <v>0</v>
      </c>
      <c r="G598" s="73">
        <f>(+IFERROR(VLOOKUP($A598,'[152]BG (2)'!$B$9:$J$570,5,FALSE),0))*-1</f>
        <v>0</v>
      </c>
      <c r="H598" s="93">
        <f>(+IFERROR(VLOOKUP($A598,'[152]BG (2)'!$B$9:$J$570,6,FALSE),0))*1</f>
        <v>32410560</v>
      </c>
      <c r="I598" s="73">
        <f>(+IFERROR(VLOOKUP($A598,'[152]BG (2)'!$B$9:$J$570,7,FALSE),0))*-1</f>
        <v>0</v>
      </c>
      <c r="J598" s="1728">
        <f>(+IFERROR(VLOOKUP($A598,'[152]BG (2)'!$B$9:$J$570,8,FALSE),0))*1</f>
        <v>32410560</v>
      </c>
      <c r="K598" s="73">
        <f>(+IFERROR(VLOOKUP($A598,'[152]BG (2)'!$B$9:$J$570,9,FALSE),0))*-1</f>
        <v>0</v>
      </c>
      <c r="L598" s="96"/>
      <c r="M598" s="101"/>
      <c r="P598" s="90">
        <f t="shared" si="41"/>
        <v>32410560</v>
      </c>
      <c r="R598" s="130">
        <f t="shared" si="42"/>
        <v>32410560</v>
      </c>
      <c r="S598" s="90"/>
      <c r="T598" s="90">
        <f t="shared" si="43"/>
        <v>32410560</v>
      </c>
      <c r="U598" s="95"/>
      <c r="V598" s="72"/>
      <c r="W598" s="75" t="e">
        <f>+A598-#REF!</f>
        <v>#REF!</v>
      </c>
      <c r="X598" s="1270"/>
      <c r="Y598" s="91"/>
      <c r="Z598" s="91"/>
      <c r="AA598" s="91"/>
    </row>
    <row r="599" spans="1:27" ht="14.4" customHeight="1" x14ac:dyDescent="0.3">
      <c r="A599">
        <v>681335</v>
      </c>
      <c r="B599" t="s">
        <v>649</v>
      </c>
      <c r="C599" t="s">
        <v>645</v>
      </c>
      <c r="D599" s="87" t="str">
        <f t="shared" si="44"/>
        <v>68</v>
      </c>
      <c r="E599" s="92"/>
      <c r="F599" s="93">
        <f>(+IFERROR(VLOOKUP($A599,'[152]BG (2)'!$B$9:$J$570,4,FALSE),0))*1</f>
        <v>0</v>
      </c>
      <c r="G599" s="73">
        <f>(+IFERROR(VLOOKUP($A599,'[152]BG (2)'!$B$9:$J$570,5,FALSE),0))*-1</f>
        <v>0</v>
      </c>
      <c r="H599" s="93">
        <f>(+IFERROR(VLOOKUP($A599,'[152]BG (2)'!$B$9:$J$570,6,FALSE),0))*1</f>
        <v>864671339</v>
      </c>
      <c r="I599" s="73">
        <f>(+IFERROR(VLOOKUP($A599,'[152]BG (2)'!$B$9:$J$570,7,FALSE),0))*-1</f>
        <v>0</v>
      </c>
      <c r="J599" s="1728">
        <f>(+IFERROR(VLOOKUP($A599,'[152]BG (2)'!$B$9:$J$570,8,FALSE),0))*1</f>
        <v>864671339</v>
      </c>
      <c r="K599" s="73">
        <f>(+IFERROR(VLOOKUP($A599,'[152]BG (2)'!$B$9:$J$570,9,FALSE),0))*-1</f>
        <v>0</v>
      </c>
      <c r="L599" s="96"/>
      <c r="M599" s="101"/>
      <c r="P599" s="90">
        <f t="shared" si="41"/>
        <v>864671339</v>
      </c>
      <c r="R599" s="130">
        <f t="shared" si="42"/>
        <v>864671339</v>
      </c>
      <c r="S599" s="90"/>
      <c r="T599" s="90">
        <f t="shared" si="43"/>
        <v>864671339</v>
      </c>
      <c r="U599" s="95"/>
      <c r="V599" s="72"/>
      <c r="W599" s="75" t="e">
        <f>+A599-#REF!</f>
        <v>#REF!</v>
      </c>
      <c r="X599" s="1270"/>
      <c r="Y599" s="91"/>
      <c r="Z599" s="91"/>
      <c r="AA599" s="91"/>
    </row>
    <row r="600" spans="1:27" ht="14.4" customHeight="1" x14ac:dyDescent="0.3">
      <c r="A600">
        <v>681340</v>
      </c>
      <c r="B600" t="s">
        <v>650</v>
      </c>
      <c r="C600" t="s">
        <v>645</v>
      </c>
      <c r="D600" s="87" t="str">
        <f t="shared" si="44"/>
        <v>68</v>
      </c>
      <c r="E600" s="92"/>
      <c r="F600" s="93">
        <f>(+IFERROR(VLOOKUP($A600,'[152]BG (2)'!$B$9:$J$570,4,FALSE),0))*1</f>
        <v>0</v>
      </c>
      <c r="G600" s="73">
        <f>(+IFERROR(VLOOKUP($A600,'[152]BG (2)'!$B$9:$J$570,5,FALSE),0))*-1</f>
        <v>0</v>
      </c>
      <c r="H600" s="93">
        <f>(+IFERROR(VLOOKUP($A600,'[152]BG (2)'!$B$9:$J$570,6,FALSE),0))*1</f>
        <v>0</v>
      </c>
      <c r="I600" s="73">
        <f>(+IFERROR(VLOOKUP($A600,'[152]BG (2)'!$B$9:$J$570,7,FALSE),0))*-1</f>
        <v>0</v>
      </c>
      <c r="J600" s="1728">
        <f>(+IFERROR(VLOOKUP($A600,'[152]BG (2)'!$B$9:$J$570,8,FALSE),0))*1</f>
        <v>0</v>
      </c>
      <c r="K600" s="73">
        <f>(+IFERROR(VLOOKUP($A600,'[152]BG (2)'!$B$9:$J$570,9,FALSE),0))*-1</f>
        <v>0</v>
      </c>
      <c r="L600" s="96"/>
      <c r="M600" s="101"/>
      <c r="P600" s="90">
        <f t="shared" si="41"/>
        <v>0</v>
      </c>
      <c r="R600" s="130">
        <f t="shared" si="42"/>
        <v>0</v>
      </c>
      <c r="S600" s="90"/>
      <c r="T600" s="90">
        <f t="shared" si="43"/>
        <v>0</v>
      </c>
      <c r="U600" s="95"/>
      <c r="V600" s="72"/>
      <c r="W600" s="75" t="e">
        <f>+A600-#REF!</f>
        <v>#REF!</v>
      </c>
      <c r="X600" s="1270"/>
      <c r="Y600" s="91"/>
      <c r="Z600" s="91"/>
      <c r="AA600" s="91"/>
    </row>
    <row r="601" spans="1:27" ht="14.4" customHeight="1" x14ac:dyDescent="0.3">
      <c r="A601">
        <v>681345</v>
      </c>
      <c r="B601" t="s">
        <v>651</v>
      </c>
      <c r="C601" t="s">
        <v>645</v>
      </c>
      <c r="D601" s="87" t="str">
        <f t="shared" si="44"/>
        <v>68</v>
      </c>
      <c r="E601" s="92"/>
      <c r="F601" s="93">
        <f>(+IFERROR(VLOOKUP($A601,'[152]BG (2)'!$B$9:$J$570,4,FALSE),0))*1</f>
        <v>0</v>
      </c>
      <c r="G601" s="73">
        <f>(+IFERROR(VLOOKUP($A601,'[152]BG (2)'!$B$9:$J$570,5,FALSE),0))*-1</f>
        <v>0</v>
      </c>
      <c r="H601" s="93">
        <f>(+IFERROR(VLOOKUP($A601,'[152]BG (2)'!$B$9:$J$570,6,FALSE),0))*1</f>
        <v>1031263437</v>
      </c>
      <c r="I601" s="73">
        <f>(+IFERROR(VLOOKUP($A601,'[152]BG (2)'!$B$9:$J$570,7,FALSE),0))*-1</f>
        <v>0</v>
      </c>
      <c r="J601" s="1728">
        <f>(+IFERROR(VLOOKUP($A601,'[152]BG (2)'!$B$9:$J$570,8,FALSE),0))*1</f>
        <v>1031263437</v>
      </c>
      <c r="K601" s="73">
        <f>(+IFERROR(VLOOKUP($A601,'[152]BG (2)'!$B$9:$J$570,9,FALSE),0))*-1</f>
        <v>0</v>
      </c>
      <c r="L601" s="96"/>
      <c r="M601" s="101"/>
      <c r="P601" s="90">
        <f t="shared" si="41"/>
        <v>1031263437</v>
      </c>
      <c r="R601" s="130">
        <f t="shared" si="42"/>
        <v>1031263437</v>
      </c>
      <c r="S601" s="90"/>
      <c r="T601" s="90">
        <f t="shared" si="43"/>
        <v>1031263437</v>
      </c>
      <c r="U601" s="95"/>
      <c r="V601" s="72"/>
      <c r="W601" s="75" t="e">
        <f>+A601-#REF!</f>
        <v>#REF!</v>
      </c>
      <c r="X601" s="1270"/>
      <c r="Y601" s="91"/>
      <c r="Z601" s="91"/>
      <c r="AA601" s="91"/>
    </row>
    <row r="602" spans="1:27" ht="14.4" customHeight="1" x14ac:dyDescent="0.3">
      <c r="A602">
        <v>681350</v>
      </c>
      <c r="B602" t="s">
        <v>652</v>
      </c>
      <c r="C602" t="s">
        <v>645</v>
      </c>
      <c r="D602" s="87" t="str">
        <f t="shared" si="44"/>
        <v>68</v>
      </c>
      <c r="E602" s="92"/>
      <c r="F602" s="93">
        <f>(+IFERROR(VLOOKUP($A602,'[152]BG (2)'!$B$9:$J$570,4,FALSE),0))*1</f>
        <v>0</v>
      </c>
      <c r="G602" s="73">
        <f>(+IFERROR(VLOOKUP($A602,'[152]BG (2)'!$B$9:$J$570,5,FALSE),0))*-1</f>
        <v>0</v>
      </c>
      <c r="H602" s="93">
        <f>(+IFERROR(VLOOKUP($A602,'[152]BG (2)'!$B$9:$J$570,6,FALSE),0))*1</f>
        <v>2876439751</v>
      </c>
      <c r="I602" s="73">
        <f>(+IFERROR(VLOOKUP($A602,'[152]BG (2)'!$B$9:$J$570,7,FALSE),0))*-1</f>
        <v>0</v>
      </c>
      <c r="J602" s="1728">
        <f>(+IFERROR(VLOOKUP($A602,'[152]BG (2)'!$B$9:$J$570,8,FALSE),0))*1</f>
        <v>2876439751</v>
      </c>
      <c r="K602" s="73">
        <f>(+IFERROR(VLOOKUP($A602,'[152]BG (2)'!$B$9:$J$570,9,FALSE),0))*-1</f>
        <v>0</v>
      </c>
      <c r="L602" s="96"/>
      <c r="M602" s="101"/>
      <c r="P602" s="90">
        <f t="shared" si="41"/>
        <v>2876439751</v>
      </c>
      <c r="R602" s="130">
        <f t="shared" si="42"/>
        <v>2876439751</v>
      </c>
      <c r="S602" s="90"/>
      <c r="T602" s="90">
        <f t="shared" si="43"/>
        <v>2876439751</v>
      </c>
      <c r="U602" s="95"/>
      <c r="V602" s="72"/>
      <c r="W602" s="75" t="e">
        <f>+A602-#REF!</f>
        <v>#REF!</v>
      </c>
      <c r="X602" s="1270"/>
      <c r="Y602" s="91"/>
      <c r="Z602" s="91"/>
      <c r="AA602" s="91"/>
    </row>
    <row r="603" spans="1:27" ht="14.4" customHeight="1" x14ac:dyDescent="0.3">
      <c r="A603">
        <v>681355</v>
      </c>
      <c r="B603" t="s">
        <v>653</v>
      </c>
      <c r="C603" t="s">
        <v>645</v>
      </c>
      <c r="D603" s="87" t="str">
        <f t="shared" si="44"/>
        <v>68</v>
      </c>
      <c r="E603" s="92"/>
      <c r="F603" s="93">
        <f>(+IFERROR(VLOOKUP($A603,'[152]BG (2)'!$B$9:$J$570,4,FALSE),0))*1</f>
        <v>0</v>
      </c>
      <c r="G603" s="73">
        <f>(+IFERROR(VLOOKUP($A603,'[152]BG (2)'!$B$9:$J$570,5,FALSE),0))*-1</f>
        <v>0</v>
      </c>
      <c r="H603" s="93">
        <f>(+IFERROR(VLOOKUP($A603,'[152]BG (2)'!$B$9:$J$570,6,FALSE),0))*1</f>
        <v>1398159653</v>
      </c>
      <c r="I603" s="73">
        <f>(+IFERROR(VLOOKUP($A603,'[152]BG (2)'!$B$9:$J$570,7,FALSE),0))*-1</f>
        <v>0</v>
      </c>
      <c r="J603" s="1728">
        <f>(+IFERROR(VLOOKUP($A603,'[152]BG (2)'!$B$9:$J$570,8,FALSE),0))*1</f>
        <v>1398159653</v>
      </c>
      <c r="K603" s="73">
        <f>(+IFERROR(VLOOKUP($A603,'[152]BG (2)'!$B$9:$J$570,9,FALSE),0))*-1</f>
        <v>0</v>
      </c>
      <c r="L603" s="96"/>
      <c r="M603" s="101"/>
      <c r="P603" s="90">
        <f t="shared" si="41"/>
        <v>1398159653</v>
      </c>
      <c r="R603" s="130">
        <f t="shared" si="42"/>
        <v>1398159653</v>
      </c>
      <c r="S603" s="90"/>
      <c r="T603" s="90">
        <f t="shared" si="43"/>
        <v>1398159653</v>
      </c>
      <c r="U603" s="95"/>
      <c r="V603" s="72"/>
      <c r="W603" s="75" t="e">
        <f>+A603-#REF!</f>
        <v>#REF!</v>
      </c>
      <c r="X603" s="1270"/>
      <c r="Y603" s="91"/>
      <c r="Z603" s="91"/>
      <c r="AA603" s="91"/>
    </row>
    <row r="604" spans="1:27" ht="14.4" customHeight="1" x14ac:dyDescent="0.3">
      <c r="A604">
        <v>681360</v>
      </c>
      <c r="B604" t="s">
        <v>654</v>
      </c>
      <c r="C604" t="s">
        <v>645</v>
      </c>
      <c r="D604" s="87" t="str">
        <f t="shared" si="44"/>
        <v>68</v>
      </c>
      <c r="E604" s="92"/>
      <c r="F604" s="93">
        <f>(+IFERROR(VLOOKUP($A604,'[152]BG (2)'!$B$9:$J$570,4,FALSE),0))*1</f>
        <v>0</v>
      </c>
      <c r="G604" s="73">
        <f>(+IFERROR(VLOOKUP($A604,'[152]BG (2)'!$B$9:$J$570,5,FALSE),0))*-1</f>
        <v>0</v>
      </c>
      <c r="H604" s="93">
        <f>(+IFERROR(VLOOKUP($A604,'[152]BG (2)'!$B$9:$J$570,6,FALSE),0))*1</f>
        <v>1030078730</v>
      </c>
      <c r="I604" s="73">
        <f>(+IFERROR(VLOOKUP($A604,'[152]BG (2)'!$B$9:$J$570,7,FALSE),0))*-1</f>
        <v>0</v>
      </c>
      <c r="J604" s="1728">
        <f>(+IFERROR(VLOOKUP($A604,'[152]BG (2)'!$B$9:$J$570,8,FALSE),0))*1</f>
        <v>1030078730</v>
      </c>
      <c r="K604" s="73">
        <f>(+IFERROR(VLOOKUP($A604,'[152]BG (2)'!$B$9:$J$570,9,FALSE),0))*-1</f>
        <v>0</v>
      </c>
      <c r="L604" s="96"/>
      <c r="M604" s="101"/>
      <c r="P604" s="90">
        <f t="shared" si="41"/>
        <v>1030078730</v>
      </c>
      <c r="R604" s="130">
        <f t="shared" si="42"/>
        <v>1030078730</v>
      </c>
      <c r="S604" s="90"/>
      <c r="T604" s="90">
        <f t="shared" si="43"/>
        <v>1030078730</v>
      </c>
      <c r="U604" s="95"/>
      <c r="V604" s="72"/>
      <c r="W604" s="75" t="e">
        <f>+A604-#REF!</f>
        <v>#REF!</v>
      </c>
      <c r="X604" s="1270"/>
      <c r="Y604" s="91"/>
      <c r="Z604" s="91"/>
      <c r="AA604" s="91"/>
    </row>
    <row r="605" spans="1:27" ht="14.4" customHeight="1" x14ac:dyDescent="0.3">
      <c r="A605">
        <v>681365</v>
      </c>
      <c r="B605" t="s">
        <v>655</v>
      </c>
      <c r="C605" t="s">
        <v>645</v>
      </c>
      <c r="D605" s="87" t="str">
        <f t="shared" si="44"/>
        <v>68</v>
      </c>
      <c r="E605" s="92"/>
      <c r="F605" s="93">
        <f>(+IFERROR(VLOOKUP($A605,'[152]BG (2)'!$B$9:$J$570,4,FALSE),0))*1</f>
        <v>0</v>
      </c>
      <c r="G605" s="73">
        <f>(+IFERROR(VLOOKUP($A605,'[152]BG (2)'!$B$9:$J$570,5,FALSE),0))*-1</f>
        <v>0</v>
      </c>
      <c r="H605" s="93">
        <f>(+IFERROR(VLOOKUP($A605,'[152]BG (2)'!$B$9:$J$570,6,FALSE),0))*1</f>
        <v>136169</v>
      </c>
      <c r="I605" s="73">
        <f>(+IFERROR(VLOOKUP($A605,'[152]BG (2)'!$B$9:$J$570,7,FALSE),0))*-1</f>
        <v>0</v>
      </c>
      <c r="J605" s="1728">
        <f>(+IFERROR(VLOOKUP($A605,'[152]BG (2)'!$B$9:$J$570,8,FALSE),0))*1</f>
        <v>136169</v>
      </c>
      <c r="K605" s="73">
        <f>(+IFERROR(VLOOKUP($A605,'[152]BG (2)'!$B$9:$J$570,9,FALSE),0))*-1</f>
        <v>0</v>
      </c>
      <c r="L605" s="96"/>
      <c r="M605" s="101"/>
      <c r="P605" s="90">
        <f t="shared" si="41"/>
        <v>136169</v>
      </c>
      <c r="R605" s="130">
        <f t="shared" si="42"/>
        <v>136169</v>
      </c>
      <c r="S605" s="90"/>
      <c r="T605" s="90">
        <f t="shared" si="43"/>
        <v>136169</v>
      </c>
      <c r="U605" s="95"/>
      <c r="V605" s="72"/>
      <c r="W605" s="75" t="e">
        <f>+A605-#REF!</f>
        <v>#REF!</v>
      </c>
      <c r="X605" s="1270"/>
      <c r="Y605" s="91"/>
      <c r="Z605" s="91"/>
      <c r="AA605" s="91"/>
    </row>
    <row r="606" spans="1:27" ht="14.4" customHeight="1" x14ac:dyDescent="0.3">
      <c r="A606">
        <v>681370</v>
      </c>
      <c r="B606" t="s">
        <v>656</v>
      </c>
      <c r="C606" t="s">
        <v>645</v>
      </c>
      <c r="D606" s="87" t="str">
        <f t="shared" si="44"/>
        <v>68</v>
      </c>
      <c r="E606" s="92"/>
      <c r="F606" s="93">
        <f>(+IFERROR(VLOOKUP($A606,'[152]BG (2)'!$B$9:$J$570,4,FALSE),0))*1</f>
        <v>0</v>
      </c>
      <c r="G606" s="73">
        <f>(+IFERROR(VLOOKUP($A606,'[152]BG (2)'!$B$9:$J$570,5,FALSE),0))*-1</f>
        <v>0</v>
      </c>
      <c r="H606" s="93">
        <f>(+IFERROR(VLOOKUP($A606,'[152]BG (2)'!$B$9:$J$570,6,FALSE),0))*1</f>
        <v>12872706</v>
      </c>
      <c r="I606" s="73">
        <f>(+IFERROR(VLOOKUP($A606,'[152]BG (2)'!$B$9:$J$570,7,FALSE),0))*-1</f>
        <v>0</v>
      </c>
      <c r="J606" s="1728">
        <f>(+IFERROR(VLOOKUP($A606,'[152]BG (2)'!$B$9:$J$570,8,FALSE),0))*1</f>
        <v>12872706</v>
      </c>
      <c r="K606" s="73">
        <f>(+IFERROR(VLOOKUP($A606,'[152]BG (2)'!$B$9:$J$570,9,FALSE),0))*-1</f>
        <v>0</v>
      </c>
      <c r="L606" s="96"/>
      <c r="M606" s="101"/>
      <c r="P606" s="90">
        <f t="shared" si="41"/>
        <v>12872706</v>
      </c>
      <c r="R606" s="130">
        <f t="shared" si="42"/>
        <v>12872706</v>
      </c>
      <c r="S606" s="90"/>
      <c r="T606" s="90">
        <f t="shared" si="43"/>
        <v>12872706</v>
      </c>
      <c r="U606" s="95"/>
      <c r="V606" s="72"/>
      <c r="W606" s="75" t="e">
        <f>+A606-#REF!</f>
        <v>#REF!</v>
      </c>
      <c r="X606" s="1270"/>
      <c r="Y606" s="91"/>
      <c r="Z606" s="91"/>
      <c r="AA606" s="91"/>
    </row>
    <row r="607" spans="1:27" ht="14.4" customHeight="1" x14ac:dyDescent="0.3">
      <c r="A607">
        <v>681375</v>
      </c>
      <c r="B607" t="s">
        <v>657</v>
      </c>
      <c r="C607" t="s">
        <v>645</v>
      </c>
      <c r="D607" s="87" t="str">
        <f t="shared" si="44"/>
        <v>68</v>
      </c>
      <c r="E607" s="92"/>
      <c r="F607" s="93">
        <f>(+IFERROR(VLOOKUP($A607,'[152]BG (2)'!$B$9:$J$570,4,FALSE),0))*1</f>
        <v>0</v>
      </c>
      <c r="G607" s="73">
        <f>(+IFERROR(VLOOKUP($A607,'[152]BG (2)'!$B$9:$J$570,5,FALSE),0))*-1</f>
        <v>0</v>
      </c>
      <c r="H607" s="93">
        <f>(+IFERROR(VLOOKUP($A607,'[152]BG (2)'!$B$9:$J$570,6,FALSE),0))*1</f>
        <v>907069154</v>
      </c>
      <c r="I607" s="73">
        <f>(+IFERROR(VLOOKUP($A607,'[152]BG (2)'!$B$9:$J$570,7,FALSE),0))*-1</f>
        <v>0</v>
      </c>
      <c r="J607" s="1728">
        <f>(+IFERROR(VLOOKUP($A607,'[152]BG (2)'!$B$9:$J$570,8,FALSE),0))*1</f>
        <v>907069154</v>
      </c>
      <c r="K607" s="73">
        <f>(+IFERROR(VLOOKUP($A607,'[152]BG (2)'!$B$9:$J$570,9,FALSE),0))*-1</f>
        <v>0</v>
      </c>
      <c r="L607" s="96"/>
      <c r="M607" s="101"/>
      <c r="P607" s="90">
        <f t="shared" si="41"/>
        <v>907069154</v>
      </c>
      <c r="R607" s="130">
        <f t="shared" si="42"/>
        <v>907069154</v>
      </c>
      <c r="S607" s="90"/>
      <c r="T607" s="90">
        <f t="shared" si="43"/>
        <v>907069154</v>
      </c>
      <c r="U607" s="95"/>
      <c r="V607" s="72"/>
      <c r="W607" s="75" t="e">
        <f>+A607-#REF!</f>
        <v>#REF!</v>
      </c>
      <c r="X607" s="1270"/>
      <c r="Y607" s="91"/>
      <c r="Z607" s="91"/>
      <c r="AA607" s="91"/>
    </row>
    <row r="608" spans="1:27" ht="14.4" customHeight="1" x14ac:dyDescent="0.3">
      <c r="A608">
        <v>681380</v>
      </c>
      <c r="B608" t="s">
        <v>658</v>
      </c>
      <c r="C608" t="s">
        <v>645</v>
      </c>
      <c r="D608" s="87" t="str">
        <f t="shared" si="44"/>
        <v>68</v>
      </c>
      <c r="E608" s="92"/>
      <c r="F608" s="93">
        <f>(+IFERROR(VLOOKUP($A608,'[152]BG (2)'!$B$9:$J$570,4,FALSE),0))*1</f>
        <v>0</v>
      </c>
      <c r="G608" s="73">
        <f>(+IFERROR(VLOOKUP($A608,'[152]BG (2)'!$B$9:$J$570,5,FALSE),0))*-1</f>
        <v>0</v>
      </c>
      <c r="H608" s="93">
        <f>(+IFERROR(VLOOKUP($A608,'[152]BG (2)'!$B$9:$J$570,6,FALSE),0))*1</f>
        <v>27316165</v>
      </c>
      <c r="I608" s="73">
        <f>(+IFERROR(VLOOKUP($A608,'[152]BG (2)'!$B$9:$J$570,7,FALSE),0))*-1</f>
        <v>0</v>
      </c>
      <c r="J608" s="1728">
        <f>(+IFERROR(VLOOKUP($A608,'[152]BG (2)'!$B$9:$J$570,8,FALSE),0))*1</f>
        <v>27316165</v>
      </c>
      <c r="K608" s="73">
        <f>(+IFERROR(VLOOKUP($A608,'[152]BG (2)'!$B$9:$J$570,9,FALSE),0))*-1</f>
        <v>0</v>
      </c>
      <c r="L608" s="96"/>
      <c r="M608" s="101"/>
      <c r="P608" s="90">
        <f t="shared" si="41"/>
        <v>27316165</v>
      </c>
      <c r="R608" s="130">
        <f t="shared" si="42"/>
        <v>27316165</v>
      </c>
      <c r="S608" s="90"/>
      <c r="T608" s="90">
        <f t="shared" si="43"/>
        <v>27316165</v>
      </c>
      <c r="U608" s="95"/>
      <c r="V608" s="72"/>
      <c r="W608" s="75" t="e">
        <f>+A608-#REF!</f>
        <v>#REF!</v>
      </c>
      <c r="X608" s="1270"/>
      <c r="Y608" s="91"/>
      <c r="Z608" s="91"/>
      <c r="AA608" s="91"/>
    </row>
    <row r="609" spans="1:27" ht="14.4" customHeight="1" x14ac:dyDescent="0.3">
      <c r="A609">
        <v>681385</v>
      </c>
      <c r="B609" t="s">
        <v>659</v>
      </c>
      <c r="C609" t="s">
        <v>645</v>
      </c>
      <c r="D609" s="87" t="str">
        <f t="shared" si="44"/>
        <v>68</v>
      </c>
      <c r="E609" s="92"/>
      <c r="F609" s="93">
        <f>(+IFERROR(VLOOKUP($A609,'[152]BG (2)'!$B$9:$J$570,4,FALSE),0))*1</f>
        <v>0</v>
      </c>
      <c r="G609" s="73">
        <f>(+IFERROR(VLOOKUP($A609,'[152]BG (2)'!$B$9:$J$570,5,FALSE),0))*-1</f>
        <v>0</v>
      </c>
      <c r="H609" s="93">
        <f>(+IFERROR(VLOOKUP($A609,'[152]BG (2)'!$B$9:$J$570,6,FALSE),0))*1</f>
        <v>17066571</v>
      </c>
      <c r="I609" s="73">
        <f>(+IFERROR(VLOOKUP($A609,'[152]BG (2)'!$B$9:$J$570,7,FALSE),0))*-1</f>
        <v>0</v>
      </c>
      <c r="J609" s="1728">
        <f>(+IFERROR(VLOOKUP($A609,'[152]BG (2)'!$B$9:$J$570,8,FALSE),0))*1</f>
        <v>17066571</v>
      </c>
      <c r="K609" s="73">
        <f>(+IFERROR(VLOOKUP($A609,'[152]BG (2)'!$B$9:$J$570,9,FALSE),0))*-1</f>
        <v>0</v>
      </c>
      <c r="L609" s="96"/>
      <c r="M609" s="101"/>
      <c r="P609" s="90">
        <f t="shared" si="41"/>
        <v>17066571</v>
      </c>
      <c r="R609" s="130">
        <f t="shared" si="42"/>
        <v>17066571</v>
      </c>
      <c r="S609" s="90"/>
      <c r="T609" s="90">
        <f t="shared" si="43"/>
        <v>17066571</v>
      </c>
      <c r="U609" s="95"/>
      <c r="V609" s="72"/>
      <c r="W609" s="75" t="e">
        <f>+A609-#REF!</f>
        <v>#REF!</v>
      </c>
      <c r="X609" s="1270"/>
      <c r="Y609" s="91"/>
      <c r="Z609" s="91"/>
      <c r="AA609" s="91"/>
    </row>
    <row r="610" spans="1:27" ht="14.4" customHeight="1" x14ac:dyDescent="0.3">
      <c r="A610">
        <v>681390</v>
      </c>
      <c r="B610" t="s">
        <v>660</v>
      </c>
      <c r="C610" t="s">
        <v>645</v>
      </c>
      <c r="D610" s="87" t="str">
        <f t="shared" si="44"/>
        <v>68</v>
      </c>
      <c r="E610" s="92"/>
      <c r="F610" s="93">
        <f>(+IFERROR(VLOOKUP($A610,'[152]BG (2)'!$B$9:$J$570,4,FALSE),0))*1</f>
        <v>0</v>
      </c>
      <c r="G610" s="73">
        <f>(+IFERROR(VLOOKUP($A610,'[152]BG (2)'!$B$9:$J$570,5,FALSE),0))*-1</f>
        <v>0</v>
      </c>
      <c r="H610" s="93">
        <f>(+IFERROR(VLOOKUP($A610,'[152]BG (2)'!$B$9:$J$570,6,FALSE),0))*1</f>
        <v>1007466</v>
      </c>
      <c r="I610" s="73">
        <f>(+IFERROR(VLOOKUP($A610,'[152]BG (2)'!$B$9:$J$570,7,FALSE),0))*-1</f>
        <v>0</v>
      </c>
      <c r="J610" s="1728">
        <f>(+IFERROR(VLOOKUP($A610,'[152]BG (2)'!$B$9:$J$570,8,FALSE),0))*1</f>
        <v>1007466</v>
      </c>
      <c r="K610" s="73">
        <f>(+IFERROR(VLOOKUP($A610,'[152]BG (2)'!$B$9:$J$570,9,FALSE),0))*-1</f>
        <v>0</v>
      </c>
      <c r="L610" s="96"/>
      <c r="M610" s="101"/>
      <c r="P610" s="90">
        <f t="shared" si="41"/>
        <v>1007466</v>
      </c>
      <c r="R610" s="130">
        <f t="shared" si="42"/>
        <v>1007466</v>
      </c>
      <c r="S610" s="90"/>
      <c r="T610" s="90">
        <f t="shared" si="43"/>
        <v>1007466</v>
      </c>
      <c r="U610" s="95"/>
      <c r="V610" s="72"/>
      <c r="W610" s="75" t="e">
        <f>+A610-#REF!</f>
        <v>#REF!</v>
      </c>
      <c r="X610" s="1270"/>
      <c r="Y610" s="91"/>
      <c r="Z610" s="91"/>
      <c r="AA610" s="91"/>
    </row>
    <row r="611" spans="1:27" ht="14.4" customHeight="1" x14ac:dyDescent="0.3">
      <c r="A611">
        <v>681395</v>
      </c>
      <c r="B611" t="s">
        <v>661</v>
      </c>
      <c r="C611" t="s">
        <v>645</v>
      </c>
      <c r="D611" s="87" t="str">
        <f t="shared" si="44"/>
        <v>68</v>
      </c>
      <c r="E611" s="92"/>
      <c r="F611" s="93">
        <f>(+IFERROR(VLOOKUP($A611,'[152]BG (2)'!$B$9:$J$570,4,FALSE),0))*1</f>
        <v>0</v>
      </c>
      <c r="G611" s="73">
        <f>(+IFERROR(VLOOKUP($A611,'[152]BG (2)'!$B$9:$J$570,5,FALSE),0))*-1</f>
        <v>0</v>
      </c>
      <c r="H611" s="93">
        <f>(+IFERROR(VLOOKUP($A611,'[152]BG (2)'!$B$9:$J$570,6,FALSE),0))*1</f>
        <v>0</v>
      </c>
      <c r="I611" s="73">
        <f>(+IFERROR(VLOOKUP($A611,'[152]BG (2)'!$B$9:$J$570,7,FALSE),0))*-1</f>
        <v>0</v>
      </c>
      <c r="J611" s="1728">
        <f>(+IFERROR(VLOOKUP($A611,'[152]BG (2)'!$B$9:$J$570,8,FALSE),0))*1</f>
        <v>0</v>
      </c>
      <c r="K611" s="73">
        <f>(+IFERROR(VLOOKUP($A611,'[152]BG (2)'!$B$9:$J$570,9,FALSE),0))*-1</f>
        <v>0</v>
      </c>
      <c r="L611" s="96"/>
      <c r="M611" s="101"/>
      <c r="P611" s="90">
        <f t="shared" si="41"/>
        <v>0</v>
      </c>
      <c r="R611" s="130">
        <f t="shared" si="42"/>
        <v>0</v>
      </c>
      <c r="S611" s="90"/>
      <c r="T611" s="90">
        <f t="shared" si="43"/>
        <v>0</v>
      </c>
      <c r="U611" s="95"/>
      <c r="V611" s="72"/>
      <c r="W611" s="75" t="e">
        <f>+A611-#REF!</f>
        <v>#REF!</v>
      </c>
      <c r="X611" s="1270"/>
      <c r="Y611" s="91"/>
      <c r="Z611" s="91"/>
      <c r="AA611" s="91"/>
    </row>
    <row r="612" spans="1:27" ht="15" customHeight="1" thickBot="1" x14ac:dyDescent="0.35">
      <c r="A612">
        <v>681400</v>
      </c>
      <c r="B612" s="136" t="s">
        <v>662</v>
      </c>
      <c r="C612" t="s">
        <v>645</v>
      </c>
      <c r="D612" s="87" t="str">
        <f t="shared" si="44"/>
        <v>68</v>
      </c>
      <c r="E612" s="92"/>
      <c r="F612" s="93">
        <f>(+IFERROR(VLOOKUP($A612,'[152]BG (2)'!$B$9:$J$570,4,FALSE),0))*1</f>
        <v>0</v>
      </c>
      <c r="G612" s="73">
        <f>(+IFERROR(VLOOKUP($A612,'[152]BG (2)'!$B$9:$J$570,5,FALSE),0))*-1</f>
        <v>0</v>
      </c>
      <c r="H612" s="93">
        <f>(+IFERROR(VLOOKUP($A612,'[152]BG (2)'!$B$9:$J$570,6,FALSE),0))*1</f>
        <v>52900120</v>
      </c>
      <c r="I612" s="73">
        <f>(+IFERROR(VLOOKUP($A612,'[152]BG (2)'!$B$9:$J$570,7,FALSE),0))*-1</f>
        <v>0</v>
      </c>
      <c r="J612" s="1728">
        <f>(+IFERROR(VLOOKUP($A612,'[152]BG (2)'!$B$9:$J$570,8,FALSE),0))*1</f>
        <v>52900120</v>
      </c>
      <c r="K612" s="73">
        <f>(+IFERROR(VLOOKUP($A612,'[152]BG (2)'!$B$9:$J$570,9,FALSE),0))*-1</f>
        <v>0</v>
      </c>
      <c r="L612" s="96"/>
      <c r="M612" s="101"/>
      <c r="P612" s="90">
        <f t="shared" si="41"/>
        <v>52900120</v>
      </c>
      <c r="R612" s="130">
        <f t="shared" si="42"/>
        <v>52900120</v>
      </c>
      <c r="S612" s="90"/>
      <c r="T612" s="90">
        <f t="shared" si="43"/>
        <v>52900120</v>
      </c>
      <c r="U612" s="95"/>
      <c r="V612" s="72"/>
      <c r="W612" s="75" t="e">
        <f>+A612-#REF!</f>
        <v>#REF!</v>
      </c>
      <c r="X612" s="1270"/>
      <c r="Y612" s="91"/>
      <c r="Z612" s="91"/>
      <c r="AA612" s="91"/>
    </row>
    <row r="613" spans="1:27" ht="14.4" customHeight="1" x14ac:dyDescent="0.3">
      <c r="A613">
        <v>691100</v>
      </c>
      <c r="B613" t="s">
        <v>663</v>
      </c>
      <c r="C613" t="s">
        <v>664</v>
      </c>
      <c r="D613" s="87" t="str">
        <f t="shared" si="44"/>
        <v>69</v>
      </c>
      <c r="E613" s="92"/>
      <c r="F613" s="93">
        <f>(+IFERROR(VLOOKUP($A613,'[152]BG (2)'!$B$9:$J$570,4,FALSE),0))*1</f>
        <v>0</v>
      </c>
      <c r="G613" s="73">
        <f>(+IFERROR(VLOOKUP($A613,'[152]BG (2)'!$B$9:$J$570,5,FALSE),0))*-1</f>
        <v>0</v>
      </c>
      <c r="H613" s="93">
        <f>(+IFERROR(VLOOKUP($A613,'[152]BG (2)'!$B$9:$J$570,6,FALSE),0))*1</f>
        <v>138488673</v>
      </c>
      <c r="I613" s="73">
        <f>(+IFERROR(VLOOKUP($A613,'[152]BG (2)'!$B$9:$J$570,7,FALSE),0))*-1</f>
        <v>0</v>
      </c>
      <c r="J613" s="109">
        <f>(+IFERROR(VLOOKUP($A613,'[152]BG (2)'!$B$9:$J$570,8,FALSE),0))*1</f>
        <v>138488673</v>
      </c>
      <c r="K613" s="73">
        <f>(+IFERROR(VLOOKUP($A613,'[152]BG (2)'!$B$9:$J$570,9,FALSE),0))*-1</f>
        <v>0</v>
      </c>
      <c r="L613" s="96"/>
      <c r="M613" s="101"/>
      <c r="P613" s="90">
        <f t="shared" si="41"/>
        <v>138488673</v>
      </c>
      <c r="R613" s="130">
        <f t="shared" si="42"/>
        <v>138488673</v>
      </c>
      <c r="S613" s="90"/>
      <c r="T613" s="90">
        <f t="shared" si="43"/>
        <v>138488673</v>
      </c>
      <c r="U613" s="95"/>
      <c r="V613" s="72"/>
      <c r="W613" s="75" t="e">
        <f>+A613-#REF!</f>
        <v>#REF!</v>
      </c>
      <c r="X613" s="1270"/>
      <c r="Y613" s="91"/>
      <c r="Z613" s="91"/>
      <c r="AA613" s="91"/>
    </row>
    <row r="614" spans="1:27" ht="14.4" customHeight="1" x14ac:dyDescent="0.3">
      <c r="A614">
        <v>691300</v>
      </c>
      <c r="B614" t="s">
        <v>665</v>
      </c>
      <c r="C614" t="s">
        <v>666</v>
      </c>
      <c r="D614" s="87" t="str">
        <f t="shared" si="44"/>
        <v>69</v>
      </c>
      <c r="E614" s="92"/>
      <c r="F614" s="93">
        <f>(+IFERROR(VLOOKUP($A614,'[152]BG (2)'!$B$9:$J$570,4,FALSE),0))*1</f>
        <v>0</v>
      </c>
      <c r="G614" s="73">
        <f>(+IFERROR(VLOOKUP($A614,'[152]BG (2)'!$B$9:$J$570,5,FALSE),0))*-1</f>
        <v>0</v>
      </c>
      <c r="H614" s="93">
        <f>(+IFERROR(VLOOKUP($A614,'[152]BG (2)'!$B$9:$J$570,6,FALSE),0))*1</f>
        <v>0</v>
      </c>
      <c r="I614" s="73">
        <f>(+IFERROR(VLOOKUP($A614,'[152]BG (2)'!$B$9:$J$570,7,FALSE),0))*-1</f>
        <v>0</v>
      </c>
      <c r="J614" s="125">
        <f>(+IFERROR(VLOOKUP($A614,'[152]BG (2)'!$B$9:$J$570,8,FALSE),0))*1</f>
        <v>0</v>
      </c>
      <c r="K614" s="73">
        <f>(+IFERROR(VLOOKUP($A614,'[152]BG (2)'!$B$9:$J$570,9,FALSE),0))*-1</f>
        <v>0</v>
      </c>
      <c r="L614" s="96"/>
      <c r="M614" s="101"/>
      <c r="P614" s="90">
        <f t="shared" si="41"/>
        <v>0</v>
      </c>
      <c r="R614" s="130">
        <f t="shared" si="42"/>
        <v>0</v>
      </c>
      <c r="S614" s="90"/>
      <c r="T614" s="90">
        <f t="shared" si="43"/>
        <v>0</v>
      </c>
      <c r="U614" s="95"/>
      <c r="V614" s="72"/>
      <c r="W614" s="75" t="e">
        <f>+A614-#REF!</f>
        <v>#REF!</v>
      </c>
      <c r="X614" s="1270"/>
      <c r="Y614" s="91"/>
      <c r="Z614" s="91"/>
      <c r="AA614" s="91"/>
    </row>
    <row r="615" spans="1:27" ht="14.4" customHeight="1" x14ac:dyDescent="0.3">
      <c r="A615">
        <v>691400</v>
      </c>
      <c r="B615" t="s">
        <v>665</v>
      </c>
      <c r="C615" t="s">
        <v>645</v>
      </c>
      <c r="D615" s="87" t="str">
        <f t="shared" si="44"/>
        <v>69</v>
      </c>
      <c r="E615" s="92"/>
      <c r="F615" s="93">
        <f>(+IFERROR(VLOOKUP($A615,'[152]BG (2)'!$B$9:$J$570,4,FALSE),0))*1</f>
        <v>0</v>
      </c>
      <c r="G615" s="73">
        <f>(+IFERROR(VLOOKUP($A615,'[152]BG (2)'!$B$9:$J$570,5,FALSE),0))*-1</f>
        <v>0</v>
      </c>
      <c r="H615" s="93">
        <f>(+IFERROR(VLOOKUP($A615,'[152]BG (2)'!$B$9:$J$570,6,FALSE),0))*1</f>
        <v>1133004221</v>
      </c>
      <c r="I615" s="73">
        <f>(+IFERROR(VLOOKUP($A615,'[152]BG (2)'!$B$9:$J$570,7,FALSE),0))*-1</f>
        <v>0</v>
      </c>
      <c r="J615" s="1728">
        <f>(+IFERROR(VLOOKUP($A615,'[152]BG (2)'!$B$9:$J$570,8,FALSE),0))*1</f>
        <v>1133004221</v>
      </c>
      <c r="K615" s="73">
        <f>(+IFERROR(VLOOKUP($A615,'[152]BG (2)'!$B$9:$J$570,9,FALSE),0))*-1</f>
        <v>0</v>
      </c>
      <c r="L615" s="96"/>
      <c r="M615" s="101"/>
      <c r="P615" s="90">
        <f t="shared" si="41"/>
        <v>1133004221</v>
      </c>
      <c r="R615" s="130">
        <f t="shared" si="42"/>
        <v>1133004221</v>
      </c>
      <c r="S615" s="90"/>
      <c r="T615" s="90">
        <f>K615+J615</f>
        <v>1133004221</v>
      </c>
      <c r="U615" s="95"/>
      <c r="V615" s="72"/>
      <c r="W615" s="75" t="e">
        <f>+A615-#REF!</f>
        <v>#REF!</v>
      </c>
      <c r="X615" s="1270"/>
      <c r="Y615" s="91"/>
      <c r="Z615" s="91"/>
      <c r="AA615" s="91"/>
    </row>
    <row r="616" spans="1:27" ht="14.4" customHeight="1" x14ac:dyDescent="0.3">
      <c r="A616">
        <v>701110</v>
      </c>
      <c r="B616" t="s">
        <v>667</v>
      </c>
      <c r="C616" t="s">
        <v>2312</v>
      </c>
      <c r="D616" s="87" t="str">
        <f t="shared" si="44"/>
        <v>70</v>
      </c>
      <c r="E616" s="92"/>
      <c r="F616" s="93">
        <f>(+IFERROR(VLOOKUP($A616,'[152]BG (2)'!$B$9:$J$570,4,FALSE),0))*1</f>
        <v>0</v>
      </c>
      <c r="G616" s="73">
        <f>(+IFERROR(VLOOKUP($A616,'[152]BG (2)'!$B$9:$J$570,5,FALSE),0))*-1</f>
        <v>0</v>
      </c>
      <c r="H616" s="93">
        <f>(+IFERROR(VLOOKUP($A616,'[152]BG (2)'!$B$9:$J$570,6,FALSE),0))*1</f>
        <v>3300847</v>
      </c>
      <c r="I616" s="73">
        <f>(+IFERROR(VLOOKUP($A616,'[152]BG (2)'!$B$9:$J$570,7,FALSE),0))*-1</f>
        <v>-523518406</v>
      </c>
      <c r="J616" s="107">
        <f>(+IFERROR(VLOOKUP($A616,'[152]BG (2)'!$B$9:$J$570,8,FALSE),0))*1</f>
        <v>0</v>
      </c>
      <c r="K616" s="1303">
        <f>(+IFERROR(VLOOKUP($A616,'[152]BG (2)'!$B$9:$J$570,9,FALSE),0))*-1</f>
        <v>-520217559</v>
      </c>
      <c r="L616" s="96"/>
      <c r="M616" s="101"/>
      <c r="P616" s="90">
        <f t="shared" si="41"/>
        <v>-520217559</v>
      </c>
      <c r="R616" s="130">
        <f t="shared" si="42"/>
        <v>-520217559</v>
      </c>
      <c r="S616" s="90"/>
      <c r="T616" s="102">
        <f t="shared" si="43"/>
        <v>-520217559</v>
      </c>
      <c r="U616" s="95"/>
      <c r="V616" s="72"/>
      <c r="W616" s="75" t="e">
        <f>+A616-#REF!</f>
        <v>#REF!</v>
      </c>
      <c r="X616" s="1270"/>
      <c r="Y616" s="91"/>
      <c r="Z616" s="91"/>
      <c r="AA616" s="91"/>
    </row>
    <row r="617" spans="1:27" ht="14.4" customHeight="1" x14ac:dyDescent="0.3">
      <c r="A617">
        <v>701115</v>
      </c>
      <c r="B617" t="s">
        <v>669</v>
      </c>
      <c r="C617" t="s">
        <v>2312</v>
      </c>
      <c r="D617" s="87" t="str">
        <f t="shared" si="44"/>
        <v>70</v>
      </c>
      <c r="E617" s="92"/>
      <c r="F617" s="93">
        <f>(+IFERROR(VLOOKUP($A617,'[152]BG (2)'!$B$9:$J$570,4,FALSE),0))*1</f>
        <v>0</v>
      </c>
      <c r="G617" s="73">
        <f>(+IFERROR(VLOOKUP($A617,'[152]BG (2)'!$B$9:$J$570,5,FALSE),0))*-1</f>
        <v>0</v>
      </c>
      <c r="H617" s="93">
        <f>(+IFERROR(VLOOKUP($A617,'[152]BG (2)'!$B$9:$J$570,6,FALSE),0))*1</f>
        <v>2601686</v>
      </c>
      <c r="I617" s="73">
        <f>(+IFERROR(VLOOKUP($A617,'[152]BG (2)'!$B$9:$J$570,7,FALSE),0))*-1</f>
        <v>-766778791</v>
      </c>
      <c r="J617" s="107">
        <f>(+IFERROR(VLOOKUP($A617,'[152]BG (2)'!$B$9:$J$570,8,FALSE),0))*1</f>
        <v>0</v>
      </c>
      <c r="K617" s="1303">
        <f>(+IFERROR(VLOOKUP($A617,'[152]BG (2)'!$B$9:$J$570,9,FALSE),0))*-1</f>
        <v>-764177105</v>
      </c>
      <c r="L617" s="96"/>
      <c r="M617" s="101"/>
      <c r="P617" s="90">
        <f t="shared" si="41"/>
        <v>-764177105</v>
      </c>
      <c r="R617" s="130">
        <f t="shared" si="42"/>
        <v>-764177105</v>
      </c>
      <c r="S617" s="90"/>
      <c r="T617" s="102">
        <f t="shared" si="43"/>
        <v>-764177105</v>
      </c>
      <c r="U617" s="95"/>
      <c r="V617" s="72"/>
      <c r="W617" s="75" t="e">
        <f>+A617-#REF!</f>
        <v>#REF!</v>
      </c>
      <c r="X617" s="1270"/>
      <c r="Y617" s="91"/>
      <c r="Z617" s="91"/>
      <c r="AA617" s="91"/>
    </row>
    <row r="618" spans="1:27" ht="14.4" customHeight="1" x14ac:dyDescent="0.3">
      <c r="A618">
        <v>701120</v>
      </c>
      <c r="B618" t="s">
        <v>670</v>
      </c>
      <c r="C618" t="s">
        <v>2312</v>
      </c>
      <c r="D618" s="87" t="str">
        <f t="shared" si="44"/>
        <v>70</v>
      </c>
      <c r="E618" s="92"/>
      <c r="F618" s="93">
        <f>(+IFERROR(VLOOKUP($A618,'[152]BG (2)'!$B$9:$J$570,4,FALSE),0))*1</f>
        <v>0</v>
      </c>
      <c r="G618" s="73">
        <f>(+IFERROR(VLOOKUP($A618,'[152]BG (2)'!$B$9:$J$570,5,FALSE),0))*-1</f>
        <v>0</v>
      </c>
      <c r="H618" s="93">
        <f>(+IFERROR(VLOOKUP($A618,'[152]BG (2)'!$B$9:$J$570,6,FALSE),0))*1</f>
        <v>2105533813</v>
      </c>
      <c r="I618" s="73">
        <f>(+IFERROR(VLOOKUP($A618,'[152]BG (2)'!$B$9:$J$570,7,FALSE),0))*-1</f>
        <v>-1927322043</v>
      </c>
      <c r="J618" s="1275">
        <f>(+IFERROR(VLOOKUP($A618,'[152]BG (2)'!$B$9:$J$570,8,FALSE),0))*1</f>
        <v>178211770</v>
      </c>
      <c r="K618" s="73">
        <f>(+IFERROR(VLOOKUP($A618,'[152]BG (2)'!$B$9:$J$570,9,FALSE),0))*-1</f>
        <v>0</v>
      </c>
      <c r="L618" s="96"/>
      <c r="M618" s="101"/>
      <c r="P618" s="90">
        <f t="shared" si="41"/>
        <v>178211770</v>
      </c>
      <c r="R618" s="130">
        <f t="shared" si="42"/>
        <v>178211770</v>
      </c>
      <c r="S618" s="90"/>
      <c r="T618" s="102">
        <f t="shared" si="43"/>
        <v>178211770</v>
      </c>
      <c r="U618" s="95"/>
      <c r="V618" s="72"/>
      <c r="W618" s="75" t="e">
        <f>+A618-#REF!</f>
        <v>#REF!</v>
      </c>
      <c r="X618" s="1270"/>
      <c r="Y618" s="91"/>
      <c r="Z618" s="91"/>
      <c r="AA618" s="91"/>
    </row>
    <row r="619" spans="1:27" ht="14.4" customHeight="1" x14ac:dyDescent="0.3">
      <c r="A619">
        <v>701130</v>
      </c>
      <c r="B619" t="s">
        <v>671</v>
      </c>
      <c r="C619" t="s">
        <v>2312</v>
      </c>
      <c r="D619" s="87" t="str">
        <f t="shared" si="44"/>
        <v>70</v>
      </c>
      <c r="E619" s="92"/>
      <c r="F619" s="93">
        <f>(+IFERROR(VLOOKUP($A619,'[152]BG (2)'!$B$9:$J$570,4,FALSE),0))*1</f>
        <v>0</v>
      </c>
      <c r="G619" s="73">
        <f>(+IFERROR(VLOOKUP($A619,'[152]BG (2)'!$B$9:$J$570,5,FALSE),0))*-1</f>
        <v>0</v>
      </c>
      <c r="H619" s="93">
        <f>(+IFERROR(VLOOKUP($A619,'[152]BG (2)'!$B$9:$J$570,6,FALSE),0))*1</f>
        <v>0</v>
      </c>
      <c r="I619" s="73">
        <f>(+IFERROR(VLOOKUP($A619,'[152]BG (2)'!$B$9:$J$570,7,FALSE),0))*-1</f>
        <v>-18244973</v>
      </c>
      <c r="J619" s="107">
        <f>(+IFERROR(VLOOKUP($A619,'[152]BG (2)'!$B$9:$J$570,8,FALSE),0))*1</f>
        <v>0</v>
      </c>
      <c r="K619" s="1303">
        <f>(+IFERROR(VLOOKUP($A619,'[152]BG (2)'!$B$9:$J$570,9,FALSE),0))*-1</f>
        <v>-18244973</v>
      </c>
      <c r="L619" s="96"/>
      <c r="M619" s="101"/>
      <c r="P619" s="90">
        <f t="shared" si="41"/>
        <v>-18244973</v>
      </c>
      <c r="R619" s="130">
        <f t="shared" si="42"/>
        <v>-18244973</v>
      </c>
      <c r="S619" s="90"/>
      <c r="T619" s="102">
        <f t="shared" si="43"/>
        <v>-18244973</v>
      </c>
      <c r="U619" s="95"/>
      <c r="V619" s="72"/>
      <c r="W619" s="75" t="e">
        <f>+A619-#REF!</f>
        <v>#REF!</v>
      </c>
      <c r="X619" s="1270"/>
      <c r="Y619" s="91"/>
      <c r="Z619" s="91"/>
      <c r="AA619" s="91"/>
    </row>
    <row r="620" spans="1:27" ht="14.4" customHeight="1" x14ac:dyDescent="0.3">
      <c r="A620">
        <v>701135</v>
      </c>
      <c r="B620" t="s">
        <v>672</v>
      </c>
      <c r="C620" t="s">
        <v>2312</v>
      </c>
      <c r="D620" s="87" t="str">
        <f t="shared" si="44"/>
        <v>70</v>
      </c>
      <c r="E620" s="92"/>
      <c r="F620" s="93">
        <f>(+IFERROR(VLOOKUP($A620,'[152]BG (2)'!$B$9:$J$570,4,FALSE),0))*1</f>
        <v>0</v>
      </c>
      <c r="G620" s="73">
        <f>(+IFERROR(VLOOKUP($A620,'[152]BG (2)'!$B$9:$J$570,5,FALSE),0))*-1</f>
        <v>0</v>
      </c>
      <c r="H620" s="93">
        <f>(+IFERROR(VLOOKUP($A620,'[152]BG (2)'!$B$9:$J$570,6,FALSE),0))*1</f>
        <v>0</v>
      </c>
      <c r="I620" s="73">
        <f>(+IFERROR(VLOOKUP($A620,'[152]BG (2)'!$B$9:$J$570,7,FALSE),0))*-1</f>
        <v>0</v>
      </c>
      <c r="J620" s="109">
        <f>(+IFERROR(VLOOKUP($A620,'[152]BG (2)'!$B$9:$J$570,8,FALSE),0))*1</f>
        <v>0</v>
      </c>
      <c r="K620" s="73">
        <f>(+IFERROR(VLOOKUP($A620,'[152]BG (2)'!$B$9:$J$570,9,FALSE),0))*-1</f>
        <v>0</v>
      </c>
      <c r="L620" s="96"/>
      <c r="M620" s="101"/>
      <c r="P620" s="90">
        <f t="shared" si="41"/>
        <v>0</v>
      </c>
      <c r="R620" s="130">
        <f t="shared" si="42"/>
        <v>0</v>
      </c>
      <c r="S620" s="90"/>
      <c r="T620" s="102">
        <f t="shared" si="43"/>
        <v>0</v>
      </c>
      <c r="U620" s="95"/>
      <c r="V620" s="72"/>
      <c r="W620" s="75" t="e">
        <f>+A620-#REF!</f>
        <v>#REF!</v>
      </c>
      <c r="X620" s="1270"/>
      <c r="Y620" s="91"/>
      <c r="Z620" s="91"/>
      <c r="AA620" s="91"/>
    </row>
    <row r="621" spans="1:27" ht="14.4" customHeight="1" x14ac:dyDescent="0.3">
      <c r="A621">
        <v>701140</v>
      </c>
      <c r="B621" t="s">
        <v>673</v>
      </c>
      <c r="C621" t="s">
        <v>2312</v>
      </c>
      <c r="D621" s="87" t="str">
        <f t="shared" si="44"/>
        <v>70</v>
      </c>
      <c r="E621" s="92"/>
      <c r="F621" s="93">
        <f>(+IFERROR(VLOOKUP($A621,'[152]BG (2)'!$B$9:$J$570,4,FALSE),0))*1</f>
        <v>0</v>
      </c>
      <c r="G621" s="73">
        <f>(+IFERROR(VLOOKUP($A621,'[152]BG (2)'!$B$9:$J$570,5,FALSE),0))*-1</f>
        <v>0</v>
      </c>
      <c r="H621" s="93">
        <f>(+IFERROR(VLOOKUP($A621,'[152]BG (2)'!$B$9:$J$570,6,FALSE),0))*1</f>
        <v>132204860</v>
      </c>
      <c r="I621" s="73">
        <f>(+IFERROR(VLOOKUP($A621,'[152]BG (2)'!$B$9:$J$570,7,FALSE),0))*-1</f>
        <v>-132204860</v>
      </c>
      <c r="J621" s="109">
        <f>(+IFERROR(VLOOKUP($A621,'[152]BG (2)'!$B$9:$J$570,8,FALSE),0))*1</f>
        <v>0</v>
      </c>
      <c r="K621" s="73">
        <f>(+IFERROR(VLOOKUP($A621,'[152]BG (2)'!$B$9:$J$570,9,FALSE),0))*-1</f>
        <v>0</v>
      </c>
      <c r="L621" s="96"/>
      <c r="M621" s="101"/>
      <c r="P621" s="90">
        <f t="shared" si="41"/>
        <v>0</v>
      </c>
      <c r="R621" s="130">
        <f t="shared" si="42"/>
        <v>0</v>
      </c>
      <c r="S621" s="90"/>
      <c r="T621" s="102">
        <f t="shared" si="43"/>
        <v>0</v>
      </c>
      <c r="U621" s="95"/>
      <c r="V621" s="72"/>
      <c r="W621" s="75" t="e">
        <f>+A621-#REF!</f>
        <v>#REF!</v>
      </c>
      <c r="X621" s="1270"/>
      <c r="Y621" s="91"/>
      <c r="Z621" s="91"/>
      <c r="AA621" s="91"/>
    </row>
    <row r="622" spans="1:27" ht="14.4" customHeight="1" x14ac:dyDescent="0.3">
      <c r="A622">
        <v>701141</v>
      </c>
      <c r="B622" t="s">
        <v>674</v>
      </c>
      <c r="C622" t="s">
        <v>2312</v>
      </c>
      <c r="D622" s="87" t="str">
        <f t="shared" si="44"/>
        <v>70</v>
      </c>
      <c r="E622" s="92"/>
      <c r="F622" s="93">
        <f>(+IFERROR(VLOOKUP($A622,'[152]BG (2)'!$B$9:$J$570,4,FALSE),0))*1</f>
        <v>0</v>
      </c>
      <c r="G622" s="73">
        <f>(+IFERROR(VLOOKUP($A622,'[152]BG (2)'!$B$9:$J$570,5,FALSE),0))*-1</f>
        <v>0</v>
      </c>
      <c r="H622" s="93">
        <f>(+IFERROR(VLOOKUP($A622,'[152]BG (2)'!$B$9:$J$570,6,FALSE),0))*1</f>
        <v>62270047828</v>
      </c>
      <c r="I622" s="73">
        <f>(+IFERROR(VLOOKUP($A622,'[152]BG (2)'!$B$9:$J$570,7,FALSE),0))*-1</f>
        <v>-62270047828</v>
      </c>
      <c r="J622" s="109">
        <f>(+IFERROR(VLOOKUP($A622,'[152]BG (2)'!$B$9:$J$570,8,FALSE),0))*1</f>
        <v>0</v>
      </c>
      <c r="K622" s="73">
        <f>(+IFERROR(VLOOKUP($A622,'[152]BG (2)'!$B$9:$J$570,9,FALSE),0))*-1</f>
        <v>0</v>
      </c>
      <c r="L622" s="96"/>
      <c r="M622" s="101"/>
      <c r="P622" s="90">
        <f t="shared" si="41"/>
        <v>0</v>
      </c>
      <c r="R622" s="130">
        <f t="shared" si="42"/>
        <v>0</v>
      </c>
      <c r="S622" s="90"/>
      <c r="T622" s="102">
        <f t="shared" si="43"/>
        <v>0</v>
      </c>
      <c r="U622" s="95"/>
      <c r="V622" s="72"/>
      <c r="W622" s="75" t="e">
        <f>+A622-#REF!</f>
        <v>#REF!</v>
      </c>
      <c r="X622" s="1270"/>
      <c r="Y622" s="91"/>
      <c r="Z622" s="91"/>
      <c r="AA622" s="91"/>
    </row>
    <row r="623" spans="1:27" ht="14.4" customHeight="1" x14ac:dyDescent="0.3">
      <c r="A623">
        <v>701142</v>
      </c>
      <c r="B623" t="s">
        <v>675</v>
      </c>
      <c r="C623" t="s">
        <v>2312</v>
      </c>
      <c r="D623" s="87" t="str">
        <f t="shared" si="44"/>
        <v>70</v>
      </c>
      <c r="E623" s="92"/>
      <c r="F623" s="93">
        <f>(+IFERROR(VLOOKUP($A623,'[152]BG (2)'!$B$9:$J$570,4,FALSE),0))*1</f>
        <v>0</v>
      </c>
      <c r="G623" s="73">
        <f>(+IFERROR(VLOOKUP($A623,'[152]BG (2)'!$B$9:$J$570,5,FALSE),0))*-1</f>
        <v>0</v>
      </c>
      <c r="H623" s="93">
        <f>(+IFERROR(VLOOKUP($A623,'[152]BG (2)'!$B$9:$J$570,6,FALSE),0))*1</f>
        <v>0</v>
      </c>
      <c r="I623" s="73">
        <f>(+IFERROR(VLOOKUP($A623,'[152]BG (2)'!$B$9:$J$570,7,FALSE),0))*-1</f>
        <v>0</v>
      </c>
      <c r="J623" s="109">
        <f>(+IFERROR(VLOOKUP($A623,'[152]BG (2)'!$B$9:$J$570,8,FALSE),0))*1</f>
        <v>0</v>
      </c>
      <c r="K623" s="73">
        <f>(+IFERROR(VLOOKUP($A623,'[152]BG (2)'!$B$9:$J$570,9,FALSE),0))*-1</f>
        <v>0</v>
      </c>
      <c r="L623" s="96"/>
      <c r="M623" s="101"/>
      <c r="P623" s="90">
        <f t="shared" si="41"/>
        <v>0</v>
      </c>
      <c r="R623" s="130">
        <f t="shared" si="42"/>
        <v>0</v>
      </c>
      <c r="S623" s="90"/>
      <c r="T623" s="102">
        <f t="shared" si="43"/>
        <v>0</v>
      </c>
      <c r="U623" s="95"/>
      <c r="V623" s="72"/>
      <c r="W623" s="75" t="e">
        <f>+A623-#REF!</f>
        <v>#REF!</v>
      </c>
      <c r="X623" s="1270"/>
      <c r="Y623" s="91"/>
      <c r="Z623" s="91"/>
      <c r="AA623" s="91"/>
    </row>
    <row r="624" spans="1:27" ht="14.4" customHeight="1" x14ac:dyDescent="0.3">
      <c r="A624">
        <v>701910</v>
      </c>
      <c r="B624" t="s">
        <v>676</v>
      </c>
      <c r="C624" t="s">
        <v>2312</v>
      </c>
      <c r="D624" s="87" t="str">
        <f t="shared" si="44"/>
        <v>70</v>
      </c>
      <c r="E624" s="92"/>
      <c r="F624" s="93">
        <f>(+IFERROR(VLOOKUP($A624,'[152]BG (2)'!$B$9:$J$570,4,FALSE),0))*1</f>
        <v>0</v>
      </c>
      <c r="G624" s="73">
        <f>(+IFERROR(VLOOKUP($A624,'[152]BG (2)'!$B$9:$J$570,5,FALSE),0))*-1</f>
        <v>0</v>
      </c>
      <c r="H624" s="93">
        <f>(+IFERROR(VLOOKUP($A624,'[152]BG (2)'!$B$9:$J$570,6,FALSE),0))*1</f>
        <v>0</v>
      </c>
      <c r="I624" s="73">
        <f>(+IFERROR(VLOOKUP($A624,'[152]BG (2)'!$B$9:$J$570,7,FALSE),0))*-1</f>
        <v>0</v>
      </c>
      <c r="J624" s="109">
        <f>(+IFERROR(VLOOKUP($A624,'[152]BG (2)'!$B$9:$J$570,8,FALSE),0))*1</f>
        <v>0</v>
      </c>
      <c r="K624" s="73">
        <f>(+IFERROR(VLOOKUP($A624,'[152]BG (2)'!$B$9:$J$570,9,FALSE),0))*-1</f>
        <v>0</v>
      </c>
      <c r="L624" s="96"/>
      <c r="M624" s="101"/>
      <c r="P624" s="90">
        <f t="shared" si="41"/>
        <v>0</v>
      </c>
      <c r="R624" s="130">
        <f t="shared" si="42"/>
        <v>0</v>
      </c>
      <c r="S624" s="90"/>
      <c r="T624" s="102">
        <f t="shared" si="43"/>
        <v>0</v>
      </c>
      <c r="U624" s="95"/>
      <c r="V624" s="72"/>
      <c r="W624" s="75" t="e">
        <f>+A624-#REF!</f>
        <v>#REF!</v>
      </c>
      <c r="X624" s="1270"/>
      <c r="Y624" s="91"/>
      <c r="Z624" s="91"/>
      <c r="AA624" s="91"/>
    </row>
    <row r="625" spans="1:27" ht="14.4" customHeight="1" x14ac:dyDescent="0.3">
      <c r="A625">
        <v>701920</v>
      </c>
      <c r="B625" t="s">
        <v>677</v>
      </c>
      <c r="C625" t="s">
        <v>2312</v>
      </c>
      <c r="D625" s="87" t="str">
        <f t="shared" si="44"/>
        <v>70</v>
      </c>
      <c r="E625" s="92"/>
      <c r="F625" s="93">
        <f>(+IFERROR(VLOOKUP($A625,'[152]BG (2)'!$B$9:$J$570,4,FALSE),0))*1</f>
        <v>0</v>
      </c>
      <c r="G625" s="73">
        <f>(+IFERROR(VLOOKUP($A625,'[152]BG (2)'!$B$9:$J$570,5,FALSE),0))*-1</f>
        <v>0</v>
      </c>
      <c r="H625" s="93">
        <f>(+IFERROR(VLOOKUP($A625,'[152]BG (2)'!$B$9:$J$570,6,FALSE),0))*1</f>
        <v>0</v>
      </c>
      <c r="I625" s="73">
        <f>(+IFERROR(VLOOKUP($A625,'[152]BG (2)'!$B$9:$J$570,7,FALSE),0))*-1</f>
        <v>0</v>
      </c>
      <c r="J625" s="109">
        <f>(+IFERROR(VLOOKUP($A625,'[152]BG (2)'!$B$9:$J$570,8,FALSE),0))*1</f>
        <v>0</v>
      </c>
      <c r="K625" s="73">
        <f>(+IFERROR(VLOOKUP($A625,'[152]BG (2)'!$B$9:$J$570,9,FALSE),0))*-1</f>
        <v>0</v>
      </c>
      <c r="L625" s="96"/>
      <c r="M625" s="101"/>
      <c r="P625" s="90">
        <f t="shared" si="41"/>
        <v>0</v>
      </c>
      <c r="R625" s="130">
        <f t="shared" si="42"/>
        <v>0</v>
      </c>
      <c r="S625" s="90"/>
      <c r="T625" s="102">
        <f t="shared" si="43"/>
        <v>0</v>
      </c>
      <c r="U625" s="95"/>
      <c r="V625" s="72"/>
      <c r="W625" s="75" t="e">
        <f>+A625-#REF!</f>
        <v>#REF!</v>
      </c>
      <c r="X625" s="1270"/>
      <c r="Y625" s="91"/>
      <c r="Z625" s="91"/>
      <c r="AA625" s="91"/>
    </row>
    <row r="626" spans="1:27" ht="14.4" customHeight="1" x14ac:dyDescent="0.3">
      <c r="A626">
        <v>701930</v>
      </c>
      <c r="B626" t="s">
        <v>678</v>
      </c>
      <c r="C626" t="s">
        <v>2312</v>
      </c>
      <c r="D626" s="87" t="str">
        <f t="shared" si="44"/>
        <v>70</v>
      </c>
      <c r="E626" s="92"/>
      <c r="F626" s="93">
        <f>(+IFERROR(VLOOKUP($A626,'[152]BG (2)'!$B$9:$J$570,4,FALSE),0))*1</f>
        <v>0</v>
      </c>
      <c r="G626" s="73">
        <f>(+IFERROR(VLOOKUP($A626,'[152]BG (2)'!$B$9:$J$570,5,FALSE),0))*-1</f>
        <v>0</v>
      </c>
      <c r="H626" s="93">
        <f>(+IFERROR(VLOOKUP($A626,'[152]BG (2)'!$B$9:$J$570,6,FALSE),0))*1</f>
        <v>0</v>
      </c>
      <c r="I626" s="73">
        <f>(+IFERROR(VLOOKUP($A626,'[152]BG (2)'!$B$9:$J$570,7,FALSE),0))*-1</f>
        <v>0</v>
      </c>
      <c r="J626" s="109">
        <f>(+IFERROR(VLOOKUP($A626,'[152]BG (2)'!$B$9:$J$570,8,FALSE),0))*1</f>
        <v>0</v>
      </c>
      <c r="K626" s="73">
        <f>(+IFERROR(VLOOKUP($A626,'[152]BG (2)'!$B$9:$J$570,9,FALSE),0))*-1</f>
        <v>0</v>
      </c>
      <c r="L626" s="96"/>
      <c r="M626" s="101"/>
      <c r="P626" s="90">
        <f t="shared" si="41"/>
        <v>0</v>
      </c>
      <c r="R626" s="130">
        <f t="shared" si="42"/>
        <v>0</v>
      </c>
      <c r="S626" s="90"/>
      <c r="T626" s="102">
        <f t="shared" si="43"/>
        <v>0</v>
      </c>
      <c r="U626" s="95"/>
      <c r="V626" s="72"/>
      <c r="W626" s="75" t="e">
        <f>+A626-#REF!</f>
        <v>#REF!</v>
      </c>
      <c r="X626" s="1270"/>
      <c r="Y626" s="91"/>
      <c r="Z626" s="91"/>
      <c r="AA626" s="91"/>
    </row>
    <row r="627" spans="1:27" ht="14.4" customHeight="1" x14ac:dyDescent="0.3">
      <c r="A627">
        <v>706115</v>
      </c>
      <c r="B627" t="s">
        <v>679</v>
      </c>
      <c r="C627" t="s">
        <v>680</v>
      </c>
      <c r="D627" s="87" t="str">
        <f t="shared" si="44"/>
        <v>70</v>
      </c>
      <c r="E627" s="92"/>
      <c r="F627" s="93">
        <f>(+IFERROR(VLOOKUP($A627,'[152]BG (2)'!$B$9:$J$570,4,FALSE),0))*1</f>
        <v>0</v>
      </c>
      <c r="G627" s="73">
        <f>(+IFERROR(VLOOKUP($A627,'[152]BG (2)'!$B$9:$J$570,5,FALSE),0))*-1</f>
        <v>0</v>
      </c>
      <c r="H627" s="93">
        <f>(+IFERROR(VLOOKUP($A627,'[152]BG (2)'!$B$9:$J$570,6,FALSE),0))*1</f>
        <v>2247285821</v>
      </c>
      <c r="I627" s="73">
        <f>(+IFERROR(VLOOKUP($A627,'[152]BG (2)'!$B$9:$J$570,7,FALSE),0))*-1</f>
        <v>-4719905514</v>
      </c>
      <c r="J627" s="109">
        <f>(+IFERROR(VLOOKUP($A627,'[152]BG (2)'!$B$9:$J$570,8,FALSE),0))*1</f>
        <v>0</v>
      </c>
      <c r="K627" s="73">
        <f>(+IFERROR(VLOOKUP($A627,'[152]BG (2)'!$B$9:$J$570,9,FALSE),0))*-1</f>
        <v>-2472619693</v>
      </c>
      <c r="L627" s="96"/>
      <c r="M627" s="101"/>
      <c r="P627" s="90">
        <f t="shared" si="41"/>
        <v>-2472619693</v>
      </c>
      <c r="R627" s="130">
        <f t="shared" si="42"/>
        <v>-2472619693</v>
      </c>
      <c r="S627" s="90"/>
      <c r="T627" s="102">
        <f t="shared" si="43"/>
        <v>-2472619693</v>
      </c>
      <c r="U627" s="95"/>
      <c r="V627" s="72"/>
      <c r="W627" s="75" t="e">
        <f>+A627-#REF!</f>
        <v>#REF!</v>
      </c>
      <c r="X627" s="1270"/>
      <c r="Y627" s="91"/>
      <c r="Z627" s="91"/>
      <c r="AA627" s="91"/>
    </row>
    <row r="628" spans="1:27" ht="14.4" customHeight="1" x14ac:dyDescent="0.3">
      <c r="A628">
        <v>706116</v>
      </c>
      <c r="B628" t="s">
        <v>681</v>
      </c>
      <c r="C628" t="s">
        <v>680</v>
      </c>
      <c r="D628" s="87" t="str">
        <f t="shared" si="44"/>
        <v>70</v>
      </c>
      <c r="E628" s="92"/>
      <c r="F628" s="93">
        <f>(+IFERROR(VLOOKUP($A628,'[152]BG (2)'!$B$9:$J$570,4,FALSE),0))*1</f>
        <v>0</v>
      </c>
      <c r="G628" s="73">
        <f>(+IFERROR(VLOOKUP($A628,'[152]BG (2)'!$B$9:$J$570,5,FALSE),0))*-1</f>
        <v>0</v>
      </c>
      <c r="H628" s="93">
        <f>(+IFERROR(VLOOKUP($A628,'[152]BG (2)'!$B$9:$J$570,6,FALSE),0))*1</f>
        <v>0</v>
      </c>
      <c r="I628" s="73">
        <f>(+IFERROR(VLOOKUP($A628,'[152]BG (2)'!$B$9:$J$570,7,FALSE),0))*-1</f>
        <v>0</v>
      </c>
      <c r="J628" s="109">
        <f>(+IFERROR(VLOOKUP($A628,'[152]BG (2)'!$B$9:$J$570,8,FALSE),0))*1</f>
        <v>0</v>
      </c>
      <c r="K628" s="73">
        <f>(+IFERROR(VLOOKUP($A628,'[152]BG (2)'!$B$9:$J$570,9,FALSE),0))*-1</f>
        <v>0</v>
      </c>
      <c r="L628" s="96"/>
      <c r="M628" s="101"/>
      <c r="P628" s="90">
        <f t="shared" si="41"/>
        <v>0</v>
      </c>
      <c r="R628" s="130">
        <f t="shared" si="42"/>
        <v>0</v>
      </c>
      <c r="S628" s="90"/>
      <c r="T628" s="102">
        <f t="shared" si="43"/>
        <v>0</v>
      </c>
      <c r="U628" s="95"/>
      <c r="V628" s="72"/>
      <c r="W628" s="75" t="e">
        <f>+A628-#REF!</f>
        <v>#REF!</v>
      </c>
      <c r="X628" s="1270"/>
      <c r="Y628" s="91"/>
      <c r="Z628" s="91"/>
      <c r="AA628" s="91"/>
    </row>
    <row r="629" spans="1:27" ht="14.4" customHeight="1" x14ac:dyDescent="0.3">
      <c r="A629">
        <v>706117</v>
      </c>
      <c r="B629" t="s">
        <v>682</v>
      </c>
      <c r="C629" t="s">
        <v>680</v>
      </c>
      <c r="D629" s="87" t="str">
        <f t="shared" si="44"/>
        <v>70</v>
      </c>
      <c r="E629" s="92"/>
      <c r="F629" s="93">
        <f>(+IFERROR(VLOOKUP($A629,'[152]BG (2)'!$B$9:$J$570,4,FALSE),0))*1</f>
        <v>0</v>
      </c>
      <c r="G629" s="73">
        <f>(+IFERROR(VLOOKUP($A629,'[152]BG (2)'!$B$9:$J$570,5,FALSE),0))*-1</f>
        <v>0</v>
      </c>
      <c r="H629" s="93">
        <f>(+IFERROR(VLOOKUP($A629,'[152]BG (2)'!$B$9:$J$570,6,FALSE),0))*1</f>
        <v>0</v>
      </c>
      <c r="I629" s="73">
        <f>(+IFERROR(VLOOKUP($A629,'[152]BG (2)'!$B$9:$J$570,7,FALSE),0))*-1</f>
        <v>-103336074</v>
      </c>
      <c r="J629" s="109">
        <f>(+IFERROR(VLOOKUP($A629,'[152]BG (2)'!$B$9:$J$570,8,FALSE),0))*1</f>
        <v>0</v>
      </c>
      <c r="K629" s="73">
        <f>(+IFERROR(VLOOKUP($A629,'[152]BG (2)'!$B$9:$J$570,9,FALSE),0))*-1</f>
        <v>-103336074</v>
      </c>
      <c r="L629" s="96"/>
      <c r="M629" s="101"/>
      <c r="P629" s="90">
        <f t="shared" si="41"/>
        <v>-103336074</v>
      </c>
      <c r="R629" s="130">
        <f t="shared" si="42"/>
        <v>-103336074</v>
      </c>
      <c r="S629" s="90"/>
      <c r="T629" s="102">
        <f t="shared" si="43"/>
        <v>-103336074</v>
      </c>
      <c r="U629" s="95"/>
      <c r="V629" s="72"/>
      <c r="W629" s="75" t="e">
        <f>+A629-#REF!</f>
        <v>#REF!</v>
      </c>
      <c r="X629" s="1270"/>
      <c r="Y629" s="91"/>
      <c r="Z629" s="91"/>
      <c r="AA629" s="91"/>
    </row>
    <row r="630" spans="1:27" ht="14.4" customHeight="1" x14ac:dyDescent="0.3">
      <c r="A630">
        <v>706118</v>
      </c>
      <c r="B630" t="s">
        <v>683</v>
      </c>
      <c r="C630" t="s">
        <v>680</v>
      </c>
      <c r="D630" s="87" t="str">
        <f t="shared" si="44"/>
        <v>70</v>
      </c>
      <c r="E630" s="92"/>
      <c r="F630" s="93">
        <f>(+IFERROR(VLOOKUP($A630,'[152]BG (2)'!$B$9:$J$570,4,FALSE),0))*1</f>
        <v>0</v>
      </c>
      <c r="G630" s="73">
        <f>(+IFERROR(VLOOKUP($A630,'[152]BG (2)'!$B$9:$J$570,5,FALSE),0))*-1</f>
        <v>0</v>
      </c>
      <c r="H630" s="93">
        <f>(+IFERROR(VLOOKUP($A630,'[152]BG (2)'!$B$9:$J$570,6,FALSE),0))*1</f>
        <v>0</v>
      </c>
      <c r="I630" s="73">
        <f>(+IFERROR(VLOOKUP($A630,'[152]BG (2)'!$B$9:$J$570,7,FALSE),0))*-1</f>
        <v>-568222</v>
      </c>
      <c r="J630" s="109">
        <f>(+IFERROR(VLOOKUP($A630,'[152]BG (2)'!$B$9:$J$570,8,FALSE),0))*1</f>
        <v>0</v>
      </c>
      <c r="K630" s="73">
        <f>(+IFERROR(VLOOKUP($A630,'[152]BG (2)'!$B$9:$J$570,9,FALSE),0))*-1</f>
        <v>-568222</v>
      </c>
      <c r="L630" s="96"/>
      <c r="M630" s="101"/>
      <c r="P630" s="90">
        <f t="shared" si="41"/>
        <v>-568222</v>
      </c>
      <c r="R630" s="130">
        <f t="shared" si="42"/>
        <v>-568222</v>
      </c>
      <c r="S630" s="90"/>
      <c r="T630" s="102">
        <f t="shared" si="43"/>
        <v>-568222</v>
      </c>
      <c r="U630" s="95"/>
      <c r="V630" s="72"/>
      <c r="W630" s="75" t="e">
        <f>+A630-#REF!</f>
        <v>#REF!</v>
      </c>
      <c r="X630" s="1270"/>
      <c r="Y630" s="91"/>
      <c r="Z630" s="91"/>
      <c r="AA630" s="91"/>
    </row>
    <row r="631" spans="1:27" ht="14.4" customHeight="1" x14ac:dyDescent="0.3">
      <c r="A631">
        <v>706120</v>
      </c>
      <c r="B631" t="s">
        <v>684</v>
      </c>
      <c r="C631" t="s">
        <v>680</v>
      </c>
      <c r="D631" s="87" t="str">
        <f t="shared" si="44"/>
        <v>70</v>
      </c>
      <c r="E631" s="92"/>
      <c r="F631" s="93">
        <f>(+IFERROR(VLOOKUP($A631,'[152]BG (2)'!$B$9:$J$570,4,FALSE),0))*1</f>
        <v>0</v>
      </c>
      <c r="G631" s="73">
        <f>(+IFERROR(VLOOKUP($A631,'[152]BG (2)'!$B$9:$J$570,5,FALSE),0))*-1</f>
        <v>0</v>
      </c>
      <c r="H631" s="93">
        <f>(+IFERROR(VLOOKUP($A631,'[152]BG (2)'!$B$9:$J$570,6,FALSE),0))*1</f>
        <v>0</v>
      </c>
      <c r="I631" s="73">
        <f>(+IFERROR(VLOOKUP($A631,'[152]BG (2)'!$B$9:$J$570,7,FALSE),0))*-1</f>
        <v>-21910899670</v>
      </c>
      <c r="J631" s="109">
        <f>(+IFERROR(VLOOKUP($A631,'[152]BG (2)'!$B$9:$J$570,8,FALSE),0))*1</f>
        <v>0</v>
      </c>
      <c r="K631" s="73">
        <f>(+IFERROR(VLOOKUP($A631,'[152]BG (2)'!$B$9:$J$570,9,FALSE),0))*-1</f>
        <v>-21910899670</v>
      </c>
      <c r="L631" s="96"/>
      <c r="M631" s="101"/>
      <c r="P631" s="90">
        <f t="shared" si="41"/>
        <v>-21910899670</v>
      </c>
      <c r="R631" s="130">
        <f t="shared" si="42"/>
        <v>-21910899670</v>
      </c>
      <c r="S631" s="90"/>
      <c r="T631" s="102">
        <f t="shared" si="43"/>
        <v>-21910899670</v>
      </c>
      <c r="U631" s="95"/>
      <c r="V631" s="72"/>
      <c r="W631" s="75" t="e">
        <f>+A631-#REF!</f>
        <v>#REF!</v>
      </c>
      <c r="X631" s="1270"/>
      <c r="Y631" s="91"/>
      <c r="Z631" s="91"/>
      <c r="AA631" s="91"/>
    </row>
    <row r="632" spans="1:27" ht="14.4" customHeight="1" x14ac:dyDescent="0.3">
      <c r="A632">
        <v>706121</v>
      </c>
      <c r="B632" t="s">
        <v>685</v>
      </c>
      <c r="C632" t="s">
        <v>680</v>
      </c>
      <c r="D632" s="87" t="str">
        <f t="shared" si="44"/>
        <v>70</v>
      </c>
      <c r="E632" s="92"/>
      <c r="F632" s="93">
        <f>(+IFERROR(VLOOKUP($A632,'[152]BG (2)'!$B$9:$J$570,4,FALSE),0))*1</f>
        <v>0</v>
      </c>
      <c r="G632" s="73">
        <f>(+IFERROR(VLOOKUP($A632,'[152]BG (2)'!$B$9:$J$570,5,FALSE),0))*-1</f>
        <v>0</v>
      </c>
      <c r="H632" s="93">
        <f>(+IFERROR(VLOOKUP($A632,'[152]BG (2)'!$B$9:$J$570,6,FALSE),0))*1</f>
        <v>0</v>
      </c>
      <c r="I632" s="73">
        <f>(+IFERROR(VLOOKUP($A632,'[152]BG (2)'!$B$9:$J$570,7,FALSE),0))*-1</f>
        <v>-22684041102</v>
      </c>
      <c r="J632" s="109">
        <f>(+IFERROR(VLOOKUP($A632,'[152]BG (2)'!$B$9:$J$570,8,FALSE),0))*1</f>
        <v>0</v>
      </c>
      <c r="K632" s="73">
        <f>(+IFERROR(VLOOKUP($A632,'[152]BG (2)'!$B$9:$J$570,9,FALSE),0))*-1</f>
        <v>-22684041102</v>
      </c>
      <c r="L632" s="96"/>
      <c r="M632" s="101"/>
      <c r="P632" s="90">
        <f t="shared" si="41"/>
        <v>-22684041102</v>
      </c>
      <c r="R632" s="130">
        <f t="shared" si="42"/>
        <v>-22684041102</v>
      </c>
      <c r="S632" s="90"/>
      <c r="T632" s="102">
        <f t="shared" si="43"/>
        <v>-22684041102</v>
      </c>
      <c r="U632" s="95"/>
      <c r="V632" s="72"/>
      <c r="W632" s="75" t="e">
        <f>+A632-#REF!</f>
        <v>#REF!</v>
      </c>
      <c r="X632" s="1270"/>
      <c r="Y632" s="91"/>
      <c r="Z632" s="91"/>
      <c r="AA632" s="91"/>
    </row>
    <row r="633" spans="1:27" ht="14.4" customHeight="1" x14ac:dyDescent="0.3">
      <c r="A633">
        <v>706123</v>
      </c>
      <c r="B633" t="s">
        <v>686</v>
      </c>
      <c r="C633" t="s">
        <v>680</v>
      </c>
      <c r="D633" s="87" t="str">
        <f t="shared" si="44"/>
        <v>70</v>
      </c>
      <c r="E633" s="92"/>
      <c r="F633" s="93">
        <f>(+IFERROR(VLOOKUP($A633,'[152]BG (2)'!$B$9:$J$570,4,FALSE),0))*1</f>
        <v>0</v>
      </c>
      <c r="G633" s="73">
        <f>(+IFERROR(VLOOKUP($A633,'[152]BG (2)'!$B$9:$J$570,5,FALSE),0))*-1</f>
        <v>0</v>
      </c>
      <c r="H633" s="93">
        <f>(+IFERROR(VLOOKUP($A633,'[152]BG (2)'!$B$9:$J$570,6,FALSE),0))*1</f>
        <v>0</v>
      </c>
      <c r="I633" s="73">
        <f>(+IFERROR(VLOOKUP($A633,'[152]BG (2)'!$B$9:$J$570,7,FALSE),0))*-1</f>
        <v>-510038715</v>
      </c>
      <c r="J633" s="109">
        <f>(+IFERROR(VLOOKUP($A633,'[152]BG (2)'!$B$9:$J$570,8,FALSE),0))*1</f>
        <v>0</v>
      </c>
      <c r="K633" s="73">
        <f>(+IFERROR(VLOOKUP($A633,'[152]BG (2)'!$B$9:$J$570,9,FALSE),0))*-1</f>
        <v>-510038715</v>
      </c>
      <c r="L633" s="96"/>
      <c r="M633" s="101"/>
      <c r="P633" s="90">
        <f t="shared" si="41"/>
        <v>-510038715</v>
      </c>
      <c r="R633" s="130">
        <f t="shared" si="42"/>
        <v>-510038715</v>
      </c>
      <c r="S633" s="90"/>
      <c r="T633" s="102">
        <f t="shared" si="43"/>
        <v>-510038715</v>
      </c>
      <c r="U633" s="95"/>
      <c r="V633" s="72"/>
      <c r="W633" s="75" t="e">
        <f>+A633-#REF!</f>
        <v>#REF!</v>
      </c>
      <c r="X633" s="1270"/>
      <c r="Y633" s="91"/>
      <c r="Z633" s="91"/>
      <c r="AA633" s="91"/>
    </row>
    <row r="634" spans="1:27" ht="14.4" customHeight="1" x14ac:dyDescent="0.3">
      <c r="A634">
        <v>706124</v>
      </c>
      <c r="B634" t="s">
        <v>687</v>
      </c>
      <c r="C634" t="s">
        <v>680</v>
      </c>
      <c r="D634" s="87" t="str">
        <f t="shared" si="44"/>
        <v>70</v>
      </c>
      <c r="E634" s="92"/>
      <c r="F634" s="93">
        <f>(+IFERROR(VLOOKUP($A634,'[152]BG (2)'!$B$9:$J$570,4,FALSE),0))*1</f>
        <v>0</v>
      </c>
      <c r="G634" s="73">
        <f>(+IFERROR(VLOOKUP($A634,'[152]BG (2)'!$B$9:$J$570,5,FALSE),0))*-1</f>
        <v>0</v>
      </c>
      <c r="H634" s="93">
        <f>(+IFERROR(VLOOKUP($A634,'[152]BG (2)'!$B$9:$J$570,6,FALSE),0))*1</f>
        <v>0</v>
      </c>
      <c r="I634" s="73">
        <f>(+IFERROR(VLOOKUP($A634,'[152]BG (2)'!$B$9:$J$570,7,FALSE),0))*-1</f>
        <v>-2326098311</v>
      </c>
      <c r="J634" s="109">
        <f>(+IFERROR(VLOOKUP($A634,'[152]BG (2)'!$B$9:$J$570,8,FALSE),0))*1</f>
        <v>0</v>
      </c>
      <c r="K634" s="73">
        <f>(+IFERROR(VLOOKUP($A634,'[152]BG (2)'!$B$9:$J$570,9,FALSE),0))*-1</f>
        <v>-2326098311</v>
      </c>
      <c r="L634" s="96"/>
      <c r="M634" s="101"/>
      <c r="P634" s="90">
        <f t="shared" si="41"/>
        <v>-2326098311</v>
      </c>
      <c r="R634" s="130">
        <f t="shared" si="42"/>
        <v>-2326098311</v>
      </c>
      <c r="S634" s="90"/>
      <c r="T634" s="102">
        <f t="shared" si="43"/>
        <v>-2326098311</v>
      </c>
      <c r="U634" s="95"/>
      <c r="V634" s="72"/>
      <c r="W634" s="75" t="e">
        <f>+A634-#REF!</f>
        <v>#REF!</v>
      </c>
      <c r="X634" s="1270"/>
      <c r="Y634" s="91"/>
      <c r="Z634" s="91"/>
      <c r="AA634" s="91"/>
    </row>
    <row r="635" spans="1:27" ht="14.4" customHeight="1" x14ac:dyDescent="0.3">
      <c r="A635">
        <v>706125</v>
      </c>
      <c r="B635" t="s">
        <v>688</v>
      </c>
      <c r="C635" t="s">
        <v>680</v>
      </c>
      <c r="D635" s="87" t="str">
        <f t="shared" si="44"/>
        <v>70</v>
      </c>
      <c r="E635" s="92"/>
      <c r="F635" s="93">
        <f>(+IFERROR(VLOOKUP($A635,'[152]BG (2)'!$B$9:$J$570,4,FALSE),0))*1</f>
        <v>0</v>
      </c>
      <c r="G635" s="73">
        <f>(+IFERROR(VLOOKUP($A635,'[152]BG (2)'!$B$9:$J$570,5,FALSE),0))*-1</f>
        <v>0</v>
      </c>
      <c r="H635" s="93">
        <f>(+IFERROR(VLOOKUP($A635,'[152]BG (2)'!$B$9:$J$570,6,FALSE),0))*1</f>
        <v>37538312</v>
      </c>
      <c r="I635" s="73">
        <f>(+IFERROR(VLOOKUP($A635,'[152]BG (2)'!$B$9:$J$570,7,FALSE),0))*-1</f>
        <v>-73553388</v>
      </c>
      <c r="J635" s="109">
        <f>(+IFERROR(VLOOKUP($A635,'[152]BG (2)'!$B$9:$J$570,8,FALSE),0))*1</f>
        <v>0</v>
      </c>
      <c r="K635" s="73">
        <f>(+IFERROR(VLOOKUP($A635,'[152]BG (2)'!$B$9:$J$570,9,FALSE),0))*-1</f>
        <v>-36015076</v>
      </c>
      <c r="L635" s="96"/>
      <c r="M635" s="101"/>
      <c r="P635" s="90">
        <f t="shared" si="41"/>
        <v>-36015076</v>
      </c>
      <c r="R635" s="130">
        <f t="shared" si="42"/>
        <v>-36015076</v>
      </c>
      <c r="S635" s="90"/>
      <c r="T635" s="102">
        <f t="shared" si="43"/>
        <v>-36015076</v>
      </c>
      <c r="U635" s="95"/>
      <c r="V635" s="72"/>
      <c r="W635" s="75" t="e">
        <f>+A635-#REF!</f>
        <v>#REF!</v>
      </c>
      <c r="X635" s="1270"/>
      <c r="Y635" s="91"/>
      <c r="Z635" s="91"/>
      <c r="AA635" s="91"/>
    </row>
    <row r="636" spans="1:27" ht="14.4" customHeight="1" x14ac:dyDescent="0.3">
      <c r="A636">
        <v>706126</v>
      </c>
      <c r="B636" t="s">
        <v>689</v>
      </c>
      <c r="C636" t="s">
        <v>680</v>
      </c>
      <c r="D636" s="87" t="str">
        <f t="shared" si="44"/>
        <v>70</v>
      </c>
      <c r="E636" s="92"/>
      <c r="F636" s="93">
        <f>(+IFERROR(VLOOKUP($A636,'[152]BG (2)'!$B$9:$J$570,4,FALSE),0))*1</f>
        <v>0</v>
      </c>
      <c r="G636" s="73">
        <f>(+IFERROR(VLOOKUP($A636,'[152]BG (2)'!$B$9:$J$570,5,FALSE),0))*-1</f>
        <v>0</v>
      </c>
      <c r="H636" s="93">
        <f>(+IFERROR(VLOOKUP($A636,'[152]BG (2)'!$B$9:$J$570,6,FALSE),0))*1</f>
        <v>83898073</v>
      </c>
      <c r="I636" s="73">
        <f>(+IFERROR(VLOOKUP($A636,'[152]BG (2)'!$B$9:$J$570,7,FALSE),0))*-1</f>
        <v>-170931719</v>
      </c>
      <c r="J636" s="109">
        <f>(+IFERROR(VLOOKUP($A636,'[152]BG (2)'!$B$9:$J$570,8,FALSE),0))*1</f>
        <v>0</v>
      </c>
      <c r="K636" s="73">
        <f>(+IFERROR(VLOOKUP($A636,'[152]BG (2)'!$B$9:$J$570,9,FALSE),0))*-1</f>
        <v>-87033646</v>
      </c>
      <c r="L636" s="96"/>
      <c r="M636" s="101"/>
      <c r="P636" s="90">
        <f t="shared" si="41"/>
        <v>-87033646</v>
      </c>
      <c r="R636" s="130">
        <f t="shared" si="42"/>
        <v>-87033646</v>
      </c>
      <c r="S636" s="90"/>
      <c r="T636" s="102">
        <f t="shared" si="43"/>
        <v>-87033646</v>
      </c>
      <c r="U636" s="95"/>
      <c r="V636" s="72"/>
      <c r="W636" s="75" t="e">
        <f>+A636-#REF!</f>
        <v>#REF!</v>
      </c>
      <c r="X636" s="1270"/>
      <c r="Y636" s="91"/>
      <c r="Z636" s="91"/>
      <c r="AA636" s="91"/>
    </row>
    <row r="637" spans="1:27" ht="14.4" customHeight="1" x14ac:dyDescent="0.3">
      <c r="A637">
        <v>706128</v>
      </c>
      <c r="B637" t="s">
        <v>690</v>
      </c>
      <c r="C637" t="s">
        <v>680</v>
      </c>
      <c r="D637" s="87" t="str">
        <f t="shared" si="44"/>
        <v>70</v>
      </c>
      <c r="E637" s="92"/>
      <c r="F637" s="93">
        <f>(+IFERROR(VLOOKUP($A637,'[152]BG (2)'!$B$9:$J$570,4,FALSE),0))*1</f>
        <v>0</v>
      </c>
      <c r="G637" s="73">
        <f>(+IFERROR(VLOOKUP($A637,'[152]BG (2)'!$B$9:$J$570,5,FALSE),0))*-1</f>
        <v>0</v>
      </c>
      <c r="H637" s="93">
        <f>(+IFERROR(VLOOKUP($A637,'[152]BG (2)'!$B$9:$J$570,6,FALSE),0))*1</f>
        <v>670404</v>
      </c>
      <c r="I637" s="73">
        <f>(+IFERROR(VLOOKUP($A637,'[152]BG (2)'!$B$9:$J$570,7,FALSE),0))*-1</f>
        <v>-1381623</v>
      </c>
      <c r="J637" s="109">
        <f>(+IFERROR(VLOOKUP($A637,'[152]BG (2)'!$B$9:$J$570,8,FALSE),0))*1</f>
        <v>0</v>
      </c>
      <c r="K637" s="73">
        <f>(+IFERROR(VLOOKUP($A637,'[152]BG (2)'!$B$9:$J$570,9,FALSE),0))*-1</f>
        <v>-711219</v>
      </c>
      <c r="L637" s="96"/>
      <c r="M637" s="101"/>
      <c r="P637" s="90">
        <f t="shared" si="41"/>
        <v>-711219</v>
      </c>
      <c r="R637" s="130">
        <f t="shared" si="42"/>
        <v>-711219</v>
      </c>
      <c r="S637" s="90"/>
      <c r="T637" s="102">
        <f t="shared" si="43"/>
        <v>-711219</v>
      </c>
      <c r="U637" s="95"/>
      <c r="V637" s="72"/>
      <c r="W637" s="75" t="e">
        <f>+A637-#REF!</f>
        <v>#REF!</v>
      </c>
      <c r="X637" s="1270"/>
      <c r="Y637" s="91"/>
      <c r="Z637" s="91"/>
      <c r="AA637" s="91"/>
    </row>
    <row r="638" spans="1:27" ht="14.4" customHeight="1" x14ac:dyDescent="0.3">
      <c r="A638">
        <v>706129</v>
      </c>
      <c r="B638" t="s">
        <v>689</v>
      </c>
      <c r="C638" t="s">
        <v>680</v>
      </c>
      <c r="D638" s="87" t="str">
        <f t="shared" si="44"/>
        <v>70</v>
      </c>
      <c r="E638" s="92"/>
      <c r="F638" s="93">
        <f>(+IFERROR(VLOOKUP($A638,'[152]BG (2)'!$B$9:$J$570,4,FALSE),0))*1</f>
        <v>0</v>
      </c>
      <c r="G638" s="73">
        <f>(+IFERROR(VLOOKUP($A638,'[152]BG (2)'!$B$9:$J$570,5,FALSE),0))*-1</f>
        <v>0</v>
      </c>
      <c r="H638" s="93">
        <f>(+IFERROR(VLOOKUP($A638,'[152]BG (2)'!$B$9:$J$570,6,FALSE),0))*1</f>
        <v>33277964</v>
      </c>
      <c r="I638" s="73">
        <f>(+IFERROR(VLOOKUP($A638,'[152]BG (2)'!$B$9:$J$570,7,FALSE),0))*-1</f>
        <v>-59056712</v>
      </c>
      <c r="J638" s="109">
        <f>(+IFERROR(VLOOKUP($A638,'[152]BG (2)'!$B$9:$J$570,8,FALSE),0))*1</f>
        <v>0</v>
      </c>
      <c r="K638" s="73">
        <f>(+IFERROR(VLOOKUP($A638,'[152]BG (2)'!$B$9:$J$570,9,FALSE),0))*-1</f>
        <v>-25778748</v>
      </c>
      <c r="L638" s="96"/>
      <c r="M638" s="101"/>
      <c r="P638" s="90">
        <f t="shared" si="41"/>
        <v>-25778748</v>
      </c>
      <c r="R638" s="130">
        <f t="shared" si="42"/>
        <v>-25778748</v>
      </c>
      <c r="S638" s="90"/>
      <c r="T638" s="102">
        <f t="shared" si="43"/>
        <v>-25778748</v>
      </c>
      <c r="U638" s="95"/>
      <c r="V638" s="72"/>
      <c r="W638" s="75" t="e">
        <f>+A638-#REF!</f>
        <v>#REF!</v>
      </c>
      <c r="X638" s="1270"/>
      <c r="Y638" s="91"/>
      <c r="Z638" s="91"/>
      <c r="AA638" s="91"/>
    </row>
    <row r="639" spans="1:27" s="1498" customFormat="1" ht="14.4" customHeight="1" x14ac:dyDescent="0.3">
      <c r="A639">
        <v>706130</v>
      </c>
      <c r="B639" t="s">
        <v>691</v>
      </c>
      <c r="C639" t="s">
        <v>680</v>
      </c>
      <c r="D639" s="87" t="str">
        <f t="shared" si="44"/>
        <v>70</v>
      </c>
      <c r="E639" s="92"/>
      <c r="F639" s="93">
        <f>(+IFERROR(VLOOKUP($A639,'[152]BG (2)'!$B$9:$J$570,4,FALSE),0))*1</f>
        <v>0</v>
      </c>
      <c r="G639" s="73">
        <f>(+IFERROR(VLOOKUP($A639,'[152]BG (2)'!$B$9:$J$570,5,FALSE),0))*-1</f>
        <v>0</v>
      </c>
      <c r="H639" s="93">
        <f>(+IFERROR(VLOOKUP($A639,'[152]BG (2)'!$B$9:$J$570,6,FALSE),0))*1</f>
        <v>0</v>
      </c>
      <c r="I639" s="73">
        <f>(+IFERROR(VLOOKUP($A639,'[152]BG (2)'!$B$9:$J$570,7,FALSE),0))*-1</f>
        <v>0</v>
      </c>
      <c r="J639" s="109">
        <f>(+IFERROR(VLOOKUP($A639,'[152]BG (2)'!$B$9:$J$570,8,FALSE),0))*1</f>
        <v>0</v>
      </c>
      <c r="K639" s="73">
        <f>(+IFERROR(VLOOKUP($A639,'[152]BG (2)'!$B$9:$J$570,9,FALSE),0))*-1</f>
        <v>0</v>
      </c>
      <c r="L639" s="96"/>
      <c r="M639" s="101"/>
      <c r="N639" s="2"/>
      <c r="O639" s="2"/>
      <c r="P639" s="90">
        <f t="shared" si="41"/>
        <v>0</v>
      </c>
      <c r="Q639" s="2"/>
      <c r="R639" s="130">
        <f t="shared" si="42"/>
        <v>0</v>
      </c>
      <c r="S639" s="90"/>
      <c r="T639" s="102">
        <f t="shared" si="43"/>
        <v>0</v>
      </c>
      <c r="U639" s="95"/>
      <c r="V639" s="72"/>
      <c r="W639" s="75" t="e">
        <f>+A639-#REF!</f>
        <v>#REF!</v>
      </c>
      <c r="X639" s="1270"/>
      <c r="Y639" s="91"/>
      <c r="Z639" s="91"/>
      <c r="AA639" s="91"/>
    </row>
    <row r="640" spans="1:27" s="1498" customFormat="1" ht="14.4" customHeight="1" x14ac:dyDescent="0.3">
      <c r="A640" s="1488">
        <v>706131</v>
      </c>
      <c r="B640" s="1488" t="s">
        <v>692</v>
      </c>
      <c r="C640" s="1488" t="s">
        <v>680</v>
      </c>
      <c r="D640" s="87" t="str">
        <f t="shared" si="44"/>
        <v>70</v>
      </c>
      <c r="E640" s="1490"/>
      <c r="F640" s="1491">
        <f>(+IFERROR(VLOOKUP($A640,'[152]BG (2)'!$B$9:$J$570,4,FALSE),0))*1</f>
        <v>0</v>
      </c>
      <c r="G640" s="1492">
        <f>(+IFERROR(VLOOKUP($A640,'[152]BG (2)'!$B$9:$J$570,5,FALSE),0))*-1</f>
        <v>0</v>
      </c>
      <c r="H640" s="1491">
        <f>(+IFERROR(VLOOKUP($A640,'[152]BG (2)'!$B$9:$J$570,6,FALSE),0))*1</f>
        <v>0</v>
      </c>
      <c r="I640" s="1492">
        <f>(+IFERROR(VLOOKUP($A640,'[152]BG (2)'!$B$9:$J$570,7,FALSE),0))*-1</f>
        <v>0</v>
      </c>
      <c r="J640" s="124">
        <f>(+IFERROR(VLOOKUP($A640,'[152]BG (2)'!$B$9:$J$570,8,FALSE),0))*1</f>
        <v>0</v>
      </c>
      <c r="K640" s="1492">
        <f>(+IFERROR(VLOOKUP($A640,'[152]BG (2)'!$B$9:$J$570,9,FALSE),0))*-1</f>
        <v>0</v>
      </c>
      <c r="L640" s="1493"/>
      <c r="M640" s="1494"/>
      <c r="N640" s="4"/>
      <c r="O640" s="4"/>
      <c r="P640" s="90">
        <f t="shared" si="41"/>
        <v>0</v>
      </c>
      <c r="Q640" s="4"/>
      <c r="R640" s="1495">
        <f t="shared" si="42"/>
        <v>0</v>
      </c>
      <c r="S640" s="1496"/>
      <c r="T640" s="1496">
        <f t="shared" si="43"/>
        <v>0</v>
      </c>
      <c r="U640" s="1497"/>
      <c r="W640" s="1489" t="e">
        <f>+A640-#REF!</f>
        <v>#REF!</v>
      </c>
      <c r="Y640" s="91"/>
      <c r="Z640" s="91"/>
      <c r="AA640" s="91"/>
    </row>
    <row r="641" spans="1:27" s="1498" customFormat="1" ht="14.4" customHeight="1" x14ac:dyDescent="0.3">
      <c r="A641" s="1488">
        <v>706132</v>
      </c>
      <c r="B641" s="1488" t="s">
        <v>693</v>
      </c>
      <c r="C641" s="1488" t="s">
        <v>680</v>
      </c>
      <c r="D641" s="87" t="str">
        <f t="shared" si="44"/>
        <v>70</v>
      </c>
      <c r="E641" s="1490"/>
      <c r="F641" s="1491">
        <f>(+IFERROR(VLOOKUP($A641,'[152]BG (2)'!$B$9:$J$570,4,FALSE),0))*1</f>
        <v>0</v>
      </c>
      <c r="G641" s="1492">
        <f>(+IFERROR(VLOOKUP($A641,'[152]BG (2)'!$B$9:$J$570,5,FALSE),0))*-1</f>
        <v>0</v>
      </c>
      <c r="H641" s="1491">
        <f>(+IFERROR(VLOOKUP($A641,'[152]BG (2)'!$B$9:$J$570,6,FALSE),0))*1</f>
        <v>2259075484</v>
      </c>
      <c r="I641" s="1492">
        <f>(+IFERROR(VLOOKUP($A641,'[152]BG (2)'!$B$9:$J$570,7,FALSE),0))*-1</f>
        <v>-4305612149</v>
      </c>
      <c r="J641" s="124">
        <f>(+IFERROR(VLOOKUP($A641,'[152]BG (2)'!$B$9:$J$570,8,FALSE),0))*1</f>
        <v>0</v>
      </c>
      <c r="K641" s="1499">
        <f>(+IFERROR(VLOOKUP($A641,'[152]BG (2)'!$B$9:$J$570,9,FALSE),0))*-1</f>
        <v>-2046536665</v>
      </c>
      <c r="L641" s="1493"/>
      <c r="M641" s="1494"/>
      <c r="N641" s="4"/>
      <c r="O641" s="4"/>
      <c r="P641" s="90">
        <f t="shared" si="41"/>
        <v>-2046536665</v>
      </c>
      <c r="Q641" s="4"/>
      <c r="R641" s="1495">
        <f t="shared" si="42"/>
        <v>-2046536665</v>
      </c>
      <c r="S641" s="1496"/>
      <c r="T641" s="1496">
        <f t="shared" si="43"/>
        <v>-2046536665</v>
      </c>
      <c r="U641" s="1497"/>
      <c r="W641" s="1489" t="e">
        <f>+A641-#REF!</f>
        <v>#REF!</v>
      </c>
      <c r="Y641" s="91"/>
      <c r="Z641" s="91"/>
      <c r="AA641" s="91"/>
    </row>
    <row r="642" spans="1:27" s="1498" customFormat="1" ht="14.4" customHeight="1" x14ac:dyDescent="0.3">
      <c r="A642" s="1488">
        <v>706133</v>
      </c>
      <c r="B642" s="1488" t="s">
        <v>694</v>
      </c>
      <c r="C642" s="1488" t="s">
        <v>680</v>
      </c>
      <c r="D642" s="87" t="str">
        <f t="shared" si="44"/>
        <v>70</v>
      </c>
      <c r="E642" s="1490"/>
      <c r="F642" s="1491">
        <f>(+IFERROR(VLOOKUP($A642,'[152]BG (2)'!$B$9:$J$570,4,FALSE),0))*1</f>
        <v>0</v>
      </c>
      <c r="G642" s="1492">
        <f>(+IFERROR(VLOOKUP($A642,'[152]BG (2)'!$B$9:$J$570,5,FALSE),0))*-1</f>
        <v>0</v>
      </c>
      <c r="H642" s="1491">
        <f>(+IFERROR(VLOOKUP($A642,'[152]BG (2)'!$B$9:$J$570,6,FALSE),0))*1</f>
        <v>0</v>
      </c>
      <c r="I642" s="1492">
        <f>(+IFERROR(VLOOKUP($A642,'[152]BG (2)'!$B$9:$J$570,7,FALSE),0))*-1</f>
        <v>0</v>
      </c>
      <c r="J642" s="124">
        <f>(+IFERROR(VLOOKUP($A642,'[152]BG (2)'!$B$9:$J$570,8,FALSE),0))*1</f>
        <v>0</v>
      </c>
      <c r="K642" s="1492">
        <f>(+IFERROR(VLOOKUP($A642,'[152]BG (2)'!$B$9:$J$570,9,FALSE),0))*-1</f>
        <v>0</v>
      </c>
      <c r="L642" s="1493"/>
      <c r="M642" s="1494"/>
      <c r="N642" s="4"/>
      <c r="O642" s="4"/>
      <c r="P642" s="90">
        <f t="shared" si="41"/>
        <v>0</v>
      </c>
      <c r="Q642" s="4"/>
      <c r="R642" s="1495">
        <f t="shared" si="42"/>
        <v>0</v>
      </c>
      <c r="S642" s="1496"/>
      <c r="T642" s="1496">
        <f t="shared" si="43"/>
        <v>0</v>
      </c>
      <c r="U642" s="1497"/>
      <c r="W642" s="1489" t="e">
        <f>+A642-#REF!</f>
        <v>#REF!</v>
      </c>
      <c r="Y642" s="91"/>
      <c r="Z642" s="91"/>
      <c r="AA642" s="91"/>
    </row>
    <row r="643" spans="1:27" s="1498" customFormat="1" ht="14.4" customHeight="1" x14ac:dyDescent="0.3">
      <c r="A643" s="1488">
        <v>706134</v>
      </c>
      <c r="B643" s="1488" t="s">
        <v>695</v>
      </c>
      <c r="C643" s="1488" t="s">
        <v>680</v>
      </c>
      <c r="D643" s="87" t="str">
        <f t="shared" si="44"/>
        <v>70</v>
      </c>
      <c r="E643" s="1490"/>
      <c r="F643" s="1491">
        <f>(+IFERROR(VLOOKUP($A643,'[152]BG (2)'!$B$9:$J$570,4,FALSE),0))*1</f>
        <v>0</v>
      </c>
      <c r="G643" s="1492">
        <f>(+IFERROR(VLOOKUP($A643,'[152]BG (2)'!$B$9:$J$570,5,FALSE),0))*-1</f>
        <v>0</v>
      </c>
      <c r="H643" s="1491">
        <f>(+IFERROR(VLOOKUP($A643,'[152]BG (2)'!$B$9:$J$570,6,FALSE),0))*1</f>
        <v>1013379057</v>
      </c>
      <c r="I643" s="1492">
        <f>(+IFERROR(VLOOKUP($A643,'[152]BG (2)'!$B$9:$J$570,7,FALSE),0))*-1</f>
        <v>-1014627248</v>
      </c>
      <c r="J643" s="124">
        <f>(+IFERROR(VLOOKUP($A643,'[152]BG (2)'!$B$9:$J$570,8,FALSE),0))*1</f>
        <v>0</v>
      </c>
      <c r="K643" s="1492">
        <f>(+IFERROR(VLOOKUP($A643,'[152]BG (2)'!$B$9:$J$570,9,FALSE),0))*-1</f>
        <v>-1248191</v>
      </c>
      <c r="L643" s="1493"/>
      <c r="M643" s="1494"/>
      <c r="N643" s="4"/>
      <c r="O643" s="4"/>
      <c r="P643" s="90">
        <f t="shared" si="41"/>
        <v>-1248191</v>
      </c>
      <c r="Q643" s="4"/>
      <c r="R643" s="1495">
        <f t="shared" si="42"/>
        <v>-1248191</v>
      </c>
      <c r="S643" s="1496"/>
      <c r="T643" s="1496">
        <f t="shared" si="43"/>
        <v>-1248191</v>
      </c>
      <c r="U643" s="1497"/>
      <c r="W643" s="1489" t="e">
        <f>+A643-#REF!</f>
        <v>#REF!</v>
      </c>
      <c r="Y643" s="91"/>
      <c r="Z643" s="91"/>
      <c r="AA643" s="91"/>
    </row>
    <row r="644" spans="1:27" s="1498" customFormat="1" ht="14.4" customHeight="1" x14ac:dyDescent="0.3">
      <c r="A644" s="1488">
        <v>706135</v>
      </c>
      <c r="B644" s="1488" t="s">
        <v>696</v>
      </c>
      <c r="C644" s="1488" t="s">
        <v>680</v>
      </c>
      <c r="D644" s="87" t="str">
        <f t="shared" si="44"/>
        <v>70</v>
      </c>
      <c r="E644" s="1490"/>
      <c r="F644" s="1491">
        <f>(+IFERROR(VLOOKUP($A644,'[152]BG (2)'!$B$9:$J$570,4,FALSE),0))*1</f>
        <v>0</v>
      </c>
      <c r="G644" s="1492">
        <f>(+IFERROR(VLOOKUP($A644,'[152]BG (2)'!$B$9:$J$570,5,FALSE),0))*-1</f>
        <v>0</v>
      </c>
      <c r="H644" s="1491">
        <f>(+IFERROR(VLOOKUP($A644,'[152]BG (2)'!$B$9:$J$570,6,FALSE),0))*1</f>
        <v>0</v>
      </c>
      <c r="I644" s="1492">
        <f>(+IFERROR(VLOOKUP($A644,'[152]BG (2)'!$B$9:$J$570,7,FALSE),0))*-1</f>
        <v>0</v>
      </c>
      <c r="J644" s="124">
        <f>(+IFERROR(VLOOKUP($A644,'[152]BG (2)'!$B$9:$J$570,8,FALSE),0))*1</f>
        <v>0</v>
      </c>
      <c r="K644" s="1492">
        <f>(+IFERROR(VLOOKUP($A644,'[152]BG (2)'!$B$9:$J$570,9,FALSE),0))*-1</f>
        <v>0</v>
      </c>
      <c r="L644" s="1493"/>
      <c r="M644" s="1494"/>
      <c r="N644" s="4"/>
      <c r="O644" s="4"/>
      <c r="P644" s="90">
        <f t="shared" si="41"/>
        <v>0</v>
      </c>
      <c r="Q644" s="4"/>
      <c r="R644" s="1495">
        <f t="shared" si="42"/>
        <v>0</v>
      </c>
      <c r="S644" s="1496"/>
      <c r="T644" s="1496">
        <f t="shared" si="43"/>
        <v>0</v>
      </c>
      <c r="U644" s="1497"/>
      <c r="W644" s="1489" t="e">
        <f>+A644-#REF!</f>
        <v>#REF!</v>
      </c>
      <c r="Y644" s="91"/>
      <c r="Z644" s="91"/>
      <c r="AA644" s="91"/>
    </row>
    <row r="645" spans="1:27" s="1498" customFormat="1" ht="14.4" customHeight="1" x14ac:dyDescent="0.3">
      <c r="A645" s="1488">
        <v>706136</v>
      </c>
      <c r="B645" s="1488" t="s">
        <v>692</v>
      </c>
      <c r="C645" s="1488" t="s">
        <v>680</v>
      </c>
      <c r="D645" s="87" t="str">
        <f t="shared" si="44"/>
        <v>70</v>
      </c>
      <c r="E645" s="1490"/>
      <c r="F645" s="1491">
        <f>(+IFERROR(VLOOKUP($A645,'[152]BG (2)'!$B$9:$J$570,4,FALSE),0))*1</f>
        <v>0</v>
      </c>
      <c r="G645" s="1492">
        <f>(+IFERROR(VLOOKUP($A645,'[152]BG (2)'!$B$9:$J$570,5,FALSE),0))*-1</f>
        <v>0</v>
      </c>
      <c r="H645" s="1491">
        <f>(+IFERROR(VLOOKUP($A645,'[152]BG (2)'!$B$9:$J$570,6,FALSE),0))*1</f>
        <v>0</v>
      </c>
      <c r="I645" s="1492">
        <f>(+IFERROR(VLOOKUP($A645,'[152]BG (2)'!$B$9:$J$570,7,FALSE),0))*-1</f>
        <v>0</v>
      </c>
      <c r="J645" s="124">
        <f>(+IFERROR(VLOOKUP($A645,'[152]BG (2)'!$B$9:$J$570,8,FALSE),0))*1</f>
        <v>0</v>
      </c>
      <c r="K645" s="1492">
        <f>(+IFERROR(VLOOKUP($A645,'[152]BG (2)'!$B$9:$J$570,9,FALSE),0))*-1</f>
        <v>0</v>
      </c>
      <c r="L645" s="1493"/>
      <c r="M645" s="1494"/>
      <c r="N645" s="4"/>
      <c r="O645" s="4"/>
      <c r="P645" s="90">
        <f t="shared" si="41"/>
        <v>0</v>
      </c>
      <c r="Q645" s="4"/>
      <c r="R645" s="1495">
        <f t="shared" si="42"/>
        <v>0</v>
      </c>
      <c r="S645" s="1496"/>
      <c r="T645" s="1496">
        <f t="shared" si="43"/>
        <v>0</v>
      </c>
      <c r="U645" s="1497"/>
      <c r="W645" s="1489" t="e">
        <f>+A645-#REF!</f>
        <v>#REF!</v>
      </c>
      <c r="Y645" s="91"/>
      <c r="Z645" s="91"/>
      <c r="AA645" s="91"/>
    </row>
    <row r="646" spans="1:27" s="1498" customFormat="1" ht="14.4" customHeight="1" x14ac:dyDescent="0.3">
      <c r="A646" s="1488">
        <v>706137</v>
      </c>
      <c r="B646" s="1488" t="s">
        <v>693</v>
      </c>
      <c r="C646" s="1488" t="s">
        <v>680</v>
      </c>
      <c r="D646" s="87" t="str">
        <f t="shared" si="44"/>
        <v>70</v>
      </c>
      <c r="E646" s="1490"/>
      <c r="F646" s="1491">
        <f>(+IFERROR(VLOOKUP($A646,'[152]BG (2)'!$B$9:$J$570,4,FALSE),0))*1</f>
        <v>0</v>
      </c>
      <c r="G646" s="1492">
        <f>(+IFERROR(VLOOKUP($A646,'[152]BG (2)'!$B$9:$J$570,5,FALSE),0))*-1</f>
        <v>0</v>
      </c>
      <c r="H646" s="1491">
        <f>(+IFERROR(VLOOKUP($A646,'[152]BG (2)'!$B$9:$J$570,6,FALSE),0))*1</f>
        <v>0</v>
      </c>
      <c r="I646" s="1492">
        <f>(+IFERROR(VLOOKUP($A646,'[152]BG (2)'!$B$9:$J$570,7,FALSE),0))*-1</f>
        <v>-7031119</v>
      </c>
      <c r="J646" s="124">
        <f>(+IFERROR(VLOOKUP($A646,'[152]BG (2)'!$B$9:$J$570,8,FALSE),0))*1</f>
        <v>0</v>
      </c>
      <c r="K646" s="1492">
        <f>(+IFERROR(VLOOKUP($A646,'[152]BG (2)'!$B$9:$J$570,9,FALSE),0))*-1</f>
        <v>-7031119</v>
      </c>
      <c r="L646" s="1493"/>
      <c r="M646" s="1494"/>
      <c r="N646" s="4"/>
      <c r="O646" s="4"/>
      <c r="P646" s="90">
        <f t="shared" ref="P646:P688" si="45">J646+K646</f>
        <v>-7031119</v>
      </c>
      <c r="Q646" s="4"/>
      <c r="R646" s="1495">
        <f t="shared" si="42"/>
        <v>-7031119</v>
      </c>
      <c r="S646" s="1496"/>
      <c r="T646" s="1496">
        <f t="shared" si="43"/>
        <v>-7031119</v>
      </c>
      <c r="U646" s="1497"/>
      <c r="W646" s="1489" t="e">
        <f>+A646-#REF!</f>
        <v>#REF!</v>
      </c>
      <c r="Y646" s="91"/>
      <c r="Z646" s="91"/>
      <c r="AA646" s="91"/>
    </row>
    <row r="647" spans="1:27" s="1498" customFormat="1" ht="14.4" customHeight="1" x14ac:dyDescent="0.3">
      <c r="A647" s="1488">
        <v>706138</v>
      </c>
      <c r="B647" s="1488" t="s">
        <v>694</v>
      </c>
      <c r="C647" s="1488" t="s">
        <v>680</v>
      </c>
      <c r="D647" s="87" t="str">
        <f t="shared" si="44"/>
        <v>70</v>
      </c>
      <c r="E647" s="1490"/>
      <c r="F647" s="1491">
        <f>(+IFERROR(VLOOKUP($A647,'[152]BG (2)'!$B$9:$J$570,4,FALSE),0))*1</f>
        <v>0</v>
      </c>
      <c r="G647" s="1492">
        <f>(+IFERROR(VLOOKUP($A647,'[152]BG (2)'!$B$9:$J$570,5,FALSE),0))*-1</f>
        <v>0</v>
      </c>
      <c r="H647" s="1491">
        <f>(+IFERROR(VLOOKUP($A647,'[152]BG (2)'!$B$9:$J$570,6,FALSE),0))*1</f>
        <v>0</v>
      </c>
      <c r="I647" s="1492">
        <f>(+IFERROR(VLOOKUP($A647,'[152]BG (2)'!$B$9:$J$570,7,FALSE),0))*-1</f>
        <v>-904035098</v>
      </c>
      <c r="J647" s="124">
        <f>(+IFERROR(VLOOKUP($A647,'[152]BG (2)'!$B$9:$J$570,8,FALSE),0))*1</f>
        <v>0</v>
      </c>
      <c r="K647" s="1492">
        <f>(+IFERROR(VLOOKUP($A647,'[152]BG (2)'!$B$9:$J$570,9,FALSE),0))*-1</f>
        <v>-904035098</v>
      </c>
      <c r="L647" s="1493"/>
      <c r="M647" s="1494"/>
      <c r="N647" s="4"/>
      <c r="O647" s="4"/>
      <c r="P647" s="90">
        <f t="shared" si="45"/>
        <v>-904035098</v>
      </c>
      <c r="Q647" s="4"/>
      <c r="R647" s="1495">
        <f t="shared" si="42"/>
        <v>-904035098</v>
      </c>
      <c r="S647" s="1496"/>
      <c r="T647" s="1496">
        <f t="shared" si="43"/>
        <v>-904035098</v>
      </c>
      <c r="U647" s="1497"/>
      <c r="W647" s="1489" t="e">
        <f>+A647-#REF!</f>
        <v>#REF!</v>
      </c>
      <c r="Y647" s="91"/>
      <c r="Z647" s="91"/>
      <c r="AA647" s="91"/>
    </row>
    <row r="648" spans="1:27" ht="14.4" customHeight="1" x14ac:dyDescent="0.3">
      <c r="A648" s="1488">
        <v>706139</v>
      </c>
      <c r="B648" s="1488" t="s">
        <v>694</v>
      </c>
      <c r="C648" s="1488" t="s">
        <v>680</v>
      </c>
      <c r="D648" s="87" t="str">
        <f t="shared" si="44"/>
        <v>70</v>
      </c>
      <c r="E648" s="1490"/>
      <c r="F648" s="1491">
        <f>(+IFERROR(VLOOKUP($A648,'[152]BG (2)'!$B$9:$J$570,4,FALSE),0))*1</f>
        <v>0</v>
      </c>
      <c r="G648" s="1492">
        <f>(+IFERROR(VLOOKUP($A648,'[152]BG (2)'!$B$9:$J$570,5,FALSE),0))*-1</f>
        <v>0</v>
      </c>
      <c r="H648" s="1491">
        <f>(+IFERROR(VLOOKUP($A648,'[152]BG (2)'!$B$9:$J$570,6,FALSE),0))*1</f>
        <v>0</v>
      </c>
      <c r="I648" s="1492">
        <f>(+IFERROR(VLOOKUP($A648,'[152]BG (2)'!$B$9:$J$570,7,FALSE),0))*-1</f>
        <v>0</v>
      </c>
      <c r="J648" s="124">
        <f>(+IFERROR(VLOOKUP($A648,'[152]BG (2)'!$B$9:$J$570,8,FALSE),0))*1</f>
        <v>0</v>
      </c>
      <c r="K648" s="1492">
        <f>(+IFERROR(VLOOKUP($A648,'[152]BG (2)'!$B$9:$J$570,9,FALSE),0))*-1</f>
        <v>0</v>
      </c>
      <c r="L648" s="1493"/>
      <c r="M648" s="1494"/>
      <c r="N648" s="4"/>
      <c r="O648" s="4"/>
      <c r="P648" s="90">
        <f t="shared" si="45"/>
        <v>0</v>
      </c>
      <c r="Q648" s="4"/>
      <c r="R648" s="1495">
        <f t="shared" si="42"/>
        <v>0</v>
      </c>
      <c r="S648" s="1496"/>
      <c r="T648" s="1496">
        <f t="shared" si="43"/>
        <v>0</v>
      </c>
      <c r="U648" s="1497"/>
      <c r="V648" s="1498"/>
      <c r="W648" s="1489" t="e">
        <f>+A648-#REF!</f>
        <v>#REF!</v>
      </c>
      <c r="X648" s="1498"/>
      <c r="Y648" s="91"/>
      <c r="Z648" s="91"/>
      <c r="AA648" s="91"/>
    </row>
    <row r="649" spans="1:27" ht="14.4" customHeight="1" x14ac:dyDescent="0.3">
      <c r="A649">
        <v>706140</v>
      </c>
      <c r="B649" t="s">
        <v>697</v>
      </c>
      <c r="C649" t="s">
        <v>680</v>
      </c>
      <c r="D649" s="87" t="str">
        <f t="shared" si="44"/>
        <v>70</v>
      </c>
      <c r="E649" s="92"/>
      <c r="F649" s="93">
        <f>(+IFERROR(VLOOKUP($A649,'[152]BG (2)'!$B$9:$J$570,4,FALSE),0))*1</f>
        <v>0</v>
      </c>
      <c r="G649" s="73">
        <f>(+IFERROR(VLOOKUP($A649,'[152]BG (2)'!$B$9:$J$570,5,FALSE),0))*-1</f>
        <v>0</v>
      </c>
      <c r="H649" s="93">
        <f>(+IFERROR(VLOOKUP($A649,'[152]BG (2)'!$B$9:$J$570,6,FALSE),0))*1</f>
        <v>0</v>
      </c>
      <c r="I649" s="73">
        <f>(+IFERROR(VLOOKUP($A649,'[152]BG (2)'!$B$9:$J$570,7,FALSE),0))*-1</f>
        <v>-213312690</v>
      </c>
      <c r="J649" s="109">
        <f>(+IFERROR(VLOOKUP($A649,'[152]BG (2)'!$B$9:$J$570,8,FALSE),0))*1</f>
        <v>0</v>
      </c>
      <c r="K649" s="73">
        <f>(+IFERROR(VLOOKUP($A649,'[152]BG (2)'!$B$9:$J$570,9,FALSE),0))*-1</f>
        <v>-213312690</v>
      </c>
      <c r="L649" s="96"/>
      <c r="M649" s="101"/>
      <c r="P649" s="90">
        <f t="shared" si="45"/>
        <v>-213312690</v>
      </c>
      <c r="R649" s="130">
        <f t="shared" si="42"/>
        <v>-213312690</v>
      </c>
      <c r="S649" s="90"/>
      <c r="T649" s="102">
        <f t="shared" si="43"/>
        <v>-213312690</v>
      </c>
      <c r="U649" s="95"/>
      <c r="V649" s="72"/>
      <c r="W649" s="75" t="e">
        <f>+A649-#REF!</f>
        <v>#REF!</v>
      </c>
      <c r="X649" s="1270"/>
      <c r="Y649" s="91"/>
      <c r="Z649" s="91"/>
      <c r="AA649" s="91"/>
    </row>
    <row r="650" spans="1:27" ht="14.4" customHeight="1" x14ac:dyDescent="0.3">
      <c r="A650">
        <v>706141</v>
      </c>
      <c r="B650" t="s">
        <v>698</v>
      </c>
      <c r="C650" t="s">
        <v>680</v>
      </c>
      <c r="D650" s="87" t="str">
        <f t="shared" si="44"/>
        <v>70</v>
      </c>
      <c r="E650" s="92"/>
      <c r="F650" s="93">
        <f>(+IFERROR(VLOOKUP($A650,'[152]BG (2)'!$B$9:$J$570,4,FALSE),0))*1</f>
        <v>0</v>
      </c>
      <c r="G650" s="73">
        <f>(+IFERROR(VLOOKUP($A650,'[152]BG (2)'!$B$9:$J$570,5,FALSE),0))*-1</f>
        <v>0</v>
      </c>
      <c r="H650" s="93">
        <f>(+IFERROR(VLOOKUP($A650,'[152]BG (2)'!$B$9:$J$570,6,FALSE),0))*1</f>
        <v>39375845</v>
      </c>
      <c r="I650" s="73">
        <f>(+IFERROR(VLOOKUP($A650,'[152]BG (2)'!$B$9:$J$570,7,FALSE),0))*-1</f>
        <v>-64260817</v>
      </c>
      <c r="J650" s="109">
        <f>(+IFERROR(VLOOKUP($A650,'[152]BG (2)'!$B$9:$J$570,8,FALSE),0))*1</f>
        <v>0</v>
      </c>
      <c r="K650" s="73">
        <f>(+IFERROR(VLOOKUP($A650,'[152]BG (2)'!$B$9:$J$570,9,FALSE),0))*-1</f>
        <v>-24884972</v>
      </c>
      <c r="L650" s="96"/>
      <c r="M650" s="101"/>
      <c r="P650" s="90">
        <f t="shared" si="45"/>
        <v>-24884972</v>
      </c>
      <c r="R650" s="130">
        <f t="shared" si="42"/>
        <v>-24884972</v>
      </c>
      <c r="S650" s="90"/>
      <c r="T650" s="102">
        <f t="shared" si="43"/>
        <v>-24884972</v>
      </c>
      <c r="U650" s="95"/>
      <c r="V650" s="72"/>
      <c r="W650" s="75" t="e">
        <f>+A650-#REF!</f>
        <v>#REF!</v>
      </c>
      <c r="X650" s="1270"/>
      <c r="Y650" s="91"/>
      <c r="Z650" s="91"/>
      <c r="AA650" s="91"/>
    </row>
    <row r="651" spans="1:27" ht="14.4" customHeight="1" x14ac:dyDescent="0.3">
      <c r="A651">
        <v>706142</v>
      </c>
      <c r="B651" t="s">
        <v>699</v>
      </c>
      <c r="C651" t="s">
        <v>680</v>
      </c>
      <c r="D651" s="87" t="str">
        <f t="shared" si="44"/>
        <v>70</v>
      </c>
      <c r="E651" s="92"/>
      <c r="F651" s="93">
        <f>(+IFERROR(VLOOKUP($A651,'[152]BG (2)'!$B$9:$J$570,4,FALSE),0))*1</f>
        <v>0</v>
      </c>
      <c r="G651" s="73">
        <f>(+IFERROR(VLOOKUP($A651,'[152]BG (2)'!$B$9:$J$570,5,FALSE),0))*-1</f>
        <v>0</v>
      </c>
      <c r="H651" s="93">
        <f>(+IFERROR(VLOOKUP($A651,'[152]BG (2)'!$B$9:$J$570,6,FALSE),0))*1</f>
        <v>42865916</v>
      </c>
      <c r="I651" s="73">
        <f>(+IFERROR(VLOOKUP($A651,'[152]BG (2)'!$B$9:$J$570,7,FALSE),0))*-1</f>
        <v>-585101878</v>
      </c>
      <c r="J651" s="109">
        <f>(+IFERROR(VLOOKUP($A651,'[152]BG (2)'!$B$9:$J$570,8,FALSE),0))*1</f>
        <v>0</v>
      </c>
      <c r="K651" s="73">
        <f>(+IFERROR(VLOOKUP($A651,'[152]BG (2)'!$B$9:$J$570,9,FALSE),0))*-1</f>
        <v>-542235962</v>
      </c>
      <c r="L651" s="96"/>
      <c r="M651" s="101"/>
      <c r="P651" s="90">
        <f t="shared" si="45"/>
        <v>-542235962</v>
      </c>
      <c r="R651" s="130">
        <f t="shared" si="42"/>
        <v>-542235962</v>
      </c>
      <c r="S651" s="90"/>
      <c r="T651" s="102">
        <f t="shared" si="43"/>
        <v>-542235962</v>
      </c>
      <c r="U651" s="95"/>
      <c r="V651" s="72"/>
      <c r="W651" s="75" t="e">
        <f>+A651-#REF!</f>
        <v>#REF!</v>
      </c>
      <c r="X651" s="1270"/>
      <c r="Y651" s="91"/>
      <c r="Z651" s="91"/>
      <c r="AA651" s="91"/>
    </row>
    <row r="652" spans="1:27" ht="14.4" customHeight="1" x14ac:dyDescent="0.3">
      <c r="A652" s="1482">
        <v>706143</v>
      </c>
      <c r="B652" s="1482" t="s">
        <v>2380</v>
      </c>
      <c r="C652" t="s">
        <v>680</v>
      </c>
      <c r="D652" s="87" t="str">
        <f t="shared" si="44"/>
        <v>70</v>
      </c>
      <c r="E652" s="72"/>
      <c r="F652" s="93">
        <f>(+IFERROR(VLOOKUP($A652,'[152]BG (2)'!$B$9:$J$570,4,FALSE),0))*1</f>
        <v>0</v>
      </c>
      <c r="G652" s="73">
        <f>(+IFERROR(VLOOKUP($A652,'[152]BG (2)'!$B$9:$J$570,5,FALSE),0))*-1</f>
        <v>0</v>
      </c>
      <c r="H652" s="93">
        <f>(+IFERROR(VLOOKUP($A652,'[152]BG (2)'!$B$9:$J$570,6,FALSE),0))*1</f>
        <v>15645850</v>
      </c>
      <c r="I652" s="73">
        <f>(+IFERROR(VLOOKUP($A652,'[152]BG (2)'!$B$9:$J$570,7,FALSE),0))*-1</f>
        <v>-71430824</v>
      </c>
      <c r="J652" s="109">
        <f>(+IFERROR(VLOOKUP($A652,'[152]BG (2)'!$B$9:$J$570,8,FALSE),0))*1</f>
        <v>0</v>
      </c>
      <c r="K652" s="73">
        <f>(+IFERROR(VLOOKUP($A652,'[152]BG (2)'!$B$9:$J$570,9,FALSE),0))*-1</f>
        <v>-55784974</v>
      </c>
      <c r="L652" s="75">
        <f>J652+K652</f>
        <v>-55784974</v>
      </c>
      <c r="M652" s="72"/>
      <c r="N652" s="72"/>
      <c r="O652" s="72"/>
      <c r="P652" s="90">
        <f t="shared" si="45"/>
        <v>-55784974</v>
      </c>
      <c r="Q652" s="72"/>
      <c r="R652" s="72"/>
      <c r="S652"/>
      <c r="T652"/>
      <c r="U652"/>
      <c r="V652" s="72"/>
      <c r="W652" s="72"/>
      <c r="X652" s="72"/>
      <c r="Y652" s="91"/>
      <c r="Z652" s="91"/>
      <c r="AA652" s="91"/>
    </row>
    <row r="653" spans="1:27" ht="14.4" customHeight="1" x14ac:dyDescent="0.3">
      <c r="A653" s="1482">
        <v>706144</v>
      </c>
      <c r="B653" s="1482" t="s">
        <v>2381</v>
      </c>
      <c r="C653" t="s">
        <v>680</v>
      </c>
      <c r="D653" s="87" t="str">
        <f t="shared" si="44"/>
        <v>70</v>
      </c>
      <c r="E653" s="72"/>
      <c r="F653" s="93">
        <f>(+IFERROR(VLOOKUP($A653,'[152]BG (2)'!$B$9:$J$570,4,FALSE),0))*1</f>
        <v>0</v>
      </c>
      <c r="G653" s="73">
        <f>(+IFERROR(VLOOKUP($A653,'[152]BG (2)'!$B$9:$J$570,5,FALSE),0))*-1</f>
        <v>0</v>
      </c>
      <c r="H653" s="93">
        <f>(+IFERROR(VLOOKUP($A653,'[152]BG (2)'!$B$9:$J$570,6,FALSE),0))*1</f>
        <v>0</v>
      </c>
      <c r="I653" s="73">
        <f>(+IFERROR(VLOOKUP($A653,'[152]BG (2)'!$B$9:$J$570,7,FALSE),0))*-1</f>
        <v>-203760</v>
      </c>
      <c r="J653" s="109">
        <f>(+IFERROR(VLOOKUP($A653,'[152]BG (2)'!$B$9:$J$570,8,FALSE),0))*1</f>
        <v>0</v>
      </c>
      <c r="K653" s="73">
        <f>(+IFERROR(VLOOKUP($A653,'[152]BG (2)'!$B$9:$J$570,9,FALSE),0))*-1</f>
        <v>-203760</v>
      </c>
      <c r="L653" s="75">
        <f>J653+K653</f>
        <v>-203760</v>
      </c>
      <c r="M653" s="72"/>
      <c r="N653" s="72"/>
      <c r="O653" s="72"/>
      <c r="P653" s="90">
        <f t="shared" si="45"/>
        <v>-203760</v>
      </c>
      <c r="Q653" s="72"/>
      <c r="R653" s="72"/>
      <c r="S653"/>
      <c r="T653"/>
      <c r="U653"/>
      <c r="V653" s="72"/>
      <c r="W653" s="72"/>
      <c r="X653" s="72"/>
      <c r="Y653" s="91"/>
      <c r="Z653" s="91"/>
      <c r="AA653" s="91"/>
    </row>
    <row r="654" spans="1:27" ht="14.4" customHeight="1" x14ac:dyDescent="0.3">
      <c r="A654" s="1482">
        <v>706145</v>
      </c>
      <c r="B654" s="1482" t="s">
        <v>2382</v>
      </c>
      <c r="C654" t="s">
        <v>680</v>
      </c>
      <c r="D654" s="87" t="str">
        <f t="shared" si="44"/>
        <v>70</v>
      </c>
      <c r="E654" s="72"/>
      <c r="F654" s="93">
        <f>(+IFERROR(VLOOKUP($A654,'[152]BG (2)'!$B$9:$J$570,4,FALSE),0))*1</f>
        <v>0</v>
      </c>
      <c r="G654" s="73">
        <f>(+IFERROR(VLOOKUP($A654,'[152]BG (2)'!$B$9:$J$570,5,FALSE),0))*-1</f>
        <v>0</v>
      </c>
      <c r="H654" s="93">
        <f>(+IFERROR(VLOOKUP($A654,'[152]BG (2)'!$B$9:$J$570,6,FALSE),0))*1</f>
        <v>0</v>
      </c>
      <c r="I654" s="73">
        <f>(+IFERROR(VLOOKUP($A654,'[152]BG (2)'!$B$9:$J$570,7,FALSE),0))*-1</f>
        <v>-129586371</v>
      </c>
      <c r="J654" s="109">
        <f>(+IFERROR(VLOOKUP($A654,'[152]BG (2)'!$B$9:$J$570,8,FALSE),0))*1</f>
        <v>0</v>
      </c>
      <c r="K654" s="73">
        <f>(+IFERROR(VLOOKUP($A654,'[152]BG (2)'!$B$9:$J$570,9,FALSE),0))*-1</f>
        <v>-129586371</v>
      </c>
      <c r="L654" s="75">
        <f>J654+K654</f>
        <v>-129586371</v>
      </c>
      <c r="M654" s="72"/>
      <c r="N654" s="72"/>
      <c r="O654" s="72"/>
      <c r="P654" s="90">
        <f t="shared" si="45"/>
        <v>-129586371</v>
      </c>
      <c r="Q654" s="72"/>
      <c r="R654" s="72"/>
      <c r="S654"/>
      <c r="T654"/>
      <c r="U654"/>
      <c r="V654" s="72"/>
      <c r="W654" s="72"/>
      <c r="X654" s="72"/>
      <c r="Y654" s="91"/>
      <c r="Z654" s="91"/>
      <c r="AA654" s="91"/>
    </row>
    <row r="655" spans="1:27" ht="14.4" customHeight="1" x14ac:dyDescent="0.3">
      <c r="A655" s="97">
        <v>706150</v>
      </c>
      <c r="B655" s="97" t="s">
        <v>700</v>
      </c>
      <c r="C655" t="s">
        <v>680</v>
      </c>
      <c r="D655" s="87" t="str">
        <f t="shared" ref="D655:D688" si="46">+LEFT(A655,2)</f>
        <v>70</v>
      </c>
      <c r="E655" s="92"/>
      <c r="F655" s="93">
        <f>(+IFERROR(VLOOKUP($A655,'[152]BG (2)'!$B$9:$J$570,4,FALSE),0))*1</f>
        <v>0</v>
      </c>
      <c r="G655" s="73">
        <f>(+IFERROR(VLOOKUP($A655,'[152]BG (2)'!$B$9:$J$570,5,FALSE),0))*-1</f>
        <v>0</v>
      </c>
      <c r="H655" s="93">
        <f>(+IFERROR(VLOOKUP($A655,'[152]BG (2)'!$B$9:$J$570,6,FALSE),0))*1</f>
        <v>0</v>
      </c>
      <c r="I655" s="73">
        <f>(+IFERROR(VLOOKUP($A655,'[152]BG (2)'!$B$9:$J$570,7,FALSE),0))*-1</f>
        <v>-5697280649</v>
      </c>
      <c r="J655" s="109">
        <f>(+IFERROR(VLOOKUP($A655,'[152]BG (2)'!$B$9:$J$570,8,FALSE),0))*1</f>
        <v>0</v>
      </c>
      <c r="K655" s="73">
        <f>(+IFERROR(VLOOKUP($A655,'[152]BG (2)'!$B$9:$J$570,9,FALSE),0))*-1</f>
        <v>-5697280649</v>
      </c>
      <c r="L655" s="96"/>
      <c r="M655" s="101"/>
      <c r="P655" s="90">
        <f t="shared" si="45"/>
        <v>-5697280649</v>
      </c>
      <c r="R655" s="130"/>
      <c r="S655" s="90"/>
      <c r="T655" s="102"/>
      <c r="U655" s="95"/>
      <c r="V655" s="72"/>
      <c r="W655" s="75" t="e">
        <f>+A655-#REF!</f>
        <v>#REF!</v>
      </c>
      <c r="X655" s="1270"/>
      <c r="Y655" s="91"/>
      <c r="Z655" s="91"/>
      <c r="AA655" s="91"/>
    </row>
    <row r="656" spans="1:27" ht="14.4" customHeight="1" x14ac:dyDescent="0.3">
      <c r="A656">
        <v>706151</v>
      </c>
      <c r="B656" t="s">
        <v>701</v>
      </c>
      <c r="C656" t="s">
        <v>680</v>
      </c>
      <c r="D656" s="87" t="str">
        <f t="shared" si="46"/>
        <v>70</v>
      </c>
      <c r="E656" s="92"/>
      <c r="F656" s="93">
        <f>(+IFERROR(VLOOKUP($A656,'[152]BG (2)'!$B$9:$J$570,4,FALSE),0))*1</f>
        <v>0</v>
      </c>
      <c r="G656" s="73">
        <f>(+IFERROR(VLOOKUP($A656,'[152]BG (2)'!$B$9:$J$570,5,FALSE),0))*-1</f>
        <v>0</v>
      </c>
      <c r="H656" s="93">
        <f>(+IFERROR(VLOOKUP($A656,'[152]BG (2)'!$B$9:$J$570,6,FALSE),0))*1</f>
        <v>0</v>
      </c>
      <c r="I656" s="73">
        <f>(+IFERROR(VLOOKUP($A656,'[152]BG (2)'!$B$9:$J$570,7,FALSE),0))*-1</f>
        <v>-655087825</v>
      </c>
      <c r="J656" s="109">
        <f>(+IFERROR(VLOOKUP($A656,'[152]BG (2)'!$B$9:$J$570,8,FALSE),0))*1</f>
        <v>0</v>
      </c>
      <c r="K656" s="73">
        <f>(+IFERROR(VLOOKUP($A656,'[152]BG (2)'!$B$9:$J$570,9,FALSE),0))*-1</f>
        <v>-655087825</v>
      </c>
      <c r="L656" s="96"/>
      <c r="M656" s="101"/>
      <c r="P656" s="90">
        <f t="shared" si="45"/>
        <v>-655087825</v>
      </c>
      <c r="R656" s="130">
        <f t="shared" ref="R656:R685" si="47">J656+K656</f>
        <v>-655087825</v>
      </c>
      <c r="S656" s="90"/>
      <c r="T656" s="102">
        <f t="shared" si="43"/>
        <v>-655087825</v>
      </c>
      <c r="U656" s="95"/>
      <c r="V656" s="72"/>
      <c r="W656" s="75" t="e">
        <f>+A656-#REF!</f>
        <v>#REF!</v>
      </c>
      <c r="X656" s="1270"/>
      <c r="Y656" s="91"/>
      <c r="Z656" s="91"/>
      <c r="AA656" s="91"/>
    </row>
    <row r="657" spans="1:27" ht="14.4" customHeight="1" x14ac:dyDescent="0.3">
      <c r="A657">
        <v>706152</v>
      </c>
      <c r="B657" t="s">
        <v>702</v>
      </c>
      <c r="C657" t="s">
        <v>680</v>
      </c>
      <c r="D657" s="87" t="str">
        <f t="shared" si="46"/>
        <v>70</v>
      </c>
      <c r="E657" s="92"/>
      <c r="F657" s="93">
        <f>(+IFERROR(VLOOKUP($A657,'[152]BG (2)'!$B$9:$J$570,4,FALSE),0))*1</f>
        <v>0</v>
      </c>
      <c r="G657" s="73">
        <f>(+IFERROR(VLOOKUP($A657,'[152]BG (2)'!$B$9:$J$570,5,FALSE),0))*-1</f>
        <v>0</v>
      </c>
      <c r="H657" s="93">
        <f>(+IFERROR(VLOOKUP($A657,'[152]BG (2)'!$B$9:$J$570,6,FALSE),0))*1</f>
        <v>3216501</v>
      </c>
      <c r="I657" s="73">
        <f>(+IFERROR(VLOOKUP($A657,'[152]BG (2)'!$B$9:$J$570,7,FALSE),0))*-1</f>
        <v>-160386916</v>
      </c>
      <c r="J657" s="109">
        <f>(+IFERROR(VLOOKUP($A657,'[152]BG (2)'!$B$9:$J$570,8,FALSE),0))*1</f>
        <v>0</v>
      </c>
      <c r="K657" s="73">
        <f>(+IFERROR(VLOOKUP($A657,'[152]BG (2)'!$B$9:$J$570,9,FALSE),0))*-1</f>
        <v>-157170415</v>
      </c>
      <c r="L657" s="96"/>
      <c r="M657" s="101"/>
      <c r="P657" s="90">
        <f t="shared" si="45"/>
        <v>-157170415</v>
      </c>
      <c r="R657" s="130">
        <f t="shared" si="47"/>
        <v>-157170415</v>
      </c>
      <c r="S657" s="90"/>
      <c r="T657" s="102">
        <f t="shared" ref="T657:T688" si="48">K657+J657</f>
        <v>-157170415</v>
      </c>
      <c r="U657" s="95"/>
      <c r="V657" s="72"/>
      <c r="W657" s="75" t="e">
        <f>+A657-#REF!</f>
        <v>#REF!</v>
      </c>
      <c r="X657" s="1270"/>
      <c r="Y657" s="91"/>
      <c r="Z657" s="91"/>
      <c r="AA657" s="91"/>
    </row>
    <row r="658" spans="1:27" ht="14.4" customHeight="1" x14ac:dyDescent="0.3">
      <c r="A658">
        <v>706153</v>
      </c>
      <c r="B658" t="s">
        <v>703</v>
      </c>
      <c r="C658" t="s">
        <v>680</v>
      </c>
      <c r="D658" s="87" t="str">
        <f t="shared" si="46"/>
        <v>70</v>
      </c>
      <c r="E658" s="92"/>
      <c r="F658" s="93">
        <f>(+IFERROR(VLOOKUP($A658,'[152]BG (2)'!$B$9:$J$570,4,FALSE),0))*1</f>
        <v>0</v>
      </c>
      <c r="G658" s="73">
        <f>(+IFERROR(VLOOKUP($A658,'[152]BG (2)'!$B$9:$J$570,5,FALSE),0))*-1</f>
        <v>0</v>
      </c>
      <c r="H658" s="93">
        <f>(+IFERROR(VLOOKUP($A658,'[152]BG (2)'!$B$9:$J$570,6,FALSE),0))*1</f>
        <v>-96194</v>
      </c>
      <c r="I658" s="73">
        <f>(+IFERROR(VLOOKUP($A658,'[152]BG (2)'!$B$9:$J$570,7,FALSE),0))*-1</f>
        <v>-47180773559</v>
      </c>
      <c r="J658" s="109">
        <f>(+IFERROR(VLOOKUP($A658,'[152]BG (2)'!$B$9:$J$570,8,FALSE),0))*1</f>
        <v>0</v>
      </c>
      <c r="K658" s="73">
        <f>(+IFERROR(VLOOKUP($A658,'[152]BG (2)'!$B$9:$J$570,9,FALSE),0))*-1</f>
        <v>-47180869753</v>
      </c>
      <c r="L658" s="96"/>
      <c r="M658" s="101"/>
      <c r="P658" s="90">
        <f t="shared" si="45"/>
        <v>-47180869753</v>
      </c>
      <c r="R658" s="130">
        <f t="shared" si="47"/>
        <v>-47180869753</v>
      </c>
      <c r="S658" s="90"/>
      <c r="T658" s="102">
        <f t="shared" si="48"/>
        <v>-47180869753</v>
      </c>
      <c r="U658" s="95"/>
      <c r="V658" s="72"/>
      <c r="W658" s="75" t="e">
        <f>+A658-#REF!</f>
        <v>#REF!</v>
      </c>
      <c r="X658" s="1270"/>
      <c r="Y658" s="91"/>
      <c r="Z658" s="91"/>
      <c r="AA658" s="91"/>
    </row>
    <row r="659" spans="1:27" ht="14.4" customHeight="1" x14ac:dyDescent="0.3">
      <c r="A659">
        <v>706154</v>
      </c>
      <c r="B659" t="s">
        <v>704</v>
      </c>
      <c r="C659" t="s">
        <v>680</v>
      </c>
      <c r="D659" s="87" t="str">
        <f t="shared" si="46"/>
        <v>70</v>
      </c>
      <c r="E659" s="92"/>
      <c r="F659" s="93">
        <f>(+IFERROR(VLOOKUP($A659,'[152]BG (2)'!$B$9:$J$570,4,FALSE),0))*1</f>
        <v>0</v>
      </c>
      <c r="G659" s="73">
        <f>(+IFERROR(VLOOKUP($A659,'[152]BG (2)'!$B$9:$J$570,5,FALSE),0))*-1</f>
        <v>0</v>
      </c>
      <c r="H659" s="93">
        <f>(+IFERROR(VLOOKUP($A659,'[152]BG (2)'!$B$9:$J$570,6,FALSE),0))*1</f>
        <v>964634432</v>
      </c>
      <c r="I659" s="73">
        <f>(+IFERROR(VLOOKUP($A659,'[152]BG (2)'!$B$9:$J$570,7,FALSE),0))*-1</f>
        <v>-1217228504</v>
      </c>
      <c r="J659" s="109">
        <f>(+IFERROR(VLOOKUP($A659,'[152]BG (2)'!$B$9:$J$570,8,FALSE),0))*1</f>
        <v>0</v>
      </c>
      <c r="K659" s="73">
        <f>(+IFERROR(VLOOKUP($A659,'[152]BG (2)'!$B$9:$J$570,9,FALSE),0))*-1</f>
        <v>-252594072</v>
      </c>
      <c r="L659" s="96"/>
      <c r="M659" s="101"/>
      <c r="P659" s="90">
        <f t="shared" si="45"/>
        <v>-252594072</v>
      </c>
      <c r="R659" s="130">
        <f t="shared" si="47"/>
        <v>-252594072</v>
      </c>
      <c r="S659" s="90"/>
      <c r="T659" s="102">
        <f t="shared" si="48"/>
        <v>-252594072</v>
      </c>
      <c r="U659" s="95"/>
      <c r="V659" s="72"/>
      <c r="W659" s="75" t="e">
        <f>+A659-#REF!</f>
        <v>#REF!</v>
      </c>
      <c r="X659" s="1270"/>
      <c r="Y659" s="91"/>
      <c r="Z659" s="91"/>
      <c r="AA659" s="91"/>
    </row>
    <row r="660" spans="1:27" ht="14.4" customHeight="1" x14ac:dyDescent="0.3">
      <c r="A660">
        <v>706160</v>
      </c>
      <c r="B660" t="s">
        <v>705</v>
      </c>
      <c r="C660" t="s">
        <v>680</v>
      </c>
      <c r="D660" s="87" t="str">
        <f t="shared" si="46"/>
        <v>70</v>
      </c>
      <c r="E660" s="92"/>
      <c r="F660" s="93">
        <f>(+IFERROR(VLOOKUP($A660,'[152]BG (2)'!$B$9:$J$570,4,FALSE),0))*1</f>
        <v>0</v>
      </c>
      <c r="G660" s="73">
        <f>(+IFERROR(VLOOKUP($A660,'[152]BG (2)'!$B$9:$J$570,5,FALSE),0))*-1</f>
        <v>0</v>
      </c>
      <c r="H660" s="93">
        <f>(+IFERROR(VLOOKUP($A660,'[152]BG (2)'!$B$9:$J$570,6,FALSE),0))*1</f>
        <v>0</v>
      </c>
      <c r="I660" s="73">
        <f>(+IFERROR(VLOOKUP($A660,'[152]BG (2)'!$B$9:$J$570,7,FALSE),0))*-1</f>
        <v>-76284</v>
      </c>
      <c r="J660" s="109">
        <f>(+IFERROR(VLOOKUP($A660,'[152]BG (2)'!$B$9:$J$570,8,FALSE),0))*1</f>
        <v>0</v>
      </c>
      <c r="K660" s="73">
        <f>(+IFERROR(VLOOKUP($A660,'[152]BG (2)'!$B$9:$J$570,9,FALSE),0))*-1</f>
        <v>-76284</v>
      </c>
      <c r="L660" s="96"/>
      <c r="M660" s="101"/>
      <c r="P660" s="90">
        <f t="shared" si="45"/>
        <v>-76284</v>
      </c>
      <c r="R660" s="130">
        <f t="shared" si="47"/>
        <v>-76284</v>
      </c>
      <c r="S660" s="90"/>
      <c r="T660" s="102">
        <f t="shared" si="48"/>
        <v>-76284</v>
      </c>
      <c r="U660" s="95"/>
      <c r="V660" s="72"/>
      <c r="W660" s="75" t="e">
        <f>+A660-#REF!</f>
        <v>#REF!</v>
      </c>
      <c r="X660" s="1270"/>
      <c r="Y660" s="91"/>
      <c r="Z660" s="91"/>
      <c r="AA660" s="91"/>
    </row>
    <row r="661" spans="1:27" ht="14.4" customHeight="1" x14ac:dyDescent="0.3">
      <c r="A661">
        <v>706180</v>
      </c>
      <c r="B661" t="s">
        <v>706</v>
      </c>
      <c r="C661" t="s">
        <v>680</v>
      </c>
      <c r="D661" s="87" t="str">
        <f t="shared" si="46"/>
        <v>70</v>
      </c>
      <c r="E661" s="92"/>
      <c r="F661" s="93">
        <f>(+IFERROR(VLOOKUP($A661,'[152]BG (2)'!$B$9:$J$570,4,FALSE),0))*1</f>
        <v>0</v>
      </c>
      <c r="G661" s="73">
        <f>(+IFERROR(VLOOKUP($A661,'[152]BG (2)'!$B$9:$J$570,5,FALSE),0))*-1</f>
        <v>0</v>
      </c>
      <c r="H661" s="93">
        <f>(+IFERROR(VLOOKUP($A661,'[152]BG (2)'!$B$9:$J$570,6,FALSE),0))*1</f>
        <v>0</v>
      </c>
      <c r="I661" s="73">
        <f>(+IFERROR(VLOOKUP($A661,'[152]BG (2)'!$B$9:$J$570,7,FALSE),0))*-1</f>
        <v>0</v>
      </c>
      <c r="J661" s="109">
        <f>(+IFERROR(VLOOKUP($A661,'[152]BG (2)'!$B$9:$J$570,8,FALSE),0))*1</f>
        <v>0</v>
      </c>
      <c r="K661" s="73">
        <f>(+IFERROR(VLOOKUP($A661,'[152]BG (2)'!$B$9:$J$570,9,FALSE),0))*-1</f>
        <v>0</v>
      </c>
      <c r="L661" s="96"/>
      <c r="M661" s="101"/>
      <c r="P661" s="90">
        <f t="shared" si="45"/>
        <v>0</v>
      </c>
      <c r="R661" s="130">
        <f t="shared" si="47"/>
        <v>0</v>
      </c>
      <c r="S661" s="90"/>
      <c r="T661" s="102">
        <f t="shared" si="48"/>
        <v>0</v>
      </c>
      <c r="U661" s="95"/>
      <c r="V661" s="72"/>
      <c r="W661" s="75" t="e">
        <f>+A661-#REF!</f>
        <v>#REF!</v>
      </c>
      <c r="X661" s="1270"/>
      <c r="Y661" s="91"/>
      <c r="Z661" s="91"/>
      <c r="AA661" s="91"/>
    </row>
    <row r="662" spans="1:27" ht="14.4" customHeight="1" x14ac:dyDescent="0.3">
      <c r="A662" s="1600">
        <v>706710</v>
      </c>
      <c r="B662" s="1600" t="s">
        <v>2506</v>
      </c>
      <c r="C662"/>
      <c r="D662" s="87" t="str">
        <f t="shared" si="46"/>
        <v>70</v>
      </c>
      <c r="E662" s="92"/>
      <c r="F662" s="93">
        <f>(+IFERROR(VLOOKUP($A662,'[152]BG (2)'!$B$9:$J$570,4,FALSE),0))*1</f>
        <v>0</v>
      </c>
      <c r="G662" s="73">
        <f>(+IFERROR(VLOOKUP($A662,'[152]BG (2)'!$B$9:$J$570,5,FALSE),0))*-1</f>
        <v>0</v>
      </c>
      <c r="H662" s="93">
        <f>(+IFERROR(VLOOKUP($A662,'[152]BG (2)'!$B$9:$J$570,6,FALSE),0))*1</f>
        <v>174284310</v>
      </c>
      <c r="I662" s="73">
        <f>(+IFERROR(VLOOKUP($A662,'[152]BG (2)'!$B$9:$J$570,7,FALSE),0))*-1</f>
        <v>-542546083</v>
      </c>
      <c r="J662" s="109">
        <f>(+IFERROR(VLOOKUP($A662,'[152]BG (2)'!$B$9:$J$570,8,FALSE),0))*1</f>
        <v>0</v>
      </c>
      <c r="K662" s="73">
        <f>(+IFERROR(VLOOKUP($A662,'[152]BG (2)'!$B$9:$J$570,9,FALSE),0))*-1</f>
        <v>-368261773</v>
      </c>
      <c r="L662" s="96"/>
      <c r="M662" s="101"/>
      <c r="P662" s="90">
        <f t="shared" si="45"/>
        <v>-368261773</v>
      </c>
      <c r="R662" s="130">
        <f>J662+K662</f>
        <v>-368261773</v>
      </c>
      <c r="S662" s="90"/>
      <c r="T662" s="102">
        <f>K662+J662</f>
        <v>-368261773</v>
      </c>
      <c r="U662" s="95"/>
      <c r="V662" s="72"/>
      <c r="W662" s="75" t="e">
        <f>+A662-#REF!</f>
        <v>#REF!</v>
      </c>
      <c r="X662" s="1270"/>
      <c r="Y662" s="91"/>
      <c r="Z662" s="91"/>
      <c r="AA662" s="91"/>
    </row>
    <row r="663" spans="1:27" ht="14.4" customHeight="1" x14ac:dyDescent="0.3">
      <c r="A663">
        <v>706900</v>
      </c>
      <c r="B663" t="s">
        <v>707</v>
      </c>
      <c r="C663" t="s">
        <v>680</v>
      </c>
      <c r="D663" s="87" t="str">
        <f t="shared" si="46"/>
        <v>70</v>
      </c>
      <c r="E663" s="92"/>
      <c r="F663" s="93">
        <f>(+IFERROR(VLOOKUP($A663,'[152]BG (2)'!$B$9:$J$570,4,FALSE),0))*1</f>
        <v>0</v>
      </c>
      <c r="G663" s="73">
        <f>(+IFERROR(VLOOKUP($A663,'[152]BG (2)'!$B$9:$J$570,5,FALSE),0))*-1</f>
        <v>0</v>
      </c>
      <c r="H663" s="93">
        <f>(+IFERROR(VLOOKUP($A663,'[152]BG (2)'!$B$9:$J$570,6,FALSE),0))*1</f>
        <v>0</v>
      </c>
      <c r="I663" s="73">
        <f>(+IFERROR(VLOOKUP($A663,'[152]BG (2)'!$B$9:$J$570,7,FALSE),0))*-1</f>
        <v>0</v>
      </c>
      <c r="J663" s="109">
        <f>(+IFERROR(VLOOKUP($A663,'[152]BG (2)'!$B$9:$J$570,8,FALSE),0))*1</f>
        <v>0</v>
      </c>
      <c r="K663" s="73">
        <f>(+IFERROR(VLOOKUP($A663,'[152]BG (2)'!$B$9:$J$570,9,FALSE),0))*-1</f>
        <v>0</v>
      </c>
      <c r="L663" s="96"/>
      <c r="M663" s="101"/>
      <c r="P663" s="90">
        <f t="shared" si="45"/>
        <v>0</v>
      </c>
      <c r="R663" s="130">
        <f t="shared" si="47"/>
        <v>0</v>
      </c>
      <c r="S663" s="90"/>
      <c r="T663" s="102">
        <f t="shared" si="48"/>
        <v>0</v>
      </c>
      <c r="U663" s="95"/>
      <c r="V663" s="72"/>
      <c r="W663" s="75" t="e">
        <f>+A663-#REF!</f>
        <v>#REF!</v>
      </c>
      <c r="X663" s="1270"/>
      <c r="Y663" s="91"/>
      <c r="Z663" s="91"/>
      <c r="AA663" s="91"/>
    </row>
    <row r="664" spans="1:27" customFormat="1" ht="14.4" customHeight="1" x14ac:dyDescent="0.3">
      <c r="A664" s="97">
        <v>706910</v>
      </c>
      <c r="B664" s="97" t="s">
        <v>708</v>
      </c>
      <c r="D664" s="87" t="str">
        <f t="shared" si="46"/>
        <v>70</v>
      </c>
      <c r="E664" s="92"/>
      <c r="F664" s="93">
        <f>(+IFERROR(VLOOKUP($A664,'[152]BG (2)'!$B$9:$J$570,4,FALSE),0))*1</f>
        <v>0</v>
      </c>
      <c r="G664" s="73">
        <f>(+IFERROR(VLOOKUP($A664,'[152]BG (2)'!$B$9:$J$570,5,FALSE),0))*-1</f>
        <v>0</v>
      </c>
      <c r="H664" s="93">
        <f>(+IFERROR(VLOOKUP($A664,'[152]BG (2)'!$B$9:$J$570,6,FALSE),0))*1</f>
        <v>0</v>
      </c>
      <c r="I664" s="73">
        <f>(+IFERROR(VLOOKUP($A664,'[152]BG (2)'!$B$9:$J$570,7,FALSE),0))*-1</f>
        <v>0</v>
      </c>
      <c r="J664" s="109">
        <f>(+IFERROR(VLOOKUP($A664,'[152]BG (2)'!$B$9:$J$570,8,FALSE),0))*1</f>
        <v>0</v>
      </c>
      <c r="K664" s="73">
        <f>(+IFERROR(VLOOKUP($A664,'[152]BG (2)'!$B$9:$J$570,9,FALSE),0))*-1</f>
        <v>0</v>
      </c>
      <c r="L664" s="96"/>
      <c r="M664" s="101"/>
      <c r="N664" s="2"/>
      <c r="O664" s="2"/>
      <c r="P664" s="90">
        <f t="shared" si="45"/>
        <v>0</v>
      </c>
      <c r="Q664" s="2"/>
      <c r="R664" s="130"/>
      <c r="S664" s="90"/>
      <c r="T664" s="102"/>
      <c r="U664" s="95"/>
      <c r="V664" s="72"/>
      <c r="W664" s="75" t="e">
        <f>+A664-#REF!</f>
        <v>#REF!</v>
      </c>
      <c r="X664" s="1270"/>
      <c r="Y664" s="91"/>
      <c r="Z664" s="91"/>
      <c r="AA664" s="91"/>
    </row>
    <row r="665" spans="1:27" ht="14.4" customHeight="1" x14ac:dyDescent="0.3">
      <c r="A665" s="97">
        <v>706920</v>
      </c>
      <c r="B665" s="97" t="s">
        <v>709</v>
      </c>
      <c r="C665"/>
      <c r="D665" s="87" t="str">
        <f t="shared" si="46"/>
        <v>70</v>
      </c>
      <c r="E665" s="92"/>
      <c r="F665" s="93">
        <f>(+IFERROR(VLOOKUP($A665,'[152]BG (2)'!$B$9:$J$570,4,FALSE),0))*1</f>
        <v>0</v>
      </c>
      <c r="G665" s="73">
        <f>(+IFERROR(VLOOKUP($A665,'[152]BG (2)'!$B$9:$J$570,5,FALSE),0))*-1</f>
        <v>0</v>
      </c>
      <c r="H665" s="93">
        <f>(+IFERROR(VLOOKUP($A665,'[152]BG (2)'!$B$9:$J$570,6,FALSE),0))*1</f>
        <v>4451973882</v>
      </c>
      <c r="I665" s="73">
        <f>(+IFERROR(VLOOKUP($A665,'[152]BG (2)'!$B$9:$J$570,7,FALSE),0))*-1</f>
        <v>0</v>
      </c>
      <c r="J665" s="109">
        <f>(+IFERROR(VLOOKUP($A665,'[152]BG (2)'!$B$9:$J$570,8,FALSE),0))*1</f>
        <v>4451973882</v>
      </c>
      <c r="K665" s="73">
        <f>(+IFERROR(VLOOKUP($A665,'[152]BG (2)'!$B$9:$J$570,9,FALSE),0))*-1</f>
        <v>0</v>
      </c>
      <c r="L665" s="96"/>
      <c r="M665" s="101"/>
      <c r="P665" s="90">
        <f t="shared" si="45"/>
        <v>4451973882</v>
      </c>
      <c r="R665" s="130"/>
      <c r="S665" s="90"/>
      <c r="T665" s="102"/>
      <c r="U665" s="95"/>
      <c r="V665" s="72"/>
      <c r="W665" s="75" t="e">
        <f>+A665-#REF!</f>
        <v>#REF!</v>
      </c>
      <c r="X665" s="1269"/>
      <c r="Y665" s="91"/>
      <c r="Z665" s="91"/>
      <c r="AA665" s="91"/>
    </row>
    <row r="666" spans="1:27" ht="14.4" customHeight="1" x14ac:dyDescent="0.3">
      <c r="A666" s="97">
        <v>706930</v>
      </c>
      <c r="B666" s="97" t="s">
        <v>710</v>
      </c>
      <c r="C666"/>
      <c r="D666" s="87" t="str">
        <f t="shared" si="46"/>
        <v>70</v>
      </c>
      <c r="E666" s="92"/>
      <c r="F666" s="93">
        <f>(+IFERROR(VLOOKUP($A666,'[152]BG (2)'!$B$9:$J$570,4,FALSE),0))*1</f>
        <v>0</v>
      </c>
      <c r="G666" s="73">
        <f>(+IFERROR(VLOOKUP($A666,'[152]BG (2)'!$B$9:$J$570,5,FALSE),0))*-1</f>
        <v>0</v>
      </c>
      <c r="H666" s="93">
        <f>(+IFERROR(VLOOKUP($A666,'[152]BG (2)'!$B$9:$J$570,6,FALSE),0))*1</f>
        <v>0</v>
      </c>
      <c r="I666" s="73">
        <f>(+IFERROR(VLOOKUP($A666,'[152]BG (2)'!$B$9:$J$570,7,FALSE),0))*-1</f>
        <v>0</v>
      </c>
      <c r="J666" s="109">
        <f>(+IFERROR(VLOOKUP($A666,'[152]BG (2)'!$B$9:$J$570,8,FALSE),0))*1</f>
        <v>0</v>
      </c>
      <c r="K666" s="73">
        <f>(+IFERROR(VLOOKUP($A666,'[152]BG (2)'!$B$9:$J$570,9,FALSE),0))*-1</f>
        <v>0</v>
      </c>
      <c r="L666" s="96"/>
      <c r="M666" s="101"/>
      <c r="P666" s="90">
        <f t="shared" si="45"/>
        <v>0</v>
      </c>
      <c r="R666" s="130"/>
      <c r="S666" s="90"/>
      <c r="T666" s="102"/>
      <c r="U666" s="95"/>
      <c r="V666" s="72"/>
      <c r="W666" s="75" t="e">
        <f>+A666-#REF!</f>
        <v>#REF!</v>
      </c>
      <c r="X666" s="1270"/>
      <c r="Y666" s="91"/>
      <c r="Z666" s="91"/>
      <c r="AA666" s="91"/>
    </row>
    <row r="667" spans="1:27" ht="14.4" customHeight="1" x14ac:dyDescent="0.3">
      <c r="A667">
        <v>707300</v>
      </c>
      <c r="B667" t="s">
        <v>711</v>
      </c>
      <c r="C667" t="s">
        <v>712</v>
      </c>
      <c r="D667" s="87" t="str">
        <f t="shared" si="46"/>
        <v>70</v>
      </c>
      <c r="E667" s="92"/>
      <c r="F667" s="93">
        <f>(+IFERROR(VLOOKUP($A667,'[152]BG (2)'!$B$9:$J$570,4,FALSE),0))*1</f>
        <v>0</v>
      </c>
      <c r="G667" s="73">
        <f>(+IFERROR(VLOOKUP($A667,'[152]BG (2)'!$B$9:$J$570,5,FALSE),0))*-1</f>
        <v>0</v>
      </c>
      <c r="H667" s="93">
        <f>(+IFERROR(VLOOKUP($A667,'[152]BG (2)'!$B$9:$J$570,6,FALSE),0))*1</f>
        <v>193366911</v>
      </c>
      <c r="I667" s="73">
        <f>(+IFERROR(VLOOKUP($A667,'[152]BG (2)'!$B$9:$J$570,7,FALSE),0))*-1</f>
        <v>-735662071</v>
      </c>
      <c r="J667" s="109">
        <f>(+IFERROR(VLOOKUP($A667,'[152]BG (2)'!$B$9:$J$570,8,FALSE),0))*1</f>
        <v>0</v>
      </c>
      <c r="K667" s="73">
        <f>(+IFERROR(VLOOKUP($A667,'[152]BG (2)'!$B$9:$J$570,9,FALSE),0))*-1</f>
        <v>-542295160</v>
      </c>
      <c r="L667" s="96"/>
      <c r="M667" s="101"/>
      <c r="P667" s="90">
        <f t="shared" si="45"/>
        <v>-542295160</v>
      </c>
      <c r="R667" s="130">
        <f t="shared" si="47"/>
        <v>-542295160</v>
      </c>
      <c r="S667" s="90"/>
      <c r="T667" s="102">
        <f t="shared" si="48"/>
        <v>-542295160</v>
      </c>
      <c r="U667" s="95"/>
      <c r="V667" s="72"/>
      <c r="W667" s="75" t="e">
        <f>+A667-#REF!</f>
        <v>#REF!</v>
      </c>
      <c r="X667" s="1270"/>
      <c r="Y667" s="91"/>
      <c r="Z667" s="91"/>
      <c r="AA667" s="91"/>
    </row>
    <row r="668" spans="1:27" ht="14.4" customHeight="1" x14ac:dyDescent="0.3">
      <c r="A668" s="1296">
        <v>707310</v>
      </c>
      <c r="B668" s="1296" t="s">
        <v>2278</v>
      </c>
      <c r="C668" t="s">
        <v>712</v>
      </c>
      <c r="D668" s="87" t="str">
        <f t="shared" si="46"/>
        <v>70</v>
      </c>
      <c r="E668" s="92"/>
      <c r="F668" s="93">
        <f>(+IFERROR(VLOOKUP($A668,'[152]BG (2)'!$B$9:$J$570,4,FALSE),0))*1</f>
        <v>0</v>
      </c>
      <c r="G668" s="73">
        <f>(+IFERROR(VLOOKUP($A668,'[152]BG (2)'!$B$9:$J$570,5,FALSE),0))*-1</f>
        <v>0</v>
      </c>
      <c r="H668" s="93">
        <f>(+IFERROR(VLOOKUP($A668,'[152]BG (2)'!$B$9:$J$570,6,FALSE),0))*1</f>
        <v>255263801</v>
      </c>
      <c r="I668" s="73">
        <f>(+IFERROR(VLOOKUP($A668,'[152]BG (2)'!$B$9:$J$570,7,FALSE),0))*-1</f>
        <v>-906481057</v>
      </c>
      <c r="J668" s="109">
        <f>(+IFERROR(VLOOKUP($A668,'[152]BG (2)'!$B$9:$J$570,8,FALSE),0))*1</f>
        <v>0</v>
      </c>
      <c r="K668" s="73">
        <f>(+IFERROR(VLOOKUP($A668,'[152]BG (2)'!$B$9:$J$570,9,FALSE),0))*-1</f>
        <v>-651217256</v>
      </c>
      <c r="L668" s="96"/>
      <c r="M668" s="101"/>
      <c r="P668" s="90">
        <f t="shared" si="45"/>
        <v>-651217256</v>
      </c>
      <c r="R668" s="130"/>
      <c r="S668" s="90"/>
      <c r="T668" s="102"/>
      <c r="U668" s="95"/>
      <c r="V668" s="72"/>
      <c r="W668" s="75"/>
      <c r="X668" s="1270"/>
      <c r="Y668" s="91"/>
      <c r="Z668" s="91"/>
      <c r="AA668" s="91"/>
    </row>
    <row r="669" spans="1:27" ht="14.4" customHeight="1" x14ac:dyDescent="0.3">
      <c r="A669" s="113">
        <v>758200</v>
      </c>
      <c r="B669" s="113" t="s">
        <v>713</v>
      </c>
      <c r="C669" t="s">
        <v>714</v>
      </c>
      <c r="D669" s="87" t="str">
        <f t="shared" si="46"/>
        <v>75</v>
      </c>
      <c r="E669"/>
      <c r="F669">
        <f>(+IFERROR(VLOOKUP($A669,'[152]BG (2)'!$B$9:$J$570,4,FALSE),0))*1</f>
        <v>0</v>
      </c>
      <c r="G669" s="73">
        <f>(+IFERROR(VLOOKUP($A669,'[152]BG (2)'!$B$9:$J$570,5,FALSE),0))*-1</f>
        <v>0</v>
      </c>
      <c r="H669">
        <f>(+IFERROR(VLOOKUP($A669,'[152]BG (2)'!$B$9:$J$570,6,FALSE),0))*1</f>
        <v>0</v>
      </c>
      <c r="I669" s="73">
        <f>(+IFERROR(VLOOKUP($A669,'[152]BG (2)'!$B$9:$J$570,7,FALSE),0))*-1</f>
        <v>0</v>
      </c>
      <c r="J669">
        <f>(+IFERROR(VLOOKUP($A669,'[152]BG (2)'!$B$9:$J$570,8,FALSE),0))*1</f>
        <v>0</v>
      </c>
      <c r="K669" s="73">
        <f>(+IFERROR(VLOOKUP($A669,'[152]BG (2)'!$B$9:$J$570,9,FALSE),0))*-1</f>
        <v>0</v>
      </c>
      <c r="N669"/>
      <c r="O669"/>
      <c r="P669" s="90">
        <f t="shared" si="45"/>
        <v>0</v>
      </c>
      <c r="Q669"/>
      <c r="R669"/>
      <c r="S669"/>
      <c r="T669"/>
      <c r="U669"/>
      <c r="W669" s="75" t="e">
        <f>+A669-#REF!</f>
        <v>#REF!</v>
      </c>
      <c r="X669" s="1270"/>
      <c r="Y669" s="91"/>
      <c r="Z669" s="91"/>
      <c r="AA669" s="91"/>
    </row>
    <row r="670" spans="1:27" ht="14.4" customHeight="1" x14ac:dyDescent="0.3">
      <c r="A670">
        <v>758300</v>
      </c>
      <c r="B670" t="s">
        <v>715</v>
      </c>
      <c r="C670" t="s">
        <v>714</v>
      </c>
      <c r="D670" s="87" t="str">
        <f t="shared" si="46"/>
        <v>75</v>
      </c>
      <c r="E670" s="92"/>
      <c r="F670" s="93">
        <f>(+IFERROR(VLOOKUP($A670,'[152]BG (2)'!$B$9:$J$570,4,FALSE),0))*1</f>
        <v>0</v>
      </c>
      <c r="G670" s="73">
        <f>(+IFERROR(VLOOKUP($A670,'[152]BG (2)'!$B$9:$J$570,5,FALSE),0))*-1</f>
        <v>0</v>
      </c>
      <c r="H670" s="93">
        <f>(+IFERROR(VLOOKUP($A670,'[152]BG (2)'!$B$9:$J$570,6,FALSE),0))*1</f>
        <v>0</v>
      </c>
      <c r="I670" s="73">
        <f>(+IFERROR(VLOOKUP($A670,'[152]BG (2)'!$B$9:$J$570,7,FALSE),0))*-1</f>
        <v>-10453995</v>
      </c>
      <c r="J670" s="109">
        <f>(+IFERROR(VLOOKUP($A670,'[152]BG (2)'!$B$9:$J$570,8,FALSE),0))*1</f>
        <v>0</v>
      </c>
      <c r="K670" s="73">
        <f>(+IFERROR(VLOOKUP($A670,'[152]BG (2)'!$B$9:$J$570,9,FALSE),0))*-1</f>
        <v>-10453995</v>
      </c>
      <c r="L670" s="96"/>
      <c r="M670" s="101"/>
      <c r="P670" s="90">
        <f t="shared" si="45"/>
        <v>-10453995</v>
      </c>
      <c r="R670" s="130">
        <f t="shared" si="47"/>
        <v>-10453995</v>
      </c>
      <c r="S670" s="90"/>
      <c r="T670" s="90">
        <f t="shared" si="48"/>
        <v>-10453995</v>
      </c>
      <c r="U670" s="95"/>
      <c r="V670" s="72"/>
      <c r="W670" s="75" t="e">
        <f>+A670-#REF!</f>
        <v>#REF!</v>
      </c>
      <c r="X670" s="1270"/>
      <c r="Y670" s="91"/>
      <c r="Z670" s="91"/>
      <c r="AA670" s="91"/>
    </row>
    <row r="671" spans="1:27" ht="14.4" customHeight="1" x14ac:dyDescent="0.3">
      <c r="A671">
        <v>758400</v>
      </c>
      <c r="B671" t="s">
        <v>716</v>
      </c>
      <c r="C671" t="s">
        <v>714</v>
      </c>
      <c r="D671" s="87" t="str">
        <f t="shared" si="46"/>
        <v>75</v>
      </c>
      <c r="E671" s="92"/>
      <c r="F671" s="93">
        <f>(+IFERROR(VLOOKUP($A671,'[152]BG (2)'!$B$9:$J$570,4,FALSE),0))*1</f>
        <v>0</v>
      </c>
      <c r="G671" s="73">
        <f>(+IFERROR(VLOOKUP($A671,'[152]BG (2)'!$B$9:$J$570,5,FALSE),0))*-1</f>
        <v>0</v>
      </c>
      <c r="H671" s="93">
        <f>(+IFERROR(VLOOKUP($A671,'[152]BG (2)'!$B$9:$J$570,6,FALSE),0))*1</f>
        <v>761</v>
      </c>
      <c r="I671" s="73">
        <f>(+IFERROR(VLOOKUP($A671,'[152]BG (2)'!$B$9:$J$570,7,FALSE),0))*-1</f>
        <v>-100456245</v>
      </c>
      <c r="J671" s="109">
        <f>(+IFERROR(VLOOKUP($A671,'[152]BG (2)'!$B$9:$J$570,8,FALSE),0))*1</f>
        <v>0</v>
      </c>
      <c r="K671" s="73">
        <f>(+IFERROR(VLOOKUP($A671,'[152]BG (2)'!$B$9:$J$570,9,FALSE),0))*-1</f>
        <v>-100455484</v>
      </c>
      <c r="L671" s="96"/>
      <c r="M671" s="101"/>
      <c r="P671" s="90">
        <f t="shared" si="45"/>
        <v>-100455484</v>
      </c>
      <c r="R671" s="130">
        <f t="shared" si="47"/>
        <v>-100455484</v>
      </c>
      <c r="S671" s="90"/>
      <c r="T671" s="90">
        <f t="shared" si="48"/>
        <v>-100455484</v>
      </c>
      <c r="U671" s="95"/>
      <c r="V671" s="72"/>
      <c r="W671" s="75" t="e">
        <f>+A671-#REF!</f>
        <v>#REF!</v>
      </c>
      <c r="X671" s="1270"/>
      <c r="Y671" s="91"/>
      <c r="Z671" s="91"/>
      <c r="AA671" s="91"/>
    </row>
    <row r="672" spans="1:27" ht="14.4" customHeight="1" x14ac:dyDescent="0.3">
      <c r="A672">
        <v>759300</v>
      </c>
      <c r="B672" t="s">
        <v>717</v>
      </c>
      <c r="C672" t="s">
        <v>718</v>
      </c>
      <c r="D672" s="87" t="str">
        <f t="shared" si="46"/>
        <v>75</v>
      </c>
      <c r="E672" s="92"/>
      <c r="F672" s="93">
        <f>(+IFERROR(VLOOKUP($A672,'[152]BG (2)'!$B$9:$J$570,4,FALSE),0))*1</f>
        <v>0</v>
      </c>
      <c r="G672" s="73">
        <f>(+IFERROR(VLOOKUP($A672,'[152]BG (2)'!$B$9:$J$570,5,FALSE),0))*-1</f>
        <v>0</v>
      </c>
      <c r="H672" s="93">
        <f>(+IFERROR(VLOOKUP($A672,'[152]BG (2)'!$B$9:$J$570,6,FALSE),0))*1</f>
        <v>0</v>
      </c>
      <c r="I672" s="73">
        <f>(+IFERROR(VLOOKUP($A672,'[152]BG (2)'!$B$9:$J$570,7,FALSE),0))*-1</f>
        <v>0</v>
      </c>
      <c r="J672" s="109">
        <f>(+IFERROR(VLOOKUP($A672,'[152]BG (2)'!$B$9:$J$570,8,FALSE),0))*1</f>
        <v>0</v>
      </c>
      <c r="K672" s="73">
        <f>(+IFERROR(VLOOKUP($A672,'[152]BG (2)'!$B$9:$J$570,9,FALSE),0))*-1</f>
        <v>0</v>
      </c>
      <c r="L672" s="96"/>
      <c r="M672" s="101"/>
      <c r="P672" s="90">
        <f t="shared" si="45"/>
        <v>0</v>
      </c>
      <c r="R672" s="130">
        <f t="shared" si="47"/>
        <v>0</v>
      </c>
      <c r="S672" s="90"/>
      <c r="T672" s="90">
        <f t="shared" si="48"/>
        <v>0</v>
      </c>
      <c r="U672" s="95"/>
      <c r="V672" s="72"/>
      <c r="W672" s="75" t="e">
        <f>+A672-#REF!</f>
        <v>#REF!</v>
      </c>
      <c r="X672" s="1270"/>
      <c r="Y672" s="91"/>
      <c r="Z672" s="91"/>
      <c r="AA672" s="91"/>
    </row>
    <row r="673" spans="1:27" ht="14.4" customHeight="1" x14ac:dyDescent="0.3">
      <c r="A673">
        <v>759400</v>
      </c>
      <c r="B673" t="s">
        <v>719</v>
      </c>
      <c r="C673" t="s">
        <v>720</v>
      </c>
      <c r="D673" s="87" t="str">
        <f t="shared" si="46"/>
        <v>75</v>
      </c>
      <c r="E673" s="92"/>
      <c r="F673" s="93">
        <f>(+IFERROR(VLOOKUP($A673,'[152]BG (2)'!$B$9:$J$570,4,FALSE),0))*1</f>
        <v>0</v>
      </c>
      <c r="G673" s="73">
        <f>(+IFERROR(VLOOKUP($A673,'[152]BG (2)'!$B$9:$J$570,5,FALSE),0))*-1</f>
        <v>0</v>
      </c>
      <c r="H673" s="93">
        <f>(+IFERROR(VLOOKUP($A673,'[152]BG (2)'!$B$9:$J$570,6,FALSE),0))*1</f>
        <v>0</v>
      </c>
      <c r="I673" s="73">
        <f>(+IFERROR(VLOOKUP($A673,'[152]BG (2)'!$B$9:$J$570,7,FALSE),0))*-1</f>
        <v>-1035793949</v>
      </c>
      <c r="J673" s="109">
        <f>(+IFERROR(VLOOKUP($A673,'[152]BG (2)'!$B$9:$J$570,8,FALSE),0))*1</f>
        <v>0</v>
      </c>
      <c r="K673" s="1582">
        <f>(+IFERROR(VLOOKUP($A673,'[152]BG (2)'!$B$9:$J$570,9,FALSE),0))*-1</f>
        <v>-1035793949</v>
      </c>
      <c r="L673" s="96"/>
      <c r="M673" s="101"/>
      <c r="P673" s="90">
        <f t="shared" si="45"/>
        <v>-1035793949</v>
      </c>
      <c r="R673" s="130">
        <f t="shared" si="47"/>
        <v>-1035793949</v>
      </c>
      <c r="S673" s="90"/>
      <c r="T673" s="90">
        <f t="shared" si="48"/>
        <v>-1035793949</v>
      </c>
      <c r="U673" s="95"/>
      <c r="V673" s="72"/>
      <c r="W673" s="75" t="e">
        <f>+A673-#REF!</f>
        <v>#REF!</v>
      </c>
      <c r="X673" s="1270"/>
      <c r="Y673" s="91"/>
      <c r="Z673" s="91"/>
      <c r="AA673" s="91"/>
    </row>
    <row r="674" spans="1:27" ht="14.4" customHeight="1" x14ac:dyDescent="0.3">
      <c r="A674">
        <v>759800</v>
      </c>
      <c r="B674" t="s">
        <v>721</v>
      </c>
      <c r="C674" t="s">
        <v>722</v>
      </c>
      <c r="D674" s="87" t="str">
        <f t="shared" si="46"/>
        <v>75</v>
      </c>
      <c r="E674" s="92"/>
      <c r="F674" s="93">
        <f>(+IFERROR(VLOOKUP($A674,'[152]BG (2)'!$B$9:$J$570,4,FALSE),0))*1</f>
        <v>0</v>
      </c>
      <c r="G674" s="73">
        <f>(+IFERROR(VLOOKUP($A674,'[152]BG (2)'!$B$9:$J$570,5,FALSE),0))*-1</f>
        <v>0</v>
      </c>
      <c r="H674" s="93">
        <f>(+IFERROR(VLOOKUP($A674,'[152]BG (2)'!$B$9:$J$570,6,FALSE),0))*1</f>
        <v>0</v>
      </c>
      <c r="I674" s="73">
        <f>(+IFERROR(VLOOKUP($A674,'[152]BG (2)'!$B$9:$J$570,7,FALSE),0))*-1</f>
        <v>0</v>
      </c>
      <c r="J674" s="109">
        <f>(+IFERROR(VLOOKUP($A674,'[152]BG (2)'!$B$9:$J$570,8,FALSE),0))*1</f>
        <v>0</v>
      </c>
      <c r="K674" s="73">
        <f>(+IFERROR(VLOOKUP($A674,'[152]BG (2)'!$B$9:$J$570,9,FALSE),0))*-1</f>
        <v>0</v>
      </c>
      <c r="L674" s="96"/>
      <c r="M674" s="101"/>
      <c r="P674" s="90">
        <f t="shared" si="45"/>
        <v>0</v>
      </c>
      <c r="R674" s="130">
        <f t="shared" si="47"/>
        <v>0</v>
      </c>
      <c r="S674" s="90"/>
      <c r="T674" s="90">
        <f t="shared" si="48"/>
        <v>0</v>
      </c>
      <c r="U674" s="95"/>
      <c r="V674" s="72"/>
      <c r="W674" s="75" t="e">
        <f>+A674-#REF!</f>
        <v>#REF!</v>
      </c>
      <c r="X674" s="1270"/>
      <c r="Y674" s="91"/>
      <c r="Z674" s="91"/>
      <c r="AA674" s="91"/>
    </row>
    <row r="675" spans="1:27" ht="14.4" customHeight="1" x14ac:dyDescent="0.3">
      <c r="A675">
        <v>771000</v>
      </c>
      <c r="B675" t="s">
        <v>723</v>
      </c>
      <c r="C675" t="s">
        <v>724</v>
      </c>
      <c r="D675" s="87" t="str">
        <f t="shared" si="46"/>
        <v>77</v>
      </c>
      <c r="E675" s="92"/>
      <c r="F675" s="93">
        <f>(+IFERROR(VLOOKUP($A675,'[152]BG (2)'!$B$9:$J$570,4,FALSE),0))*1</f>
        <v>0</v>
      </c>
      <c r="G675" s="73">
        <f>(+IFERROR(VLOOKUP($A675,'[152]BG (2)'!$B$9:$J$570,5,FALSE),0))*-1</f>
        <v>0</v>
      </c>
      <c r="H675" s="93">
        <f>(+IFERROR(VLOOKUP($A675,'[152]BG (2)'!$B$9:$J$570,6,FALSE),0))*1</f>
        <v>0</v>
      </c>
      <c r="I675" s="73">
        <f>(+IFERROR(VLOOKUP($A675,'[152]BG (2)'!$B$9:$J$570,7,FALSE),0))*-1</f>
        <v>-487525540</v>
      </c>
      <c r="J675" s="109">
        <f>(+IFERROR(VLOOKUP($A675,'[152]BG (2)'!$B$9:$J$570,8,FALSE),0))*1</f>
        <v>0</v>
      </c>
      <c r="K675" s="73">
        <f>(+IFERROR(VLOOKUP($A675,'[152]BG (2)'!$B$9:$J$570,9,FALSE),0))*-1</f>
        <v>-487525540</v>
      </c>
      <c r="L675" s="96"/>
      <c r="M675" s="101"/>
      <c r="P675" s="90">
        <f t="shared" si="45"/>
        <v>-487525540</v>
      </c>
      <c r="R675" s="130">
        <f t="shared" si="47"/>
        <v>-487525540</v>
      </c>
      <c r="S675" s="90"/>
      <c r="T675" s="90">
        <f t="shared" si="48"/>
        <v>-487525540</v>
      </c>
      <c r="U675" s="95"/>
      <c r="V675" s="72"/>
      <c r="W675" s="75" t="e">
        <f>+A675-#REF!</f>
        <v>#REF!</v>
      </c>
      <c r="X675" s="1269"/>
      <c r="Y675" s="91"/>
      <c r="Z675" s="91"/>
      <c r="AA675" s="91"/>
    </row>
    <row r="676" spans="1:27" ht="14.4" customHeight="1" x14ac:dyDescent="0.3">
      <c r="A676">
        <v>776000</v>
      </c>
      <c r="B676" t="s">
        <v>725</v>
      </c>
      <c r="C676" t="s">
        <v>726</v>
      </c>
      <c r="D676" s="87" t="str">
        <f t="shared" si="46"/>
        <v>77</v>
      </c>
      <c r="E676" s="92"/>
      <c r="F676" s="93">
        <f>(+IFERROR(VLOOKUP($A676,'[152]BG (2)'!$B$9:$J$570,4,FALSE),0))*1</f>
        <v>0</v>
      </c>
      <c r="G676" s="73">
        <f>(+IFERROR(VLOOKUP($A676,'[152]BG (2)'!$B$9:$J$570,5,FALSE),0))*-1</f>
        <v>0</v>
      </c>
      <c r="H676" s="93">
        <f>(+IFERROR(VLOOKUP($A676,'[152]BG (2)'!$B$9:$J$570,6,FALSE),0))*1</f>
        <v>24909</v>
      </c>
      <c r="I676" s="73">
        <f>(+IFERROR(VLOOKUP($A676,'[152]BG (2)'!$B$9:$J$570,7,FALSE),0))*-1</f>
        <v>-11239499</v>
      </c>
      <c r="J676" s="109">
        <f>(+IFERROR(VLOOKUP($A676,'[152]BG (2)'!$B$9:$J$570,8,FALSE),0))*1</f>
        <v>0</v>
      </c>
      <c r="K676" s="73">
        <f>(+IFERROR(VLOOKUP($A676,'[152]BG (2)'!$B$9:$J$570,9,FALSE),0))*-1</f>
        <v>-11214590</v>
      </c>
      <c r="L676" s="96"/>
      <c r="M676" s="101"/>
      <c r="P676" s="90">
        <f t="shared" si="45"/>
        <v>-11214590</v>
      </c>
      <c r="R676" s="130">
        <f t="shared" si="47"/>
        <v>-11214590</v>
      </c>
      <c r="S676" s="90"/>
      <c r="T676" s="90">
        <f t="shared" si="48"/>
        <v>-11214590</v>
      </c>
      <c r="U676" s="95"/>
      <c r="V676" s="72"/>
      <c r="W676" s="75" t="e">
        <f>+A676-#REF!</f>
        <v>#REF!</v>
      </c>
      <c r="X676" s="1269"/>
      <c r="Y676" s="91"/>
      <c r="Z676" s="91"/>
      <c r="AA676" s="91"/>
    </row>
    <row r="677" spans="1:27" ht="14.4" customHeight="1" x14ac:dyDescent="0.3">
      <c r="A677" s="1296">
        <v>779100</v>
      </c>
      <c r="B677" t="s">
        <v>2414</v>
      </c>
      <c r="C677" t="s">
        <v>726</v>
      </c>
      <c r="D677" s="87" t="str">
        <f t="shared" si="46"/>
        <v>77</v>
      </c>
      <c r="E677" s="92"/>
      <c r="F677" s="93">
        <f>(+IFERROR(VLOOKUP($A677,'[152]BG (2)'!$B$9:$J$570,4,FALSE),0))*1</f>
        <v>0</v>
      </c>
      <c r="G677" s="73">
        <f>(+IFERROR(VLOOKUP($A677,'[152]BG (2)'!$B$9:$J$570,5,FALSE),0))*-1</f>
        <v>0</v>
      </c>
      <c r="H677" s="93">
        <f>(+IFERROR(VLOOKUP($A677,'[152]BG (2)'!$B$9:$J$570,6,FALSE),0))*1</f>
        <v>0</v>
      </c>
      <c r="I677" s="73">
        <f>(+IFERROR(VLOOKUP($A677,'[152]BG (2)'!$B$9:$J$570,7,FALSE),0))*-1</f>
        <v>-372167169</v>
      </c>
      <c r="J677" s="109">
        <f>(+IFERROR(VLOOKUP($A677,'[152]BG (2)'!$B$9:$J$570,8,FALSE),0))*1</f>
        <v>0</v>
      </c>
      <c r="K677" s="73">
        <f>(+IFERROR(VLOOKUP($A677,'[152]BG (2)'!$B$9:$J$570,9,FALSE),0))*-1</f>
        <v>-372167169</v>
      </c>
      <c r="L677" s="96"/>
      <c r="M677" s="101"/>
      <c r="P677" s="90">
        <f t="shared" si="45"/>
        <v>-372167169</v>
      </c>
      <c r="R677" s="130"/>
      <c r="S677" s="90"/>
      <c r="T677" s="90"/>
      <c r="U677" s="95"/>
      <c r="V677" s="72"/>
      <c r="W677" s="75"/>
      <c r="X677" s="1269"/>
      <c r="Y677" s="91"/>
      <c r="Z677" s="91"/>
      <c r="AA677" s="91"/>
    </row>
    <row r="678" spans="1:27" ht="14.4" customHeight="1" x14ac:dyDescent="0.3">
      <c r="A678">
        <v>779800</v>
      </c>
      <c r="B678" t="s">
        <v>727</v>
      </c>
      <c r="C678" t="s">
        <v>722</v>
      </c>
      <c r="D678" s="87" t="str">
        <f t="shared" si="46"/>
        <v>77</v>
      </c>
      <c r="E678" s="92"/>
      <c r="F678" s="93">
        <f>(+IFERROR(VLOOKUP($A678,'[152]BG (2)'!$B$9:$J$570,4,FALSE),0))*1</f>
        <v>0</v>
      </c>
      <c r="G678" s="73">
        <f>(+IFERROR(VLOOKUP($A678,'[152]BG (2)'!$B$9:$J$570,5,FALSE),0))*-1</f>
        <v>0</v>
      </c>
      <c r="H678" s="93">
        <f>(+IFERROR(VLOOKUP($A678,'[152]BG (2)'!$B$9:$J$570,6,FALSE),0))*1</f>
        <v>0</v>
      </c>
      <c r="I678" s="73">
        <f>(+IFERROR(VLOOKUP($A678,'[152]BG (2)'!$B$9:$J$570,7,FALSE),0))*-1</f>
        <v>0</v>
      </c>
      <c r="J678" s="109">
        <f>(+IFERROR(VLOOKUP($A678,'[152]BG (2)'!$B$9:$J$570,8,FALSE),0))*1</f>
        <v>0</v>
      </c>
      <c r="K678" s="73">
        <f>(+IFERROR(VLOOKUP($A678,'[152]BG (2)'!$B$9:$J$570,9,FALSE),0))*-1</f>
        <v>0</v>
      </c>
      <c r="L678" s="96"/>
      <c r="M678" s="101"/>
      <c r="P678" s="90">
        <f t="shared" si="45"/>
        <v>0</v>
      </c>
      <c r="R678" s="130">
        <f t="shared" si="47"/>
        <v>0</v>
      </c>
      <c r="S678" s="90"/>
      <c r="T678" s="90">
        <f t="shared" si="48"/>
        <v>0</v>
      </c>
      <c r="U678" s="95"/>
      <c r="V678" s="72"/>
      <c r="W678" s="75" t="e">
        <f>+A678-#REF!</f>
        <v>#REF!</v>
      </c>
      <c r="X678" s="1269"/>
      <c r="Y678" s="91"/>
      <c r="Z678" s="91"/>
      <c r="AA678" s="91"/>
    </row>
    <row r="679" spans="1:27" ht="14.4" customHeight="1" x14ac:dyDescent="0.3">
      <c r="A679">
        <v>781000</v>
      </c>
      <c r="B679" t="s">
        <v>728</v>
      </c>
      <c r="C679" t="s">
        <v>729</v>
      </c>
      <c r="D679" s="87" t="str">
        <f t="shared" si="46"/>
        <v>78</v>
      </c>
      <c r="E679" s="92"/>
      <c r="F679" s="93">
        <f>(+IFERROR(VLOOKUP($A679,'[152]BG (2)'!$B$9:$J$570,4,FALSE),0))*1</f>
        <v>0</v>
      </c>
      <c r="G679" s="73">
        <f>(+IFERROR(VLOOKUP($A679,'[152]BG (2)'!$B$9:$J$570,5,FALSE),0))*-1</f>
        <v>0</v>
      </c>
      <c r="H679" s="93">
        <f>(+IFERROR(VLOOKUP($A679,'[152]BG (2)'!$B$9:$J$570,6,FALSE),0))*1</f>
        <v>0</v>
      </c>
      <c r="I679" s="73">
        <f>(+IFERROR(VLOOKUP($A679,'[152]BG (2)'!$B$9:$J$570,7,FALSE),0))*-1</f>
        <v>-143764808</v>
      </c>
      <c r="J679" s="109">
        <f>(+IFERROR(VLOOKUP($A679,'[152]BG (2)'!$B$9:$J$570,8,FALSE),0))*1</f>
        <v>0</v>
      </c>
      <c r="K679" s="73">
        <f>(+IFERROR(VLOOKUP($A679,'[152]BG (2)'!$B$9:$J$570,9,FALSE),0))*-1</f>
        <v>-143764808</v>
      </c>
      <c r="L679" s="96"/>
      <c r="M679" s="101"/>
      <c r="P679" s="90">
        <f t="shared" si="45"/>
        <v>-143764808</v>
      </c>
      <c r="R679" s="130">
        <f t="shared" si="47"/>
        <v>-143764808</v>
      </c>
      <c r="S679" s="90"/>
      <c r="T679" s="90">
        <f t="shared" si="48"/>
        <v>-143764808</v>
      </c>
      <c r="U679" s="95"/>
      <c r="W679" s="75" t="e">
        <f>+A679-#REF!</f>
        <v>#REF!</v>
      </c>
      <c r="X679" s="1269"/>
      <c r="Y679" s="91"/>
      <c r="Z679" s="91"/>
      <c r="AA679" s="91"/>
    </row>
    <row r="680" spans="1:27" ht="14.4" customHeight="1" x14ac:dyDescent="0.3">
      <c r="A680" s="1284">
        <v>781100</v>
      </c>
      <c r="B680" s="1284" t="s">
        <v>2245</v>
      </c>
      <c r="C680" t="s">
        <v>729</v>
      </c>
      <c r="D680" s="87" t="str">
        <f t="shared" si="46"/>
        <v>78</v>
      </c>
      <c r="E680" s="92"/>
      <c r="F680" s="93">
        <f>(+IFERROR(VLOOKUP($A680,'[152]BG (2)'!$B$9:$J$570,4,FALSE),0))*1</f>
        <v>0</v>
      </c>
      <c r="G680" s="73">
        <f>(+IFERROR(VLOOKUP($A680,'[152]BG (2)'!$B$9:$J$570,5,FALSE),0))*-1</f>
        <v>0</v>
      </c>
      <c r="H680" s="93">
        <f>(+IFERROR(VLOOKUP($A680,'[152]BG (2)'!$B$9:$J$570,6,FALSE),0))*1</f>
        <v>0</v>
      </c>
      <c r="I680" s="73">
        <f>(+IFERROR(VLOOKUP($A680,'[152]BG (2)'!$B$9:$J$570,7,FALSE),0))*-1</f>
        <v>-58697776</v>
      </c>
      <c r="J680" s="109">
        <f>(+IFERROR(VLOOKUP($A680,'[152]BG (2)'!$B$9:$J$570,8,FALSE),0))*1</f>
        <v>0</v>
      </c>
      <c r="K680" s="73">
        <f>(+IFERROR(VLOOKUP($A680,'[152]BG (2)'!$B$9:$J$570,9,FALSE),0))*-1</f>
        <v>-58697776</v>
      </c>
      <c r="L680" s="96"/>
      <c r="M680" s="101"/>
      <c r="P680" s="90">
        <f t="shared" si="45"/>
        <v>-58697776</v>
      </c>
      <c r="R680" s="130"/>
      <c r="S680" s="90"/>
      <c r="T680" s="90"/>
      <c r="U680" s="95"/>
      <c r="W680" s="75"/>
      <c r="X680" s="1269"/>
      <c r="Y680" s="91"/>
      <c r="Z680" s="91"/>
      <c r="AA680" s="91"/>
    </row>
    <row r="681" spans="1:27" ht="14.4" customHeight="1" x14ac:dyDescent="0.3">
      <c r="A681">
        <v>791100</v>
      </c>
      <c r="B681" t="s">
        <v>730</v>
      </c>
      <c r="C681" t="s">
        <v>731</v>
      </c>
      <c r="D681" s="87" t="str">
        <f t="shared" si="46"/>
        <v>79</v>
      </c>
      <c r="E681" s="92"/>
      <c r="F681" s="93">
        <f>(+IFERROR(VLOOKUP($A681,'[152]BG (2)'!$B$9:$J$570,4,FALSE),0))*1</f>
        <v>0</v>
      </c>
      <c r="G681" s="73">
        <f>(+IFERROR(VLOOKUP($A681,'[152]BG (2)'!$B$9:$J$570,5,FALSE),0))*-1</f>
        <v>0</v>
      </c>
      <c r="H681" s="93">
        <f>(+IFERROR(VLOOKUP($A681,'[152]BG (2)'!$B$9:$J$570,6,FALSE),0))*1</f>
        <v>0</v>
      </c>
      <c r="I681" s="73">
        <f>(+IFERROR(VLOOKUP($A681,'[152]BG (2)'!$B$9:$J$570,7,FALSE),0))*-1</f>
        <v>-130028623</v>
      </c>
      <c r="J681" s="109">
        <f>(+IFERROR(VLOOKUP($A681,'[152]BG (2)'!$B$9:$J$570,8,FALSE),0))*1</f>
        <v>0</v>
      </c>
      <c r="K681" s="1592">
        <f>(+IFERROR(VLOOKUP($A681,'[152]BG (2)'!$B$9:$J$570,9,FALSE),0))*-1</f>
        <v>-130028623</v>
      </c>
      <c r="L681" s="96"/>
      <c r="M681" s="101"/>
      <c r="P681" s="90">
        <f t="shared" si="45"/>
        <v>-130028623</v>
      </c>
      <c r="R681" s="130">
        <f t="shared" si="47"/>
        <v>-130028623</v>
      </c>
      <c r="S681" s="90"/>
      <c r="T681" s="90">
        <f t="shared" si="48"/>
        <v>-130028623</v>
      </c>
      <c r="U681" s="95"/>
      <c r="W681" s="75" t="e">
        <f>+A681-#REF!</f>
        <v>#REF!</v>
      </c>
      <c r="X681" s="1269"/>
      <c r="Y681" s="91"/>
      <c r="Z681" s="91"/>
      <c r="AA681" s="91"/>
    </row>
    <row r="682" spans="1:27" ht="14.4" customHeight="1" x14ac:dyDescent="0.3">
      <c r="A682">
        <v>791400</v>
      </c>
      <c r="B682" t="s">
        <v>732</v>
      </c>
      <c r="C682" t="s">
        <v>733</v>
      </c>
      <c r="D682" s="87" t="str">
        <f t="shared" si="46"/>
        <v>79</v>
      </c>
      <c r="E682" s="92"/>
      <c r="F682" s="93">
        <f>(+IFERROR(VLOOKUP($A682,'[152]BG (2)'!$B$9:$J$570,4,FALSE),0))*1</f>
        <v>0</v>
      </c>
      <c r="G682" s="73">
        <f>(+IFERROR(VLOOKUP($A682,'[152]BG (2)'!$B$9:$J$570,5,FALSE),0))*-1</f>
        <v>0</v>
      </c>
      <c r="H682" s="93">
        <f>(+IFERROR(VLOOKUP($A682,'[152]BG (2)'!$B$9:$J$570,6,FALSE),0))*1</f>
        <v>0</v>
      </c>
      <c r="I682" s="73">
        <f>(+IFERROR(VLOOKUP($A682,'[152]BG (2)'!$B$9:$J$570,7,FALSE),0))*-1</f>
        <v>-1458883577</v>
      </c>
      <c r="J682" s="109">
        <f>(+IFERROR(VLOOKUP($A682,'[152]BG (2)'!$B$9:$J$570,8,FALSE),0))*1</f>
        <v>0</v>
      </c>
      <c r="K682" s="1592">
        <f>(+IFERROR(VLOOKUP($A682,'[152]BG (2)'!$B$9:$J$570,9,FALSE),0))*-1</f>
        <v>-1458883577</v>
      </c>
      <c r="L682" s="96"/>
      <c r="M682" s="101"/>
      <c r="P682" s="90">
        <f t="shared" si="45"/>
        <v>-1458883577</v>
      </c>
      <c r="R682" s="130">
        <f t="shared" si="47"/>
        <v>-1458883577</v>
      </c>
      <c r="S682" s="90"/>
      <c r="T682" s="90">
        <f t="shared" si="48"/>
        <v>-1458883577</v>
      </c>
      <c r="U682" s="95"/>
      <c r="W682" s="75" t="e">
        <f>+A682-#REF!</f>
        <v>#REF!</v>
      </c>
      <c r="X682" s="1269"/>
      <c r="Y682" s="91"/>
      <c r="Z682" s="91"/>
      <c r="AA682" s="91"/>
    </row>
    <row r="683" spans="1:27" ht="14.4" customHeight="1" x14ac:dyDescent="0.3">
      <c r="A683">
        <v>810000</v>
      </c>
      <c r="B683" t="s">
        <v>734</v>
      </c>
      <c r="C683" t="s">
        <v>735</v>
      </c>
      <c r="D683" s="87" t="str">
        <f t="shared" si="46"/>
        <v>81</v>
      </c>
      <c r="E683" s="92"/>
      <c r="F683" s="93">
        <f>(+IFERROR(VLOOKUP($A683,'[152]BG (2)'!$B$9:$J$570,4,FALSE),0))*1</f>
        <v>0</v>
      </c>
      <c r="G683" s="73">
        <f>(+IFERROR(VLOOKUP($A683,'[152]BG (2)'!$B$9:$J$570,5,FALSE),0))*-1</f>
        <v>0</v>
      </c>
      <c r="H683" s="93">
        <f>(+IFERROR(VLOOKUP($A683,'[152]BG (2)'!$B$9:$J$570,6,FALSE),0))*1</f>
        <v>0</v>
      </c>
      <c r="I683" s="73">
        <f>(+IFERROR(VLOOKUP($A683,'[152]BG (2)'!$B$9:$J$570,7,FALSE),0))*-1</f>
        <v>0</v>
      </c>
      <c r="J683" s="109">
        <f>(+IFERROR(VLOOKUP($A683,'[152]BG (2)'!$B$9:$J$570,8,FALSE),0))*1</f>
        <v>0</v>
      </c>
      <c r="K683" s="73">
        <f>(+IFERROR(VLOOKUP($A683,'[152]BG (2)'!$B$9:$J$570,9,FALSE),0))*-1</f>
        <v>0</v>
      </c>
      <c r="L683" s="96"/>
      <c r="M683" s="101"/>
      <c r="P683" s="90">
        <f t="shared" si="45"/>
        <v>0</v>
      </c>
      <c r="R683" s="130">
        <f t="shared" si="47"/>
        <v>0</v>
      </c>
      <c r="S683" s="90"/>
      <c r="T683" s="90">
        <f t="shared" si="48"/>
        <v>0</v>
      </c>
      <c r="U683" s="95"/>
      <c r="W683" s="75" t="e">
        <f>+A683-#REF!</f>
        <v>#REF!</v>
      </c>
      <c r="X683" s="1269"/>
      <c r="Y683" s="91"/>
      <c r="Z683" s="91"/>
      <c r="AA683" s="91"/>
    </row>
    <row r="684" spans="1:27" s="138" customFormat="1" ht="14.4" customHeight="1" x14ac:dyDescent="0.3">
      <c r="A684">
        <v>820000</v>
      </c>
      <c r="B684" t="s">
        <v>736</v>
      </c>
      <c r="C684" t="s">
        <v>735</v>
      </c>
      <c r="D684" s="87" t="str">
        <f t="shared" si="46"/>
        <v>82</v>
      </c>
      <c r="E684" s="92"/>
      <c r="F684" s="93">
        <f>(+IFERROR(VLOOKUP($A684,'[152]BG (2)'!$B$9:$J$570,4,FALSE),0))*1</f>
        <v>0</v>
      </c>
      <c r="G684" s="73">
        <f>(+IFERROR(VLOOKUP($A684,'[152]BG (2)'!$B$9:$J$570,5,FALSE),0))*-1</f>
        <v>0</v>
      </c>
      <c r="H684" s="93">
        <f>(+IFERROR(VLOOKUP($A684,'[152]BG (2)'!$B$9:$J$570,6,FALSE),0))*1</f>
        <v>0</v>
      </c>
      <c r="I684" s="73">
        <f>(+IFERROR(VLOOKUP($A684,'[152]BG (2)'!$B$9:$J$570,7,FALSE),0))*-1</f>
        <v>0</v>
      </c>
      <c r="J684" s="109">
        <f>(+IFERROR(VLOOKUP($A684,'[152]BG (2)'!$B$9:$J$570,8,FALSE),0))*1</f>
        <v>0</v>
      </c>
      <c r="K684" s="73">
        <f>(+IFERROR(VLOOKUP($A684,'[152]BG (2)'!$B$9:$J$570,9,FALSE),0))*-1</f>
        <v>0</v>
      </c>
      <c r="L684" s="96"/>
      <c r="M684" s="101"/>
      <c r="N684" s="2"/>
      <c r="O684" s="2"/>
      <c r="P684" s="90">
        <f t="shared" si="45"/>
        <v>0</v>
      </c>
      <c r="Q684" s="2"/>
      <c r="R684" s="130">
        <f t="shared" si="47"/>
        <v>0</v>
      </c>
      <c r="S684" s="90"/>
      <c r="T684" s="90">
        <f t="shared" si="48"/>
        <v>0</v>
      </c>
      <c r="U684" s="95"/>
      <c r="V684"/>
      <c r="W684" s="75" t="e">
        <f>+A684-#REF!</f>
        <v>#REF!</v>
      </c>
      <c r="X684" s="1269"/>
      <c r="Y684" s="91"/>
      <c r="Z684" s="91"/>
      <c r="AA684" s="91"/>
    </row>
    <row r="685" spans="1:27" s="138" customFormat="1" ht="14.4" customHeight="1" x14ac:dyDescent="0.3">
      <c r="A685">
        <v>891000</v>
      </c>
      <c r="B685"/>
      <c r="C685" t="s">
        <v>737</v>
      </c>
      <c r="D685" s="87" t="str">
        <f t="shared" si="46"/>
        <v>89</v>
      </c>
      <c r="E685" s="92"/>
      <c r="F685" s="93">
        <f>(+IFERROR(VLOOKUP($A685,'[152]BG (2)'!$B$9:$J$570,4,FALSE),0))*1</f>
        <v>0</v>
      </c>
      <c r="G685" s="73">
        <f>(+IFERROR(VLOOKUP($A685,'[152]BG (2)'!$B$9:$J$570,5,FALSE),0))*-1</f>
        <v>0</v>
      </c>
      <c r="H685" s="93">
        <f>(+IFERROR(VLOOKUP($A685,'[152]BG (2)'!$B$9:$J$570,6,FALSE),0))*1</f>
        <v>1067468330</v>
      </c>
      <c r="I685" s="73">
        <f>(+IFERROR(VLOOKUP($A685,'[152]BG (2)'!$B$9:$J$570,7,FALSE),0))*-1</f>
        <v>0</v>
      </c>
      <c r="J685" s="109">
        <f>(+IFERROR(VLOOKUP($A685,'[152]BG (2)'!$B$9:$J$570,8,FALSE),0))*1</f>
        <v>1067468330</v>
      </c>
      <c r="K685" s="73">
        <f>(+IFERROR(VLOOKUP($A685,'[152]BG (2)'!$B$9:$J$570,9,FALSE),0))*-1</f>
        <v>0</v>
      </c>
      <c r="L685" s="96"/>
      <c r="M685" s="101"/>
      <c r="N685" s="2"/>
      <c r="O685" s="2"/>
      <c r="P685" s="90">
        <f t="shared" si="45"/>
        <v>1067468330</v>
      </c>
      <c r="Q685" s="2"/>
      <c r="R685" s="130">
        <f t="shared" si="47"/>
        <v>1067468330</v>
      </c>
      <c r="S685" s="90"/>
      <c r="T685" s="90">
        <f t="shared" si="48"/>
        <v>1067468330</v>
      </c>
      <c r="U685" s="95"/>
      <c r="V685"/>
      <c r="W685" s="75" t="e">
        <f>+A685-#REF!</f>
        <v>#REF!</v>
      </c>
      <c r="X685" s="1269"/>
      <c r="Y685" s="91"/>
      <c r="Z685" s="91"/>
      <c r="AA685" s="91"/>
    </row>
    <row r="686" spans="1:27" ht="14.4" customHeight="1" x14ac:dyDescent="0.3">
      <c r="A686" s="1292">
        <v>892000</v>
      </c>
      <c r="B686" s="1292" t="s">
        <v>2257</v>
      </c>
      <c r="C686" t="s">
        <v>737</v>
      </c>
      <c r="D686" s="87" t="str">
        <f t="shared" si="46"/>
        <v>89</v>
      </c>
      <c r="E686" s="92"/>
      <c r="F686" s="93">
        <f>(+IFERROR(VLOOKUP($A686,'[152]BG (2)'!$B$9:$J$570,4,FALSE),0))*1</f>
        <v>0</v>
      </c>
      <c r="G686" s="73">
        <f>(+IFERROR(VLOOKUP($A686,'[152]BG (2)'!$B$9:$J$570,5,FALSE),0))*-1</f>
        <v>0</v>
      </c>
      <c r="H686" s="93">
        <f>(+IFERROR(VLOOKUP($A686,'[152]BG (2)'!$B$9:$J$570,6,FALSE),0))*1</f>
        <v>0</v>
      </c>
      <c r="I686" s="73">
        <f>(+IFERROR(VLOOKUP($A686,'[152]BG (2)'!$B$9:$J$570,7,FALSE),0))*-1</f>
        <v>0</v>
      </c>
      <c r="J686" s="109">
        <f>(+IFERROR(VLOOKUP($A686,'[152]BG (2)'!$B$9:$J$570,8,FALSE),0))*1</f>
        <v>0</v>
      </c>
      <c r="K686" s="73">
        <f>(+IFERROR(VLOOKUP($A686,'[152]BG (2)'!$B$9:$J$570,9,FALSE),0))*-1</f>
        <v>0</v>
      </c>
      <c r="L686" s="96"/>
      <c r="M686" s="101"/>
      <c r="P686" s="90">
        <f t="shared" si="45"/>
        <v>0</v>
      </c>
      <c r="R686" s="130"/>
      <c r="S686" s="90"/>
      <c r="T686" s="90"/>
      <c r="U686" s="95"/>
      <c r="W686" s="75"/>
      <c r="X686" s="1269"/>
      <c r="Y686" s="91"/>
      <c r="Z686" s="91"/>
      <c r="AA686" s="91"/>
    </row>
    <row r="687" spans="1:27" customFormat="1" ht="14.4" customHeight="1" x14ac:dyDescent="0.3">
      <c r="A687" s="137">
        <v>985000</v>
      </c>
      <c r="B687" t="s">
        <v>738</v>
      </c>
      <c r="C687" t="s">
        <v>737</v>
      </c>
      <c r="D687" s="87" t="str">
        <f t="shared" si="46"/>
        <v>98</v>
      </c>
      <c r="E687" s="92"/>
      <c r="F687" s="93">
        <f>(+IFERROR(VLOOKUP($A687,'[152]BG (2)'!$B$9:$J$570,4,FALSE),0))*1</f>
        <v>0</v>
      </c>
      <c r="G687" s="73">
        <f>(+IFERROR(VLOOKUP($A687,'[152]BG (2)'!$B$9:$J$570,5,FALSE),0))*-1</f>
        <v>0</v>
      </c>
      <c r="H687" s="93">
        <f>(+IFERROR(VLOOKUP($A687,'[152]BG (2)'!$B$9:$J$570,6,FALSE),0))*1</f>
        <v>0</v>
      </c>
      <c r="I687" s="73">
        <f>(+IFERROR(VLOOKUP($A687,'[152]BG (2)'!$B$9:$J$570,7,FALSE),0))*-1</f>
        <v>0</v>
      </c>
      <c r="J687" s="109">
        <f>(+IFERROR(VLOOKUP($A687,'[152]BG (2)'!$B$9:$J$570,8,FALSE),0))*1</f>
        <v>0</v>
      </c>
      <c r="K687" s="73">
        <f>(+IFERROR(VLOOKUP($A687,'[152]BG (2)'!$B$9:$J$570,9,FALSE),0))*-1</f>
        <v>0</v>
      </c>
      <c r="L687" s="96"/>
      <c r="M687" s="101"/>
      <c r="N687" s="2"/>
      <c r="O687" s="2"/>
      <c r="P687" s="90">
        <f t="shared" si="45"/>
        <v>0</v>
      </c>
      <c r="Q687" s="2"/>
      <c r="R687" s="130"/>
      <c r="S687" s="90"/>
      <c r="T687" s="90">
        <f t="shared" si="48"/>
        <v>0</v>
      </c>
      <c r="U687" s="95"/>
      <c r="W687" s="75" t="e">
        <f>+A687-#REF!</f>
        <v>#REF!</v>
      </c>
      <c r="X687" s="1269"/>
      <c r="Y687" s="91"/>
      <c r="Z687" s="91"/>
      <c r="AA687" s="91"/>
    </row>
    <row r="688" spans="1:27" customFormat="1" ht="14.4" customHeight="1" x14ac:dyDescent="0.3">
      <c r="A688">
        <v>999940</v>
      </c>
      <c r="B688" t="s">
        <v>739</v>
      </c>
      <c r="C688" t="s">
        <v>737</v>
      </c>
      <c r="D688" s="87" t="str">
        <f t="shared" si="46"/>
        <v>99</v>
      </c>
      <c r="E688" s="92"/>
      <c r="F688" s="93">
        <f>(+IFERROR(VLOOKUP($A688,'[152]BG (2)'!$B$9:$J$570,4,FALSE),0))*1</f>
        <v>0</v>
      </c>
      <c r="G688" s="93">
        <f>(+IFERROR(VLOOKUP($A688,'[152]BG (2)'!$B$9:$J$570,5,FALSE),0))*-1</f>
        <v>0</v>
      </c>
      <c r="H688" s="93">
        <f>(+IFERROR(VLOOKUP($A688,'[152]BG (2)'!$B$9:$J$570,6,FALSE),0))*1</f>
        <v>0</v>
      </c>
      <c r="I688" s="73">
        <f>(+IFERROR(VLOOKUP($A688,'[152]BG (2)'!$B$9:$J$570,7,FALSE),0))*-1</f>
        <v>0</v>
      </c>
      <c r="J688" s="109">
        <f>(+IFERROR(VLOOKUP($A688,'[152]BG (2)'!$B$9:$J$570,8,FALSE),0))*1</f>
        <v>0</v>
      </c>
      <c r="K688" s="73">
        <f>(+IFERROR(VLOOKUP($A688,'[152]BG (2)'!$B$9:$J$570,9,FALSE),0))*-1</f>
        <v>0</v>
      </c>
      <c r="L688" s="96"/>
      <c r="M688" s="101"/>
      <c r="N688" s="2"/>
      <c r="O688" s="2"/>
      <c r="P688" s="90">
        <f t="shared" si="45"/>
        <v>0</v>
      </c>
      <c r="Q688" s="2"/>
      <c r="R688" s="2"/>
      <c r="S688" s="90"/>
      <c r="T688" s="90">
        <f t="shared" si="48"/>
        <v>0</v>
      </c>
      <c r="U688" s="95"/>
      <c r="Y688" s="91"/>
      <c r="Z688" s="91"/>
      <c r="AA688" s="91"/>
    </row>
    <row r="689" spans="1:27" customFormat="1" ht="14.4" customHeight="1" x14ac:dyDescent="0.3">
      <c r="A689" s="138"/>
      <c r="B689" s="139"/>
      <c r="C689" s="139"/>
      <c r="D689" s="139"/>
      <c r="E689" s="139"/>
      <c r="F689" s="140">
        <f t="shared" ref="F689:K689" si="49">SUM(F4:F688)</f>
        <v>393629085819</v>
      </c>
      <c r="G689" s="140">
        <f t="shared" si="49"/>
        <v>-393629085819</v>
      </c>
      <c r="H689" s="140">
        <f t="shared" si="49"/>
        <v>1492466994993</v>
      </c>
      <c r="I689" s="140">
        <f t="shared" si="49"/>
        <v>-1492466994993</v>
      </c>
      <c r="J689" s="140">
        <f t="shared" si="49"/>
        <v>534506709788</v>
      </c>
      <c r="K689" s="140">
        <f t="shared" si="49"/>
        <v>-534506709788</v>
      </c>
      <c r="L689" s="139"/>
      <c r="M689" s="139"/>
      <c r="N689" s="6"/>
      <c r="O689" s="6"/>
      <c r="P689" s="6"/>
      <c r="Q689" s="6"/>
      <c r="R689" s="6"/>
      <c r="S689" s="90"/>
      <c r="T689" s="90">
        <f>SUM(T4:T688)</f>
        <v>31198680403</v>
      </c>
      <c r="U689" s="95"/>
      <c r="Z689" s="91"/>
      <c r="AA689" s="91"/>
    </row>
    <row r="690" spans="1:27" customFormat="1" ht="14.4" customHeight="1" x14ac:dyDescent="0.3">
      <c r="A690" s="72"/>
      <c r="B690" s="72"/>
      <c r="C690" s="73"/>
      <c r="D690" s="73"/>
      <c r="E690" s="73"/>
      <c r="F690" s="73"/>
      <c r="G690" s="73">
        <f>F689+G689</f>
        <v>0</v>
      </c>
      <c r="H690" s="73"/>
      <c r="I690" s="73">
        <f>H689+I689</f>
        <v>0</v>
      </c>
      <c r="J690" s="73"/>
      <c r="K690" s="73">
        <f>J689+K689</f>
        <v>0</v>
      </c>
      <c r="N690" s="2"/>
      <c r="O690" s="2"/>
      <c r="P690" s="2"/>
      <c r="Q690" s="2"/>
      <c r="R690" s="2"/>
      <c r="S690" s="90"/>
      <c r="T690" s="90"/>
      <c r="Z690" s="91"/>
      <c r="AA690" s="91"/>
    </row>
    <row r="691" spans="1:27" x14ac:dyDescent="0.3">
      <c r="A691"/>
      <c r="B691"/>
      <c r="C691"/>
      <c r="D691"/>
      <c r="E691"/>
      <c r="F691"/>
      <c r="G691"/>
      <c r="H691"/>
      <c r="I691"/>
      <c r="J691"/>
      <c r="K691" s="75"/>
      <c r="N691"/>
      <c r="O691"/>
      <c r="P691"/>
      <c r="Q691"/>
      <c r="R691"/>
      <c r="S691"/>
      <c r="T691"/>
      <c r="U691"/>
    </row>
    <row r="692" spans="1:27" x14ac:dyDescent="0.3">
      <c r="A692"/>
      <c r="B692"/>
      <c r="C692"/>
      <c r="D692"/>
      <c r="E692"/>
      <c r="F692"/>
      <c r="G692"/>
      <c r="H692" s="96">
        <f>SUM('[152]BG (2)'!G9:G558)</f>
        <v>1491399526663</v>
      </c>
      <c r="I692" s="96">
        <f>SUM('[152]BG (2)'!H9:H558)</f>
        <v>1490878082793</v>
      </c>
      <c r="J692"/>
      <c r="K692" s="75"/>
      <c r="N692"/>
      <c r="O692"/>
      <c r="P692"/>
      <c r="Q692"/>
      <c r="R692"/>
      <c r="S692"/>
      <c r="T692"/>
      <c r="U692"/>
      <c r="W692" s="72"/>
      <c r="X692" s="72"/>
    </row>
    <row r="693" spans="1:27" x14ac:dyDescent="0.3">
      <c r="A693"/>
      <c r="B693"/>
      <c r="C693"/>
      <c r="D693"/>
      <c r="E693"/>
      <c r="F693"/>
      <c r="G693"/>
      <c r="H693"/>
      <c r="I693"/>
      <c r="J693"/>
      <c r="K693" s="75"/>
      <c r="N693"/>
      <c r="O693"/>
      <c r="P693"/>
      <c r="Q693"/>
      <c r="R693"/>
      <c r="S693"/>
      <c r="T693"/>
      <c r="U693"/>
      <c r="W693" s="72"/>
      <c r="X693" s="72"/>
    </row>
    <row r="694" spans="1:27" x14ac:dyDescent="0.3">
      <c r="A694"/>
      <c r="B694"/>
      <c r="C694"/>
      <c r="D694"/>
      <c r="E694"/>
      <c r="F694"/>
      <c r="G694" s="72"/>
      <c r="H694"/>
      <c r="I694"/>
      <c r="J694"/>
      <c r="K694" s="75"/>
      <c r="N694"/>
      <c r="O694"/>
      <c r="P694"/>
      <c r="Q694"/>
      <c r="R694"/>
      <c r="S694"/>
      <c r="T694"/>
      <c r="U694"/>
      <c r="W694" s="72"/>
      <c r="X694" s="72"/>
    </row>
    <row r="695" spans="1:27" x14ac:dyDescent="0.3">
      <c r="C695" s="72"/>
      <c r="D695" s="72"/>
      <c r="E695" s="72"/>
      <c r="F695" s="72"/>
      <c r="G695" s="72"/>
      <c r="H695" s="72"/>
      <c r="I695" s="72"/>
      <c r="J695" s="72"/>
      <c r="L695" s="72"/>
      <c r="M695" s="72"/>
      <c r="N695" s="72"/>
      <c r="O695" s="72"/>
      <c r="P695" s="72"/>
      <c r="Q695" s="72"/>
      <c r="R695" s="72"/>
      <c r="S695"/>
      <c r="T695"/>
      <c r="U695"/>
      <c r="V695" s="72"/>
      <c r="W695" s="72"/>
      <c r="X695" s="72"/>
    </row>
    <row r="696" spans="1:27" x14ac:dyDescent="0.3">
      <c r="C696" s="72"/>
      <c r="D696" s="72"/>
      <c r="E696" s="72"/>
      <c r="F696" s="72"/>
      <c r="G696" s="72"/>
      <c r="H696" s="72"/>
      <c r="I696" s="72"/>
      <c r="J696" s="72"/>
      <c r="L696" s="72"/>
      <c r="M696" s="72"/>
      <c r="N696" s="72"/>
      <c r="O696" s="72"/>
      <c r="P696" s="72"/>
      <c r="Q696" s="72"/>
      <c r="R696" s="72"/>
      <c r="S696"/>
      <c r="T696"/>
      <c r="U696"/>
      <c r="V696" s="72"/>
      <c r="W696" s="72"/>
      <c r="X696" s="72"/>
    </row>
    <row r="697" spans="1:27" x14ac:dyDescent="0.3">
      <c r="C697" s="72"/>
      <c r="D697" s="72"/>
      <c r="E697" s="72"/>
      <c r="F697" s="72"/>
      <c r="G697" s="72"/>
      <c r="H697" s="72"/>
      <c r="I697" s="72"/>
      <c r="J697" s="72"/>
      <c r="L697" s="72"/>
      <c r="M697" s="72"/>
      <c r="N697" s="72"/>
      <c r="O697" s="72"/>
      <c r="P697" s="72"/>
      <c r="Q697" s="72"/>
      <c r="R697" s="72"/>
      <c r="S697"/>
      <c r="T697"/>
      <c r="U697"/>
      <c r="V697" s="72"/>
      <c r="W697" s="72"/>
      <c r="X697" s="72"/>
    </row>
    <row r="698" spans="1:27" x14ac:dyDescent="0.3">
      <c r="C698" s="72"/>
      <c r="D698" s="72"/>
      <c r="E698" s="72"/>
      <c r="F698" s="72"/>
      <c r="G698" s="72"/>
      <c r="H698" s="72"/>
      <c r="I698" s="72"/>
      <c r="J698" s="72"/>
      <c r="L698" s="72"/>
      <c r="M698" s="72"/>
      <c r="N698" s="72"/>
      <c r="O698" s="72"/>
      <c r="P698" s="72"/>
      <c r="Q698" s="72"/>
      <c r="R698" s="72"/>
      <c r="S698"/>
      <c r="T698"/>
      <c r="U698"/>
      <c r="V698" s="72"/>
      <c r="W698" s="72"/>
      <c r="X698" s="72"/>
    </row>
    <row r="699" spans="1:27" x14ac:dyDescent="0.3">
      <c r="A699" s="1296"/>
      <c r="B699" s="1296"/>
      <c r="C699" s="1296"/>
      <c r="D699" s="72"/>
      <c r="E699" s="72"/>
      <c r="F699" s="72"/>
      <c r="G699" s="72"/>
      <c r="H699" s="72">
        <f>+H16/1000000</f>
        <v>3847.1168560000001</v>
      </c>
      <c r="I699" s="72">
        <f>+I16/-1000000</f>
        <v>921.02621899999997</v>
      </c>
      <c r="J699" s="72"/>
      <c r="L699" s="72"/>
      <c r="M699" s="72"/>
      <c r="N699" s="72"/>
      <c r="O699" s="72"/>
      <c r="P699" s="72"/>
      <c r="Q699" s="72"/>
      <c r="R699" s="72"/>
      <c r="S699"/>
      <c r="T699"/>
      <c r="U699"/>
      <c r="V699" s="72"/>
      <c r="W699" s="72"/>
      <c r="X699" s="72"/>
    </row>
    <row r="700" spans="1:27" x14ac:dyDescent="0.3">
      <c r="A700" s="1296"/>
      <c r="B700" s="1296"/>
      <c r="C700" s="1296"/>
      <c r="D700" s="72"/>
      <c r="E700" s="72"/>
      <c r="F700" s="72"/>
      <c r="G700" s="72"/>
      <c r="H700" s="72">
        <f t="shared" ref="H700" si="50">+H17/1000000</f>
        <v>2073.9851349999999</v>
      </c>
      <c r="I700" s="72"/>
      <c r="J700" s="72"/>
      <c r="L700" s="72"/>
      <c r="M700" s="72"/>
      <c r="N700" s="72"/>
      <c r="O700" s="72"/>
      <c r="P700" s="72"/>
      <c r="Q700" s="72"/>
      <c r="R700" s="72"/>
      <c r="S700"/>
      <c r="T700"/>
      <c r="U700"/>
      <c r="V700" s="72"/>
      <c r="W700" s="72"/>
      <c r="X700" s="72"/>
    </row>
    <row r="701" spans="1:27" x14ac:dyDescent="0.3">
      <c r="A701" s="1296"/>
      <c r="B701" s="1296"/>
      <c r="C701" s="1296"/>
      <c r="D701" s="72"/>
      <c r="E701" s="72"/>
      <c r="F701" s="72"/>
      <c r="G701" s="72"/>
      <c r="H701" s="72">
        <f>+H18/1000000</f>
        <v>2098.4172440000002</v>
      </c>
      <c r="I701" s="72"/>
      <c r="J701" s="72"/>
      <c r="L701" s="72"/>
      <c r="M701" s="72"/>
      <c r="N701" s="72"/>
      <c r="O701" s="72"/>
      <c r="P701" s="72"/>
      <c r="Q701" s="72"/>
      <c r="R701" s="72"/>
      <c r="S701"/>
      <c r="T701"/>
      <c r="U701"/>
      <c r="V701" s="72"/>
      <c r="W701" s="72"/>
      <c r="X701" s="72"/>
    </row>
    <row r="702" spans="1:27" x14ac:dyDescent="0.3">
      <c r="A702" s="1296"/>
      <c r="B702" s="1296"/>
      <c r="C702" s="1296"/>
      <c r="D702" s="72"/>
      <c r="E702" s="72"/>
      <c r="F702" s="72"/>
      <c r="G702" s="72"/>
      <c r="H702" s="72"/>
      <c r="I702" s="72"/>
      <c r="J702" s="72">
        <f>SUBTOTAL(9,J99:J100)/1000000</f>
        <v>753.748559</v>
      </c>
      <c r="K702" s="72">
        <f>SUBTOTAL(9,K111:K112)/1000000</f>
        <v>-248.13978</v>
      </c>
      <c r="L702" s="72"/>
      <c r="M702" s="72"/>
      <c r="N702" s="72"/>
      <c r="O702" s="72"/>
      <c r="P702" s="72"/>
      <c r="Q702" s="72"/>
      <c r="R702" s="72"/>
      <c r="S702"/>
      <c r="T702"/>
      <c r="U702"/>
      <c r="V702" s="72"/>
      <c r="W702" s="72"/>
      <c r="X702" s="72"/>
    </row>
    <row r="703" spans="1:27" x14ac:dyDescent="0.3">
      <c r="C703" s="72"/>
      <c r="D703" s="72"/>
      <c r="E703" s="72"/>
      <c r="F703" s="72"/>
      <c r="G703" s="72"/>
      <c r="H703" s="72"/>
      <c r="I703" s="72"/>
      <c r="J703" s="95">
        <f>J104/1000000</f>
        <v>6.2919200000000002</v>
      </c>
      <c r="K703" s="91">
        <f>SUBTOTAL(9,K114)/1000000</f>
        <v>-6.2919200000000002</v>
      </c>
      <c r="L703" s="72"/>
      <c r="M703" s="72"/>
      <c r="N703" s="72"/>
      <c r="O703" s="72"/>
      <c r="P703" s="72"/>
      <c r="Q703" s="72"/>
      <c r="R703" s="72"/>
      <c r="S703"/>
      <c r="T703"/>
      <c r="U703"/>
      <c r="V703" s="72"/>
      <c r="W703" s="72"/>
      <c r="X703" s="72"/>
    </row>
    <row r="704" spans="1:27" x14ac:dyDescent="0.3">
      <c r="C704" s="72"/>
      <c r="D704" s="72"/>
      <c r="E704" s="72"/>
      <c r="F704" s="72"/>
      <c r="G704" s="72"/>
      <c r="H704" s="72"/>
      <c r="I704" s="72"/>
      <c r="J704" s="72">
        <f>SUBTOTAL(9,J105:J110)/1000000</f>
        <v>1760.5376450000001</v>
      </c>
      <c r="L704" s="72"/>
      <c r="M704" s="72"/>
      <c r="N704" s="72"/>
      <c r="O704" s="72"/>
      <c r="P704" s="72"/>
      <c r="Q704" s="72"/>
      <c r="R704" s="72"/>
      <c r="S704"/>
      <c r="T704"/>
      <c r="U704"/>
      <c r="V704" s="72"/>
      <c r="W704" s="72"/>
      <c r="X704" s="72"/>
    </row>
    <row r="705" spans="1:24" x14ac:dyDescent="0.3">
      <c r="C705" s="72"/>
      <c r="D705" s="72"/>
      <c r="E705" s="72"/>
      <c r="F705" s="72"/>
      <c r="G705" s="72"/>
      <c r="H705" s="72"/>
      <c r="I705" s="72"/>
      <c r="J705" s="72"/>
      <c r="L705" s="72"/>
      <c r="M705" s="72"/>
      <c r="N705" s="72"/>
      <c r="O705" s="72"/>
      <c r="P705" s="72"/>
      <c r="Q705" s="72"/>
      <c r="R705" s="72"/>
      <c r="S705"/>
      <c r="T705"/>
      <c r="U705"/>
      <c r="V705" s="72"/>
      <c r="W705" s="72"/>
      <c r="X705" s="72"/>
    </row>
    <row r="706" spans="1:24" x14ac:dyDescent="0.3">
      <c r="A706" s="1443">
        <v>661800</v>
      </c>
      <c r="B706" s="1443" t="s">
        <v>2379</v>
      </c>
    </row>
    <row r="707" spans="1:24" x14ac:dyDescent="0.3">
      <c r="A707" s="1443">
        <v>706143</v>
      </c>
      <c r="B707" s="1443" t="s">
        <v>2380</v>
      </c>
    </row>
    <row r="708" spans="1:24" x14ac:dyDescent="0.3">
      <c r="A708" s="1443">
        <v>706144</v>
      </c>
      <c r="B708" s="1443" t="s">
        <v>2381</v>
      </c>
    </row>
    <row r="709" spans="1:24" x14ac:dyDescent="0.3">
      <c r="A709" s="1443">
        <v>706145</v>
      </c>
      <c r="B709" s="1443" t="s">
        <v>2382</v>
      </c>
    </row>
    <row r="721" s="72" customFormat="1" x14ac:dyDescent="0.3"/>
    <row r="722" s="72" customFormat="1" x14ac:dyDescent="0.3"/>
    <row r="723" s="72" customFormat="1" x14ac:dyDescent="0.3"/>
    <row r="724" s="72" customFormat="1" x14ac:dyDescent="0.3"/>
    <row r="725" s="72" customFormat="1" x14ac:dyDescent="0.3"/>
    <row r="726" s="72" customFormat="1" x14ac:dyDescent="0.3"/>
    <row r="727" s="72" customFormat="1" x14ac:dyDescent="0.3"/>
    <row r="728" s="72" customFormat="1" x14ac:dyDescent="0.3"/>
    <row r="729" s="72" customFormat="1" x14ac:dyDescent="0.3"/>
    <row r="730" s="72" customFormat="1" x14ac:dyDescent="0.3"/>
    <row r="731" s="72" customFormat="1" x14ac:dyDescent="0.3"/>
    <row r="732" s="72" customFormat="1" x14ac:dyDescent="0.3"/>
    <row r="733" s="72" customFormat="1" x14ac:dyDescent="0.3"/>
    <row r="734" s="72" customFormat="1" x14ac:dyDescent="0.3"/>
    <row r="735" s="72" customFormat="1" x14ac:dyDescent="0.3"/>
    <row r="736" s="72" customFormat="1" x14ac:dyDescent="0.3"/>
    <row r="737" s="72" customFormat="1" x14ac:dyDescent="0.3"/>
    <row r="738" s="72" customFormat="1" x14ac:dyDescent="0.3"/>
    <row r="739" s="72" customFormat="1" x14ac:dyDescent="0.3"/>
    <row r="740" s="72" customFormat="1" x14ac:dyDescent="0.3"/>
    <row r="741" s="72" customFormat="1" x14ac:dyDescent="0.3"/>
    <row r="742" s="72" customFormat="1" x14ac:dyDescent="0.3"/>
    <row r="743" s="72" customFormat="1" x14ac:dyDescent="0.3"/>
    <row r="744" s="72" customFormat="1" x14ac:dyDescent="0.3"/>
    <row r="745" s="72" customFormat="1" x14ac:dyDescent="0.3"/>
    <row r="746" s="72" customFormat="1" x14ac:dyDescent="0.3"/>
    <row r="747" s="72" customFormat="1" x14ac:dyDescent="0.3"/>
    <row r="748" s="72" customFormat="1" x14ac:dyDescent="0.3"/>
    <row r="749" s="72" customFormat="1" x14ac:dyDescent="0.3"/>
    <row r="750" s="72" customFormat="1" x14ac:dyDescent="0.3"/>
    <row r="751" s="72" customFormat="1" x14ac:dyDescent="0.3"/>
    <row r="752" s="72" customFormat="1" x14ac:dyDescent="0.3"/>
    <row r="753" s="72" customFormat="1" x14ac:dyDescent="0.3"/>
    <row r="754" s="72" customFormat="1" x14ac:dyDescent="0.3"/>
    <row r="755" s="72" customFormat="1" x14ac:dyDescent="0.3"/>
    <row r="756" s="72" customFormat="1" x14ac:dyDescent="0.3"/>
    <row r="757" s="72" customFormat="1" x14ac:dyDescent="0.3"/>
    <row r="758" s="72" customFormat="1" x14ac:dyDescent="0.3"/>
    <row r="759" s="72" customFormat="1" x14ac:dyDescent="0.3"/>
    <row r="760" s="72" customFormat="1" x14ac:dyDescent="0.3"/>
    <row r="761" s="72" customFormat="1" x14ac:dyDescent="0.3"/>
    <row r="762" s="72" customFormat="1" x14ac:dyDescent="0.3"/>
    <row r="763" s="72" customFormat="1" x14ac:dyDescent="0.3"/>
    <row r="764" s="72" customFormat="1" x14ac:dyDescent="0.3"/>
    <row r="765" s="72" customFormat="1" x14ac:dyDescent="0.3"/>
    <row r="766" s="72" customFormat="1" x14ac:dyDescent="0.3"/>
    <row r="767" s="72" customFormat="1" x14ac:dyDescent="0.3"/>
    <row r="768" s="72" customFormat="1" x14ac:dyDescent="0.3"/>
    <row r="769" s="72" customFormat="1" x14ac:dyDescent="0.3"/>
    <row r="770" s="72" customFormat="1" x14ac:dyDescent="0.3"/>
    <row r="771" s="72" customFormat="1" x14ac:dyDescent="0.3"/>
    <row r="772" s="72" customFormat="1" x14ac:dyDescent="0.3"/>
    <row r="773" s="72" customFormat="1" x14ac:dyDescent="0.3"/>
    <row r="774" s="72" customFormat="1" x14ac:dyDescent="0.3"/>
    <row r="775" s="72" customFormat="1" x14ac:dyDescent="0.3"/>
    <row r="776" s="72" customFormat="1" x14ac:dyDescent="0.3"/>
    <row r="785" s="72" customFormat="1" x14ac:dyDescent="0.3"/>
    <row r="787" s="72" customFormat="1" x14ac:dyDescent="0.3"/>
    <row r="788" s="72" customFormat="1" x14ac:dyDescent="0.3"/>
    <row r="789" s="72" customFormat="1" x14ac:dyDescent="0.3"/>
    <row r="790" s="72" customFormat="1" x14ac:dyDescent="0.3"/>
    <row r="791" s="72" customFormat="1" x14ac:dyDescent="0.3"/>
    <row r="792" s="72" customFormat="1" x14ac:dyDescent="0.3"/>
    <row r="793" s="72" customFormat="1" x14ac:dyDescent="0.3"/>
    <row r="794" s="72" customFormat="1" x14ac:dyDescent="0.3"/>
    <row r="795" s="72" customFormat="1" x14ac:dyDescent="0.3"/>
    <row r="796" s="72" customFormat="1" x14ac:dyDescent="0.3"/>
    <row r="797" s="72" customFormat="1" x14ac:dyDescent="0.3"/>
    <row r="798" s="72" customFormat="1" x14ac:dyDescent="0.3"/>
    <row r="799" s="72" customFormat="1" x14ac:dyDescent="0.3"/>
    <row r="800" s="72" customFormat="1" x14ac:dyDescent="0.3"/>
    <row r="801" s="72" customFormat="1" x14ac:dyDescent="0.3"/>
    <row r="802" s="72" customFormat="1" x14ac:dyDescent="0.3"/>
    <row r="803" s="72" customFormat="1" x14ac:dyDescent="0.3"/>
    <row r="804" s="72" customFormat="1" x14ac:dyDescent="0.3"/>
  </sheetData>
  <autoFilter ref="A3:AC690" xr:uid="{00000000-0009-0000-0000-000003000000}"/>
  <sortState xmlns:xlrd2="http://schemas.microsoft.com/office/spreadsheetml/2017/richdata2" ref="A4:AN425">
    <sortCondition ref="A4:A425"/>
  </sortState>
  <dataConsolidate/>
  <mergeCells count="3">
    <mergeCell ref="F2:G2"/>
    <mergeCell ref="H2:I2"/>
    <mergeCell ref="J2:K2"/>
  </mergeCells>
  <dataValidations count="271">
    <dataValidation type="textLength" errorStyle="information" allowBlank="1" showInputMessage="1" showErrorMessage="1" error="XLBVal:6=0_x000d__x000a_" sqref="F34 F39 F43 F51 F89 F117:F118 F125 F193 F201 F211 F213 F222:F223 F197:F199 F246:F247 F276 F280:F283 F287:F290 F292:F294 F309:F310 F312:F315 F317:F319 F322:F323 F363:F390 F25:F29 F393:F394 F400:F401 F408:F409 F415:F420 F422 F431:F432 F434:F435 F446:F448 F450:F452 F454:F456 F459 F465 F467:F469 F476:F479 F661:F666 F489:F491 F494 F497:F498 F509:F512 F516:F522 F524:F525 F528:F529 F531 F535:F536 F538 F541:F543 F545:F547 F549:F554 F557:F559 F566:F570 F574:F575 F583 F585 F587:F590 F592 F596 F599 F601 F607:F608 F616 F621 F623:F624 F626 F628:F630 F641 F644 F646 F336 F658 F344:F345 F670:F671 F673 F426 F411 F651:F656 F514 F404 F302 F285 F307 F298 F272 F257 F250 F610:F611 F613 F238:F239 F267 F356:F358 F325:F328 F482:F486" xr:uid="{00000000-0002-0000-0300-000000000000}">
      <formula1>0</formula1>
      <formula2>300</formula2>
    </dataValidation>
    <dataValidation type="textLength" errorStyle="information" allowBlank="1" showInputMessage="1" showErrorMessage="1" error="XLBVal:2=0_x000d__x000a_" sqref="F120:F124 F130 F132 F189 F194:F196 F200 F202:F210 F212 F214:F221 F248:F249 F286 F291 F308 F311 F324 F256 F90:F91 F421 F433 F99 F453 F513 F107 H29 H31:H32 H34 H43:H44 H36:H41 H46 H48:H64 H82:H83 H67:H78 H85:H87 H89:H91 H97:H100 H105:H108 H117 H120:H125 H113 H130:H132 F391:F392 H189 H193 H202:H203 H205 H207:H211 H213 H216:H217 H219 H221:H223 H230:H231 H275:H280 H270:H272 H289:H290 H292:H294 F316 H418:H426 F405:F407 H465:H470 F35:F38 F40:F42 F44:F50 F52:F74 F77 F82:F83 F85 F31:F33 F346:F347 H446 F224:F237 F284 F244:F245 H253:H254 F268:F271 F273:F275 H449 F295:F297 F299:F301 H225:H227 F410 F395:F399 F402:F403 F423:F425 F427:F430 F466 F457:F458 F470:F475 F487:F488 F492:F493 F499:F508 F515 F523 F526:F527 F530 F532:F533 F277:F279 F537 F539:F540 F544 F548 F449 F560:F565 F571 F573 F240:F242 F586 F591 F593:F595 F597:F598 F600 F602:F606 F609 F614:F615 F617:F620 F622 F625 F627 F631:F634 F636:F640 F642:F643 F645 F647:F650 F657 F659:F660 F672 H451 H414 H433 F320:F321 H408 H402:H403 H459 H306 H314 H312 H309 H302 H282:H284 F436:F441 H247 H244 H242 H410:H411 H394 H250 H287 H435:H436 H473 F480:F481 H405:H406 H304 H609:H611 H613 H296 H298 H583:H585 H628:H644 H454:H456 F495:F496 F303:F306 F262:F266 F412:F414 H475:H479 H320:H321 H488:H495 H497:H502 H508:H514 H516:H526 H529 H535 H541:H543 H549:H553 H545:H546 H557:H558 H569 H574 H587:H588 H397:H400 H590 H596 H599 H605 H602 H615 H619:H626 H646 H607 H649 H336:H337 H670:H671 H673 F337:F339 H676:H688 F674:F688 F10:F23 F258:F259 F667:F668 F5:F8 H233:H240 F134:F177 H356:H358 H363:H391 H439:H441 F251:F254 H325:H328 F460:F464 F576:F582 H5:H26 H651:H666 H134:H175 H264:H267 H481:H485" xr:uid="{00000000-0002-0000-0300-000001000000}">
      <formula1>0</formula1>
      <formula2>300</formula2>
    </dataValidation>
    <dataValidation type="textLength" errorStyle="information" allowBlank="1" showInputMessage="1" showErrorMessage="1" error="XLBVal:6=1251018969_x000d__x000a_" sqref="F81" xr:uid="{00000000-0002-0000-0300-000002000000}">
      <formula1>0</formula1>
      <formula2>300</formula2>
    </dataValidation>
    <dataValidation type="textLength" errorStyle="information" allowBlank="1" showInputMessage="1" showErrorMessage="1" error="XLBVal:6=9766797786.3_x000d__x000a_" sqref="F93" xr:uid="{00000000-0002-0000-0300-000003000000}">
      <formula1>0</formula1>
      <formula2>300</formula2>
    </dataValidation>
    <dataValidation type="textLength" errorStyle="information" allowBlank="1" showInputMessage="1" showErrorMessage="1" error="XLBVal:6=10417651_x000d__x000a_" sqref="F97" xr:uid="{00000000-0002-0000-0300-000004000000}">
      <formula1>0</formula1>
      <formula2>300</formula2>
    </dataValidation>
    <dataValidation type="textLength" errorStyle="information" allowBlank="1" showInputMessage="1" showErrorMessage="1" error="XLBVal:6=1584564653_x000d__x000a_" sqref="F101" xr:uid="{00000000-0002-0000-0300-000005000000}">
      <formula1>0</formula1>
      <formula2>300</formula2>
    </dataValidation>
    <dataValidation type="textLength" errorStyle="information" allowBlank="1" showInputMessage="1" showErrorMessage="1" error="XLBVal:6=45501254_x000d__x000a_" sqref="F105" xr:uid="{00000000-0002-0000-0300-000006000000}">
      <formula1>0</formula1>
      <formula2>300</formula2>
    </dataValidation>
    <dataValidation type="textLength" errorStyle="information" allowBlank="1" showInputMessage="1" showErrorMessage="1" error="XLBVal:6=1885594566_x000d__x000a_" sqref="F109" xr:uid="{00000000-0002-0000-0300-000007000000}">
      <formula1>0</formula1>
      <formula2>300</formula2>
    </dataValidation>
    <dataValidation type="textLength" errorStyle="information" allowBlank="1" showInputMessage="1" showErrorMessage="1" error="XLBVal:6=3200000_x000d__x000a_" sqref="F113" xr:uid="{00000000-0002-0000-0300-000008000000}">
      <formula1>0</formula1>
      <formula2>300</formula2>
    </dataValidation>
    <dataValidation type="textLength" errorStyle="information" allowBlank="1" showInputMessage="1" showErrorMessage="1" error="XLBVal:6=36976023_x000d__x000a_" sqref="F128" xr:uid="{00000000-0002-0000-0300-000009000000}">
      <formula1>0</formula1>
      <formula2>300</formula2>
    </dataValidation>
    <dataValidation type="textLength" errorStyle="information" allowBlank="1" showInputMessage="1" showErrorMessage="1" error="XLBVal:6=98631901_x000d__x000a_" sqref="F180" xr:uid="{00000000-0002-0000-0300-00000A000000}">
      <formula1>0</formula1>
      <formula2>300</formula2>
    </dataValidation>
    <dataValidation type="textLength" errorStyle="information" allowBlank="1" showInputMessage="1" showErrorMessage="1" error="XLBVal:8=CCD_x000d__x000a_XLBRowCount:3=1_x000d__x000a_XLBColCount:3=1_x000d__x000a_Style:2=0_x000d__x000a_" sqref="E14:E18" xr:uid="{00000000-0002-0000-0300-00000B000000}">
      <formula1>0</formula1>
      <formula2>300</formula2>
    </dataValidation>
    <dataValidation type="textLength" errorStyle="information" allowBlank="1" showInputMessage="1" showErrorMessage="1" error="XLBVal:8=CAB_x000d__x000a_XLBRowCount:3=1_x000d__x000a_XLBColCount:3=1_x000d__x000a_Style:2=0_x000d__x000a_" sqref="E19" xr:uid="{00000000-0002-0000-0300-00000C000000}">
      <formula1>0</formula1>
      <formula2>300</formula2>
    </dataValidation>
    <dataValidation type="textLength" errorStyle="information" allowBlank="1" showInputMessage="1" showErrorMessage="1" error="XLBVal:8=CCF_x000d__x000a_XLBRowCount:3=1_x000d__x000a_XLBColCount:3=1_x000d__x000a_Style:2=0_x000d__x000a_" sqref="E20:E22" xr:uid="{00000000-0002-0000-0300-00000D000000}">
      <formula1>0</formula1>
      <formula2>300</formula2>
    </dataValidation>
    <dataValidation type="textLength" errorStyle="information" allowBlank="1" showInputMessage="1" showErrorMessage="1" error="XLBVal:8=CCH_x000d__x000a_XLBRowCount:3=1_x000d__x000a_XLBColCount:3=1_x000d__x000a_Style:2=0_x000d__x000a_" sqref="E23:E24" xr:uid="{00000000-0002-0000-0300-00000E000000}">
      <formula1>0</formula1>
      <formula2>300</formula2>
    </dataValidation>
    <dataValidation type="textLength" errorStyle="information" allowBlank="1" showInputMessage="1" showErrorMessage="1" error="XLBVal:8=CIA_x000d__x000a_XLBRowCount:3=1_x000d__x000a_XLBColCount:3=1_x000d__x000a_Style:2=0_x000d__x000a_" sqref="E25:E30" xr:uid="{00000000-0002-0000-0300-00000F000000}">
      <formula1>0</formula1>
      <formula2>300</formula2>
    </dataValidation>
    <dataValidation type="textLength" errorStyle="information" allowBlank="1" showInputMessage="1" showErrorMessage="1" error="XLBVal:8=CKM_x000d__x000a_XLBRowCount:3=1_x000d__x000a_XLBColCount:3=1_x000d__x000a_Style:2=0_x000d__x000a_" sqref="E31" xr:uid="{00000000-0002-0000-0300-000010000000}">
      <formula1>0</formula1>
      <formula2>300</formula2>
    </dataValidation>
    <dataValidation type="textLength" errorStyle="information" allowBlank="1" showInputMessage="1" showErrorMessage="1" error="XLBVal:8=DAA_x000d__x000a_XLBRowCount:3=1_x000d__x000a_XLBColCount:3=1_x000d__x000a_Style:2=0_x000d__x000a_" sqref="E32:E39 E43:E47" xr:uid="{00000000-0002-0000-0300-000011000000}">
      <formula1>0</formula1>
      <formula2>300</formula2>
    </dataValidation>
    <dataValidation type="textLength" errorStyle="information" allowBlank="1" showInputMessage="1" showErrorMessage="1" error="XLBVal:8=DAC_x000d__x000a_XLBRowCount:3=1_x000d__x000a_XLBColCount:3=1_x000d__x000a_Style:2=0_x000d__x000a_" sqref="E40:E42 E48:E49" xr:uid="{00000000-0002-0000-0300-000012000000}">
      <formula1>0</formula1>
      <formula2>300</formula2>
    </dataValidation>
    <dataValidation type="textLength" errorStyle="information" allowBlank="1" showInputMessage="1" showErrorMessage="1" error="XLBVal:8=DAB_x000d__x000a_XLBRowCount:3=1_x000d__x000a_XLBColCount:3=1_x000d__x000a_Style:2=0_x000d__x000a_" sqref="E50:E56" xr:uid="{00000000-0002-0000-0300-000013000000}">
      <formula1>0</formula1>
      <formula2>300</formula2>
    </dataValidation>
    <dataValidation type="textLength" errorStyle="information" allowBlank="1" showInputMessage="1" showErrorMessage="1" error="XLBVal:8=DAD_x000d__x000a_XLBRowCount:3=1_x000d__x000a_XLBColCount:3=1_x000d__x000a_Style:2=0_x000d__x000a_" sqref="E57:E66" xr:uid="{00000000-0002-0000-0300-000014000000}">
      <formula1>0</formula1>
      <formula2>300</formula2>
    </dataValidation>
    <dataValidation type="textLength" errorStyle="information" allowBlank="1" showInputMessage="1" showErrorMessage="1" error="XLBVal:8=AAB_x000d__x000a_XLBRowCount:3=1_x000d__x000a_XLBColCount:3=1_x000d__x000a_Style:2=0_x000d__x000a_" sqref="E67:E76" xr:uid="{00000000-0002-0000-0300-000015000000}">
      <formula1>0</formula1>
      <formula2>300</formula2>
    </dataValidation>
    <dataValidation type="textLength" errorStyle="information" allowBlank="1" showInputMessage="1" showErrorMessage="1" error="XLBVal:8=ADE_x000d__x000a_XLBRowCount:3=1_x000d__x000a_XLBColCount:3=1_x000d__x000a_Style:2=0_x000d__x000a_" sqref="E77 E138" xr:uid="{00000000-0002-0000-0300-000016000000}">
      <formula1>0</formula1>
      <formula2>300</formula2>
    </dataValidation>
    <dataValidation type="textLength" errorStyle="information" allowBlank="1" showInputMessage="1" showErrorMessage="1" error="XLBVal:8=ADF_x000d__x000a_XLBRowCount:3=1_x000d__x000a_XLBColCount:3=1_x000d__x000a_Style:2=0_x000d__x000a_" sqref="E78:E81 E139:E142 E84" xr:uid="{00000000-0002-0000-0300-000017000000}">
      <formula1>0</formula1>
      <formula2>300</formula2>
    </dataValidation>
    <dataValidation type="textLength" errorStyle="information" allowBlank="1" showInputMessage="1" showErrorMessage="1" error="XLBVal:8=ADG_x000d__x000a_XLBRowCount:3=1_x000d__x000a_XLBColCount:3=1_x000d__x000a_Style:2=0_x000d__x000a_" sqref="E82:E83" xr:uid="{00000000-0002-0000-0300-000018000000}">
      <formula1>0</formula1>
      <formula2>300</formula2>
    </dataValidation>
    <dataValidation type="textLength" errorStyle="information" allowBlank="1" showInputMessage="1" showErrorMessage="1" error="XLBVal:8=AIJ_x000d__x000a_XLBRowCount:3=1_x000d__x000a_XLBColCount:3=1_x000d__x000a_Style:2=0_x000d__x000a_" sqref="E85:E88" xr:uid="{00000000-0002-0000-0300-000019000000}">
      <formula1>0</formula1>
      <formula2>300</formula2>
    </dataValidation>
    <dataValidation type="textLength" errorStyle="information" allowBlank="1" showInputMessage="1" showErrorMessage="1" error="XLBVal:8=AIK_x000d__x000a_XLBRowCount:3=1_x000d__x000a_XLBColCount:3=1_x000d__x000a_Style:2=0_x000d__x000a_" sqref="E89:E90 E101 E143:E145" xr:uid="{00000000-0002-0000-0300-00001A000000}">
      <formula1>0</formula1>
      <formula2>300</formula2>
    </dataValidation>
    <dataValidation type="textLength" errorStyle="information" allowBlank="1" showInputMessage="1" showErrorMessage="1" error="XLBVal:8=AIL_x000d__x000a_XLBRowCount:3=1_x000d__x000a_XLBColCount:3=1_x000d__x000a_Style:2=0_x000d__x000a_" sqref="E91:E100 E146:E158 E175" xr:uid="{00000000-0002-0000-0300-00001B000000}">
      <formula1>0</formula1>
      <formula2>300</formula2>
    </dataValidation>
    <dataValidation type="textLength" errorStyle="information" allowBlank="1" showInputMessage="1" showErrorMessage="1" error="XLBVal:8=AIM_x000d__x000a_XLBRowCount:3=1_x000d__x000a_XLBColCount:3=1_x000d__x000a_Style:2=0_x000d__x000a_" sqref="E102:E111 E114:E116 E174 E176:E177 E159:E171" xr:uid="{00000000-0002-0000-0300-00001C000000}">
      <formula1>0</formula1>
      <formula2>300</formula2>
    </dataValidation>
    <dataValidation type="textLength" errorStyle="information" allowBlank="1" showInputMessage="1" showErrorMessage="1" error="XLBVal:8=AIN_x000d__x000a_XLBRowCount:3=1_x000d__x000a_XLBColCount:3=1_x000d__x000a_Style:2=0_x000d__x000a_" sqref="E112:E113 E172:E173 E117" xr:uid="{00000000-0002-0000-0300-00001D000000}">
      <formula1>0</formula1>
      <formula2>300</formula2>
    </dataValidation>
    <dataValidation type="textLength" errorStyle="information" allowBlank="1" showInputMessage="1" showErrorMessage="1" error="XLBVal:8=APA_x000d__x000a_XLBRowCount:3=1_x000d__x000a_XLBColCount:3=1_x000d__x000a_Style:2=0_x000d__x000a_" sqref="E118:E119" xr:uid="{00000000-0002-0000-0300-00001E000000}">
      <formula1>0</formula1>
      <formula2>300</formula2>
    </dataValidation>
    <dataValidation type="textLength" errorStyle="information" allowBlank="1" showInputMessage="1" showErrorMessage="1" error="XLBVal:8=AQR_x000d__x000a_XLBRowCount:3=1_x000d__x000a_XLBColCount:3=1_x000d__x000a_Style:2=0_x000d__x000a_" sqref="E120:E123" xr:uid="{00000000-0002-0000-0300-00001F000000}">
      <formula1>0</formula1>
      <formula2>300</formula2>
    </dataValidation>
    <dataValidation type="textLength" errorStyle="information" allowBlank="1" showInputMessage="1" showErrorMessage="1" error="XLBVal:8=AQS_x000d__x000a_XLBRowCount:3=1_x000d__x000a_XLBColCount:3=1_x000d__x000a_Style:2=0_x000d__x000a_" sqref="E124:E137" xr:uid="{00000000-0002-0000-0300-000020000000}">
      <formula1>0</formula1>
      <formula2>300</formula2>
    </dataValidation>
    <dataValidation type="textLength" errorStyle="information" allowBlank="1" showInputMessage="1" showErrorMessage="1" error="XLBVal:8=BBC_x000d__x000a_XLBRowCount:3=1_x000d__x000a_XLBColCount:3=1_x000d__x000a_Style:2=0_x000d__x000a_" sqref="E178:E184 E193:E200" xr:uid="{00000000-0002-0000-0300-000021000000}">
      <formula1>0</formula1>
      <formula2>300</formula2>
    </dataValidation>
    <dataValidation type="textLength" errorStyle="information" allowBlank="1" showInputMessage="1" showErrorMessage="1" error="XLBVal:8=BBD_x000d__x000a_XLBRowCount:3=1_x000d__x000a_XLBColCount:3=1_x000d__x000a_Style:2=0_x000d__x000a_" sqref="E185:E192 E201" xr:uid="{00000000-0002-0000-0300-000022000000}">
      <formula1>0</formula1>
      <formula2>300</formula2>
    </dataValidation>
    <dataValidation type="textLength" errorStyle="information" allowBlank="1" showInputMessage="1" showErrorMessage="1" error="XLBVal:6=70603626_x000d__x000a_" sqref="F181" xr:uid="{00000000-0002-0000-0300-000023000000}">
      <formula1>0</formula1>
      <formula2>300</formula2>
    </dataValidation>
    <dataValidation type="textLength" errorStyle="information" allowBlank="1" showInputMessage="1" showErrorMessage="1" error="XLBVal:6=80000000000_x000d__x000a_" sqref="F78" xr:uid="{00000000-0002-0000-0300-000024000000}">
      <formula1>0</formula1>
      <formula2>300</formula2>
    </dataValidation>
    <dataValidation type="textLength" errorStyle="information" allowBlank="1" showInputMessage="1" showErrorMessage="1" error="XLBVal:6=633620000_x000d__x000a_" sqref="F86" xr:uid="{00000000-0002-0000-0300-000025000000}">
      <formula1>0</formula1>
      <formula2>300</formula2>
    </dataValidation>
    <dataValidation type="textLength" errorStyle="information" allowBlank="1" showInputMessage="1" showErrorMessage="1" error="XLBVal:6=11131572847_x000d__x000a_" sqref="F94" xr:uid="{00000000-0002-0000-0300-000026000000}">
      <formula1>0</formula1>
      <formula2>300</formula2>
    </dataValidation>
    <dataValidation type="textLength" errorStyle="information" allowBlank="1" showInputMessage="1" showErrorMessage="1" error="XLBVal:6=32854157_x000d__x000a_" sqref="F98" xr:uid="{00000000-0002-0000-0300-000027000000}">
      <formula1>0</formula1>
      <formula2>300</formula2>
    </dataValidation>
    <dataValidation type="textLength" errorStyle="information" allowBlank="1" showInputMessage="1" showErrorMessage="1" error="XLBVal:6=18356981340_x000d__x000a_" sqref="F102" xr:uid="{00000000-0002-0000-0300-000028000000}">
      <formula1>0</formula1>
      <formula2>300</formula2>
    </dataValidation>
    <dataValidation type="textLength" errorStyle="information" allowBlank="1" showInputMessage="1" showErrorMessage="1" error="XLBVal:6=434763713_x000d__x000a_" sqref="F106" xr:uid="{00000000-0002-0000-0300-000029000000}">
      <formula1>0</formula1>
      <formula2>300</formula2>
    </dataValidation>
    <dataValidation type="textLength" errorStyle="information" allowBlank="1" showInputMessage="1" showErrorMessage="1" error="XLBVal:6=361491759_x000d__x000a_" sqref="F110" xr:uid="{00000000-0002-0000-0300-00002A000000}">
      <formula1>0</formula1>
      <formula2>300</formula2>
    </dataValidation>
    <dataValidation type="textLength" errorStyle="information" allowBlank="1" showInputMessage="1" showErrorMessage="1" error="XLBVal:6=487521318_x000d__x000a_" sqref="F114" xr:uid="{00000000-0002-0000-0300-00002B000000}">
      <formula1>0</formula1>
      <formula2>300</formula2>
    </dataValidation>
    <dataValidation type="textLength" errorStyle="information" allowBlank="1" showInputMessage="1" showErrorMessage="1" error="XLBVal:6=274000_x000d__x000a_" sqref="F129" xr:uid="{00000000-0002-0000-0300-00002C000000}">
      <formula1>0</formula1>
      <formula2>300</formula2>
    </dataValidation>
    <dataValidation type="textLength" errorStyle="information" allowBlank="1" showInputMessage="1" showErrorMessage="1" error="XLBVal:6=94120209_x000d__x000a_" sqref="F133" xr:uid="{00000000-0002-0000-0300-00002D000000}">
      <formula1>0</formula1>
      <formula2>300</formula2>
    </dataValidation>
    <dataValidation type="textLength" errorStyle="information" allowBlank="1" showInputMessage="1" showErrorMessage="1" error="XLBVal:6=120094512_x000d__x000a_" sqref="F191" xr:uid="{00000000-0002-0000-0300-00002E000000}">
      <formula1>0</formula1>
      <formula2>300</formula2>
    </dataValidation>
    <dataValidation type="textLength" errorStyle="information" allowBlank="1" showInputMessage="1" showErrorMessage="1" error="XLBVal:6=740751369.2_x000d__x000a_" sqref="F79" xr:uid="{00000000-0002-0000-0300-00002F000000}">
      <formula1>0</formula1>
      <formula2>300</formula2>
    </dataValidation>
    <dataValidation type="textLength" errorStyle="information" allowBlank="1" showInputMessage="1" showErrorMessage="1" error="XLBVal:6=70000000_x000d__x000a_" sqref="F87" xr:uid="{00000000-0002-0000-0300-000030000000}">
      <formula1>0</formula1>
      <formula2>300</formula2>
    </dataValidation>
    <dataValidation type="textLength" errorStyle="information" allowBlank="1" showInputMessage="1" showErrorMessage="1" error="XLBVal:6=863605518_x000d__x000a_" sqref="F95" xr:uid="{00000000-0002-0000-0300-000031000000}">
      <formula1>0</formula1>
      <formula2>300</formula2>
    </dataValidation>
    <dataValidation type="textLength" errorStyle="information" allowBlank="1" showInputMessage="1" showErrorMessage="1" error="XLBVal:6=15956298674.8_x000d__x000a_" sqref="F103" xr:uid="{00000000-0002-0000-0300-000032000000}">
      <formula1>0</formula1>
      <formula2>300</formula2>
    </dataValidation>
    <dataValidation type="textLength" errorStyle="information" allowBlank="1" showInputMessage="1" showErrorMessage="1" error="XLBVal:6=71965116_x000d__x000a_" sqref="F111" xr:uid="{00000000-0002-0000-0300-000033000000}">
      <formula1>0</formula1>
      <formula2>300</formula2>
    </dataValidation>
    <dataValidation type="textLength" errorStyle="information" allowBlank="1" showInputMessage="1" showErrorMessage="1" error="XLBVal:6=5831590516_x000d__x000a_" sqref="F115" xr:uid="{00000000-0002-0000-0300-000034000000}">
      <formula1>0</formula1>
      <formula2>300</formula2>
    </dataValidation>
    <dataValidation type="textLength" errorStyle="information" allowBlank="1" showInputMessage="1" showErrorMessage="1" error="XLBVal:6=538818876_x000d__x000a_" sqref="F119" xr:uid="{00000000-0002-0000-0300-000035000000}">
      <formula1>0</formula1>
      <formula2>300</formula2>
    </dataValidation>
    <dataValidation type="textLength" errorStyle="information" allowBlank="1" showInputMessage="1" showErrorMessage="1" error="XLBVal:6=278722256_x000d__x000a_" sqref="F178" xr:uid="{00000000-0002-0000-0300-000036000000}">
      <formula1>0</formula1>
      <formula2>300</formula2>
    </dataValidation>
    <dataValidation type="textLength" errorStyle="information" allowBlank="1" showInputMessage="1" showErrorMessage="1" error="XLBVal:6=16443_x000d__x000a_" sqref="F182:F183" xr:uid="{00000000-0002-0000-0300-000037000000}">
      <formula1>0</formula1>
      <formula2>300</formula2>
    </dataValidation>
    <dataValidation type="textLength" errorStyle="information" allowBlank="1" showInputMessage="1" showErrorMessage="1" error="XLBVal:6=6868143674_x000d__x000a_" sqref="F24" xr:uid="{00000000-0002-0000-0300-000038000000}">
      <formula1>0</formula1>
      <formula2>300</formula2>
    </dataValidation>
    <dataValidation type="textLength" errorStyle="information" allowBlank="1" showInputMessage="1" showErrorMessage="1" error="XLBVal:6=530120807.12_x000d__x000a_" sqref="F75:F76" xr:uid="{00000000-0002-0000-0300-000039000000}">
      <formula1>0</formula1>
      <formula2>300</formula2>
    </dataValidation>
    <dataValidation type="textLength" errorStyle="information" allowBlank="1" showInputMessage="1" showErrorMessage="1" error="XLBVal:6=18844463041_x000d__x000a_" sqref="F80" xr:uid="{00000000-0002-0000-0300-00003A000000}">
      <formula1>0</formula1>
      <formula2>300</formula2>
    </dataValidation>
    <dataValidation type="textLength" errorStyle="information" allowBlank="1" showInputMessage="1" showErrorMessage="1" error="XLBVal:6=733248866_x000d__x000a_" sqref="F84" xr:uid="{00000000-0002-0000-0300-00003B000000}">
      <formula1>0</formula1>
      <formula2>300</formula2>
    </dataValidation>
    <dataValidation type="textLength" errorStyle="information" allowBlank="1" showInputMessage="1" showErrorMessage="1" error="XLBVal:6=1519000000_x000d__x000a_" sqref="F88" xr:uid="{00000000-0002-0000-0300-00003C000000}">
      <formula1>0</formula1>
      <formula2>300</formula2>
    </dataValidation>
    <dataValidation type="textLength" errorStyle="information" allowBlank="1" showInputMessage="1" showErrorMessage="1" error="XLBVal:6=19565412905_x000d__x000a_" sqref="F92" xr:uid="{00000000-0002-0000-0300-00003D000000}">
      <formula1>0</formula1>
      <formula2>300</formula2>
    </dataValidation>
    <dataValidation type="textLength" errorStyle="information" allowBlank="1" showInputMessage="1" showErrorMessage="1" error="XLBVal:6=398490164_x000d__x000a_" sqref="F96" xr:uid="{00000000-0002-0000-0300-00003E000000}">
      <formula1>0</formula1>
      <formula2>300</formula2>
    </dataValidation>
    <dataValidation type="textLength" errorStyle="information" allowBlank="1" showInputMessage="1" showErrorMessage="1" error="XLBVal:6=95685436_x000d__x000a_" sqref="F100" xr:uid="{00000000-0002-0000-0300-00003F000000}">
      <formula1>0</formula1>
      <formula2>300</formula2>
    </dataValidation>
    <dataValidation type="textLength" errorStyle="information" allowBlank="1" showInputMessage="1" showErrorMessage="1" error="XLBVal:6=8170089256_x000d__x000a_" sqref="F104" xr:uid="{00000000-0002-0000-0300-000040000000}">
      <formula1>0</formula1>
      <formula2>300</formula2>
    </dataValidation>
    <dataValidation type="textLength" errorStyle="information" allowBlank="1" showInputMessage="1" showErrorMessage="1" error="XLBVal:6=115322131_x000d__x000a_" sqref="F108" xr:uid="{00000000-0002-0000-0300-000041000000}">
      <formula1>0</formula1>
      <formula2>300</formula2>
    </dataValidation>
    <dataValidation type="textLength" errorStyle="information" allowBlank="1" showInputMessage="1" showErrorMessage="1" error="XLBVal:6=712469252_x000d__x000a_" sqref="F112" xr:uid="{00000000-0002-0000-0300-000042000000}">
      <formula1>0</formula1>
      <formula2>300</formula2>
    </dataValidation>
    <dataValidation type="textLength" errorStyle="information" allowBlank="1" showInputMessage="1" showErrorMessage="1" error="XLBVal:6=237350369_x000d__x000a_" sqref="F116" xr:uid="{00000000-0002-0000-0300-000043000000}">
      <formula1>0</formula1>
      <formula2>300</formula2>
    </dataValidation>
    <dataValidation type="textLength" errorStyle="information" allowBlank="1" showInputMessage="1" showErrorMessage="1" error="XLBVal:6=297670000_x000d__x000a_" sqref="F126:F127" xr:uid="{00000000-0002-0000-0300-000044000000}">
      <formula1>0</formula1>
      <formula2>300</formula2>
    </dataValidation>
    <dataValidation type="textLength" errorStyle="information" allowBlank="1" showInputMessage="1" showErrorMessage="1" error="XLBVal:6=105600_x000d__x000a_" sqref="F131" xr:uid="{00000000-0002-0000-0300-000045000000}">
      <formula1>0</formula1>
      <formula2>300</formula2>
    </dataValidation>
    <dataValidation type="textLength" errorStyle="information" allowBlank="1" showInputMessage="1" showErrorMessage="1" error="XLBVal:6=144263428_x000d__x000a_" sqref="F179" xr:uid="{00000000-0002-0000-0300-000046000000}">
      <formula1>0</formula1>
      <formula2>300</formula2>
    </dataValidation>
    <dataValidation type="textLength" errorStyle="information" allowBlank="1" showInputMessage="1" showErrorMessage="1" error="XLBVal:6=39142117_x000d__x000a_" sqref="F184" xr:uid="{00000000-0002-0000-0300-000047000000}">
      <formula1>0</formula1>
      <formula2>300</formula2>
    </dataValidation>
    <dataValidation type="textLength" errorStyle="information" allowBlank="1" showInputMessage="1" showErrorMessage="1" error="XLBVal:6=2931584_x000d__x000a_" sqref="F635" xr:uid="{00000000-0002-0000-0300-000048000000}">
      <formula1>0</formula1>
      <formula2>300</formula2>
    </dataValidation>
    <dataValidation type="textLength" errorStyle="information" allowBlank="1" showInputMessage="1" showErrorMessage="1" error="XLBVal:6=187740327_x000d__x000a_" sqref="F185" xr:uid="{00000000-0002-0000-0300-000049000000}">
      <formula1>0</formula1>
      <formula2>300</formula2>
    </dataValidation>
    <dataValidation type="textLength" errorStyle="information" allowBlank="1" showInputMessage="1" showErrorMessage="1" error="XLBVal:6=43144752_x000d__x000a_" sqref="F190" xr:uid="{00000000-0002-0000-0300-00004A000000}">
      <formula1>0</formula1>
      <formula2>300</formula2>
    </dataValidation>
    <dataValidation type="textLength" errorStyle="information" allowBlank="1" showInputMessage="1" showErrorMessage="1" error="XLBVal:6=259126195_x000d__x000a_" sqref="F187:F188" xr:uid="{00000000-0002-0000-0300-00004B000000}">
      <formula1>0</formula1>
      <formula2>300</formula2>
    </dataValidation>
    <dataValidation type="textLength" errorStyle="information" allowBlank="1" showInputMessage="1" showErrorMessage="1" error="XLBVal:6=95598323_x000d__x000a_" sqref="F192" xr:uid="{00000000-0002-0000-0300-00004C000000}">
      <formula1>0</formula1>
      <formula2>300</formula2>
    </dataValidation>
    <dataValidation type="textLength" errorStyle="information" allowBlank="1" showInputMessage="1" showErrorMessage="1" error="XLBVal:6=3907570_x000d__x000a_" sqref="F534" xr:uid="{00000000-0002-0000-0300-00004D000000}">
      <formula1>0</formula1>
      <formula2>300</formula2>
    </dataValidation>
    <dataValidation type="textLength" errorStyle="information" allowBlank="1" showInputMessage="1" showErrorMessage="1" error="XLBVal:6=853500_x000d__x000a_" sqref="F555:F556" xr:uid="{00000000-0002-0000-0300-00004E000000}">
      <formula1>0</formula1>
      <formula2>300</formula2>
    </dataValidation>
    <dataValidation type="textLength" errorStyle="information" allowBlank="1" showInputMessage="1" showErrorMessage="1" error="XLBVal:6=5417937_x000d__x000a_" sqref="F584" xr:uid="{00000000-0002-0000-0300-00004F000000}">
      <formula1>0</formula1>
      <formula2>300</formula2>
    </dataValidation>
    <dataValidation type="textLength" errorStyle="information" allowBlank="1" showInputMessage="1" showErrorMessage="1" error="XLBVal:6=892544337_x000d__x000a_" sqref="F186" xr:uid="{00000000-0002-0000-0300-000050000000}">
      <formula1>0</formula1>
      <formula2>300</formula2>
    </dataValidation>
    <dataValidation type="textLength" errorStyle="information" allowBlank="1" showInputMessage="1" showErrorMessage="1" error="XLBVal:6=5752_x000d__x000a_" sqref="F572" xr:uid="{00000000-0002-0000-0300-000051000000}">
      <formula1>0</formula1>
      <formula2>300</formula2>
    </dataValidation>
    <dataValidation type="textLength" errorStyle="information" allowBlank="1" showInputMessage="1" showErrorMessage="1" error="XLBVal:6=15370979550_x000d__x000a_" sqref="F30" xr:uid="{00000000-0002-0000-0300-000052000000}">
      <formula1>0</formula1>
      <formula2>300</formula2>
    </dataValidation>
    <dataValidation type="textLength" errorStyle="information" allowBlank="1" showInputMessage="1" showErrorMessage="1" error="XLBVal:8=DHJ_x000d__x000a_XLBRowCount:3=1_x000d__x000a_XLBColCount:3=1_x000d__x000a_Style:2=0_x000d__x000a_" sqref="E336:E339 E670:E688 E256:E259 E262:E328 E356:E358 E363:E441 E202:E254 E344:E347 E655:E668 E613:E651 E446:E611" xr:uid="{00000000-0002-0000-0300-000053000000}">
      <formula1>0</formula1>
      <formula2>300</formula2>
    </dataValidation>
    <dataValidation type="textLength" errorStyle="information" allowBlank="1" showInputMessage="1" showErrorMessage="1" error="XLBVal:6=2083183775_x000d__x000a_" sqref="H35" xr:uid="{00000000-0002-0000-0300-000054000000}">
      <formula1>0</formula1>
      <formula2>300</formula2>
    </dataValidation>
    <dataValidation type="textLength" errorStyle="information" allowBlank="1" showInputMessage="1" showErrorMessage="1" error="XLBVal:6=1474345811_x000d__x000a_" sqref="H79" xr:uid="{00000000-0002-0000-0300-000055000000}">
      <formula1>0</formula1>
      <formula2>300</formula2>
    </dataValidation>
    <dataValidation type="textLength" errorStyle="information" allowBlank="1" showInputMessage="1" showErrorMessage="1" error="XLBVal:6=3467145024_x000d__x000a_" sqref="H80" xr:uid="{00000000-0002-0000-0300-000056000000}">
      <formula1>0</formula1>
      <formula2>300</formula2>
    </dataValidation>
    <dataValidation type="textLength" errorStyle="information" allowBlank="1" showInputMessage="1" showErrorMessage="1" error="XLBVal:6=57855885.23_x000d__x000a_" sqref="H81" xr:uid="{00000000-0002-0000-0300-000057000000}">
      <formula1>0</formula1>
      <formula2>300</formula2>
    </dataValidation>
    <dataValidation type="textLength" errorStyle="information" allowBlank="1" showInputMessage="1" showErrorMessage="1" error="XLBVal:6=418874760_x000d__x000a_" sqref="H92" xr:uid="{00000000-0002-0000-0300-000058000000}">
      <formula1>0</formula1>
      <formula2>300</formula2>
    </dataValidation>
    <dataValidation type="textLength" errorStyle="information" allowBlank="1" showInputMessage="1" showErrorMessage="1" error="XLBVal:6=1452220203_x000d__x000a_" sqref="H93" xr:uid="{00000000-0002-0000-0300-000059000000}">
      <formula1>0</formula1>
      <formula2>300</formula2>
    </dataValidation>
    <dataValidation type="textLength" errorStyle="information" allowBlank="1" showInputMessage="1" showErrorMessage="1" error="XLBVal:6=734789807_x000d__x000a_" sqref="H94" xr:uid="{00000000-0002-0000-0300-00005A000000}">
      <formula1>0</formula1>
      <formula2>300</formula2>
    </dataValidation>
    <dataValidation type="textLength" errorStyle="information" allowBlank="1" showInputMessage="1" showErrorMessage="1" error="XLBVal:6=29902076_x000d__x000a_" sqref="H95" xr:uid="{00000000-0002-0000-0300-00005B000000}">
      <formula1>0</formula1>
      <formula2>300</formula2>
    </dataValidation>
    <dataValidation type="textLength" errorStyle="information" allowBlank="1" showInputMessage="1" showErrorMessage="1" error="XLBVal:6=38398208_x000d__x000a_" sqref="H96" xr:uid="{00000000-0002-0000-0300-00005C000000}">
      <formula1>0</formula1>
      <formula2>300</formula2>
    </dataValidation>
    <dataValidation type="textLength" errorStyle="information" allowBlank="1" showInputMessage="1" showErrorMessage="1" error="XLBVal:6=1597216005_x000d__x000a_" sqref="H102" xr:uid="{00000000-0002-0000-0300-00005D000000}">
      <formula1>0</formula1>
      <formula2>300</formula2>
    </dataValidation>
    <dataValidation type="textLength" errorStyle="information" allowBlank="1" showInputMessage="1" showErrorMessage="1" error="XLBVal:6=2102074024_x000d__x000a_" sqref="H103" xr:uid="{00000000-0002-0000-0300-00005E000000}">
      <formula1>0</formula1>
      <formula2>300</formula2>
    </dataValidation>
    <dataValidation type="textLength" errorStyle="information" allowBlank="1" showInputMessage="1" showErrorMessage="1" error="XLBVal:6=32721231_x000d__x000a_" sqref="H104" xr:uid="{00000000-0002-0000-0300-00005F000000}">
      <formula1>0</formula1>
      <formula2>300</formula2>
    </dataValidation>
    <dataValidation type="textLength" errorStyle="information" allowBlank="1" showInputMessage="1" showErrorMessage="1" error="XLBVal:6=295711930.82_x000d__x000a_" sqref="H109" xr:uid="{00000000-0002-0000-0300-000060000000}">
      <formula1>0</formula1>
      <formula2>300</formula2>
    </dataValidation>
    <dataValidation type="textLength" errorStyle="information" allowBlank="1" showInputMessage="1" showErrorMessage="1" error="XLBVal:6=14852904.25_x000d__x000a_" sqref="H110" xr:uid="{00000000-0002-0000-0300-000061000000}">
      <formula1>0</formula1>
      <formula2>300</formula2>
    </dataValidation>
    <dataValidation type="textLength" errorStyle="information" allowBlank="1" showInputMessage="1" showErrorMessage="1" error="XLBVal:6=24287650_x000d__x000a_" sqref="H111" xr:uid="{00000000-0002-0000-0300-000062000000}">
      <formula1>0</formula1>
      <formula2>300</formula2>
    </dataValidation>
    <dataValidation type="textLength" errorStyle="information" allowBlank="1" showInputMessage="1" showErrorMessage="1" error="XLBVal:6=38776272_x000d__x000a_" sqref="H112" xr:uid="{00000000-0002-0000-0300-000063000000}">
      <formula1>0</formula1>
      <formula2>300</formula2>
    </dataValidation>
    <dataValidation type="textLength" errorStyle="information" allowBlank="1" showInputMessage="1" showErrorMessage="1" error="XLBVal:6=138371334_x000d__x000a_" sqref="H118" xr:uid="{00000000-0002-0000-0300-000064000000}">
      <formula1>0</formula1>
      <formula2>300</formula2>
    </dataValidation>
    <dataValidation type="textLength" errorStyle="information" allowBlank="1" showInputMessage="1" showErrorMessage="1" error="XLBVal:6=25518000_x000d__x000a_" sqref="H126:H127" xr:uid="{00000000-0002-0000-0300-000065000000}">
      <formula1>0</formula1>
      <formula2>300</formula2>
    </dataValidation>
    <dataValidation type="textLength" errorStyle="information" allowBlank="1" showInputMessage="1" showErrorMessage="1" error="XLBVal:6=14495000_x000d__x000a_" sqref="H128" xr:uid="{00000000-0002-0000-0300-000066000000}">
      <formula1>0</formula1>
      <formula2>300</formula2>
    </dataValidation>
    <dataValidation type="textLength" errorStyle="information" allowBlank="1" showInputMessage="1" showErrorMessage="1" error="XLBVal:6=5196277727_x000d__x000a_" sqref="H133" xr:uid="{00000000-0002-0000-0300-000067000000}">
      <formula1>0</formula1>
      <formula2>300</formula2>
    </dataValidation>
    <dataValidation type="textLength" errorStyle="information" allowBlank="1" showInputMessage="1" showErrorMessage="1" error="XLBVal:6=1552500_x000d__x000a_" sqref="H437" xr:uid="{00000000-0002-0000-0300-000068000000}">
      <formula1>0</formula1>
      <formula2>300</formula2>
    </dataValidation>
    <dataValidation type="textLength" errorStyle="information" allowBlank="1" showInputMessage="1" showErrorMessage="1" error="XLBVal:6=3637500_x000d__x000a_" sqref="H505" xr:uid="{00000000-0002-0000-0300-000069000000}">
      <formula1>0</formula1>
      <formula2>300</formula2>
    </dataValidation>
    <dataValidation type="textLength" errorStyle="information" allowBlank="1" showInputMessage="1" showErrorMessage="1" error="XLBVal:6=185339999_x000d__x000a_" sqref="H604" xr:uid="{00000000-0002-0000-0300-00006A000000}">
      <formula1>0</formula1>
      <formula2>300</formula2>
    </dataValidation>
    <dataValidation type="textLength" errorStyle="information" allowBlank="1" showInputMessage="1" showErrorMessage="1" error="XLBVal:6=43357699022_x000d__x000a_" sqref="H27:H28" xr:uid="{00000000-0002-0000-0300-00006B000000}">
      <formula1>0</formula1>
      <formula2>300</formula2>
    </dataValidation>
    <dataValidation type="textLength" errorStyle="information" allowBlank="1" showInputMessage="1" showErrorMessage="1" error="XLBVal:6=27986719472_x000d__x000a_" sqref="H30" xr:uid="{00000000-0002-0000-0300-00006C000000}">
      <formula1>0</formula1>
      <formula2>300</formula2>
    </dataValidation>
    <dataValidation type="textLength" errorStyle="information" allowBlank="1" showInputMessage="1" showErrorMessage="1" error="XLBVal:6=39338436_x000d__x000a_" sqref="H33" xr:uid="{00000000-0002-0000-0300-00006D000000}">
      <formula1>0</formula1>
      <formula2>300</formula2>
    </dataValidation>
    <dataValidation type="textLength" errorStyle="information" allowBlank="1" showInputMessage="1" showErrorMessage="1" error="XLBVal:6=1256000_x000d__x000a_" sqref="H42" xr:uid="{00000000-0002-0000-0300-00006E000000}">
      <formula1>0</formula1>
      <formula2>300</formula2>
    </dataValidation>
    <dataValidation type="textLength" errorStyle="information" allowBlank="1" showInputMessage="1" showErrorMessage="1" error="XLBVal:6=828233675_x000d__x000a_" sqref="H45" xr:uid="{00000000-0002-0000-0300-00006F000000}">
      <formula1>0</formula1>
      <formula2>300</formula2>
    </dataValidation>
    <dataValidation type="textLength" errorStyle="information" allowBlank="1" showInputMessage="1" showErrorMessage="1" error="XLBVal:6=748884242_x000d__x000a_" sqref="H47" xr:uid="{00000000-0002-0000-0300-000070000000}">
      <formula1>0</formula1>
      <formula2>300</formula2>
    </dataValidation>
    <dataValidation type="textLength" errorStyle="information" allowBlank="1" showInputMessage="1" showErrorMessage="1" error="XLBVal:6=31683628554_x000d__x000a_" sqref="H65:H66" xr:uid="{00000000-0002-0000-0300-000071000000}">
      <formula1>0</formula1>
      <formula2>300</formula2>
    </dataValidation>
    <dataValidation type="textLength" errorStyle="information" allowBlank="1" showInputMessage="1" showErrorMessage="1" error="XLBVal:6=1946497582_x000d__x000a_" sqref="H84" xr:uid="{00000000-0002-0000-0300-000072000000}">
      <formula1>0</formula1>
      <formula2>300</formula2>
    </dataValidation>
    <dataValidation type="textLength" errorStyle="information" allowBlank="1" showInputMessage="1" showErrorMessage="1" error="XLBVal:6=91950000_x000d__x000a_" sqref="H88" xr:uid="{00000000-0002-0000-0300-000073000000}">
      <formula1>0</formula1>
      <formula2>300</formula2>
    </dataValidation>
    <dataValidation type="textLength" errorStyle="information" allowBlank="1" showInputMessage="1" showErrorMessage="1" error="XLBVal:6=1201156712_x000d__x000a_" sqref="H101" xr:uid="{00000000-0002-0000-0300-000074000000}">
      <formula1>0</formula1>
      <formula2>300</formula2>
    </dataValidation>
    <dataValidation type="textLength" errorStyle="information" allowBlank="1" showInputMessage="1" showErrorMessage="1" error="XLBVal:6=22743268301_x000d__x000a_" sqref="H115" xr:uid="{00000000-0002-0000-0300-000075000000}">
      <formula1>0</formula1>
      <formula2>300</formula2>
    </dataValidation>
    <dataValidation type="textLength" errorStyle="information" allowBlank="1" showInputMessage="1" showErrorMessage="1" error="XLBVal:6=442531658_x000d__x000a_" sqref="H116" xr:uid="{00000000-0002-0000-0300-000076000000}">
      <formula1>0</formula1>
      <formula2>300</formula2>
    </dataValidation>
    <dataValidation type="textLength" errorStyle="information" allowBlank="1" showInputMessage="1" showErrorMessage="1" error="XLBVal:6=3011410473_x000d__x000a_" sqref="H119" xr:uid="{00000000-0002-0000-0300-000077000000}">
      <formula1>0</formula1>
      <formula2>300</formula2>
    </dataValidation>
    <dataValidation type="textLength" errorStyle="information" allowBlank="1" showInputMessage="1" showErrorMessage="1" error="XLBVal:6=3012132510_x000d__x000a_" sqref="H176:H177" xr:uid="{00000000-0002-0000-0300-000078000000}">
      <formula1>0</formula1>
      <formula2>300</formula2>
    </dataValidation>
    <dataValidation type="textLength" errorStyle="information" allowBlank="1" showInputMessage="1" showErrorMessage="1" error="XLBVal:6=3548953064_x000d__x000a_" sqref="H178" xr:uid="{00000000-0002-0000-0300-000079000000}">
      <formula1>0</formula1>
      <formula2>300</formula2>
    </dataValidation>
    <dataValidation type="textLength" errorStyle="information" allowBlank="1" showInputMessage="1" showErrorMessage="1" error="XLBVal:6=2203333872_x000d__x000a_" sqref="H179" xr:uid="{00000000-0002-0000-0300-00007A000000}">
      <formula1>0</formula1>
      <formula2>300</formula2>
    </dataValidation>
    <dataValidation type="textLength" errorStyle="information" allowBlank="1" showInputMessage="1" showErrorMessage="1" error="XLBVal:6=1293870147_x000d__x000a_" sqref="H180" xr:uid="{00000000-0002-0000-0300-00007B000000}">
      <formula1>0</formula1>
      <formula2>300</formula2>
    </dataValidation>
    <dataValidation type="textLength" errorStyle="information" allowBlank="1" showInputMessage="1" showErrorMessage="1" error="XLBVal:6=554001182_x000d__x000a_" sqref="H181" xr:uid="{00000000-0002-0000-0300-00007C000000}">
      <formula1>0</formula1>
      <formula2>300</formula2>
    </dataValidation>
    <dataValidation type="textLength" errorStyle="information" allowBlank="1" showInputMessage="1" showErrorMessage="1" error="XLBVal:6=488179899_x000d__x000a_" sqref="H184" xr:uid="{00000000-0002-0000-0300-00007D000000}">
      <formula1>0</formula1>
      <formula2>300</formula2>
    </dataValidation>
    <dataValidation type="textLength" errorStyle="information" allowBlank="1" showInputMessage="1" showErrorMessage="1" error="XLBVal:6=2022431826_x000d__x000a_" sqref="H185" xr:uid="{00000000-0002-0000-0300-00007E000000}">
      <formula1>0</formula1>
      <formula2>300</formula2>
    </dataValidation>
    <dataValidation type="textLength" errorStyle="information" allowBlank="1" showInputMessage="1" showErrorMessage="1" error="XLBVal:6=418490363_x000d__x000a_" sqref="H186" xr:uid="{00000000-0002-0000-0300-00007F000000}">
      <formula1>0</formula1>
      <formula2>300</formula2>
    </dataValidation>
    <dataValidation type="textLength" errorStyle="information" allowBlank="1" showInputMessage="1" showErrorMessage="1" error="XLBVal:6=2576504257_x000d__x000a_" sqref="H187:H188" xr:uid="{00000000-0002-0000-0300-000080000000}">
      <formula1>0</formula1>
      <formula2>300</formula2>
    </dataValidation>
    <dataValidation type="textLength" errorStyle="information" allowBlank="1" showInputMessage="1" showErrorMessage="1" error="XLBVal:6=639067735_x000d__x000a_" sqref="H190" xr:uid="{00000000-0002-0000-0300-000081000000}">
      <formula1>0</formula1>
      <formula2>300</formula2>
    </dataValidation>
    <dataValidation type="textLength" errorStyle="information" allowBlank="1" showInputMessage="1" showErrorMessage="1" error="XLBVal:6=1676268534_x000d__x000a_" sqref="H191" xr:uid="{00000000-0002-0000-0300-000082000000}">
      <formula1>0</formula1>
      <formula2>300</formula2>
    </dataValidation>
    <dataValidation type="textLength" errorStyle="information" allowBlank="1" showInputMessage="1" showErrorMessage="1" error="XLBVal:6=2119584442_x000d__x000a_" sqref="H192" xr:uid="{00000000-0002-0000-0300-000083000000}">
      <formula1>0</formula1>
      <formula2>300</formula2>
    </dataValidation>
    <dataValidation type="textLength" errorStyle="information" allowBlank="1" showInputMessage="1" showErrorMessage="1" error="XLBVal:6=27484293_x000d__x000a_" sqref="H194" xr:uid="{00000000-0002-0000-0300-000084000000}">
      <formula1>0</formula1>
      <formula2>300</formula2>
    </dataValidation>
    <dataValidation type="textLength" errorStyle="information" allowBlank="1" showInputMessage="1" showErrorMessage="1" error="XLBVal:6=697674_x000d__x000a_" sqref="H196" xr:uid="{00000000-0002-0000-0300-000085000000}">
      <formula1>0</formula1>
      <formula2>300</formula2>
    </dataValidation>
    <dataValidation type="textLength" errorStyle="information" allowBlank="1" showInputMessage="1" showErrorMessage="1" error="XLBVal:6=561261_x000d__x000a_" sqref="H197:H199" xr:uid="{00000000-0002-0000-0300-000086000000}">
      <formula1>0</formula1>
      <formula2>300</formula2>
    </dataValidation>
    <dataValidation type="textLength" errorStyle="information" allowBlank="1" showInputMessage="1" showErrorMessage="1" error="XLBVal:6=75921338_x000d__x000a_" sqref="H201" xr:uid="{00000000-0002-0000-0300-000087000000}">
      <formula1>0</formula1>
      <formula2>300</formula2>
    </dataValidation>
    <dataValidation type="textLength" errorStyle="information" allowBlank="1" showInputMessage="1" showErrorMessage="1" error="XLBVal:6=809872_x000d__x000a_" sqref="H204" xr:uid="{00000000-0002-0000-0300-000088000000}">
      <formula1>0</formula1>
      <formula2>300</formula2>
    </dataValidation>
    <dataValidation type="textLength" errorStyle="information" allowBlank="1" showInputMessage="1" showErrorMessage="1" error="XLBVal:6=7708308312_x000d__x000a_" sqref="H206" xr:uid="{00000000-0002-0000-0300-000089000000}">
      <formula1>0</formula1>
      <formula2>300</formula2>
    </dataValidation>
    <dataValidation type="textLength" errorStyle="information" allowBlank="1" showInputMessage="1" showErrorMessage="1" error="XLBVal:6=116721058_x000d__x000a_" sqref="H212" xr:uid="{00000000-0002-0000-0300-00008A000000}">
      <formula1>0</formula1>
      <formula2>300</formula2>
    </dataValidation>
    <dataValidation type="textLength" errorStyle="information" allowBlank="1" showInputMessage="1" showErrorMessage="1" error="XLBVal:6=45773644_x000d__x000a_" sqref="H214" xr:uid="{00000000-0002-0000-0300-00008B000000}">
      <formula1>0</formula1>
      <formula2>300</formula2>
    </dataValidation>
    <dataValidation type="textLength" errorStyle="information" allowBlank="1" showInputMessage="1" showErrorMessage="1" error="XLBVal:6=120823982_x000d__x000a_" sqref="H215" xr:uid="{00000000-0002-0000-0300-00008C000000}">
      <formula1>0</formula1>
      <formula2>300</formula2>
    </dataValidation>
    <dataValidation type="textLength" errorStyle="information" allowBlank="1" showInputMessage="1" showErrorMessage="1" error="XLBVal:6=458802237_x000d__x000a_" sqref="H218" xr:uid="{00000000-0002-0000-0300-00008D000000}">
      <formula1>0</formula1>
      <formula2>300</formula2>
    </dataValidation>
    <dataValidation type="textLength" errorStyle="information" allowBlank="1" showInputMessage="1" showErrorMessage="1" error="XLBVal:6=1680974525_x000d__x000a_" sqref="H220" xr:uid="{00000000-0002-0000-0300-00008E000000}">
      <formula1>0</formula1>
      <formula2>300</formula2>
    </dataValidation>
    <dataValidation type="textLength" errorStyle="information" allowBlank="1" showInputMessage="1" showErrorMessage="1" error="XLBVal:6=339097414.97_x000d__x000a_" sqref="H224" xr:uid="{00000000-0002-0000-0300-00008F000000}">
      <formula1>0</formula1>
      <formula2>300</formula2>
    </dataValidation>
    <dataValidation type="textLength" errorStyle="information" allowBlank="1" showInputMessage="1" showErrorMessage="1" error="XLBVal:6=18785691618_x000d__x000a_" sqref="H232" xr:uid="{00000000-0002-0000-0300-000090000000}">
      <formula1>0</formula1>
      <formula2>300</formula2>
    </dataValidation>
    <dataValidation type="textLength" errorStyle="information" allowBlank="1" showInputMessage="1" showErrorMessage="1" error="XLBVal:6=1106750556_x000d__x000a_" sqref="H245" xr:uid="{00000000-0002-0000-0300-000091000000}">
      <formula1>0</formula1>
      <formula2>300</formula2>
    </dataValidation>
    <dataValidation type="textLength" errorStyle="information" allowBlank="1" showInputMessage="1" showErrorMessage="1" error="XLBVal:6=31131357_x000d__x000a_" sqref="H256" xr:uid="{00000000-0002-0000-0300-000092000000}">
      <formula1>0</formula1>
      <formula2>300</formula2>
    </dataValidation>
    <dataValidation type="textLength" errorStyle="information" allowBlank="1" showInputMessage="1" showErrorMessage="1" error="XLBVal:6=39648000_x000d__x000a_" sqref="H257" xr:uid="{00000000-0002-0000-0300-000093000000}">
      <formula1>0</formula1>
      <formula2>300</formula2>
    </dataValidation>
    <dataValidation type="textLength" errorStyle="information" allowBlank="1" showInputMessage="1" showErrorMessage="1" error="XLBVal:6=54046775_x000d__x000a_" sqref="H258:H259 H262" xr:uid="{00000000-0002-0000-0300-000094000000}">
      <formula1>0</formula1>
      <formula2>300</formula2>
    </dataValidation>
    <dataValidation type="textLength" errorStyle="information" allowBlank="1" showInputMessage="1" showErrorMessage="1" error="XLBVal:6=5361680_x000d__x000a_" sqref="H285" xr:uid="{00000000-0002-0000-0300-000095000000}">
      <formula1>0</formula1>
      <formula2>300</formula2>
    </dataValidation>
    <dataValidation type="textLength" errorStyle="information" allowBlank="1" showInputMessage="1" showErrorMessage="1" error="XLBVal:6=3600000_x000d__x000a_" sqref="H531" xr:uid="{00000000-0002-0000-0300-000096000000}">
      <formula1>0</formula1>
      <formula2>300</formula2>
    </dataValidation>
    <dataValidation type="textLength" errorStyle="information" allowBlank="1" showInputMessage="1" showErrorMessage="1" error="XLBVal:6=10348824_x000d__x000a_" sqref="H299" xr:uid="{00000000-0002-0000-0300-000097000000}">
      <formula1>0</formula1>
      <formula2>300</formula2>
    </dataValidation>
    <dataValidation type="textLength" errorStyle="information" allowBlank="1" showInputMessage="1" showErrorMessage="1" error="XLBVal:6=3750000_x000d__x000a_" sqref="H300" xr:uid="{00000000-0002-0000-0300-000098000000}">
      <formula1>0</formula1>
      <formula2>300</formula2>
    </dataValidation>
    <dataValidation type="textLength" errorStyle="information" allowBlank="1" showInputMessage="1" showErrorMessage="1" error="XLBVal:6=708000_x000d__x000a_" sqref="H307" xr:uid="{00000000-0002-0000-0300-000099000000}">
      <formula1>0</formula1>
      <formula2>300</formula2>
    </dataValidation>
    <dataValidation type="textLength" errorStyle="information" allowBlank="1" showInputMessage="1" showErrorMessage="1" error="XLBVal:6=2689200_x000d__x000a_" sqref="H310" xr:uid="{00000000-0002-0000-0300-00009A000000}">
      <formula1>0</formula1>
      <formula2>300</formula2>
    </dataValidation>
    <dataValidation type="textLength" errorStyle="information" allowBlank="1" showInputMessage="1" showErrorMessage="1" error="XLBVal:6=21027600_x000d__x000a_" sqref="H316" xr:uid="{00000000-0002-0000-0300-00009B000000}">
      <formula1>0</formula1>
      <formula2>300</formula2>
    </dataValidation>
    <dataValidation type="textLength" errorStyle="information" allowBlank="1" showInputMessage="1" showErrorMessage="1" error="XLBVal:6=264000_x000d__x000a_" sqref="H322" xr:uid="{00000000-0002-0000-0300-00009C000000}">
      <formula1>0</formula1>
      <formula2>300</formula2>
    </dataValidation>
    <dataValidation type="textLength" errorStyle="information" allowBlank="1" showInputMessage="1" showErrorMessage="1" error="XLBVal:6=240000_x000d__x000a_" sqref="H344:H345" xr:uid="{00000000-0002-0000-0300-00009D000000}">
      <formula1>0</formula1>
      <formula2>300</formula2>
    </dataValidation>
    <dataValidation type="textLength" errorStyle="information" allowBlank="1" showInputMessage="1" showErrorMessage="1" error="XLBVal:6=60906648_x000d__x000a_" sqref="H392" xr:uid="{00000000-0002-0000-0300-00009E000000}">
      <formula1>0</formula1>
      <formula2>300</formula2>
    </dataValidation>
    <dataValidation type="textLength" errorStyle="information" allowBlank="1" showInputMessage="1" showErrorMessage="1" error="XLBVal:6=306563_x000d__x000a_" sqref="H395" xr:uid="{00000000-0002-0000-0300-00009F000000}">
      <formula1>0</formula1>
      <formula2>300</formula2>
    </dataValidation>
    <dataValidation type="textLength" errorStyle="information" allowBlank="1" showInputMessage="1" showErrorMessage="1" error="XLBVal:6=331500_x000d__x000a_" sqref="H412" xr:uid="{00000000-0002-0000-0300-0000A0000000}">
      <formula1>0</formula1>
      <formula2>300</formula2>
    </dataValidation>
    <dataValidation type="textLength" errorStyle="information" allowBlank="1" showInputMessage="1" showErrorMessage="1" error="XLBVal:6=21318500_x000d__x000a_" sqref="H427" xr:uid="{00000000-0002-0000-0300-0000A1000000}">
      <formula1>0</formula1>
      <formula2>300</formula2>
    </dataValidation>
    <dataValidation type="textLength" errorStyle="information" allowBlank="1" showInputMessage="1" showErrorMessage="1" error="XLBVal:6=373250_x000d__x000a_" sqref="H428" xr:uid="{00000000-0002-0000-0300-0000A2000000}">
      <formula1>0</formula1>
      <formula2>300</formula2>
    </dataValidation>
    <dataValidation type="textLength" errorStyle="information" allowBlank="1" showInputMessage="1" showErrorMessage="1" error="XLBVal:6=8736740_x000d__x000a_" sqref="H429" xr:uid="{00000000-0002-0000-0300-0000A3000000}">
      <formula1>0</formula1>
      <formula2>300</formula2>
    </dataValidation>
    <dataValidation type="textLength" errorStyle="information" allowBlank="1" showInputMessage="1" showErrorMessage="1" error="XLBVal:6=9788948_x000d__x000a_" sqref="H430" xr:uid="{00000000-0002-0000-0300-0000A4000000}">
      <formula1>0</formula1>
      <formula2>300</formula2>
    </dataValidation>
    <dataValidation type="textLength" errorStyle="information" allowBlank="1" showInputMessage="1" showErrorMessage="1" error="XLBVal:6=3487500_x000d__x000a_" sqref="H431" xr:uid="{00000000-0002-0000-0300-0000A5000000}">
      <formula1>0</formula1>
      <formula2>300</formula2>
    </dataValidation>
    <dataValidation type="textLength" errorStyle="information" allowBlank="1" showInputMessage="1" showErrorMessage="1" error="XLBVal:6=3543500_x000d__x000a_" sqref="H486" xr:uid="{00000000-0002-0000-0300-0000A6000000}">
      <formula1>0</formula1>
      <formula2>300</formula2>
    </dataValidation>
    <dataValidation type="textLength" errorStyle="information" allowBlank="1" showInputMessage="1" showErrorMessage="1" error="XLBVal:6=23835674_x000d__x000a_" sqref="H503" xr:uid="{00000000-0002-0000-0300-0000A7000000}">
      <formula1>0</formula1>
      <formula2>300</formula2>
    </dataValidation>
    <dataValidation type="textLength" errorStyle="information" allowBlank="1" showInputMessage="1" showErrorMessage="1" error="XLBVal:6=39960976_x000d__x000a_" sqref="H504" xr:uid="{00000000-0002-0000-0300-0000A8000000}">
      <formula1>0</formula1>
      <formula2>300</formula2>
    </dataValidation>
    <dataValidation type="textLength" errorStyle="information" allowBlank="1" showInputMessage="1" showErrorMessage="1" error="XLBVal:6=3307500_x000d__x000a_" sqref="H527" xr:uid="{00000000-0002-0000-0300-0000A9000000}">
      <formula1>0</formula1>
      <formula2>300</formula2>
    </dataValidation>
    <dataValidation type="textLength" errorStyle="information" allowBlank="1" showInputMessage="1" showErrorMessage="1" error="XLBVal:6=46090474_x000d__x000a_" sqref="H533" xr:uid="{00000000-0002-0000-0300-0000AA000000}">
      <formula1>0</formula1>
      <formula2>300</formula2>
    </dataValidation>
    <dataValidation type="textLength" errorStyle="information" allowBlank="1" showInputMessage="1" showErrorMessage="1" error="XLBVal:6=4112672_x000d__x000a_" sqref="H534" xr:uid="{00000000-0002-0000-0300-0000AB000000}">
      <formula1>0</formula1>
      <formula2>300</formula2>
    </dataValidation>
    <dataValidation type="textLength" errorStyle="information" allowBlank="1" showInputMessage="1" showErrorMessage="1" error="XLBVal:6=32210294_x000d__x000a_" sqref="H536" xr:uid="{00000000-0002-0000-0300-0000AC000000}">
      <formula1>0</formula1>
      <formula2>300</formula2>
    </dataValidation>
    <dataValidation type="textLength" errorStyle="information" allowBlank="1" showInputMessage="1" showErrorMessage="1" error="XLBVal:6=13859335_x000d__x000a_" sqref="H537" xr:uid="{00000000-0002-0000-0300-0000AD000000}">
      <formula1>0</formula1>
      <formula2>300</formula2>
    </dataValidation>
    <dataValidation type="textLength" errorStyle="information" allowBlank="1" showInputMessage="1" showErrorMessage="1" error="XLBVal:6=2310000_x000d__x000a_" sqref="H538" xr:uid="{00000000-0002-0000-0300-0000AE000000}">
      <formula1>0</formula1>
      <formula2>300</formula2>
    </dataValidation>
    <dataValidation type="textLength" errorStyle="information" allowBlank="1" showInputMessage="1" showErrorMessage="1" error="XLBVal:6=2124000_x000d__x000a_" sqref="H547" xr:uid="{00000000-0002-0000-0300-0000AF000000}">
      <formula1>0</formula1>
      <formula2>300</formula2>
    </dataValidation>
    <dataValidation type="textLength" errorStyle="information" allowBlank="1" showInputMessage="1" showErrorMessage="1" error="XLBVal:6=5255193_x000d__x000a_" sqref="H554" xr:uid="{00000000-0002-0000-0300-0000B0000000}">
      <formula1>0</formula1>
      <formula2>300</formula2>
    </dataValidation>
    <dataValidation type="textLength" errorStyle="information" allowBlank="1" showInputMessage="1" showErrorMessage="1" error="XLBVal:6=1794000_x000d__x000a_" sqref="H555:H556" xr:uid="{00000000-0002-0000-0300-0000B1000000}">
      <formula1>0</formula1>
      <formula2>300</formula2>
    </dataValidation>
    <dataValidation type="textLength" errorStyle="information" allowBlank="1" showInputMessage="1" showErrorMessage="1" error="XLBVal:6=36980000_x000d__x000a_" sqref="H559" xr:uid="{00000000-0002-0000-0300-0000B2000000}">
      <formula1>0</formula1>
      <formula2>300</formula2>
    </dataValidation>
    <dataValidation type="textLength" errorStyle="information" allowBlank="1" showInputMessage="1" showErrorMessage="1" error="XLBVal:6=7830000_x000d__x000a_" sqref="H560:H561" xr:uid="{00000000-0002-0000-0300-0000B3000000}">
      <formula1>0</formula1>
      <formula2>300</formula2>
    </dataValidation>
    <dataValidation type="textLength" errorStyle="information" allowBlank="1" showInputMessage="1" showErrorMessage="1" error="XLBVal:6=5497131_x000d__x000a_" sqref="H563:H565" xr:uid="{00000000-0002-0000-0300-0000B4000000}">
      <formula1>0</formula1>
      <formula2>300</formula2>
    </dataValidation>
    <dataValidation type="textLength" errorStyle="information" allowBlank="1" showInputMessage="1" showErrorMessage="1" error="XLBVal:6=2271500_x000d__x000a_" sqref="H570" xr:uid="{00000000-0002-0000-0300-0000B5000000}">
      <formula1>0</formula1>
      <formula2>300</formula2>
    </dataValidation>
    <dataValidation type="textLength" errorStyle="information" allowBlank="1" showInputMessage="1" showErrorMessage="1" error="XLBVal:6=97242701_x000d__x000a_" sqref="H572" xr:uid="{00000000-0002-0000-0300-0000B6000000}">
      <formula1>0</formula1>
      <formula2>300</formula2>
    </dataValidation>
    <dataValidation type="textLength" errorStyle="information" allowBlank="1" showInputMessage="1" showErrorMessage="1" error="XLBVal:6=521482939_x000d__x000a_" sqref="H573" xr:uid="{00000000-0002-0000-0300-0000B7000000}">
      <formula1>0</formula1>
      <formula2>300</formula2>
    </dataValidation>
    <dataValidation type="textLength" errorStyle="information" allowBlank="1" showInputMessage="1" showErrorMessage="1" error="XLBVal:6=2830500_x000d__x000a_" sqref="H575" xr:uid="{00000000-0002-0000-0300-0000B8000000}">
      <formula1>0</formula1>
      <formula2>300</formula2>
    </dataValidation>
    <dataValidation type="textLength" errorStyle="information" allowBlank="1" showInputMessage="1" showErrorMessage="1" error="XLBVal:6=3234000_x000d__x000a_" sqref="H576:H579" xr:uid="{00000000-0002-0000-0300-0000B9000000}">
      <formula1>0</formula1>
      <formula2>300</formula2>
    </dataValidation>
    <dataValidation type="textLength" errorStyle="information" allowBlank="1" showInputMessage="1" showErrorMessage="1" error="XLBVal:6=1000000_x000d__x000a_" sqref="H580:H582" xr:uid="{00000000-0002-0000-0300-0000BA000000}">
      <formula1>0</formula1>
      <formula2>300</formula2>
    </dataValidation>
    <dataValidation type="textLength" errorStyle="information" allowBlank="1" showInputMessage="1" showErrorMessage="1" error="XLBVal:6=2046000_x000d__x000a_" sqref="H589" xr:uid="{00000000-0002-0000-0300-0000BB000000}">
      <formula1>0</formula1>
      <formula2>300</formula2>
    </dataValidation>
    <dataValidation type="textLength" errorStyle="information" allowBlank="1" showInputMessage="1" showErrorMessage="1" error="XLBVal:6=5580000_x000d__x000a_" sqref="H593" xr:uid="{00000000-0002-0000-0300-0000BC000000}">
      <formula1>0</formula1>
      <formula2>300</formula2>
    </dataValidation>
    <dataValidation type="textLength" errorStyle="information" allowBlank="1" showInputMessage="1" showErrorMessage="1" error="XLBVal:6=4550000_x000d__x000a_" sqref="H594:H595" xr:uid="{00000000-0002-0000-0300-0000BD000000}">
      <formula1>0</formula1>
      <formula2>300</formula2>
    </dataValidation>
    <dataValidation type="textLength" errorStyle="information" allowBlank="1" showInputMessage="1" showErrorMessage="1" error="XLBVal:6=420003156_x000d__x000a_" sqref="H600" xr:uid="{00000000-0002-0000-0300-0000BE000000}">
      <formula1>0</formula1>
      <formula2>300</formula2>
    </dataValidation>
    <dataValidation type="textLength" errorStyle="information" allowBlank="1" showInputMessage="1" showErrorMessage="1" error="XLBVal:6=305619043_x000d__x000a_" sqref="H606" xr:uid="{00000000-0002-0000-0300-0000BF000000}">
      <formula1>0</formula1>
      <formula2>300</formula2>
    </dataValidation>
    <dataValidation type="textLength" errorStyle="information" allowBlank="1" showInputMessage="1" showErrorMessage="1" error="XLBVal:6=18840255_x000d__x000a_" sqref="H614" xr:uid="{00000000-0002-0000-0300-0000C0000000}">
      <formula1>0</formula1>
      <formula2>300</formula2>
    </dataValidation>
    <dataValidation type="textLength" errorStyle="information" allowBlank="1" showInputMessage="1" showErrorMessage="1" error="XLBVal:6=5310000_x000d__x000a_" sqref="H616" xr:uid="{00000000-0002-0000-0300-0000C1000000}">
      <formula1>0</formula1>
      <formula2>300</formula2>
    </dataValidation>
    <dataValidation type="textLength" errorStyle="information" allowBlank="1" showInputMessage="1" showErrorMessage="1" error="XLBVal:6=54284936_x000d__x000a_" sqref="H617" xr:uid="{00000000-0002-0000-0300-0000C2000000}">
      <formula1>0</formula1>
      <formula2>300</formula2>
    </dataValidation>
    <dataValidation type="textLength" errorStyle="information" allowBlank="1" showInputMessage="1" showErrorMessage="1" error="XLBVal:6=81837_x000d__x000a_" sqref="H618" xr:uid="{00000000-0002-0000-0300-0000C3000000}">
      <formula1>0</formula1>
      <formula2>300</formula2>
    </dataValidation>
    <dataValidation type="textLength" errorStyle="information" allowBlank="1" showInputMessage="1" showErrorMessage="1" error="XLBVal:6=7764400_x000d__x000a_" sqref="H627" xr:uid="{00000000-0002-0000-0300-0000C4000000}">
      <formula1>0</formula1>
      <formula2>300</formula2>
    </dataValidation>
    <dataValidation type="textLength" errorStyle="information" allowBlank="1" showInputMessage="1" showErrorMessage="1" error="XLBVal:6=32878869_x000d__x000a_" sqref="H645" xr:uid="{00000000-0002-0000-0300-0000C5000000}">
      <formula1>0</formula1>
      <formula2>300</formula2>
    </dataValidation>
    <dataValidation type="textLength" errorStyle="information" allowBlank="1" showInputMessage="1" showErrorMessage="1" error="XLBVal:6=1187826109_x000d__x000a_" sqref="H647" xr:uid="{00000000-0002-0000-0300-0000C6000000}">
      <formula1>0</formula1>
      <formula2>300</formula2>
    </dataValidation>
    <dataValidation type="textLength" errorStyle="information" allowBlank="1" showInputMessage="1" showErrorMessage="1" error="XLBVal:6=740514023_x000d__x000a_" sqref="H648" xr:uid="{00000000-0002-0000-0300-0000C7000000}">
      <formula1>0</formula1>
      <formula2>300</formula2>
    </dataValidation>
    <dataValidation type="textLength" errorStyle="information" allowBlank="1" showInputMessage="1" showErrorMessage="1" error="XLBVal:6=1862260_x000d__x000a_" sqref="H650" xr:uid="{00000000-0002-0000-0300-0000C8000000}">
      <formula1>0</formula1>
      <formula2>300</formula2>
    </dataValidation>
    <dataValidation type="textLength" errorStyle="information" allowBlank="1" showInputMessage="1" showErrorMessage="1" error="XLBVal:6=16970000_x000d__x000a_" sqref="H667:H668" xr:uid="{00000000-0002-0000-0300-0000C9000000}">
      <formula1>0</formula1>
      <formula2>300</formula2>
    </dataValidation>
    <dataValidation type="textLength" errorStyle="information" allowBlank="1" showInputMessage="1" showErrorMessage="1" error="XLBVal:6=586458358.34_x000d__x000a_" sqref="H672" xr:uid="{00000000-0002-0000-0300-0000CA000000}">
      <formula1>0</formula1>
      <formula2>300</formula2>
    </dataValidation>
    <dataValidation type="textLength" errorStyle="information" allowBlank="1" showInputMessage="1" showErrorMessage="1" error="XLBVal:6=17906500_x000d__x000a_" sqref="H674" xr:uid="{00000000-0002-0000-0300-0000CB000000}">
      <formula1>0</formula1>
      <formula2>300</formula2>
    </dataValidation>
    <dataValidation type="textLength" errorStyle="information" allowBlank="1" showInputMessage="1" showErrorMessage="1" error="XLBVal:6=220797734_x000d__x000a_" sqref="H675" xr:uid="{00000000-0002-0000-0300-0000CC000000}">
      <formula1>0</formula1>
      <formula2>300</formula2>
    </dataValidation>
    <dataValidation type="textLength" errorStyle="information" allowBlank="1" showInputMessage="1" showErrorMessage="1" error="XLBVal:8=Nº Compte_x000d__x000a_XLBRowCount:3=1447_x000d__x000a_XLBColCount:3=2_x000d__x000a_Style:2=1_x000d__x000a_" sqref="A3" xr:uid="{00000000-0002-0000-0300-0000CD000000}">
      <formula1>0</formula1>
      <formula2>300</formula2>
    </dataValidation>
    <dataValidation type="textLength" errorStyle="information" allowBlank="1" showInputMessage="1" showErrorMessage="1" error="XLBVal:6=127107_x000d__x000a_" sqref="F243" xr:uid="{00000000-0002-0000-0300-0000CE000000}">
      <formula1>0</formula1>
      <formula2>300</formula2>
    </dataValidation>
    <dataValidation type="textLength" errorStyle="information" allowBlank="1" showInputMessage="1" showErrorMessage="1" error="XLBVal:6=1326780_x000d__x000a_" sqref="H241" xr:uid="{00000000-0002-0000-0300-0000CF000000}">
      <formula1>0</formula1>
      <formula2>300</formula2>
    </dataValidation>
    <dataValidation type="textLength" errorStyle="information" allowBlank="1" showInputMessage="1" showErrorMessage="1" error="XLBVal:6=17340786_x000d__x000a_" sqref="H243" xr:uid="{00000000-0002-0000-0300-0000D0000000}">
      <formula1>0</formula1>
      <formula2>300</formula2>
    </dataValidation>
    <dataValidation type="textLength" errorStyle="information" allowBlank="1" showInputMessage="1" showErrorMessage="1" error="XLBVal:6=3717000_x000d__x000a_" sqref="H246" xr:uid="{00000000-0002-0000-0300-0000D1000000}">
      <formula1>0</formula1>
      <formula2>300</formula2>
    </dataValidation>
    <dataValidation type="textLength" errorStyle="information" allowBlank="1" showInputMessage="1" showErrorMessage="1" error="XLBVal:6=157880500_x000d__x000a_" sqref="H248:H249" xr:uid="{00000000-0002-0000-0300-0000D2000000}">
      <formula1>0</formula1>
      <formula2>300</formula2>
    </dataValidation>
    <dataValidation type="textLength" errorStyle="information" allowBlank="1" showInputMessage="1" showErrorMessage="1" error="XLBVal:6=1477849_x000d__x000a_" sqref="H251:H252" xr:uid="{00000000-0002-0000-0300-0000D3000000}">
      <formula1>0</formula1>
      <formula2>300</formula2>
    </dataValidation>
    <dataValidation type="textLength" errorStyle="information" allowBlank="1" showInputMessage="1" showErrorMessage="1" error="XLBVal:6=136767485_x000d__x000a_" sqref="H263" xr:uid="{00000000-0002-0000-0300-0000D4000000}">
      <formula1>0</formula1>
      <formula2>300</formula2>
    </dataValidation>
    <dataValidation type="textLength" errorStyle="information" allowBlank="1" showInputMessage="1" showErrorMessage="1" error="XLBVal:6=14461463_x000d__x000a_" sqref="H268:H269" xr:uid="{00000000-0002-0000-0300-0000D5000000}">
      <formula1>0</formula1>
      <formula2>300</formula2>
    </dataValidation>
    <dataValidation type="textLength" errorStyle="information" allowBlank="1" showInputMessage="1" showErrorMessage="1" error="XLBVal:6=590000_x000d__x000a_" sqref="H273:H274" xr:uid="{00000000-0002-0000-0300-0000D6000000}">
      <formula1>0</formula1>
      <formula2>300</formula2>
    </dataValidation>
    <dataValidation type="textLength" errorStyle="information" allowBlank="1" showInputMessage="1" showErrorMessage="1" error="XLBVal:6=24225034_x000d__x000a_" sqref="H281" xr:uid="{00000000-0002-0000-0300-0000D7000000}">
      <formula1>0</formula1>
      <formula2>300</formula2>
    </dataValidation>
    <dataValidation type="textLength" errorStyle="information" allowBlank="1" showInputMessage="1" showErrorMessage="1" error="XLBVal:6=3073680_x000d__x000a_" sqref="H286" xr:uid="{00000000-0002-0000-0300-0000D8000000}">
      <formula1>0</formula1>
      <formula2>300</formula2>
    </dataValidation>
    <dataValidation type="textLength" errorStyle="information" allowBlank="1" showInputMessage="1" showErrorMessage="1" error="XLBVal:6=1098563604_x000d__x000a_" sqref="H295" xr:uid="{00000000-0002-0000-0300-0000D9000000}">
      <formula1>0</formula1>
      <formula2>300</formula2>
    </dataValidation>
    <dataValidation type="textLength" errorStyle="information" allowBlank="1" showInputMessage="1" showErrorMessage="1" error="XLBVal:6=51360000_x000d__x000a_" sqref="H301" xr:uid="{00000000-0002-0000-0300-0000DA000000}">
      <formula1>0</formula1>
      <formula2>300</formula2>
    </dataValidation>
    <dataValidation type="textLength" errorStyle="information" allowBlank="1" showInputMessage="1" showErrorMessage="1" error="XLBVal:6=42826712.5_x000d__x000a_" sqref="H303" xr:uid="{00000000-0002-0000-0300-0000DB000000}">
      <formula1>0</formula1>
      <formula2>300</formula2>
    </dataValidation>
    <dataValidation type="textLength" errorStyle="information" allowBlank="1" showInputMessage="1" showErrorMessage="1" error="XLBVal:6=9688250_x000d__x000a_" sqref="H305" xr:uid="{00000000-0002-0000-0300-0000DC000000}">
      <formula1>0</formula1>
      <formula2>300</formula2>
    </dataValidation>
    <dataValidation type="textLength" errorStyle="information" allowBlank="1" showInputMessage="1" showErrorMessage="1" error="XLBVal:6=41370878_x000d__x000a_" sqref="H308" xr:uid="{00000000-0002-0000-0300-0000DD000000}">
      <formula1>0</formula1>
      <formula2>300</formula2>
    </dataValidation>
    <dataValidation type="textLength" errorStyle="information" allowBlank="1" showInputMessage="1" showErrorMessage="1" error="XLBVal:6=431290000_x000d__x000a_" sqref="H311" xr:uid="{00000000-0002-0000-0300-0000DE000000}">
      <formula1>0</formula1>
      <formula2>300</formula2>
    </dataValidation>
    <dataValidation type="textLength" errorStyle="information" allowBlank="1" showInputMessage="1" showErrorMessage="1" error="XLBVal:6=3240000_x000d__x000a_" sqref="H317:H319" xr:uid="{00000000-0002-0000-0300-0000DF000000}">
      <formula1>0</formula1>
      <formula2>300</formula2>
    </dataValidation>
    <dataValidation type="textLength" errorStyle="information" allowBlank="1" showInputMessage="1" showErrorMessage="1" error="XLBVal:6=4620000_x000d__x000a_" sqref="H323" xr:uid="{00000000-0002-0000-0300-0000E0000000}">
      <formula1>0</formula1>
      <formula2>300</formula2>
    </dataValidation>
    <dataValidation type="textLength" errorStyle="information" allowBlank="1" showInputMessage="1" showErrorMessage="1" error="XLBVal:6=26276800_x000d__x000a_" sqref="H346:H347" xr:uid="{00000000-0002-0000-0300-0000E1000000}">
      <formula1>0</formula1>
      <formula2>300</formula2>
    </dataValidation>
    <dataValidation type="textLength" errorStyle="information" allowBlank="1" showInputMessage="1" showErrorMessage="1" error="XLBVal:6=667300_x000d__x000a_" sqref="H393" xr:uid="{00000000-0002-0000-0300-0000E2000000}">
      <formula1>0</formula1>
      <formula2>300</formula2>
    </dataValidation>
    <dataValidation type="textLength" errorStyle="information" allowBlank="1" showInputMessage="1" showErrorMessage="1" error="XLBVal:6=628611215_x000d__x000a_" sqref="H396" xr:uid="{00000000-0002-0000-0300-0000E3000000}">
      <formula1>0</formula1>
      <formula2>300</formula2>
    </dataValidation>
    <dataValidation type="textLength" errorStyle="information" allowBlank="1" showInputMessage="1" showErrorMessage="1" error="XLBVal:6=10328549_x000d__x000a_" sqref="H404" xr:uid="{00000000-0002-0000-0300-0000E4000000}">
      <formula1>0</formula1>
      <formula2>300</formula2>
    </dataValidation>
    <dataValidation type="textLength" errorStyle="information" allowBlank="1" showInputMessage="1" showErrorMessage="1" error="XLBVal:6=24213144_x000d__x000a_" sqref="H407" xr:uid="{00000000-0002-0000-0300-0000E5000000}">
      <formula1>0</formula1>
      <formula2>300</formula2>
    </dataValidation>
    <dataValidation type="textLength" errorStyle="information" allowBlank="1" showInputMessage="1" showErrorMessage="1" error="XLBVal:6=1800000_x000d__x000a_" sqref="H409 H586 H315 H506" xr:uid="{00000000-0002-0000-0300-0000E6000000}">
      <formula1>0</formula1>
      <formula2>300</formula2>
    </dataValidation>
    <dataValidation type="textLength" errorStyle="information" allowBlank="1" showInputMessage="1" showErrorMessage="1" error="XLBVal:6=414020_x000d__x000a_" sqref="H413" xr:uid="{00000000-0002-0000-0300-0000E7000000}">
      <formula1>0</formula1>
      <formula2>300</formula2>
    </dataValidation>
    <dataValidation type="textLength" errorStyle="information" allowBlank="1" showInputMessage="1" showErrorMessage="1" error="XLBVal:6=3000000_x000d__x000a_" sqref="H313 H415:H417" xr:uid="{00000000-0002-0000-0300-0000E8000000}">
      <formula1>0</formula1>
      <formula2>300</formula2>
    </dataValidation>
    <dataValidation type="textLength" errorStyle="information" allowBlank="1" showInputMessage="1" showErrorMessage="1" error="XLBVal:6=3712500_x000d__x000a_" sqref="H432" xr:uid="{00000000-0002-0000-0300-0000E9000000}">
      <formula1>0</formula1>
      <formula2>300</formula2>
    </dataValidation>
    <dataValidation type="textLength" errorStyle="information" allowBlank="1" showInputMessage="1" showErrorMessage="1" error="XLBVal:6=10857015_x000d__x000a_" sqref="H434" xr:uid="{00000000-0002-0000-0300-0000EA000000}">
      <formula1>0</formula1>
      <formula2>300</formula2>
    </dataValidation>
    <dataValidation type="textLength" errorStyle="information" allowBlank="1" showInputMessage="1" showErrorMessage="1" error="XLBVal:6=46201142_x000d__x000a_" sqref="H438" xr:uid="{00000000-0002-0000-0300-0000EB000000}">
      <formula1>0</formula1>
      <formula2>300</formula2>
    </dataValidation>
    <dataValidation type="textLength" errorStyle="information" allowBlank="1" showInputMessage="1" showErrorMessage="1" error="XLBVal:6=6492000_x000d__x000a_" sqref="H447:H448" xr:uid="{00000000-0002-0000-0300-0000EC000000}">
      <formula1>0</formula1>
      <formula2>300</formula2>
    </dataValidation>
    <dataValidation type="textLength" errorStyle="information" allowBlank="1" showInputMessage="1" showErrorMessage="1" error="XLBVal:6=3450000_x000d__x000a_" sqref="H452" xr:uid="{00000000-0002-0000-0300-0000ED000000}">
      <formula1>0</formula1>
      <formula2>300</formula2>
    </dataValidation>
    <dataValidation type="textLength" errorStyle="information" allowBlank="1" showInputMessage="1" showErrorMessage="1" error="XLBVal:6=152550_x000d__x000a_" sqref="H457" xr:uid="{00000000-0002-0000-0300-0000EE000000}">
      <formula1>0</formula1>
      <formula2>300</formula2>
    </dataValidation>
    <dataValidation type="textLength" errorStyle="information" allowBlank="1" showInputMessage="1" showErrorMessage="1" error="XLBVal:6=56885472.8_x000d__x000a_" sqref="H471:H472" xr:uid="{00000000-0002-0000-0300-0000EF000000}">
      <formula1>0</formula1>
      <formula2>300</formula2>
    </dataValidation>
    <dataValidation type="textLength" errorStyle="information" allowBlank="1" showInputMessage="1" showErrorMessage="1" error="XLBVal:6=7438941_x000d__x000a_" sqref="H474" xr:uid="{00000000-0002-0000-0300-0000F0000000}">
      <formula1>0</formula1>
      <formula2>300</formula2>
    </dataValidation>
    <dataValidation type="textLength" errorStyle="information" allowBlank="1" showInputMessage="1" showErrorMessage="1" error="XLBVal:6=43704000_x000d__x000a_" sqref="H480" xr:uid="{00000000-0002-0000-0300-0000F1000000}">
      <formula1>0</formula1>
      <formula2>300</formula2>
    </dataValidation>
    <dataValidation type="textLength" errorStyle="information" allowBlank="1" showInputMessage="1" showErrorMessage="1" error="XLBVal:6=2340000_x000d__x000a_" sqref="H487 H532" xr:uid="{00000000-0002-0000-0300-0000F2000000}">
      <formula1>0</formula1>
      <formula2>300</formula2>
    </dataValidation>
    <dataValidation type="textLength" errorStyle="information" allowBlank="1" showInputMessage="1" showErrorMessage="1" error="XLBVal:6=8622900_x000d__x000a_" sqref="H496" xr:uid="{00000000-0002-0000-0300-0000F3000000}">
      <formula1>0</formula1>
      <formula2>300</formula2>
    </dataValidation>
    <dataValidation type="textLength" errorStyle="information" allowBlank="1" showInputMessage="1" showErrorMessage="1" error="XLBVal:6=2925000_x000d__x000a_" sqref="H539" xr:uid="{00000000-0002-0000-0300-0000F4000000}">
      <formula1>0</formula1>
      <formula2>300</formula2>
    </dataValidation>
    <dataValidation type="textLength" errorStyle="information" allowBlank="1" showInputMessage="1" showErrorMessage="1" error="XLBVal:6=6112770022_x000d__x000a_" sqref="H515" xr:uid="{00000000-0002-0000-0300-0000F5000000}">
      <formula1>0</formula1>
      <formula2>300</formula2>
    </dataValidation>
    <dataValidation type="textLength" errorStyle="information" allowBlank="1" showInputMessage="1" showErrorMessage="1" error="XLBVal:6=20004530.95_x000d__x000a_" sqref="H114" xr:uid="{00000000-0002-0000-0300-0000F6000000}">
      <formula1>0</formula1>
      <formula2>300</formula2>
    </dataValidation>
    <dataValidation type="textLength" errorStyle="information" allowBlank="1" showInputMessage="1" showErrorMessage="1" error="XLBVal:6=13800_x000d__x000a_" sqref="H129" xr:uid="{00000000-0002-0000-0300-0000F7000000}">
      <formula1>0</formula1>
      <formula2>300</formula2>
    </dataValidation>
    <dataValidation type="textLength" errorStyle="information" allowBlank="1" showInputMessage="1" showErrorMessage="1" error="XLBVal:6=213759_x000d__x000a_" sqref="H182:H183" xr:uid="{00000000-0002-0000-0300-0000F8000000}">
      <formula1>0</formula1>
      <formula2>300</formula2>
    </dataValidation>
    <dataValidation type="textLength" errorStyle="information" allowBlank="1" showInputMessage="1" showErrorMessage="1" error="XLBVal:6=3042713_x000d__x000a_" sqref="H195" xr:uid="{00000000-0002-0000-0300-0000F9000000}">
      <formula1>0</formula1>
      <formula2>300</formula2>
    </dataValidation>
    <dataValidation type="textLength" errorStyle="information" allowBlank="1" showInputMessage="1" showErrorMessage="1" error="XLBVal:6=9559424_x000d__x000a_" sqref="H200" xr:uid="{00000000-0002-0000-0300-0000FA000000}">
      <formula1>0</formula1>
      <formula2>300</formula2>
    </dataValidation>
    <dataValidation type="textLength" errorStyle="information" allowBlank="1" showInputMessage="1" showErrorMessage="1" error="XLBVal:6=32303186_x000d__x000a_" sqref="H228:H229" xr:uid="{00000000-0002-0000-0300-0000FB000000}">
      <formula1>0</formula1>
      <formula2>300</formula2>
    </dataValidation>
    <dataValidation type="textLength" errorStyle="information" allowBlank="1" showInputMessage="1" showErrorMessage="1" error="XLBVal:6=89866109_x000d__x000a_" sqref="H288" xr:uid="{00000000-0002-0000-0300-0000FC000000}">
      <formula1>0</formula1>
      <formula2>300</formula2>
    </dataValidation>
    <dataValidation type="textLength" errorStyle="information" allowBlank="1" showInputMessage="1" showErrorMessage="1" error="XLBVal:6=4800000_x000d__x000a_" sqref="H291 H324" xr:uid="{00000000-0002-0000-0300-0000FD000000}">
      <formula1>0</formula1>
      <formula2>300</formula2>
    </dataValidation>
    <dataValidation type="textLength" errorStyle="information" allowBlank="1" showInputMessage="1" showErrorMessage="1" error="XLBVal:6=11210000_x000d__x000a_" sqref="H297" xr:uid="{00000000-0002-0000-0300-0000FE000000}">
      <formula1>0</formula1>
      <formula2>300</formula2>
    </dataValidation>
    <dataValidation type="textLength" errorStyle="information" allowBlank="1" showInputMessage="1" showErrorMessage="1" error="XLBVal:6=4350000_x000d__x000a_" sqref="H338:H339" xr:uid="{00000000-0002-0000-0300-0000FF000000}">
      <formula1>0</formula1>
      <formula2>300</formula2>
    </dataValidation>
    <dataValidation type="textLength" errorStyle="information" allowBlank="1" showInputMessage="1" showErrorMessage="1" error="XLBVal:6=12175807_x000d__x000a_" sqref="H401" xr:uid="{00000000-0002-0000-0300-000000010000}">
      <formula1>0</formula1>
      <formula2>300</formula2>
    </dataValidation>
    <dataValidation type="textLength" errorStyle="information" allowBlank="1" showInputMessage="1" showErrorMessage="1" error="XLBVal:6=2940000_x000d__x000a_" sqref="H450" xr:uid="{00000000-0002-0000-0300-000001010000}">
      <formula1>0</formula1>
      <formula2>300</formula2>
    </dataValidation>
    <dataValidation type="textLength" errorStyle="information" allowBlank="1" showInputMessage="1" showErrorMessage="1" error="XLBVal:6=2400000_x000d__x000a_" sqref="H453 H458 H566:H568 H591:H592 H597 H603" xr:uid="{00000000-0002-0000-0300-000002010000}">
      <formula1>0</formula1>
      <formula2>300</formula2>
    </dataValidation>
    <dataValidation type="textLength" errorStyle="information" allowBlank="1" showInputMessage="1" showErrorMessage="1" error="XLBVal:6=3675000_x000d__x000a_" sqref="H507 H460:H464" xr:uid="{00000000-0002-0000-0300-000003010000}">
      <formula1>0</formula1>
      <formula2>300</formula2>
    </dataValidation>
    <dataValidation type="textLength" errorStyle="information" allowBlank="1" showInputMessage="1" showErrorMessage="1" error="XLBVal:6=3075000_x000d__x000a_" sqref="H528" xr:uid="{00000000-0002-0000-0300-000004010000}">
      <formula1>0</formula1>
      <formula2>300</formula2>
    </dataValidation>
    <dataValidation type="textLength" errorStyle="information" allowBlank="1" showInputMessage="1" showErrorMessage="1" error="XLBVal:6=3510000_x000d__x000a_" sqref="H530" xr:uid="{00000000-0002-0000-0300-000005010000}">
      <formula1>0</formula1>
      <formula2>300</formula2>
    </dataValidation>
    <dataValidation type="textLength" errorStyle="information" allowBlank="1" showInputMessage="1" showErrorMessage="1" error="XLBVal:6=2205000_x000d__x000a_" sqref="H540" xr:uid="{00000000-0002-0000-0300-000006010000}">
      <formula1>0</formula1>
      <formula2>300</formula2>
    </dataValidation>
    <dataValidation type="textLength" errorStyle="information" allowBlank="1" showInputMessage="1" showErrorMessage="1" error="XLBVal:6=2655000_x000d__x000a_" sqref="H544" xr:uid="{00000000-0002-0000-0300-000007010000}">
      <formula1>0</formula1>
      <formula2>300</formula2>
    </dataValidation>
    <dataValidation type="textLength" errorStyle="information" allowBlank="1" showInputMessage="1" showErrorMessage="1" error="XLBVal:6=6468000_x000d__x000a_" sqref="H548" xr:uid="{00000000-0002-0000-0300-000008010000}">
      <formula1>0</formula1>
      <formula2>300</formula2>
    </dataValidation>
    <dataValidation type="textLength" errorStyle="information" allowBlank="1" showInputMessage="1" showErrorMessage="1" error="XLBVal:6=2640000_x000d__x000a_" sqref="H562" xr:uid="{00000000-0002-0000-0300-000009010000}">
      <formula1>0</formula1>
      <formula2>300</formula2>
    </dataValidation>
    <dataValidation type="textLength" errorStyle="information" allowBlank="1" showInputMessage="1" showErrorMessage="1" error="XLBVal:6=2025000_x000d__x000a_" sqref="H571" xr:uid="{00000000-0002-0000-0300-00000A010000}">
      <formula1>0</formula1>
      <formula2>300</formula2>
    </dataValidation>
    <dataValidation type="textLength" errorStyle="information" allowBlank="1" showInputMessage="1" showErrorMessage="1" error="XLBVal:6=2406000_x000d__x000a_" sqref="H598" xr:uid="{00000000-0002-0000-0300-00000B010000}">
      <formula1>0</formula1>
      <formula2>300</formula2>
    </dataValidation>
    <dataValidation type="textLength" errorStyle="information" allowBlank="1" showInputMessage="1" showErrorMessage="1" error="XLBVal:6=12000000_x000d__x000a_" sqref="H601" xr:uid="{00000000-0002-0000-0300-00000C010000}">
      <formula1>0</formula1>
      <formula2>300</formula2>
    </dataValidation>
    <dataValidation type="textLength" errorStyle="information" allowBlank="1" showInputMessage="1" showErrorMessage="1" error="XLBVal:6=2450000_x000d__x000a_" sqref="H608" xr:uid="{00000000-0002-0000-0300-00000D010000}">
      <formula1>0</formula1>
      <formula2>300</formula2>
    </dataValidation>
    <dataValidation type="textLength" errorStyle="information" allowBlank="1" showInputMessage="1" showErrorMessage="1" error="XLBVal:8=CAA_x000d__x000a_XLBRowCount:3=1_x000d__x000a_XLBColCount:3=1_x000d__x000a_Style:2=0_x000d__x000a_" sqref="E4:E13" xr:uid="{00000000-0002-0000-0300-00000E010000}">
      <formula1>0</formula1>
      <formula2>300</formula2>
    </dataValidation>
  </dataValidations>
  <hyperlinks>
    <hyperlink ref="A1" location="Sommaire!F6" display="Sommaire" xr:uid="{00000000-0004-0000-0300-000000000000}"/>
  </hyperlinks>
  <printOptions horizontalCentered="1"/>
  <pageMargins left="0" right="0" top="0.74803149606299213" bottom="0.74803149606299213" header="0.31496062992125984" footer="0.31496062992125984"/>
  <pageSetup paperSize="9" scale="70" orientation="landscape" r:id="rId1"/>
  <rowBreaks count="1" manualBreakCount="1">
    <brk id="18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9998168889431442"/>
    <pageSetUpPr fitToPage="1"/>
  </sheetPr>
  <dimension ref="A1:M51"/>
  <sheetViews>
    <sheetView showGridLines="0" showZeros="0" zoomScale="80" zoomScaleNormal="80" zoomScaleSheetLayoutView="70" workbookViewId="0">
      <pane xSplit="3" ySplit="6" topLeftCell="D37" activePane="bottomRight" state="frozen"/>
      <selection activeCell="AT18" sqref="AT18"/>
      <selection pane="topRight" activeCell="AT18" sqref="AT18"/>
      <selection pane="bottomLeft" activeCell="AT18" sqref="AT18"/>
      <selection pane="bottomRight" activeCell="AT18" sqref="AT18"/>
    </sheetView>
  </sheetViews>
  <sheetFormatPr baseColWidth="10" defaultColWidth="11.44140625" defaultRowHeight="14.4" x14ac:dyDescent="0.3"/>
  <cols>
    <col min="1" max="1" width="12.44140625" style="145" customWidth="1"/>
    <col min="2" max="2" width="11.109375" style="145" customWidth="1"/>
    <col min="3" max="3" width="25.44140625" style="145" customWidth="1"/>
    <col min="4" max="4" width="33.109375" style="145" customWidth="1"/>
    <col min="5" max="5" width="29.44140625" style="145" customWidth="1"/>
    <col min="6" max="6" width="30.5546875" style="145" customWidth="1"/>
    <col min="7" max="7" width="31.5546875" style="145" customWidth="1"/>
    <col min="8" max="8" width="30.5546875" style="145" customWidth="1"/>
    <col min="9" max="9" width="33.44140625" style="145" customWidth="1"/>
    <col min="10" max="10" width="30.5546875" style="145" customWidth="1"/>
    <col min="11" max="11" width="25.5546875" style="145" customWidth="1"/>
    <col min="12" max="12" width="35.5546875" style="145" customWidth="1"/>
    <col min="13" max="13" width="0" style="145" hidden="1" customWidth="1"/>
    <col min="14" max="16384" width="11.44140625" style="145"/>
  </cols>
  <sheetData>
    <row r="1" spans="1:13" ht="20.25" customHeight="1" x14ac:dyDescent="0.3">
      <c r="A1" s="71" t="s">
        <v>75</v>
      </c>
      <c r="B1" s="142"/>
      <c r="C1" s="143"/>
      <c r="D1" s="144"/>
      <c r="E1" s="144"/>
      <c r="F1" s="144"/>
      <c r="G1" s="144"/>
      <c r="H1" s="144"/>
      <c r="I1" s="144"/>
      <c r="J1" s="144"/>
      <c r="K1" s="144"/>
      <c r="L1" s="144"/>
    </row>
    <row r="2" spans="1:13" ht="38.4" x14ac:dyDescent="0.7">
      <c r="A2" s="146"/>
      <c r="B2" s="144"/>
      <c r="C2" s="147" t="s">
        <v>740</v>
      </c>
      <c r="D2" s="144"/>
      <c r="E2" s="144"/>
      <c r="F2" s="144"/>
      <c r="G2" s="144"/>
      <c r="H2" s="144"/>
      <c r="I2" s="144"/>
      <c r="J2" s="144"/>
      <c r="K2" s="144"/>
      <c r="L2" s="144"/>
      <c r="M2" s="145">
        <f>10^6</f>
        <v>1000000</v>
      </c>
    </row>
    <row r="3" spans="1:13" ht="14.25" customHeight="1" x14ac:dyDescent="0.3">
      <c r="C3" s="148" t="s">
        <v>741</v>
      </c>
      <c r="D3" s="149"/>
      <c r="E3" s="149"/>
      <c r="F3" s="150"/>
      <c r="G3" s="149"/>
      <c r="H3" s="149"/>
      <c r="I3" s="150"/>
      <c r="J3" s="149"/>
      <c r="K3" s="149"/>
      <c r="L3" s="150"/>
    </row>
    <row r="4" spans="1:13" ht="9.9" customHeight="1" x14ac:dyDescent="0.3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</row>
    <row r="5" spans="1:13" ht="15.9" customHeight="1" x14ac:dyDescent="0.3">
      <c r="A5" s="1924" t="s">
        <v>742</v>
      </c>
      <c r="B5" s="1926" t="s">
        <v>743</v>
      </c>
      <c r="C5" s="1926"/>
      <c r="D5" s="1928">
        <f>+Cover!Y18</f>
        <v>44926</v>
      </c>
      <c r="E5" s="1929"/>
      <c r="F5" s="1929"/>
      <c r="G5" s="1928">
        <f>+Cover!Y16</f>
        <v>44562</v>
      </c>
      <c r="H5" s="1929"/>
      <c r="I5" s="1929"/>
      <c r="J5" s="1930" t="s">
        <v>744</v>
      </c>
      <c r="K5" s="1931"/>
      <c r="L5" s="1931"/>
    </row>
    <row r="6" spans="1:13" ht="15.9" customHeight="1" x14ac:dyDescent="0.3">
      <c r="A6" s="1925"/>
      <c r="B6" s="1927"/>
      <c r="C6" s="1927"/>
      <c r="D6" s="152" t="s">
        <v>745</v>
      </c>
      <c r="E6" s="153" t="s">
        <v>746</v>
      </c>
      <c r="F6" s="154" t="s">
        <v>747</v>
      </c>
      <c r="G6" s="152" t="s">
        <v>745</v>
      </c>
      <c r="H6" s="153" t="s">
        <v>746</v>
      </c>
      <c r="I6" s="154" t="s">
        <v>747</v>
      </c>
      <c r="J6" s="155" t="s">
        <v>745</v>
      </c>
      <c r="K6" s="156" t="s">
        <v>746</v>
      </c>
      <c r="L6" s="157" t="s">
        <v>747</v>
      </c>
    </row>
    <row r="7" spans="1:13" x14ac:dyDescent="0.3">
      <c r="A7" s="158"/>
      <c r="B7" s="159"/>
      <c r="C7" s="160"/>
      <c r="D7" s="161"/>
      <c r="E7" s="162"/>
      <c r="F7" s="163"/>
      <c r="G7" s="161"/>
      <c r="H7" s="162"/>
      <c r="I7" s="164"/>
      <c r="J7" s="165">
        <f t="shared" ref="J7:M15" si="0">+D7-G7</f>
        <v>0</v>
      </c>
      <c r="K7" s="166">
        <f t="shared" si="0"/>
        <v>0</v>
      </c>
      <c r="L7" s="167">
        <f t="shared" si="0"/>
        <v>0</v>
      </c>
    </row>
    <row r="8" spans="1:13" x14ac:dyDescent="0.3">
      <c r="A8" s="168" t="s">
        <v>748</v>
      </c>
      <c r="B8" s="169" t="s">
        <v>749</v>
      </c>
      <c r="C8" s="170"/>
      <c r="D8" s="171">
        <f>+D9+D10</f>
        <v>0</v>
      </c>
      <c r="E8" s="172">
        <f>+E9+E10</f>
        <v>0</v>
      </c>
      <c r="F8" s="173">
        <f>D8-E8</f>
        <v>0</v>
      </c>
      <c r="G8" s="171">
        <f>+G9+G10</f>
        <v>0</v>
      </c>
      <c r="H8" s="172">
        <f>+H9+H10</f>
        <v>0</v>
      </c>
      <c r="I8" s="174">
        <f>G8-H8</f>
        <v>0</v>
      </c>
      <c r="J8" s="175">
        <f t="shared" si="0"/>
        <v>0</v>
      </c>
      <c r="K8" s="176">
        <f t="shared" si="0"/>
        <v>0</v>
      </c>
      <c r="L8" s="177">
        <f t="shared" si="0"/>
        <v>0</v>
      </c>
      <c r="M8" s="177">
        <f t="shared" si="0"/>
        <v>0</v>
      </c>
    </row>
    <row r="9" spans="1:13" x14ac:dyDescent="0.3">
      <c r="A9" s="178" t="s">
        <v>750</v>
      </c>
      <c r="B9" s="179" t="s">
        <v>751</v>
      </c>
      <c r="C9" s="180"/>
      <c r="D9" s="181">
        <v>0</v>
      </c>
      <c r="E9" s="182"/>
      <c r="F9" s="183">
        <f t="shared" ref="F9:F25" si="1">D9-E9</f>
        <v>0</v>
      </c>
      <c r="G9" s="181">
        <v>0</v>
      </c>
      <c r="H9" s="182"/>
      <c r="I9" s="184">
        <f t="shared" ref="I9:I25" si="2">G9-H9</f>
        <v>0</v>
      </c>
      <c r="J9" s="185">
        <f t="shared" si="0"/>
        <v>0</v>
      </c>
      <c r="K9" s="186">
        <f t="shared" si="0"/>
        <v>0</v>
      </c>
      <c r="L9" s="187">
        <f>+F9-I9</f>
        <v>0</v>
      </c>
      <c r="M9" s="187">
        <f>+G9-J9</f>
        <v>0</v>
      </c>
    </row>
    <row r="10" spans="1:13" x14ac:dyDescent="0.3">
      <c r="A10" s="178" t="s">
        <v>752</v>
      </c>
      <c r="B10" s="188" t="s">
        <v>753</v>
      </c>
      <c r="C10" s="189"/>
      <c r="D10" s="181"/>
      <c r="E10" s="190"/>
      <c r="F10" s="183">
        <f t="shared" si="1"/>
        <v>0</v>
      </c>
      <c r="G10" s="181"/>
      <c r="H10" s="190"/>
      <c r="I10" s="184">
        <f t="shared" si="2"/>
        <v>0</v>
      </c>
      <c r="J10" s="185">
        <f t="shared" si="0"/>
        <v>0</v>
      </c>
      <c r="K10" s="186">
        <f t="shared" si="0"/>
        <v>0</v>
      </c>
      <c r="L10" s="187">
        <f t="shared" si="0"/>
        <v>0</v>
      </c>
      <c r="M10" s="187">
        <f t="shared" si="0"/>
        <v>0</v>
      </c>
    </row>
    <row r="11" spans="1:13" s="201" customFormat="1" x14ac:dyDescent="0.3">
      <c r="A11" s="191" t="s">
        <v>754</v>
      </c>
      <c r="B11" s="192" t="s">
        <v>755</v>
      </c>
      <c r="C11" s="193"/>
      <c r="D11" s="194">
        <f>+SUM(D12:D15)</f>
        <v>146520173576</v>
      </c>
      <c r="E11" s="195">
        <f>+SUM(E12:E15)</f>
        <v>107413659810</v>
      </c>
      <c r="F11" s="196">
        <f t="shared" si="1"/>
        <v>39106513766</v>
      </c>
      <c r="G11" s="194">
        <f>+SUM(G12:G15)</f>
        <v>146520173576</v>
      </c>
      <c r="H11" s="195">
        <f>+SUM(H12:H15)</f>
        <v>107413659810</v>
      </c>
      <c r="I11" s="197">
        <f t="shared" si="2"/>
        <v>39106513766</v>
      </c>
      <c r="J11" s="198">
        <f>+D11-G11</f>
        <v>0</v>
      </c>
      <c r="K11" s="199">
        <f>+E11-H11</f>
        <v>0</v>
      </c>
      <c r="L11" s="200">
        <f>+F11-I11</f>
        <v>0</v>
      </c>
      <c r="M11" s="200">
        <f>+G11-J11</f>
        <v>146520173576</v>
      </c>
    </row>
    <row r="12" spans="1:13" x14ac:dyDescent="0.3">
      <c r="A12" s="178" t="s">
        <v>756</v>
      </c>
      <c r="B12" s="179" t="s">
        <v>757</v>
      </c>
      <c r="C12" s="180"/>
      <c r="D12" s="181"/>
      <c r="E12" s="182"/>
      <c r="F12" s="183">
        <f t="shared" si="1"/>
        <v>0</v>
      </c>
      <c r="G12" s="181"/>
      <c r="H12" s="182"/>
      <c r="I12" s="184">
        <f t="shared" si="2"/>
        <v>0</v>
      </c>
      <c r="J12" s="202">
        <f t="shared" si="0"/>
        <v>0</v>
      </c>
      <c r="K12" s="203">
        <f t="shared" si="0"/>
        <v>0</v>
      </c>
      <c r="L12" s="187">
        <f t="shared" si="0"/>
        <v>0</v>
      </c>
      <c r="M12" s="187">
        <f t="shared" si="0"/>
        <v>0</v>
      </c>
    </row>
    <row r="13" spans="1:13" x14ac:dyDescent="0.3">
      <c r="A13" s="178" t="s">
        <v>758</v>
      </c>
      <c r="B13" s="179" t="s">
        <v>759</v>
      </c>
      <c r="C13" s="180"/>
      <c r="D13" s="181">
        <f>[152]ACTIF!$D$12</f>
        <v>146520173576</v>
      </c>
      <c r="E13" s="182">
        <f>[152]ACTIF!$E$12</f>
        <v>107413659810</v>
      </c>
      <c r="F13" s="183">
        <f t="shared" si="1"/>
        <v>39106513766</v>
      </c>
      <c r="G13" s="181">
        <f>[152]ACTIF!$D$12</f>
        <v>146520173576</v>
      </c>
      <c r="H13" s="182">
        <f>[152]ACTIF!$E$12</f>
        <v>107413659810</v>
      </c>
      <c r="I13" s="184">
        <f t="shared" si="2"/>
        <v>39106513766</v>
      </c>
      <c r="J13" s="202">
        <f>+D13-G13</f>
        <v>0</v>
      </c>
      <c r="K13" s="203">
        <f>+E13-H13</f>
        <v>0</v>
      </c>
      <c r="L13" s="187">
        <f>+F13-I13</f>
        <v>0</v>
      </c>
      <c r="M13" s="187">
        <f>+G13-J13</f>
        <v>146520173576</v>
      </c>
    </row>
    <row r="14" spans="1:13" x14ac:dyDescent="0.3">
      <c r="A14" s="178" t="s">
        <v>760</v>
      </c>
      <c r="B14" s="179" t="s">
        <v>761</v>
      </c>
      <c r="C14" s="180"/>
      <c r="D14" s="181"/>
      <c r="E14" s="182"/>
      <c r="F14" s="183">
        <f t="shared" si="1"/>
        <v>0</v>
      </c>
      <c r="G14" s="181"/>
      <c r="H14" s="182"/>
      <c r="I14" s="184">
        <f t="shared" si="2"/>
        <v>0</v>
      </c>
      <c r="J14" s="202">
        <f t="shared" si="0"/>
        <v>0</v>
      </c>
      <c r="K14" s="203"/>
      <c r="L14" s="187">
        <f t="shared" si="0"/>
        <v>0</v>
      </c>
      <c r="M14" s="187">
        <f t="shared" si="0"/>
        <v>0</v>
      </c>
    </row>
    <row r="15" spans="1:13" x14ac:dyDescent="0.3">
      <c r="A15" s="178" t="s">
        <v>762</v>
      </c>
      <c r="B15" s="204" t="s">
        <v>763</v>
      </c>
      <c r="C15" s="205"/>
      <c r="D15" s="181"/>
      <c r="E15" s="182"/>
      <c r="F15" s="183">
        <f t="shared" si="1"/>
        <v>0</v>
      </c>
      <c r="G15" s="181"/>
      <c r="H15" s="182"/>
      <c r="I15" s="184">
        <f t="shared" si="2"/>
        <v>0</v>
      </c>
      <c r="J15" s="202">
        <f t="shared" si="0"/>
        <v>0</v>
      </c>
      <c r="K15" s="203">
        <f t="shared" si="0"/>
        <v>0</v>
      </c>
      <c r="L15" s="187">
        <f t="shared" si="0"/>
        <v>0</v>
      </c>
      <c r="M15" s="187">
        <f t="shared" si="0"/>
        <v>0</v>
      </c>
    </row>
    <row r="16" spans="1:13" s="201" customFormat="1" x14ac:dyDescent="0.3">
      <c r="A16" s="191" t="s">
        <v>764</v>
      </c>
      <c r="B16" s="206" t="s">
        <v>765</v>
      </c>
      <c r="C16" s="207"/>
      <c r="D16" s="194">
        <f>SUM(D17:D22)</f>
        <v>179709685658</v>
      </c>
      <c r="E16" s="195">
        <f>SUM(E17:E22)</f>
        <v>113100503569</v>
      </c>
      <c r="F16" s="196">
        <f>D16-E16</f>
        <v>66609182089</v>
      </c>
      <c r="G16" s="194">
        <f>SUM(G17:G22)</f>
        <v>179709685658</v>
      </c>
      <c r="H16" s="195">
        <f>SUM(H17:H22)</f>
        <v>113100503569</v>
      </c>
      <c r="I16" s="197">
        <f t="shared" si="2"/>
        <v>66609182089</v>
      </c>
      <c r="J16" s="198">
        <f>SUM(J17:J22)</f>
        <v>0</v>
      </c>
      <c r="K16" s="199">
        <f>SUM(K17:K22)</f>
        <v>0</v>
      </c>
      <c r="L16" s="200">
        <f>SUM(L17:L22)</f>
        <v>0</v>
      </c>
      <c r="M16" s="200">
        <f>SUM(M17:M22)</f>
        <v>179709685658</v>
      </c>
    </row>
    <row r="17" spans="1:13" x14ac:dyDescent="0.3">
      <c r="A17" s="178" t="s">
        <v>766</v>
      </c>
      <c r="B17" s="179" t="s">
        <v>767</v>
      </c>
      <c r="C17" s="180"/>
      <c r="D17" s="181">
        <f>[152]ACTIF!$D$16</f>
        <v>3170092329</v>
      </c>
      <c r="E17" s="181">
        <f>[152]ACTIF!$E$16</f>
        <v>0</v>
      </c>
      <c r="F17" s="183">
        <f t="shared" si="1"/>
        <v>3170092329</v>
      </c>
      <c r="G17" s="181">
        <f>[152]ACTIF!$D$16</f>
        <v>3170092329</v>
      </c>
      <c r="H17" s="181">
        <f>[152]ACTIF!$E$16</f>
        <v>0</v>
      </c>
      <c r="I17" s="184">
        <f t="shared" si="2"/>
        <v>3170092329</v>
      </c>
      <c r="J17" s="202">
        <f t="shared" ref="J17:M34" si="3">+D17-G17</f>
        <v>0</v>
      </c>
      <c r="K17" s="203">
        <f t="shared" si="3"/>
        <v>0</v>
      </c>
      <c r="L17" s="187">
        <f t="shared" si="3"/>
        <v>0</v>
      </c>
      <c r="M17" s="187">
        <f t="shared" si="3"/>
        <v>3170092329</v>
      </c>
    </row>
    <row r="18" spans="1:13" x14ac:dyDescent="0.3">
      <c r="A18" s="178" t="s">
        <v>768</v>
      </c>
      <c r="B18" s="179" t="s">
        <v>769</v>
      </c>
      <c r="C18" s="180"/>
      <c r="D18" s="181">
        <f>[152]ACTIF!$D$18</f>
        <v>1675459071</v>
      </c>
      <c r="E18" s="181">
        <f>[152]ACTIF!$E$18</f>
        <v>53350355</v>
      </c>
      <c r="F18" s="183">
        <f t="shared" si="1"/>
        <v>1622108716</v>
      </c>
      <c r="G18" s="181">
        <f>[152]ACTIF!$D$18</f>
        <v>1675459071</v>
      </c>
      <c r="H18" s="181">
        <f>[152]ACTIF!$E$18</f>
        <v>53350355</v>
      </c>
      <c r="I18" s="184">
        <f t="shared" si="2"/>
        <v>1622108716</v>
      </c>
      <c r="J18" s="202">
        <f t="shared" si="3"/>
        <v>0</v>
      </c>
      <c r="K18" s="203">
        <f t="shared" si="3"/>
        <v>0</v>
      </c>
      <c r="L18" s="187">
        <f t="shared" si="3"/>
        <v>0</v>
      </c>
      <c r="M18" s="187">
        <f t="shared" si="3"/>
        <v>1675459071</v>
      </c>
    </row>
    <row r="19" spans="1:13" x14ac:dyDescent="0.3">
      <c r="A19" s="178" t="s">
        <v>770</v>
      </c>
      <c r="B19" s="179" t="s">
        <v>771</v>
      </c>
      <c r="C19" s="180"/>
      <c r="D19" s="181">
        <f>[152]ACTIF!$D$20</f>
        <v>61892732272</v>
      </c>
      <c r="E19" s="181">
        <f>[152]ACTIF!$E$20</f>
        <v>41823483292</v>
      </c>
      <c r="F19" s="183">
        <f t="shared" si="1"/>
        <v>20069248980</v>
      </c>
      <c r="G19" s="181">
        <f>[152]ACTIF!$D$20</f>
        <v>61892732272</v>
      </c>
      <c r="H19" s="181">
        <f>[152]ACTIF!$E$20</f>
        <v>41823483292</v>
      </c>
      <c r="I19" s="184">
        <f t="shared" si="2"/>
        <v>20069248980</v>
      </c>
      <c r="J19" s="202">
        <f>+D19-G19</f>
        <v>0</v>
      </c>
      <c r="K19" s="203">
        <f t="shared" si="3"/>
        <v>0</v>
      </c>
      <c r="L19" s="187">
        <f t="shared" si="3"/>
        <v>0</v>
      </c>
      <c r="M19" s="187">
        <f t="shared" si="3"/>
        <v>61892732272</v>
      </c>
    </row>
    <row r="20" spans="1:13" x14ac:dyDescent="0.3">
      <c r="A20" s="178" t="s">
        <v>772</v>
      </c>
      <c r="B20" s="179" t="s">
        <v>773</v>
      </c>
      <c r="C20" s="180"/>
      <c r="D20" s="181">
        <f>[152]ACTIF!$D$21</f>
        <v>111780777995</v>
      </c>
      <c r="E20" s="181">
        <f>[152]ACTIF!$E$21</f>
        <v>70508337317</v>
      </c>
      <c r="F20" s="183">
        <f t="shared" si="1"/>
        <v>41272440678</v>
      </c>
      <c r="G20" s="181">
        <f>[152]ACTIF!$D$21</f>
        <v>111780777995</v>
      </c>
      <c r="H20" s="181">
        <f>[152]ACTIF!$E$21</f>
        <v>70508337317</v>
      </c>
      <c r="I20" s="184">
        <f t="shared" si="2"/>
        <v>41272440678</v>
      </c>
      <c r="J20" s="202">
        <f>+D20-G20</f>
        <v>0</v>
      </c>
      <c r="K20" s="203">
        <f t="shared" si="3"/>
        <v>0</v>
      </c>
      <c r="L20" s="187">
        <f t="shared" si="3"/>
        <v>0</v>
      </c>
      <c r="M20" s="187">
        <f t="shared" si="3"/>
        <v>111780777995</v>
      </c>
    </row>
    <row r="21" spans="1:13" x14ac:dyDescent="0.3">
      <c r="A21" s="178" t="s">
        <v>774</v>
      </c>
      <c r="B21" s="179" t="s">
        <v>775</v>
      </c>
      <c r="C21" s="180"/>
      <c r="D21" s="181">
        <f>[152]ACTIF!$D$22</f>
        <v>715895198</v>
      </c>
      <c r="E21" s="181">
        <f>[152]ACTIF!$E$22</f>
        <v>715332605</v>
      </c>
      <c r="F21" s="183">
        <f t="shared" si="1"/>
        <v>562593</v>
      </c>
      <c r="G21" s="181">
        <f>[152]ACTIF!$D$22</f>
        <v>715895198</v>
      </c>
      <c r="H21" s="181">
        <f>[152]ACTIF!$E$22</f>
        <v>715332605</v>
      </c>
      <c r="I21" s="184">
        <f t="shared" si="2"/>
        <v>562593</v>
      </c>
      <c r="J21" s="202">
        <f>+D21-G21</f>
        <v>0</v>
      </c>
      <c r="K21" s="203">
        <f t="shared" si="3"/>
        <v>0</v>
      </c>
      <c r="L21" s="187">
        <f t="shared" si="3"/>
        <v>0</v>
      </c>
      <c r="M21" s="187">
        <f t="shared" si="3"/>
        <v>715895198</v>
      </c>
    </row>
    <row r="22" spans="1:13" x14ac:dyDescent="0.3">
      <c r="A22" s="178" t="s">
        <v>776</v>
      </c>
      <c r="B22" s="204" t="s">
        <v>777</v>
      </c>
      <c r="C22" s="205"/>
      <c r="D22" s="181">
        <f>[152]ACTIF!$D$23</f>
        <v>474728793</v>
      </c>
      <c r="E22" s="182"/>
      <c r="F22" s="183">
        <f t="shared" si="1"/>
        <v>474728793</v>
      </c>
      <c r="G22" s="181">
        <f>[152]ACTIF!$D$23</f>
        <v>474728793</v>
      </c>
      <c r="H22" s="182"/>
      <c r="I22" s="184">
        <f t="shared" si="2"/>
        <v>474728793</v>
      </c>
      <c r="J22" s="202">
        <f t="shared" si="3"/>
        <v>0</v>
      </c>
      <c r="K22" s="203">
        <f t="shared" si="3"/>
        <v>0</v>
      </c>
      <c r="L22" s="187">
        <f t="shared" si="3"/>
        <v>0</v>
      </c>
      <c r="M22" s="187">
        <f t="shared" si="3"/>
        <v>474728793</v>
      </c>
    </row>
    <row r="23" spans="1:13" s="201" customFormat="1" x14ac:dyDescent="0.3">
      <c r="A23" s="191" t="s">
        <v>778</v>
      </c>
      <c r="B23" s="206" t="s">
        <v>779</v>
      </c>
      <c r="C23" s="207"/>
      <c r="D23" s="194">
        <f>SUM(D24:D25)</f>
        <v>732076630</v>
      </c>
      <c r="E23" s="195">
        <f>SUM(E24:E25)</f>
        <v>0</v>
      </c>
      <c r="F23" s="196">
        <f t="shared" si="1"/>
        <v>732076630</v>
      </c>
      <c r="G23" s="194">
        <f>SUM(G24:G25)</f>
        <v>732076630</v>
      </c>
      <c r="H23" s="195">
        <f>SUM(H24:H25)</f>
        <v>0</v>
      </c>
      <c r="I23" s="197">
        <f t="shared" si="2"/>
        <v>732076630</v>
      </c>
      <c r="J23" s="198">
        <f>SUM(J24:J25)</f>
        <v>0</v>
      </c>
      <c r="K23" s="199">
        <f>SUM(K24:K25)</f>
        <v>0</v>
      </c>
      <c r="L23" s="200">
        <f>SUM(L24:L25)</f>
        <v>0</v>
      </c>
      <c r="M23" s="200">
        <f>SUM(M24:M25)</f>
        <v>732076630</v>
      </c>
    </row>
    <row r="24" spans="1:13" x14ac:dyDescent="0.3">
      <c r="A24" s="178" t="s">
        <v>780</v>
      </c>
      <c r="B24" s="179" t="s">
        <v>781</v>
      </c>
      <c r="C24" s="180"/>
      <c r="D24" s="181">
        <f>[152]ACTIF!$D$25</f>
        <v>0</v>
      </c>
      <c r="E24" s="182"/>
      <c r="F24" s="183">
        <f t="shared" si="1"/>
        <v>0</v>
      </c>
      <c r="G24" s="181">
        <f>[152]ACTIF!$D$25</f>
        <v>0</v>
      </c>
      <c r="H24" s="182"/>
      <c r="I24" s="184">
        <f t="shared" si="2"/>
        <v>0</v>
      </c>
      <c r="J24" s="202">
        <f>+D24-G24</f>
        <v>0</v>
      </c>
      <c r="K24" s="203">
        <f t="shared" si="3"/>
        <v>0</v>
      </c>
      <c r="L24" s="187">
        <f t="shared" si="3"/>
        <v>0</v>
      </c>
      <c r="M24" s="187">
        <f t="shared" si="3"/>
        <v>0</v>
      </c>
    </row>
    <row r="25" spans="1:13" x14ac:dyDescent="0.3">
      <c r="A25" s="178" t="s">
        <v>782</v>
      </c>
      <c r="B25" s="179" t="s">
        <v>783</v>
      </c>
      <c r="C25" s="180"/>
      <c r="D25" s="208">
        <f>[152]ACTIF!$D$26</f>
        <v>732076630</v>
      </c>
      <c r="E25" s="209"/>
      <c r="F25" s="210">
        <f t="shared" si="1"/>
        <v>732076630</v>
      </c>
      <c r="G25" s="208">
        <f>[152]ACTIF!$D$26</f>
        <v>732076630</v>
      </c>
      <c r="H25" s="209"/>
      <c r="I25" s="211">
        <f t="shared" si="2"/>
        <v>732076630</v>
      </c>
      <c r="J25" s="212">
        <f>+D25-G25</f>
        <v>0</v>
      </c>
      <c r="K25" s="213">
        <f t="shared" si="3"/>
        <v>0</v>
      </c>
      <c r="L25" s="214">
        <f>+F25-I25</f>
        <v>0</v>
      </c>
      <c r="M25" s="214">
        <f>+G25-J25</f>
        <v>732076630</v>
      </c>
    </row>
    <row r="26" spans="1:13" ht="15" customHeight="1" x14ac:dyDescent="0.3">
      <c r="A26" s="215" t="s">
        <v>784</v>
      </c>
      <c r="B26" s="216" t="s">
        <v>785</v>
      </c>
      <c r="C26" s="217"/>
      <c r="D26" s="218">
        <f t="shared" ref="D26:I26" si="4">+D23+D16+D11+D8</f>
        <v>326961935864</v>
      </c>
      <c r="E26" s="219">
        <f t="shared" si="4"/>
        <v>220514163379</v>
      </c>
      <c r="F26" s="220">
        <f t="shared" si="4"/>
        <v>106447772485</v>
      </c>
      <c r="G26" s="218">
        <f t="shared" si="4"/>
        <v>326961935864</v>
      </c>
      <c r="H26" s="219">
        <f t="shared" si="4"/>
        <v>220514163379</v>
      </c>
      <c r="I26" s="220">
        <f t="shared" si="4"/>
        <v>106447772485</v>
      </c>
      <c r="J26" s="221">
        <f>+D26-G26</f>
        <v>0</v>
      </c>
      <c r="K26" s="219">
        <f>+E26-H26</f>
        <v>0</v>
      </c>
      <c r="L26" s="220">
        <f>+F26-I26</f>
        <v>0</v>
      </c>
      <c r="M26" s="220">
        <f>+G26-J26</f>
        <v>326961935864</v>
      </c>
    </row>
    <row r="27" spans="1:13" s="201" customFormat="1" x14ac:dyDescent="0.3">
      <c r="A27" s="222"/>
      <c r="B27" s="169" t="s">
        <v>786</v>
      </c>
      <c r="C27" s="170"/>
      <c r="D27" s="223"/>
      <c r="E27" s="224"/>
      <c r="F27" s="225"/>
      <c r="G27" s="223"/>
      <c r="H27" s="224"/>
      <c r="I27" s="225"/>
      <c r="J27" s="226">
        <f t="shared" si="3"/>
        <v>0</v>
      </c>
      <c r="K27" s="224">
        <f t="shared" si="3"/>
        <v>0</v>
      </c>
      <c r="L27" s="225">
        <f t="shared" si="3"/>
        <v>0</v>
      </c>
      <c r="M27" s="225">
        <f t="shared" si="3"/>
        <v>0</v>
      </c>
    </row>
    <row r="28" spans="1:13" s="201" customFormat="1" x14ac:dyDescent="0.3">
      <c r="A28" s="191" t="s">
        <v>787</v>
      </c>
      <c r="B28" s="169" t="s">
        <v>788</v>
      </c>
      <c r="C28" s="170"/>
      <c r="D28" s="227">
        <f>[152]ACTIF!$D$28</f>
        <v>1307827431</v>
      </c>
      <c r="E28" s="228"/>
      <c r="F28" s="229">
        <f t="shared" ref="F28:F38" si="5">D28-E28</f>
        <v>1307827431</v>
      </c>
      <c r="G28" s="227">
        <f>[152]ACTIF!$D$28</f>
        <v>1307827431</v>
      </c>
      <c r="H28" s="228"/>
      <c r="I28" s="230">
        <f t="shared" ref="I28:I38" si="6">G28-H28</f>
        <v>1307827431</v>
      </c>
      <c r="J28" s="231">
        <f t="shared" si="3"/>
        <v>0</v>
      </c>
      <c r="K28" s="228">
        <f t="shared" si="3"/>
        <v>0</v>
      </c>
      <c r="L28" s="230">
        <f t="shared" si="3"/>
        <v>0</v>
      </c>
      <c r="M28" s="230">
        <f t="shared" si="3"/>
        <v>1307827431</v>
      </c>
    </row>
    <row r="29" spans="1:13" s="201" customFormat="1" x14ac:dyDescent="0.3">
      <c r="A29" s="191" t="s">
        <v>789</v>
      </c>
      <c r="B29" s="169" t="s">
        <v>790</v>
      </c>
      <c r="C29" s="170"/>
      <c r="D29" s="232">
        <f>[152]ACTIF!$D$29</f>
        <v>2986894192</v>
      </c>
      <c r="E29" s="233">
        <f>[152]ACTIF!$E$29</f>
        <v>539720702</v>
      </c>
      <c r="F29" s="234">
        <f t="shared" si="5"/>
        <v>2447173490</v>
      </c>
      <c r="G29" s="232">
        <f>[152]ACTIF!$D$29</f>
        <v>2986894192</v>
      </c>
      <c r="H29" s="233">
        <f>[152]ACTIF!$E$29</f>
        <v>539720702</v>
      </c>
      <c r="I29" s="234">
        <f t="shared" si="6"/>
        <v>2447173490</v>
      </c>
      <c r="J29" s="235">
        <f t="shared" si="3"/>
        <v>0</v>
      </c>
      <c r="K29" s="233">
        <f t="shared" si="3"/>
        <v>0</v>
      </c>
      <c r="L29" s="234">
        <f t="shared" si="3"/>
        <v>0</v>
      </c>
      <c r="M29" s="234">
        <f t="shared" si="3"/>
        <v>2986894192</v>
      </c>
    </row>
    <row r="30" spans="1:13" x14ac:dyDescent="0.3">
      <c r="A30" s="178" t="s">
        <v>791</v>
      </c>
      <c r="B30" s="179" t="s">
        <v>792</v>
      </c>
      <c r="C30" s="180"/>
      <c r="D30" s="236"/>
      <c r="E30" s="237"/>
      <c r="F30" s="238">
        <f t="shared" si="5"/>
        <v>0</v>
      </c>
      <c r="G30" s="236"/>
      <c r="H30" s="237"/>
      <c r="I30" s="238">
        <f t="shared" si="6"/>
        <v>0</v>
      </c>
      <c r="J30" s="239">
        <f t="shared" si="3"/>
        <v>0</v>
      </c>
      <c r="K30" s="237">
        <f t="shared" si="3"/>
        <v>0</v>
      </c>
      <c r="L30" s="238">
        <f t="shared" si="3"/>
        <v>0</v>
      </c>
      <c r="M30" s="238">
        <f t="shared" si="3"/>
        <v>0</v>
      </c>
    </row>
    <row r="31" spans="1:13" x14ac:dyDescent="0.3">
      <c r="A31" s="178" t="s">
        <v>793</v>
      </c>
      <c r="B31" s="179" t="s">
        <v>794</v>
      </c>
      <c r="C31" s="180"/>
      <c r="D31" s="236"/>
      <c r="E31" s="237"/>
      <c r="F31" s="238">
        <f t="shared" si="5"/>
        <v>0</v>
      </c>
      <c r="G31" s="236"/>
      <c r="H31" s="237"/>
      <c r="I31" s="238">
        <f t="shared" si="6"/>
        <v>0</v>
      </c>
      <c r="J31" s="239">
        <f t="shared" si="3"/>
        <v>0</v>
      </c>
      <c r="K31" s="237">
        <f t="shared" si="3"/>
        <v>0</v>
      </c>
      <c r="L31" s="238">
        <f t="shared" si="3"/>
        <v>0</v>
      </c>
      <c r="M31" s="238">
        <f t="shared" si="3"/>
        <v>0</v>
      </c>
    </row>
    <row r="32" spans="1:13" x14ac:dyDescent="0.3">
      <c r="A32" s="178"/>
      <c r="B32" s="179" t="s">
        <v>795</v>
      </c>
      <c r="C32" s="180"/>
      <c r="D32" s="236"/>
      <c r="E32" s="237"/>
      <c r="F32" s="238">
        <f t="shared" si="5"/>
        <v>0</v>
      </c>
      <c r="G32" s="236"/>
      <c r="H32" s="237"/>
      <c r="I32" s="238">
        <f t="shared" si="6"/>
        <v>0</v>
      </c>
      <c r="J32" s="239">
        <f t="shared" si="3"/>
        <v>0</v>
      </c>
      <c r="K32" s="237">
        <f t="shared" si="3"/>
        <v>0</v>
      </c>
      <c r="L32" s="238">
        <f t="shared" si="3"/>
        <v>0</v>
      </c>
      <c r="M32" s="238">
        <f t="shared" si="3"/>
        <v>0</v>
      </c>
    </row>
    <row r="33" spans="1:13" x14ac:dyDescent="0.3">
      <c r="A33" s="178" t="s">
        <v>796</v>
      </c>
      <c r="B33" s="179" t="s">
        <v>797</v>
      </c>
      <c r="C33" s="180"/>
      <c r="D33" s="236"/>
      <c r="E33" s="237"/>
      <c r="F33" s="238">
        <f t="shared" si="5"/>
        <v>0</v>
      </c>
      <c r="G33" s="236"/>
      <c r="H33" s="237"/>
      <c r="I33" s="238">
        <f t="shared" si="6"/>
        <v>0</v>
      </c>
      <c r="J33" s="239">
        <f t="shared" si="3"/>
        <v>0</v>
      </c>
      <c r="K33" s="237">
        <f t="shared" si="3"/>
        <v>0</v>
      </c>
      <c r="L33" s="238">
        <f t="shared" si="3"/>
        <v>0</v>
      </c>
      <c r="M33" s="238">
        <f t="shared" si="3"/>
        <v>0</v>
      </c>
    </row>
    <row r="34" spans="1:13" x14ac:dyDescent="0.3">
      <c r="A34" s="178" t="s">
        <v>798</v>
      </c>
      <c r="B34" s="204" t="s">
        <v>799</v>
      </c>
      <c r="C34" s="205"/>
      <c r="D34" s="236"/>
      <c r="E34" s="237"/>
      <c r="F34" s="238">
        <f t="shared" si="5"/>
        <v>0</v>
      </c>
      <c r="G34" s="236"/>
      <c r="H34" s="237"/>
      <c r="I34" s="238">
        <f t="shared" si="6"/>
        <v>0</v>
      </c>
      <c r="J34" s="239">
        <f t="shared" si="3"/>
        <v>0</v>
      </c>
      <c r="K34" s="237">
        <f t="shared" si="3"/>
        <v>0</v>
      </c>
      <c r="L34" s="238">
        <f t="shared" si="3"/>
        <v>0</v>
      </c>
      <c r="M34" s="238">
        <f t="shared" si="3"/>
        <v>0</v>
      </c>
    </row>
    <row r="35" spans="1:13" s="201" customFormat="1" x14ac:dyDescent="0.3">
      <c r="A35" s="191" t="s">
        <v>800</v>
      </c>
      <c r="B35" s="169" t="s">
        <v>801</v>
      </c>
      <c r="C35" s="170"/>
      <c r="D35" s="232">
        <f>+SUM(D36:D38)</f>
        <v>41680074289</v>
      </c>
      <c r="E35" s="233">
        <f>+SUM(E36:E38)</f>
        <v>4197508048</v>
      </c>
      <c r="F35" s="234">
        <f t="shared" si="5"/>
        <v>37482566241</v>
      </c>
      <c r="G35" s="232">
        <f>+SUM(G36:G38)</f>
        <v>41680074289</v>
      </c>
      <c r="H35" s="233">
        <f>+SUM(H36:H38)</f>
        <v>4197508048</v>
      </c>
      <c r="I35" s="234">
        <f t="shared" si="6"/>
        <v>37482566241</v>
      </c>
      <c r="J35" s="235">
        <f t="shared" ref="J35:M39" si="7">+D35-G35</f>
        <v>0</v>
      </c>
      <c r="K35" s="233">
        <f t="shared" si="7"/>
        <v>0</v>
      </c>
      <c r="L35" s="234">
        <f t="shared" si="7"/>
        <v>0</v>
      </c>
      <c r="M35" s="234">
        <f t="shared" si="7"/>
        <v>41680074289</v>
      </c>
    </row>
    <row r="36" spans="1:13" x14ac:dyDescent="0.3">
      <c r="A36" s="178" t="s">
        <v>802</v>
      </c>
      <c r="B36" s="240" t="s">
        <v>803</v>
      </c>
      <c r="C36" s="180"/>
      <c r="D36" s="236">
        <f>+[152]ACTIF!$D$31</f>
        <v>1657769200</v>
      </c>
      <c r="E36" s="237"/>
      <c r="F36" s="241">
        <f t="shared" si="5"/>
        <v>1657769200</v>
      </c>
      <c r="G36" s="236">
        <f>+[152]ACTIF!$D$31</f>
        <v>1657769200</v>
      </c>
      <c r="H36" s="237"/>
      <c r="I36" s="238">
        <f t="shared" si="6"/>
        <v>1657769200</v>
      </c>
      <c r="J36" s="239">
        <f t="shared" si="7"/>
        <v>0</v>
      </c>
      <c r="K36" s="237">
        <f t="shared" si="7"/>
        <v>0</v>
      </c>
      <c r="L36" s="238">
        <f t="shared" si="7"/>
        <v>0</v>
      </c>
      <c r="M36" s="238">
        <f t="shared" si="7"/>
        <v>1657769200</v>
      </c>
    </row>
    <row r="37" spans="1:13" x14ac:dyDescent="0.3">
      <c r="A37" s="178" t="s">
        <v>804</v>
      </c>
      <c r="B37" s="179" t="s">
        <v>805</v>
      </c>
      <c r="C37" s="180"/>
      <c r="D37" s="236">
        <f>+[152]ACTIF!$D$32</f>
        <v>24885972671</v>
      </c>
      <c r="E37" s="237">
        <f>+[152]ACTIF!$E$32</f>
        <v>4197508048</v>
      </c>
      <c r="F37" s="241">
        <f t="shared" si="5"/>
        <v>20688464623</v>
      </c>
      <c r="G37" s="236">
        <f>+[152]ACTIF!$D$32</f>
        <v>24885972671</v>
      </c>
      <c r="H37" s="237">
        <f>+[152]ACTIF!$E$32</f>
        <v>4197508048</v>
      </c>
      <c r="I37" s="238">
        <f t="shared" si="6"/>
        <v>20688464623</v>
      </c>
      <c r="J37" s="239">
        <f t="shared" si="7"/>
        <v>0</v>
      </c>
      <c r="K37" s="237">
        <f t="shared" si="7"/>
        <v>0</v>
      </c>
      <c r="L37" s="238">
        <f t="shared" si="7"/>
        <v>0</v>
      </c>
      <c r="M37" s="238">
        <f t="shared" si="7"/>
        <v>24885972671</v>
      </c>
    </row>
    <row r="38" spans="1:13" x14ac:dyDescent="0.3">
      <c r="A38" s="178" t="s">
        <v>806</v>
      </c>
      <c r="B38" s="179" t="s">
        <v>807</v>
      </c>
      <c r="C38" s="180"/>
      <c r="D38" s="236">
        <f>+[152]ACTIF!$D$33</f>
        <v>15136332418</v>
      </c>
      <c r="E38" s="242"/>
      <c r="F38" s="243">
        <f t="shared" si="5"/>
        <v>15136332418</v>
      </c>
      <c r="G38" s="236">
        <f>+[152]ACTIF!$D$33</f>
        <v>15136332418</v>
      </c>
      <c r="H38" s="242"/>
      <c r="I38" s="244">
        <f t="shared" si="6"/>
        <v>15136332418</v>
      </c>
      <c r="J38" s="245">
        <f t="shared" si="7"/>
        <v>0</v>
      </c>
      <c r="K38" s="242">
        <f t="shared" si="7"/>
        <v>0</v>
      </c>
      <c r="L38" s="244">
        <f t="shared" si="7"/>
        <v>0</v>
      </c>
      <c r="M38" s="244">
        <f t="shared" si="7"/>
        <v>15136332418</v>
      </c>
    </row>
    <row r="39" spans="1:13" x14ac:dyDescent="0.3">
      <c r="A39" s="215" t="s">
        <v>808</v>
      </c>
      <c r="B39" s="246" t="s">
        <v>809</v>
      </c>
      <c r="C39" s="247"/>
      <c r="D39" s="248">
        <f t="shared" ref="D39:I39" si="8">+D28+D29+D35</f>
        <v>45974795912</v>
      </c>
      <c r="E39" s="249">
        <f t="shared" si="8"/>
        <v>4737228750</v>
      </c>
      <c r="F39" s="250">
        <f t="shared" si="8"/>
        <v>41237567162</v>
      </c>
      <c r="G39" s="248">
        <f t="shared" si="8"/>
        <v>45974795912</v>
      </c>
      <c r="H39" s="249">
        <f t="shared" si="8"/>
        <v>4737228750</v>
      </c>
      <c r="I39" s="250">
        <f t="shared" si="8"/>
        <v>41237567162</v>
      </c>
      <c r="J39" s="251">
        <f t="shared" si="7"/>
        <v>0</v>
      </c>
      <c r="K39" s="249">
        <f t="shared" si="7"/>
        <v>0</v>
      </c>
      <c r="L39" s="250">
        <f t="shared" si="7"/>
        <v>0</v>
      </c>
      <c r="M39" s="250">
        <f t="shared" si="7"/>
        <v>45974795912</v>
      </c>
    </row>
    <row r="40" spans="1:13" s="201" customFormat="1" ht="14.25" customHeight="1" x14ac:dyDescent="0.3">
      <c r="A40" s="191"/>
      <c r="B40" s="169" t="s">
        <v>810</v>
      </c>
      <c r="C40" s="170"/>
      <c r="D40" s="252"/>
      <c r="E40" s="253"/>
      <c r="F40" s="254"/>
      <c r="G40" s="252"/>
      <c r="H40" s="253"/>
      <c r="I40" s="254"/>
      <c r="J40" s="255"/>
      <c r="K40" s="253"/>
      <c r="L40" s="254"/>
      <c r="M40" s="254"/>
    </row>
    <row r="41" spans="1:13" ht="14.25" customHeight="1" x14ac:dyDescent="0.3">
      <c r="A41" s="178" t="s">
        <v>811</v>
      </c>
      <c r="B41" s="179" t="s">
        <v>812</v>
      </c>
      <c r="C41" s="180"/>
      <c r="D41" s="256"/>
      <c r="E41" s="257"/>
      <c r="F41" s="258">
        <f>+D41-E41</f>
        <v>0</v>
      </c>
      <c r="G41" s="256"/>
      <c r="H41" s="257"/>
      <c r="I41" s="258">
        <f>+G41-H41</f>
        <v>0</v>
      </c>
      <c r="J41" s="259">
        <f>+D41-G41</f>
        <v>0</v>
      </c>
      <c r="K41" s="257">
        <f t="shared" ref="J41:M46" si="9">+E41-H41</f>
        <v>0</v>
      </c>
      <c r="L41" s="258">
        <f t="shared" si="9"/>
        <v>0</v>
      </c>
      <c r="M41" s="258">
        <f t="shared" si="9"/>
        <v>0</v>
      </c>
    </row>
    <row r="42" spans="1:13" x14ac:dyDescent="0.3">
      <c r="A42" s="178" t="s">
        <v>813</v>
      </c>
      <c r="B42" s="179" t="s">
        <v>814</v>
      </c>
      <c r="C42" s="180"/>
      <c r="D42" s="236">
        <f>+[152]ACTIF!$D$36</f>
        <v>10472865</v>
      </c>
      <c r="E42" s="237"/>
      <c r="F42" s="238">
        <f>+D42-E42</f>
        <v>10472865</v>
      </c>
      <c r="G42" s="236">
        <f>+[152]ACTIF!$D$36</f>
        <v>10472865</v>
      </c>
      <c r="H42" s="237"/>
      <c r="I42" s="238">
        <f>+G42-H42</f>
        <v>10472865</v>
      </c>
      <c r="J42" s="239">
        <f>+D42-G42</f>
        <v>0</v>
      </c>
      <c r="K42" s="237">
        <f>+E42-H42</f>
        <v>0</v>
      </c>
      <c r="L42" s="238">
        <f t="shared" si="9"/>
        <v>0</v>
      </c>
      <c r="M42" s="238">
        <f t="shared" si="9"/>
        <v>10472865</v>
      </c>
    </row>
    <row r="43" spans="1:13" x14ac:dyDescent="0.3">
      <c r="A43" s="178" t="s">
        <v>815</v>
      </c>
      <c r="B43" s="179" t="s">
        <v>816</v>
      </c>
      <c r="C43" s="180"/>
      <c r="D43" s="236">
        <f>+[152]ACTIF!$D$37</f>
        <v>33018608137</v>
      </c>
      <c r="E43" s="260"/>
      <c r="F43" s="261">
        <f>+D43-E43</f>
        <v>33018608137</v>
      </c>
      <c r="G43" s="236">
        <f>+[152]ACTIF!$D$37</f>
        <v>33018608137</v>
      </c>
      <c r="H43" s="260"/>
      <c r="I43" s="261">
        <f>+G43-H43</f>
        <v>33018608137</v>
      </c>
      <c r="J43" s="262">
        <f>+D43-G43</f>
        <v>0</v>
      </c>
      <c r="K43" s="260">
        <f t="shared" si="9"/>
        <v>0</v>
      </c>
      <c r="L43" s="261">
        <f t="shared" si="9"/>
        <v>0</v>
      </c>
      <c r="M43" s="261">
        <f t="shared" si="9"/>
        <v>33018608137</v>
      </c>
    </row>
    <row r="44" spans="1:13" x14ac:dyDescent="0.3">
      <c r="A44" s="215" t="s">
        <v>817</v>
      </c>
      <c r="B44" s="246" t="s">
        <v>818</v>
      </c>
      <c r="C44" s="247"/>
      <c r="D44" s="248">
        <f t="shared" ref="D44:I44" si="10">+SUM(D41:D43)</f>
        <v>33029081002</v>
      </c>
      <c r="E44" s="249">
        <f t="shared" si="10"/>
        <v>0</v>
      </c>
      <c r="F44" s="250">
        <f t="shared" si="10"/>
        <v>33029081002</v>
      </c>
      <c r="G44" s="248">
        <f t="shared" si="10"/>
        <v>33029081002</v>
      </c>
      <c r="H44" s="249">
        <f t="shared" si="10"/>
        <v>0</v>
      </c>
      <c r="I44" s="250">
        <f t="shared" si="10"/>
        <v>33029081002</v>
      </c>
      <c r="J44" s="251">
        <f>+D44-G44</f>
        <v>0</v>
      </c>
      <c r="K44" s="249">
        <f t="shared" si="9"/>
        <v>0</v>
      </c>
      <c r="L44" s="250">
        <f t="shared" si="9"/>
        <v>0</v>
      </c>
      <c r="M44" s="250">
        <f t="shared" si="9"/>
        <v>33029081002</v>
      </c>
    </row>
    <row r="45" spans="1:13" s="201" customFormat="1" x14ac:dyDescent="0.3">
      <c r="A45" s="191" t="s">
        <v>819</v>
      </c>
      <c r="B45" s="169" t="s">
        <v>820</v>
      </c>
      <c r="C45" s="263"/>
      <c r="D45" s="264">
        <f>SUM(D46)</f>
        <v>125992774</v>
      </c>
      <c r="E45" s="265"/>
      <c r="F45" s="266">
        <f>+D45-E45</f>
        <v>125992774</v>
      </c>
      <c r="G45" s="264">
        <f>SUM(G46)</f>
        <v>125992774</v>
      </c>
      <c r="H45" s="265"/>
      <c r="I45" s="266">
        <f>G45-H45</f>
        <v>125992774</v>
      </c>
      <c r="J45" s="267">
        <f t="shared" si="9"/>
        <v>0</v>
      </c>
      <c r="K45" s="265">
        <f t="shared" si="9"/>
        <v>0</v>
      </c>
      <c r="L45" s="266">
        <f t="shared" si="9"/>
        <v>0</v>
      </c>
      <c r="M45" s="266">
        <f t="shared" si="9"/>
        <v>125992774</v>
      </c>
    </row>
    <row r="46" spans="1:13" x14ac:dyDescent="0.3">
      <c r="A46" s="178"/>
      <c r="B46" s="179" t="s">
        <v>821</v>
      </c>
      <c r="C46" s="180"/>
      <c r="D46" s="268">
        <f>+[152]ACTIF!$D$39</f>
        <v>125992774</v>
      </c>
      <c r="E46" s="242"/>
      <c r="F46" s="244">
        <f>+D46-E46</f>
        <v>125992774</v>
      </c>
      <c r="G46" s="268">
        <f>+[152]ACTIF!$D$39</f>
        <v>125992774</v>
      </c>
      <c r="H46" s="242"/>
      <c r="I46" s="244">
        <f>G46-H46</f>
        <v>125992774</v>
      </c>
      <c r="J46" s="269">
        <f t="shared" si="9"/>
        <v>0</v>
      </c>
      <c r="K46" s="242">
        <f t="shared" si="9"/>
        <v>0</v>
      </c>
      <c r="L46" s="244">
        <f t="shared" si="9"/>
        <v>0</v>
      </c>
      <c r="M46" s="244">
        <f t="shared" si="9"/>
        <v>125992774</v>
      </c>
    </row>
    <row r="47" spans="1:13" x14ac:dyDescent="0.3">
      <c r="A47" s="215" t="s">
        <v>822</v>
      </c>
      <c r="B47" s="246" t="s">
        <v>823</v>
      </c>
      <c r="C47" s="247"/>
      <c r="D47" s="270">
        <f t="shared" ref="D47:I47" si="11">+D44+D39+D26+D45</f>
        <v>406091805552</v>
      </c>
      <c r="E47" s="271">
        <f t="shared" si="11"/>
        <v>225251392129</v>
      </c>
      <c r="F47" s="272">
        <f t="shared" si="11"/>
        <v>180840413423</v>
      </c>
      <c r="G47" s="270">
        <f t="shared" si="11"/>
        <v>406091805552</v>
      </c>
      <c r="H47" s="271">
        <f t="shared" si="11"/>
        <v>225251392129</v>
      </c>
      <c r="I47" s="272">
        <f t="shared" si="11"/>
        <v>180840413423</v>
      </c>
      <c r="J47" s="273">
        <f>+D47-G47</f>
        <v>0</v>
      </c>
      <c r="K47" s="271">
        <f>+E47-H47</f>
        <v>0</v>
      </c>
      <c r="L47" s="272">
        <f>+F47-I47</f>
        <v>0</v>
      </c>
      <c r="M47" s="272">
        <f>+G47-J47</f>
        <v>406091805552</v>
      </c>
    </row>
    <row r="48" spans="1:13" x14ac:dyDescent="0.3">
      <c r="F48" s="274">
        <f>F47-[152]ACTIF!$F$40</f>
        <v>0</v>
      </c>
      <c r="G48" s="275">
        <f>+G47-[152]ACTIF!$D$40</f>
        <v>0</v>
      </c>
      <c r="I48" s="274">
        <f>+I47-[152]ACTIF!$F$40</f>
        <v>0</v>
      </c>
    </row>
    <row r="49" spans="4:9" x14ac:dyDescent="0.3">
      <c r="D49" s="276"/>
      <c r="E49" s="276"/>
      <c r="F49" s="276"/>
      <c r="G49" s="276"/>
      <c r="H49" s="276"/>
      <c r="I49" s="276"/>
    </row>
    <row r="50" spans="4:9" x14ac:dyDescent="0.3">
      <c r="F50" s="277"/>
      <c r="G50" s="276"/>
      <c r="H50" s="276"/>
      <c r="I50" s="276"/>
    </row>
    <row r="51" spans="4:9" x14ac:dyDescent="0.3">
      <c r="D51" s="278"/>
    </row>
  </sheetData>
  <mergeCells count="5">
    <mergeCell ref="A5:A6"/>
    <mergeCell ref="B5:C6"/>
    <mergeCell ref="D5:F5"/>
    <mergeCell ref="G5:I5"/>
    <mergeCell ref="J5:L5"/>
  </mergeCells>
  <hyperlinks>
    <hyperlink ref="A1" location="Sommaire!F7" display="Sommaire" xr:uid="{00000000-0004-0000-0400-000000000000}"/>
  </hyperlinks>
  <printOptions horizontalCentered="1"/>
  <pageMargins left="0" right="0" top="0.78740157480314965" bottom="0.59055118110236227" header="0.51181102362204722" footer="0.51181102362204722"/>
  <pageSetup paperSize="9" scale="43" fitToHeight="0" orientation="landscape" r:id="rId1"/>
  <headerFooter alignWithMargins="0">
    <oddFooter>&amp;C&amp;N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9998168889431442"/>
    <pageSetUpPr fitToPage="1"/>
  </sheetPr>
  <dimension ref="A1:G50"/>
  <sheetViews>
    <sheetView showGridLines="0" showZeros="0" view="pageBreakPreview" topLeftCell="A37" zoomScale="91" zoomScaleNormal="100" zoomScaleSheetLayoutView="91" workbookViewId="0">
      <selection activeCell="AT18" sqref="AT18"/>
    </sheetView>
  </sheetViews>
  <sheetFormatPr baseColWidth="10" defaultColWidth="11.44140625" defaultRowHeight="14.4" x14ac:dyDescent="0.3"/>
  <cols>
    <col min="1" max="1" width="10.109375" style="145" customWidth="1"/>
    <col min="2" max="2" width="54.109375" style="145" bestFit="1" customWidth="1"/>
    <col min="3" max="4" width="24.5546875" style="145" customWidth="1"/>
    <col min="5" max="5" width="26.5546875" style="279" customWidth="1"/>
    <col min="6" max="6" width="13.5546875" style="145" bestFit="1" customWidth="1"/>
    <col min="7" max="7" width="20.88671875" style="145" bestFit="1" customWidth="1"/>
    <col min="8" max="16384" width="11.44140625" style="145"/>
  </cols>
  <sheetData>
    <row r="1" spans="1:5" x14ac:dyDescent="0.3">
      <c r="A1" s="71" t="s">
        <v>75</v>
      </c>
      <c r="B1" s="142"/>
    </row>
    <row r="2" spans="1:5" ht="18.75" customHeight="1" x14ac:dyDescent="0.3">
      <c r="A2" s="146"/>
      <c r="B2" s="144"/>
      <c r="C2" s="144"/>
      <c r="D2" s="144"/>
      <c r="E2" s="280"/>
    </row>
    <row r="3" spans="1:5" ht="38.4" x14ac:dyDescent="0.7">
      <c r="B3" s="281" t="s">
        <v>824</v>
      </c>
      <c r="C3" s="282"/>
      <c r="D3" s="282"/>
      <c r="E3" s="283"/>
    </row>
    <row r="4" spans="1:5" ht="20.25" customHeight="1" x14ac:dyDescent="0.3">
      <c r="D4" s="284"/>
      <c r="E4" s="285"/>
    </row>
    <row r="5" spans="1:5" ht="9.9" customHeight="1" x14ac:dyDescent="0.3">
      <c r="A5" s="151"/>
      <c r="B5" s="151"/>
      <c r="C5" s="151"/>
      <c r="D5" s="151"/>
      <c r="E5" s="286"/>
    </row>
    <row r="6" spans="1:5" s="287" customFormat="1" ht="15.9" customHeight="1" x14ac:dyDescent="0.3">
      <c r="A6" s="1932" t="s">
        <v>742</v>
      </c>
      <c r="B6" s="1934" t="s">
        <v>825</v>
      </c>
      <c r="C6" s="1936">
        <f>+Cover!Y18</f>
        <v>44926</v>
      </c>
      <c r="D6" s="1936">
        <f>+Cover!Y16</f>
        <v>44562</v>
      </c>
      <c r="E6" s="1938" t="s">
        <v>744</v>
      </c>
    </row>
    <row r="7" spans="1:5" s="287" customFormat="1" ht="15.75" customHeight="1" x14ac:dyDescent="0.3">
      <c r="A7" s="1933"/>
      <c r="B7" s="1935"/>
      <c r="C7" s="1937"/>
      <c r="D7" s="1937"/>
      <c r="E7" s="1939"/>
    </row>
    <row r="8" spans="1:5" x14ac:dyDescent="0.3">
      <c r="A8" s="288"/>
      <c r="B8" s="289"/>
      <c r="C8" s="290"/>
      <c r="D8" s="290"/>
      <c r="E8" s="291"/>
    </row>
    <row r="9" spans="1:5" s="201" customFormat="1" x14ac:dyDescent="0.3">
      <c r="A9" s="292" t="s">
        <v>826</v>
      </c>
      <c r="B9" s="293" t="s">
        <v>827</v>
      </c>
      <c r="C9" s="294">
        <f>+[152]PASSIF!$D$10</f>
        <v>10408280000</v>
      </c>
      <c r="D9" s="294">
        <f>+[152]PASSIF!$D$10</f>
        <v>10408280000</v>
      </c>
      <c r="E9" s="295">
        <f t="shared" ref="E9:E20" si="0">C9-D9</f>
        <v>0</v>
      </c>
    </row>
    <row r="10" spans="1:5" s="201" customFormat="1" x14ac:dyDescent="0.3">
      <c r="A10" s="292" t="s">
        <v>828</v>
      </c>
      <c r="B10" s="296" t="s">
        <v>829</v>
      </c>
      <c r="C10" s="297"/>
      <c r="D10" s="297"/>
      <c r="E10" s="298">
        <f t="shared" si="0"/>
        <v>0</v>
      </c>
    </row>
    <row r="11" spans="1:5" s="201" customFormat="1" x14ac:dyDescent="0.3">
      <c r="A11" s="292" t="s">
        <v>830</v>
      </c>
      <c r="B11" s="296" t="s">
        <v>831</v>
      </c>
      <c r="C11" s="299">
        <f>+SUM(C12:C16)</f>
        <v>-1228656692</v>
      </c>
      <c r="D11" s="299">
        <f>+SUM(D12:D16)</f>
        <v>-1228656692</v>
      </c>
      <c r="E11" s="300">
        <f>C11-D11</f>
        <v>0</v>
      </c>
    </row>
    <row r="12" spans="1:5" x14ac:dyDescent="0.3">
      <c r="A12" s="301" t="s">
        <v>832</v>
      </c>
      <c r="B12" s="302" t="s">
        <v>833</v>
      </c>
      <c r="C12" s="303"/>
      <c r="D12" s="303"/>
      <c r="E12" s="300">
        <f t="shared" si="0"/>
        <v>0</v>
      </c>
    </row>
    <row r="13" spans="1:5" x14ac:dyDescent="0.3">
      <c r="A13" s="301" t="s">
        <v>834</v>
      </c>
      <c r="B13" s="302" t="s">
        <v>835</v>
      </c>
      <c r="C13" s="303"/>
      <c r="D13" s="303"/>
      <c r="E13" s="300">
        <f t="shared" si="0"/>
        <v>0</v>
      </c>
    </row>
    <row r="14" spans="1:5" x14ac:dyDescent="0.3">
      <c r="A14" s="301" t="s">
        <v>836</v>
      </c>
      <c r="B14" s="302" t="s">
        <v>837</v>
      </c>
      <c r="C14" s="303"/>
      <c r="D14" s="303"/>
      <c r="E14" s="300">
        <f t="shared" si="0"/>
        <v>0</v>
      </c>
    </row>
    <row r="15" spans="1:5" x14ac:dyDescent="0.3">
      <c r="A15" s="301" t="s">
        <v>838</v>
      </c>
      <c r="B15" s="302" t="s">
        <v>839</v>
      </c>
      <c r="C15" s="303"/>
      <c r="D15" s="303"/>
      <c r="E15" s="300">
        <f t="shared" si="0"/>
        <v>0</v>
      </c>
    </row>
    <row r="16" spans="1:5" x14ac:dyDescent="0.3">
      <c r="A16" s="301" t="s">
        <v>840</v>
      </c>
      <c r="B16" s="302" t="s">
        <v>841</v>
      </c>
      <c r="C16" s="303">
        <f>+[152]PASSIF!$D$16</f>
        <v>-1228656692</v>
      </c>
      <c r="D16" s="303">
        <f>+[152]PASSIF!$D$16</f>
        <v>-1228656692</v>
      </c>
      <c r="E16" s="300">
        <f t="shared" si="0"/>
        <v>0</v>
      </c>
    </row>
    <row r="17" spans="1:7" s="201" customFormat="1" x14ac:dyDescent="0.3">
      <c r="A17" s="292" t="s">
        <v>842</v>
      </c>
      <c r="B17" s="296" t="s">
        <v>843</v>
      </c>
      <c r="C17" s="303">
        <f>+[152]PASSIF!$D$17</f>
        <v>4778363684</v>
      </c>
      <c r="D17" s="303">
        <f>+[152]PASSIF!$D$17</f>
        <v>4778363684</v>
      </c>
      <c r="E17" s="300">
        <f t="shared" si="0"/>
        <v>0</v>
      </c>
      <c r="G17" s="304"/>
    </row>
    <row r="18" spans="1:7" x14ac:dyDescent="0.3">
      <c r="A18" s="305" t="s">
        <v>844</v>
      </c>
      <c r="B18" s="306" t="s">
        <v>845</v>
      </c>
      <c r="C18" s="303">
        <f>+C19+C20</f>
        <v>0</v>
      </c>
      <c r="D18" s="303">
        <f>+D19+D20</f>
        <v>0</v>
      </c>
      <c r="E18" s="300">
        <f>C18-D18</f>
        <v>0</v>
      </c>
      <c r="F18" s="277"/>
    </row>
    <row r="19" spans="1:7" x14ac:dyDescent="0.3">
      <c r="A19" s="301" t="s">
        <v>846</v>
      </c>
      <c r="B19" s="302" t="s">
        <v>847</v>
      </c>
      <c r="C19" s="303"/>
      <c r="D19" s="303"/>
      <c r="E19" s="300">
        <f t="shared" si="0"/>
        <v>0</v>
      </c>
    </row>
    <row r="20" spans="1:7" x14ac:dyDescent="0.3">
      <c r="A20" s="301" t="s">
        <v>848</v>
      </c>
      <c r="B20" s="307" t="s">
        <v>849</v>
      </c>
      <c r="C20" s="308"/>
      <c r="D20" s="308"/>
      <c r="E20" s="300">
        <f t="shared" si="0"/>
        <v>0</v>
      </c>
    </row>
    <row r="21" spans="1:7" x14ac:dyDescent="0.3">
      <c r="A21" s="309" t="s">
        <v>850</v>
      </c>
      <c r="B21" s="310" t="s">
        <v>851</v>
      </c>
      <c r="C21" s="311">
        <f>+C18+C17+C11+C10+C9</f>
        <v>13957986992</v>
      </c>
      <c r="D21" s="311">
        <f>+D18+D17+D11+D10+D9</f>
        <v>13957986992</v>
      </c>
      <c r="E21" s="312">
        <f>+C21-D21</f>
        <v>0</v>
      </c>
    </row>
    <row r="22" spans="1:7" s="201" customFormat="1" x14ac:dyDescent="0.3">
      <c r="A22" s="313"/>
      <c r="B22" s="314" t="s">
        <v>852</v>
      </c>
      <c r="C22" s="315"/>
      <c r="D22" s="315"/>
      <c r="E22" s="316"/>
    </row>
    <row r="23" spans="1:7" s="201" customFormat="1" ht="12.75" customHeight="1" x14ac:dyDescent="0.3">
      <c r="A23" s="317"/>
      <c r="B23" s="318" t="s">
        <v>853</v>
      </c>
      <c r="C23" s="319"/>
      <c r="D23" s="319"/>
      <c r="E23" s="320"/>
    </row>
    <row r="24" spans="1:7" x14ac:dyDescent="0.3">
      <c r="A24" s="301" t="s">
        <v>854</v>
      </c>
      <c r="B24" s="321" t="s">
        <v>855</v>
      </c>
      <c r="C24" s="322">
        <f>+[152]PASSIF!$D$21</f>
        <v>46196599329</v>
      </c>
      <c r="D24" s="322">
        <f>+[152]PASSIF!$D$21</f>
        <v>46196599329</v>
      </c>
      <c r="E24" s="323">
        <f>C24-D24</f>
        <v>0</v>
      </c>
    </row>
    <row r="25" spans="1:7" x14ac:dyDescent="0.3">
      <c r="A25" s="301" t="s">
        <v>856</v>
      </c>
      <c r="B25" s="302" t="s">
        <v>857</v>
      </c>
      <c r="C25" s="303"/>
      <c r="D25" s="303"/>
      <c r="E25" s="324">
        <f>C25-D25</f>
        <v>0</v>
      </c>
    </row>
    <row r="26" spans="1:7" x14ac:dyDescent="0.3">
      <c r="A26" s="301" t="s">
        <v>858</v>
      </c>
      <c r="B26" s="302" t="s">
        <v>859</v>
      </c>
      <c r="C26" s="325"/>
      <c r="D26" s="325"/>
      <c r="E26" s="324">
        <f>C26-D26</f>
        <v>0</v>
      </c>
    </row>
    <row r="27" spans="1:7" x14ac:dyDescent="0.3">
      <c r="A27" s="301" t="s">
        <v>860</v>
      </c>
      <c r="B27" s="307" t="s">
        <v>861</v>
      </c>
      <c r="C27" s="308">
        <f>+[152]PASSIF!$D$23</f>
        <v>1119247874</v>
      </c>
      <c r="D27" s="308">
        <f>+[152]PASSIF!$D$23</f>
        <v>1119247874</v>
      </c>
      <c r="E27" s="326">
        <f>C27-D27</f>
        <v>0</v>
      </c>
    </row>
    <row r="28" spans="1:7" x14ac:dyDescent="0.3">
      <c r="A28" s="309" t="s">
        <v>862</v>
      </c>
      <c r="B28" s="310" t="s">
        <v>863</v>
      </c>
      <c r="C28" s="311">
        <f>+SUM(C24:C27)</f>
        <v>47315847203</v>
      </c>
      <c r="D28" s="311">
        <f>+SUM(D24:D27)</f>
        <v>47315847203</v>
      </c>
      <c r="E28" s="312">
        <f>+C28-D28</f>
        <v>0</v>
      </c>
    </row>
    <row r="29" spans="1:7" ht="5.0999999999999996" customHeight="1" x14ac:dyDescent="0.3">
      <c r="A29" s="327"/>
      <c r="B29" s="328"/>
      <c r="C29" s="329"/>
      <c r="D29" s="329"/>
      <c r="E29" s="330"/>
    </row>
    <row r="30" spans="1:7" x14ac:dyDescent="0.3">
      <c r="A30" s="309" t="s">
        <v>864</v>
      </c>
      <c r="B30" s="310" t="s">
        <v>865</v>
      </c>
      <c r="C30" s="311">
        <f>+C28+C21</f>
        <v>61273834195</v>
      </c>
      <c r="D30" s="311">
        <f>+D28+D21</f>
        <v>61273834195</v>
      </c>
      <c r="E30" s="312">
        <f>+C30-D30</f>
        <v>0</v>
      </c>
    </row>
    <row r="31" spans="1:7" s="201" customFormat="1" x14ac:dyDescent="0.3">
      <c r="A31" s="313"/>
      <c r="B31" s="314" t="s">
        <v>866</v>
      </c>
      <c r="C31" s="315"/>
      <c r="D31" s="315"/>
      <c r="E31" s="316"/>
    </row>
    <row r="32" spans="1:7" x14ac:dyDescent="0.3">
      <c r="A32" s="301" t="s">
        <v>787</v>
      </c>
      <c r="B32" s="331" t="s">
        <v>867</v>
      </c>
      <c r="C32" s="322">
        <f>+[152]PASSIF!$D$26</f>
        <v>20173765752</v>
      </c>
      <c r="D32" s="322">
        <f>+[152]PASSIF!$D$26</f>
        <v>20173765752</v>
      </c>
      <c r="E32" s="332">
        <f t="shared" ref="E32:E38" si="1">+C32-D32</f>
        <v>0</v>
      </c>
      <c r="G32" s="333"/>
    </row>
    <row r="33" spans="1:7" x14ac:dyDescent="0.3">
      <c r="A33" s="301" t="s">
        <v>868</v>
      </c>
      <c r="B33" s="302" t="s">
        <v>869</v>
      </c>
      <c r="C33" s="303">
        <f>+[152]PASSIF!$D$27</f>
        <v>1266250396</v>
      </c>
      <c r="D33" s="303">
        <f>+[152]PASSIF!$D$27</f>
        <v>1266250396</v>
      </c>
      <c r="E33" s="334">
        <f t="shared" si="1"/>
        <v>0</v>
      </c>
    </row>
    <row r="34" spans="1:7" x14ac:dyDescent="0.3">
      <c r="A34" s="301" t="s">
        <v>870</v>
      </c>
      <c r="B34" s="302" t="s">
        <v>871</v>
      </c>
      <c r="C34" s="303">
        <f>+[152]PASSIF!$D$28</f>
        <v>40919405808</v>
      </c>
      <c r="D34" s="303">
        <f>+[152]PASSIF!$D$28</f>
        <v>40919405808</v>
      </c>
      <c r="E34" s="334">
        <f t="shared" si="1"/>
        <v>0</v>
      </c>
      <c r="G34" s="333"/>
    </row>
    <row r="35" spans="1:7" x14ac:dyDescent="0.3">
      <c r="A35" s="301" t="s">
        <v>872</v>
      </c>
      <c r="B35" s="302" t="s">
        <v>873</v>
      </c>
      <c r="C35" s="303">
        <f>+[152]PASSIF!$D$29</f>
        <v>6711865534</v>
      </c>
      <c r="D35" s="303">
        <f>+[152]PASSIF!$D$29</f>
        <v>6711865534</v>
      </c>
      <c r="E35" s="334">
        <f t="shared" si="1"/>
        <v>0</v>
      </c>
      <c r="G35" s="333"/>
    </row>
    <row r="36" spans="1:7" x14ac:dyDescent="0.3">
      <c r="A36" s="301" t="s">
        <v>874</v>
      </c>
      <c r="B36" s="302" t="s">
        <v>875</v>
      </c>
      <c r="C36" s="325"/>
      <c r="D36" s="325"/>
      <c r="E36" s="334">
        <f t="shared" si="1"/>
        <v>0</v>
      </c>
      <c r="G36" s="333"/>
    </row>
    <row r="37" spans="1:7" x14ac:dyDescent="0.3">
      <c r="A37" s="301" t="s">
        <v>876</v>
      </c>
      <c r="B37" s="302" t="s">
        <v>877</v>
      </c>
      <c r="C37" s="303">
        <f>+[152]PASSIF!$D$30</f>
        <v>34096023296</v>
      </c>
      <c r="D37" s="303">
        <f>+[152]PASSIF!$D$30</f>
        <v>34096023296</v>
      </c>
      <c r="E37" s="334">
        <f t="shared" si="1"/>
        <v>0</v>
      </c>
      <c r="G37" s="333"/>
    </row>
    <row r="38" spans="1:7" x14ac:dyDescent="0.3">
      <c r="A38" s="301" t="s">
        <v>878</v>
      </c>
      <c r="B38" s="307" t="s">
        <v>879</v>
      </c>
      <c r="C38" s="303">
        <f>+[152]PASSIF!$D$31</f>
        <v>212954781</v>
      </c>
      <c r="D38" s="303">
        <f>+[152]PASSIF!$D$31</f>
        <v>212954781</v>
      </c>
      <c r="E38" s="326">
        <f t="shared" si="1"/>
        <v>0</v>
      </c>
      <c r="G38" s="333"/>
    </row>
    <row r="39" spans="1:7" x14ac:dyDescent="0.3">
      <c r="A39" s="309" t="s">
        <v>880</v>
      </c>
      <c r="B39" s="310" t="s">
        <v>881</v>
      </c>
      <c r="C39" s="311">
        <f>+SUM(C32:C38)</f>
        <v>103380265567</v>
      </c>
      <c r="D39" s="311">
        <f>+SUM(D32:D38)</f>
        <v>103380265567</v>
      </c>
      <c r="E39" s="312">
        <f>+C39-D39</f>
        <v>0</v>
      </c>
    </row>
    <row r="40" spans="1:7" s="201" customFormat="1" x14ac:dyDescent="0.3">
      <c r="A40" s="313"/>
      <c r="B40" s="314" t="s">
        <v>882</v>
      </c>
      <c r="C40" s="315"/>
      <c r="D40" s="315"/>
      <c r="E40" s="316"/>
    </row>
    <row r="41" spans="1:7" x14ac:dyDescent="0.3">
      <c r="A41" s="301" t="s">
        <v>883</v>
      </c>
      <c r="B41" s="321" t="s">
        <v>884</v>
      </c>
      <c r="C41" s="322">
        <f>+[152]PASSIF!$D$33</f>
        <v>52277096</v>
      </c>
      <c r="D41" s="322">
        <f>+[152]PASSIF!$D$33</f>
        <v>52277096</v>
      </c>
      <c r="E41" s="332">
        <f>+C41-D41</f>
        <v>0</v>
      </c>
    </row>
    <row r="42" spans="1:7" x14ac:dyDescent="0.3">
      <c r="A42" s="301" t="s">
        <v>885</v>
      </c>
      <c r="B42" s="302" t="s">
        <v>886</v>
      </c>
      <c r="C42" s="322">
        <f>+[152]PASSIF!$D$34</f>
        <v>16044722077</v>
      </c>
      <c r="D42" s="322">
        <f>+[152]PASSIF!$D$34</f>
        <v>16044722077</v>
      </c>
      <c r="E42" s="324">
        <f>+C42-D42</f>
        <v>0</v>
      </c>
    </row>
    <row r="43" spans="1:7" x14ac:dyDescent="0.3">
      <c r="A43" s="301" t="s">
        <v>887</v>
      </c>
      <c r="B43" s="307" t="s">
        <v>888</v>
      </c>
      <c r="C43" s="335"/>
      <c r="D43" s="335"/>
      <c r="E43" s="336">
        <f>+C43-D43</f>
        <v>0</v>
      </c>
    </row>
    <row r="44" spans="1:7" x14ac:dyDescent="0.3">
      <c r="A44" s="309" t="s">
        <v>889</v>
      </c>
      <c r="B44" s="310" t="s">
        <v>890</v>
      </c>
      <c r="C44" s="337">
        <f>+SUM(C41:C43)</f>
        <v>16096999173</v>
      </c>
      <c r="D44" s="337">
        <f>+SUM(D41:D43)</f>
        <v>16096999173</v>
      </c>
      <c r="E44" s="338">
        <f>+C44-D44</f>
        <v>0</v>
      </c>
    </row>
    <row r="45" spans="1:7" s="201" customFormat="1" x14ac:dyDescent="0.3">
      <c r="A45" s="292" t="s">
        <v>891</v>
      </c>
      <c r="B45" s="314" t="s">
        <v>892</v>
      </c>
      <c r="C45" s="339">
        <f>C46</f>
        <v>89314488</v>
      </c>
      <c r="D45" s="339">
        <f>D46</f>
        <v>89314488</v>
      </c>
      <c r="E45" s="316">
        <f>+C45-D45</f>
        <v>0</v>
      </c>
    </row>
    <row r="46" spans="1:7" x14ac:dyDescent="0.3">
      <c r="A46" s="301"/>
      <c r="B46" s="340" t="s">
        <v>893</v>
      </c>
      <c r="C46" s="341">
        <f>+[152]PASSIF!$D$36</f>
        <v>89314488</v>
      </c>
      <c r="D46" s="341">
        <f>+[152]PASSIF!$D$36</f>
        <v>89314488</v>
      </c>
      <c r="E46" s="342"/>
    </row>
    <row r="47" spans="1:7" x14ac:dyDescent="0.3">
      <c r="A47" s="309" t="s">
        <v>894</v>
      </c>
      <c r="B47" s="310" t="s">
        <v>895</v>
      </c>
      <c r="C47" s="311">
        <f>+C45+C44+C39+C30</f>
        <v>180840413423</v>
      </c>
      <c r="D47" s="311">
        <f>+D45+D44+D39+D30</f>
        <v>180840413423</v>
      </c>
      <c r="E47" s="312">
        <f>+C47-D47</f>
        <v>0</v>
      </c>
    </row>
    <row r="48" spans="1:7" x14ac:dyDescent="0.3">
      <c r="C48" s="343"/>
      <c r="D48" s="343"/>
      <c r="E48" s="344"/>
    </row>
    <row r="49" spans="1:5" s="349" customFormat="1" x14ac:dyDescent="0.3">
      <c r="A49" s="345" t="s">
        <v>896</v>
      </c>
      <c r="B49" s="345"/>
      <c r="C49" s="346">
        <f>+C47-'Bilan Actif'!F47</f>
        <v>0</v>
      </c>
      <c r="D49" s="347">
        <f>+D47-'Bilan Actif'!I47</f>
        <v>0</v>
      </c>
      <c r="E49" s="348"/>
    </row>
    <row r="50" spans="1:5" x14ac:dyDescent="0.3">
      <c r="D50" s="276"/>
    </row>
  </sheetData>
  <mergeCells count="5">
    <mergeCell ref="A6:A7"/>
    <mergeCell ref="B6:B7"/>
    <mergeCell ref="C6:C7"/>
    <mergeCell ref="D6:D7"/>
    <mergeCell ref="E6:E7"/>
  </mergeCells>
  <hyperlinks>
    <hyperlink ref="A1" location="Sommaire!F8" display="Sommaire" xr:uid="{00000000-0004-0000-0500-000000000000}"/>
  </hyperlinks>
  <printOptions horizontalCentered="1"/>
  <pageMargins left="0.59055118110236227" right="0.19685039370078741" top="0.78740157480314965" bottom="0.59055118110236227" header="0.51181102362204722" footer="0.19685039370078741"/>
  <pageSetup paperSize="9" scale="62"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  <pageSetUpPr fitToPage="1"/>
  </sheetPr>
  <dimension ref="A1:H590"/>
  <sheetViews>
    <sheetView showGridLines="0" showZeros="0" view="pageBreakPreview" topLeftCell="A55" zoomScale="90" zoomScaleNormal="100" zoomScaleSheetLayoutView="90" workbookViewId="0">
      <selection activeCell="AT18" sqref="AT18"/>
    </sheetView>
  </sheetViews>
  <sheetFormatPr baseColWidth="10" defaultColWidth="11.44140625" defaultRowHeight="14.4" x14ac:dyDescent="0.3"/>
  <cols>
    <col min="1" max="1" width="12.44140625" style="145" customWidth="1"/>
    <col min="2" max="2" width="15.109375" style="145" customWidth="1"/>
    <col min="3" max="3" width="7.5546875" style="145" customWidth="1"/>
    <col min="4" max="5" width="12.5546875" style="145" customWidth="1"/>
    <col min="6" max="6" width="16.88671875" style="145" bestFit="1" customWidth="1"/>
    <col min="7" max="7" width="12.44140625" style="145" customWidth="1"/>
    <col min="8" max="8" width="20.5546875" style="145" bestFit="1" customWidth="1"/>
    <col min="9" max="9" width="1.5546875" style="145" customWidth="1"/>
    <col min="10" max="10" width="15.44140625" style="145" bestFit="1" customWidth="1"/>
    <col min="11" max="16384" width="11.44140625" style="145"/>
  </cols>
  <sheetData>
    <row r="1" spans="1:8" ht="22.5" customHeight="1" x14ac:dyDescent="0.3">
      <c r="A1" s="350" t="s">
        <v>75</v>
      </c>
    </row>
    <row r="2" spans="1:8" s="149" customFormat="1" ht="38.4" x14ac:dyDescent="0.7">
      <c r="A2" s="351"/>
      <c r="B2" s="144"/>
      <c r="C2" s="281" t="s">
        <v>897</v>
      </c>
      <c r="D2" s="144"/>
      <c r="E2" s="144"/>
      <c r="F2" s="144"/>
      <c r="G2" s="144"/>
      <c r="H2" s="144"/>
    </row>
    <row r="3" spans="1:8" s="149" customFormat="1" ht="14.25" customHeight="1" x14ac:dyDescent="0.3">
      <c r="B3" s="1940" t="s">
        <v>741</v>
      </c>
      <c r="C3" s="1941"/>
      <c r="D3" s="1941"/>
      <c r="E3" s="1941"/>
    </row>
    <row r="4" spans="1:8" ht="15.9" customHeight="1" x14ac:dyDescent="0.3">
      <c r="A4" s="352" t="s">
        <v>742</v>
      </c>
      <c r="B4" s="1942" t="s">
        <v>21</v>
      </c>
      <c r="C4" s="1942"/>
      <c r="D4" s="1942"/>
      <c r="E4" s="1942"/>
      <c r="F4" s="1942"/>
      <c r="G4" s="1942"/>
      <c r="H4" s="353">
        <f>+Cover!Y18</f>
        <v>44926</v>
      </c>
    </row>
    <row r="5" spans="1:8" x14ac:dyDescent="0.3">
      <c r="A5" s="354"/>
      <c r="B5" s="355" t="s">
        <v>898</v>
      </c>
      <c r="C5" s="356"/>
      <c r="D5" s="356"/>
      <c r="E5" s="356"/>
      <c r="F5" s="356"/>
      <c r="G5" s="357"/>
      <c r="H5" s="358"/>
    </row>
    <row r="6" spans="1:8" x14ac:dyDescent="0.3">
      <c r="A6" s="359" t="s">
        <v>899</v>
      </c>
      <c r="B6" s="360" t="s">
        <v>900</v>
      </c>
      <c r="C6" s="361"/>
      <c r="D6" s="361"/>
      <c r="E6" s="361"/>
      <c r="F6" s="361"/>
      <c r="G6" s="362"/>
      <c r="H6" s="363">
        <f>+'[152]Compte de Résultat'!$E$9</f>
        <v>1124427867</v>
      </c>
    </row>
    <row r="7" spans="1:8" x14ac:dyDescent="0.3">
      <c r="A7" s="359" t="s">
        <v>901</v>
      </c>
      <c r="B7" s="364" t="s">
        <v>902</v>
      </c>
      <c r="C7" s="361"/>
      <c r="D7" s="361"/>
      <c r="E7" s="361"/>
      <c r="F7" s="361"/>
      <c r="G7" s="362"/>
      <c r="H7" s="363"/>
    </row>
    <row r="8" spans="1:8" x14ac:dyDescent="0.3">
      <c r="A8" s="359" t="s">
        <v>903</v>
      </c>
      <c r="B8" s="360" t="s">
        <v>904</v>
      </c>
      <c r="C8" s="361"/>
      <c r="D8" s="361"/>
      <c r="E8" s="365"/>
      <c r="F8" s="361"/>
      <c r="G8" s="362"/>
      <c r="H8" s="363">
        <f>+'[152]Compte de Résultat'!$E$14</f>
        <v>103941367167</v>
      </c>
    </row>
    <row r="9" spans="1:8" x14ac:dyDescent="0.3">
      <c r="A9" s="359" t="s">
        <v>905</v>
      </c>
      <c r="B9" s="360" t="s">
        <v>906</v>
      </c>
      <c r="C9" s="361"/>
      <c r="D9" s="361"/>
      <c r="E9" s="361"/>
      <c r="F9" s="361"/>
      <c r="G9" s="362"/>
      <c r="H9" s="363"/>
    </row>
    <row r="10" spans="1:8" x14ac:dyDescent="0.3">
      <c r="A10" s="359" t="s">
        <v>907</v>
      </c>
      <c r="B10" s="360" t="s">
        <v>908</v>
      </c>
      <c r="C10" s="361"/>
      <c r="D10" s="361"/>
      <c r="E10" s="361"/>
      <c r="F10" s="361"/>
      <c r="G10" s="362"/>
      <c r="H10" s="363"/>
    </row>
    <row r="11" spans="1:8" x14ac:dyDescent="0.3">
      <c r="A11" s="359" t="s">
        <v>909</v>
      </c>
      <c r="B11" s="360" t="s">
        <v>910</v>
      </c>
      <c r="C11" s="361"/>
      <c r="D11" s="361"/>
      <c r="E11" s="361"/>
      <c r="F11" s="361"/>
      <c r="G11" s="362"/>
      <c r="H11" s="363">
        <f>+'[152]Compte de Résultat'!$E$15</f>
        <v>1193512416</v>
      </c>
    </row>
    <row r="12" spans="1:8" x14ac:dyDescent="0.3">
      <c r="A12" s="366" t="s">
        <v>911</v>
      </c>
      <c r="B12" s="367" t="s">
        <v>912</v>
      </c>
      <c r="C12" s="368"/>
      <c r="D12" s="369"/>
      <c r="E12" s="369"/>
      <c r="F12" s="370">
        <f>+H6+H7+H8+H11</f>
        <v>106259307450</v>
      </c>
      <c r="G12" s="371"/>
      <c r="H12" s="372">
        <f>+H6+H7+H8+H11</f>
        <v>106259307450</v>
      </c>
    </row>
    <row r="13" spans="1:8" x14ac:dyDescent="0.3">
      <c r="A13" s="359" t="s">
        <v>913</v>
      </c>
      <c r="B13" s="373" t="s">
        <v>914</v>
      </c>
      <c r="C13" s="374"/>
      <c r="D13" s="375"/>
      <c r="E13" s="376"/>
      <c r="F13" s="361"/>
      <c r="G13" s="362"/>
      <c r="H13" s="377"/>
    </row>
    <row r="14" spans="1:8" x14ac:dyDescent="0.3">
      <c r="A14" s="359" t="s">
        <v>915</v>
      </c>
      <c r="B14" s="360" t="s">
        <v>916</v>
      </c>
      <c r="C14" s="361"/>
      <c r="D14" s="361"/>
      <c r="E14" s="361"/>
      <c r="F14" s="361"/>
      <c r="G14" s="362"/>
      <c r="H14" s="363"/>
    </row>
    <row r="15" spans="1:8" x14ac:dyDescent="0.3">
      <c r="A15" s="359" t="s">
        <v>917</v>
      </c>
      <c r="B15" s="360" t="s">
        <v>918</v>
      </c>
      <c r="C15" s="361"/>
      <c r="D15" s="361"/>
      <c r="E15" s="361"/>
      <c r="F15" s="361"/>
      <c r="G15" s="362"/>
      <c r="H15" s="363">
        <f>+'[152]Compte de Résultat'!$E$20</f>
        <v>1146703428</v>
      </c>
    </row>
    <row r="16" spans="1:8" x14ac:dyDescent="0.3">
      <c r="A16" s="359" t="s">
        <v>919</v>
      </c>
      <c r="B16" s="360" t="s">
        <v>920</v>
      </c>
      <c r="C16" s="361"/>
      <c r="D16" s="361"/>
      <c r="E16" s="361"/>
      <c r="F16" s="361"/>
      <c r="G16" s="362"/>
      <c r="H16" s="363">
        <f>+'[152]Compte de Résultat'!$E$33</f>
        <v>1588912200</v>
      </c>
    </row>
    <row r="17" spans="1:8" x14ac:dyDescent="0.3">
      <c r="A17" s="378" t="s">
        <v>921</v>
      </c>
      <c r="B17" s="379" t="s">
        <v>922</v>
      </c>
      <c r="C17" s="380"/>
      <c r="D17" s="380"/>
      <c r="E17" s="380"/>
      <c r="F17" s="380"/>
      <c r="G17" s="381"/>
      <c r="H17" s="382">
        <f>+'[152]Compte de Résultat'!$E$21</f>
        <v>202462584</v>
      </c>
    </row>
    <row r="18" spans="1:8" x14ac:dyDescent="0.3">
      <c r="A18" s="383" t="s">
        <v>923</v>
      </c>
      <c r="B18" s="384" t="s">
        <v>924</v>
      </c>
      <c r="C18" s="385"/>
      <c r="D18" s="385"/>
      <c r="E18" s="385"/>
      <c r="F18" s="385"/>
      <c r="G18" s="386"/>
      <c r="H18" s="387">
        <f>+H6+H7+H8+H9+H10+H11+H14+H15+H16+H17</f>
        <v>109197385662</v>
      </c>
    </row>
    <row r="19" spans="1:8" x14ac:dyDescent="0.3">
      <c r="A19" s="359"/>
      <c r="B19" s="360"/>
      <c r="C19" s="361"/>
      <c r="D19" s="361"/>
      <c r="E19" s="361"/>
      <c r="F19" s="361"/>
      <c r="G19" s="362"/>
      <c r="H19" s="388"/>
    </row>
    <row r="20" spans="1:8" x14ac:dyDescent="0.3">
      <c r="A20" s="359" t="s">
        <v>925</v>
      </c>
      <c r="B20" s="360" t="s">
        <v>926</v>
      </c>
      <c r="C20" s="361"/>
      <c r="D20" s="361"/>
      <c r="E20" s="361"/>
      <c r="F20" s="361"/>
      <c r="G20" s="362"/>
      <c r="H20" s="389">
        <f>-+'[152]Compte de Résultat'!$E$10</f>
        <v>1878495285</v>
      </c>
    </row>
    <row r="21" spans="1:8" x14ac:dyDescent="0.3">
      <c r="A21" s="359" t="s">
        <v>927</v>
      </c>
      <c r="B21" s="360" t="s">
        <v>928</v>
      </c>
      <c r="C21" s="361"/>
      <c r="D21" s="361"/>
      <c r="E21" s="361"/>
      <c r="F21" s="361" t="s">
        <v>929</v>
      </c>
      <c r="G21" s="362"/>
      <c r="H21" s="389">
        <f>-+'[152]Compte de Résultat'!$E$11</f>
        <v>167058426</v>
      </c>
    </row>
    <row r="22" spans="1:8" x14ac:dyDescent="0.3">
      <c r="A22" s="359" t="s">
        <v>930</v>
      </c>
      <c r="B22" s="360" t="s">
        <v>931</v>
      </c>
      <c r="C22" s="361"/>
      <c r="D22" s="361"/>
      <c r="E22" s="361"/>
      <c r="F22" s="361"/>
      <c r="G22" s="362"/>
      <c r="H22" s="389">
        <f>-'[152]Compte de Résultat'!$E$22</f>
        <v>0</v>
      </c>
    </row>
    <row r="23" spans="1:8" x14ac:dyDescent="0.3">
      <c r="A23" s="359" t="s">
        <v>932</v>
      </c>
      <c r="B23" s="360" t="s">
        <v>928</v>
      </c>
      <c r="C23" s="361"/>
      <c r="D23" s="361"/>
      <c r="E23" s="361"/>
      <c r="F23" s="361" t="s">
        <v>929</v>
      </c>
      <c r="G23" s="362"/>
      <c r="H23" s="389">
        <f>-'[152]Compte de Résultat'!$E$23</f>
        <v>-20982830</v>
      </c>
    </row>
    <row r="24" spans="1:8" x14ac:dyDescent="0.3">
      <c r="A24" s="359" t="s">
        <v>933</v>
      </c>
      <c r="B24" s="360" t="s">
        <v>934</v>
      </c>
      <c r="C24" s="361"/>
      <c r="D24" s="361"/>
      <c r="E24" s="361"/>
      <c r="F24" s="361"/>
      <c r="G24" s="362"/>
      <c r="H24" s="389">
        <f>-+'[152]Compte de Résultat'!$E$24</f>
        <v>13535561694</v>
      </c>
    </row>
    <row r="25" spans="1:8" x14ac:dyDescent="0.3">
      <c r="A25" s="359" t="s">
        <v>935</v>
      </c>
      <c r="B25" s="360" t="s">
        <v>928</v>
      </c>
      <c r="C25" s="361"/>
      <c r="D25" s="361"/>
      <c r="E25" s="361"/>
      <c r="F25" s="361" t="s">
        <v>929</v>
      </c>
      <c r="G25" s="362"/>
      <c r="H25" s="389">
        <f>-+'[152]Compte de Résultat'!$E$25</f>
        <v>70632568</v>
      </c>
    </row>
    <row r="26" spans="1:8" x14ac:dyDescent="0.3">
      <c r="A26" s="359" t="s">
        <v>936</v>
      </c>
      <c r="B26" s="360" t="s">
        <v>937</v>
      </c>
      <c r="C26" s="361"/>
      <c r="D26" s="361"/>
      <c r="E26" s="361"/>
      <c r="F26" s="361"/>
      <c r="G26" s="362"/>
      <c r="H26" s="389">
        <f>-+'[152]Compte de Résultat'!$E$26</f>
        <v>185108708</v>
      </c>
    </row>
    <row r="27" spans="1:8" x14ac:dyDescent="0.3">
      <c r="A27" s="359" t="s">
        <v>938</v>
      </c>
      <c r="B27" s="360" t="s">
        <v>939</v>
      </c>
      <c r="C27" s="361"/>
      <c r="D27" s="361"/>
      <c r="E27" s="361"/>
      <c r="F27" s="361"/>
      <c r="G27" s="362"/>
      <c r="H27" s="389">
        <f>-+'[152]Compte de Résultat'!$E$27</f>
        <v>55972756449</v>
      </c>
    </row>
    <row r="28" spans="1:8" x14ac:dyDescent="0.3">
      <c r="A28" s="359" t="s">
        <v>940</v>
      </c>
      <c r="B28" s="360" t="s">
        <v>941</v>
      </c>
      <c r="C28" s="361"/>
      <c r="D28" s="361"/>
      <c r="E28" s="361"/>
      <c r="F28" s="361"/>
      <c r="G28" s="362"/>
      <c r="H28" s="389">
        <f>-+'[152]Compte de Résultat'!$E$28</f>
        <v>2756966914</v>
      </c>
    </row>
    <row r="29" spans="1:8" x14ac:dyDescent="0.3">
      <c r="A29" s="359" t="s">
        <v>942</v>
      </c>
      <c r="B29" s="360" t="s">
        <v>943</v>
      </c>
      <c r="C29" s="361"/>
      <c r="D29" s="361"/>
      <c r="E29" s="361"/>
      <c r="F29" s="361"/>
      <c r="G29" s="362"/>
      <c r="H29" s="389">
        <f>-+'[152]Compte de Résultat'!$E$29</f>
        <v>2130824161</v>
      </c>
    </row>
    <row r="30" spans="1:8" x14ac:dyDescent="0.3">
      <c r="A30" s="359" t="s">
        <v>944</v>
      </c>
      <c r="B30" s="360" t="s">
        <v>945</v>
      </c>
      <c r="C30" s="361"/>
      <c r="D30" s="361"/>
      <c r="E30" s="361"/>
      <c r="F30" s="361"/>
      <c r="G30" s="362"/>
      <c r="H30" s="389">
        <f>-+'[152]Compte de Résultat'!$E$31</f>
        <v>4859497853</v>
      </c>
    </row>
    <row r="31" spans="1:8" x14ac:dyDescent="0.3">
      <c r="A31" s="378" t="s">
        <v>946</v>
      </c>
      <c r="B31" s="379" t="s">
        <v>947</v>
      </c>
      <c r="C31" s="380"/>
      <c r="D31" s="380"/>
      <c r="E31" s="380"/>
      <c r="F31" s="380"/>
      <c r="G31" s="381"/>
      <c r="H31" s="389">
        <f>-+'[152]Compte de Résultat'!$E$34</f>
        <v>18531485240</v>
      </c>
    </row>
    <row r="32" spans="1:8" x14ac:dyDescent="0.3">
      <c r="A32" s="383" t="s">
        <v>948</v>
      </c>
      <c r="B32" s="390" t="s">
        <v>949</v>
      </c>
      <c r="C32" s="391"/>
      <c r="D32" s="391"/>
      <c r="E32" s="391"/>
      <c r="F32" s="391"/>
      <c r="G32" s="392"/>
      <c r="H32" s="393">
        <f>+SUM(H20:H31)</f>
        <v>100067404468</v>
      </c>
    </row>
    <row r="33" spans="1:8" s="399" customFormat="1" x14ac:dyDescent="0.3">
      <c r="A33" s="394"/>
      <c r="B33" s="395"/>
      <c r="C33" s="396"/>
      <c r="D33" s="396"/>
      <c r="E33" s="396"/>
      <c r="F33" s="396"/>
      <c r="G33" s="397"/>
      <c r="H33" s="398"/>
    </row>
    <row r="34" spans="1:8" x14ac:dyDescent="0.3">
      <c r="A34" s="400" t="s">
        <v>950</v>
      </c>
      <c r="B34" s="401" t="s">
        <v>951</v>
      </c>
      <c r="C34" s="402"/>
      <c r="D34" s="402"/>
      <c r="E34" s="403"/>
      <c r="F34" s="404"/>
      <c r="G34" s="405"/>
      <c r="H34" s="406">
        <f>+H18-H32</f>
        <v>9129981194</v>
      </c>
    </row>
    <row r="35" spans="1:8" x14ac:dyDescent="0.3">
      <c r="A35" s="400"/>
      <c r="B35" s="407"/>
      <c r="C35" s="408" t="s">
        <v>952</v>
      </c>
      <c r="D35" s="408"/>
      <c r="E35" s="409"/>
      <c r="F35" s="409"/>
      <c r="G35" s="410"/>
      <c r="H35" s="411"/>
    </row>
    <row r="36" spans="1:8" x14ac:dyDescent="0.3">
      <c r="A36" s="359"/>
      <c r="B36" s="412" t="s">
        <v>953</v>
      </c>
      <c r="C36" s="361"/>
      <c r="D36" s="361"/>
      <c r="E36" s="361"/>
      <c r="F36" s="361"/>
      <c r="G36" s="413"/>
      <c r="H36" s="414"/>
    </row>
    <row r="37" spans="1:8" x14ac:dyDescent="0.3">
      <c r="A37" s="359" t="s">
        <v>954</v>
      </c>
      <c r="B37" s="360" t="s">
        <v>955</v>
      </c>
      <c r="C37" s="361"/>
      <c r="D37" s="361"/>
      <c r="E37" s="361"/>
      <c r="F37" s="361"/>
      <c r="G37" s="362"/>
      <c r="H37" s="415">
        <f>'[152]Compte de Résultat'!$E$36</f>
        <v>870907299</v>
      </c>
    </row>
    <row r="38" spans="1:8" x14ac:dyDescent="0.3">
      <c r="A38" s="359" t="s">
        <v>956</v>
      </c>
      <c r="B38" s="364" t="s">
        <v>957</v>
      </c>
      <c r="C38" s="361"/>
      <c r="D38" s="361"/>
      <c r="E38" s="361"/>
      <c r="F38" s="361"/>
      <c r="G38" s="362"/>
      <c r="H38" s="416">
        <v>0</v>
      </c>
    </row>
    <row r="39" spans="1:8" x14ac:dyDescent="0.3">
      <c r="A39" s="359" t="s">
        <v>958</v>
      </c>
      <c r="B39" s="360" t="s">
        <v>920</v>
      </c>
      <c r="C39" s="361"/>
      <c r="D39" s="361"/>
      <c r="E39" s="361"/>
      <c r="F39" s="361"/>
      <c r="G39" s="362"/>
      <c r="H39" s="415">
        <f>+'[152]Compte de Résultat'!$E$37</f>
        <v>0</v>
      </c>
    </row>
    <row r="40" spans="1:8" x14ac:dyDescent="0.3">
      <c r="A40" s="378" t="s">
        <v>959</v>
      </c>
      <c r="B40" s="379" t="s">
        <v>922</v>
      </c>
      <c r="C40" s="380"/>
      <c r="D40" s="380"/>
      <c r="E40" s="417"/>
      <c r="F40" s="380"/>
      <c r="G40" s="381"/>
      <c r="H40" s="418"/>
    </row>
    <row r="41" spans="1:8" x14ac:dyDescent="0.3">
      <c r="A41" s="383" t="s">
        <v>960</v>
      </c>
      <c r="B41" s="390" t="s">
        <v>961</v>
      </c>
      <c r="C41" s="391"/>
      <c r="D41" s="391"/>
      <c r="E41" s="391"/>
      <c r="F41" s="391"/>
      <c r="G41" s="392"/>
      <c r="H41" s="393">
        <f>+SUM(H37:H40)</f>
        <v>870907299</v>
      </c>
    </row>
    <row r="42" spans="1:8" x14ac:dyDescent="0.3">
      <c r="A42" s="359"/>
      <c r="B42" s="360"/>
      <c r="C42" s="361"/>
      <c r="D42" s="361"/>
      <c r="E42" s="361"/>
      <c r="F42" s="361"/>
      <c r="G42" s="362"/>
      <c r="H42" s="419"/>
    </row>
    <row r="43" spans="1:8" x14ac:dyDescent="0.3">
      <c r="A43" s="359" t="s">
        <v>962</v>
      </c>
      <c r="B43" s="360" t="s">
        <v>963</v>
      </c>
      <c r="C43" s="361"/>
      <c r="D43" s="361"/>
      <c r="E43" s="361"/>
      <c r="F43" s="361"/>
      <c r="G43" s="362"/>
      <c r="H43" s="415">
        <f>-'[152]Compte de Résultat'!$E$39</f>
        <v>4155056479</v>
      </c>
    </row>
    <row r="44" spans="1:8" x14ac:dyDescent="0.3">
      <c r="A44" s="359" t="s">
        <v>964</v>
      </c>
      <c r="B44" s="360" t="s">
        <v>965</v>
      </c>
      <c r="C44" s="361"/>
      <c r="D44" s="361"/>
      <c r="E44" s="361"/>
      <c r="F44" s="361"/>
      <c r="G44" s="362"/>
      <c r="H44" s="416">
        <v>0</v>
      </c>
    </row>
    <row r="45" spans="1:8" x14ac:dyDescent="0.3">
      <c r="A45" s="378" t="s">
        <v>966</v>
      </c>
      <c r="B45" s="379" t="s">
        <v>967</v>
      </c>
      <c r="C45" s="380"/>
      <c r="D45" s="380"/>
      <c r="E45" s="380"/>
      <c r="F45" s="380"/>
      <c r="G45" s="381"/>
      <c r="H45" s="418">
        <f>-'[152]Compte de Résultat'!$E$40</f>
        <v>0</v>
      </c>
    </row>
    <row r="46" spans="1:8" x14ac:dyDescent="0.3">
      <c r="A46" s="383" t="s">
        <v>968</v>
      </c>
      <c r="B46" s="390" t="s">
        <v>969</v>
      </c>
      <c r="C46" s="391"/>
      <c r="D46" s="391"/>
      <c r="E46" s="391"/>
      <c r="F46" s="391"/>
      <c r="G46" s="392"/>
      <c r="H46" s="393">
        <f>+SUM(H43:H45)</f>
        <v>4155056479</v>
      </c>
    </row>
    <row r="47" spans="1:8" x14ac:dyDescent="0.3">
      <c r="A47" s="401" t="s">
        <v>970</v>
      </c>
      <c r="B47" s="401" t="s">
        <v>971</v>
      </c>
      <c r="C47" s="402"/>
      <c r="D47" s="402"/>
      <c r="E47" s="420" t="s">
        <v>972</v>
      </c>
      <c r="F47" s="404"/>
      <c r="G47" s="405"/>
      <c r="H47" s="411">
        <f>+H41-H46</f>
        <v>-3284149180</v>
      </c>
    </row>
    <row r="48" spans="1:8" x14ac:dyDescent="0.3">
      <c r="A48" s="421" t="s">
        <v>970</v>
      </c>
      <c r="B48" s="421" t="s">
        <v>973</v>
      </c>
      <c r="C48" s="422"/>
      <c r="D48" s="422"/>
      <c r="E48" s="423" t="s">
        <v>972</v>
      </c>
      <c r="F48" s="370"/>
      <c r="G48" s="371"/>
      <c r="H48" s="419">
        <f>+H47+H34</f>
        <v>5845832014</v>
      </c>
    </row>
    <row r="49" spans="1:8" x14ac:dyDescent="0.3">
      <c r="A49" s="424"/>
      <c r="B49" s="425"/>
      <c r="C49" s="369"/>
      <c r="D49" s="370"/>
      <c r="E49" s="370"/>
      <c r="F49" s="361"/>
      <c r="G49" s="362"/>
      <c r="H49" s="426"/>
    </row>
    <row r="50" spans="1:8" x14ac:dyDescent="0.3">
      <c r="A50" s="359"/>
      <c r="B50" s="412" t="s">
        <v>974</v>
      </c>
      <c r="C50" s="361"/>
      <c r="D50" s="361"/>
      <c r="E50" s="427"/>
      <c r="F50" s="361"/>
      <c r="G50" s="362"/>
      <c r="H50" s="426"/>
    </row>
    <row r="51" spans="1:8" x14ac:dyDescent="0.3">
      <c r="A51" s="359" t="s">
        <v>975</v>
      </c>
      <c r="B51" s="360" t="s">
        <v>976</v>
      </c>
      <c r="C51" s="361"/>
      <c r="D51" s="361"/>
      <c r="E51" s="361"/>
      <c r="F51" s="361"/>
      <c r="G51" s="362"/>
      <c r="H51" s="389">
        <f>+'[152]Compte de Résultat'!$E$43</f>
        <v>0</v>
      </c>
    </row>
    <row r="52" spans="1:8" x14ac:dyDescent="0.3">
      <c r="A52" s="359" t="s">
        <v>977</v>
      </c>
      <c r="B52" s="360" t="s">
        <v>978</v>
      </c>
      <c r="C52" s="361"/>
      <c r="D52" s="361"/>
      <c r="E52" s="361"/>
      <c r="F52" s="376"/>
      <c r="G52" s="413"/>
      <c r="H52" s="389"/>
    </row>
    <row r="53" spans="1:8" x14ac:dyDescent="0.3">
      <c r="A53" s="359" t="s">
        <v>979</v>
      </c>
      <c r="B53" s="360" t="s">
        <v>980</v>
      </c>
      <c r="C53" s="361"/>
      <c r="D53" s="361"/>
      <c r="E53" s="361"/>
      <c r="F53" s="361"/>
      <c r="G53" s="362"/>
      <c r="H53" s="389"/>
    </row>
    <row r="54" spans="1:8" x14ac:dyDescent="0.3">
      <c r="A54" s="378" t="s">
        <v>981</v>
      </c>
      <c r="B54" s="379" t="s">
        <v>922</v>
      </c>
      <c r="C54" s="380"/>
      <c r="D54" s="380"/>
      <c r="E54" s="380"/>
      <c r="F54" s="428"/>
      <c r="G54" s="429"/>
      <c r="H54" s="418"/>
    </row>
    <row r="55" spans="1:8" x14ac:dyDescent="0.3">
      <c r="A55" s="430" t="s">
        <v>982</v>
      </c>
      <c r="B55" s="431" t="s">
        <v>983</v>
      </c>
      <c r="C55" s="391"/>
      <c r="D55" s="391"/>
      <c r="E55" s="391"/>
      <c r="F55" s="391"/>
      <c r="G55" s="392"/>
      <c r="H55" s="393">
        <f>+SUM(H51:H54)</f>
        <v>0</v>
      </c>
    </row>
    <row r="56" spans="1:8" s="399" customFormat="1" x14ac:dyDescent="0.3">
      <c r="A56" s="359" t="s">
        <v>984</v>
      </c>
      <c r="B56" s="360" t="s">
        <v>985</v>
      </c>
      <c r="C56" s="396"/>
      <c r="D56" s="396"/>
      <c r="E56" s="396"/>
      <c r="F56" s="396"/>
      <c r="G56" s="397"/>
      <c r="H56" s="432">
        <f>-'[152]Compte de Résultat'!$E$45</f>
        <v>0</v>
      </c>
    </row>
    <row r="57" spans="1:8" s="399" customFormat="1" x14ac:dyDescent="0.3">
      <c r="A57" s="359" t="s">
        <v>986</v>
      </c>
      <c r="B57" s="360" t="s">
        <v>987</v>
      </c>
      <c r="C57" s="396"/>
      <c r="D57" s="396"/>
      <c r="E57" s="396"/>
      <c r="F57" s="396"/>
      <c r="G57" s="397"/>
      <c r="H57" s="433"/>
    </row>
    <row r="58" spans="1:8" s="399" customFormat="1" x14ac:dyDescent="0.3">
      <c r="A58" s="359" t="s">
        <v>988</v>
      </c>
      <c r="B58" s="360" t="s">
        <v>989</v>
      </c>
      <c r="C58" s="396"/>
      <c r="D58" s="396"/>
      <c r="E58" s="396"/>
      <c r="F58" s="396"/>
      <c r="G58" s="397"/>
      <c r="H58" s="434"/>
    </row>
    <row r="59" spans="1:8" x14ac:dyDescent="0.3">
      <c r="A59" s="435" t="s">
        <v>990</v>
      </c>
      <c r="B59" s="436" t="s">
        <v>991</v>
      </c>
      <c r="C59" s="437"/>
      <c r="D59" s="437"/>
      <c r="E59" s="437"/>
      <c r="F59" s="437"/>
      <c r="G59" s="438"/>
      <c r="H59" s="439">
        <f>+SUM(H56:H58)</f>
        <v>0</v>
      </c>
    </row>
    <row r="60" spans="1:8" s="446" customFormat="1" x14ac:dyDescent="0.3">
      <c r="A60" s="440" t="s">
        <v>992</v>
      </c>
      <c r="B60" s="440" t="s">
        <v>993</v>
      </c>
      <c r="C60" s="441"/>
      <c r="D60" s="441"/>
      <c r="E60" s="442" t="s">
        <v>972</v>
      </c>
      <c r="F60" s="443"/>
      <c r="G60" s="444"/>
      <c r="H60" s="445">
        <f>+H55-H59</f>
        <v>0</v>
      </c>
    </row>
    <row r="61" spans="1:8" x14ac:dyDescent="0.3">
      <c r="A61" s="359" t="s">
        <v>994</v>
      </c>
      <c r="B61" s="360" t="s">
        <v>995</v>
      </c>
      <c r="C61" s="361"/>
      <c r="D61" s="361"/>
      <c r="E61" s="361"/>
      <c r="F61" s="361"/>
      <c r="G61" s="362"/>
      <c r="H61" s="415">
        <f>-'[152]Compte de Résultat'!$E$49</f>
        <v>1067468330</v>
      </c>
    </row>
    <row r="62" spans="1:8" x14ac:dyDescent="0.3">
      <c r="A62" s="447" t="s">
        <v>996</v>
      </c>
      <c r="B62" s="437" t="s">
        <v>997</v>
      </c>
      <c r="C62" s="437"/>
      <c r="D62" s="437"/>
      <c r="E62" s="437"/>
      <c r="F62" s="437"/>
      <c r="G62" s="437"/>
      <c r="H62" s="439">
        <f>+H61</f>
        <v>1067468330</v>
      </c>
    </row>
    <row r="63" spans="1:8" s="450" customFormat="1" x14ac:dyDescent="0.3">
      <c r="A63" s="448" t="s">
        <v>998</v>
      </c>
      <c r="B63" s="1943" t="s">
        <v>999</v>
      </c>
      <c r="C63" s="1944"/>
      <c r="D63" s="1944"/>
      <c r="E63" s="1944"/>
      <c r="F63" s="1944"/>
      <c r="G63" s="1945"/>
      <c r="H63" s="449">
        <f>+H48+H60-H62</f>
        <v>4778363684</v>
      </c>
    </row>
    <row r="64" spans="1:8" s="446" customFormat="1" x14ac:dyDescent="0.3">
      <c r="A64" s="451"/>
      <c r="B64" s="452"/>
      <c r="C64" s="453"/>
      <c r="D64" s="454"/>
      <c r="E64" s="454"/>
      <c r="F64" s="454"/>
      <c r="G64" s="454"/>
      <c r="H64" s="455">
        <f>+H63-'Bilan Passif '!C17</f>
        <v>0</v>
      </c>
    </row>
    <row r="65" spans="8:8" x14ac:dyDescent="0.3">
      <c r="H65" s="278"/>
    </row>
    <row r="66" spans="8:8" x14ac:dyDescent="0.3">
      <c r="H66" s="278"/>
    </row>
    <row r="67" spans="8:8" x14ac:dyDescent="0.3">
      <c r="H67" s="278"/>
    </row>
    <row r="68" spans="8:8" x14ac:dyDescent="0.3">
      <c r="H68" s="278"/>
    </row>
    <row r="69" spans="8:8" x14ac:dyDescent="0.3">
      <c r="H69" s="278"/>
    </row>
    <row r="70" spans="8:8" x14ac:dyDescent="0.3">
      <c r="H70" s="278"/>
    </row>
    <row r="71" spans="8:8" x14ac:dyDescent="0.3">
      <c r="H71" s="278"/>
    </row>
    <row r="72" spans="8:8" x14ac:dyDescent="0.3">
      <c r="H72" s="278"/>
    </row>
    <row r="73" spans="8:8" x14ac:dyDescent="0.3">
      <c r="H73" s="278"/>
    </row>
    <row r="74" spans="8:8" x14ac:dyDescent="0.3">
      <c r="H74" s="278"/>
    </row>
    <row r="75" spans="8:8" x14ac:dyDescent="0.3">
      <c r="H75" s="278"/>
    </row>
    <row r="76" spans="8:8" x14ac:dyDescent="0.3">
      <c r="H76" s="278"/>
    </row>
    <row r="77" spans="8:8" x14ac:dyDescent="0.3">
      <c r="H77" s="278"/>
    </row>
    <row r="78" spans="8:8" x14ac:dyDescent="0.3">
      <c r="H78" s="278"/>
    </row>
    <row r="79" spans="8:8" x14ac:dyDescent="0.3">
      <c r="H79" s="278"/>
    </row>
    <row r="80" spans="8:8" x14ac:dyDescent="0.3">
      <c r="H80" s="278"/>
    </row>
    <row r="81" spans="8:8" x14ac:dyDescent="0.3">
      <c r="H81" s="278"/>
    </row>
    <row r="82" spans="8:8" x14ac:dyDescent="0.3">
      <c r="H82" s="278"/>
    </row>
    <row r="83" spans="8:8" x14ac:dyDescent="0.3">
      <c r="H83" s="278"/>
    </row>
    <row r="84" spans="8:8" x14ac:dyDescent="0.3">
      <c r="H84" s="278"/>
    </row>
    <row r="85" spans="8:8" x14ac:dyDescent="0.3">
      <c r="H85" s="278"/>
    </row>
    <row r="86" spans="8:8" x14ac:dyDescent="0.3">
      <c r="H86" s="278"/>
    </row>
    <row r="87" spans="8:8" x14ac:dyDescent="0.3">
      <c r="H87" s="278"/>
    </row>
    <row r="88" spans="8:8" x14ac:dyDescent="0.3">
      <c r="H88" s="278"/>
    </row>
    <row r="89" spans="8:8" x14ac:dyDescent="0.3">
      <c r="H89" s="278"/>
    </row>
    <row r="90" spans="8:8" x14ac:dyDescent="0.3">
      <c r="H90" s="278"/>
    </row>
    <row r="91" spans="8:8" x14ac:dyDescent="0.3">
      <c r="H91" s="278"/>
    </row>
    <row r="92" spans="8:8" x14ac:dyDescent="0.3">
      <c r="H92" s="278"/>
    </row>
    <row r="93" spans="8:8" x14ac:dyDescent="0.3">
      <c r="H93" s="278"/>
    </row>
    <row r="94" spans="8:8" x14ac:dyDescent="0.3">
      <c r="H94" s="278"/>
    </row>
    <row r="95" spans="8:8" x14ac:dyDescent="0.3">
      <c r="H95" s="278"/>
    </row>
    <row r="96" spans="8:8" x14ac:dyDescent="0.3">
      <c r="H96" s="278"/>
    </row>
    <row r="97" spans="8:8" x14ac:dyDescent="0.3">
      <c r="H97" s="278"/>
    </row>
    <row r="98" spans="8:8" x14ac:dyDescent="0.3">
      <c r="H98" s="278"/>
    </row>
    <row r="99" spans="8:8" x14ac:dyDescent="0.3">
      <c r="H99" s="278"/>
    </row>
    <row r="100" spans="8:8" x14ac:dyDescent="0.3">
      <c r="H100" s="278"/>
    </row>
    <row r="101" spans="8:8" x14ac:dyDescent="0.3">
      <c r="H101" s="278"/>
    </row>
    <row r="102" spans="8:8" x14ac:dyDescent="0.3">
      <c r="H102" s="278"/>
    </row>
    <row r="103" spans="8:8" x14ac:dyDescent="0.3">
      <c r="H103" s="278"/>
    </row>
    <row r="104" spans="8:8" x14ac:dyDescent="0.3">
      <c r="H104" s="278"/>
    </row>
    <row r="105" spans="8:8" x14ac:dyDescent="0.3">
      <c r="H105" s="278"/>
    </row>
    <row r="106" spans="8:8" x14ac:dyDescent="0.3">
      <c r="H106" s="278"/>
    </row>
    <row r="107" spans="8:8" x14ac:dyDescent="0.3">
      <c r="H107" s="278"/>
    </row>
    <row r="108" spans="8:8" x14ac:dyDescent="0.3">
      <c r="H108" s="278"/>
    </row>
    <row r="109" spans="8:8" x14ac:dyDescent="0.3">
      <c r="H109" s="278"/>
    </row>
    <row r="110" spans="8:8" x14ac:dyDescent="0.3">
      <c r="H110" s="278"/>
    </row>
    <row r="590" spans="7:8" x14ac:dyDescent="0.3">
      <c r="G590" s="145">
        <v>1068901341</v>
      </c>
      <c r="H590" s="145">
        <v>336311975</v>
      </c>
    </row>
  </sheetData>
  <sheetProtection formatCells="0" formatColumns="0" formatRows="0"/>
  <mergeCells count="3">
    <mergeCell ref="B3:E3"/>
    <mergeCell ref="B4:G4"/>
    <mergeCell ref="B63:G63"/>
  </mergeCells>
  <hyperlinks>
    <hyperlink ref="A1" location="Sommaire!F9" display="Sommaire" xr:uid="{00000000-0004-0000-0600-000000000000}"/>
  </hyperlinks>
  <printOptions horizontalCentered="1"/>
  <pageMargins left="0" right="0" top="0.28999999999999998" bottom="0.59055118110236227" header="0.17" footer="0.19685039370078741"/>
  <pageSetup paperSize="9" scale="82" fitToHeight="0" orientation="portrait" r:id="rId1"/>
  <headerFooter alignWithMargins="0">
    <oddHeader>&amp;L&amp;"Arial,Gras"&amp;20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2:AH60"/>
  <sheetViews>
    <sheetView showGridLines="0" view="pageBreakPreview" topLeftCell="A16" zoomScale="60" zoomScaleNormal="55" workbookViewId="0">
      <selection activeCell="AT18" sqref="AT18"/>
    </sheetView>
  </sheetViews>
  <sheetFormatPr baseColWidth="10" defaultColWidth="11.44140625" defaultRowHeight="14.4" x14ac:dyDescent="0.3"/>
  <cols>
    <col min="1" max="1" width="3.5546875" style="1" customWidth="1"/>
    <col min="2" max="2" width="3.109375" style="1" customWidth="1"/>
    <col min="3" max="3" width="3.109375" style="2" customWidth="1"/>
    <col min="4" max="13" width="12.5546875" style="1" customWidth="1"/>
    <col min="14" max="16" width="11.44140625" style="1"/>
    <col min="17" max="17" width="3.109375" style="1" customWidth="1"/>
    <col min="18" max="18" width="3.109375" style="2" customWidth="1"/>
    <col min="19" max="19" width="3.5546875" style="1" customWidth="1"/>
    <col min="20" max="20" width="1.109375" style="1" customWidth="1"/>
    <col min="21" max="44" width="11.44140625" style="1"/>
    <col min="45" max="45" width="9.44140625" style="1" customWidth="1"/>
    <col min="46" max="16384" width="11.44140625" style="1"/>
  </cols>
  <sheetData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/>
      <c r="B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s="4"/>
    </row>
    <row r="4" spans="1:19" x14ac:dyDescent="0.3">
      <c r="A4" s="4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4"/>
    </row>
    <row r="5" spans="1:19" x14ac:dyDescent="0.3">
      <c r="A5" s="4"/>
      <c r="B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4"/>
    </row>
    <row r="6" spans="1:19" x14ac:dyDescent="0.3">
      <c r="A6" s="4"/>
      <c r="B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4"/>
    </row>
    <row r="7" spans="1:19" x14ac:dyDescent="0.3">
      <c r="A7" s="4"/>
      <c r="B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4"/>
    </row>
    <row r="8" spans="1:19" x14ac:dyDescent="0.3">
      <c r="A8" s="4"/>
      <c r="B8" s="2"/>
      <c r="Q8" s="2"/>
      <c r="S8" s="4"/>
    </row>
    <row r="9" spans="1:19" x14ac:dyDescent="0.3">
      <c r="A9" s="4"/>
      <c r="B9" s="2"/>
      <c r="Q9" s="2"/>
      <c r="S9" s="4"/>
    </row>
    <row r="10" spans="1:19" x14ac:dyDescent="0.3">
      <c r="A10" s="4"/>
      <c r="B10" s="2"/>
      <c r="Q10" s="2"/>
      <c r="S10" s="4"/>
    </row>
    <row r="11" spans="1:19" x14ac:dyDescent="0.3">
      <c r="A11" s="4"/>
      <c r="B11" s="2"/>
      <c r="Q11" s="2"/>
      <c r="S11" s="4"/>
    </row>
    <row r="12" spans="1:19" s="7" customFormat="1" x14ac:dyDescent="0.3">
      <c r="A12" s="5"/>
      <c r="B12" s="6"/>
      <c r="C12" s="6"/>
      <c r="D12" s="1915"/>
      <c r="E12" s="1915"/>
      <c r="F12" s="1915"/>
      <c r="G12" s="1915"/>
      <c r="H12" s="1915"/>
      <c r="I12" s="1915"/>
      <c r="J12" s="1915"/>
      <c r="K12" s="1915"/>
      <c r="L12" s="1915"/>
      <c r="M12" s="1915"/>
      <c r="N12" s="1915"/>
      <c r="Q12" s="6"/>
      <c r="R12" s="6"/>
      <c r="S12" s="5"/>
    </row>
    <row r="13" spans="1:19" s="7" customFormat="1" ht="15" customHeight="1" x14ac:dyDescent="0.3">
      <c r="A13" s="5"/>
      <c r="B13" s="6"/>
      <c r="C13" s="6"/>
      <c r="Q13" s="6"/>
      <c r="R13" s="6"/>
      <c r="S13" s="5"/>
    </row>
    <row r="14" spans="1:19" s="7" customFormat="1" ht="15.75" customHeight="1" thickBot="1" x14ac:dyDescent="0.35">
      <c r="A14" s="5"/>
      <c r="B14" s="6"/>
      <c r="C14" s="6"/>
      <c r="Q14" s="6"/>
      <c r="R14" s="6"/>
      <c r="S14" s="5"/>
    </row>
    <row r="15" spans="1:19" s="7" customFormat="1" x14ac:dyDescent="0.3">
      <c r="A15" s="5"/>
      <c r="B15" s="6"/>
      <c r="C15" s="6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6"/>
      <c r="R15" s="6"/>
      <c r="S15" s="5"/>
    </row>
    <row r="16" spans="1:19" s="7" customFormat="1" ht="46.2" x14ac:dyDescent="0.3">
      <c r="A16" s="5"/>
      <c r="B16" s="6"/>
      <c r="C16" s="6"/>
      <c r="D16" s="14"/>
      <c r="E16" s="1920" t="s">
        <v>1000</v>
      </c>
      <c r="F16" s="1920"/>
      <c r="G16" s="1920"/>
      <c r="H16" s="1920"/>
      <c r="I16" s="1920"/>
      <c r="J16" s="1920"/>
      <c r="K16" s="1920"/>
      <c r="L16" s="1920"/>
      <c r="M16" s="1920"/>
      <c r="N16" s="1920"/>
      <c r="O16" s="1920"/>
      <c r="P16" s="15"/>
      <c r="Q16" s="6"/>
      <c r="R16" s="6"/>
      <c r="S16" s="5"/>
    </row>
    <row r="17" spans="1:19" ht="34.200000000000003" thickBot="1" x14ac:dyDescent="0.7">
      <c r="A17" s="4"/>
      <c r="B17" s="2"/>
      <c r="D17" s="2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"/>
      <c r="S17" s="4"/>
    </row>
    <row r="18" spans="1:19" ht="31.2" x14ac:dyDescent="0.6">
      <c r="A18" s="4"/>
      <c r="B18" s="2"/>
      <c r="D18" s="30"/>
      <c r="E18" s="2"/>
      <c r="F18" s="2"/>
      <c r="G18" s="2"/>
      <c r="H18" s="2"/>
      <c r="I18" s="2"/>
      <c r="J18" s="2"/>
      <c r="K18" s="2"/>
      <c r="L18" s="2"/>
      <c r="M18" s="2"/>
      <c r="N18" s="2"/>
      <c r="O18" s="31"/>
      <c r="P18" s="31"/>
      <c r="Q18" s="2"/>
      <c r="S18" s="4"/>
    </row>
    <row r="19" spans="1:19" ht="31.2" x14ac:dyDescent="0.6">
      <c r="A19" s="4"/>
      <c r="B19" s="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Q19" s="2"/>
      <c r="S19" s="4"/>
    </row>
    <row r="20" spans="1:19" x14ac:dyDescent="0.3">
      <c r="A20" s="4"/>
      <c r="B20" s="2"/>
      <c r="Q20" s="2"/>
      <c r="S20" s="4"/>
    </row>
    <row r="21" spans="1:19" x14ac:dyDescent="0.3">
      <c r="A21" s="4"/>
      <c r="B21" s="2"/>
      <c r="Q21" s="2"/>
      <c r="S21" s="4"/>
    </row>
    <row r="22" spans="1:19" x14ac:dyDescent="0.3">
      <c r="A22" s="4"/>
      <c r="B22" s="2"/>
      <c r="Q22" s="2"/>
      <c r="S22" s="4"/>
    </row>
    <row r="23" spans="1:19" x14ac:dyDescent="0.3">
      <c r="A23" s="4"/>
      <c r="B23" s="2"/>
      <c r="Q23" s="2"/>
      <c r="S23" s="4"/>
    </row>
    <row r="24" spans="1:19" x14ac:dyDescent="0.3">
      <c r="A24" s="4"/>
      <c r="B24" s="2"/>
      <c r="Q24" s="2"/>
      <c r="S24" s="4"/>
    </row>
    <row r="25" spans="1:19" x14ac:dyDescent="0.3">
      <c r="A25" s="4"/>
      <c r="B25" s="2"/>
      <c r="G25" s="1" t="s">
        <v>13</v>
      </c>
      <c r="Q25" s="2"/>
      <c r="S25" s="4"/>
    </row>
    <row r="26" spans="1:19" x14ac:dyDescent="0.3">
      <c r="A26" s="4"/>
      <c r="B26" s="2"/>
      <c r="Q26" s="2"/>
      <c r="S26" s="4"/>
    </row>
    <row r="27" spans="1:19" x14ac:dyDescent="0.3">
      <c r="A27" s="4"/>
      <c r="B27" s="2"/>
      <c r="Q27" s="2"/>
      <c r="S27" s="4"/>
    </row>
    <row r="28" spans="1:19" x14ac:dyDescent="0.3">
      <c r="A28" s="4"/>
      <c r="B28" s="2"/>
      <c r="E28" s="34"/>
      <c r="Q28" s="2"/>
      <c r="S28" s="4"/>
    </row>
    <row r="29" spans="1:19" x14ac:dyDescent="0.3">
      <c r="A29" s="4"/>
      <c r="B29" s="2"/>
      <c r="Q29" s="2"/>
      <c r="S29" s="4"/>
    </row>
    <row r="30" spans="1:19" x14ac:dyDescent="0.3">
      <c r="A30" s="4"/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4"/>
    </row>
    <row r="31" spans="1:19" x14ac:dyDescent="0.3">
      <c r="A31" s="4"/>
      <c r="B31" s="2"/>
      <c r="D31" s="3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4"/>
    </row>
    <row r="32" spans="1:19" x14ac:dyDescent="0.3">
      <c r="A32" s="4"/>
      <c r="B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</row>
    <row r="33" spans="1:34" x14ac:dyDescent="0.3">
      <c r="A33" s="4"/>
      <c r="B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4"/>
    </row>
    <row r="34" spans="1:34" x14ac:dyDescent="0.3">
      <c r="A34" s="4"/>
      <c r="B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4"/>
      <c r="AH34" s="36"/>
    </row>
    <row r="35" spans="1:3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60" spans="3:33" x14ac:dyDescent="0.3">
      <c r="C60" s="1"/>
      <c r="R60" s="1"/>
      <c r="AG60" s="70"/>
    </row>
  </sheetData>
  <sheetProtection formatCells="0" formatColumns="0" formatRows="0"/>
  <mergeCells count="2">
    <mergeCell ref="D12:N12"/>
    <mergeCell ref="E16:O16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BL181"/>
  <sheetViews>
    <sheetView showGridLines="0" view="pageBreakPreview" zoomScale="90" zoomScaleNormal="80" zoomScaleSheetLayoutView="90" workbookViewId="0">
      <pane xSplit="5" ySplit="5" topLeftCell="BD132" activePane="bottomRight" state="frozen"/>
      <selection activeCell="AT18" sqref="AT18"/>
      <selection pane="topRight" activeCell="AT18" sqref="AT18"/>
      <selection pane="bottomLeft" activeCell="AT18" sqref="AT18"/>
      <selection pane="bottomRight" activeCell="AT18" sqref="AT18"/>
    </sheetView>
  </sheetViews>
  <sheetFormatPr baseColWidth="10" defaultColWidth="11.44140625" defaultRowHeight="14.4" outlineLevelCol="1" x14ac:dyDescent="0.3"/>
  <cols>
    <col min="1" max="1" width="1.44140625" style="2" customWidth="1"/>
    <col min="2" max="2" width="13.44140625" style="2" customWidth="1"/>
    <col min="3" max="3" width="57.44140625" style="2" customWidth="1"/>
    <col min="4" max="4" width="1.44140625" style="481" customWidth="1"/>
    <col min="5" max="5" width="22.88671875" style="457" customWidth="1"/>
    <col min="6" max="6" width="1.5546875" style="458" customWidth="1"/>
    <col min="7" max="16" width="15.5546875" style="458" hidden="1" customWidth="1" outlineLevel="1"/>
    <col min="17" max="17" width="15.5546875" style="458" customWidth="1" collapsed="1"/>
    <col min="18" max="18" width="15.5546875" style="458" customWidth="1"/>
    <col min="19" max="19" width="14.109375" style="458" bestFit="1" customWidth="1"/>
    <col min="20" max="20" width="16.33203125" style="458" bestFit="1" customWidth="1"/>
    <col min="21" max="21" width="14.44140625" style="458" bestFit="1" customWidth="1"/>
    <col min="22" max="22" width="18" style="458" bestFit="1" customWidth="1"/>
    <col min="23" max="24" width="12.44140625" style="458" bestFit="1" customWidth="1"/>
    <col min="25" max="25" width="13.109375" style="458" bestFit="1" customWidth="1"/>
    <col min="26" max="26" width="16.5546875" style="458" bestFit="1" customWidth="1"/>
    <col min="27" max="27" width="10.44140625" style="458" bestFit="1" customWidth="1"/>
    <col min="28" max="28" width="12.109375" style="458" bestFit="1" customWidth="1"/>
    <col min="29" max="29" width="15.5546875" style="458" customWidth="1"/>
    <col min="30" max="30" width="19.109375" style="458" bestFit="1" customWidth="1"/>
    <col min="31" max="32" width="15.5546875" style="458" customWidth="1"/>
    <col min="33" max="33" width="17.109375" style="458" bestFit="1" customWidth="1"/>
    <col min="34" max="38" width="15.5546875" style="458" customWidth="1"/>
    <col min="39" max="39" width="18.6640625" style="458" bestFit="1" customWidth="1"/>
    <col min="40" max="40" width="13.6640625" style="458" bestFit="1" customWidth="1"/>
    <col min="41" max="41" width="19.88671875" style="458" bestFit="1" customWidth="1"/>
    <col min="42" max="42" width="17.5546875" style="458" bestFit="1" customWidth="1"/>
    <col min="43" max="47" width="15.5546875" style="458" customWidth="1"/>
    <col min="48" max="48" width="14.109375" style="458" bestFit="1" customWidth="1"/>
    <col min="49" max="52" width="15.5546875" style="458" customWidth="1"/>
    <col min="53" max="53" width="17.5546875" style="458" bestFit="1" customWidth="1"/>
    <col min="54" max="54" width="16.5546875" style="458" bestFit="1" customWidth="1"/>
    <col min="55" max="55" width="20.88671875" style="458" bestFit="1" customWidth="1" outlineLevel="1"/>
    <col min="56" max="56" width="18.33203125" style="458" bestFit="1" customWidth="1" outlineLevel="1"/>
    <col min="57" max="57" width="15.5546875" style="458" customWidth="1" outlineLevel="1"/>
    <col min="58" max="58" width="23.33203125" style="458" bestFit="1" customWidth="1" outlineLevel="1"/>
    <col min="59" max="59" width="1.44140625" style="481" customWidth="1"/>
    <col min="60" max="60" width="21.88671875" style="1528" bestFit="1" customWidth="1"/>
    <col min="61" max="61" width="1.44140625" style="72" customWidth="1"/>
    <col min="62" max="62" width="24.44140625" style="460" bestFit="1" customWidth="1"/>
    <col min="63" max="63" width="13.109375" style="72" bestFit="1" customWidth="1"/>
    <col min="64" max="16384" width="11.44140625" style="72"/>
  </cols>
  <sheetData>
    <row r="1" spans="1:63" ht="115.2" hidden="1" x14ac:dyDescent="0.3">
      <c r="A1" s="456" t="s">
        <v>75</v>
      </c>
      <c r="B1" s="6"/>
      <c r="C1" s="6"/>
      <c r="D1" s="138"/>
      <c r="BG1" s="138"/>
    </row>
    <row r="2" spans="1:63" s="461" customFormat="1" x14ac:dyDescent="0.3">
      <c r="B2" s="462"/>
      <c r="C2" s="463"/>
      <c r="E2" s="463"/>
      <c r="F2" s="464"/>
      <c r="G2" s="1946" t="s">
        <v>1001</v>
      </c>
      <c r="H2" s="1947"/>
      <c r="I2" s="1947"/>
      <c r="J2" s="1947"/>
      <c r="K2" s="1947"/>
      <c r="L2" s="1947"/>
      <c r="M2" s="1947"/>
      <c r="N2" s="1947"/>
      <c r="O2" s="1947"/>
      <c r="P2" s="1948"/>
      <c r="Q2" s="1960" t="s">
        <v>1002</v>
      </c>
      <c r="R2" s="1960"/>
      <c r="S2" s="1960"/>
      <c r="T2" s="1960"/>
      <c r="U2" s="1960"/>
      <c r="V2" s="1960"/>
      <c r="W2" s="1960"/>
      <c r="X2" s="1960"/>
      <c r="Y2" s="1960"/>
      <c r="Z2" s="1949" t="s">
        <v>1003</v>
      </c>
      <c r="AA2" s="1950"/>
      <c r="AB2" s="1950"/>
      <c r="AC2" s="1950"/>
      <c r="AD2" s="1950"/>
      <c r="AE2" s="1950"/>
      <c r="AF2" s="1950"/>
      <c r="AG2" s="1950"/>
      <c r="AH2" s="1950"/>
      <c r="AI2" s="1950"/>
      <c r="AJ2" s="1950"/>
      <c r="AK2" s="1950"/>
      <c r="AL2" s="1950"/>
      <c r="AM2" s="1950"/>
      <c r="AN2" s="1950"/>
      <c r="AO2" s="1950"/>
      <c r="AP2" s="1950"/>
      <c r="AQ2" s="1950"/>
      <c r="AR2" s="1950"/>
      <c r="AS2" s="1950"/>
      <c r="AT2" s="1950"/>
      <c r="AU2" s="1950"/>
      <c r="AV2" s="1950"/>
      <c r="AW2" s="1950"/>
      <c r="AX2" s="1950"/>
      <c r="AY2" s="1950"/>
      <c r="AZ2" s="1950"/>
      <c r="BA2" s="1950"/>
      <c r="BB2" s="1951"/>
      <c r="BC2" s="1952" t="s">
        <v>1004</v>
      </c>
      <c r="BD2" s="1953"/>
      <c r="BE2" s="1953"/>
      <c r="BF2" s="1954"/>
      <c r="BH2" s="1529"/>
    </row>
    <row r="3" spans="1:63" s="2" customFormat="1" ht="42.75" customHeight="1" x14ac:dyDescent="0.7">
      <c r="B3" s="465"/>
      <c r="C3" s="466" t="s">
        <v>23</v>
      </c>
      <c r="D3" s="467"/>
      <c r="E3" s="457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1961"/>
      <c r="R3" s="1961"/>
      <c r="S3" s="1961"/>
      <c r="T3" s="1961"/>
      <c r="U3" s="1961"/>
      <c r="V3" s="1961"/>
      <c r="W3" s="1961"/>
      <c r="X3" s="1961"/>
      <c r="Y3" s="1961"/>
      <c r="Z3" s="459"/>
      <c r="AA3" s="459"/>
      <c r="AB3" s="459"/>
      <c r="AC3" s="459"/>
      <c r="AD3" s="459"/>
      <c r="AE3" s="459"/>
      <c r="AF3" s="459"/>
      <c r="AG3" s="459"/>
      <c r="AH3" s="459"/>
      <c r="AI3" s="459"/>
      <c r="AJ3" s="459"/>
      <c r="AK3" s="459"/>
      <c r="AL3" s="459"/>
      <c r="AM3" s="459"/>
      <c r="AN3" s="459"/>
      <c r="AO3" s="459"/>
      <c r="AP3" s="459"/>
      <c r="AQ3" s="459"/>
      <c r="AR3" s="459"/>
      <c r="AS3" s="459"/>
      <c r="AT3" s="459"/>
      <c r="AU3" s="459"/>
      <c r="AV3" s="459"/>
      <c r="AW3" s="459"/>
      <c r="AX3" s="459"/>
      <c r="AY3" s="459"/>
      <c r="AZ3" s="459"/>
      <c r="BA3" s="459"/>
      <c r="BB3" s="459"/>
      <c r="BC3" s="459"/>
      <c r="BD3" s="459"/>
      <c r="BE3" s="459"/>
      <c r="BF3" s="459"/>
      <c r="BG3" s="467"/>
      <c r="BH3" s="1528"/>
      <c r="BJ3" s="468"/>
    </row>
    <row r="4" spans="1:63" s="469" customFormat="1" ht="28.5" customHeight="1" x14ac:dyDescent="0.3">
      <c r="C4" s="470" t="str">
        <f>Cover!Y13</f>
        <v>En millions de FCFA</v>
      </c>
      <c r="D4" s="471"/>
      <c r="E4" s="1955" t="s">
        <v>74</v>
      </c>
      <c r="G4" s="1956" t="s">
        <v>1005</v>
      </c>
      <c r="H4" s="1957"/>
      <c r="I4" s="1956" t="s">
        <v>1006</v>
      </c>
      <c r="J4" s="1957"/>
      <c r="K4" s="1956" t="s">
        <v>1007</v>
      </c>
      <c r="L4" s="1957"/>
      <c r="M4" s="1956" t="s">
        <v>1008</v>
      </c>
      <c r="N4" s="1957"/>
      <c r="O4" s="1956" t="s">
        <v>1009</v>
      </c>
      <c r="P4" s="1957"/>
      <c r="Q4" s="1959" t="s">
        <v>1010</v>
      </c>
      <c r="R4" s="1959" t="s">
        <v>1011</v>
      </c>
      <c r="S4" s="1959" t="s">
        <v>1012</v>
      </c>
      <c r="T4" s="1959" t="s">
        <v>1013</v>
      </c>
      <c r="U4" s="1958" t="s">
        <v>1014</v>
      </c>
      <c r="V4" s="1959" t="s">
        <v>1015</v>
      </c>
      <c r="W4" s="1959" t="s">
        <v>1016</v>
      </c>
      <c r="X4" s="1959" t="s">
        <v>1017</v>
      </c>
      <c r="Y4" s="1958" t="s">
        <v>1018</v>
      </c>
      <c r="Z4" s="1956" t="s">
        <v>1019</v>
      </c>
      <c r="AA4" s="1957"/>
      <c r="AB4" s="1956" t="s">
        <v>1020</v>
      </c>
      <c r="AC4" s="1957"/>
      <c r="AD4" s="1956" t="s">
        <v>1021</v>
      </c>
      <c r="AE4" s="1958"/>
      <c r="AF4" s="1957"/>
      <c r="AG4" s="1956" t="s">
        <v>1022</v>
      </c>
      <c r="AH4" s="1957"/>
      <c r="AI4" s="1956" t="s">
        <v>1023</v>
      </c>
      <c r="AJ4" s="1957"/>
      <c r="AK4" s="1956" t="s">
        <v>1024</v>
      </c>
      <c r="AL4" s="1957"/>
      <c r="AM4" s="1956" t="s">
        <v>1025</v>
      </c>
      <c r="AN4" s="1957"/>
      <c r="AO4" s="1956" t="s">
        <v>1026</v>
      </c>
      <c r="AP4" s="1957"/>
      <c r="AQ4" s="1958" t="s">
        <v>1027</v>
      </c>
      <c r="AR4" s="1958"/>
      <c r="AS4" s="1956" t="s">
        <v>1028</v>
      </c>
      <c r="AT4" s="1957"/>
      <c r="AU4" s="1958" t="s">
        <v>1029</v>
      </c>
      <c r="AV4" s="1958"/>
      <c r="AW4" s="1956" t="s">
        <v>1030</v>
      </c>
      <c r="AX4" s="1957"/>
      <c r="AY4" s="1958" t="s">
        <v>1031</v>
      </c>
      <c r="AZ4" s="1958"/>
      <c r="BA4" s="1956" t="s">
        <v>1032</v>
      </c>
      <c r="BB4" s="1957"/>
      <c r="BC4" s="472" t="s">
        <v>1033</v>
      </c>
      <c r="BD4" s="472" t="s">
        <v>1034</v>
      </c>
      <c r="BE4" s="472" t="s">
        <v>1035</v>
      </c>
      <c r="BF4" s="472" t="s">
        <v>1036</v>
      </c>
      <c r="BG4" s="471"/>
      <c r="BH4" s="1963" t="s">
        <v>78</v>
      </c>
      <c r="BJ4" s="473" t="s">
        <v>78</v>
      </c>
    </row>
    <row r="5" spans="1:63" s="469" customFormat="1" ht="28.8" x14ac:dyDescent="0.3">
      <c r="D5" s="471"/>
      <c r="E5" s="1955"/>
      <c r="G5" s="474" t="s">
        <v>1037</v>
      </c>
      <c r="H5" s="474" t="s">
        <v>1038</v>
      </c>
      <c r="I5" s="474" t="s">
        <v>1037</v>
      </c>
      <c r="J5" s="474" t="s">
        <v>1038</v>
      </c>
      <c r="K5" s="474" t="s">
        <v>1037</v>
      </c>
      <c r="L5" s="474" t="s">
        <v>1038</v>
      </c>
      <c r="M5" s="474" t="s">
        <v>1037</v>
      </c>
      <c r="N5" s="474" t="s">
        <v>1038</v>
      </c>
      <c r="O5" s="474" t="s">
        <v>1037</v>
      </c>
      <c r="P5" s="474" t="s">
        <v>1038</v>
      </c>
      <c r="Q5" s="1959"/>
      <c r="R5" s="1959"/>
      <c r="S5" s="1959"/>
      <c r="T5" s="1959"/>
      <c r="U5" s="1958"/>
      <c r="V5" s="1959"/>
      <c r="W5" s="1959"/>
      <c r="X5" s="1959"/>
      <c r="Y5" s="1958"/>
      <c r="Z5" s="474" t="s">
        <v>1037</v>
      </c>
      <c r="AA5" s="474" t="s">
        <v>1038</v>
      </c>
      <c r="AB5" s="474" t="s">
        <v>1037</v>
      </c>
      <c r="AC5" s="474" t="s">
        <v>1038</v>
      </c>
      <c r="AD5" s="474" t="s">
        <v>1037</v>
      </c>
      <c r="AE5" s="474" t="s">
        <v>1039</v>
      </c>
      <c r="AF5" s="474" t="s">
        <v>1040</v>
      </c>
      <c r="AG5" s="474" t="s">
        <v>1037</v>
      </c>
      <c r="AH5" s="474" t="s">
        <v>1038</v>
      </c>
      <c r="AI5" s="474" t="s">
        <v>1037</v>
      </c>
      <c r="AJ5" s="474" t="s">
        <v>1038</v>
      </c>
      <c r="AK5" s="474" t="s">
        <v>1037</v>
      </c>
      <c r="AL5" s="474" t="s">
        <v>1038</v>
      </c>
      <c r="AM5" s="474" t="s">
        <v>1037</v>
      </c>
      <c r="AN5" s="474" t="s">
        <v>1038</v>
      </c>
      <c r="AO5" s="474" t="s">
        <v>1037</v>
      </c>
      <c r="AP5" s="474" t="s">
        <v>1038</v>
      </c>
      <c r="AQ5" s="474" t="s">
        <v>1037</v>
      </c>
      <c r="AR5" s="474" t="s">
        <v>1038</v>
      </c>
      <c r="AS5" s="474" t="s">
        <v>1037</v>
      </c>
      <c r="AT5" s="474" t="s">
        <v>1038</v>
      </c>
      <c r="AU5" s="474" t="s">
        <v>1037</v>
      </c>
      <c r="AV5" s="474" t="s">
        <v>1038</v>
      </c>
      <c r="AW5" s="474" t="s">
        <v>1037</v>
      </c>
      <c r="AX5" s="474" t="s">
        <v>1038</v>
      </c>
      <c r="AY5" s="474" t="s">
        <v>1037</v>
      </c>
      <c r="AZ5" s="474" t="s">
        <v>1038</v>
      </c>
      <c r="BA5" s="474" t="s">
        <v>1037</v>
      </c>
      <c r="BB5" s="474" t="s">
        <v>1038</v>
      </c>
      <c r="BC5" s="472" t="s">
        <v>1041</v>
      </c>
      <c r="BD5" s="472" t="s">
        <v>1042</v>
      </c>
      <c r="BE5" s="472" t="s">
        <v>1043</v>
      </c>
      <c r="BF5" s="472" t="s">
        <v>1044</v>
      </c>
      <c r="BG5" s="471"/>
      <c r="BH5" s="1963"/>
      <c r="BJ5" s="473"/>
    </row>
    <row r="6" spans="1:63" ht="12" customHeight="1" x14ac:dyDescent="0.3">
      <c r="D6" s="72"/>
      <c r="F6" s="475"/>
      <c r="G6" s="476"/>
      <c r="H6" s="477"/>
      <c r="I6" s="476"/>
      <c r="J6" s="477"/>
      <c r="K6" s="476"/>
      <c r="L6" s="477"/>
      <c r="M6" s="476"/>
      <c r="N6" s="477"/>
      <c r="O6" s="476"/>
      <c r="P6" s="477"/>
      <c r="Q6" s="478"/>
      <c r="R6" s="478"/>
      <c r="S6" s="478"/>
      <c r="T6" s="478"/>
      <c r="V6" s="478"/>
      <c r="W6" s="478"/>
      <c r="X6" s="478"/>
      <c r="Z6" s="476"/>
      <c r="AA6" s="477"/>
      <c r="AB6" s="476"/>
      <c r="AC6" s="477"/>
      <c r="AD6" s="476"/>
      <c r="AF6" s="477"/>
      <c r="AG6" s="476"/>
      <c r="AH6" s="477"/>
      <c r="AI6" s="476"/>
      <c r="AJ6" s="477"/>
      <c r="AK6" s="476"/>
      <c r="AL6" s="477"/>
      <c r="AS6" s="476"/>
      <c r="AT6" s="477"/>
      <c r="AW6" s="476"/>
      <c r="AX6" s="477"/>
      <c r="BA6" s="476"/>
      <c r="BB6" s="477"/>
      <c r="BC6" s="478"/>
      <c r="BD6" s="478"/>
      <c r="BE6" s="478"/>
      <c r="BF6" s="478"/>
      <c r="BG6" s="72"/>
      <c r="BH6" s="1533"/>
      <c r="BJ6" s="479"/>
    </row>
    <row r="7" spans="1:63" x14ac:dyDescent="0.3">
      <c r="C7" s="480" t="s">
        <v>1045</v>
      </c>
      <c r="E7" s="482">
        <f>+'Bilan Actif'!F9/10^6</f>
        <v>0</v>
      </c>
      <c r="F7" s="483"/>
      <c r="G7" s="484"/>
      <c r="H7" s="485"/>
      <c r="I7" s="484"/>
      <c r="J7" s="485"/>
      <c r="K7" s="484"/>
      <c r="L7" s="485"/>
      <c r="M7" s="484"/>
      <c r="N7" s="485"/>
      <c r="O7" s="484"/>
      <c r="P7" s="485"/>
      <c r="Q7" s="486"/>
      <c r="R7" s="486"/>
      <c r="S7" s="486"/>
      <c r="T7" s="486"/>
      <c r="U7" s="482"/>
      <c r="V7" s="486"/>
      <c r="W7" s="486"/>
      <c r="X7" s="486"/>
      <c r="Y7" s="482"/>
      <c r="Z7" s="487"/>
      <c r="AA7" s="488"/>
      <c r="AB7" s="487"/>
      <c r="AC7" s="488"/>
      <c r="AD7" s="487"/>
      <c r="AE7" s="482"/>
      <c r="AF7" s="488"/>
      <c r="AG7" s="487"/>
      <c r="AH7" s="488"/>
      <c r="AI7" s="487"/>
      <c r="AJ7" s="488"/>
      <c r="AK7" s="487"/>
      <c r="AL7" s="488"/>
      <c r="AM7" s="482"/>
      <c r="AN7" s="482"/>
      <c r="AO7" s="482"/>
      <c r="AP7" s="482"/>
      <c r="AQ7" s="482">
        <f>(-530.12080712+246.787407232001+200.150696+83.075)*0</f>
        <v>0</v>
      </c>
      <c r="AR7" s="482">
        <f>-SUM('BG '!H29:I29)/10^6</f>
        <v>0</v>
      </c>
      <c r="AS7" s="487"/>
      <c r="AT7" s="488"/>
      <c r="AU7" s="482"/>
      <c r="AV7" s="482"/>
      <c r="AW7" s="487"/>
      <c r="AX7" s="488"/>
      <c r="AY7" s="482"/>
      <c r="AZ7" s="482"/>
      <c r="BA7" s="487"/>
      <c r="BB7" s="488"/>
      <c r="BC7" s="486"/>
      <c r="BD7" s="486"/>
      <c r="BE7" s="486"/>
      <c r="BF7" s="486"/>
      <c r="BH7" s="1534">
        <f>SUM(E7:BG7)</f>
        <v>0</v>
      </c>
      <c r="BJ7" s="489">
        <v>0</v>
      </c>
      <c r="BK7" s="1962"/>
    </row>
    <row r="8" spans="1:63" x14ac:dyDescent="0.3">
      <c r="C8" s="480" t="s">
        <v>1046</v>
      </c>
      <c r="E8" s="482">
        <f>+'Bilan Actif'!F10/10^6</f>
        <v>0</v>
      </c>
      <c r="F8" s="483"/>
      <c r="G8" s="484"/>
      <c r="H8" s="485"/>
      <c r="I8" s="484"/>
      <c r="J8" s="485"/>
      <c r="K8" s="484"/>
      <c r="L8" s="485"/>
      <c r="M8" s="484"/>
      <c r="N8" s="485"/>
      <c r="O8" s="484"/>
      <c r="P8" s="485"/>
      <c r="Q8" s="486"/>
      <c r="R8" s="486"/>
      <c r="S8" s="486"/>
      <c r="T8" s="486"/>
      <c r="U8" s="482"/>
      <c r="V8" s="486"/>
      <c r="W8" s="486"/>
      <c r="X8" s="486"/>
      <c r="Y8" s="482"/>
      <c r="Z8" s="487"/>
      <c r="AA8" s="488"/>
      <c r="AB8" s="487"/>
      <c r="AC8" s="488"/>
      <c r="AD8" s="487"/>
      <c r="AE8" s="482"/>
      <c r="AF8" s="488"/>
      <c r="AG8" s="487"/>
      <c r="AH8" s="488"/>
      <c r="AI8" s="487"/>
      <c r="AJ8" s="488"/>
      <c r="AK8" s="487"/>
      <c r="AL8" s="488"/>
      <c r="AM8" s="482"/>
      <c r="AN8" s="482"/>
      <c r="AO8" s="482"/>
      <c r="AP8" s="482"/>
      <c r="AQ8" s="482"/>
      <c r="AR8" s="482"/>
      <c r="AS8" s="487"/>
      <c r="AT8" s="488"/>
      <c r="AU8" s="482"/>
      <c r="AV8" s="482"/>
      <c r="AW8" s="487"/>
      <c r="AX8" s="488"/>
      <c r="AY8" s="482"/>
      <c r="AZ8" s="482"/>
      <c r="BA8" s="487"/>
      <c r="BB8" s="488"/>
      <c r="BC8" s="486"/>
      <c r="BD8" s="486"/>
      <c r="BE8" s="486"/>
      <c r="BF8" s="486"/>
      <c r="BH8" s="1534">
        <f>SUM(E8:BG8)</f>
        <v>0</v>
      </c>
      <c r="BJ8" s="489">
        <v>0</v>
      </c>
      <c r="BK8" s="1962"/>
    </row>
    <row r="9" spans="1:63" ht="12" customHeight="1" x14ac:dyDescent="0.3">
      <c r="E9" s="490"/>
      <c r="F9" s="483"/>
      <c r="G9" s="491"/>
      <c r="H9" s="492"/>
      <c r="I9" s="491"/>
      <c r="J9" s="492"/>
      <c r="K9" s="491"/>
      <c r="L9" s="492"/>
      <c r="M9" s="491"/>
      <c r="N9" s="492"/>
      <c r="O9" s="491"/>
      <c r="P9" s="492"/>
      <c r="Q9" s="493"/>
      <c r="R9" s="493"/>
      <c r="S9" s="493"/>
      <c r="T9" s="493"/>
      <c r="U9" s="494"/>
      <c r="V9" s="493"/>
      <c r="W9" s="493"/>
      <c r="X9" s="493"/>
      <c r="Y9" s="494"/>
      <c r="Z9" s="495"/>
      <c r="AA9" s="496"/>
      <c r="AB9" s="495"/>
      <c r="AC9" s="496"/>
      <c r="AD9" s="495"/>
      <c r="AE9" s="494"/>
      <c r="AF9" s="496"/>
      <c r="AG9" s="495"/>
      <c r="AH9" s="496"/>
      <c r="AI9" s="495"/>
      <c r="AJ9" s="496"/>
      <c r="AK9" s="495"/>
      <c r="AL9" s="496"/>
      <c r="AM9" s="494"/>
      <c r="AN9" s="494"/>
      <c r="AO9" s="494"/>
      <c r="AP9" s="494"/>
      <c r="AQ9" s="494"/>
      <c r="AR9" s="494"/>
      <c r="AS9" s="495"/>
      <c r="AT9" s="496"/>
      <c r="AU9" s="494"/>
      <c r="AV9" s="494"/>
      <c r="AW9" s="495"/>
      <c r="AX9" s="496"/>
      <c r="AY9" s="494"/>
      <c r="AZ9" s="494"/>
      <c r="BA9" s="495"/>
      <c r="BB9" s="496"/>
      <c r="BC9" s="493"/>
      <c r="BD9" s="493"/>
      <c r="BE9" s="493"/>
      <c r="BF9" s="493"/>
      <c r="BH9" s="1535"/>
      <c r="BJ9" s="489"/>
      <c r="BK9" s="497"/>
    </row>
    <row r="10" spans="1:63" x14ac:dyDescent="0.3">
      <c r="B10" s="498" t="s">
        <v>1047</v>
      </c>
      <c r="C10" s="498" t="s">
        <v>1048</v>
      </c>
      <c r="E10" s="499"/>
      <c r="F10" s="483"/>
      <c r="G10" s="500"/>
      <c r="H10" s="501"/>
      <c r="I10" s="500"/>
      <c r="J10" s="501"/>
      <c r="K10" s="500"/>
      <c r="L10" s="501"/>
      <c r="M10" s="500"/>
      <c r="N10" s="501"/>
      <c r="O10" s="500"/>
      <c r="P10" s="501"/>
      <c r="Q10" s="502"/>
      <c r="R10" s="502"/>
      <c r="S10" s="502"/>
      <c r="T10" s="502"/>
      <c r="U10" s="503"/>
      <c r="V10" s="502"/>
      <c r="W10" s="502"/>
      <c r="X10" s="502"/>
      <c r="Y10" s="503"/>
      <c r="Z10" s="504"/>
      <c r="AA10" s="505"/>
      <c r="AB10" s="504"/>
      <c r="AC10" s="505"/>
      <c r="AD10" s="504"/>
      <c r="AE10" s="503"/>
      <c r="AF10" s="505"/>
      <c r="AG10" s="504"/>
      <c r="AH10" s="505"/>
      <c r="AI10" s="504"/>
      <c r="AJ10" s="505"/>
      <c r="AK10" s="504"/>
      <c r="AL10" s="505"/>
      <c r="AM10" s="503"/>
      <c r="AN10" s="503"/>
      <c r="AO10" s="503"/>
      <c r="AP10" s="503"/>
      <c r="AQ10" s="503"/>
      <c r="AR10" s="503"/>
      <c r="AS10" s="504"/>
      <c r="AT10" s="505"/>
      <c r="AU10" s="503"/>
      <c r="AV10" s="503"/>
      <c r="AW10" s="504"/>
      <c r="AX10" s="505"/>
      <c r="AY10" s="503"/>
      <c r="AZ10" s="503"/>
      <c r="BA10" s="504"/>
      <c r="BB10" s="505"/>
      <c r="BC10" s="502">
        <f>19085+7314</f>
        <v>26399</v>
      </c>
      <c r="BD10" s="502"/>
      <c r="BE10" s="502"/>
      <c r="BF10" s="502"/>
      <c r="BH10" s="1536">
        <f>SUM(E10:BG10)</f>
        <v>26399</v>
      </c>
      <c r="BJ10" s="489">
        <v>26399</v>
      </c>
    </row>
    <row r="11" spans="1:63" x14ac:dyDescent="0.3">
      <c r="B11" s="498" t="s">
        <v>1049</v>
      </c>
      <c r="C11" s="498" t="s">
        <v>1050</v>
      </c>
      <c r="E11" s="499"/>
      <c r="F11" s="483"/>
      <c r="G11" s="500"/>
      <c r="H11" s="501"/>
      <c r="I11" s="500"/>
      <c r="J11" s="501"/>
      <c r="K11" s="500"/>
      <c r="L11" s="501"/>
      <c r="M11" s="500"/>
      <c r="N11" s="501"/>
      <c r="O11" s="500"/>
      <c r="P11" s="501"/>
      <c r="Q11" s="502"/>
      <c r="R11" s="502"/>
      <c r="S11" s="502"/>
      <c r="T11" s="502"/>
      <c r="U11" s="503"/>
      <c r="V11" s="502"/>
      <c r="W11" s="502"/>
      <c r="X11" s="502"/>
      <c r="Y11" s="503"/>
      <c r="Z11" s="504"/>
      <c r="AA11" s="505"/>
      <c r="AB11" s="504"/>
      <c r="AC11" s="505"/>
      <c r="AD11" s="504"/>
      <c r="AE11" s="503"/>
      <c r="AF11" s="505"/>
      <c r="AG11" s="504"/>
      <c r="AH11" s="505"/>
      <c r="AI11" s="504"/>
      <c r="AJ11" s="505"/>
      <c r="AK11" s="504"/>
      <c r="AL11" s="505"/>
      <c r="AM11" s="503"/>
      <c r="AN11" s="503"/>
      <c r="AO11" s="503"/>
      <c r="AP11" s="503"/>
      <c r="AQ11" s="503"/>
      <c r="AR11" s="503"/>
      <c r="AS11" s="504"/>
      <c r="AT11" s="505"/>
      <c r="AU11" s="503"/>
      <c r="AV11" s="503"/>
      <c r="AW11" s="504"/>
      <c r="AX11" s="505"/>
      <c r="AY11" s="503"/>
      <c r="AZ11" s="503"/>
      <c r="BA11" s="504"/>
      <c r="BB11" s="505"/>
      <c r="BC11" s="502"/>
      <c r="BD11" s="502"/>
      <c r="BE11" s="502"/>
      <c r="BF11" s="502"/>
      <c r="BH11" s="1536">
        <f>SUM(E11:BG11)</f>
        <v>0</v>
      </c>
      <c r="BJ11" s="489">
        <v>0</v>
      </c>
    </row>
    <row r="12" spans="1:63" s="2" customFormat="1" ht="21.9" customHeight="1" thickBot="1" x14ac:dyDescent="0.35">
      <c r="B12" s="507" t="s">
        <v>1051</v>
      </c>
      <c r="C12" s="507" t="s">
        <v>1052</v>
      </c>
      <c r="D12" s="467"/>
      <c r="E12" s="508"/>
      <c r="F12" s="509">
        <f t="shared" ref="F12:BF12" si="0">F11+F10</f>
        <v>0</v>
      </c>
      <c r="G12" s="510">
        <f>G11+G10</f>
        <v>0</v>
      </c>
      <c r="H12" s="511">
        <f t="shared" si="0"/>
        <v>0</v>
      </c>
      <c r="I12" s="510">
        <f t="shared" si="0"/>
        <v>0</v>
      </c>
      <c r="J12" s="511">
        <f t="shared" si="0"/>
        <v>0</v>
      </c>
      <c r="K12" s="510">
        <f t="shared" si="0"/>
        <v>0</v>
      </c>
      <c r="L12" s="511">
        <f t="shared" si="0"/>
        <v>0</v>
      </c>
      <c r="M12" s="510">
        <f t="shared" si="0"/>
        <v>0</v>
      </c>
      <c r="N12" s="511">
        <f t="shared" si="0"/>
        <v>0</v>
      </c>
      <c r="O12" s="510">
        <f t="shared" si="0"/>
        <v>0</v>
      </c>
      <c r="P12" s="511">
        <f t="shared" si="0"/>
        <v>0</v>
      </c>
      <c r="Q12" s="512">
        <f t="shared" si="0"/>
        <v>0</v>
      </c>
      <c r="R12" s="512">
        <f t="shared" si="0"/>
        <v>0</v>
      </c>
      <c r="S12" s="512">
        <f t="shared" si="0"/>
        <v>0</v>
      </c>
      <c r="T12" s="512">
        <f t="shared" si="0"/>
        <v>0</v>
      </c>
      <c r="U12" s="513">
        <f t="shared" si="0"/>
        <v>0</v>
      </c>
      <c r="V12" s="512">
        <f t="shared" si="0"/>
        <v>0</v>
      </c>
      <c r="W12" s="512">
        <f t="shared" si="0"/>
        <v>0</v>
      </c>
      <c r="X12" s="512">
        <f t="shared" si="0"/>
        <v>0</v>
      </c>
      <c r="Y12" s="513">
        <f t="shared" si="0"/>
        <v>0</v>
      </c>
      <c r="Z12" s="514">
        <f t="shared" si="0"/>
        <v>0</v>
      </c>
      <c r="AA12" s="515">
        <f t="shared" si="0"/>
        <v>0</v>
      </c>
      <c r="AB12" s="514">
        <f t="shared" si="0"/>
        <v>0</v>
      </c>
      <c r="AC12" s="515">
        <f t="shared" si="0"/>
        <v>0</v>
      </c>
      <c r="AD12" s="514">
        <f t="shared" si="0"/>
        <v>0</v>
      </c>
      <c r="AE12" s="513">
        <f t="shared" si="0"/>
        <v>0</v>
      </c>
      <c r="AF12" s="515">
        <f t="shared" si="0"/>
        <v>0</v>
      </c>
      <c r="AG12" s="514">
        <f t="shared" si="0"/>
        <v>0</v>
      </c>
      <c r="AH12" s="515">
        <f t="shared" si="0"/>
        <v>0</v>
      </c>
      <c r="AI12" s="515">
        <f t="shared" si="0"/>
        <v>0</v>
      </c>
      <c r="AJ12" s="515">
        <f t="shared" si="0"/>
        <v>0</v>
      </c>
      <c r="AK12" s="515">
        <f t="shared" si="0"/>
        <v>0</v>
      </c>
      <c r="AL12" s="515">
        <f t="shared" si="0"/>
        <v>0</v>
      </c>
      <c r="AM12" s="515">
        <f t="shared" si="0"/>
        <v>0</v>
      </c>
      <c r="AN12" s="515">
        <f t="shared" si="0"/>
        <v>0</v>
      </c>
      <c r="AO12" s="515">
        <f t="shared" si="0"/>
        <v>0</v>
      </c>
      <c r="AP12" s="515">
        <f t="shared" si="0"/>
        <v>0</v>
      </c>
      <c r="AQ12" s="515">
        <f t="shared" si="0"/>
        <v>0</v>
      </c>
      <c r="AR12" s="513">
        <f t="shared" si="0"/>
        <v>0</v>
      </c>
      <c r="AS12" s="514">
        <f t="shared" si="0"/>
        <v>0</v>
      </c>
      <c r="AT12" s="515">
        <f t="shared" si="0"/>
        <v>0</v>
      </c>
      <c r="AU12" s="513">
        <f t="shared" si="0"/>
        <v>0</v>
      </c>
      <c r="AV12" s="513">
        <f t="shared" si="0"/>
        <v>0</v>
      </c>
      <c r="AW12" s="514">
        <f t="shared" si="0"/>
        <v>0</v>
      </c>
      <c r="AX12" s="515">
        <f t="shared" si="0"/>
        <v>0</v>
      </c>
      <c r="AY12" s="513">
        <f t="shared" si="0"/>
        <v>0</v>
      </c>
      <c r="AZ12" s="513">
        <f t="shared" si="0"/>
        <v>0</v>
      </c>
      <c r="BA12" s="514">
        <f t="shared" si="0"/>
        <v>0</v>
      </c>
      <c r="BB12" s="515">
        <f t="shared" si="0"/>
        <v>0</v>
      </c>
      <c r="BC12" s="512">
        <f t="shared" si="0"/>
        <v>26399</v>
      </c>
      <c r="BD12" s="512">
        <f t="shared" si="0"/>
        <v>0</v>
      </c>
      <c r="BE12" s="512">
        <f t="shared" si="0"/>
        <v>0</v>
      </c>
      <c r="BF12" s="512">
        <f t="shared" si="0"/>
        <v>0</v>
      </c>
      <c r="BG12" s="467"/>
      <c r="BH12" s="1537">
        <f>SUM(E12:BG12)</f>
        <v>26399</v>
      </c>
      <c r="BJ12" s="516">
        <v>26399</v>
      </c>
    </row>
    <row r="13" spans="1:63" ht="12" customHeight="1" x14ac:dyDescent="0.3">
      <c r="E13" s="490"/>
      <c r="F13" s="483"/>
      <c r="G13" s="491"/>
      <c r="H13" s="492"/>
      <c r="I13" s="491"/>
      <c r="J13" s="492"/>
      <c r="K13" s="491"/>
      <c r="L13" s="492"/>
      <c r="M13" s="491"/>
      <c r="N13" s="492"/>
      <c r="O13" s="491"/>
      <c r="P13" s="492"/>
      <c r="Q13" s="493"/>
      <c r="R13" s="493"/>
      <c r="S13" s="493"/>
      <c r="T13" s="493"/>
      <c r="U13" s="494"/>
      <c r="V13" s="493"/>
      <c r="W13" s="493"/>
      <c r="X13" s="493"/>
      <c r="Y13" s="494"/>
      <c r="Z13" s="495"/>
      <c r="AA13" s="496"/>
      <c r="AB13" s="495"/>
      <c r="AC13" s="496"/>
      <c r="AD13" s="495"/>
      <c r="AE13" s="494"/>
      <c r="AF13" s="496"/>
      <c r="AG13" s="495"/>
      <c r="AH13" s="496"/>
      <c r="AI13" s="495"/>
      <c r="AJ13" s="496"/>
      <c r="AK13" s="495"/>
      <c r="AL13" s="496"/>
      <c r="AM13" s="494"/>
      <c r="AN13" s="494"/>
      <c r="AO13" s="494"/>
      <c r="AP13" s="494"/>
      <c r="AQ13" s="494"/>
      <c r="AR13" s="494"/>
      <c r="AS13" s="495"/>
      <c r="AT13" s="496"/>
      <c r="AU13" s="494"/>
      <c r="AV13" s="494"/>
      <c r="AW13" s="495"/>
      <c r="AX13" s="496"/>
      <c r="AY13" s="494"/>
      <c r="AZ13" s="494"/>
      <c r="BA13" s="495"/>
      <c r="BB13" s="496"/>
      <c r="BC13" s="493"/>
      <c r="BD13" s="493"/>
      <c r="BE13" s="493"/>
      <c r="BF13" s="493"/>
      <c r="BH13" s="1535"/>
      <c r="BJ13" s="489"/>
    </row>
    <row r="14" spans="1:63" x14ac:dyDescent="0.3">
      <c r="C14" s="480" t="s">
        <v>1053</v>
      </c>
      <c r="E14" s="482">
        <f>+'Bilan Actif'!F12/10^6</f>
        <v>0</v>
      </c>
      <c r="F14" s="483"/>
      <c r="G14" s="484"/>
      <c r="H14" s="485"/>
      <c r="I14" s="484"/>
      <c r="J14" s="485"/>
      <c r="K14" s="484"/>
      <c r="L14" s="485"/>
      <c r="M14" s="484"/>
      <c r="N14" s="485"/>
      <c r="O14" s="484"/>
      <c r="P14" s="485"/>
      <c r="Q14" s="486"/>
      <c r="R14" s="486">
        <f>-E14</f>
        <v>0</v>
      </c>
      <c r="S14" s="486"/>
      <c r="T14" s="486"/>
      <c r="U14" s="482"/>
      <c r="V14" s="486"/>
      <c r="W14" s="486"/>
      <c r="X14" s="486"/>
      <c r="Y14" s="482"/>
      <c r="Z14" s="487"/>
      <c r="AA14" s="488"/>
      <c r="AB14" s="487"/>
      <c r="AC14" s="488"/>
      <c r="AD14" s="487"/>
      <c r="AE14" s="482"/>
      <c r="AF14" s="488"/>
      <c r="AG14" s="487"/>
      <c r="AH14" s="488"/>
      <c r="AI14" s="487"/>
      <c r="AJ14" s="488"/>
      <c r="AK14" s="487"/>
      <c r="AL14" s="488"/>
      <c r="AM14" s="482"/>
      <c r="AN14" s="482"/>
      <c r="AO14" s="482"/>
      <c r="AP14" s="482"/>
      <c r="AQ14" s="482"/>
      <c r="AR14" s="482"/>
      <c r="AS14" s="487"/>
      <c r="AT14" s="488"/>
      <c r="AU14" s="482"/>
      <c r="AV14" s="482"/>
      <c r="AW14" s="487"/>
      <c r="AX14" s="488"/>
      <c r="AY14" s="482"/>
      <c r="AZ14" s="482"/>
      <c r="BA14" s="487"/>
      <c r="BB14" s="488"/>
      <c r="BC14" s="486"/>
      <c r="BD14" s="486"/>
      <c r="BE14" s="486"/>
      <c r="BF14" s="486"/>
      <c r="BH14" s="1534">
        <f>SUM(E14:BG14)</f>
        <v>0</v>
      </c>
      <c r="BJ14" s="489">
        <v>0</v>
      </c>
      <c r="BK14" s="1962"/>
    </row>
    <row r="15" spans="1:63" x14ac:dyDescent="0.3">
      <c r="C15" s="480" t="s">
        <v>1054</v>
      </c>
      <c r="E15" s="482">
        <f>+'Bilan Actif'!F13/10^6</f>
        <v>39106.513765999996</v>
      </c>
      <c r="F15" s="483"/>
      <c r="G15" s="484"/>
      <c r="H15" s="485"/>
      <c r="I15" s="484"/>
      <c r="J15" s="485"/>
      <c r="K15" s="484"/>
      <c r="L15" s="485"/>
      <c r="M15" s="484"/>
      <c r="N15" s="485"/>
      <c r="O15" s="484"/>
      <c r="P15" s="485"/>
      <c r="Q15" s="486"/>
      <c r="R15" s="486">
        <f>-E15</f>
        <v>-39106.513765999996</v>
      </c>
      <c r="S15" s="486"/>
      <c r="T15" s="486"/>
      <c r="U15" s="482"/>
      <c r="V15" s="486"/>
      <c r="W15" s="486"/>
      <c r="X15" s="486"/>
      <c r="Y15" s="482"/>
      <c r="Z15" s="487"/>
      <c r="AA15" s="488"/>
      <c r="AB15" s="487"/>
      <c r="AC15" s="488"/>
      <c r="AD15" s="487"/>
      <c r="AE15" s="482"/>
      <c r="AF15" s="488"/>
      <c r="AG15" s="487"/>
      <c r="AH15" s="488"/>
      <c r="AI15" s="487"/>
      <c r="AJ15" s="488"/>
      <c r="AK15" s="487"/>
      <c r="AL15" s="488"/>
      <c r="AM15" s="482"/>
      <c r="AN15" s="482"/>
      <c r="AO15" s="482"/>
      <c r="AP15" s="482"/>
      <c r="AQ15" s="482"/>
      <c r="AR15" s="482"/>
      <c r="AS15" s="487"/>
      <c r="AT15" s="488"/>
      <c r="AU15" s="482"/>
      <c r="AV15" s="482"/>
      <c r="AW15" s="487"/>
      <c r="AX15" s="488"/>
      <c r="AY15" s="482"/>
      <c r="AZ15" s="482"/>
      <c r="BA15" s="487"/>
      <c r="BB15" s="488"/>
      <c r="BC15" s="486"/>
      <c r="BD15" s="486"/>
      <c r="BE15" s="486"/>
      <c r="BF15" s="486"/>
      <c r="BH15" s="1534">
        <f>SUM(E15:BG15)</f>
        <v>0</v>
      </c>
      <c r="BJ15" s="489">
        <v>0</v>
      </c>
      <c r="BK15" s="1962"/>
    </row>
    <row r="16" spans="1:63" x14ac:dyDescent="0.3">
      <c r="C16" s="480" t="s">
        <v>1055</v>
      </c>
      <c r="E16" s="482">
        <f>+'Bilan Actif'!F14/10^6</f>
        <v>0</v>
      </c>
      <c r="F16" s="483"/>
      <c r="G16" s="484"/>
      <c r="H16" s="485"/>
      <c r="I16" s="484"/>
      <c r="J16" s="485"/>
      <c r="K16" s="484"/>
      <c r="L16" s="485"/>
      <c r="M16" s="484"/>
      <c r="N16" s="485"/>
      <c r="O16" s="484"/>
      <c r="P16" s="485"/>
      <c r="Q16" s="486"/>
      <c r="R16" s="486">
        <f>-E16</f>
        <v>0</v>
      </c>
      <c r="S16" s="486"/>
      <c r="T16" s="486"/>
      <c r="U16" s="482"/>
      <c r="V16" s="486"/>
      <c r="W16" s="486"/>
      <c r="X16" s="486"/>
      <c r="Y16" s="482"/>
      <c r="Z16" s="487"/>
      <c r="AA16" s="488"/>
      <c r="AB16" s="487"/>
      <c r="AC16" s="488"/>
      <c r="AD16" s="487"/>
      <c r="AE16" s="482"/>
      <c r="AF16" s="488"/>
      <c r="AG16" s="487"/>
      <c r="AH16" s="488"/>
      <c r="AI16" s="487"/>
      <c r="AJ16" s="488"/>
      <c r="AK16" s="487"/>
      <c r="AL16" s="488"/>
      <c r="AM16" s="482"/>
      <c r="AN16" s="482"/>
      <c r="AO16" s="482"/>
      <c r="AP16" s="482"/>
      <c r="AQ16" s="482"/>
      <c r="AR16" s="482"/>
      <c r="AS16" s="487"/>
      <c r="AT16" s="488"/>
      <c r="AU16" s="482"/>
      <c r="AV16" s="482"/>
      <c r="AW16" s="487"/>
      <c r="AX16" s="488"/>
      <c r="AY16" s="482"/>
      <c r="AZ16" s="482"/>
      <c r="BA16" s="487"/>
      <c r="BB16" s="488"/>
      <c r="BC16" s="486"/>
      <c r="BD16" s="486"/>
      <c r="BE16" s="486"/>
      <c r="BF16" s="486"/>
      <c r="BH16" s="1534">
        <f>SUM(E16:BG16)</f>
        <v>0</v>
      </c>
      <c r="BJ16" s="489">
        <v>0</v>
      </c>
      <c r="BK16" s="1962"/>
    </row>
    <row r="17" spans="1:63" x14ac:dyDescent="0.3">
      <c r="C17" s="480" t="s">
        <v>1056</v>
      </c>
      <c r="E17" s="482">
        <f>+'Bilan Actif'!F15/10^6</f>
        <v>0</v>
      </c>
      <c r="F17" s="483"/>
      <c r="G17" s="484"/>
      <c r="H17" s="485"/>
      <c r="I17" s="484"/>
      <c r="J17" s="485"/>
      <c r="K17" s="484"/>
      <c r="L17" s="485"/>
      <c r="M17" s="484"/>
      <c r="N17" s="485"/>
      <c r="O17" s="484"/>
      <c r="P17" s="485"/>
      <c r="Q17" s="486"/>
      <c r="R17" s="486">
        <f>-E17</f>
        <v>0</v>
      </c>
      <c r="S17" s="486"/>
      <c r="T17" s="486"/>
      <c r="U17" s="482"/>
      <c r="V17" s="486"/>
      <c r="W17" s="486"/>
      <c r="X17" s="486"/>
      <c r="Y17" s="482"/>
      <c r="Z17" s="487"/>
      <c r="AA17" s="488"/>
      <c r="AB17" s="487"/>
      <c r="AC17" s="488"/>
      <c r="AD17" s="487"/>
      <c r="AE17" s="482"/>
      <c r="AF17" s="488"/>
      <c r="AG17" s="487"/>
      <c r="AH17" s="488"/>
      <c r="AI17" s="487"/>
      <c r="AJ17" s="488"/>
      <c r="AK17" s="487"/>
      <c r="AL17" s="488"/>
      <c r="AM17" s="482"/>
      <c r="AN17" s="482"/>
      <c r="AO17" s="482"/>
      <c r="AP17" s="482"/>
      <c r="AQ17" s="482"/>
      <c r="AR17" s="482"/>
      <c r="AS17" s="487"/>
      <c r="AT17" s="488"/>
      <c r="AU17" s="482"/>
      <c r="AV17" s="482"/>
      <c r="AW17" s="487"/>
      <c r="AX17" s="488"/>
      <c r="AY17" s="482"/>
      <c r="AZ17" s="482"/>
      <c r="BA17" s="487"/>
      <c r="BB17" s="488"/>
      <c r="BC17" s="486"/>
      <c r="BD17" s="486"/>
      <c r="BE17" s="486"/>
      <c r="BF17" s="486"/>
      <c r="BH17" s="1534">
        <f>SUM(E17:BG17)</f>
        <v>0</v>
      </c>
      <c r="BJ17" s="489">
        <v>0</v>
      </c>
      <c r="BK17" s="1962"/>
    </row>
    <row r="18" spans="1:63" s="481" customFormat="1" ht="12" customHeight="1" x14ac:dyDescent="0.3">
      <c r="A18" s="467"/>
      <c r="B18" s="467"/>
      <c r="C18" s="467"/>
      <c r="E18" s="517"/>
      <c r="F18" s="483"/>
      <c r="G18" s="518"/>
      <c r="H18" s="519"/>
      <c r="I18" s="518"/>
      <c r="J18" s="519"/>
      <c r="K18" s="518"/>
      <c r="L18" s="519"/>
      <c r="M18" s="518"/>
      <c r="N18" s="519"/>
      <c r="O18" s="518"/>
      <c r="P18" s="519"/>
      <c r="Q18" s="520"/>
      <c r="R18" s="520"/>
      <c r="S18" s="520"/>
      <c r="T18" s="520"/>
      <c r="U18" s="521"/>
      <c r="V18" s="520"/>
      <c r="W18" s="520"/>
      <c r="X18" s="520"/>
      <c r="Y18" s="521"/>
      <c r="Z18" s="522"/>
      <c r="AA18" s="523"/>
      <c r="AB18" s="522"/>
      <c r="AC18" s="523"/>
      <c r="AD18" s="522"/>
      <c r="AE18" s="521"/>
      <c r="AF18" s="523"/>
      <c r="AG18" s="522"/>
      <c r="AH18" s="523"/>
      <c r="AI18" s="522"/>
      <c r="AJ18" s="523"/>
      <c r="AK18" s="522"/>
      <c r="AL18" s="523"/>
      <c r="AM18" s="521"/>
      <c r="AN18" s="521"/>
      <c r="AO18" s="521"/>
      <c r="AP18" s="521"/>
      <c r="AQ18" s="521"/>
      <c r="AR18" s="521"/>
      <c r="AS18" s="522"/>
      <c r="AT18" s="523"/>
      <c r="AU18" s="521"/>
      <c r="AV18" s="521"/>
      <c r="AW18" s="522"/>
      <c r="AX18" s="523"/>
      <c r="AY18" s="521"/>
      <c r="AZ18" s="521"/>
      <c r="BA18" s="522"/>
      <c r="BB18" s="523"/>
      <c r="BC18" s="520"/>
      <c r="BD18" s="520"/>
      <c r="BE18" s="520"/>
      <c r="BF18" s="520"/>
      <c r="BH18" s="1538"/>
      <c r="BJ18" s="489"/>
    </row>
    <row r="19" spans="1:63" s="481" customFormat="1" x14ac:dyDescent="0.3">
      <c r="A19" s="467"/>
      <c r="B19" s="498" t="s">
        <v>1057</v>
      </c>
      <c r="C19" s="498" t="s">
        <v>1058</v>
      </c>
      <c r="E19" s="499"/>
      <c r="F19" s="483"/>
      <c r="G19" s="500"/>
      <c r="H19" s="501"/>
      <c r="I19" s="500"/>
      <c r="J19" s="501"/>
      <c r="K19" s="500"/>
      <c r="L19" s="501"/>
      <c r="M19" s="500"/>
      <c r="N19" s="501"/>
      <c r="O19" s="500"/>
      <c r="P19" s="501"/>
      <c r="Q19" s="502"/>
      <c r="R19" s="502">
        <v>0</v>
      </c>
      <c r="S19" s="502"/>
      <c r="T19" s="502"/>
      <c r="U19" s="503"/>
      <c r="V19" s="502"/>
      <c r="W19" s="502"/>
      <c r="X19" s="502"/>
      <c r="Y19" s="503"/>
      <c r="Z19" s="504"/>
      <c r="AA19" s="505"/>
      <c r="AB19" s="504"/>
      <c r="AC19" s="505"/>
      <c r="AD19" s="504"/>
      <c r="AE19" s="503"/>
      <c r="AF19" s="505"/>
      <c r="AG19" s="504"/>
      <c r="AH19" s="505"/>
      <c r="AI19" s="504"/>
      <c r="AJ19" s="505"/>
      <c r="AK19" s="504"/>
      <c r="AL19" s="505"/>
      <c r="AM19" s="503"/>
      <c r="AN19" s="503"/>
      <c r="AO19" s="503"/>
      <c r="AP19" s="503"/>
      <c r="AQ19" s="503"/>
      <c r="AR19" s="503"/>
      <c r="AS19" s="504"/>
      <c r="AT19" s="505"/>
      <c r="AU19" s="503"/>
      <c r="AV19" s="503"/>
      <c r="AW19" s="504"/>
      <c r="AX19" s="505"/>
      <c r="AY19" s="503"/>
      <c r="AZ19" s="503"/>
      <c r="BA19" s="504"/>
      <c r="BB19" s="505"/>
      <c r="BC19" s="502"/>
      <c r="BD19" s="502"/>
      <c r="BE19" s="502"/>
      <c r="BF19" s="502"/>
      <c r="BH19" s="1536">
        <f t="shared" ref="BH19:BH30" si="1">SUM(E19:BG19)</f>
        <v>0</v>
      </c>
      <c r="BJ19" s="489">
        <v>0</v>
      </c>
    </row>
    <row r="20" spans="1:63" s="481" customFormat="1" x14ac:dyDescent="0.3">
      <c r="A20" s="467"/>
      <c r="B20" s="498" t="s">
        <v>1059</v>
      </c>
      <c r="C20" s="498" t="s">
        <v>1060</v>
      </c>
      <c r="E20" s="499"/>
      <c r="F20" s="483"/>
      <c r="G20" s="500"/>
      <c r="H20" s="501"/>
      <c r="I20" s="500"/>
      <c r="J20" s="501"/>
      <c r="K20" s="500"/>
      <c r="L20" s="501"/>
      <c r="M20" s="500"/>
      <c r="N20" s="501"/>
      <c r="O20" s="500"/>
      <c r="P20" s="501"/>
      <c r="Q20" s="502"/>
      <c r="R20" s="502"/>
      <c r="S20" s="502"/>
      <c r="T20" s="502"/>
      <c r="U20" s="503"/>
      <c r="V20" s="502"/>
      <c r="W20" s="502"/>
      <c r="X20" s="502"/>
      <c r="Y20" s="503"/>
      <c r="Z20" s="504"/>
      <c r="AA20" s="505"/>
      <c r="AB20" s="504"/>
      <c r="AC20" s="505"/>
      <c r="AD20" s="504"/>
      <c r="AE20" s="503"/>
      <c r="AF20" s="505"/>
      <c r="AG20" s="504"/>
      <c r="AH20" s="505"/>
      <c r="AI20" s="504"/>
      <c r="AJ20" s="505"/>
      <c r="AK20" s="504"/>
      <c r="AL20" s="505"/>
      <c r="AM20" s="503"/>
      <c r="AN20" s="503"/>
      <c r="AO20" s="503"/>
      <c r="AP20" s="503"/>
      <c r="AQ20" s="503"/>
      <c r="AR20" s="503"/>
      <c r="AS20" s="504"/>
      <c r="AT20" s="505"/>
      <c r="AU20" s="503"/>
      <c r="AV20" s="503"/>
      <c r="AW20" s="504"/>
      <c r="AX20" s="505"/>
      <c r="AY20" s="503"/>
      <c r="AZ20" s="503"/>
      <c r="BA20" s="504"/>
      <c r="BB20" s="505"/>
      <c r="BC20" s="502"/>
      <c r="BD20" s="502"/>
      <c r="BE20" s="502"/>
      <c r="BF20" s="502"/>
      <c r="BH20" s="1536">
        <f t="shared" si="1"/>
        <v>0</v>
      </c>
      <c r="BJ20" s="489">
        <v>0</v>
      </c>
    </row>
    <row r="21" spans="1:63" s="481" customFormat="1" x14ac:dyDescent="0.3">
      <c r="A21" s="467"/>
      <c r="B21" s="498" t="s">
        <v>117</v>
      </c>
      <c r="C21" s="498" t="s">
        <v>1061</v>
      </c>
      <c r="E21" s="499"/>
      <c r="F21" s="483"/>
      <c r="G21" s="500"/>
      <c r="H21" s="501"/>
      <c r="I21" s="500"/>
      <c r="J21" s="501"/>
      <c r="K21" s="500"/>
      <c r="L21" s="501"/>
      <c r="M21" s="500"/>
      <c r="N21" s="501"/>
      <c r="O21" s="500"/>
      <c r="P21" s="501"/>
      <c r="Q21" s="502"/>
      <c r="R21" s="502">
        <f>+('BG '!J31)/10^6</f>
        <v>6373.0289489999996</v>
      </c>
      <c r="S21" s="502"/>
      <c r="T21" s="502"/>
      <c r="U21" s="503"/>
      <c r="V21" s="502"/>
      <c r="W21" s="502"/>
      <c r="X21" s="502"/>
      <c r="Y21" s="503"/>
      <c r="Z21" s="504"/>
      <c r="AA21" s="505"/>
      <c r="AB21" s="504"/>
      <c r="AC21" s="505"/>
      <c r="AD21" s="504"/>
      <c r="AE21" s="503"/>
      <c r="AF21" s="505"/>
      <c r="AG21" s="504"/>
      <c r="AH21" s="505"/>
      <c r="AI21" s="504"/>
      <c r="AJ21" s="505"/>
      <c r="AK21" s="504"/>
      <c r="AL21" s="505"/>
      <c r="AM21" s="503"/>
      <c r="AN21" s="503"/>
      <c r="AO21" s="503"/>
      <c r="AP21" s="503"/>
      <c r="AQ21" s="503"/>
      <c r="AR21" s="503"/>
      <c r="AS21" s="504"/>
      <c r="AT21" s="505"/>
      <c r="AU21" s="503"/>
      <c r="AV21" s="503"/>
      <c r="AW21" s="504"/>
      <c r="AX21" s="505"/>
      <c r="AY21" s="503"/>
      <c r="AZ21" s="503"/>
      <c r="BA21" s="504"/>
      <c r="BB21" s="505"/>
      <c r="BC21" s="502"/>
      <c r="BD21" s="502"/>
      <c r="BE21" s="502"/>
      <c r="BF21" s="502"/>
      <c r="BH21" s="1536">
        <f t="shared" si="1"/>
        <v>6373.0289489999996</v>
      </c>
      <c r="BJ21" s="489">
        <v>6254.3029470000001</v>
      </c>
    </row>
    <row r="22" spans="1:63" s="481" customFormat="1" x14ac:dyDescent="0.3">
      <c r="A22" s="467"/>
      <c r="B22" s="498" t="s">
        <v>170</v>
      </c>
      <c r="C22" s="498" t="s">
        <v>1062</v>
      </c>
      <c r="E22" s="499"/>
      <c r="F22" s="483"/>
      <c r="G22" s="500"/>
      <c r="H22" s="501"/>
      <c r="I22" s="500"/>
      <c r="J22" s="501"/>
      <c r="K22" s="500"/>
      <c r="L22" s="501"/>
      <c r="M22" s="500"/>
      <c r="N22" s="501"/>
      <c r="O22" s="500"/>
      <c r="P22" s="501"/>
      <c r="Q22" s="502"/>
      <c r="R22" s="502">
        <f>+('BG '!K73)/10^6</f>
        <v>-8931.4383269999998</v>
      </c>
      <c r="S22" s="502"/>
      <c r="T22" s="502"/>
      <c r="U22" s="503"/>
      <c r="V22" s="1329">
        <f>-(R22+R21)</f>
        <v>2558.4093780000003</v>
      </c>
      <c r="W22" s="502"/>
      <c r="X22" s="502"/>
      <c r="Y22" s="503"/>
      <c r="Z22" s="504"/>
      <c r="AA22" s="505"/>
      <c r="AB22" s="504"/>
      <c r="AC22" s="505"/>
      <c r="AD22" s="504"/>
      <c r="AE22" s="503"/>
      <c r="AF22" s="505"/>
      <c r="AG22" s="504"/>
      <c r="AH22" s="505"/>
      <c r="AI22" s="504"/>
      <c r="AJ22" s="505"/>
      <c r="AK22" s="504"/>
      <c r="AL22" s="505"/>
      <c r="AM22" s="503"/>
      <c r="AN22" s="503"/>
      <c r="AO22" s="503"/>
      <c r="AP22" s="503"/>
      <c r="AQ22" s="503"/>
      <c r="AR22" s="503"/>
      <c r="AS22" s="504"/>
      <c r="AT22" s="505"/>
      <c r="AU22" s="503"/>
      <c r="AV22" s="503"/>
      <c r="AW22" s="504"/>
      <c r="AX22" s="505"/>
      <c r="AY22" s="503"/>
      <c r="AZ22" s="503"/>
      <c r="BA22" s="504"/>
      <c r="BB22" s="505"/>
      <c r="BC22" s="502"/>
      <c r="BD22" s="502"/>
      <c r="BE22" s="502"/>
      <c r="BF22" s="502"/>
      <c r="BH22" s="1536">
        <f>SUM(E22:BG22)</f>
        <v>-6373.0289489999996</v>
      </c>
      <c r="BJ22" s="489">
        <v>-5372.6873329999999</v>
      </c>
    </row>
    <row r="23" spans="1:63" s="481" customFormat="1" x14ac:dyDescent="0.3">
      <c r="A23" s="467"/>
      <c r="B23" s="498" t="s">
        <v>119</v>
      </c>
      <c r="C23" s="498" t="s">
        <v>1063</v>
      </c>
      <c r="E23" s="499"/>
      <c r="F23" s="483"/>
      <c r="G23" s="500"/>
      <c r="H23" s="501"/>
      <c r="I23" s="500"/>
      <c r="J23" s="501"/>
      <c r="K23" s="500"/>
      <c r="L23" s="501"/>
      <c r="M23" s="500"/>
      <c r="N23" s="501"/>
      <c r="O23" s="500"/>
      <c r="P23" s="501"/>
      <c r="Q23" s="502"/>
      <c r="R23" s="502">
        <f>+('BG '!J32+'BG '!J33+'BG '!J34)/10^6</f>
        <v>60147.144627000001</v>
      </c>
      <c r="S23" s="502"/>
      <c r="T23" s="502"/>
      <c r="U23" s="503"/>
      <c r="V23" s="502"/>
      <c r="W23" s="502"/>
      <c r="X23" s="502"/>
      <c r="Y23" s="503"/>
      <c r="Z23" s="504"/>
      <c r="AA23" s="505"/>
      <c r="AB23" s="504"/>
      <c r="AC23" s="505"/>
      <c r="AD23" s="504"/>
      <c r="AE23" s="503"/>
      <c r="AF23" s="505"/>
      <c r="AG23" s="504"/>
      <c r="AH23" s="505"/>
      <c r="AI23" s="504"/>
      <c r="AJ23" s="505"/>
      <c r="AK23" s="504"/>
      <c r="AL23" s="505"/>
      <c r="AM23" s="503"/>
      <c r="AN23" s="503"/>
      <c r="AO23" s="503"/>
      <c r="AP23" s="503"/>
      <c r="AQ23" s="503"/>
      <c r="AR23" s="503"/>
      <c r="AS23" s="504"/>
      <c r="AT23" s="505"/>
      <c r="AU23" s="503"/>
      <c r="AV23" s="503"/>
      <c r="AW23" s="504"/>
      <c r="AX23" s="505"/>
      <c r="AY23" s="503"/>
      <c r="AZ23" s="503"/>
      <c r="BA23" s="504"/>
      <c r="BB23" s="505"/>
      <c r="BC23" s="502"/>
      <c r="BD23" s="502"/>
      <c r="BE23" s="502"/>
      <c r="BF23" s="502"/>
      <c r="BH23" s="1536">
        <f t="shared" si="1"/>
        <v>60147.144627000001</v>
      </c>
      <c r="BJ23" s="489">
        <v>55522.588549</v>
      </c>
    </row>
    <row r="24" spans="1:63" s="481" customFormat="1" x14ac:dyDescent="0.3">
      <c r="A24" s="467"/>
      <c r="B24" s="498" t="s">
        <v>172</v>
      </c>
      <c r="C24" s="498" t="s">
        <v>1064</v>
      </c>
      <c r="E24" s="499"/>
      <c r="F24" s="483"/>
      <c r="G24" s="500"/>
      <c r="H24" s="501"/>
      <c r="I24" s="500"/>
      <c r="J24" s="501"/>
      <c r="K24" s="500"/>
      <c r="L24" s="501"/>
      <c r="M24" s="500"/>
      <c r="N24" s="501"/>
      <c r="O24" s="500"/>
      <c r="P24" s="501"/>
      <c r="Q24" s="502"/>
      <c r="R24" s="502">
        <f>+('BG '!K74+'BG '!K75)/10^6</f>
        <v>-41958.116007999997</v>
      </c>
      <c r="S24" s="502"/>
      <c r="T24" s="502"/>
      <c r="U24" s="503"/>
      <c r="V24" s="1329">
        <f>SUM('BG '!R82:S83)/10^6-'[154]RECAP 1'!$K$45-V22</f>
        <v>-2558.4093780000003</v>
      </c>
      <c r="W24" s="502"/>
      <c r="X24" s="502"/>
      <c r="Y24" s="503"/>
      <c r="Z24" s="504"/>
      <c r="AA24" s="505"/>
      <c r="AB24" s="504"/>
      <c r="AC24" s="505"/>
      <c r="AD24" s="504"/>
      <c r="AE24" s="503"/>
      <c r="AF24" s="505"/>
      <c r="AG24" s="504"/>
      <c r="AH24" s="505"/>
      <c r="AI24" s="504"/>
      <c r="AJ24" s="505"/>
      <c r="AK24" s="504"/>
      <c r="AL24" s="505"/>
      <c r="AM24" s="503"/>
      <c r="AN24" s="503"/>
      <c r="AO24" s="503"/>
      <c r="AP24" s="503"/>
      <c r="AQ24" s="503"/>
      <c r="AR24" s="503"/>
      <c r="AS24" s="504"/>
      <c r="AT24" s="505"/>
      <c r="AU24" s="503"/>
      <c r="AV24" s="503"/>
      <c r="AW24" s="504"/>
      <c r="AX24" s="505"/>
      <c r="AY24" s="503"/>
      <c r="AZ24" s="503"/>
      <c r="BA24" s="504"/>
      <c r="BB24" s="505"/>
      <c r="BC24" s="502"/>
      <c r="BD24" s="502"/>
      <c r="BE24" s="502"/>
      <c r="BF24" s="502"/>
      <c r="BH24" s="1536">
        <f t="shared" si="1"/>
        <v>-44516.525385999994</v>
      </c>
      <c r="BJ24" s="489">
        <v>-40753.175911999999</v>
      </c>
    </row>
    <row r="25" spans="1:63" s="481" customFormat="1" x14ac:dyDescent="0.3">
      <c r="A25" s="467"/>
      <c r="B25" s="498" t="s">
        <v>115</v>
      </c>
      <c r="C25" s="498" t="s">
        <v>1065</v>
      </c>
      <c r="E25" s="499"/>
      <c r="F25" s="483"/>
      <c r="G25" s="500"/>
      <c r="H25" s="501"/>
      <c r="I25" s="500"/>
      <c r="J25" s="501"/>
      <c r="K25" s="500"/>
      <c r="L25" s="501"/>
      <c r="M25" s="500"/>
      <c r="N25" s="501"/>
      <c r="O25" s="500"/>
      <c r="P25" s="501"/>
      <c r="Q25" s="502"/>
      <c r="R25" s="502">
        <f>+('BG '!J30)/10^6</f>
        <v>80000</v>
      </c>
      <c r="S25" s="502"/>
      <c r="T25" s="502"/>
      <c r="U25" s="503"/>
      <c r="V25" s="502"/>
      <c r="W25" s="502"/>
      <c r="X25" s="502"/>
      <c r="Y25" s="503"/>
      <c r="Z25" s="504"/>
      <c r="AA25" s="505"/>
      <c r="AB25" s="504"/>
      <c r="AC25" s="505"/>
      <c r="AD25" s="504"/>
      <c r="AE25" s="503"/>
      <c r="AF25" s="505"/>
      <c r="AG25" s="504"/>
      <c r="AH25" s="505"/>
      <c r="AI25" s="504"/>
      <c r="AJ25" s="505"/>
      <c r="AK25" s="504"/>
      <c r="AL25" s="505"/>
      <c r="AM25" s="503"/>
      <c r="AN25" s="503"/>
      <c r="AO25" s="503"/>
      <c r="AP25" s="503"/>
      <c r="AQ25" s="503"/>
      <c r="AR25" s="503"/>
      <c r="AS25" s="504"/>
      <c r="AT25" s="505"/>
      <c r="AU25" s="503"/>
      <c r="AV25" s="503"/>
      <c r="AW25" s="504"/>
      <c r="AX25" s="505"/>
      <c r="AY25" s="503"/>
      <c r="AZ25" s="503"/>
      <c r="BA25" s="504"/>
      <c r="BB25" s="505"/>
      <c r="BC25" s="502"/>
      <c r="BD25" s="502"/>
      <c r="BE25" s="502"/>
      <c r="BF25" s="502"/>
      <c r="BH25" s="1536">
        <f t="shared" si="1"/>
        <v>80000</v>
      </c>
      <c r="BJ25" s="489">
        <v>80000</v>
      </c>
    </row>
    <row r="26" spans="1:63" s="481" customFormat="1" x14ac:dyDescent="0.3">
      <c r="A26" s="467"/>
      <c r="B26" s="498" t="s">
        <v>168</v>
      </c>
      <c r="C26" s="498" t="s">
        <v>1066</v>
      </c>
      <c r="E26" s="499"/>
      <c r="F26" s="483"/>
      <c r="G26" s="500"/>
      <c r="H26" s="501"/>
      <c r="I26" s="500"/>
      <c r="J26" s="501"/>
      <c r="K26" s="500"/>
      <c r="L26" s="501"/>
      <c r="M26" s="500"/>
      <c r="N26" s="501"/>
      <c r="O26" s="500"/>
      <c r="P26" s="501"/>
      <c r="Q26" s="502"/>
      <c r="R26" s="502">
        <f>+('BG '!K72)/10^6</f>
        <v>-56524.105474999997</v>
      </c>
      <c r="S26" s="502"/>
      <c r="T26" s="502"/>
      <c r="U26" s="503"/>
      <c r="V26" s="1329">
        <f>SUM('BG '!S80)/10^6-'[154]RECAP 1'!$K$46</f>
        <v>0</v>
      </c>
      <c r="W26" s="502"/>
      <c r="X26" s="502"/>
      <c r="Y26" s="503"/>
      <c r="Z26" s="504"/>
      <c r="AA26" s="505"/>
      <c r="AB26" s="504"/>
      <c r="AC26" s="505"/>
      <c r="AD26" s="504"/>
      <c r="AE26" s="503"/>
      <c r="AF26" s="505"/>
      <c r="AG26" s="504"/>
      <c r="AH26" s="505"/>
      <c r="AI26" s="504"/>
      <c r="AJ26" s="505"/>
      <c r="AK26" s="504"/>
      <c r="AL26" s="505"/>
      <c r="AM26" s="503"/>
      <c r="AN26" s="503"/>
      <c r="AO26" s="503"/>
      <c r="AP26" s="503"/>
      <c r="AQ26" s="503"/>
      <c r="AR26" s="503"/>
      <c r="AS26" s="504"/>
      <c r="AT26" s="505"/>
      <c r="AU26" s="503"/>
      <c r="AV26" s="503"/>
      <c r="AW26" s="504"/>
      <c r="AX26" s="505"/>
      <c r="AY26" s="503"/>
      <c r="AZ26" s="503"/>
      <c r="BA26" s="504"/>
      <c r="BB26" s="505"/>
      <c r="BC26" s="502"/>
      <c r="BD26" s="502"/>
      <c r="BE26" s="502"/>
      <c r="BF26" s="502"/>
      <c r="BH26" s="1536">
        <f t="shared" si="1"/>
        <v>-56524.105474999997</v>
      </c>
      <c r="BJ26" s="489">
        <v>-53968.689892000002</v>
      </c>
    </row>
    <row r="27" spans="1:63" s="481" customFormat="1" x14ac:dyDescent="0.3">
      <c r="A27" s="467"/>
      <c r="B27" s="498" t="s">
        <v>1067</v>
      </c>
      <c r="C27" s="498" t="s">
        <v>1068</v>
      </c>
      <c r="E27" s="499"/>
      <c r="F27" s="483"/>
      <c r="G27" s="500"/>
      <c r="H27" s="501"/>
      <c r="I27" s="500"/>
      <c r="J27" s="501"/>
      <c r="K27" s="500"/>
      <c r="L27" s="501"/>
      <c r="M27" s="500"/>
      <c r="N27" s="501"/>
      <c r="O27" s="500"/>
      <c r="P27" s="501"/>
      <c r="Q27" s="502"/>
      <c r="R27" s="502"/>
      <c r="S27" s="502"/>
      <c r="T27" s="502"/>
      <c r="U27" s="503"/>
      <c r="V27" s="502"/>
      <c r="W27" s="502"/>
      <c r="X27" s="502"/>
      <c r="Y27" s="503"/>
      <c r="Z27" s="504"/>
      <c r="AA27" s="505"/>
      <c r="AB27" s="504"/>
      <c r="AC27" s="505"/>
      <c r="AD27" s="504"/>
      <c r="AE27" s="503"/>
      <c r="AF27" s="505"/>
      <c r="AG27" s="504"/>
      <c r="AH27" s="505"/>
      <c r="AI27" s="504"/>
      <c r="AJ27" s="505"/>
      <c r="AK27" s="504"/>
      <c r="AL27" s="505"/>
      <c r="AM27" s="503"/>
      <c r="AN27" s="503"/>
      <c r="AO27" s="503"/>
      <c r="AP27" s="503"/>
      <c r="AQ27" s="503"/>
      <c r="AR27" s="503"/>
      <c r="AS27" s="504"/>
      <c r="AT27" s="505"/>
      <c r="AU27" s="503"/>
      <c r="AV27" s="503"/>
      <c r="AW27" s="504"/>
      <c r="AX27" s="505"/>
      <c r="AY27" s="503"/>
      <c r="AZ27" s="503"/>
      <c r="BA27" s="504"/>
      <c r="BB27" s="505"/>
      <c r="BC27" s="502"/>
      <c r="BD27" s="502"/>
      <c r="BE27" s="502"/>
      <c r="BF27" s="502"/>
      <c r="BH27" s="1536">
        <f t="shared" si="1"/>
        <v>0</v>
      </c>
      <c r="BJ27" s="489">
        <v>0</v>
      </c>
    </row>
    <row r="28" spans="1:63" s="481" customFormat="1" ht="28.8" x14ac:dyDescent="0.3">
      <c r="A28" s="467"/>
      <c r="B28" s="498" t="s">
        <v>1069</v>
      </c>
      <c r="C28" s="524" t="s">
        <v>1070</v>
      </c>
      <c r="E28" s="499"/>
      <c r="F28" s="483"/>
      <c r="G28" s="500"/>
      <c r="H28" s="501"/>
      <c r="I28" s="500"/>
      <c r="J28" s="501"/>
      <c r="K28" s="500"/>
      <c r="L28" s="501"/>
      <c r="M28" s="500"/>
      <c r="N28" s="501"/>
      <c r="O28" s="500"/>
      <c r="P28" s="501"/>
      <c r="Q28" s="502"/>
      <c r="R28" s="502"/>
      <c r="S28" s="502"/>
      <c r="T28" s="502"/>
      <c r="U28" s="503"/>
      <c r="V28" s="502"/>
      <c r="W28" s="502"/>
      <c r="X28" s="502"/>
      <c r="Y28" s="503"/>
      <c r="Z28" s="504"/>
      <c r="AA28" s="505"/>
      <c r="AB28" s="504"/>
      <c r="AC28" s="505"/>
      <c r="AD28" s="504"/>
      <c r="AE28" s="503"/>
      <c r="AF28" s="505"/>
      <c r="AG28" s="504"/>
      <c r="AH28" s="505"/>
      <c r="AI28" s="504"/>
      <c r="AJ28" s="505"/>
      <c r="AK28" s="504"/>
      <c r="AL28" s="505"/>
      <c r="AM28" s="503"/>
      <c r="AN28" s="503"/>
      <c r="AO28" s="503"/>
      <c r="AP28" s="503"/>
      <c r="AQ28" s="503"/>
      <c r="AR28" s="503"/>
      <c r="AS28" s="504"/>
      <c r="AT28" s="505"/>
      <c r="AU28" s="503"/>
      <c r="AV28" s="503"/>
      <c r="AW28" s="504"/>
      <c r="AX28" s="505"/>
      <c r="AY28" s="503"/>
      <c r="AZ28" s="503"/>
      <c r="BA28" s="504"/>
      <c r="BB28" s="505"/>
      <c r="BC28" s="502"/>
      <c r="BD28" s="502"/>
      <c r="BE28" s="502"/>
      <c r="BF28" s="502"/>
      <c r="BH28" s="1536">
        <f t="shared" si="1"/>
        <v>0</v>
      </c>
      <c r="BJ28" s="489">
        <v>0</v>
      </c>
    </row>
    <row r="29" spans="1:63" s="481" customFormat="1" ht="14.1" customHeight="1" x14ac:dyDescent="0.3">
      <c r="A29" s="467"/>
      <c r="B29" s="498" t="s">
        <v>1071</v>
      </c>
      <c r="C29" s="498" t="s">
        <v>40</v>
      </c>
      <c r="E29" s="499"/>
      <c r="F29" s="483"/>
      <c r="G29" s="500"/>
      <c r="H29" s="501"/>
      <c r="I29" s="500"/>
      <c r="J29" s="501"/>
      <c r="K29" s="500"/>
      <c r="L29" s="501"/>
      <c r="M29" s="500"/>
      <c r="N29" s="501"/>
      <c r="O29" s="500"/>
      <c r="P29" s="501"/>
      <c r="Q29" s="502"/>
      <c r="R29" s="502"/>
      <c r="S29" s="502"/>
      <c r="T29" s="502"/>
      <c r="U29" s="503"/>
      <c r="V29" s="502"/>
      <c r="W29" s="502"/>
      <c r="X29" s="502"/>
      <c r="Y29" s="503"/>
      <c r="Z29" s="504"/>
      <c r="AA29" s="505"/>
      <c r="AB29" s="504"/>
      <c r="AC29" s="505"/>
      <c r="AD29" s="504">
        <f>1820.91778991124+330.296429+216.501643+187.185137+514.390844</f>
        <v>3069.2918429112401</v>
      </c>
      <c r="AE29" s="503">
        <f>-AE103</f>
        <v>759.49458200000004</v>
      </c>
      <c r="AF29" s="505"/>
      <c r="AG29" s="504"/>
      <c r="AH29" s="505"/>
      <c r="AI29" s="504"/>
      <c r="AJ29" s="505"/>
      <c r="AK29" s="504"/>
      <c r="AL29" s="505"/>
      <c r="AM29" s="503"/>
      <c r="AN29" s="503"/>
      <c r="AO29" s="503"/>
      <c r="AP29" s="503"/>
      <c r="AQ29" s="503"/>
      <c r="AR29" s="503"/>
      <c r="AS29" s="504"/>
      <c r="AT29" s="505"/>
      <c r="AU29" s="503"/>
      <c r="AV29" s="503"/>
      <c r="AW29" s="504"/>
      <c r="AX29" s="505"/>
      <c r="AY29" s="503"/>
      <c r="AZ29" s="503"/>
      <c r="BA29" s="504"/>
      <c r="BB29" s="505"/>
      <c r="BC29" s="502"/>
      <c r="BD29" s="502"/>
      <c r="BE29" s="502"/>
      <c r="BF29" s="502"/>
      <c r="BH29" s="1536">
        <f t="shared" si="1"/>
        <v>3828.7864249112399</v>
      </c>
      <c r="BJ29" s="489">
        <v>3828.7864249112399</v>
      </c>
    </row>
    <row r="30" spans="1:63" s="481" customFormat="1" x14ac:dyDescent="0.3">
      <c r="A30" s="467"/>
      <c r="B30" s="498" t="s">
        <v>1072</v>
      </c>
      <c r="C30" s="498" t="s">
        <v>1073</v>
      </c>
      <c r="E30" s="499"/>
      <c r="F30" s="483"/>
      <c r="G30" s="500"/>
      <c r="H30" s="501"/>
      <c r="I30" s="500"/>
      <c r="J30" s="501"/>
      <c r="K30" s="500"/>
      <c r="L30" s="501"/>
      <c r="M30" s="500"/>
      <c r="N30" s="501"/>
      <c r="O30" s="500"/>
      <c r="P30" s="501"/>
      <c r="Q30" s="502"/>
      <c r="R30" s="502"/>
      <c r="S30" s="502"/>
      <c r="T30" s="502"/>
      <c r="U30" s="503"/>
      <c r="V30" s="502"/>
      <c r="W30" s="502"/>
      <c r="X30" s="502"/>
      <c r="Y30" s="503"/>
      <c r="Z30" s="504"/>
      <c r="AA30" s="505"/>
      <c r="AB30" s="504"/>
      <c r="AC30" s="505"/>
      <c r="AD30" s="504"/>
      <c r="AE30" s="503"/>
      <c r="AF30" s="505"/>
      <c r="AG30" s="504">
        <f>-1171.35990694011-346.028541147557-265.028390976732-200.907171654148-177.45912356389</f>
        <v>-2160.783134282437</v>
      </c>
      <c r="AH30" s="505">
        <f>-'Cartes SIM'!D21/1000000</f>
        <v>-229.49405514291669</v>
      </c>
      <c r="AI30" s="504"/>
      <c r="AJ30" s="505"/>
      <c r="AK30" s="504"/>
      <c r="AL30" s="505"/>
      <c r="AM30" s="503"/>
      <c r="AN30" s="503"/>
      <c r="AO30" s="503"/>
      <c r="AP30" s="503"/>
      <c r="AQ30" s="503"/>
      <c r="AR30" s="503"/>
      <c r="AS30" s="504"/>
      <c r="AT30" s="505"/>
      <c r="AU30" s="503"/>
      <c r="AV30" s="503"/>
      <c r="AW30" s="504"/>
      <c r="AX30" s="505"/>
      <c r="AY30" s="503"/>
      <c r="AZ30" s="503"/>
      <c r="BA30" s="504"/>
      <c r="BB30" s="505"/>
      <c r="BC30" s="502"/>
      <c r="BD30" s="502"/>
      <c r="BE30" s="502"/>
      <c r="BF30" s="502"/>
      <c r="BH30" s="1594">
        <f t="shared" si="1"/>
        <v>-2390.2771894253538</v>
      </c>
      <c r="BJ30" s="489">
        <v>-2316.3666340220138</v>
      </c>
    </row>
    <row r="31" spans="1:63" s="481" customFormat="1" x14ac:dyDescent="0.3">
      <c r="A31" s="467"/>
      <c r="B31" s="498" t="s">
        <v>1074</v>
      </c>
      <c r="C31" s="1264" t="s">
        <v>1075</v>
      </c>
      <c r="E31" s="499"/>
      <c r="F31" s="483"/>
      <c r="G31" s="500"/>
      <c r="H31" s="501"/>
      <c r="I31" s="500"/>
      <c r="J31" s="501"/>
      <c r="K31" s="500"/>
      <c r="L31" s="501"/>
      <c r="M31" s="500"/>
      <c r="N31" s="501"/>
      <c r="O31" s="500"/>
      <c r="P31" s="501"/>
      <c r="Q31" s="502"/>
      <c r="R31" s="502"/>
      <c r="S31" s="502"/>
      <c r="T31" s="502"/>
      <c r="U31" s="503"/>
      <c r="V31" s="502"/>
      <c r="W31" s="502"/>
      <c r="X31" s="502"/>
      <c r="Y31" s="503"/>
      <c r="Z31" s="504"/>
      <c r="AA31" s="505"/>
      <c r="AB31" s="504"/>
      <c r="AC31" s="505"/>
      <c r="AD31" s="504"/>
      <c r="AE31" s="503"/>
      <c r="AF31" s="505"/>
      <c r="AG31" s="504"/>
      <c r="AH31" s="505"/>
      <c r="AI31" s="504"/>
      <c r="AJ31" s="505"/>
      <c r="AK31" s="504"/>
      <c r="AL31" s="505"/>
      <c r="AM31" s="526">
        <f>4021.665466+2117.71515+33.047333-2.01030600000104+133.291784</f>
        <v>6303.7094269999998</v>
      </c>
      <c r="AN31" s="1315">
        <f>'Impacts_IFRS.16-09'!K69</f>
        <v>434.4155609999998</v>
      </c>
      <c r="AO31" s="503"/>
      <c r="AP31" s="503"/>
      <c r="AQ31" s="503"/>
      <c r="AR31" s="503"/>
      <c r="AS31" s="504"/>
      <c r="AT31" s="505"/>
      <c r="AU31" s="503"/>
      <c r="AV31" s="503"/>
      <c r="AW31" s="504"/>
      <c r="AX31" s="505"/>
      <c r="AY31" s="503"/>
      <c r="AZ31" s="503"/>
      <c r="BA31" s="504"/>
      <c r="BB31" s="505"/>
      <c r="BC31" s="502"/>
      <c r="BD31" s="502"/>
      <c r="BE31" s="502"/>
      <c r="BF31" s="502"/>
      <c r="BH31" s="1536">
        <f t="shared" ref="BH31:BH36" si="2">SUM(E31:BG31)</f>
        <v>6738.1249879999996</v>
      </c>
      <c r="BJ31" s="489">
        <v>6729.8771319999996</v>
      </c>
    </row>
    <row r="32" spans="1:63" s="481" customFormat="1" x14ac:dyDescent="0.3">
      <c r="A32" s="467"/>
      <c r="B32" s="498" t="s">
        <v>1076</v>
      </c>
      <c r="C32" s="1264" t="s">
        <v>1077</v>
      </c>
      <c r="E32" s="499"/>
      <c r="F32" s="483"/>
      <c r="G32" s="500"/>
      <c r="H32" s="501"/>
      <c r="I32" s="500"/>
      <c r="J32" s="501"/>
      <c r="K32" s="500"/>
      <c r="L32" s="501"/>
      <c r="M32" s="500"/>
      <c r="N32" s="501"/>
      <c r="O32" s="500"/>
      <c r="P32" s="501"/>
      <c r="Q32" s="502"/>
      <c r="R32" s="502"/>
      <c r="S32" s="502"/>
      <c r="T32" s="502"/>
      <c r="U32" s="503"/>
      <c r="V32" s="502"/>
      <c r="W32" s="502"/>
      <c r="X32" s="502"/>
      <c r="Y32" s="503"/>
      <c r="Z32" s="504"/>
      <c r="AA32" s="505"/>
      <c r="AB32" s="504"/>
      <c r="AC32" s="505"/>
      <c r="AD32" s="504"/>
      <c r="AE32" s="503"/>
      <c r="AF32" s="505"/>
      <c r="AG32" s="504"/>
      <c r="AH32" s="505"/>
      <c r="AI32" s="504"/>
      <c r="AJ32" s="505"/>
      <c r="AK32" s="504"/>
      <c r="AL32" s="505"/>
      <c r="AM32" s="503"/>
      <c r="AN32" s="503"/>
      <c r="AO32" s="1314">
        <f>-930.344101-1133.873401-1067.353401-940.196732</f>
        <v>-4071.7676349999997</v>
      </c>
      <c r="AP32" s="1399">
        <f>+'Impacts_IFRS.16-09'!L82</f>
        <v>-805.85368700000004</v>
      </c>
      <c r="AQ32" s="503"/>
      <c r="AR32" s="503"/>
      <c r="AS32" s="504"/>
      <c r="AT32" s="505"/>
      <c r="AU32" s="503"/>
      <c r="AV32" s="503"/>
      <c r="AW32" s="504"/>
      <c r="AX32" s="505"/>
      <c r="AY32" s="503"/>
      <c r="AZ32" s="503"/>
      <c r="BA32" s="504"/>
      <c r="BB32" s="505"/>
      <c r="BC32" s="502"/>
      <c r="BD32" s="502"/>
      <c r="BE32" s="502"/>
      <c r="BF32" s="502"/>
      <c r="BH32" s="1536">
        <f t="shared" si="2"/>
        <v>-4877.621322</v>
      </c>
      <c r="BJ32" s="489">
        <v>-4671.7803610000001</v>
      </c>
    </row>
    <row r="33" spans="1:63" s="481" customFormat="1" x14ac:dyDescent="0.3">
      <c r="A33" s="467"/>
      <c r="B33" s="498" t="s">
        <v>1078</v>
      </c>
      <c r="C33" s="498" t="s">
        <v>1056</v>
      </c>
      <c r="E33" s="499"/>
      <c r="F33" s="483"/>
      <c r="G33" s="500"/>
      <c r="H33" s="501"/>
      <c r="I33" s="500"/>
      <c r="J33" s="501"/>
      <c r="K33" s="500"/>
      <c r="L33" s="501"/>
      <c r="M33" s="500"/>
      <c r="N33" s="501"/>
      <c r="O33" s="500"/>
      <c r="P33" s="501"/>
      <c r="Q33" s="502"/>
      <c r="R33" s="502"/>
      <c r="S33" s="502"/>
      <c r="T33" s="502"/>
      <c r="U33" s="503"/>
      <c r="V33" s="1509">
        <f>-(SUM(Activation!H25,Activation!H32:H192)/10^6)</f>
        <v>-2464.3598305879996</v>
      </c>
      <c r="W33" s="502"/>
      <c r="X33" s="502"/>
      <c r="Y33" s="503"/>
      <c r="Z33" s="504"/>
      <c r="AA33" s="505"/>
      <c r="AB33" s="504"/>
      <c r="AC33" s="505"/>
      <c r="AD33" s="504"/>
      <c r="AE33" s="503"/>
      <c r="AF33" s="505"/>
      <c r="AG33" s="504"/>
      <c r="AH33" s="505"/>
      <c r="AI33" s="504"/>
      <c r="AJ33" s="505"/>
      <c r="AK33" s="504"/>
      <c r="AL33" s="505"/>
      <c r="AM33" s="503"/>
      <c r="AN33" s="503"/>
      <c r="AO33" s="503"/>
      <c r="AP33" s="503"/>
      <c r="AQ33" s="503"/>
      <c r="AR33" s="503"/>
      <c r="AS33" s="504"/>
      <c r="AT33" s="505"/>
      <c r="AU33" s="503"/>
      <c r="AV33" s="503"/>
      <c r="AW33" s="504"/>
      <c r="AX33" s="505"/>
      <c r="AY33" s="503"/>
      <c r="AZ33" s="503"/>
      <c r="BA33" s="504"/>
      <c r="BB33" s="505"/>
      <c r="BC33" s="502"/>
      <c r="BD33" s="502"/>
      <c r="BE33" s="502"/>
      <c r="BF33" s="1286">
        <f>SUM(Activation!H25,Activation!H32:H213)/10^6</f>
        <v>2745.5722788380012</v>
      </c>
      <c r="BH33" s="1536">
        <f t="shared" si="2"/>
        <v>281.21244825000167</v>
      </c>
      <c r="BJ33" s="489">
        <v>0</v>
      </c>
    </row>
    <row r="34" spans="1:63" s="481" customFormat="1" x14ac:dyDescent="0.3">
      <c r="A34" s="467"/>
      <c r="B34" s="498" t="s">
        <v>1079</v>
      </c>
      <c r="C34" s="498" t="s">
        <v>1080</v>
      </c>
      <c r="E34" s="499"/>
      <c r="F34" s="483"/>
      <c r="G34" s="500"/>
      <c r="H34" s="501"/>
      <c r="I34" s="500"/>
      <c r="J34" s="501"/>
      <c r="K34" s="500"/>
      <c r="L34" s="501"/>
      <c r="M34" s="500"/>
      <c r="N34" s="501"/>
      <c r="O34" s="500"/>
      <c r="P34" s="501"/>
      <c r="Q34" s="502"/>
      <c r="R34" s="502"/>
      <c r="S34" s="502"/>
      <c r="T34" s="502"/>
      <c r="U34" s="503"/>
      <c r="V34" s="1329">
        <f>-(Activation!CB238/10^6+SUM(Activation!CN239)/10^6)</f>
        <v>1459.7158567960137</v>
      </c>
      <c r="W34" s="502"/>
      <c r="X34" s="502"/>
      <c r="Y34" s="503"/>
      <c r="Z34" s="504"/>
      <c r="AA34" s="505"/>
      <c r="AB34" s="504"/>
      <c r="AC34" s="505"/>
      <c r="AD34" s="504"/>
      <c r="AE34" s="503"/>
      <c r="AF34" s="505"/>
      <c r="AG34" s="504"/>
      <c r="AH34" s="505"/>
      <c r="AI34" s="504"/>
      <c r="AJ34" s="505"/>
      <c r="AK34" s="504"/>
      <c r="AL34" s="505"/>
      <c r="AM34" s="503"/>
      <c r="AN34" s="503"/>
      <c r="AO34" s="503"/>
      <c r="AP34" s="503"/>
      <c r="AQ34" s="503"/>
      <c r="AR34" s="503"/>
      <c r="AS34" s="504"/>
      <c r="AT34" s="505"/>
      <c r="AU34" s="503"/>
      <c r="AV34" s="503"/>
      <c r="AW34" s="504"/>
      <c r="AX34" s="505"/>
      <c r="AY34" s="503"/>
      <c r="AZ34" s="503"/>
      <c r="BA34" s="504"/>
      <c r="BB34" s="505"/>
      <c r="BC34" s="502"/>
      <c r="BD34" s="502"/>
      <c r="BE34" s="502"/>
      <c r="BF34" s="1286">
        <f>Activation!CB238/10^6+SUM(Activation!CN239)/10^6</f>
        <v>-1459.7158567960137</v>
      </c>
      <c r="BH34" s="1536">
        <f t="shared" si="2"/>
        <v>0</v>
      </c>
      <c r="BJ34" s="489">
        <v>-215.27479461160715</v>
      </c>
    </row>
    <row r="35" spans="1:63" x14ac:dyDescent="0.3">
      <c r="B35" s="498" t="s">
        <v>1081</v>
      </c>
      <c r="C35" s="498" t="s">
        <v>1082</v>
      </c>
      <c r="E35" s="499"/>
      <c r="F35" s="483"/>
      <c r="G35" s="500"/>
      <c r="H35" s="501"/>
      <c r="I35" s="500"/>
      <c r="J35" s="501"/>
      <c r="K35" s="500"/>
      <c r="L35" s="501"/>
      <c r="M35" s="500"/>
      <c r="N35" s="501"/>
      <c r="O35" s="500"/>
      <c r="P35" s="501"/>
      <c r="Q35" s="502"/>
      <c r="R35" s="502"/>
      <c r="S35" s="502"/>
      <c r="T35" s="502"/>
      <c r="U35" s="503"/>
      <c r="V35" s="1510">
        <f>+Q56</f>
        <v>324.80202800000001</v>
      </c>
      <c r="W35" s="502"/>
      <c r="X35" s="502"/>
      <c r="Y35" s="503"/>
      <c r="Z35" s="504"/>
      <c r="AA35" s="505"/>
      <c r="AB35" s="504"/>
      <c r="AC35" s="505"/>
      <c r="AD35" s="504"/>
      <c r="AE35" s="503"/>
      <c r="AF35" s="505"/>
      <c r="AG35" s="504"/>
      <c r="AH35" s="505"/>
      <c r="AI35" s="504"/>
      <c r="AJ35" s="505"/>
      <c r="AK35" s="504"/>
      <c r="AL35" s="505"/>
      <c r="AM35" s="503"/>
      <c r="AN35" s="503"/>
      <c r="AO35" s="503"/>
      <c r="AP35" s="503"/>
      <c r="AQ35" s="503"/>
      <c r="AR35" s="503"/>
      <c r="AS35" s="504"/>
      <c r="AT35" s="505"/>
      <c r="AU35" s="503"/>
      <c r="AV35" s="503"/>
      <c r="AW35" s="504"/>
      <c r="AX35" s="505"/>
      <c r="AY35" s="503"/>
      <c r="AZ35" s="503"/>
      <c r="BA35" s="504"/>
      <c r="BB35" s="505"/>
      <c r="BC35" s="502"/>
      <c r="BD35" s="502"/>
      <c r="BE35" s="502"/>
      <c r="BF35" s="502"/>
      <c r="BH35" s="1536">
        <f t="shared" si="2"/>
        <v>324.80202800000001</v>
      </c>
      <c r="BJ35" s="489">
        <v>579.13572999999997</v>
      </c>
    </row>
    <row r="36" spans="1:63" x14ac:dyDescent="0.3">
      <c r="B36" s="498" t="s">
        <v>1083</v>
      </c>
      <c r="C36" s="498" t="s">
        <v>1084</v>
      </c>
      <c r="E36" s="499"/>
      <c r="F36" s="483"/>
      <c r="G36" s="500"/>
      <c r="H36" s="501"/>
      <c r="I36" s="500"/>
      <c r="J36" s="501"/>
      <c r="K36" s="500"/>
      <c r="L36" s="501"/>
      <c r="M36" s="500"/>
      <c r="N36" s="501"/>
      <c r="O36" s="500"/>
      <c r="P36" s="501"/>
      <c r="Q36" s="502"/>
      <c r="R36" s="502"/>
      <c r="S36" s="502"/>
      <c r="T36" s="502"/>
      <c r="U36" s="503"/>
      <c r="V36" s="502"/>
      <c r="W36" s="502"/>
      <c r="X36" s="502"/>
      <c r="Y36" s="503"/>
      <c r="Z36" s="504"/>
      <c r="AA36" s="505"/>
      <c r="AB36" s="504"/>
      <c r="AC36" s="505"/>
      <c r="AD36" s="504"/>
      <c r="AE36" s="503"/>
      <c r="AF36" s="505"/>
      <c r="AG36" s="504"/>
      <c r="AH36" s="505"/>
      <c r="AI36" s="504"/>
      <c r="AJ36" s="505"/>
      <c r="AK36" s="504"/>
      <c r="AL36" s="505"/>
      <c r="AM36" s="503"/>
      <c r="AN36" s="503"/>
      <c r="AO36" s="503"/>
      <c r="AP36" s="503"/>
      <c r="AQ36" s="503"/>
      <c r="AR36" s="503"/>
      <c r="AS36" s="504"/>
      <c r="AT36" s="505"/>
      <c r="AU36" s="503"/>
      <c r="AV36" s="503"/>
      <c r="AW36" s="504"/>
      <c r="AX36" s="505"/>
      <c r="AY36" s="503"/>
      <c r="AZ36" s="503"/>
      <c r="BA36" s="504"/>
      <c r="BB36" s="505"/>
      <c r="BC36" s="502"/>
      <c r="BD36" s="502"/>
      <c r="BE36" s="502"/>
      <c r="BF36" s="502"/>
      <c r="BH36" s="1536">
        <f t="shared" si="2"/>
        <v>0</v>
      </c>
      <c r="BJ36" s="489">
        <v>0</v>
      </c>
    </row>
    <row r="37" spans="1:63" s="6" customFormat="1" ht="21.9" customHeight="1" thickBot="1" x14ac:dyDescent="0.35">
      <c r="B37" s="507" t="s">
        <v>1085</v>
      </c>
      <c r="C37" s="507" t="s">
        <v>1086</v>
      </c>
      <c r="D37" s="527"/>
      <c r="E37" s="513">
        <f>+SUM(E14:E17)</f>
        <v>39106.513765999996</v>
      </c>
      <c r="F37" s="509"/>
      <c r="G37" s="512">
        <f>SUM(G19:G36)</f>
        <v>0</v>
      </c>
      <c r="H37" s="512">
        <f t="shared" ref="H37:BF37" si="3">SUM(H14:H36)</f>
        <v>0</v>
      </c>
      <c r="I37" s="512">
        <f t="shared" si="3"/>
        <v>0</v>
      </c>
      <c r="J37" s="512">
        <f t="shared" si="3"/>
        <v>0</v>
      </c>
      <c r="K37" s="512">
        <f t="shared" si="3"/>
        <v>0</v>
      </c>
      <c r="L37" s="512">
        <f t="shared" si="3"/>
        <v>0</v>
      </c>
      <c r="M37" s="512">
        <f t="shared" si="3"/>
        <v>0</v>
      </c>
      <c r="N37" s="512">
        <f t="shared" si="3"/>
        <v>0</v>
      </c>
      <c r="O37" s="512">
        <f t="shared" si="3"/>
        <v>0</v>
      </c>
      <c r="P37" s="512">
        <f t="shared" si="3"/>
        <v>0</v>
      </c>
      <c r="Q37" s="512">
        <f t="shared" si="3"/>
        <v>0</v>
      </c>
      <c r="R37" s="512">
        <f t="shared" si="3"/>
        <v>0</v>
      </c>
      <c r="S37" s="512">
        <f t="shared" si="3"/>
        <v>0</v>
      </c>
      <c r="T37" s="512">
        <f t="shared" si="3"/>
        <v>0</v>
      </c>
      <c r="U37" s="512">
        <f t="shared" si="3"/>
        <v>0</v>
      </c>
      <c r="V37" s="512">
        <f>SUM(V14:V36)</f>
        <v>-679.84194579198584</v>
      </c>
      <c r="W37" s="512">
        <f t="shared" si="3"/>
        <v>0</v>
      </c>
      <c r="X37" s="512">
        <f t="shared" si="3"/>
        <v>0</v>
      </c>
      <c r="Y37" s="512">
        <f t="shared" si="3"/>
        <v>0</v>
      </c>
      <c r="Z37" s="512">
        <f t="shared" si="3"/>
        <v>0</v>
      </c>
      <c r="AA37" s="512">
        <f t="shared" si="3"/>
        <v>0</v>
      </c>
      <c r="AB37" s="512">
        <f t="shared" si="3"/>
        <v>0</v>
      </c>
      <c r="AC37" s="512">
        <f t="shared" si="3"/>
        <v>0</v>
      </c>
      <c r="AD37" s="512">
        <f t="shared" si="3"/>
        <v>3069.2918429112401</v>
      </c>
      <c r="AE37" s="512">
        <f t="shared" si="3"/>
        <v>759.49458200000004</v>
      </c>
      <c r="AF37" s="512">
        <f t="shared" si="3"/>
        <v>0</v>
      </c>
      <c r="AG37" s="512">
        <f t="shared" si="3"/>
        <v>-2160.783134282437</v>
      </c>
      <c r="AH37" s="512">
        <f t="shared" si="3"/>
        <v>-229.49405514291669</v>
      </c>
      <c r="AI37" s="512">
        <f t="shared" si="3"/>
        <v>0</v>
      </c>
      <c r="AJ37" s="512">
        <f t="shared" si="3"/>
        <v>0</v>
      </c>
      <c r="AK37" s="512">
        <f t="shared" si="3"/>
        <v>0</v>
      </c>
      <c r="AL37" s="512">
        <f t="shared" si="3"/>
        <v>0</v>
      </c>
      <c r="AM37" s="512">
        <f t="shared" si="3"/>
        <v>6303.7094269999998</v>
      </c>
      <c r="AN37" s="512">
        <f t="shared" si="3"/>
        <v>434.4155609999998</v>
      </c>
      <c r="AO37" s="512">
        <f t="shared" si="3"/>
        <v>-4071.7676349999997</v>
      </c>
      <c r="AP37" s="512">
        <f t="shared" si="3"/>
        <v>-805.85368700000004</v>
      </c>
      <c r="AQ37" s="512">
        <f t="shared" si="3"/>
        <v>0</v>
      </c>
      <c r="AR37" s="512">
        <f t="shared" si="3"/>
        <v>0</v>
      </c>
      <c r="AS37" s="512">
        <f t="shared" si="3"/>
        <v>0</v>
      </c>
      <c r="AT37" s="512">
        <f t="shared" si="3"/>
        <v>0</v>
      </c>
      <c r="AU37" s="512">
        <f t="shared" si="3"/>
        <v>0</v>
      </c>
      <c r="AV37" s="512">
        <f t="shared" si="3"/>
        <v>0</v>
      </c>
      <c r="AW37" s="512">
        <f t="shared" si="3"/>
        <v>0</v>
      </c>
      <c r="AX37" s="512">
        <f t="shared" si="3"/>
        <v>0</v>
      </c>
      <c r="AY37" s="512">
        <f t="shared" si="3"/>
        <v>0</v>
      </c>
      <c r="AZ37" s="512">
        <f t="shared" si="3"/>
        <v>0</v>
      </c>
      <c r="BA37" s="512">
        <f t="shared" si="3"/>
        <v>0</v>
      </c>
      <c r="BB37" s="512">
        <f t="shared" si="3"/>
        <v>0</v>
      </c>
      <c r="BC37" s="512">
        <f t="shared" si="3"/>
        <v>0</v>
      </c>
      <c r="BD37" s="512">
        <f t="shared" si="3"/>
        <v>0</v>
      </c>
      <c r="BE37" s="512">
        <f t="shared" si="3"/>
        <v>0</v>
      </c>
      <c r="BF37" s="512">
        <f t="shared" si="3"/>
        <v>1285.8564220419876</v>
      </c>
      <c r="BG37" s="527"/>
      <c r="BH37" s="1539">
        <f>SUM(BH14:BH36)</f>
        <v>43011.541143735893</v>
      </c>
      <c r="BJ37" s="528">
        <v>45616.715856277631</v>
      </c>
    </row>
    <row r="38" spans="1:63" ht="12" customHeight="1" x14ac:dyDescent="0.3">
      <c r="E38" s="490"/>
      <c r="F38" s="483"/>
      <c r="G38" s="491"/>
      <c r="H38" s="492"/>
      <c r="I38" s="491"/>
      <c r="J38" s="492"/>
      <c r="K38" s="491"/>
      <c r="L38" s="492"/>
      <c r="M38" s="491"/>
      <c r="N38" s="492"/>
      <c r="O38" s="491"/>
      <c r="P38" s="492"/>
      <c r="Q38" s="493"/>
      <c r="R38" s="493"/>
      <c r="S38" s="493"/>
      <c r="T38" s="493"/>
      <c r="U38" s="494"/>
      <c r="V38" s="493"/>
      <c r="W38" s="493"/>
      <c r="X38" s="493"/>
      <c r="Y38" s="494"/>
      <c r="Z38" s="495"/>
      <c r="AA38" s="496"/>
      <c r="AB38" s="495"/>
      <c r="AC38" s="496"/>
      <c r="AD38" s="495"/>
      <c r="AE38" s="494"/>
      <c r="AF38" s="496"/>
      <c r="AG38" s="495"/>
      <c r="AH38" s="496"/>
      <c r="AI38" s="495"/>
      <c r="AJ38" s="496"/>
      <c r="AK38" s="495"/>
      <c r="AL38" s="496"/>
      <c r="AM38" s="494"/>
      <c r="AN38" s="494"/>
      <c r="AO38" s="494"/>
      <c r="AP38" s="494"/>
      <c r="AQ38" s="494"/>
      <c r="AR38" s="494"/>
      <c r="AS38" s="495"/>
      <c r="AT38" s="496"/>
      <c r="AU38" s="494"/>
      <c r="AV38" s="494"/>
      <c r="AW38" s="495"/>
      <c r="AX38" s="496"/>
      <c r="AY38" s="494"/>
      <c r="AZ38" s="494"/>
      <c r="BA38" s="495"/>
      <c r="BB38" s="496"/>
      <c r="BC38" s="493"/>
      <c r="BD38" s="493"/>
      <c r="BE38" s="493"/>
      <c r="BF38" s="493"/>
      <c r="BH38" s="1535"/>
      <c r="BJ38" s="489"/>
    </row>
    <row r="39" spans="1:63" x14ac:dyDescent="0.3">
      <c r="C39" s="480" t="s">
        <v>1087</v>
      </c>
      <c r="E39" s="482">
        <f>+'Bilan Actif'!F17/10^6</f>
        <v>3170.0923290000001</v>
      </c>
      <c r="F39" s="483"/>
      <c r="G39" s="484"/>
      <c r="H39" s="485"/>
      <c r="I39" s="484"/>
      <c r="J39" s="485"/>
      <c r="K39" s="484"/>
      <c r="L39" s="485"/>
      <c r="M39" s="484"/>
      <c r="N39" s="485"/>
      <c r="O39" s="484"/>
      <c r="P39" s="485"/>
      <c r="Q39" s="486">
        <f t="shared" ref="Q39:Q44" si="4">-E39</f>
        <v>-3170.0923290000001</v>
      </c>
      <c r="R39" s="486"/>
      <c r="S39" s="486"/>
      <c r="T39" s="486"/>
      <c r="U39" s="482"/>
      <c r="V39" s="486"/>
      <c r="W39" s="486"/>
      <c r="X39" s="486"/>
      <c r="Y39" s="482"/>
      <c r="Z39" s="487"/>
      <c r="AA39" s="488"/>
      <c r="AB39" s="487"/>
      <c r="AC39" s="488"/>
      <c r="AD39" s="487"/>
      <c r="AE39" s="482"/>
      <c r="AF39" s="488"/>
      <c r="AG39" s="487"/>
      <c r="AH39" s="488"/>
      <c r="AI39" s="487"/>
      <c r="AJ39" s="488"/>
      <c r="AK39" s="487"/>
      <c r="AL39" s="488"/>
      <c r="AM39" s="482"/>
      <c r="AN39" s="482"/>
      <c r="AO39" s="482"/>
      <c r="AP39" s="482"/>
      <c r="AQ39" s="482"/>
      <c r="AR39" s="482"/>
      <c r="AS39" s="487"/>
      <c r="AT39" s="488"/>
      <c r="AU39" s="482"/>
      <c r="AV39" s="482"/>
      <c r="AW39" s="487"/>
      <c r="AX39" s="488"/>
      <c r="AY39" s="482"/>
      <c r="AZ39" s="482"/>
      <c r="BA39" s="487"/>
      <c r="BB39" s="488"/>
      <c r="BC39" s="486"/>
      <c r="BD39" s="486"/>
      <c r="BE39" s="486"/>
      <c r="BF39" s="486"/>
      <c r="BH39" s="1534">
        <f t="shared" ref="BH39:BH44" si="5">SUM(E39:BG39)</f>
        <v>0</v>
      </c>
      <c r="BJ39" s="489">
        <v>0</v>
      </c>
      <c r="BK39" s="1962"/>
    </row>
    <row r="40" spans="1:63" x14ac:dyDescent="0.3">
      <c r="C40" s="480" t="s">
        <v>1088</v>
      </c>
      <c r="E40" s="482">
        <f>+'Bilan Actif'!F18/10^6</f>
        <v>1622.108716</v>
      </c>
      <c r="F40" s="483"/>
      <c r="G40" s="484"/>
      <c r="H40" s="485"/>
      <c r="I40" s="484"/>
      <c r="J40" s="485"/>
      <c r="K40" s="484"/>
      <c r="L40" s="485"/>
      <c r="M40" s="484"/>
      <c r="N40" s="485"/>
      <c r="O40" s="484"/>
      <c r="P40" s="485"/>
      <c r="Q40" s="486">
        <f t="shared" si="4"/>
        <v>-1622.108716</v>
      </c>
      <c r="R40" s="486"/>
      <c r="S40" s="486"/>
      <c r="T40" s="486"/>
      <c r="U40" s="482"/>
      <c r="V40" s="486"/>
      <c r="W40" s="486"/>
      <c r="X40" s="486"/>
      <c r="Y40" s="482"/>
      <c r="Z40" s="487"/>
      <c r="AA40" s="488"/>
      <c r="AB40" s="487"/>
      <c r="AC40" s="488"/>
      <c r="AD40" s="487"/>
      <c r="AE40" s="482"/>
      <c r="AF40" s="488"/>
      <c r="AG40" s="487"/>
      <c r="AH40" s="488"/>
      <c r="AI40" s="487"/>
      <c r="AJ40" s="488"/>
      <c r="AK40" s="487"/>
      <c r="AL40" s="488"/>
      <c r="AM40" s="482"/>
      <c r="AN40" s="482"/>
      <c r="AO40" s="482"/>
      <c r="AP40" s="482"/>
      <c r="AQ40" s="482"/>
      <c r="AR40" s="482"/>
      <c r="AS40" s="487"/>
      <c r="AT40" s="488"/>
      <c r="AU40" s="482"/>
      <c r="AV40" s="482"/>
      <c r="AW40" s="487"/>
      <c r="AX40" s="488"/>
      <c r="AY40" s="482"/>
      <c r="AZ40" s="482"/>
      <c r="BA40" s="487"/>
      <c r="BB40" s="488"/>
      <c r="BC40" s="486"/>
      <c r="BD40" s="486"/>
      <c r="BE40" s="486"/>
      <c r="BF40" s="486"/>
      <c r="BH40" s="1534">
        <f t="shared" si="5"/>
        <v>0</v>
      </c>
      <c r="BJ40" s="489">
        <v>0</v>
      </c>
      <c r="BK40" s="1962"/>
    </row>
    <row r="41" spans="1:63" x14ac:dyDescent="0.3">
      <c r="C41" s="480" t="s">
        <v>1089</v>
      </c>
      <c r="E41" s="482">
        <f>+'Bilan Actif'!F19/10^6</f>
        <v>20069.24898</v>
      </c>
      <c r="F41" s="483"/>
      <c r="G41" s="484"/>
      <c r="H41" s="485"/>
      <c r="I41" s="484"/>
      <c r="J41" s="485"/>
      <c r="K41" s="484"/>
      <c r="L41" s="485"/>
      <c r="M41" s="484"/>
      <c r="N41" s="485"/>
      <c r="O41" s="484"/>
      <c r="P41" s="485"/>
      <c r="Q41" s="486">
        <f t="shared" si="4"/>
        <v>-20069.24898</v>
      </c>
      <c r="R41" s="486"/>
      <c r="S41" s="486"/>
      <c r="T41" s="486"/>
      <c r="U41" s="482"/>
      <c r="V41" s="486"/>
      <c r="W41" s="486"/>
      <c r="X41" s="486"/>
      <c r="Y41" s="482"/>
      <c r="Z41" s="487"/>
      <c r="AA41" s="488"/>
      <c r="AB41" s="487"/>
      <c r="AC41" s="488"/>
      <c r="AD41" s="487"/>
      <c r="AE41" s="482"/>
      <c r="AF41" s="488"/>
      <c r="AG41" s="487"/>
      <c r="AH41" s="488"/>
      <c r="AI41" s="487"/>
      <c r="AJ41" s="488"/>
      <c r="AK41" s="487"/>
      <c r="AL41" s="488"/>
      <c r="AM41" s="482"/>
      <c r="AN41" s="482"/>
      <c r="AO41" s="482"/>
      <c r="AP41" s="482"/>
      <c r="AQ41" s="482"/>
      <c r="AR41" s="482"/>
      <c r="AS41" s="487"/>
      <c r="AT41" s="488"/>
      <c r="AU41" s="482"/>
      <c r="AV41" s="482"/>
      <c r="AW41" s="487"/>
      <c r="AX41" s="488"/>
      <c r="AY41" s="482"/>
      <c r="AZ41" s="482"/>
      <c r="BA41" s="487"/>
      <c r="BB41" s="488"/>
      <c r="BC41" s="486"/>
      <c r="BD41" s="486"/>
      <c r="BE41" s="486"/>
      <c r="BF41" s="486"/>
      <c r="BH41" s="1534">
        <f t="shared" si="5"/>
        <v>0</v>
      </c>
      <c r="BJ41" s="489">
        <v>0</v>
      </c>
      <c r="BK41" s="1962"/>
    </row>
    <row r="42" spans="1:63" x14ac:dyDescent="0.3">
      <c r="C42" s="480" t="s">
        <v>1090</v>
      </c>
      <c r="E42" s="482">
        <f>+'Bilan Actif'!F20/10^6</f>
        <v>41272.440677999999</v>
      </c>
      <c r="F42" s="483"/>
      <c r="G42" s="484"/>
      <c r="H42" s="485"/>
      <c r="I42" s="484"/>
      <c r="J42" s="485"/>
      <c r="K42" s="484"/>
      <c r="L42" s="485"/>
      <c r="M42" s="484"/>
      <c r="N42" s="485"/>
      <c r="O42" s="484"/>
      <c r="P42" s="485"/>
      <c r="Q42" s="486">
        <f t="shared" si="4"/>
        <v>-41272.440677999999</v>
      </c>
      <c r="R42" s="486"/>
      <c r="S42" s="486"/>
      <c r="T42" s="486"/>
      <c r="U42" s="482"/>
      <c r="V42" s="486"/>
      <c r="W42" s="486"/>
      <c r="X42" s="486"/>
      <c r="Y42" s="482"/>
      <c r="Z42" s="487"/>
      <c r="AA42" s="488"/>
      <c r="AB42" s="487"/>
      <c r="AC42" s="488"/>
      <c r="AD42" s="487"/>
      <c r="AE42" s="482"/>
      <c r="AF42" s="488"/>
      <c r="AG42" s="487"/>
      <c r="AH42" s="488"/>
      <c r="AI42" s="487"/>
      <c r="AJ42" s="488"/>
      <c r="AK42" s="487"/>
      <c r="AL42" s="488"/>
      <c r="AM42" s="482"/>
      <c r="AN42" s="482"/>
      <c r="AO42" s="482"/>
      <c r="AP42" s="482"/>
      <c r="AQ42" s="482"/>
      <c r="AR42" s="482"/>
      <c r="AS42" s="487"/>
      <c r="AT42" s="488"/>
      <c r="AU42" s="482"/>
      <c r="AV42" s="482"/>
      <c r="AW42" s="487"/>
      <c r="AX42" s="488"/>
      <c r="AY42" s="482"/>
      <c r="AZ42" s="482"/>
      <c r="BA42" s="487"/>
      <c r="BB42" s="488"/>
      <c r="BC42" s="486"/>
      <c r="BD42" s="486"/>
      <c r="BE42" s="486"/>
      <c r="BF42" s="486"/>
      <c r="BH42" s="1534">
        <f t="shared" si="5"/>
        <v>0</v>
      </c>
      <c r="BJ42" s="489">
        <v>0</v>
      </c>
      <c r="BK42" s="1962"/>
    </row>
    <row r="43" spans="1:63" x14ac:dyDescent="0.3">
      <c r="C43" s="480" t="s">
        <v>1091</v>
      </c>
      <c r="E43" s="482">
        <f>+'Bilan Actif'!F21/10^6</f>
        <v>0.56259300000000001</v>
      </c>
      <c r="F43" s="483"/>
      <c r="G43" s="484"/>
      <c r="H43" s="485"/>
      <c r="I43" s="484"/>
      <c r="J43" s="485"/>
      <c r="K43" s="484"/>
      <c r="L43" s="485"/>
      <c r="M43" s="484"/>
      <c r="N43" s="485"/>
      <c r="O43" s="484"/>
      <c r="P43" s="485"/>
      <c r="Q43" s="486">
        <f t="shared" si="4"/>
        <v>-0.56259300000000001</v>
      </c>
      <c r="R43" s="486"/>
      <c r="S43" s="486"/>
      <c r="T43" s="486"/>
      <c r="U43" s="482"/>
      <c r="V43" s="486"/>
      <c r="W43" s="486"/>
      <c r="X43" s="486"/>
      <c r="Y43" s="482"/>
      <c r="Z43" s="487"/>
      <c r="AA43" s="488"/>
      <c r="AB43" s="487"/>
      <c r="AC43" s="488"/>
      <c r="AD43" s="487"/>
      <c r="AE43" s="482"/>
      <c r="AF43" s="488"/>
      <c r="AG43" s="487"/>
      <c r="AH43" s="488"/>
      <c r="AI43" s="487"/>
      <c r="AJ43" s="488"/>
      <c r="AK43" s="487"/>
      <c r="AL43" s="488"/>
      <c r="AM43" s="482"/>
      <c r="AN43" s="482"/>
      <c r="AO43" s="482"/>
      <c r="AP43" s="482"/>
      <c r="AQ43" s="482"/>
      <c r="AR43" s="482"/>
      <c r="AS43" s="487"/>
      <c r="AT43" s="488"/>
      <c r="AU43" s="482"/>
      <c r="AV43" s="482"/>
      <c r="AW43" s="487"/>
      <c r="AX43" s="488"/>
      <c r="AY43" s="482"/>
      <c r="AZ43" s="482"/>
      <c r="BA43" s="487"/>
      <c r="BB43" s="488"/>
      <c r="BC43" s="486"/>
      <c r="BD43" s="486"/>
      <c r="BE43" s="486"/>
      <c r="BF43" s="486"/>
      <c r="BH43" s="1534">
        <f t="shared" si="5"/>
        <v>0</v>
      </c>
      <c r="BJ43" s="489">
        <v>0</v>
      </c>
      <c r="BK43" s="1962"/>
    </row>
    <row r="44" spans="1:63" x14ac:dyDescent="0.3">
      <c r="C44" s="480" t="s">
        <v>1092</v>
      </c>
      <c r="E44" s="482">
        <f>+'Bilan Actif'!F22/10^6</f>
        <v>474.728793</v>
      </c>
      <c r="F44" s="483"/>
      <c r="G44" s="484"/>
      <c r="H44" s="485"/>
      <c r="I44" s="484"/>
      <c r="J44" s="485"/>
      <c r="K44" s="484"/>
      <c r="L44" s="485"/>
      <c r="M44" s="484"/>
      <c r="N44" s="485"/>
      <c r="O44" s="484"/>
      <c r="P44" s="485"/>
      <c r="Q44" s="486">
        <f t="shared" si="4"/>
        <v>-474.728793</v>
      </c>
      <c r="R44" s="486"/>
      <c r="S44" s="486"/>
      <c r="T44" s="486"/>
      <c r="U44" s="482"/>
      <c r="V44" s="486"/>
      <c r="W44" s="486"/>
      <c r="X44" s="486"/>
      <c r="Y44" s="482"/>
      <c r="Z44" s="487"/>
      <c r="AA44" s="488"/>
      <c r="AB44" s="487"/>
      <c r="AC44" s="488"/>
      <c r="AD44" s="487"/>
      <c r="AE44" s="482"/>
      <c r="AF44" s="488"/>
      <c r="AG44" s="487"/>
      <c r="AH44" s="488"/>
      <c r="AI44" s="487"/>
      <c r="AJ44" s="488"/>
      <c r="AK44" s="487"/>
      <c r="AL44" s="488"/>
      <c r="AM44" s="482"/>
      <c r="AN44" s="482"/>
      <c r="AO44" s="482"/>
      <c r="AP44" s="482"/>
      <c r="AQ44" s="482"/>
      <c r="AR44" s="482"/>
      <c r="AS44" s="487"/>
      <c r="AT44" s="488"/>
      <c r="AU44" s="482"/>
      <c r="AV44" s="482"/>
      <c r="AW44" s="487"/>
      <c r="AX44" s="488"/>
      <c r="AY44" s="482"/>
      <c r="AZ44" s="482"/>
      <c r="BA44" s="487"/>
      <c r="BB44" s="488"/>
      <c r="BC44" s="486"/>
      <c r="BD44" s="486"/>
      <c r="BE44" s="486"/>
      <c r="BF44" s="486"/>
      <c r="BH44" s="1534">
        <f t="shared" si="5"/>
        <v>0</v>
      </c>
      <c r="BJ44" s="489">
        <v>0</v>
      </c>
      <c r="BK44" s="1962"/>
    </row>
    <row r="45" spans="1:63" ht="12" customHeight="1" x14ac:dyDescent="0.3">
      <c r="E45" s="490"/>
      <c r="F45" s="483"/>
      <c r="G45" s="491"/>
      <c r="H45" s="492"/>
      <c r="I45" s="491"/>
      <c r="J45" s="492"/>
      <c r="K45" s="491"/>
      <c r="L45" s="492"/>
      <c r="M45" s="491"/>
      <c r="N45" s="492"/>
      <c r="O45" s="491"/>
      <c r="P45" s="492"/>
      <c r="Q45" s="493"/>
      <c r="R45" s="493"/>
      <c r="S45" s="493"/>
      <c r="T45" s="493"/>
      <c r="U45" s="494"/>
      <c r="V45" s="493"/>
      <c r="W45" s="493"/>
      <c r="X45" s="493"/>
      <c r="Y45" s="494"/>
      <c r="Z45" s="495"/>
      <c r="AA45" s="496"/>
      <c r="AB45" s="495"/>
      <c r="AC45" s="496"/>
      <c r="AD45" s="495"/>
      <c r="AE45" s="494"/>
      <c r="AF45" s="496"/>
      <c r="AG45" s="495"/>
      <c r="AH45" s="496"/>
      <c r="AI45" s="495"/>
      <c r="AJ45" s="496"/>
      <c r="AK45" s="495"/>
      <c r="AL45" s="496"/>
      <c r="AM45" s="494"/>
      <c r="AN45" s="494"/>
      <c r="AO45" s="494"/>
      <c r="AP45" s="494"/>
      <c r="AQ45" s="494"/>
      <c r="AR45" s="494"/>
      <c r="AS45" s="495"/>
      <c r="AT45" s="496"/>
      <c r="AU45" s="494"/>
      <c r="AV45" s="494"/>
      <c r="AW45" s="495"/>
      <c r="AX45" s="496"/>
      <c r="AY45" s="494"/>
      <c r="AZ45" s="494"/>
      <c r="BA45" s="495"/>
      <c r="BB45" s="496"/>
      <c r="BC45" s="493"/>
      <c r="BD45" s="493"/>
      <c r="BE45" s="493"/>
      <c r="BF45" s="493"/>
      <c r="BH45" s="1535"/>
      <c r="BJ45" s="489"/>
    </row>
    <row r="46" spans="1:63" x14ac:dyDescent="0.3">
      <c r="B46" s="498" t="s">
        <v>124</v>
      </c>
      <c r="C46" s="498" t="s">
        <v>1087</v>
      </c>
      <c r="E46" s="499"/>
      <c r="F46" s="483"/>
      <c r="G46" s="500"/>
      <c r="H46" s="501"/>
      <c r="I46" s="500"/>
      <c r="J46" s="501"/>
      <c r="K46" s="500"/>
      <c r="L46" s="501"/>
      <c r="M46" s="500"/>
      <c r="N46" s="501"/>
      <c r="O46" s="500"/>
      <c r="P46" s="501"/>
      <c r="Q46" s="502">
        <f>+('BG '!J35+'BG '!J36+'BG '!J37)/10^6</f>
        <v>3170.0923290000001</v>
      </c>
      <c r="R46" s="502"/>
      <c r="S46" s="502"/>
      <c r="T46" s="502"/>
      <c r="U46" s="503"/>
      <c r="V46" s="502"/>
      <c r="W46" s="502"/>
      <c r="X46" s="502"/>
      <c r="Y46" s="503"/>
      <c r="Z46" s="504"/>
      <c r="AA46" s="505"/>
      <c r="AB46" s="504"/>
      <c r="AC46" s="505"/>
      <c r="AD46" s="504"/>
      <c r="AE46" s="503"/>
      <c r="AF46" s="505"/>
      <c r="AG46" s="504"/>
      <c r="AH46" s="505"/>
      <c r="AI46" s="504"/>
      <c r="AJ46" s="505"/>
      <c r="AK46" s="504"/>
      <c r="AL46" s="505"/>
      <c r="AM46" s="503"/>
      <c r="AN46" s="503"/>
      <c r="AO46" s="503"/>
      <c r="AP46" s="503"/>
      <c r="AQ46" s="503"/>
      <c r="AR46" s="503"/>
      <c r="AS46" s="504"/>
      <c r="AT46" s="505"/>
      <c r="AU46" s="503"/>
      <c r="AV46" s="503"/>
      <c r="AW46" s="504"/>
      <c r="AX46" s="505"/>
      <c r="AY46" s="503"/>
      <c r="AZ46" s="503"/>
      <c r="BA46" s="504"/>
      <c r="BB46" s="505"/>
      <c r="BC46" s="502"/>
      <c r="BD46" s="502"/>
      <c r="BE46" s="502"/>
      <c r="BF46" s="502"/>
      <c r="BH46" s="1536">
        <f t="shared" ref="BH46:BH61" si="6">SUM(E46:BG46)</f>
        <v>3170.0923290000001</v>
      </c>
      <c r="BJ46" s="489">
        <v>3145.8177479999999</v>
      </c>
    </row>
    <row r="47" spans="1:63" x14ac:dyDescent="0.3">
      <c r="B47" s="498" t="s">
        <v>1093</v>
      </c>
      <c r="C47" s="498" t="s">
        <v>1094</v>
      </c>
      <c r="E47" s="499"/>
      <c r="F47" s="483"/>
      <c r="G47" s="500"/>
      <c r="H47" s="501"/>
      <c r="I47" s="500"/>
      <c r="J47" s="501"/>
      <c r="K47" s="500"/>
      <c r="L47" s="501"/>
      <c r="M47" s="500"/>
      <c r="N47" s="501"/>
      <c r="O47" s="500"/>
      <c r="P47" s="501"/>
      <c r="Q47" s="502"/>
      <c r="R47" s="502"/>
      <c r="S47" s="502"/>
      <c r="T47" s="502"/>
      <c r="U47" s="503"/>
      <c r="V47" s="502"/>
      <c r="W47" s="502"/>
      <c r="X47" s="502"/>
      <c r="Y47" s="503"/>
      <c r="Z47" s="504"/>
      <c r="AA47" s="505"/>
      <c r="AB47" s="504"/>
      <c r="AC47" s="505"/>
      <c r="AD47" s="504"/>
      <c r="AE47" s="503"/>
      <c r="AF47" s="505"/>
      <c r="AG47" s="504"/>
      <c r="AH47" s="505"/>
      <c r="AI47" s="504"/>
      <c r="AJ47" s="505"/>
      <c r="AK47" s="504"/>
      <c r="AL47" s="505"/>
      <c r="AM47" s="503"/>
      <c r="AN47" s="503"/>
      <c r="AO47" s="503"/>
      <c r="AP47" s="503"/>
      <c r="AQ47" s="503"/>
      <c r="AR47" s="503"/>
      <c r="AS47" s="504"/>
      <c r="AT47" s="505"/>
      <c r="AU47" s="503"/>
      <c r="AV47" s="503"/>
      <c r="AW47" s="504"/>
      <c r="AX47" s="505"/>
      <c r="AY47" s="503"/>
      <c r="AZ47" s="503"/>
      <c r="BA47" s="504"/>
      <c r="BB47" s="505"/>
      <c r="BC47" s="502"/>
      <c r="BD47" s="502"/>
      <c r="BE47" s="502"/>
      <c r="BF47" s="502"/>
      <c r="BH47" s="1536">
        <f t="shared" si="6"/>
        <v>0</v>
      </c>
      <c r="BJ47" s="489">
        <v>0</v>
      </c>
    </row>
    <row r="48" spans="1:63" x14ac:dyDescent="0.3">
      <c r="B48" s="498" t="s">
        <v>138</v>
      </c>
      <c r="C48" s="498" t="s">
        <v>1095</v>
      </c>
      <c r="E48" s="499"/>
      <c r="F48" s="483"/>
      <c r="G48" s="500"/>
      <c r="H48" s="501"/>
      <c r="I48" s="500"/>
      <c r="J48" s="501"/>
      <c r="K48" s="500"/>
      <c r="L48" s="501"/>
      <c r="M48" s="500"/>
      <c r="N48" s="501"/>
      <c r="O48" s="500"/>
      <c r="P48" s="501"/>
      <c r="Q48" s="502">
        <f>+SUM('BG '!J47,'BG '!J38)/10^6</f>
        <v>1675.459071</v>
      </c>
      <c r="R48" s="502"/>
      <c r="S48" s="502"/>
      <c r="T48" s="502"/>
      <c r="U48" s="503"/>
      <c r="V48" s="502"/>
      <c r="W48" s="502"/>
      <c r="X48" s="502"/>
      <c r="Y48" s="503"/>
      <c r="Z48" s="504"/>
      <c r="AA48" s="505"/>
      <c r="AB48" s="504"/>
      <c r="AC48" s="505"/>
      <c r="AD48" s="504"/>
      <c r="AE48" s="503"/>
      <c r="AF48" s="505"/>
      <c r="AG48" s="504"/>
      <c r="AH48" s="505"/>
      <c r="AI48" s="504"/>
      <c r="AJ48" s="505"/>
      <c r="AK48" s="504"/>
      <c r="AL48" s="505"/>
      <c r="AM48" s="503"/>
      <c r="AN48" s="503"/>
      <c r="AO48" s="503"/>
      <c r="AP48" s="503"/>
      <c r="AQ48" s="503"/>
      <c r="AR48" s="503"/>
      <c r="AS48" s="504"/>
      <c r="AT48" s="505"/>
      <c r="AU48" s="503"/>
      <c r="AV48" s="503"/>
      <c r="AW48" s="504"/>
      <c r="AX48" s="505"/>
      <c r="AY48" s="503"/>
      <c r="AZ48" s="503"/>
      <c r="BA48" s="504"/>
      <c r="BB48" s="505"/>
      <c r="BC48" s="502"/>
      <c r="BD48" s="502"/>
      <c r="BE48" s="502"/>
      <c r="BF48" s="502"/>
      <c r="BH48" s="1536">
        <f t="shared" si="6"/>
        <v>1675.459071</v>
      </c>
      <c r="BJ48" s="489">
        <v>1460.850524</v>
      </c>
    </row>
    <row r="49" spans="2:63" ht="18" x14ac:dyDescent="0.35">
      <c r="B49" s="498" t="s">
        <v>1096</v>
      </c>
      <c r="C49" s="498" t="s">
        <v>1097</v>
      </c>
      <c r="E49" s="499"/>
      <c r="F49" s="483"/>
      <c r="G49" s="500"/>
      <c r="H49" s="501"/>
      <c r="I49" s="500"/>
      <c r="J49" s="501"/>
      <c r="K49" s="500"/>
      <c r="L49" s="501"/>
      <c r="M49" s="500"/>
      <c r="N49" s="501"/>
      <c r="O49" s="500"/>
      <c r="P49" s="501"/>
      <c r="Q49" s="502">
        <f>SUM('BG '!K76)/10^6</f>
        <v>-53.350355</v>
      </c>
      <c r="R49" s="502"/>
      <c r="S49" s="502"/>
      <c r="T49" s="502"/>
      <c r="U49" s="503"/>
      <c r="V49" s="1323">
        <f>SUM('BG '!S91)/10^6-'[154]RECAP 1'!$K$44</f>
        <v>0</v>
      </c>
      <c r="W49" s="502"/>
      <c r="X49" s="502"/>
      <c r="Y49" s="503"/>
      <c r="Z49" s="504"/>
      <c r="AA49" s="505"/>
      <c r="AB49" s="504"/>
      <c r="AC49" s="505"/>
      <c r="AD49" s="504"/>
      <c r="AE49" s="503"/>
      <c r="AF49" s="505"/>
      <c r="AG49" s="504"/>
      <c r="AH49" s="505"/>
      <c r="AI49" s="504"/>
      <c r="AJ49" s="505"/>
      <c r="AK49" s="504"/>
      <c r="AL49" s="505"/>
      <c r="AM49" s="503"/>
      <c r="AN49" s="503"/>
      <c r="AO49" s="503"/>
      <c r="AP49" s="503"/>
      <c r="AQ49" s="503"/>
      <c r="AR49" s="503"/>
      <c r="AS49" s="504"/>
      <c r="AT49" s="505"/>
      <c r="AU49" s="503"/>
      <c r="AV49" s="503"/>
      <c r="AW49" s="504"/>
      <c r="AX49" s="505"/>
      <c r="AY49" s="503"/>
      <c r="AZ49" s="503"/>
      <c r="BA49" s="504"/>
      <c r="BB49" s="505"/>
      <c r="BC49" s="502"/>
      <c r="BD49" s="502"/>
      <c r="BE49" s="502"/>
      <c r="BF49" s="502"/>
      <c r="BH49" s="1536">
        <f t="shared" si="6"/>
        <v>-53.350355</v>
      </c>
      <c r="BJ49" s="489">
        <v>-30.653352000000002</v>
      </c>
    </row>
    <row r="50" spans="2:63" x14ac:dyDescent="0.3">
      <c r="B50" s="498" t="s">
        <v>128</v>
      </c>
      <c r="C50" s="498" t="s">
        <v>1098</v>
      </c>
      <c r="E50" s="499"/>
      <c r="F50" s="483"/>
      <c r="G50" s="500"/>
      <c r="H50" s="501"/>
      <c r="I50" s="500"/>
      <c r="J50" s="501"/>
      <c r="K50" s="500"/>
      <c r="L50" s="501"/>
      <c r="M50" s="500"/>
      <c r="N50" s="501"/>
      <c r="O50" s="500"/>
      <c r="P50" s="501"/>
      <c r="Q50" s="502">
        <f>+('BG '!J39+'BG '!J40+'BG '!J41+'BG '!J48+'BG '!J49+'BG '!J50+'BG '!J51+'BG '!J52+'BG '!J61+'BG '!J53+'BG '!J64)/10^6</f>
        <v>157315.24857200001</v>
      </c>
      <c r="R50" s="502"/>
      <c r="S50" s="502"/>
      <c r="T50" s="502"/>
      <c r="U50" s="503"/>
      <c r="V50" s="1509">
        <f>-V33</f>
        <v>2464.3598305879996</v>
      </c>
      <c r="W50" s="502"/>
      <c r="X50" s="502"/>
      <c r="Y50" s="503"/>
      <c r="Z50" s="504"/>
      <c r="AA50" s="505"/>
      <c r="AB50" s="504"/>
      <c r="AC50" s="505"/>
      <c r="AD50" s="504"/>
      <c r="AE50" s="503"/>
      <c r="AF50" s="505"/>
      <c r="AG50" s="504"/>
      <c r="AH50" s="505"/>
      <c r="AI50" s="504"/>
      <c r="AJ50" s="505"/>
      <c r="AK50" s="504"/>
      <c r="AL50" s="505"/>
      <c r="AM50" s="503"/>
      <c r="AN50" s="503"/>
      <c r="AO50" s="503"/>
      <c r="AP50" s="503"/>
      <c r="AQ50" s="503"/>
      <c r="AR50" s="503"/>
      <c r="AS50" s="504"/>
      <c r="AT50" s="505"/>
      <c r="AU50" s="503"/>
      <c r="AV50" s="503"/>
      <c r="AW50" s="504"/>
      <c r="AX50" s="505"/>
      <c r="AY50" s="503"/>
      <c r="AZ50" s="503"/>
      <c r="BA50" s="504"/>
      <c r="BB50" s="505"/>
      <c r="BC50" s="502"/>
      <c r="BD50" s="502"/>
      <c r="BE50" s="502"/>
      <c r="BF50" s="502"/>
      <c r="BH50" s="1536">
        <f>SUM(E50:BG50)</f>
        <v>159779.608402588</v>
      </c>
      <c r="BJ50" s="489">
        <v>159498.19652958799</v>
      </c>
    </row>
    <row r="51" spans="2:63" x14ac:dyDescent="0.3">
      <c r="B51" s="498" t="s">
        <v>175</v>
      </c>
      <c r="C51" s="498" t="s">
        <v>1099</v>
      </c>
      <c r="E51" s="499"/>
      <c r="F51" s="483"/>
      <c r="G51" s="500"/>
      <c r="H51" s="501"/>
      <c r="I51" s="500"/>
      <c r="J51" s="501"/>
      <c r="K51" s="500"/>
      <c r="L51" s="501"/>
      <c r="M51" s="500"/>
      <c r="N51" s="501"/>
      <c r="O51" s="500"/>
      <c r="P51" s="501"/>
      <c r="Q51" s="502">
        <f>SUM('BG '!K77,'BG '!K78,'BG '!K79,'BG '!K85,'BG '!K86,'BG '!K87,'BG '!K88,'BG '!K89,'BG '!K98)/10^6</f>
        <v>-103969.861965</v>
      </c>
      <c r="R51" s="502"/>
      <c r="S51" s="502"/>
      <c r="T51" s="502"/>
      <c r="U51" s="503"/>
      <c r="V51" s="554">
        <f>-V34</f>
        <v>-1459.7158567960137</v>
      </c>
      <c r="W51" s="554"/>
      <c r="X51" s="554"/>
      <c r="Y51" s="526"/>
      <c r="Z51" s="1287"/>
      <c r="AA51" s="1288"/>
      <c r="AB51" s="1287"/>
      <c r="AC51" s="1288"/>
      <c r="AD51" s="1287"/>
      <c r="AE51" s="526"/>
      <c r="AF51" s="1288"/>
      <c r="AG51" s="1287"/>
      <c r="AH51" s="1288"/>
      <c r="AI51" s="1287"/>
      <c r="AJ51" s="1288"/>
      <c r="AK51" s="1287"/>
      <c r="AL51" s="1288"/>
      <c r="AM51" s="526"/>
      <c r="AN51" s="526"/>
      <c r="AO51" s="526"/>
      <c r="AP51" s="526"/>
      <c r="AQ51" s="526"/>
      <c r="AR51" s="526"/>
      <c r="AS51" s="1287"/>
      <c r="AT51" s="1288"/>
      <c r="AU51" s="526"/>
      <c r="AV51" s="526"/>
      <c r="AW51" s="1287"/>
      <c r="AX51" s="1288"/>
      <c r="AY51" s="526"/>
      <c r="AZ51" s="526"/>
      <c r="BA51" s="1287"/>
      <c r="BB51" s="1288"/>
      <c r="BC51" s="554"/>
      <c r="BD51" s="554"/>
      <c r="BE51" s="554"/>
      <c r="BF51" s="554"/>
      <c r="BG51" s="1289"/>
      <c r="BH51" s="1536">
        <f>SUM(E51:BG51)</f>
        <v>-105429.57782179602</v>
      </c>
      <c r="BJ51" s="489">
        <v>-109216.9201716597</v>
      </c>
      <c r="BK51" s="1330">
        <f>BJ51-BH51</f>
        <v>-3787.3423498636839</v>
      </c>
    </row>
    <row r="52" spans="2:63" x14ac:dyDescent="0.3">
      <c r="B52" s="498" t="s">
        <v>150</v>
      </c>
      <c r="C52" s="498" t="s">
        <v>1091</v>
      </c>
      <c r="E52" s="499"/>
      <c r="F52" s="483"/>
      <c r="G52" s="500"/>
      <c r="H52" s="501"/>
      <c r="I52" s="500"/>
      <c r="J52" s="501"/>
      <c r="K52" s="500"/>
      <c r="L52" s="501"/>
      <c r="M52" s="500"/>
      <c r="N52" s="501"/>
      <c r="O52" s="500"/>
      <c r="P52" s="501"/>
      <c r="Q52" s="502">
        <f>SUM('BG '!J58,'BG '!J59,'BG '!J63)/10^6</f>
        <v>715.89519800000005</v>
      </c>
      <c r="R52" s="502"/>
      <c r="S52" s="502"/>
      <c r="T52" s="502"/>
      <c r="U52" s="503"/>
      <c r="V52" s="502"/>
      <c r="W52" s="502"/>
      <c r="X52" s="502"/>
      <c r="Y52" s="503"/>
      <c r="Z52" s="504"/>
      <c r="AA52" s="505"/>
      <c r="AB52" s="504"/>
      <c r="AC52" s="505"/>
      <c r="AD52" s="504"/>
      <c r="AE52" s="503"/>
      <c r="AF52" s="505"/>
      <c r="AG52" s="504"/>
      <c r="AH52" s="505"/>
      <c r="AI52" s="504"/>
      <c r="AJ52" s="505"/>
      <c r="AK52" s="504"/>
      <c r="AL52" s="505"/>
      <c r="AM52" s="503"/>
      <c r="AN52" s="503"/>
      <c r="AO52" s="503"/>
      <c r="AP52" s="503"/>
      <c r="AQ52" s="503"/>
      <c r="AR52" s="503"/>
      <c r="AS52" s="504"/>
      <c r="AT52" s="505"/>
      <c r="AU52" s="503"/>
      <c r="AV52" s="503"/>
      <c r="AW52" s="504"/>
      <c r="AX52" s="505"/>
      <c r="AY52" s="503"/>
      <c r="AZ52" s="503"/>
      <c r="BA52" s="504"/>
      <c r="BB52" s="505"/>
      <c r="BC52" s="502"/>
      <c r="BD52" s="502"/>
      <c r="BE52" s="502"/>
      <c r="BF52" s="502"/>
      <c r="BH52" s="1536">
        <f t="shared" si="6"/>
        <v>715.89519800000005</v>
      </c>
      <c r="BJ52" s="489">
        <v>715.89519800000005</v>
      </c>
    </row>
    <row r="53" spans="2:63" ht="18" x14ac:dyDescent="0.35">
      <c r="B53" s="498" t="s">
        <v>195</v>
      </c>
      <c r="C53" s="498" t="s">
        <v>1100</v>
      </c>
      <c r="E53" s="499"/>
      <c r="F53" s="483"/>
      <c r="G53" s="500"/>
      <c r="H53" s="501"/>
      <c r="I53" s="500"/>
      <c r="J53" s="501"/>
      <c r="K53" s="500"/>
      <c r="L53" s="501"/>
      <c r="M53" s="500"/>
      <c r="N53" s="501"/>
      <c r="O53" s="500"/>
      <c r="P53" s="501"/>
      <c r="Q53" s="502">
        <f>SUM('BG '!K95,'BG '!K96)/10^6</f>
        <v>-715.33260499999994</v>
      </c>
      <c r="R53" s="502"/>
      <c r="S53" s="502"/>
      <c r="T53" s="502"/>
      <c r="U53" s="503"/>
      <c r="V53" s="1323">
        <f>SUM('BG '!R110,'BG '!R111,'BG '!S111,'BG '!S110)/10^6-'[154]RECAP 1'!$K$49</f>
        <v>0</v>
      </c>
      <c r="W53" s="502"/>
      <c r="X53" s="502"/>
      <c r="Y53" s="503"/>
      <c r="Z53" s="504"/>
      <c r="AA53" s="505"/>
      <c r="AB53" s="504"/>
      <c r="AC53" s="505"/>
      <c r="AD53" s="504"/>
      <c r="AE53" s="503"/>
      <c r="AF53" s="505"/>
      <c r="AG53" s="504"/>
      <c r="AH53" s="505"/>
      <c r="AI53" s="504"/>
      <c r="AJ53" s="505"/>
      <c r="AK53" s="504"/>
      <c r="AL53" s="505"/>
      <c r="AM53" s="503"/>
      <c r="AN53" s="503"/>
      <c r="AO53" s="503"/>
      <c r="AP53" s="503"/>
      <c r="AQ53" s="503"/>
      <c r="AR53" s="503"/>
      <c r="AS53" s="504"/>
      <c r="AT53" s="505"/>
      <c r="AU53" s="503"/>
      <c r="AV53" s="503"/>
      <c r="AW53" s="504"/>
      <c r="AX53" s="505"/>
      <c r="AY53" s="503"/>
      <c r="AZ53" s="503"/>
      <c r="BA53" s="504"/>
      <c r="BB53" s="505"/>
      <c r="BC53" s="502"/>
      <c r="BD53" s="502"/>
      <c r="BE53" s="502"/>
      <c r="BF53" s="502"/>
      <c r="BH53" s="1536">
        <f t="shared" si="6"/>
        <v>-715.33260499999994</v>
      </c>
      <c r="BJ53" s="489">
        <v>-714.32511899999997</v>
      </c>
    </row>
    <row r="54" spans="2:63" x14ac:dyDescent="0.3">
      <c r="B54" s="498" t="s">
        <v>145</v>
      </c>
      <c r="C54" s="498" t="s">
        <v>1101</v>
      </c>
      <c r="E54" s="499"/>
      <c r="F54" s="483"/>
      <c r="G54" s="500"/>
      <c r="H54" s="501"/>
      <c r="I54" s="500"/>
      <c r="J54" s="501"/>
      <c r="K54" s="500"/>
      <c r="L54" s="501"/>
      <c r="M54" s="500"/>
      <c r="N54" s="501"/>
      <c r="O54" s="500"/>
      <c r="P54" s="501"/>
      <c r="Q54" s="502">
        <f>SUM('BG '!J54,'BG '!J55,'BG '!J56,'BG '!J62)/10^6</f>
        <v>13666.076963</v>
      </c>
      <c r="R54" s="502"/>
      <c r="S54" s="502"/>
      <c r="T54" s="502"/>
      <c r="U54" s="503"/>
      <c r="V54" s="502"/>
      <c r="W54" s="502"/>
      <c r="X54" s="502"/>
      <c r="Y54" s="503"/>
      <c r="Z54" s="504"/>
      <c r="AA54" s="505"/>
      <c r="AB54" s="504"/>
      <c r="AC54" s="505"/>
      <c r="AD54" s="504"/>
      <c r="AE54" s="503"/>
      <c r="AF54" s="505"/>
      <c r="AG54" s="504"/>
      <c r="AH54" s="505"/>
      <c r="AI54" s="504"/>
      <c r="AJ54" s="505"/>
      <c r="AK54" s="504"/>
      <c r="AL54" s="505"/>
      <c r="AM54" s="503"/>
      <c r="AN54" s="503"/>
      <c r="AO54" s="503"/>
      <c r="AP54" s="503"/>
      <c r="AQ54" s="503"/>
      <c r="AR54" s="503"/>
      <c r="AS54" s="504"/>
      <c r="AT54" s="505"/>
      <c r="AU54" s="503"/>
      <c r="AV54" s="503"/>
      <c r="AW54" s="504"/>
      <c r="AX54" s="505"/>
      <c r="AY54" s="503"/>
      <c r="AZ54" s="503"/>
      <c r="BA54" s="504"/>
      <c r="BB54" s="505"/>
      <c r="BC54" s="502"/>
      <c r="BD54" s="502"/>
      <c r="BE54" s="502"/>
      <c r="BF54" s="502"/>
      <c r="BH54" s="1536">
        <f>SUM(E54:BG54)</f>
        <v>13666.076963</v>
      </c>
      <c r="BJ54" s="489">
        <v>11309.622077</v>
      </c>
    </row>
    <row r="55" spans="2:63" ht="18" x14ac:dyDescent="0.35">
      <c r="B55" s="498" t="s">
        <v>190</v>
      </c>
      <c r="C55" s="498" t="s">
        <v>1102</v>
      </c>
      <c r="E55" s="499"/>
      <c r="F55" s="483"/>
      <c r="G55" s="500"/>
      <c r="H55" s="501"/>
      <c r="I55" s="500"/>
      <c r="J55" s="501"/>
      <c r="K55" s="500"/>
      <c r="L55" s="501"/>
      <c r="M55" s="500"/>
      <c r="N55" s="501"/>
      <c r="O55" s="500"/>
      <c r="P55" s="501"/>
      <c r="Q55" s="502">
        <f>SUM('BG '!K91,'BG '!K92,'BG '!K93)/10^6</f>
        <v>-6417.8603720000001</v>
      </c>
      <c r="R55" s="502"/>
      <c r="S55" s="502"/>
      <c r="T55" s="502"/>
      <c r="U55" s="503"/>
      <c r="V55" s="1323">
        <f>SUM('BG '!R106:S108)/10^6-'[154]RECAP 1'!$K$48</f>
        <v>0</v>
      </c>
      <c r="W55" s="502"/>
      <c r="X55" s="502"/>
      <c r="Y55" s="503"/>
      <c r="Z55" s="504"/>
      <c r="AA55" s="505"/>
      <c r="AB55" s="504"/>
      <c r="AC55" s="505"/>
      <c r="AD55" s="504"/>
      <c r="AE55" s="503"/>
      <c r="AF55" s="505"/>
      <c r="AG55" s="504"/>
      <c r="AH55" s="505"/>
      <c r="AI55" s="504"/>
      <c r="AJ55" s="505"/>
      <c r="AK55" s="504"/>
      <c r="AL55" s="505"/>
      <c r="AM55" s="503"/>
      <c r="AN55" s="503"/>
      <c r="AO55" s="503"/>
      <c r="AP55" s="503"/>
      <c r="AQ55" s="503"/>
      <c r="AR55" s="503"/>
      <c r="AS55" s="504"/>
      <c r="AT55" s="505"/>
      <c r="AU55" s="503"/>
      <c r="AV55" s="503"/>
      <c r="AW55" s="504"/>
      <c r="AX55" s="505"/>
      <c r="AY55" s="503"/>
      <c r="AZ55" s="503"/>
      <c r="BA55" s="504"/>
      <c r="BB55" s="505"/>
      <c r="BC55" s="502"/>
      <c r="BD55" s="502"/>
      <c r="BE55" s="502"/>
      <c r="BF55" s="502"/>
      <c r="BH55" s="1536">
        <f t="shared" si="6"/>
        <v>-6417.8603720000001</v>
      </c>
      <c r="BJ55" s="489">
        <v>-5470.602347</v>
      </c>
    </row>
    <row r="56" spans="2:63" x14ac:dyDescent="0.3">
      <c r="B56" s="498" t="s">
        <v>157</v>
      </c>
      <c r="C56" s="498" t="s">
        <v>1103</v>
      </c>
      <c r="E56" s="499"/>
      <c r="F56" s="483"/>
      <c r="G56" s="500"/>
      <c r="H56" s="501"/>
      <c r="I56" s="500"/>
      <c r="J56" s="501"/>
      <c r="K56" s="500"/>
      <c r="L56" s="501"/>
      <c r="M56" s="500"/>
      <c r="N56" s="501"/>
      <c r="O56" s="500"/>
      <c r="P56" s="501"/>
      <c r="Q56" s="502">
        <f>+('BG '!J65)/10^6</f>
        <v>324.80202800000001</v>
      </c>
      <c r="R56" s="502"/>
      <c r="S56" s="502"/>
      <c r="T56" s="502"/>
      <c r="U56" s="503"/>
      <c r="V56" s="1510">
        <f>-Q56</f>
        <v>-324.80202800000001</v>
      </c>
      <c r="W56" s="502"/>
      <c r="X56" s="502"/>
      <c r="Y56" s="503"/>
      <c r="Z56" s="504"/>
      <c r="AA56" s="505"/>
      <c r="AB56" s="504"/>
      <c r="AC56" s="505"/>
      <c r="AD56" s="504"/>
      <c r="AE56" s="503"/>
      <c r="AF56" s="505"/>
      <c r="AG56" s="504"/>
      <c r="AH56" s="505"/>
      <c r="AI56" s="504"/>
      <c r="AJ56" s="505"/>
      <c r="AK56" s="504"/>
      <c r="AL56" s="505"/>
      <c r="AM56" s="503"/>
      <c r="AN56" s="503"/>
      <c r="AO56" s="503"/>
      <c r="AP56" s="503"/>
      <c r="AQ56" s="503"/>
      <c r="AR56" s="503"/>
      <c r="AS56" s="504"/>
      <c r="AT56" s="505"/>
      <c r="AU56" s="503"/>
      <c r="AV56" s="503"/>
      <c r="AW56" s="504"/>
      <c r="AX56" s="505"/>
      <c r="AY56" s="503"/>
      <c r="AZ56" s="503"/>
      <c r="BA56" s="504"/>
      <c r="BB56" s="505"/>
      <c r="BC56" s="502"/>
      <c r="BD56" s="502"/>
      <c r="BE56" s="502"/>
      <c r="BF56" s="502"/>
      <c r="BH56" s="1536">
        <f t="shared" si="6"/>
        <v>0</v>
      </c>
      <c r="BJ56" s="489">
        <v>0</v>
      </c>
    </row>
    <row r="57" spans="2:63" ht="28.8" x14ac:dyDescent="0.3">
      <c r="B57" s="498" t="s">
        <v>1104</v>
      </c>
      <c r="C57" s="524" t="s">
        <v>1105</v>
      </c>
      <c r="E57" s="499"/>
      <c r="F57" s="483"/>
      <c r="G57" s="500"/>
      <c r="H57" s="501"/>
      <c r="I57" s="500"/>
      <c r="J57" s="501"/>
      <c r="K57" s="500"/>
      <c r="L57" s="501"/>
      <c r="M57" s="500"/>
      <c r="N57" s="501"/>
      <c r="O57" s="500"/>
      <c r="P57" s="501"/>
      <c r="Q57" s="502"/>
      <c r="R57" s="502"/>
      <c r="S57" s="502"/>
      <c r="T57" s="502"/>
      <c r="U57" s="503"/>
      <c r="V57" s="502"/>
      <c r="W57" s="502"/>
      <c r="X57" s="502"/>
      <c r="Y57" s="503"/>
      <c r="Z57" s="504"/>
      <c r="AA57" s="505"/>
      <c r="AB57" s="504"/>
      <c r="AC57" s="505"/>
      <c r="AD57" s="504"/>
      <c r="AE57" s="503"/>
      <c r="AF57" s="505"/>
      <c r="AG57" s="504"/>
      <c r="AH57" s="505"/>
      <c r="AI57" s="504"/>
      <c r="AJ57" s="505"/>
      <c r="AK57" s="504"/>
      <c r="AL57" s="505"/>
      <c r="AM57" s="503"/>
      <c r="AN57" s="503"/>
      <c r="AO57" s="503"/>
      <c r="AP57" s="503"/>
      <c r="AQ57" s="503"/>
      <c r="AR57" s="503"/>
      <c r="AS57" s="504"/>
      <c r="AT57" s="505"/>
      <c r="AU57" s="503"/>
      <c r="AV57" s="503"/>
      <c r="AW57" s="504"/>
      <c r="AX57" s="505"/>
      <c r="AY57" s="503"/>
      <c r="AZ57" s="503"/>
      <c r="BA57" s="504"/>
      <c r="BB57" s="505"/>
      <c r="BC57" s="502"/>
      <c r="BD57" s="502"/>
      <c r="BE57" s="502"/>
      <c r="BF57" s="502"/>
      <c r="BH57" s="1536">
        <f t="shared" si="6"/>
        <v>0</v>
      </c>
      <c r="BJ57" s="489">
        <v>0</v>
      </c>
    </row>
    <row r="58" spans="2:63" x14ac:dyDescent="0.3">
      <c r="B58" s="498" t="s">
        <v>132</v>
      </c>
      <c r="C58" s="498" t="s">
        <v>1106</v>
      </c>
      <c r="E58" s="499"/>
      <c r="F58" s="483"/>
      <c r="G58" s="500"/>
      <c r="H58" s="501"/>
      <c r="I58" s="500"/>
      <c r="J58" s="501"/>
      <c r="K58" s="500"/>
      <c r="L58" s="501"/>
      <c r="M58" s="500"/>
      <c r="N58" s="501"/>
      <c r="O58" s="500"/>
      <c r="P58" s="501"/>
      <c r="Q58" s="502">
        <f>SUM('BG '!J42,'BG '!J43,'BG '!J44,'BG '!J45,'BG '!J46,'BG '!J57,'BG '!J60)/10^6</f>
        <v>2842.1114969999999</v>
      </c>
      <c r="R58" s="502"/>
      <c r="S58" s="502"/>
      <c r="T58" s="502"/>
      <c r="U58" s="503"/>
      <c r="V58" s="502"/>
      <c r="W58" s="502"/>
      <c r="X58" s="502"/>
      <c r="Y58" s="503"/>
      <c r="Z58" s="504"/>
      <c r="AA58" s="505"/>
      <c r="AB58" s="504"/>
      <c r="AC58" s="505"/>
      <c r="AD58" s="504"/>
      <c r="AE58" s="503"/>
      <c r="AF58" s="505"/>
      <c r="AG58" s="504"/>
      <c r="AH58" s="505"/>
      <c r="AI58" s="504"/>
      <c r="AJ58" s="505"/>
      <c r="AK58" s="504"/>
      <c r="AL58" s="505"/>
      <c r="AM58" s="503"/>
      <c r="AN58" s="503"/>
      <c r="AO58" s="503"/>
      <c r="AP58" s="503"/>
      <c r="AQ58" s="503"/>
      <c r="AR58" s="503"/>
      <c r="AS58" s="504"/>
      <c r="AT58" s="505"/>
      <c r="AU58" s="503"/>
      <c r="AV58" s="503"/>
      <c r="AW58" s="504"/>
      <c r="AX58" s="505"/>
      <c r="AY58" s="503"/>
      <c r="AZ58" s="503"/>
      <c r="BA58" s="504"/>
      <c r="BB58" s="505"/>
      <c r="BC58" s="502"/>
      <c r="BD58" s="502"/>
      <c r="BE58" s="502"/>
      <c r="BF58" s="502"/>
      <c r="BH58" s="1536">
        <f t="shared" si="6"/>
        <v>2842.1114969999999</v>
      </c>
      <c r="BJ58" s="489">
        <v>2828.903734</v>
      </c>
    </row>
    <row r="59" spans="2:63" ht="18" x14ac:dyDescent="0.35">
      <c r="B59" s="498" t="s">
        <v>179</v>
      </c>
      <c r="C59" s="498" t="s">
        <v>1107</v>
      </c>
      <c r="E59" s="499"/>
      <c r="F59" s="483"/>
      <c r="G59" s="500"/>
      <c r="H59" s="501"/>
      <c r="I59" s="500"/>
      <c r="J59" s="501"/>
      <c r="K59" s="500"/>
      <c r="L59" s="501"/>
      <c r="M59" s="500"/>
      <c r="N59" s="501"/>
      <c r="O59" s="500"/>
      <c r="P59" s="501"/>
      <c r="Q59" s="502">
        <f>SUM('BG '!K80,'BG '!K81,'BG '!K82,'BG '!K83,'BG '!K84,'BG '!K90,'BG '!K94,'BG '!K97)/10^6</f>
        <v>-1944.098272</v>
      </c>
      <c r="R59" s="502"/>
      <c r="S59" s="502"/>
      <c r="T59" s="502"/>
      <c r="U59" s="503"/>
      <c r="V59" s="1323">
        <f>SUM('BG '!R95,'BG '!S95,'BG '!R96,'BG '!S96,'BG '!R97,'BG '!S97,'BG '!R98,'BG '!S98,'BG '!R99,'BG '!S99,'BG '!R105,'BG '!S105,'BG '!R109,'BG '!S109,'BG '!R112,'BG '!S112)/10^6-'[154]RECAP 1'!$K$42</f>
        <v>0</v>
      </c>
      <c r="W59" s="502"/>
      <c r="X59" s="502"/>
      <c r="Y59" s="503"/>
      <c r="Z59" s="504"/>
      <c r="AA59" s="505"/>
      <c r="AB59" s="504"/>
      <c r="AC59" s="505"/>
      <c r="AD59" s="504"/>
      <c r="AE59" s="503"/>
      <c r="AF59" s="505"/>
      <c r="AG59" s="504"/>
      <c r="AH59" s="505"/>
      <c r="AI59" s="504"/>
      <c r="AJ59" s="505"/>
      <c r="AK59" s="504"/>
      <c r="AL59" s="505"/>
      <c r="AM59" s="503"/>
      <c r="AN59" s="503"/>
      <c r="AO59" s="503"/>
      <c r="AP59" s="503"/>
      <c r="AQ59" s="503"/>
      <c r="AR59" s="503"/>
      <c r="AS59" s="504"/>
      <c r="AT59" s="505"/>
      <c r="AU59" s="503"/>
      <c r="AV59" s="503"/>
      <c r="AW59" s="504"/>
      <c r="AX59" s="505"/>
      <c r="AY59" s="503"/>
      <c r="AZ59" s="503"/>
      <c r="BA59" s="504"/>
      <c r="BB59" s="505"/>
      <c r="BC59" s="502"/>
      <c r="BD59" s="502"/>
      <c r="BE59" s="502"/>
      <c r="BF59" s="502"/>
      <c r="BH59" s="1536">
        <f t="shared" si="6"/>
        <v>-1944.098272</v>
      </c>
      <c r="BJ59" s="489">
        <v>-1846.8333869999999</v>
      </c>
    </row>
    <row r="60" spans="2:63" x14ac:dyDescent="0.3">
      <c r="B60" s="498" t="s">
        <v>1108</v>
      </c>
      <c r="C60" s="498" t="s">
        <v>1109</v>
      </c>
      <c r="E60" s="499"/>
      <c r="F60" s="483"/>
      <c r="G60" s="500"/>
      <c r="H60" s="501"/>
      <c r="I60" s="500"/>
      <c r="J60" s="501"/>
      <c r="K60" s="500"/>
      <c r="L60" s="501"/>
      <c r="M60" s="500"/>
      <c r="N60" s="501"/>
      <c r="O60" s="500"/>
      <c r="P60" s="501"/>
      <c r="Q60" s="502"/>
      <c r="R60" s="502"/>
      <c r="S60" s="502"/>
      <c r="T60" s="502"/>
      <c r="U60" s="503"/>
      <c r="V60" s="502"/>
      <c r="W60" s="502"/>
      <c r="X60" s="502"/>
      <c r="Y60" s="503"/>
      <c r="Z60" s="504"/>
      <c r="AA60" s="505"/>
      <c r="AB60" s="504"/>
      <c r="AC60" s="505"/>
      <c r="AD60" s="504"/>
      <c r="AE60" s="503"/>
      <c r="AF60" s="505"/>
      <c r="AG60" s="504"/>
      <c r="AH60" s="505"/>
      <c r="AI60" s="504"/>
      <c r="AJ60" s="505"/>
      <c r="AK60" s="504"/>
      <c r="AL60" s="505"/>
      <c r="AM60" s="503"/>
      <c r="AN60" s="503"/>
      <c r="AO60" s="503"/>
      <c r="AP60" s="503"/>
      <c r="AQ60" s="503"/>
      <c r="AR60" s="503"/>
      <c r="AS60" s="504"/>
      <c r="AT60" s="505"/>
      <c r="AU60" s="503"/>
      <c r="AV60" s="503"/>
      <c r="AW60" s="504"/>
      <c r="AX60" s="505"/>
      <c r="AY60" s="503"/>
      <c r="AZ60" s="503"/>
      <c r="BA60" s="504"/>
      <c r="BB60" s="505"/>
      <c r="BC60" s="502"/>
      <c r="BD60" s="502"/>
      <c r="BE60" s="502"/>
      <c r="BF60" s="502"/>
      <c r="BH60" s="1536">
        <f t="shared" si="6"/>
        <v>0</v>
      </c>
      <c r="BJ60" s="489">
        <v>0</v>
      </c>
    </row>
    <row r="61" spans="2:63" x14ac:dyDescent="0.3">
      <c r="B61" s="498" t="s">
        <v>1110</v>
      </c>
      <c r="C61" s="498" t="s">
        <v>1111</v>
      </c>
      <c r="E61" s="499"/>
      <c r="F61" s="483"/>
      <c r="G61" s="500"/>
      <c r="H61" s="501"/>
      <c r="I61" s="500"/>
      <c r="J61" s="501"/>
      <c r="K61" s="500"/>
      <c r="L61" s="501"/>
      <c r="M61" s="500"/>
      <c r="N61" s="501"/>
      <c r="O61" s="500"/>
      <c r="P61" s="501"/>
      <c r="Q61" s="502"/>
      <c r="R61" s="502"/>
      <c r="S61" s="502"/>
      <c r="T61" s="502"/>
      <c r="U61" s="503"/>
      <c r="V61" s="502"/>
      <c r="W61" s="502"/>
      <c r="X61" s="502"/>
      <c r="Y61" s="503"/>
      <c r="Z61" s="504"/>
      <c r="AA61" s="505"/>
      <c r="AB61" s="504"/>
      <c r="AC61" s="505"/>
      <c r="AD61" s="504"/>
      <c r="AE61" s="503"/>
      <c r="AF61" s="505"/>
      <c r="AG61" s="504"/>
      <c r="AH61" s="505"/>
      <c r="AI61" s="504"/>
      <c r="AJ61" s="505"/>
      <c r="AK61" s="504"/>
      <c r="AL61" s="505"/>
      <c r="AM61" s="503"/>
      <c r="AN61" s="503"/>
      <c r="AO61" s="503"/>
      <c r="AP61" s="503"/>
      <c r="AQ61" s="503"/>
      <c r="AR61" s="503"/>
      <c r="AS61" s="504"/>
      <c r="AT61" s="505"/>
      <c r="AU61" s="503"/>
      <c r="AV61" s="503"/>
      <c r="AW61" s="504"/>
      <c r="AX61" s="505"/>
      <c r="AY61" s="503"/>
      <c r="AZ61" s="503"/>
      <c r="BA61" s="504"/>
      <c r="BB61" s="505"/>
      <c r="BC61" s="502"/>
      <c r="BD61" s="502"/>
      <c r="BE61" s="502"/>
      <c r="BF61" s="502"/>
      <c r="BH61" s="1536">
        <f t="shared" si="6"/>
        <v>0</v>
      </c>
      <c r="BJ61" s="489">
        <v>0</v>
      </c>
    </row>
    <row r="62" spans="2:63" s="6" customFormat="1" ht="21.9" customHeight="1" thickBot="1" x14ac:dyDescent="0.35">
      <c r="B62" s="507" t="s">
        <v>1112</v>
      </c>
      <c r="C62" s="507" t="s">
        <v>1113</v>
      </c>
      <c r="D62" s="527"/>
      <c r="E62" s="513">
        <f>+SUM(E39:E44)</f>
        <v>66609.182088999994</v>
      </c>
      <c r="F62" s="509"/>
      <c r="G62" s="512">
        <f t="shared" ref="G62:P62" si="7">SUM(G39:G61)</f>
        <v>0</v>
      </c>
      <c r="H62" s="512">
        <f t="shared" si="7"/>
        <v>0</v>
      </c>
      <c r="I62" s="512">
        <f t="shared" si="7"/>
        <v>0</v>
      </c>
      <c r="J62" s="512">
        <f t="shared" si="7"/>
        <v>0</v>
      </c>
      <c r="K62" s="512">
        <f t="shared" si="7"/>
        <v>0</v>
      </c>
      <c r="L62" s="512">
        <f t="shared" si="7"/>
        <v>0</v>
      </c>
      <c r="M62" s="512">
        <f t="shared" si="7"/>
        <v>0</v>
      </c>
      <c r="N62" s="512">
        <f t="shared" si="7"/>
        <v>0</v>
      </c>
      <c r="O62" s="512">
        <f t="shared" si="7"/>
        <v>0</v>
      </c>
      <c r="P62" s="512">
        <f t="shared" si="7"/>
        <v>0</v>
      </c>
      <c r="Q62" s="512">
        <f>SUM(Q39:Q61)</f>
        <v>7.503331289626658E-12</v>
      </c>
      <c r="R62" s="512">
        <f t="shared" ref="R62:BE62" si="8">SUM(R39:R61)</f>
        <v>0</v>
      </c>
      <c r="S62" s="512">
        <f t="shared" si="8"/>
        <v>0</v>
      </c>
      <c r="T62" s="512">
        <f t="shared" si="8"/>
        <v>0</v>
      </c>
      <c r="U62" s="512">
        <f t="shared" si="8"/>
        <v>0</v>
      </c>
      <c r="V62" s="512">
        <f t="shared" si="8"/>
        <v>679.84194579198584</v>
      </c>
      <c r="W62" s="512">
        <f t="shared" si="8"/>
        <v>0</v>
      </c>
      <c r="X62" s="512">
        <f t="shared" si="8"/>
        <v>0</v>
      </c>
      <c r="Y62" s="512">
        <f t="shared" si="8"/>
        <v>0</v>
      </c>
      <c r="Z62" s="512">
        <f t="shared" si="8"/>
        <v>0</v>
      </c>
      <c r="AA62" s="512">
        <f t="shared" si="8"/>
        <v>0</v>
      </c>
      <c r="AB62" s="512">
        <f t="shared" si="8"/>
        <v>0</v>
      </c>
      <c r="AC62" s="512">
        <f t="shared" si="8"/>
        <v>0</v>
      </c>
      <c r="AD62" s="512">
        <f t="shared" si="8"/>
        <v>0</v>
      </c>
      <c r="AE62" s="512">
        <f t="shared" si="8"/>
        <v>0</v>
      </c>
      <c r="AF62" s="512">
        <f t="shared" si="8"/>
        <v>0</v>
      </c>
      <c r="AG62" s="512">
        <f t="shared" si="8"/>
        <v>0</v>
      </c>
      <c r="AH62" s="512">
        <f t="shared" si="8"/>
        <v>0</v>
      </c>
      <c r="AI62" s="512">
        <f t="shared" si="8"/>
        <v>0</v>
      </c>
      <c r="AJ62" s="512">
        <f t="shared" si="8"/>
        <v>0</v>
      </c>
      <c r="AK62" s="512">
        <f t="shared" si="8"/>
        <v>0</v>
      </c>
      <c r="AL62" s="512">
        <f t="shared" si="8"/>
        <v>0</v>
      </c>
      <c r="AM62" s="512">
        <f t="shared" si="8"/>
        <v>0</v>
      </c>
      <c r="AN62" s="512">
        <f t="shared" si="8"/>
        <v>0</v>
      </c>
      <c r="AO62" s="512">
        <f t="shared" si="8"/>
        <v>0</v>
      </c>
      <c r="AP62" s="512">
        <f t="shared" si="8"/>
        <v>0</v>
      </c>
      <c r="AQ62" s="512">
        <f t="shared" si="8"/>
        <v>0</v>
      </c>
      <c r="AR62" s="512">
        <f t="shared" si="8"/>
        <v>0</v>
      </c>
      <c r="AS62" s="512">
        <f t="shared" si="8"/>
        <v>0</v>
      </c>
      <c r="AT62" s="512">
        <f t="shared" si="8"/>
        <v>0</v>
      </c>
      <c r="AU62" s="512">
        <f t="shared" si="8"/>
        <v>0</v>
      </c>
      <c r="AV62" s="512">
        <f t="shared" si="8"/>
        <v>0</v>
      </c>
      <c r="AW62" s="512">
        <f t="shared" si="8"/>
        <v>0</v>
      </c>
      <c r="AX62" s="512">
        <f t="shared" si="8"/>
        <v>0</v>
      </c>
      <c r="AY62" s="512">
        <f t="shared" si="8"/>
        <v>0</v>
      </c>
      <c r="AZ62" s="512">
        <f t="shared" si="8"/>
        <v>0</v>
      </c>
      <c r="BA62" s="512">
        <f t="shared" si="8"/>
        <v>0</v>
      </c>
      <c r="BB62" s="512">
        <f t="shared" si="8"/>
        <v>0</v>
      </c>
      <c r="BC62" s="512">
        <f t="shared" si="8"/>
        <v>0</v>
      </c>
      <c r="BD62" s="512">
        <f t="shared" si="8"/>
        <v>0</v>
      </c>
      <c r="BE62" s="512">
        <f t="shared" si="8"/>
        <v>0</v>
      </c>
      <c r="BF62" s="512">
        <f>SUM(BF39:BF61)</f>
        <v>0</v>
      </c>
      <c r="BG62" s="527">
        <f>SUM(BG46:BG61)</f>
        <v>0</v>
      </c>
      <c r="BH62" s="1537">
        <f>SUM(BH46:BH61)</f>
        <v>67289.024034791975</v>
      </c>
      <c r="BJ62" s="528">
        <v>61679.951433928283</v>
      </c>
    </row>
    <row r="63" spans="2:63" ht="12" customHeight="1" x14ac:dyDescent="0.3">
      <c r="E63" s="490"/>
      <c r="F63" s="483"/>
      <c r="G63" s="491"/>
      <c r="H63" s="492"/>
      <c r="I63" s="491"/>
      <c r="J63" s="492"/>
      <c r="K63" s="491"/>
      <c r="L63" s="492"/>
      <c r="M63" s="491"/>
      <c r="N63" s="492"/>
      <c r="O63" s="491"/>
      <c r="P63" s="492"/>
      <c r="Q63" s="493"/>
      <c r="R63" s="493"/>
      <c r="S63" s="493"/>
      <c r="T63" s="493"/>
      <c r="U63" s="494"/>
      <c r="V63" s="493"/>
      <c r="W63" s="493"/>
      <c r="X63" s="493"/>
      <c r="Y63" s="494"/>
      <c r="Z63" s="495"/>
      <c r="AA63" s="496"/>
      <c r="AB63" s="495"/>
      <c r="AC63" s="496"/>
      <c r="AD63" s="495"/>
      <c r="AE63" s="494"/>
      <c r="AF63" s="496"/>
      <c r="AG63" s="495"/>
      <c r="AH63" s="496"/>
      <c r="AI63" s="495"/>
      <c r="AJ63" s="496"/>
      <c r="AK63" s="495"/>
      <c r="AL63" s="496"/>
      <c r="AM63" s="494"/>
      <c r="AN63" s="494"/>
      <c r="AO63" s="494"/>
      <c r="AP63" s="494"/>
      <c r="AQ63" s="494"/>
      <c r="AR63" s="494"/>
      <c r="AS63" s="495"/>
      <c r="AT63" s="496"/>
      <c r="AU63" s="494"/>
      <c r="AV63" s="494"/>
      <c r="AW63" s="495"/>
      <c r="AX63" s="496"/>
      <c r="AY63" s="494"/>
      <c r="AZ63" s="494"/>
      <c r="BA63" s="495"/>
      <c r="BB63" s="496"/>
      <c r="BC63" s="493"/>
      <c r="BD63" s="493"/>
      <c r="BE63" s="493"/>
      <c r="BF63" s="493"/>
      <c r="BH63" s="1538"/>
      <c r="BJ63" s="489"/>
    </row>
    <row r="64" spans="2:63" x14ac:dyDescent="0.3">
      <c r="C64" s="480" t="s">
        <v>1114</v>
      </c>
      <c r="E64" s="482">
        <f>+'Bilan Actif'!F24/10^6</f>
        <v>0</v>
      </c>
      <c r="F64" s="483"/>
      <c r="G64" s="484"/>
      <c r="H64" s="485"/>
      <c r="I64" s="484"/>
      <c r="J64" s="485"/>
      <c r="K64" s="484"/>
      <c r="L64" s="485"/>
      <c r="M64" s="484"/>
      <c r="N64" s="485"/>
      <c r="O64" s="484"/>
      <c r="P64" s="485"/>
      <c r="Q64" s="486"/>
      <c r="R64" s="486"/>
      <c r="S64" s="486">
        <f>-E64</f>
        <v>0</v>
      </c>
      <c r="T64" s="486"/>
      <c r="U64" s="482"/>
      <c r="V64" s="486"/>
      <c r="W64" s="486"/>
      <c r="X64" s="486"/>
      <c r="Y64" s="482"/>
      <c r="Z64" s="487"/>
      <c r="AA64" s="488"/>
      <c r="AB64" s="487"/>
      <c r="AC64" s="488"/>
      <c r="AD64" s="487"/>
      <c r="AE64" s="482"/>
      <c r="AF64" s="488"/>
      <c r="AG64" s="487"/>
      <c r="AH64" s="488"/>
      <c r="AI64" s="487"/>
      <c r="AJ64" s="488"/>
      <c r="AK64" s="487"/>
      <c r="AL64" s="488"/>
      <c r="AM64" s="482"/>
      <c r="AN64" s="482"/>
      <c r="AO64" s="482"/>
      <c r="AP64" s="482"/>
      <c r="AQ64" s="482"/>
      <c r="AR64" s="482"/>
      <c r="AS64" s="487"/>
      <c r="AT64" s="488"/>
      <c r="AU64" s="482"/>
      <c r="AV64" s="482"/>
      <c r="AW64" s="487"/>
      <c r="AX64" s="488"/>
      <c r="AY64" s="482"/>
      <c r="AZ64" s="482"/>
      <c r="BA64" s="487"/>
      <c r="BB64" s="488"/>
      <c r="BC64" s="486"/>
      <c r="BD64" s="486"/>
      <c r="BE64" s="486"/>
      <c r="BF64" s="486"/>
      <c r="BH64" s="1534">
        <f>SUM(E64:BG64)</f>
        <v>0</v>
      </c>
      <c r="BJ64" s="489">
        <v>0</v>
      </c>
      <c r="BK64" s="1962"/>
    </row>
    <row r="65" spans="2:63" x14ac:dyDescent="0.3">
      <c r="C65" s="480" t="s">
        <v>1115</v>
      </c>
      <c r="E65" s="482">
        <f>+'Bilan Actif'!F25/10^6</f>
        <v>732.07663000000002</v>
      </c>
      <c r="F65" s="483"/>
      <c r="G65" s="484"/>
      <c r="H65" s="485"/>
      <c r="I65" s="484"/>
      <c r="J65" s="485"/>
      <c r="K65" s="484"/>
      <c r="L65" s="485"/>
      <c r="M65" s="484"/>
      <c r="N65" s="485"/>
      <c r="O65" s="484"/>
      <c r="P65" s="485"/>
      <c r="Q65" s="486"/>
      <c r="R65" s="486"/>
      <c r="S65" s="486">
        <f>-E65</f>
        <v>-732.07663000000002</v>
      </c>
      <c r="T65" s="486"/>
      <c r="U65" s="482"/>
      <c r="V65" s="486"/>
      <c r="W65" s="486"/>
      <c r="X65" s="486"/>
      <c r="Y65" s="482"/>
      <c r="Z65" s="487"/>
      <c r="AA65" s="488"/>
      <c r="AB65" s="487"/>
      <c r="AC65" s="488"/>
      <c r="AD65" s="487"/>
      <c r="AE65" s="482"/>
      <c r="AF65" s="488"/>
      <c r="AG65" s="487"/>
      <c r="AH65" s="488"/>
      <c r="AI65" s="487"/>
      <c r="AJ65" s="488"/>
      <c r="AK65" s="487"/>
      <c r="AL65" s="488"/>
      <c r="AM65" s="482"/>
      <c r="AN65" s="482"/>
      <c r="AO65" s="482"/>
      <c r="AP65" s="482"/>
      <c r="AQ65" s="482"/>
      <c r="AR65" s="482"/>
      <c r="AS65" s="487"/>
      <c r="AT65" s="488"/>
      <c r="AU65" s="482"/>
      <c r="AV65" s="482"/>
      <c r="AW65" s="487"/>
      <c r="AX65" s="488"/>
      <c r="AY65" s="482"/>
      <c r="AZ65" s="482"/>
      <c r="BA65" s="487"/>
      <c r="BB65" s="488"/>
      <c r="BC65" s="486"/>
      <c r="BD65" s="486"/>
      <c r="BE65" s="486"/>
      <c r="BF65" s="486"/>
      <c r="BH65" s="1534">
        <f>SUM(E65:BG65)</f>
        <v>0</v>
      </c>
      <c r="BJ65" s="489">
        <v>0</v>
      </c>
      <c r="BK65" s="1962"/>
    </row>
    <row r="66" spans="2:63" ht="12" customHeight="1" x14ac:dyDescent="0.3">
      <c r="E66" s="490"/>
      <c r="F66" s="483"/>
      <c r="G66" s="491"/>
      <c r="H66" s="492"/>
      <c r="I66" s="491"/>
      <c r="J66" s="492"/>
      <c r="K66" s="491"/>
      <c r="L66" s="492"/>
      <c r="M66" s="491"/>
      <c r="N66" s="492"/>
      <c r="O66" s="491"/>
      <c r="P66" s="492"/>
      <c r="Q66" s="493"/>
      <c r="R66" s="493"/>
      <c r="S66" s="493"/>
      <c r="T66" s="493"/>
      <c r="U66" s="494"/>
      <c r="V66" s="493"/>
      <c r="W66" s="493"/>
      <c r="X66" s="493"/>
      <c r="Y66" s="494"/>
      <c r="Z66" s="495"/>
      <c r="AA66" s="496"/>
      <c r="AB66" s="495"/>
      <c r="AC66" s="496"/>
      <c r="AD66" s="495"/>
      <c r="AE66" s="494"/>
      <c r="AF66" s="496"/>
      <c r="AG66" s="495"/>
      <c r="AH66" s="496"/>
      <c r="AI66" s="495"/>
      <c r="AJ66" s="496"/>
      <c r="AK66" s="495"/>
      <c r="AL66" s="496"/>
      <c r="AM66" s="494"/>
      <c r="AN66" s="494"/>
      <c r="AO66" s="494"/>
      <c r="AP66" s="494"/>
      <c r="AQ66" s="494"/>
      <c r="AR66" s="494"/>
      <c r="AS66" s="495"/>
      <c r="AT66" s="496"/>
      <c r="AU66" s="494"/>
      <c r="AV66" s="494"/>
      <c r="AW66" s="495"/>
      <c r="AX66" s="496"/>
      <c r="AY66" s="494"/>
      <c r="AZ66" s="494"/>
      <c r="BA66" s="495"/>
      <c r="BB66" s="496"/>
      <c r="BC66" s="493"/>
      <c r="BD66" s="493"/>
      <c r="BE66" s="493"/>
      <c r="BF66" s="493"/>
      <c r="BH66" s="1535"/>
      <c r="BJ66" s="489"/>
    </row>
    <row r="67" spans="2:63" x14ac:dyDescent="0.3">
      <c r="B67" s="498" t="s">
        <v>1116</v>
      </c>
      <c r="C67" s="498" t="s">
        <v>1117</v>
      </c>
      <c r="E67" s="499"/>
      <c r="F67" s="483"/>
      <c r="G67" s="500"/>
      <c r="H67" s="501"/>
      <c r="I67" s="500"/>
      <c r="J67" s="501"/>
      <c r="K67" s="500"/>
      <c r="L67" s="501"/>
      <c r="M67" s="500"/>
      <c r="N67" s="501"/>
      <c r="O67" s="500"/>
      <c r="P67" s="501"/>
      <c r="Q67" s="502"/>
      <c r="R67" s="502"/>
      <c r="S67" s="502"/>
      <c r="T67" s="502"/>
      <c r="U67" s="503"/>
      <c r="V67" s="502"/>
      <c r="W67" s="502"/>
      <c r="X67" s="502"/>
      <c r="Y67" s="503"/>
      <c r="Z67" s="504"/>
      <c r="AA67" s="505"/>
      <c r="AB67" s="504"/>
      <c r="AC67" s="505"/>
      <c r="AD67" s="504"/>
      <c r="AE67" s="503"/>
      <c r="AF67" s="505"/>
      <c r="AG67" s="504"/>
      <c r="AH67" s="505"/>
      <c r="AI67" s="504"/>
      <c r="AJ67" s="505"/>
      <c r="AK67" s="504"/>
      <c r="AL67" s="505"/>
      <c r="AM67" s="503"/>
      <c r="AN67" s="503"/>
      <c r="AO67" s="503"/>
      <c r="AP67" s="503"/>
      <c r="AQ67" s="503"/>
      <c r="AR67" s="503"/>
      <c r="AS67" s="504"/>
      <c r="AT67" s="505"/>
      <c r="AU67" s="503"/>
      <c r="AV67" s="503"/>
      <c r="AW67" s="504"/>
      <c r="AX67" s="505"/>
      <c r="AY67" s="503"/>
      <c r="AZ67" s="503"/>
      <c r="BA67" s="504"/>
      <c r="BB67" s="505"/>
      <c r="BC67" s="502"/>
      <c r="BD67" s="502"/>
      <c r="BE67" s="502"/>
      <c r="BF67" s="502"/>
      <c r="BH67" s="1536">
        <f t="shared" ref="BH67:BH88" si="9">SUM(E67:BG67)</f>
        <v>0</v>
      </c>
      <c r="BJ67" s="489">
        <v>0</v>
      </c>
    </row>
    <row r="68" spans="2:63" x14ac:dyDescent="0.3">
      <c r="B68" s="498" t="s">
        <v>1118</v>
      </c>
      <c r="C68" s="498" t="s">
        <v>1119</v>
      </c>
      <c r="E68" s="499"/>
      <c r="F68" s="483"/>
      <c r="G68" s="500"/>
      <c r="H68" s="501"/>
      <c r="I68" s="500"/>
      <c r="J68" s="501"/>
      <c r="K68" s="500"/>
      <c r="L68" s="501"/>
      <c r="M68" s="500"/>
      <c r="N68" s="501"/>
      <c r="O68" s="500"/>
      <c r="P68" s="501"/>
      <c r="Q68" s="502"/>
      <c r="R68" s="502"/>
      <c r="S68" s="502"/>
      <c r="T68" s="502"/>
      <c r="U68" s="503"/>
      <c r="V68" s="502"/>
      <c r="W68" s="502"/>
      <c r="X68" s="502"/>
      <c r="Y68" s="503"/>
      <c r="Z68" s="504"/>
      <c r="AA68" s="505"/>
      <c r="AB68" s="504"/>
      <c r="AC68" s="505"/>
      <c r="AD68" s="504"/>
      <c r="AE68" s="503"/>
      <c r="AF68" s="505"/>
      <c r="AG68" s="504"/>
      <c r="AH68" s="505"/>
      <c r="AI68" s="504"/>
      <c r="AJ68" s="505"/>
      <c r="AK68" s="504"/>
      <c r="AL68" s="505"/>
      <c r="AM68" s="503"/>
      <c r="AN68" s="503"/>
      <c r="AO68" s="503"/>
      <c r="AP68" s="503"/>
      <c r="AQ68" s="503"/>
      <c r="AR68" s="503"/>
      <c r="AS68" s="504"/>
      <c r="AT68" s="505"/>
      <c r="AU68" s="503"/>
      <c r="AV68" s="503"/>
      <c r="AW68" s="504"/>
      <c r="AX68" s="505"/>
      <c r="AY68" s="503"/>
      <c r="AZ68" s="503"/>
      <c r="BA68" s="504"/>
      <c r="BB68" s="505"/>
      <c r="BC68" s="502"/>
      <c r="BD68" s="502"/>
      <c r="BE68" s="502"/>
      <c r="BF68" s="502"/>
      <c r="BH68" s="1536">
        <f t="shared" si="9"/>
        <v>0</v>
      </c>
      <c r="BJ68" s="489">
        <v>0</v>
      </c>
    </row>
    <row r="69" spans="2:63" x14ac:dyDescent="0.3">
      <c r="B69" s="498" t="s">
        <v>1120</v>
      </c>
      <c r="C69" s="498" t="s">
        <v>1121</v>
      </c>
      <c r="E69" s="499"/>
      <c r="F69" s="483"/>
      <c r="G69" s="500"/>
      <c r="H69" s="501"/>
      <c r="I69" s="500"/>
      <c r="J69" s="501"/>
      <c r="K69" s="500"/>
      <c r="L69" s="501"/>
      <c r="M69" s="500"/>
      <c r="N69" s="501"/>
      <c r="O69" s="500"/>
      <c r="P69" s="501"/>
      <c r="Q69" s="502"/>
      <c r="R69" s="502"/>
      <c r="S69" s="502"/>
      <c r="T69" s="502"/>
      <c r="U69" s="503"/>
      <c r="V69" s="502"/>
      <c r="W69" s="502"/>
      <c r="X69" s="502"/>
      <c r="Y69" s="503"/>
      <c r="Z69" s="504"/>
      <c r="AA69" s="505"/>
      <c r="AB69" s="504"/>
      <c r="AC69" s="505"/>
      <c r="AD69" s="504"/>
      <c r="AE69" s="503"/>
      <c r="AF69" s="505"/>
      <c r="AG69" s="504"/>
      <c r="AH69" s="505"/>
      <c r="AI69" s="504"/>
      <c r="AJ69" s="505"/>
      <c r="AK69" s="504"/>
      <c r="AL69" s="505"/>
      <c r="AM69" s="503"/>
      <c r="AN69" s="503"/>
      <c r="AO69" s="503"/>
      <c r="AP69" s="503"/>
      <c r="AQ69" s="503"/>
      <c r="AR69" s="503"/>
      <c r="AS69" s="504"/>
      <c r="AT69" s="505"/>
      <c r="AU69" s="503"/>
      <c r="AV69" s="503"/>
      <c r="AW69" s="504"/>
      <c r="AX69" s="505"/>
      <c r="AY69" s="503"/>
      <c r="AZ69" s="503"/>
      <c r="BA69" s="504"/>
      <c r="BB69" s="505"/>
      <c r="BC69" s="502"/>
      <c r="BD69" s="502"/>
      <c r="BE69" s="502"/>
      <c r="BF69" s="502"/>
      <c r="BH69" s="1536">
        <f t="shared" si="9"/>
        <v>0</v>
      </c>
      <c r="BJ69" s="489">
        <v>0</v>
      </c>
    </row>
    <row r="70" spans="2:63" x14ac:dyDescent="0.3">
      <c r="B70" s="498" t="s">
        <v>1122</v>
      </c>
      <c r="C70" s="498" t="s">
        <v>1123</v>
      </c>
      <c r="E70" s="499"/>
      <c r="F70" s="483"/>
      <c r="G70" s="500"/>
      <c r="H70" s="501"/>
      <c r="I70" s="500"/>
      <c r="J70" s="501"/>
      <c r="K70" s="500"/>
      <c r="L70" s="501"/>
      <c r="M70" s="500"/>
      <c r="N70" s="501"/>
      <c r="O70" s="500"/>
      <c r="P70" s="501"/>
      <c r="Q70" s="502"/>
      <c r="R70" s="502"/>
      <c r="S70" s="502"/>
      <c r="T70" s="502"/>
      <c r="U70" s="503"/>
      <c r="V70" s="502"/>
      <c r="W70" s="502"/>
      <c r="X70" s="502"/>
      <c r="Y70" s="503"/>
      <c r="Z70" s="504"/>
      <c r="AA70" s="505"/>
      <c r="AB70" s="504"/>
      <c r="AC70" s="505"/>
      <c r="AD70" s="504"/>
      <c r="AE70" s="503"/>
      <c r="AF70" s="505"/>
      <c r="AG70" s="504"/>
      <c r="AH70" s="505"/>
      <c r="AI70" s="504"/>
      <c r="AJ70" s="505"/>
      <c r="AK70" s="504"/>
      <c r="AL70" s="505"/>
      <c r="AM70" s="503"/>
      <c r="AN70" s="503"/>
      <c r="AO70" s="503"/>
      <c r="AP70" s="503"/>
      <c r="AQ70" s="503"/>
      <c r="AR70" s="503"/>
      <c r="AS70" s="504"/>
      <c r="AT70" s="505"/>
      <c r="AU70" s="503"/>
      <c r="AV70" s="503"/>
      <c r="AW70" s="504"/>
      <c r="AX70" s="505"/>
      <c r="AY70" s="503"/>
      <c r="AZ70" s="503"/>
      <c r="BA70" s="504"/>
      <c r="BB70" s="505"/>
      <c r="BC70" s="502"/>
      <c r="BD70" s="502"/>
      <c r="BE70" s="502"/>
      <c r="BF70" s="502"/>
      <c r="BH70" s="1536">
        <f t="shared" si="9"/>
        <v>0</v>
      </c>
      <c r="BJ70" s="489">
        <v>0</v>
      </c>
    </row>
    <row r="71" spans="2:63" x14ac:dyDescent="0.3">
      <c r="B71" s="498" t="s">
        <v>1124</v>
      </c>
      <c r="C71" s="498" t="s">
        <v>1125</v>
      </c>
      <c r="E71" s="499"/>
      <c r="F71" s="483"/>
      <c r="G71" s="500"/>
      <c r="H71" s="501"/>
      <c r="I71" s="500"/>
      <c r="J71" s="501"/>
      <c r="K71" s="500"/>
      <c r="L71" s="501"/>
      <c r="M71" s="500"/>
      <c r="N71" s="501"/>
      <c r="O71" s="500"/>
      <c r="P71" s="501"/>
      <c r="Q71" s="502"/>
      <c r="R71" s="502"/>
      <c r="S71" s="502"/>
      <c r="T71" s="502"/>
      <c r="U71" s="503"/>
      <c r="V71" s="502"/>
      <c r="W71" s="502"/>
      <c r="X71" s="502"/>
      <c r="Y71" s="503"/>
      <c r="Z71" s="504"/>
      <c r="AA71" s="505"/>
      <c r="AB71" s="504"/>
      <c r="AC71" s="505"/>
      <c r="AD71" s="504"/>
      <c r="AE71" s="503"/>
      <c r="AF71" s="505"/>
      <c r="AG71" s="504"/>
      <c r="AH71" s="505"/>
      <c r="AI71" s="504"/>
      <c r="AJ71" s="505"/>
      <c r="AK71" s="504"/>
      <c r="AL71" s="505"/>
      <c r="AM71" s="503"/>
      <c r="AN71" s="503"/>
      <c r="AO71" s="503"/>
      <c r="AP71" s="503"/>
      <c r="AQ71" s="503"/>
      <c r="AR71" s="503"/>
      <c r="AS71" s="504"/>
      <c r="AT71" s="505"/>
      <c r="AU71" s="503"/>
      <c r="AV71" s="503"/>
      <c r="AW71" s="504"/>
      <c r="AX71" s="505"/>
      <c r="AY71" s="503"/>
      <c r="AZ71" s="503"/>
      <c r="BA71" s="504"/>
      <c r="BB71" s="505"/>
      <c r="BC71" s="502"/>
      <c r="BD71" s="502"/>
      <c r="BE71" s="502"/>
      <c r="BF71" s="502"/>
      <c r="BH71" s="1536">
        <f t="shared" si="9"/>
        <v>0</v>
      </c>
      <c r="BJ71" s="489">
        <v>0</v>
      </c>
    </row>
    <row r="72" spans="2:63" ht="28.8" x14ac:dyDescent="0.3">
      <c r="B72" s="498" t="s">
        <v>1126</v>
      </c>
      <c r="C72" s="524" t="s">
        <v>1127</v>
      </c>
      <c r="E72" s="499"/>
      <c r="F72" s="483"/>
      <c r="G72" s="500"/>
      <c r="H72" s="501"/>
      <c r="I72" s="500"/>
      <c r="J72" s="501"/>
      <c r="K72" s="500"/>
      <c r="L72" s="501"/>
      <c r="M72" s="500"/>
      <c r="N72" s="501"/>
      <c r="O72" s="500"/>
      <c r="P72" s="501"/>
      <c r="Q72" s="502"/>
      <c r="R72" s="502"/>
      <c r="S72" s="502"/>
      <c r="T72" s="502"/>
      <c r="U72" s="503"/>
      <c r="V72" s="502"/>
      <c r="W72" s="502"/>
      <c r="X72" s="502"/>
      <c r="Y72" s="503"/>
      <c r="Z72" s="504"/>
      <c r="AA72" s="505"/>
      <c r="AB72" s="504"/>
      <c r="AC72" s="505"/>
      <c r="AD72" s="504"/>
      <c r="AE72" s="503"/>
      <c r="AF72" s="505"/>
      <c r="AG72" s="504"/>
      <c r="AH72" s="505"/>
      <c r="AI72" s="504"/>
      <c r="AJ72" s="505"/>
      <c r="AK72" s="504"/>
      <c r="AL72" s="505"/>
      <c r="AM72" s="503"/>
      <c r="AN72" s="503"/>
      <c r="AO72" s="503"/>
      <c r="AP72" s="503"/>
      <c r="AQ72" s="503"/>
      <c r="AR72" s="503"/>
      <c r="AS72" s="504"/>
      <c r="AT72" s="505"/>
      <c r="AU72" s="503"/>
      <c r="AV72" s="503"/>
      <c r="AW72" s="504"/>
      <c r="AX72" s="505"/>
      <c r="AY72" s="503"/>
      <c r="AZ72" s="503"/>
      <c r="BA72" s="504"/>
      <c r="BB72" s="505"/>
      <c r="BC72" s="502"/>
      <c r="BD72" s="502"/>
      <c r="BE72" s="502"/>
      <c r="BF72" s="502"/>
      <c r="BH72" s="1536">
        <f t="shared" si="9"/>
        <v>0</v>
      </c>
      <c r="BJ72" s="489">
        <v>0</v>
      </c>
    </row>
    <row r="73" spans="2:63" x14ac:dyDescent="0.3">
      <c r="B73" s="498" t="s">
        <v>1128</v>
      </c>
      <c r="C73" s="498" t="s">
        <v>1129</v>
      </c>
      <c r="E73" s="499"/>
      <c r="F73" s="483"/>
      <c r="G73" s="500"/>
      <c r="H73" s="501"/>
      <c r="I73" s="500"/>
      <c r="J73" s="501"/>
      <c r="K73" s="500"/>
      <c r="L73" s="501"/>
      <c r="M73" s="500"/>
      <c r="N73" s="501"/>
      <c r="O73" s="500"/>
      <c r="P73" s="501"/>
      <c r="Q73" s="502"/>
      <c r="R73" s="502"/>
      <c r="S73" s="502"/>
      <c r="T73" s="502"/>
      <c r="U73" s="503"/>
      <c r="V73" s="502">
        <f>-V163</f>
        <v>24399.507383</v>
      </c>
      <c r="W73" s="502"/>
      <c r="X73" s="502"/>
      <c r="Y73" s="503"/>
      <c r="Z73" s="504"/>
      <c r="AA73" s="505"/>
      <c r="AB73" s="504"/>
      <c r="AC73" s="505"/>
      <c r="AD73" s="504"/>
      <c r="AE73" s="503"/>
      <c r="AF73" s="505"/>
      <c r="AG73" s="504"/>
      <c r="AH73" s="505"/>
      <c r="AI73" s="504"/>
      <c r="AJ73" s="505"/>
      <c r="AK73" s="504"/>
      <c r="AL73" s="505"/>
      <c r="AM73" s="503"/>
      <c r="AN73" s="503"/>
      <c r="AO73" s="503"/>
      <c r="AP73" s="503"/>
      <c r="AQ73" s="503"/>
      <c r="AR73" s="503"/>
      <c r="AS73" s="504"/>
      <c r="AT73" s="505"/>
      <c r="AU73" s="503"/>
      <c r="AV73" s="503"/>
      <c r="AW73" s="504"/>
      <c r="AX73" s="505"/>
      <c r="AY73" s="503"/>
      <c r="AZ73" s="503"/>
      <c r="BA73" s="504"/>
      <c r="BB73" s="505"/>
      <c r="BC73" s="502"/>
      <c r="BD73" s="502"/>
      <c r="BE73" s="502"/>
      <c r="BF73" s="502"/>
      <c r="BH73" s="1536">
        <f t="shared" si="9"/>
        <v>24399.507383</v>
      </c>
      <c r="BJ73" s="489">
        <v>22761.237290000001</v>
      </c>
    </row>
    <row r="74" spans="2:63" x14ac:dyDescent="0.3">
      <c r="B74" s="498" t="s">
        <v>1130</v>
      </c>
      <c r="C74" s="498" t="s">
        <v>1131</v>
      </c>
      <c r="E74" s="499"/>
      <c r="F74" s="483"/>
      <c r="G74" s="500"/>
      <c r="H74" s="501"/>
      <c r="I74" s="500"/>
      <c r="J74" s="501"/>
      <c r="K74" s="500"/>
      <c r="L74" s="501"/>
      <c r="M74" s="500"/>
      <c r="N74" s="501"/>
      <c r="O74" s="500"/>
      <c r="P74" s="501"/>
      <c r="Q74" s="502"/>
      <c r="R74" s="502"/>
      <c r="S74" s="502"/>
      <c r="T74" s="502"/>
      <c r="U74" s="503"/>
      <c r="V74" s="502"/>
      <c r="W74" s="502"/>
      <c r="X74" s="502"/>
      <c r="Y74" s="503"/>
      <c r="Z74" s="504"/>
      <c r="AA74" s="505"/>
      <c r="AB74" s="504"/>
      <c r="AC74" s="505"/>
      <c r="AD74" s="504"/>
      <c r="AE74" s="503"/>
      <c r="AF74" s="505"/>
      <c r="AG74" s="504"/>
      <c r="AH74" s="505"/>
      <c r="AI74" s="504"/>
      <c r="AJ74" s="505"/>
      <c r="AK74" s="504"/>
      <c r="AL74" s="505"/>
      <c r="AM74" s="503"/>
      <c r="AN74" s="503"/>
      <c r="AO74" s="503"/>
      <c r="AP74" s="503"/>
      <c r="AQ74" s="503"/>
      <c r="AR74" s="503"/>
      <c r="AS74" s="504"/>
      <c r="AT74" s="505"/>
      <c r="AU74" s="503"/>
      <c r="AV74" s="503"/>
      <c r="AW74" s="504"/>
      <c r="AX74" s="505"/>
      <c r="AY74" s="503"/>
      <c r="AZ74" s="503"/>
      <c r="BA74" s="504"/>
      <c r="BB74" s="505"/>
      <c r="BC74" s="502"/>
      <c r="BD74" s="502"/>
      <c r="BE74" s="502"/>
      <c r="BF74" s="502"/>
      <c r="BH74" s="1536">
        <f t="shared" si="9"/>
        <v>0</v>
      </c>
      <c r="BJ74" s="489">
        <v>0</v>
      </c>
    </row>
    <row r="75" spans="2:63" x14ac:dyDescent="0.3">
      <c r="B75" s="498" t="s">
        <v>1132</v>
      </c>
      <c r="C75" s="498" t="s">
        <v>1133</v>
      </c>
      <c r="E75" s="499"/>
      <c r="F75" s="483"/>
      <c r="G75" s="500"/>
      <c r="H75" s="501"/>
      <c r="I75" s="500"/>
      <c r="J75" s="501"/>
      <c r="K75" s="500"/>
      <c r="L75" s="501"/>
      <c r="M75" s="500"/>
      <c r="N75" s="501"/>
      <c r="O75" s="500"/>
      <c r="P75" s="501"/>
      <c r="Q75" s="502"/>
      <c r="R75" s="502"/>
      <c r="S75" s="502"/>
      <c r="T75" s="502"/>
      <c r="U75" s="503"/>
      <c r="V75" s="502"/>
      <c r="W75" s="502"/>
      <c r="X75" s="502"/>
      <c r="Y75" s="503"/>
      <c r="Z75" s="504"/>
      <c r="AA75" s="505"/>
      <c r="AB75" s="504"/>
      <c r="AC75" s="505"/>
      <c r="AD75" s="504"/>
      <c r="AE75" s="503"/>
      <c r="AF75" s="505"/>
      <c r="AG75" s="504"/>
      <c r="AH75" s="505"/>
      <c r="AI75" s="504"/>
      <c r="AJ75" s="505"/>
      <c r="AK75" s="504"/>
      <c r="AL75" s="505"/>
      <c r="AM75" s="503"/>
      <c r="AN75" s="503"/>
      <c r="AO75" s="503"/>
      <c r="AP75" s="503"/>
      <c r="AQ75" s="503"/>
      <c r="AR75" s="503"/>
      <c r="AS75" s="504"/>
      <c r="AT75" s="505"/>
      <c r="AU75" s="503"/>
      <c r="AV75" s="503"/>
      <c r="AW75" s="504"/>
      <c r="AX75" s="505"/>
      <c r="AY75" s="503"/>
      <c r="AZ75" s="503"/>
      <c r="BA75" s="504"/>
      <c r="BB75" s="505"/>
      <c r="BC75" s="502"/>
      <c r="BD75" s="502"/>
      <c r="BE75" s="502"/>
      <c r="BF75" s="502"/>
      <c r="BH75" s="1536">
        <f t="shared" si="9"/>
        <v>0</v>
      </c>
      <c r="BJ75" s="489">
        <v>0</v>
      </c>
    </row>
    <row r="76" spans="2:63" ht="28.8" x14ac:dyDescent="0.3">
      <c r="B76" s="498" t="s">
        <v>1134</v>
      </c>
      <c r="C76" s="524" t="s">
        <v>1135</v>
      </c>
      <c r="E76" s="499"/>
      <c r="F76" s="483"/>
      <c r="G76" s="500"/>
      <c r="H76" s="501"/>
      <c r="I76" s="500"/>
      <c r="J76" s="501"/>
      <c r="K76" s="500"/>
      <c r="L76" s="501"/>
      <c r="M76" s="500"/>
      <c r="N76" s="501"/>
      <c r="O76" s="500"/>
      <c r="P76" s="501"/>
      <c r="Q76" s="502"/>
      <c r="R76" s="502"/>
      <c r="S76" s="502"/>
      <c r="T76" s="502"/>
      <c r="U76" s="503"/>
      <c r="V76" s="502"/>
      <c r="W76" s="502"/>
      <c r="X76" s="502"/>
      <c r="Y76" s="503"/>
      <c r="Z76" s="504"/>
      <c r="AA76" s="505"/>
      <c r="AB76" s="504"/>
      <c r="AC76" s="505"/>
      <c r="AD76" s="504"/>
      <c r="AE76" s="503"/>
      <c r="AF76" s="505"/>
      <c r="AG76" s="504"/>
      <c r="AH76" s="505"/>
      <c r="AI76" s="504"/>
      <c r="AJ76" s="505"/>
      <c r="AK76" s="504"/>
      <c r="AL76" s="505"/>
      <c r="AM76" s="503"/>
      <c r="AN76" s="503"/>
      <c r="AO76" s="503"/>
      <c r="AP76" s="503"/>
      <c r="AQ76" s="503"/>
      <c r="AR76" s="503"/>
      <c r="AS76" s="504"/>
      <c r="AT76" s="505"/>
      <c r="AU76" s="503"/>
      <c r="AV76" s="503"/>
      <c r="AW76" s="504"/>
      <c r="AX76" s="505"/>
      <c r="AY76" s="503"/>
      <c r="AZ76" s="503"/>
      <c r="BA76" s="504"/>
      <c r="BB76" s="505"/>
      <c r="BC76" s="502"/>
      <c r="BD76" s="502"/>
      <c r="BE76" s="502"/>
      <c r="BF76" s="502"/>
      <c r="BH76" s="1536">
        <f t="shared" si="9"/>
        <v>0</v>
      </c>
      <c r="BJ76" s="489">
        <v>0</v>
      </c>
    </row>
    <row r="77" spans="2:63" x14ac:dyDescent="0.3">
      <c r="B77" s="498" t="s">
        <v>1136</v>
      </c>
      <c r="C77" s="498" t="s">
        <v>1137</v>
      </c>
      <c r="E77" s="499"/>
      <c r="F77" s="483"/>
      <c r="G77" s="500"/>
      <c r="H77" s="501"/>
      <c r="I77" s="500"/>
      <c r="J77" s="501"/>
      <c r="K77" s="500"/>
      <c r="L77" s="501"/>
      <c r="M77" s="500"/>
      <c r="N77" s="501"/>
      <c r="O77" s="500"/>
      <c r="P77" s="501"/>
      <c r="Q77" s="502"/>
      <c r="R77" s="502"/>
      <c r="S77" s="502"/>
      <c r="T77" s="502"/>
      <c r="U77" s="503"/>
      <c r="V77" s="502"/>
      <c r="W77" s="502"/>
      <c r="X77" s="502"/>
      <c r="Y77" s="503"/>
      <c r="Z77" s="504"/>
      <c r="AA77" s="505"/>
      <c r="AB77" s="504"/>
      <c r="AC77" s="505"/>
      <c r="AD77" s="504"/>
      <c r="AE77" s="503"/>
      <c r="AF77" s="505"/>
      <c r="AG77" s="504"/>
      <c r="AH77" s="505"/>
      <c r="AI77" s="504"/>
      <c r="AJ77" s="505"/>
      <c r="AK77" s="504"/>
      <c r="AL77" s="505"/>
      <c r="AM77" s="503"/>
      <c r="AN77" s="503"/>
      <c r="AO77" s="503"/>
      <c r="AP77" s="503"/>
      <c r="AQ77" s="503"/>
      <c r="AR77" s="503"/>
      <c r="AS77" s="504"/>
      <c r="AT77" s="505"/>
      <c r="AU77" s="503"/>
      <c r="AV77" s="503"/>
      <c r="AW77" s="504"/>
      <c r="AX77" s="505"/>
      <c r="AY77" s="503"/>
      <c r="AZ77" s="503"/>
      <c r="BA77" s="504"/>
      <c r="BB77" s="505"/>
      <c r="BC77" s="502"/>
      <c r="BD77" s="502"/>
      <c r="BE77" s="502"/>
      <c r="BF77" s="502"/>
      <c r="BH77" s="1536">
        <f t="shared" si="9"/>
        <v>0</v>
      </c>
      <c r="BJ77" s="489">
        <v>0</v>
      </c>
    </row>
    <row r="78" spans="2:63" x14ac:dyDescent="0.3">
      <c r="B78" s="498" t="s">
        <v>1138</v>
      </c>
      <c r="C78" s="498" t="s">
        <v>1139</v>
      </c>
      <c r="E78" s="499"/>
      <c r="F78" s="483"/>
      <c r="G78" s="500"/>
      <c r="H78" s="501"/>
      <c r="I78" s="500"/>
      <c r="J78" s="501"/>
      <c r="K78" s="500"/>
      <c r="L78" s="501"/>
      <c r="M78" s="500"/>
      <c r="N78" s="501"/>
      <c r="O78" s="500"/>
      <c r="P78" s="501"/>
      <c r="Q78" s="502"/>
      <c r="R78" s="502"/>
      <c r="S78" s="502"/>
      <c r="T78" s="502"/>
      <c r="U78" s="503"/>
      <c r="V78" s="502"/>
      <c r="W78" s="502"/>
      <c r="X78" s="502"/>
      <c r="Y78" s="503"/>
      <c r="Z78" s="504"/>
      <c r="AA78" s="505"/>
      <c r="AB78" s="504"/>
      <c r="AC78" s="505"/>
      <c r="AD78" s="504"/>
      <c r="AE78" s="503"/>
      <c r="AF78" s="505"/>
      <c r="AG78" s="504"/>
      <c r="AH78" s="505"/>
      <c r="AI78" s="504"/>
      <c r="AJ78" s="505"/>
      <c r="AK78" s="504"/>
      <c r="AL78" s="505"/>
      <c r="AM78" s="503"/>
      <c r="AN78" s="503"/>
      <c r="AO78" s="503"/>
      <c r="AP78" s="503"/>
      <c r="AQ78" s="503"/>
      <c r="AR78" s="503"/>
      <c r="AS78" s="504"/>
      <c r="AT78" s="505"/>
      <c r="AU78" s="503"/>
      <c r="AV78" s="503"/>
      <c r="AW78" s="504"/>
      <c r="AX78" s="505"/>
      <c r="AY78" s="503"/>
      <c r="AZ78" s="503"/>
      <c r="BA78" s="504"/>
      <c r="BB78" s="505"/>
      <c r="BC78" s="502"/>
      <c r="BD78" s="502"/>
      <c r="BE78" s="502"/>
      <c r="BF78" s="502"/>
      <c r="BH78" s="1536">
        <f t="shared" si="9"/>
        <v>0</v>
      </c>
      <c r="BJ78" s="489">
        <v>0</v>
      </c>
    </row>
    <row r="79" spans="2:63" x14ac:dyDescent="0.3">
      <c r="B79" s="498" t="s">
        <v>166</v>
      </c>
      <c r="C79" s="498" t="s">
        <v>1140</v>
      </c>
      <c r="E79" s="499"/>
      <c r="F79" s="483"/>
      <c r="G79" s="500"/>
      <c r="H79" s="501"/>
      <c r="I79" s="500"/>
      <c r="J79" s="501"/>
      <c r="K79" s="500"/>
      <c r="L79" s="501"/>
      <c r="M79" s="500"/>
      <c r="N79" s="501"/>
      <c r="O79" s="500"/>
      <c r="P79" s="501"/>
      <c r="Q79" s="502"/>
      <c r="R79" s="502"/>
      <c r="S79" s="502">
        <f>SUM('BG '!J71)/1000000</f>
        <v>198.89876699999999</v>
      </c>
      <c r="T79" s="502"/>
      <c r="U79" s="503"/>
      <c r="V79" s="502"/>
      <c r="W79" s="502"/>
      <c r="X79" s="502"/>
      <c r="Y79" s="503"/>
      <c r="Z79" s="504"/>
      <c r="AA79" s="505"/>
      <c r="AB79" s="504"/>
      <c r="AC79" s="505"/>
      <c r="AD79" s="504"/>
      <c r="AE79" s="503"/>
      <c r="AF79" s="505"/>
      <c r="AG79" s="504"/>
      <c r="AH79" s="505"/>
      <c r="AI79" s="504"/>
      <c r="AJ79" s="505"/>
      <c r="AK79" s="504"/>
      <c r="AL79" s="505"/>
      <c r="AM79" s="503"/>
      <c r="AN79" s="503"/>
      <c r="AO79" s="503"/>
      <c r="AP79" s="503"/>
      <c r="AQ79" s="503"/>
      <c r="AR79" s="503"/>
      <c r="AS79" s="504"/>
      <c r="AT79" s="505"/>
      <c r="AU79" s="503"/>
      <c r="AV79" s="503"/>
      <c r="AW79" s="504"/>
      <c r="AX79" s="505"/>
      <c r="AY79" s="503"/>
      <c r="AZ79" s="503"/>
      <c r="BA79" s="504"/>
      <c r="BB79" s="505"/>
      <c r="BC79" s="502"/>
      <c r="BD79" s="502"/>
      <c r="BE79" s="502"/>
      <c r="BF79" s="502"/>
      <c r="BH79" s="1536">
        <f t="shared" si="9"/>
        <v>198.89876699999999</v>
      </c>
      <c r="BJ79" s="489">
        <v>179.89876699999999</v>
      </c>
    </row>
    <row r="80" spans="2:63" x14ac:dyDescent="0.3">
      <c r="B80" s="498" t="s">
        <v>1141</v>
      </c>
      <c r="C80" s="498" t="s">
        <v>1142</v>
      </c>
      <c r="E80" s="499"/>
      <c r="F80" s="483"/>
      <c r="G80" s="500"/>
      <c r="H80" s="501"/>
      <c r="I80" s="500"/>
      <c r="J80" s="501"/>
      <c r="K80" s="500"/>
      <c r="L80" s="501"/>
      <c r="M80" s="500"/>
      <c r="N80" s="501"/>
      <c r="O80" s="500"/>
      <c r="P80" s="501"/>
      <c r="Q80" s="502"/>
      <c r="R80" s="502"/>
      <c r="S80" s="502"/>
      <c r="T80" s="502"/>
      <c r="U80" s="503"/>
      <c r="V80" s="502"/>
      <c r="W80" s="502"/>
      <c r="X80" s="502"/>
      <c r="Y80" s="503"/>
      <c r="Z80" s="504"/>
      <c r="AA80" s="505"/>
      <c r="AB80" s="504"/>
      <c r="AC80" s="505"/>
      <c r="AD80" s="504"/>
      <c r="AE80" s="503"/>
      <c r="AF80" s="505"/>
      <c r="AG80" s="504"/>
      <c r="AH80" s="505"/>
      <c r="AI80" s="504"/>
      <c r="AJ80" s="505"/>
      <c r="AK80" s="504"/>
      <c r="AL80" s="505"/>
      <c r="AM80" s="503"/>
      <c r="AN80" s="503"/>
      <c r="AO80" s="503"/>
      <c r="AP80" s="503"/>
      <c r="AQ80" s="503"/>
      <c r="AR80" s="503"/>
      <c r="AS80" s="504"/>
      <c r="AT80" s="505"/>
      <c r="AU80" s="503"/>
      <c r="AV80" s="503"/>
      <c r="AW80" s="504"/>
      <c r="AX80" s="505"/>
      <c r="AY80" s="503"/>
      <c r="AZ80" s="503"/>
      <c r="BA80" s="504"/>
      <c r="BB80" s="505"/>
      <c r="BC80" s="502"/>
      <c r="BD80" s="502"/>
      <c r="BE80" s="502"/>
      <c r="BF80" s="502"/>
      <c r="BH80" s="1536">
        <f t="shared" si="9"/>
        <v>0</v>
      </c>
      <c r="BJ80" s="489">
        <v>0</v>
      </c>
    </row>
    <row r="81" spans="1:63" x14ac:dyDescent="0.3">
      <c r="B81" s="498" t="s">
        <v>159</v>
      </c>
      <c r="C81" s="498" t="s">
        <v>1143</v>
      </c>
      <c r="E81" s="499"/>
      <c r="F81" s="483"/>
      <c r="G81" s="500"/>
      <c r="H81" s="501"/>
      <c r="I81" s="500"/>
      <c r="J81" s="501"/>
      <c r="K81" s="500"/>
      <c r="L81" s="501"/>
      <c r="M81" s="500"/>
      <c r="N81" s="501"/>
      <c r="O81" s="500"/>
      <c r="P81" s="501"/>
      <c r="Q81" s="502"/>
      <c r="R81" s="502"/>
      <c r="S81" s="502">
        <f>'BG '!J66/10^6</f>
        <v>0</v>
      </c>
      <c r="T81" s="502"/>
      <c r="U81" s="503"/>
      <c r="V81" s="502"/>
      <c r="W81" s="502"/>
      <c r="X81" s="502"/>
      <c r="Y81" s="503"/>
      <c r="Z81" s="504"/>
      <c r="AA81" s="505"/>
      <c r="AB81" s="504"/>
      <c r="AC81" s="505"/>
      <c r="AD81" s="504"/>
      <c r="AE81" s="503"/>
      <c r="AF81" s="505"/>
      <c r="AG81" s="504"/>
      <c r="AH81" s="505"/>
      <c r="AI81" s="504"/>
      <c r="AJ81" s="505"/>
      <c r="AK81" s="504"/>
      <c r="AL81" s="505"/>
      <c r="AM81" s="503"/>
      <c r="AN81" s="503"/>
      <c r="AO81" s="503"/>
      <c r="AP81" s="503"/>
      <c r="AQ81" s="503"/>
      <c r="AR81" s="503"/>
      <c r="AS81" s="504"/>
      <c r="AT81" s="505"/>
      <c r="AU81" s="503"/>
      <c r="AV81" s="503"/>
      <c r="AW81" s="504"/>
      <c r="AX81" s="505"/>
      <c r="AY81" s="503"/>
      <c r="AZ81" s="503"/>
      <c r="BA81" s="504"/>
      <c r="BB81" s="505"/>
      <c r="BC81" s="502"/>
      <c r="BD81" s="502"/>
      <c r="BE81" s="502"/>
      <c r="BF81" s="502"/>
      <c r="BH81" s="1536">
        <f t="shared" si="9"/>
        <v>0</v>
      </c>
      <c r="BJ81" s="489">
        <v>0</v>
      </c>
    </row>
    <row r="82" spans="1:63" x14ac:dyDescent="0.3">
      <c r="B82" s="498" t="s">
        <v>1144</v>
      </c>
      <c r="C82" s="498" t="s">
        <v>1145</v>
      </c>
      <c r="E82" s="499"/>
      <c r="F82" s="483"/>
      <c r="G82" s="500"/>
      <c r="H82" s="501"/>
      <c r="I82" s="500"/>
      <c r="J82" s="501"/>
      <c r="K82" s="500"/>
      <c r="L82" s="501"/>
      <c r="M82" s="500"/>
      <c r="N82" s="501"/>
      <c r="O82" s="500"/>
      <c r="P82" s="501"/>
      <c r="Q82" s="502"/>
      <c r="R82" s="502"/>
      <c r="S82" s="502"/>
      <c r="T82" s="502"/>
      <c r="U82" s="503"/>
      <c r="V82" s="502"/>
      <c r="W82" s="502"/>
      <c r="X82" s="502"/>
      <c r="Y82" s="503"/>
      <c r="Z82" s="504"/>
      <c r="AA82" s="505"/>
      <c r="AB82" s="504"/>
      <c r="AC82" s="505"/>
      <c r="AD82" s="504"/>
      <c r="AE82" s="503"/>
      <c r="AF82" s="505"/>
      <c r="AG82" s="504"/>
      <c r="AH82" s="505"/>
      <c r="AI82" s="504"/>
      <c r="AJ82" s="505"/>
      <c r="AK82" s="504"/>
      <c r="AL82" s="505"/>
      <c r="AM82" s="503"/>
      <c r="AN82" s="503"/>
      <c r="AO82" s="503"/>
      <c r="AP82" s="503"/>
      <c r="AQ82" s="503"/>
      <c r="AR82" s="503"/>
      <c r="AS82" s="504"/>
      <c r="AT82" s="505"/>
      <c r="AU82" s="503"/>
      <c r="AV82" s="503"/>
      <c r="AW82" s="504"/>
      <c r="AX82" s="505"/>
      <c r="AY82" s="503"/>
      <c r="AZ82" s="503"/>
      <c r="BA82" s="504"/>
      <c r="BB82" s="505"/>
      <c r="BC82" s="502"/>
      <c r="BD82" s="502"/>
      <c r="BE82" s="502"/>
      <c r="BF82" s="502"/>
      <c r="BH82" s="1536">
        <f t="shared" si="9"/>
        <v>0</v>
      </c>
      <c r="BJ82" s="489">
        <v>0</v>
      </c>
    </row>
    <row r="83" spans="1:63" x14ac:dyDescent="0.3">
      <c r="B83" s="498" t="s">
        <v>1146</v>
      </c>
      <c r="C83" s="498" t="s">
        <v>1147</v>
      </c>
      <c r="E83" s="499"/>
      <c r="F83" s="483"/>
      <c r="G83" s="500"/>
      <c r="H83" s="501"/>
      <c r="I83" s="500"/>
      <c r="J83" s="501"/>
      <c r="K83" s="500"/>
      <c r="L83" s="501"/>
      <c r="M83" s="500"/>
      <c r="N83" s="501"/>
      <c r="O83" s="500"/>
      <c r="P83" s="501"/>
      <c r="Q83" s="502"/>
      <c r="R83" s="502"/>
      <c r="S83" s="502"/>
      <c r="T83" s="502"/>
      <c r="U83" s="503"/>
      <c r="V83" s="502"/>
      <c r="W83" s="502"/>
      <c r="X83" s="502"/>
      <c r="Y83" s="503"/>
      <c r="Z83" s="504"/>
      <c r="AA83" s="505"/>
      <c r="AB83" s="504"/>
      <c r="AC83" s="505"/>
      <c r="AD83" s="504"/>
      <c r="AE83" s="503"/>
      <c r="AF83" s="505"/>
      <c r="AG83" s="504"/>
      <c r="AH83" s="505"/>
      <c r="AI83" s="504"/>
      <c r="AJ83" s="505"/>
      <c r="AK83" s="504"/>
      <c r="AL83" s="505"/>
      <c r="AM83" s="503"/>
      <c r="AN83" s="503"/>
      <c r="AO83" s="503"/>
      <c r="AP83" s="503"/>
      <c r="AQ83" s="503"/>
      <c r="AR83" s="503"/>
      <c r="AS83" s="504"/>
      <c r="AT83" s="505"/>
      <c r="AU83" s="503"/>
      <c r="AV83" s="503"/>
      <c r="AW83" s="504"/>
      <c r="AX83" s="505"/>
      <c r="AY83" s="503"/>
      <c r="AZ83" s="503"/>
      <c r="BA83" s="504"/>
      <c r="BB83" s="505"/>
      <c r="BC83" s="502"/>
      <c r="BD83" s="502"/>
      <c r="BE83" s="502"/>
      <c r="BF83" s="502"/>
      <c r="BH83" s="1536">
        <f t="shared" si="9"/>
        <v>0</v>
      </c>
      <c r="BJ83" s="489">
        <v>0</v>
      </c>
    </row>
    <row r="84" spans="1:63" x14ac:dyDescent="0.3">
      <c r="B84" s="498" t="s">
        <v>1148</v>
      </c>
      <c r="C84" s="498" t="s">
        <v>1149</v>
      </c>
      <c r="E84" s="499"/>
      <c r="F84" s="483"/>
      <c r="G84" s="500"/>
      <c r="H84" s="501"/>
      <c r="I84" s="500"/>
      <c r="J84" s="501"/>
      <c r="K84" s="500"/>
      <c r="L84" s="501"/>
      <c r="M84" s="500"/>
      <c r="N84" s="501"/>
      <c r="O84" s="500"/>
      <c r="P84" s="501"/>
      <c r="Q84" s="502"/>
      <c r="R84" s="502"/>
      <c r="S84" s="502"/>
      <c r="T84" s="502"/>
      <c r="U84" s="503"/>
      <c r="V84" s="502"/>
      <c r="W84" s="502"/>
      <c r="X84" s="502"/>
      <c r="Y84" s="503"/>
      <c r="Z84" s="504"/>
      <c r="AA84" s="505"/>
      <c r="AB84" s="504"/>
      <c r="AC84" s="505"/>
      <c r="AD84" s="504"/>
      <c r="AE84" s="503"/>
      <c r="AF84" s="505"/>
      <c r="AG84" s="504"/>
      <c r="AH84" s="505"/>
      <c r="AI84" s="504"/>
      <c r="AJ84" s="505"/>
      <c r="AK84" s="504"/>
      <c r="AL84" s="505"/>
      <c r="AM84" s="503"/>
      <c r="AN84" s="503"/>
      <c r="AO84" s="503"/>
      <c r="AP84" s="503"/>
      <c r="AQ84" s="503"/>
      <c r="AR84" s="503"/>
      <c r="AS84" s="504"/>
      <c r="AT84" s="505"/>
      <c r="AU84" s="503"/>
      <c r="AV84" s="503"/>
      <c r="AW84" s="504"/>
      <c r="AX84" s="505"/>
      <c r="AY84" s="503"/>
      <c r="AZ84" s="503"/>
      <c r="BA84" s="504"/>
      <c r="BB84" s="505"/>
      <c r="BC84" s="502"/>
      <c r="BD84" s="502"/>
      <c r="BE84" s="502"/>
      <c r="BF84" s="502"/>
      <c r="BH84" s="1536">
        <f t="shared" si="9"/>
        <v>0</v>
      </c>
      <c r="BJ84" s="489">
        <v>0</v>
      </c>
    </row>
    <row r="85" spans="1:63" x14ac:dyDescent="0.3">
      <c r="B85" s="498" t="s">
        <v>1150</v>
      </c>
      <c r="C85" s="498" t="s">
        <v>1151</v>
      </c>
      <c r="E85" s="499"/>
      <c r="F85" s="483"/>
      <c r="G85" s="500"/>
      <c r="H85" s="530"/>
      <c r="I85" s="500"/>
      <c r="J85" s="530"/>
      <c r="K85" s="500"/>
      <c r="L85" s="530"/>
      <c r="M85" s="500"/>
      <c r="N85" s="530"/>
      <c r="O85" s="500"/>
      <c r="P85" s="530"/>
      <c r="Q85" s="504"/>
      <c r="R85" s="504"/>
      <c r="S85" s="504"/>
      <c r="T85" s="504"/>
      <c r="U85" s="503"/>
      <c r="V85" s="504"/>
      <c r="W85" s="504"/>
      <c r="X85" s="504"/>
      <c r="Y85" s="503"/>
      <c r="Z85" s="504"/>
      <c r="AA85" s="503"/>
      <c r="AB85" s="504"/>
      <c r="AC85" s="503"/>
      <c r="AD85" s="504"/>
      <c r="AE85" s="503"/>
      <c r="AF85" s="503"/>
      <c r="AG85" s="504"/>
      <c r="AH85" s="503"/>
      <c r="AI85" s="504"/>
      <c r="AJ85" s="503"/>
      <c r="AK85" s="504"/>
      <c r="AL85" s="503"/>
      <c r="AM85" s="503"/>
      <c r="AN85" s="503"/>
      <c r="AO85" s="503"/>
      <c r="AP85" s="503"/>
      <c r="AQ85" s="503"/>
      <c r="AR85" s="503"/>
      <c r="AS85" s="504"/>
      <c r="AT85" s="503"/>
      <c r="AU85" s="503"/>
      <c r="AV85" s="503"/>
      <c r="AW85" s="504"/>
      <c r="AX85" s="503"/>
      <c r="AY85" s="503"/>
      <c r="AZ85" s="503"/>
      <c r="BA85" s="504"/>
      <c r="BB85" s="503"/>
      <c r="BC85" s="504"/>
      <c r="BD85" s="504"/>
      <c r="BE85" s="504"/>
      <c r="BF85" s="504"/>
      <c r="BH85" s="1536">
        <f t="shared" si="9"/>
        <v>0</v>
      </c>
      <c r="BJ85" s="489">
        <v>0</v>
      </c>
    </row>
    <row r="86" spans="1:63" x14ac:dyDescent="0.3">
      <c r="B86" s="498" t="s">
        <v>1152</v>
      </c>
      <c r="C86" s="498" t="s">
        <v>1153</v>
      </c>
      <c r="E86" s="499"/>
      <c r="F86" s="483"/>
      <c r="G86" s="500"/>
      <c r="H86" s="530"/>
      <c r="I86" s="500"/>
      <c r="J86" s="530"/>
      <c r="K86" s="500"/>
      <c r="L86" s="530"/>
      <c r="M86" s="500"/>
      <c r="N86" s="530"/>
      <c r="O86" s="500"/>
      <c r="P86" s="530"/>
      <c r="Q86" s="504"/>
      <c r="R86" s="504"/>
      <c r="S86" s="504"/>
      <c r="T86" s="504"/>
      <c r="U86" s="503"/>
      <c r="V86" s="504"/>
      <c r="W86" s="504"/>
      <c r="X86" s="504"/>
      <c r="Y86" s="503"/>
      <c r="Z86" s="504"/>
      <c r="AA86" s="503"/>
      <c r="AB86" s="504"/>
      <c r="AC86" s="503"/>
      <c r="AD86" s="504"/>
      <c r="AE86" s="503"/>
      <c r="AF86" s="503"/>
      <c r="AG86" s="504"/>
      <c r="AH86" s="503"/>
      <c r="AI86" s="504"/>
      <c r="AJ86" s="503"/>
      <c r="AK86" s="504"/>
      <c r="AL86" s="503"/>
      <c r="AM86" s="503"/>
      <c r="AN86" s="503"/>
      <c r="AO86" s="503"/>
      <c r="AP86" s="503"/>
      <c r="AQ86" s="503"/>
      <c r="AR86" s="503"/>
      <c r="AS86" s="504"/>
      <c r="AT86" s="503"/>
      <c r="AU86" s="503"/>
      <c r="AV86" s="503"/>
      <c r="AW86" s="504"/>
      <c r="AX86" s="503"/>
      <c r="AY86" s="503"/>
      <c r="AZ86" s="503"/>
      <c r="BA86" s="504"/>
      <c r="BB86" s="503"/>
      <c r="BC86" s="504"/>
      <c r="BD86" s="504"/>
      <c r="BE86" s="504"/>
      <c r="BF86" s="504"/>
      <c r="BH86" s="1536">
        <f t="shared" si="9"/>
        <v>0</v>
      </c>
      <c r="BJ86" s="489">
        <v>0</v>
      </c>
    </row>
    <row r="87" spans="1:63" x14ac:dyDescent="0.3">
      <c r="B87" s="498" t="s">
        <v>1154</v>
      </c>
      <c r="C87" s="498" t="s">
        <v>1155</v>
      </c>
      <c r="E87" s="499"/>
      <c r="F87" s="483"/>
      <c r="G87" s="500"/>
      <c r="H87" s="530"/>
      <c r="I87" s="500"/>
      <c r="J87" s="530"/>
      <c r="K87" s="500"/>
      <c r="L87" s="530"/>
      <c r="M87" s="500"/>
      <c r="N87" s="530"/>
      <c r="O87" s="500"/>
      <c r="P87" s="530"/>
      <c r="Q87" s="504"/>
      <c r="R87" s="504"/>
      <c r="S87" s="504"/>
      <c r="T87" s="504"/>
      <c r="U87" s="503"/>
      <c r="V87" s="504"/>
      <c r="W87" s="504"/>
      <c r="X87" s="504"/>
      <c r="Y87" s="503"/>
      <c r="Z87" s="504"/>
      <c r="AA87" s="503"/>
      <c r="AB87" s="504"/>
      <c r="AC87" s="503"/>
      <c r="AD87" s="504"/>
      <c r="AE87" s="503"/>
      <c r="AF87" s="503"/>
      <c r="AG87" s="504"/>
      <c r="AH87" s="503"/>
      <c r="AI87" s="504"/>
      <c r="AJ87" s="503"/>
      <c r="AK87" s="504"/>
      <c r="AL87" s="503"/>
      <c r="AM87" s="503"/>
      <c r="AN87" s="503"/>
      <c r="AO87" s="503"/>
      <c r="AP87" s="503"/>
      <c r="AQ87" s="503"/>
      <c r="AR87" s="503"/>
      <c r="AS87" s="504"/>
      <c r="AT87" s="503"/>
      <c r="AU87" s="503"/>
      <c r="AV87" s="503"/>
      <c r="AW87" s="504"/>
      <c r="AX87" s="503"/>
      <c r="AY87" s="503"/>
      <c r="AZ87" s="503"/>
      <c r="BA87" s="504"/>
      <c r="BB87" s="503"/>
      <c r="BC87" s="504"/>
      <c r="BD87" s="504"/>
      <c r="BE87" s="504"/>
      <c r="BF87" s="504"/>
      <c r="BH87" s="1536">
        <f t="shared" si="9"/>
        <v>0</v>
      </c>
      <c r="BJ87" s="489">
        <v>0</v>
      </c>
    </row>
    <row r="88" spans="1:63" x14ac:dyDescent="0.3">
      <c r="B88" s="498" t="s">
        <v>1156</v>
      </c>
      <c r="C88" s="498" t="s">
        <v>1157</v>
      </c>
      <c r="E88" s="499"/>
      <c r="F88" s="483"/>
      <c r="G88" s="500"/>
      <c r="H88" s="530"/>
      <c r="I88" s="500"/>
      <c r="J88" s="530"/>
      <c r="K88" s="500"/>
      <c r="L88" s="530"/>
      <c r="M88" s="500"/>
      <c r="N88" s="530"/>
      <c r="O88" s="500"/>
      <c r="P88" s="530"/>
      <c r="Q88" s="504"/>
      <c r="R88" s="504"/>
      <c r="S88" s="504"/>
      <c r="T88" s="504"/>
      <c r="U88" s="503"/>
      <c r="V88" s="504"/>
      <c r="W88" s="504"/>
      <c r="X88" s="504"/>
      <c r="Y88" s="503"/>
      <c r="Z88" s="504"/>
      <c r="AA88" s="503"/>
      <c r="AB88" s="504"/>
      <c r="AC88" s="503"/>
      <c r="AD88" s="504"/>
      <c r="AE88" s="503"/>
      <c r="AF88" s="503"/>
      <c r="AG88" s="504"/>
      <c r="AH88" s="503"/>
      <c r="AI88" s="504"/>
      <c r="AJ88" s="503"/>
      <c r="AK88" s="504"/>
      <c r="AL88" s="503"/>
      <c r="AM88" s="503"/>
      <c r="AN88" s="503"/>
      <c r="AO88" s="503"/>
      <c r="AP88" s="503"/>
      <c r="AQ88" s="503"/>
      <c r="AR88" s="503"/>
      <c r="AS88" s="504"/>
      <c r="AT88" s="503"/>
      <c r="AU88" s="503"/>
      <c r="AV88" s="503"/>
      <c r="AW88" s="504"/>
      <c r="AX88" s="503"/>
      <c r="AY88" s="503"/>
      <c r="AZ88" s="503"/>
      <c r="BA88" s="504"/>
      <c r="BB88" s="503"/>
      <c r="BC88" s="504"/>
      <c r="BD88" s="504"/>
      <c r="BE88" s="504"/>
      <c r="BF88" s="504"/>
      <c r="BH88" s="1536">
        <f t="shared" si="9"/>
        <v>0</v>
      </c>
      <c r="BJ88" s="489">
        <v>0</v>
      </c>
    </row>
    <row r="89" spans="1:63" s="6" customFormat="1" ht="21.9" customHeight="1" thickBot="1" x14ac:dyDescent="0.35">
      <c r="B89" s="507" t="s">
        <v>1158</v>
      </c>
      <c r="C89" s="507" t="s">
        <v>1159</v>
      </c>
      <c r="D89" s="527"/>
      <c r="E89" s="513">
        <f>+E64+E65</f>
        <v>732.07663000000002</v>
      </c>
      <c r="F89" s="509"/>
      <c r="G89" s="510">
        <f>+SUM(G64:G88)</f>
        <v>0</v>
      </c>
      <c r="H89" s="510">
        <f t="shared" ref="H89:P89" si="10">+SUM(H64:H88)</f>
        <v>0</v>
      </c>
      <c r="I89" s="510">
        <f t="shared" si="10"/>
        <v>0</v>
      </c>
      <c r="J89" s="510">
        <f t="shared" si="10"/>
        <v>0</v>
      </c>
      <c r="K89" s="510">
        <f t="shared" si="10"/>
        <v>0</v>
      </c>
      <c r="L89" s="510">
        <f t="shared" si="10"/>
        <v>0</v>
      </c>
      <c r="M89" s="510">
        <f t="shared" si="10"/>
        <v>0</v>
      </c>
      <c r="N89" s="510">
        <f t="shared" si="10"/>
        <v>0</v>
      </c>
      <c r="O89" s="510">
        <f t="shared" si="10"/>
        <v>0</v>
      </c>
      <c r="P89" s="510">
        <f t="shared" si="10"/>
        <v>0</v>
      </c>
      <c r="Q89" s="510">
        <f t="shared" ref="Q89:BF89" si="11">+SUM(Q64:Q88)</f>
        <v>0</v>
      </c>
      <c r="R89" s="510">
        <f t="shared" si="11"/>
        <v>0</v>
      </c>
      <c r="S89" s="510">
        <f>+SUM(S64:S88)</f>
        <v>-533.177863</v>
      </c>
      <c r="T89" s="510">
        <f t="shared" si="11"/>
        <v>0</v>
      </c>
      <c r="U89" s="510">
        <f t="shared" si="11"/>
        <v>0</v>
      </c>
      <c r="V89" s="510">
        <f t="shared" si="11"/>
        <v>24399.507383</v>
      </c>
      <c r="W89" s="510">
        <f t="shared" si="11"/>
        <v>0</v>
      </c>
      <c r="X89" s="510">
        <f t="shared" si="11"/>
        <v>0</v>
      </c>
      <c r="Y89" s="510">
        <f t="shared" si="11"/>
        <v>0</v>
      </c>
      <c r="Z89" s="510">
        <f t="shared" si="11"/>
        <v>0</v>
      </c>
      <c r="AA89" s="510">
        <f t="shared" si="11"/>
        <v>0</v>
      </c>
      <c r="AB89" s="510">
        <f t="shared" si="11"/>
        <v>0</v>
      </c>
      <c r="AC89" s="510">
        <f t="shared" si="11"/>
        <v>0</v>
      </c>
      <c r="AD89" s="510">
        <f t="shared" si="11"/>
        <v>0</v>
      </c>
      <c r="AE89" s="510">
        <f t="shared" si="11"/>
        <v>0</v>
      </c>
      <c r="AF89" s="510">
        <f t="shared" si="11"/>
        <v>0</v>
      </c>
      <c r="AG89" s="510">
        <f t="shared" si="11"/>
        <v>0</v>
      </c>
      <c r="AH89" s="510">
        <f t="shared" si="11"/>
        <v>0</v>
      </c>
      <c r="AI89" s="510">
        <f t="shared" si="11"/>
        <v>0</v>
      </c>
      <c r="AJ89" s="510">
        <f t="shared" si="11"/>
        <v>0</v>
      </c>
      <c r="AK89" s="510">
        <f t="shared" si="11"/>
        <v>0</v>
      </c>
      <c r="AL89" s="510">
        <f t="shared" si="11"/>
        <v>0</v>
      </c>
      <c r="AM89" s="510">
        <f t="shared" si="11"/>
        <v>0</v>
      </c>
      <c r="AN89" s="510">
        <f t="shared" si="11"/>
        <v>0</v>
      </c>
      <c r="AO89" s="510">
        <f t="shared" si="11"/>
        <v>0</v>
      </c>
      <c r="AP89" s="510">
        <f t="shared" si="11"/>
        <v>0</v>
      </c>
      <c r="AQ89" s="510">
        <f t="shared" si="11"/>
        <v>0</v>
      </c>
      <c r="AR89" s="510">
        <f t="shared" si="11"/>
        <v>0</v>
      </c>
      <c r="AS89" s="510">
        <f t="shared" si="11"/>
        <v>0</v>
      </c>
      <c r="AT89" s="510">
        <f t="shared" si="11"/>
        <v>0</v>
      </c>
      <c r="AU89" s="510">
        <f t="shared" si="11"/>
        <v>0</v>
      </c>
      <c r="AV89" s="510">
        <f t="shared" si="11"/>
        <v>0</v>
      </c>
      <c r="AW89" s="510">
        <f t="shared" si="11"/>
        <v>0</v>
      </c>
      <c r="AX89" s="510">
        <f t="shared" si="11"/>
        <v>0</v>
      </c>
      <c r="AY89" s="510">
        <f t="shared" si="11"/>
        <v>0</v>
      </c>
      <c r="AZ89" s="510">
        <f t="shared" si="11"/>
        <v>0</v>
      </c>
      <c r="BA89" s="510">
        <f t="shared" si="11"/>
        <v>0</v>
      </c>
      <c r="BB89" s="510">
        <f t="shared" si="11"/>
        <v>0</v>
      </c>
      <c r="BC89" s="510">
        <f t="shared" si="11"/>
        <v>0</v>
      </c>
      <c r="BD89" s="510">
        <f t="shared" si="11"/>
        <v>0</v>
      </c>
      <c r="BE89" s="510">
        <f t="shared" si="11"/>
        <v>0</v>
      </c>
      <c r="BF89" s="510">
        <f t="shared" si="11"/>
        <v>0</v>
      </c>
      <c r="BG89" s="527"/>
      <c r="BH89" s="1540">
        <f>+SUM(BH64:BH88)</f>
        <v>24598.406149999999</v>
      </c>
      <c r="BJ89" s="528">
        <v>22941.136057</v>
      </c>
    </row>
    <row r="90" spans="1:63" ht="12" customHeight="1" x14ac:dyDescent="0.3">
      <c r="E90" s="490"/>
      <c r="F90" s="483"/>
      <c r="G90" s="491"/>
      <c r="H90" s="492"/>
      <c r="I90" s="491"/>
      <c r="J90" s="492"/>
      <c r="K90" s="491"/>
      <c r="L90" s="492"/>
      <c r="M90" s="491"/>
      <c r="N90" s="492"/>
      <c r="O90" s="491"/>
      <c r="P90" s="492"/>
      <c r="Q90" s="493"/>
      <c r="R90" s="493"/>
      <c r="S90" s="493"/>
      <c r="T90" s="493"/>
      <c r="U90" s="494"/>
      <c r="V90" s="493"/>
      <c r="W90" s="493"/>
      <c r="X90" s="493"/>
      <c r="Y90" s="494"/>
      <c r="Z90" s="495"/>
      <c r="AA90" s="496"/>
      <c r="AB90" s="495"/>
      <c r="AC90" s="496"/>
      <c r="AD90" s="495"/>
      <c r="AE90" s="494"/>
      <c r="AF90" s="496"/>
      <c r="AG90" s="495"/>
      <c r="AH90" s="496"/>
      <c r="AI90" s="495"/>
      <c r="AJ90" s="496"/>
      <c r="AK90" s="495"/>
      <c r="AL90" s="496"/>
      <c r="AM90" s="494"/>
      <c r="AN90" s="494"/>
      <c r="AO90" s="494"/>
      <c r="AP90" s="494"/>
      <c r="AQ90" s="494"/>
      <c r="AR90" s="494"/>
      <c r="AS90" s="495"/>
      <c r="AT90" s="496"/>
      <c r="AU90" s="494"/>
      <c r="AV90" s="494"/>
      <c r="AW90" s="495"/>
      <c r="AX90" s="496"/>
      <c r="AY90" s="494"/>
      <c r="AZ90" s="494"/>
      <c r="BA90" s="495"/>
      <c r="BB90" s="496"/>
      <c r="BC90" s="493"/>
      <c r="BD90" s="493"/>
      <c r="BE90" s="493"/>
      <c r="BF90" s="493"/>
      <c r="BH90" s="1535"/>
      <c r="BJ90" s="489"/>
    </row>
    <row r="91" spans="1:63" x14ac:dyDescent="0.3">
      <c r="B91" s="498" t="s">
        <v>1160</v>
      </c>
      <c r="C91" s="498" t="s">
        <v>1161</v>
      </c>
      <c r="E91" s="499"/>
      <c r="F91" s="483"/>
      <c r="G91" s="500"/>
      <c r="H91" s="501"/>
      <c r="I91" s="500"/>
      <c r="J91" s="501"/>
      <c r="K91" s="500"/>
      <c r="L91" s="501"/>
      <c r="M91" s="500"/>
      <c r="N91" s="501"/>
      <c r="O91" s="500"/>
      <c r="P91" s="501"/>
      <c r="Q91" s="502"/>
      <c r="R91" s="502"/>
      <c r="S91" s="502"/>
      <c r="T91" s="502"/>
      <c r="U91" s="503"/>
      <c r="V91" s="502">
        <f>-272.2492342804-12.8035080109648-17.8706515617857+8.88341999999997-65.9909429906782-15.7181490615539</f>
        <v>-375.74906590538262</v>
      </c>
      <c r="W91" s="502"/>
      <c r="X91" s="502"/>
      <c r="Y91" s="503"/>
      <c r="Z91" s="504">
        <f>1196.5+60.0905809212002</f>
        <v>1256.5905809212002</v>
      </c>
      <c r="AA91" s="503"/>
      <c r="AB91" s="531">
        <f>14.5406352-45.9189486081465-0.00410000000008992</f>
        <v>-31.38241340814659</v>
      </c>
      <c r="AC91" s="505"/>
      <c r="AD91" s="504">
        <v>-118.2</v>
      </c>
      <c r="AE91" s="503"/>
      <c r="AF91" s="505"/>
      <c r="AG91" s="504">
        <f>22.4371934980207+118.479658813628+103.808562344267+79.5085172930197+60.2721514962443+53.2377370691671</f>
        <v>437.74382051434679</v>
      </c>
      <c r="AH91" s="505">
        <f>-'Passage Actif BC '!AH30*30%</f>
        <v>68.848216542875008</v>
      </c>
      <c r="AI91" s="504"/>
      <c r="AJ91" s="505"/>
      <c r="AK91" s="504"/>
      <c r="AL91" s="505"/>
      <c r="AM91" s="503"/>
      <c r="AN91" s="503"/>
      <c r="AO91" s="503"/>
      <c r="AP91" s="503"/>
      <c r="AQ91" s="503">
        <v>158.92853824600002</v>
      </c>
      <c r="AR91" s="503"/>
      <c r="AS91" s="504"/>
      <c r="AT91" s="505"/>
      <c r="AU91" s="503"/>
      <c r="AV91" s="503"/>
      <c r="AW91" s="504"/>
      <c r="AX91" s="505"/>
      <c r="AY91" s="503"/>
      <c r="AZ91" s="503"/>
      <c r="BA91" s="504"/>
      <c r="BB91" s="505"/>
      <c r="BC91" s="502"/>
      <c r="BD91" s="502">
        <v>1231.5999999999999</v>
      </c>
      <c r="BE91" s="502"/>
      <c r="BF91" s="1720">
        <v>-368.4</v>
      </c>
      <c r="BH91" s="1536">
        <f>SUM(E91:BG91)</f>
        <v>2259.9796769108925</v>
      </c>
      <c r="BJ91" s="489">
        <v>2237.9183141798908</v>
      </c>
    </row>
    <row r="92" spans="1:63" x14ac:dyDescent="0.3">
      <c r="B92" s="498" t="s">
        <v>1162</v>
      </c>
      <c r="C92" s="498" t="s">
        <v>1163</v>
      </c>
      <c r="E92" s="499"/>
      <c r="F92" s="483"/>
      <c r="G92" s="500"/>
      <c r="H92" s="501"/>
      <c r="I92" s="500"/>
      <c r="J92" s="501"/>
      <c r="K92" s="500"/>
      <c r="L92" s="501"/>
      <c r="M92" s="500"/>
      <c r="N92" s="501"/>
      <c r="O92" s="500"/>
      <c r="P92" s="501"/>
      <c r="Q92" s="502"/>
      <c r="R92" s="502"/>
      <c r="S92" s="502"/>
      <c r="T92" s="1718"/>
      <c r="U92" s="503"/>
      <c r="V92" s="502"/>
      <c r="W92" s="502"/>
      <c r="X92" s="502"/>
      <c r="Y92" s="503"/>
      <c r="Z92" s="504"/>
      <c r="AA92" s="505"/>
      <c r="AB92" s="504"/>
      <c r="AC92" s="505"/>
      <c r="AD92" s="504"/>
      <c r="AE92" s="503"/>
      <c r="AF92" s="505"/>
      <c r="AG92" s="504"/>
      <c r="AH92" s="505"/>
      <c r="AI92" s="504"/>
      <c r="AJ92" s="505"/>
      <c r="AK92" s="504"/>
      <c r="AL92" s="505"/>
      <c r="AM92" s="503"/>
      <c r="AN92" s="503"/>
      <c r="AO92" s="503"/>
      <c r="AP92" s="503"/>
      <c r="AQ92" s="503"/>
      <c r="AR92" s="503"/>
      <c r="AS92" s="504"/>
      <c r="AT92" s="505"/>
      <c r="AU92" s="503"/>
      <c r="AV92" s="503"/>
      <c r="AW92" s="504"/>
      <c r="AX92" s="505"/>
      <c r="AY92" s="503"/>
      <c r="AZ92" s="503"/>
      <c r="BA92" s="504"/>
      <c r="BB92" s="505"/>
      <c r="BC92" s="502"/>
      <c r="BD92" s="502">
        <v>885.2</v>
      </c>
      <c r="BE92" s="502"/>
      <c r="BF92" s="502"/>
      <c r="BH92" s="1536">
        <f>SUM(E92:BG92)</f>
        <v>885.2</v>
      </c>
      <c r="BJ92" s="489">
        <v>885.2</v>
      </c>
    </row>
    <row r="93" spans="1:63" s="6" customFormat="1" ht="21.9" customHeight="1" thickBot="1" x14ac:dyDescent="0.35">
      <c r="B93" s="507" t="s">
        <v>1164</v>
      </c>
      <c r="C93" s="507" t="s">
        <v>1165</v>
      </c>
      <c r="D93" s="527"/>
      <c r="E93" s="508"/>
      <c r="F93" s="509"/>
      <c r="G93" s="510">
        <f t="shared" ref="G93:BF93" si="12">+G91+G92</f>
        <v>0</v>
      </c>
      <c r="H93" s="511">
        <f t="shared" si="12"/>
        <v>0</v>
      </c>
      <c r="I93" s="510">
        <f t="shared" si="12"/>
        <v>0</v>
      </c>
      <c r="J93" s="511">
        <f t="shared" si="12"/>
        <v>0</v>
      </c>
      <c r="K93" s="510">
        <f t="shared" si="12"/>
        <v>0</v>
      </c>
      <c r="L93" s="511">
        <f t="shared" si="12"/>
        <v>0</v>
      </c>
      <c r="M93" s="510">
        <f t="shared" si="12"/>
        <v>0</v>
      </c>
      <c r="N93" s="511">
        <f t="shared" si="12"/>
        <v>0</v>
      </c>
      <c r="O93" s="510">
        <f t="shared" si="12"/>
        <v>0</v>
      </c>
      <c r="P93" s="511">
        <f t="shared" si="12"/>
        <v>0</v>
      </c>
      <c r="Q93" s="512">
        <f t="shared" si="12"/>
        <v>0</v>
      </c>
      <c r="R93" s="512">
        <f t="shared" si="12"/>
        <v>0</v>
      </c>
      <c r="S93" s="512">
        <f t="shared" si="12"/>
        <v>0</v>
      </c>
      <c r="T93" s="512">
        <f t="shared" si="12"/>
        <v>0</v>
      </c>
      <c r="U93" s="513">
        <f t="shared" si="12"/>
        <v>0</v>
      </c>
      <c r="V93" s="512">
        <f t="shared" si="12"/>
        <v>-375.74906590538262</v>
      </c>
      <c r="W93" s="512">
        <f t="shared" si="12"/>
        <v>0</v>
      </c>
      <c r="X93" s="512">
        <f t="shared" si="12"/>
        <v>0</v>
      </c>
      <c r="Y93" s="513">
        <f t="shared" si="12"/>
        <v>0</v>
      </c>
      <c r="Z93" s="514">
        <f t="shared" si="12"/>
        <v>1256.5905809212002</v>
      </c>
      <c r="AA93" s="515">
        <f t="shared" si="12"/>
        <v>0</v>
      </c>
      <c r="AB93" s="514">
        <f t="shared" si="12"/>
        <v>-31.38241340814659</v>
      </c>
      <c r="AC93" s="515">
        <f t="shared" si="12"/>
        <v>0</v>
      </c>
      <c r="AD93" s="514">
        <f t="shared" si="12"/>
        <v>-118.2</v>
      </c>
      <c r="AE93" s="513">
        <f t="shared" si="12"/>
        <v>0</v>
      </c>
      <c r="AF93" s="515">
        <f t="shared" si="12"/>
        <v>0</v>
      </c>
      <c r="AG93" s="514">
        <f t="shared" si="12"/>
        <v>437.74382051434679</v>
      </c>
      <c r="AH93" s="515">
        <f t="shared" si="12"/>
        <v>68.848216542875008</v>
      </c>
      <c r="AI93" s="515">
        <f t="shared" si="12"/>
        <v>0</v>
      </c>
      <c r="AJ93" s="515">
        <f t="shared" si="12"/>
        <v>0</v>
      </c>
      <c r="AK93" s="515">
        <f t="shared" si="12"/>
        <v>0</v>
      </c>
      <c r="AL93" s="515">
        <f t="shared" si="12"/>
        <v>0</v>
      </c>
      <c r="AM93" s="515">
        <f t="shared" si="12"/>
        <v>0</v>
      </c>
      <c r="AN93" s="515">
        <f t="shared" si="12"/>
        <v>0</v>
      </c>
      <c r="AO93" s="515">
        <f t="shared" si="12"/>
        <v>0</v>
      </c>
      <c r="AP93" s="515">
        <f t="shared" si="12"/>
        <v>0</v>
      </c>
      <c r="AQ93" s="513">
        <f t="shared" si="12"/>
        <v>158.92853824600002</v>
      </c>
      <c r="AR93" s="513">
        <f t="shared" si="12"/>
        <v>0</v>
      </c>
      <c r="AS93" s="514">
        <f t="shared" si="12"/>
        <v>0</v>
      </c>
      <c r="AT93" s="515">
        <f t="shared" si="12"/>
        <v>0</v>
      </c>
      <c r="AU93" s="513">
        <f t="shared" si="12"/>
        <v>0</v>
      </c>
      <c r="AV93" s="513">
        <f t="shared" si="12"/>
        <v>0</v>
      </c>
      <c r="AW93" s="514">
        <f t="shared" si="12"/>
        <v>0</v>
      </c>
      <c r="AX93" s="515">
        <f t="shared" si="12"/>
        <v>0</v>
      </c>
      <c r="AY93" s="513">
        <f t="shared" si="12"/>
        <v>0</v>
      </c>
      <c r="AZ93" s="513">
        <f t="shared" si="12"/>
        <v>0</v>
      </c>
      <c r="BA93" s="514">
        <f t="shared" si="12"/>
        <v>0</v>
      </c>
      <c r="BB93" s="515">
        <f t="shared" si="12"/>
        <v>0</v>
      </c>
      <c r="BC93" s="512">
        <f>+BC91+BC92</f>
        <v>0</v>
      </c>
      <c r="BD93" s="512">
        <f t="shared" si="12"/>
        <v>2116.8000000000002</v>
      </c>
      <c r="BE93" s="512">
        <f t="shared" si="12"/>
        <v>0</v>
      </c>
      <c r="BF93" s="512">
        <f t="shared" si="12"/>
        <v>-368.4</v>
      </c>
      <c r="BG93" s="527"/>
      <c r="BH93" s="1537">
        <f>+BH92+BH91</f>
        <v>3145.1796769108923</v>
      </c>
      <c r="BJ93" s="528">
        <v>3123.1183141798911</v>
      </c>
    </row>
    <row r="94" spans="1:63" ht="12" customHeight="1" thickBot="1" x14ac:dyDescent="0.35">
      <c r="E94" s="490"/>
      <c r="F94" s="483"/>
      <c r="G94" s="491"/>
      <c r="H94" s="492"/>
      <c r="I94" s="491"/>
      <c r="J94" s="492"/>
      <c r="K94" s="491"/>
      <c r="L94" s="492"/>
      <c r="M94" s="491"/>
      <c r="N94" s="492"/>
      <c r="O94" s="491"/>
      <c r="P94" s="492"/>
      <c r="Q94" s="493"/>
      <c r="R94" s="493"/>
      <c r="S94" s="493"/>
      <c r="T94" s="493"/>
      <c r="U94" s="494"/>
      <c r="V94" s="493"/>
      <c r="W94" s="493"/>
      <c r="X94" s="493"/>
      <c r="Y94" s="494"/>
      <c r="Z94" s="495"/>
      <c r="AA94" s="496"/>
      <c r="AB94" s="495"/>
      <c r="AC94" s="496"/>
      <c r="AD94" s="495"/>
      <c r="AE94" s="494"/>
      <c r="AF94" s="496"/>
      <c r="AG94" s="495"/>
      <c r="AH94" s="496"/>
      <c r="AI94" s="495"/>
      <c r="AJ94" s="496"/>
      <c r="AK94" s="495"/>
      <c r="AL94" s="496"/>
      <c r="AM94" s="494"/>
      <c r="AN94" s="494"/>
      <c r="AO94" s="494"/>
      <c r="AP94" s="494"/>
      <c r="AQ94" s="494"/>
      <c r="AR94" s="494"/>
      <c r="AS94" s="495"/>
      <c r="AT94" s="496"/>
      <c r="AU94" s="494"/>
      <c r="AV94" s="494"/>
      <c r="AW94" s="495"/>
      <c r="AX94" s="496"/>
      <c r="AY94" s="494"/>
      <c r="AZ94" s="494"/>
      <c r="BA94" s="495"/>
      <c r="BB94" s="496"/>
      <c r="BC94" s="493"/>
      <c r="BD94" s="493"/>
      <c r="BE94" s="493"/>
      <c r="BF94" s="493"/>
      <c r="BH94" s="1535"/>
      <c r="BJ94" s="489"/>
    </row>
    <row r="95" spans="1:63" s="538" customFormat="1" ht="26.25" customHeight="1" thickBot="1" x14ac:dyDescent="0.35">
      <c r="A95" s="532"/>
      <c r="B95" s="533" t="s">
        <v>1166</v>
      </c>
      <c r="C95" s="534" t="s">
        <v>1167</v>
      </c>
      <c r="D95" s="535"/>
      <c r="E95" s="536">
        <f>+E93+E89+E62+E37+E12+E7+E8</f>
        <v>106447.77248499999</v>
      </c>
      <c r="F95" s="483"/>
      <c r="G95" s="537">
        <f t="shared" ref="G95:BF95" si="13">+G93+G89+G62+G37+G12+G7+G8</f>
        <v>0</v>
      </c>
      <c r="H95" s="537">
        <f t="shared" si="13"/>
        <v>0</v>
      </c>
      <c r="I95" s="537">
        <f t="shared" si="13"/>
        <v>0</v>
      </c>
      <c r="J95" s="537">
        <f t="shared" si="13"/>
        <v>0</v>
      </c>
      <c r="K95" s="537">
        <f t="shared" si="13"/>
        <v>0</v>
      </c>
      <c r="L95" s="537">
        <f t="shared" si="13"/>
        <v>0</v>
      </c>
      <c r="M95" s="537">
        <f t="shared" si="13"/>
        <v>0</v>
      </c>
      <c r="N95" s="537">
        <f t="shared" si="13"/>
        <v>0</v>
      </c>
      <c r="O95" s="537">
        <f t="shared" si="13"/>
        <v>0</v>
      </c>
      <c r="P95" s="537">
        <f t="shared" si="13"/>
        <v>0</v>
      </c>
      <c r="Q95" s="537">
        <f t="shared" si="13"/>
        <v>7.503331289626658E-12</v>
      </c>
      <c r="R95" s="537">
        <f t="shared" si="13"/>
        <v>0</v>
      </c>
      <c r="S95" s="537">
        <f t="shared" si="13"/>
        <v>-533.177863</v>
      </c>
      <c r="T95" s="537">
        <f t="shared" si="13"/>
        <v>0</v>
      </c>
      <c r="U95" s="537">
        <f t="shared" si="13"/>
        <v>0</v>
      </c>
      <c r="V95" s="537">
        <f t="shared" si="13"/>
        <v>24023.758317094616</v>
      </c>
      <c r="W95" s="537">
        <f t="shared" si="13"/>
        <v>0</v>
      </c>
      <c r="X95" s="537">
        <f t="shared" si="13"/>
        <v>0</v>
      </c>
      <c r="Y95" s="537">
        <f t="shared" si="13"/>
        <v>0</v>
      </c>
      <c r="Z95" s="537">
        <f t="shared" si="13"/>
        <v>1256.5905809212002</v>
      </c>
      <c r="AA95" s="537">
        <f t="shared" si="13"/>
        <v>0</v>
      </c>
      <c r="AB95" s="537">
        <f t="shared" si="13"/>
        <v>-31.38241340814659</v>
      </c>
      <c r="AC95" s="537">
        <f t="shared" si="13"/>
        <v>0</v>
      </c>
      <c r="AD95" s="537">
        <f t="shared" si="13"/>
        <v>2951.0918429112403</v>
      </c>
      <c r="AE95" s="537">
        <f t="shared" si="13"/>
        <v>759.49458200000004</v>
      </c>
      <c r="AF95" s="537">
        <f t="shared" si="13"/>
        <v>0</v>
      </c>
      <c r="AG95" s="537">
        <f t="shared" si="13"/>
        <v>-1723.0393137680903</v>
      </c>
      <c r="AH95" s="537">
        <f t="shared" si="13"/>
        <v>-160.64583860004169</v>
      </c>
      <c r="AI95" s="537">
        <f t="shared" si="13"/>
        <v>0</v>
      </c>
      <c r="AJ95" s="537">
        <f t="shared" si="13"/>
        <v>0</v>
      </c>
      <c r="AK95" s="537">
        <f t="shared" si="13"/>
        <v>0</v>
      </c>
      <c r="AL95" s="537">
        <f t="shared" si="13"/>
        <v>0</v>
      </c>
      <c r="AM95" s="537">
        <f t="shared" si="13"/>
        <v>6303.7094269999998</v>
      </c>
      <c r="AN95" s="537">
        <f t="shared" si="13"/>
        <v>434.4155609999998</v>
      </c>
      <c r="AO95" s="537">
        <f t="shared" si="13"/>
        <v>-4071.7676349999997</v>
      </c>
      <c r="AP95" s="537">
        <f t="shared" si="13"/>
        <v>-805.85368700000004</v>
      </c>
      <c r="AQ95" s="537">
        <f t="shared" si="13"/>
        <v>158.92853824600002</v>
      </c>
      <c r="AR95" s="537">
        <f t="shared" si="13"/>
        <v>0</v>
      </c>
      <c r="AS95" s="537">
        <f t="shared" si="13"/>
        <v>0</v>
      </c>
      <c r="AT95" s="537">
        <f t="shared" si="13"/>
        <v>0</v>
      </c>
      <c r="AU95" s="537">
        <f t="shared" si="13"/>
        <v>0</v>
      </c>
      <c r="AV95" s="537">
        <f t="shared" si="13"/>
        <v>0</v>
      </c>
      <c r="AW95" s="537">
        <f t="shared" si="13"/>
        <v>0</v>
      </c>
      <c r="AX95" s="537">
        <f t="shared" si="13"/>
        <v>0</v>
      </c>
      <c r="AY95" s="537">
        <f t="shared" si="13"/>
        <v>0</v>
      </c>
      <c r="AZ95" s="537">
        <f t="shared" si="13"/>
        <v>0</v>
      </c>
      <c r="BA95" s="537">
        <f t="shared" si="13"/>
        <v>0</v>
      </c>
      <c r="BB95" s="537">
        <f t="shared" si="13"/>
        <v>0</v>
      </c>
      <c r="BC95" s="537">
        <f t="shared" si="13"/>
        <v>26399</v>
      </c>
      <c r="BD95" s="537">
        <f t="shared" si="13"/>
        <v>2116.8000000000002</v>
      </c>
      <c r="BE95" s="537">
        <f t="shared" si="13"/>
        <v>0</v>
      </c>
      <c r="BF95" s="537">
        <f t="shared" si="13"/>
        <v>917.45642204198759</v>
      </c>
      <c r="BG95" s="535"/>
      <c r="BH95" s="1541">
        <f>+BH93+BH89+BH62+BH37+BH12+BH7+BH8</f>
        <v>164443.15100543876</v>
      </c>
      <c r="BJ95" s="539">
        <v>159759.9216613858</v>
      </c>
    </row>
    <row r="96" spans="1:63" ht="12" customHeight="1" thickBot="1" x14ac:dyDescent="0.35">
      <c r="A96" s="540"/>
      <c r="B96" s="540"/>
      <c r="D96" s="541"/>
      <c r="E96" s="542"/>
      <c r="F96" s="543"/>
      <c r="G96" s="544"/>
      <c r="H96" s="545"/>
      <c r="I96" s="544"/>
      <c r="J96" s="545"/>
      <c r="K96" s="544"/>
      <c r="L96" s="545"/>
      <c r="M96" s="544"/>
      <c r="N96" s="545"/>
      <c r="O96" s="544"/>
      <c r="P96" s="545"/>
      <c r="Q96" s="546"/>
      <c r="R96" s="546"/>
      <c r="S96" s="546"/>
      <c r="T96" s="546"/>
      <c r="U96" s="547"/>
      <c r="V96" s="546"/>
      <c r="W96" s="546"/>
      <c r="X96" s="546"/>
      <c r="Y96" s="547"/>
      <c r="Z96" s="548"/>
      <c r="AA96" s="549"/>
      <c r="AB96" s="548"/>
      <c r="AC96" s="549"/>
      <c r="AD96" s="548"/>
      <c r="AE96" s="547"/>
      <c r="AF96" s="549"/>
      <c r="AG96" s="548"/>
      <c r="AH96" s="549"/>
      <c r="AI96" s="548"/>
      <c r="AJ96" s="549"/>
      <c r="AK96" s="548"/>
      <c r="AL96" s="549"/>
      <c r="AM96" s="547"/>
      <c r="AN96" s="547"/>
      <c r="AO96" s="547"/>
      <c r="AP96" s="547"/>
      <c r="AQ96" s="547"/>
      <c r="AR96" s="547"/>
      <c r="AS96" s="548"/>
      <c r="AT96" s="549"/>
      <c r="AU96" s="547"/>
      <c r="AV96" s="547"/>
      <c r="AW96" s="548"/>
      <c r="AX96" s="549"/>
      <c r="AY96" s="547"/>
      <c r="AZ96" s="547"/>
      <c r="BA96" s="548"/>
      <c r="BB96" s="549"/>
      <c r="BC96" s="546"/>
      <c r="BD96" s="546"/>
      <c r="BE96" s="546"/>
      <c r="BF96" s="546"/>
      <c r="BG96" s="541"/>
      <c r="BH96" s="1542"/>
      <c r="BI96" s="550"/>
      <c r="BJ96" s="551"/>
      <c r="BK96" s="550"/>
    </row>
    <row r="97" spans="1:63" ht="12" customHeight="1" x14ac:dyDescent="0.3">
      <c r="E97" s="490"/>
      <c r="F97" s="483"/>
      <c r="G97" s="491"/>
      <c r="H97" s="492"/>
      <c r="I97" s="491"/>
      <c r="J97" s="492"/>
      <c r="K97" s="491"/>
      <c r="L97" s="492"/>
      <c r="M97" s="491"/>
      <c r="N97" s="492"/>
      <c r="O97" s="491"/>
      <c r="P97" s="492"/>
      <c r="Q97" s="493"/>
      <c r="R97" s="493"/>
      <c r="S97" s="493"/>
      <c r="T97" s="493"/>
      <c r="U97" s="494"/>
      <c r="V97" s="493"/>
      <c r="W97" s="493"/>
      <c r="X97" s="493"/>
      <c r="Y97" s="494"/>
      <c r="Z97" s="495"/>
      <c r="AA97" s="496"/>
      <c r="AB97" s="495"/>
      <c r="AC97" s="496"/>
      <c r="AD97" s="495"/>
      <c r="AE97" s="494"/>
      <c r="AF97" s="496"/>
      <c r="AG97" s="495"/>
      <c r="AH97" s="496"/>
      <c r="AI97" s="495"/>
      <c r="AJ97" s="496"/>
      <c r="AK97" s="495"/>
      <c r="AL97" s="496"/>
      <c r="AM97" s="494"/>
      <c r="AN97" s="494"/>
      <c r="AO97" s="494"/>
      <c r="AP97" s="494"/>
      <c r="AQ97" s="494"/>
      <c r="AR97" s="494"/>
      <c r="AS97" s="495"/>
      <c r="AT97" s="496"/>
      <c r="AU97" s="494"/>
      <c r="AV97" s="494"/>
      <c r="AW97" s="495"/>
      <c r="AX97" s="496"/>
      <c r="AY97" s="494"/>
      <c r="AZ97" s="494"/>
      <c r="BA97" s="495"/>
      <c r="BB97" s="496"/>
      <c r="BC97" s="493"/>
      <c r="BD97" s="493"/>
      <c r="BE97" s="493"/>
      <c r="BF97" s="493"/>
      <c r="BH97" s="1535"/>
      <c r="BJ97" s="489"/>
    </row>
    <row r="98" spans="1:63" x14ac:dyDescent="0.3">
      <c r="C98" s="480" t="s">
        <v>1168</v>
      </c>
      <c r="E98" s="482">
        <f>+'Bilan Actif'!F29/10^6</f>
        <v>2447.1734900000001</v>
      </c>
      <c r="F98" s="552"/>
      <c r="G98" s="484"/>
      <c r="H98" s="485"/>
      <c r="I98" s="484"/>
      <c r="J98" s="485"/>
      <c r="K98" s="484"/>
      <c r="L98" s="485"/>
      <c r="M98" s="484"/>
      <c r="N98" s="485"/>
      <c r="O98" s="484"/>
      <c r="P98" s="485"/>
      <c r="Q98" s="486"/>
      <c r="R98" s="486"/>
      <c r="S98" s="486"/>
      <c r="T98" s="1719">
        <f>-E98</f>
        <v>-2447.1734900000001</v>
      </c>
      <c r="U98" s="482"/>
      <c r="V98" s="486"/>
      <c r="W98" s="486"/>
      <c r="X98" s="486"/>
      <c r="Y98" s="482"/>
      <c r="Z98" s="487"/>
      <c r="AA98" s="488"/>
      <c r="AB98" s="487"/>
      <c r="AC98" s="488"/>
      <c r="AD98" s="487"/>
      <c r="AE98" s="482"/>
      <c r="AF98" s="488"/>
      <c r="AG98" s="487"/>
      <c r="AH98" s="488"/>
      <c r="AI98" s="487"/>
      <c r="AJ98" s="488"/>
      <c r="AK98" s="487"/>
      <c r="AL98" s="488"/>
      <c r="AM98" s="482"/>
      <c r="AN98" s="482"/>
      <c r="AO98" s="482"/>
      <c r="AP98" s="482"/>
      <c r="AQ98" s="482"/>
      <c r="AR98" s="482"/>
      <c r="AS98" s="487"/>
      <c r="AT98" s="488"/>
      <c r="AU98" s="482"/>
      <c r="AV98" s="482"/>
      <c r="AW98" s="487"/>
      <c r="AX98" s="488"/>
      <c r="AY98" s="482"/>
      <c r="AZ98" s="482"/>
      <c r="BA98" s="487"/>
      <c r="BB98" s="488"/>
      <c r="BC98" s="486"/>
      <c r="BD98" s="486"/>
      <c r="BE98" s="486"/>
      <c r="BF98" s="486"/>
      <c r="BH98" s="1534">
        <f>SUM(E98:BG98)</f>
        <v>0</v>
      </c>
      <c r="BJ98" s="489">
        <v>0</v>
      </c>
      <c r="BK98" s="1962"/>
    </row>
    <row r="99" spans="1:63" x14ac:dyDescent="0.3">
      <c r="C99" s="480"/>
      <c r="E99" s="482">
        <f>+'Bilan Actif'!F31/10^6</f>
        <v>0</v>
      </c>
      <c r="F99" s="552"/>
      <c r="G99" s="484"/>
      <c r="H99" s="485"/>
      <c r="I99" s="484"/>
      <c r="J99" s="485"/>
      <c r="K99" s="484"/>
      <c r="L99" s="485"/>
      <c r="M99" s="484"/>
      <c r="N99" s="485"/>
      <c r="O99" s="484"/>
      <c r="P99" s="485"/>
      <c r="Q99" s="486"/>
      <c r="R99" s="486"/>
      <c r="S99" s="486"/>
      <c r="T99" s="486">
        <f>-E99</f>
        <v>0</v>
      </c>
      <c r="U99" s="482"/>
      <c r="V99" s="486"/>
      <c r="W99" s="486"/>
      <c r="X99" s="486"/>
      <c r="Y99" s="482"/>
      <c r="Z99" s="487"/>
      <c r="AA99" s="488"/>
      <c r="AB99" s="487"/>
      <c r="AC99" s="488"/>
      <c r="AD99" s="487"/>
      <c r="AE99" s="482"/>
      <c r="AF99" s="488"/>
      <c r="AG99" s="487"/>
      <c r="AH99" s="488"/>
      <c r="AI99" s="487"/>
      <c r="AJ99" s="488"/>
      <c r="AK99" s="487"/>
      <c r="AL99" s="488"/>
      <c r="AM99" s="482"/>
      <c r="AN99" s="482"/>
      <c r="AO99" s="482"/>
      <c r="AP99" s="482"/>
      <c r="AQ99" s="482"/>
      <c r="AR99" s="482"/>
      <c r="AS99" s="487"/>
      <c r="AT99" s="488"/>
      <c r="AU99" s="482"/>
      <c r="AV99" s="482"/>
      <c r="AW99" s="487"/>
      <c r="AX99" s="488"/>
      <c r="AY99" s="482"/>
      <c r="AZ99" s="482"/>
      <c r="BA99" s="487"/>
      <c r="BB99" s="488"/>
      <c r="BC99" s="486"/>
      <c r="BD99" s="486"/>
      <c r="BE99" s="486"/>
      <c r="BF99" s="486"/>
      <c r="BH99" s="1534">
        <f>SUM(E99:BG99)</f>
        <v>0</v>
      </c>
      <c r="BJ99" s="489">
        <v>0</v>
      </c>
      <c r="BK99" s="1962"/>
    </row>
    <row r="100" spans="1:63" x14ac:dyDescent="0.3">
      <c r="C100" s="480"/>
      <c r="E100" s="482">
        <f>+'Bilan Actif'!F33/10^6</f>
        <v>0</v>
      </c>
      <c r="F100" s="552"/>
      <c r="G100" s="484"/>
      <c r="H100" s="485"/>
      <c r="I100" s="484"/>
      <c r="J100" s="485"/>
      <c r="K100" s="484"/>
      <c r="L100" s="485"/>
      <c r="M100" s="484"/>
      <c r="N100" s="485"/>
      <c r="O100" s="484"/>
      <c r="P100" s="485"/>
      <c r="Q100" s="486"/>
      <c r="R100" s="486"/>
      <c r="S100" s="486"/>
      <c r="T100" s="486">
        <f>-E100</f>
        <v>0</v>
      </c>
      <c r="U100" s="482"/>
      <c r="V100" s="486"/>
      <c r="W100" s="486"/>
      <c r="X100" s="486"/>
      <c r="Y100" s="482"/>
      <c r="Z100" s="487"/>
      <c r="AA100" s="488"/>
      <c r="AB100" s="487"/>
      <c r="AC100" s="488"/>
      <c r="AD100" s="487"/>
      <c r="AE100" s="482"/>
      <c r="AF100" s="488"/>
      <c r="AG100" s="487"/>
      <c r="AH100" s="488"/>
      <c r="AI100" s="487"/>
      <c r="AJ100" s="488"/>
      <c r="AK100" s="487"/>
      <c r="AL100" s="488"/>
      <c r="AM100" s="482"/>
      <c r="AN100" s="482"/>
      <c r="AO100" s="482"/>
      <c r="AP100" s="482"/>
      <c r="AQ100" s="482"/>
      <c r="AR100" s="482"/>
      <c r="AS100" s="487"/>
      <c r="AT100" s="488"/>
      <c r="AU100" s="482"/>
      <c r="AV100" s="482"/>
      <c r="AW100" s="487"/>
      <c r="AX100" s="488"/>
      <c r="AY100" s="482"/>
      <c r="AZ100" s="482"/>
      <c r="BA100" s="487"/>
      <c r="BB100" s="488"/>
      <c r="BC100" s="486"/>
      <c r="BD100" s="486"/>
      <c r="BE100" s="486"/>
      <c r="BF100" s="486"/>
      <c r="BH100" s="1534">
        <f>SUM(E100:BG100)</f>
        <v>0</v>
      </c>
      <c r="BJ100" s="489">
        <v>0</v>
      </c>
      <c r="BK100" s="1962"/>
    </row>
    <row r="101" spans="1:63" x14ac:dyDescent="0.3">
      <c r="C101" s="480"/>
      <c r="E101" s="482">
        <f>+'Bilan Actif'!F34/10^6</f>
        <v>0</v>
      </c>
      <c r="F101" s="552"/>
      <c r="G101" s="484"/>
      <c r="H101" s="485"/>
      <c r="I101" s="484"/>
      <c r="J101" s="485"/>
      <c r="K101" s="484"/>
      <c r="L101" s="485"/>
      <c r="M101" s="484"/>
      <c r="N101" s="485"/>
      <c r="O101" s="484"/>
      <c r="P101" s="485"/>
      <c r="Q101" s="486"/>
      <c r="R101" s="486"/>
      <c r="S101" s="486"/>
      <c r="T101" s="486">
        <f>-E101</f>
        <v>0</v>
      </c>
      <c r="U101" s="482"/>
      <c r="V101" s="486"/>
      <c r="W101" s="486"/>
      <c r="X101" s="486"/>
      <c r="Y101" s="482"/>
      <c r="Z101" s="487"/>
      <c r="AA101" s="488"/>
      <c r="AB101" s="487"/>
      <c r="AC101" s="488"/>
      <c r="AD101" s="487"/>
      <c r="AE101" s="482"/>
      <c r="AF101" s="488"/>
      <c r="AG101" s="487"/>
      <c r="AH101" s="488"/>
      <c r="AI101" s="487"/>
      <c r="AJ101" s="488"/>
      <c r="AK101" s="487"/>
      <c r="AL101" s="488"/>
      <c r="AM101" s="482"/>
      <c r="AN101" s="482"/>
      <c r="AO101" s="482"/>
      <c r="AP101" s="482"/>
      <c r="AQ101" s="482"/>
      <c r="AR101" s="482"/>
      <c r="AS101" s="487"/>
      <c r="AT101" s="488"/>
      <c r="AU101" s="482"/>
      <c r="AV101" s="482"/>
      <c r="AW101" s="487"/>
      <c r="AX101" s="488"/>
      <c r="AY101" s="482"/>
      <c r="AZ101" s="482"/>
      <c r="BA101" s="487"/>
      <c r="BB101" s="488"/>
      <c r="BC101" s="486"/>
      <c r="BD101" s="486"/>
      <c r="BE101" s="486"/>
      <c r="BF101" s="486"/>
      <c r="BH101" s="1534">
        <f>SUM(E101:BG101)</f>
        <v>0</v>
      </c>
      <c r="BJ101" s="489">
        <v>0</v>
      </c>
      <c r="BK101" s="1962"/>
    </row>
    <row r="102" spans="1:63" s="481" customFormat="1" ht="12" customHeight="1" x14ac:dyDescent="0.3">
      <c r="A102" s="467"/>
      <c r="B102" s="467"/>
      <c r="C102" s="467"/>
      <c r="E102" s="517"/>
      <c r="F102" s="483"/>
      <c r="G102" s="518"/>
      <c r="H102" s="519"/>
      <c r="I102" s="518"/>
      <c r="J102" s="519"/>
      <c r="K102" s="518"/>
      <c r="L102" s="519"/>
      <c r="M102" s="518"/>
      <c r="N102" s="519"/>
      <c r="O102" s="518"/>
      <c r="P102" s="519"/>
      <c r="Q102" s="520"/>
      <c r="R102" s="520"/>
      <c r="S102" s="520"/>
      <c r="T102" s="520"/>
      <c r="U102" s="521"/>
      <c r="V102" s="520"/>
      <c r="W102" s="520"/>
      <c r="X102" s="520"/>
      <c r="Y102" s="521"/>
      <c r="Z102" s="522"/>
      <c r="AA102" s="523"/>
      <c r="AB102" s="522"/>
      <c r="AC102" s="523"/>
      <c r="AD102" s="522"/>
      <c r="AE102" s="521"/>
      <c r="AF102" s="523"/>
      <c r="AG102" s="522"/>
      <c r="AH102" s="523"/>
      <c r="AI102" s="522"/>
      <c r="AJ102" s="523"/>
      <c r="AK102" s="522"/>
      <c r="AL102" s="523"/>
      <c r="AM102" s="521"/>
      <c r="AN102" s="521"/>
      <c r="AO102" s="521"/>
      <c r="AP102" s="521"/>
      <c r="AQ102" s="521"/>
      <c r="AR102" s="521"/>
      <c r="AS102" s="522"/>
      <c r="AT102" s="523"/>
      <c r="AU102" s="521"/>
      <c r="AV102" s="521"/>
      <c r="AW102" s="522"/>
      <c r="AX102" s="523"/>
      <c r="AY102" s="521"/>
      <c r="AZ102" s="521"/>
      <c r="BA102" s="522"/>
      <c r="BB102" s="523"/>
      <c r="BC102" s="520"/>
      <c r="BD102" s="520"/>
      <c r="BE102" s="520"/>
      <c r="BF102" s="520"/>
      <c r="BH102" s="1538"/>
      <c r="BJ102" s="489"/>
    </row>
    <row r="103" spans="1:63" s="481" customFormat="1" x14ac:dyDescent="0.3">
      <c r="A103" s="467"/>
      <c r="B103" s="498" t="s">
        <v>200</v>
      </c>
      <c r="C103" s="498" t="s">
        <v>1169</v>
      </c>
      <c r="E103" s="499"/>
      <c r="F103" s="483"/>
      <c r="G103" s="500"/>
      <c r="H103" s="501"/>
      <c r="I103" s="500"/>
      <c r="J103" s="501"/>
      <c r="K103" s="500"/>
      <c r="L103" s="501"/>
      <c r="M103" s="500"/>
      <c r="N103" s="501"/>
      <c r="O103" s="500"/>
      <c r="P103" s="501"/>
      <c r="Q103" s="502"/>
      <c r="R103" s="502"/>
      <c r="S103" s="502"/>
      <c r="T103" s="1720">
        <f>SUM('BG '!J99,'BG '!J100,'BG '!J104,'BG '!J105,'BG '!J107,'BG '!J108,'BG '!J109,'BG '!J110,'BG '!J101,'BG '!J102,'BG '!J103,'BG '!J106)/10^6</f>
        <v>2986.8941920000002</v>
      </c>
      <c r="U103" s="503"/>
      <c r="V103" s="502"/>
      <c r="W103" s="502"/>
      <c r="X103" s="502"/>
      <c r="Y103" s="503"/>
      <c r="Z103" s="504"/>
      <c r="AA103" s="505"/>
      <c r="AB103" s="504"/>
      <c r="AC103" s="505"/>
      <c r="AD103" s="553">
        <f>-SUM('BG '!F101,'BG '!F102,'BG '!F103)/1000000</f>
        <v>-232.66152199999999</v>
      </c>
      <c r="AE103" s="503">
        <f>-SUM('BG '!H452:I452)/10^6</f>
        <v>-759.49458200000004</v>
      </c>
      <c r="AF103" s="505">
        <f>-'Cartes SIM'!E7/1000000</f>
        <v>525.84003600000005</v>
      </c>
      <c r="AG103" s="504"/>
      <c r="AH103" s="505"/>
      <c r="AI103" s="504"/>
      <c r="AJ103" s="505"/>
      <c r="AK103" s="504"/>
      <c r="AL103" s="505"/>
      <c r="AM103" s="503"/>
      <c r="AN103" s="503"/>
      <c r="AO103" s="503"/>
      <c r="AP103" s="503"/>
      <c r="AQ103" s="503"/>
      <c r="AR103" s="503"/>
      <c r="AS103" s="504"/>
      <c r="AT103" s="505"/>
      <c r="AU103" s="503"/>
      <c r="AV103" s="503"/>
      <c r="AW103" s="504"/>
      <c r="AX103" s="505"/>
      <c r="AY103" s="503"/>
      <c r="AZ103" s="503"/>
      <c r="BA103" s="504"/>
      <c r="BB103" s="505"/>
      <c r="BC103" s="502"/>
      <c r="BD103" s="502"/>
      <c r="BE103" s="502"/>
      <c r="BF103" s="502"/>
      <c r="BH103" s="1536">
        <f>SUM(E103:BG103)</f>
        <v>2520.5781240000006</v>
      </c>
      <c r="BJ103" s="489">
        <v>2677.4743870000002</v>
      </c>
    </row>
    <row r="104" spans="1:63" s="481" customFormat="1" x14ac:dyDescent="0.3">
      <c r="A104" s="467"/>
      <c r="B104" s="498" t="s">
        <v>213</v>
      </c>
      <c r="C104" s="498" t="s">
        <v>1170</v>
      </c>
      <c r="E104" s="499"/>
      <c r="F104" s="483"/>
      <c r="G104" s="500"/>
      <c r="H104" s="501"/>
      <c r="I104" s="500"/>
      <c r="J104" s="501"/>
      <c r="K104" s="500"/>
      <c r="L104" s="501"/>
      <c r="M104" s="500"/>
      <c r="N104" s="501"/>
      <c r="O104" s="500"/>
      <c r="P104" s="501"/>
      <c r="Q104" s="502"/>
      <c r="R104" s="502"/>
      <c r="S104" s="502"/>
      <c r="T104" s="1720">
        <f>SUM('BG '!K111,'BG '!K112,'BG '!K113,'BG '!K114,'BG '!K115)/10^6</f>
        <v>-539.72070199999996</v>
      </c>
      <c r="U104" s="503"/>
      <c r="V104" s="502"/>
      <c r="W104" s="502"/>
      <c r="X104" s="502"/>
      <c r="Y104" s="503"/>
      <c r="Z104" s="504"/>
      <c r="AA104" s="505"/>
      <c r="AB104" s="504"/>
      <c r="AC104" s="505"/>
      <c r="AD104" s="504">
        <v>76.7</v>
      </c>
      <c r="AE104" s="503"/>
      <c r="AF104" s="505"/>
      <c r="AG104" s="504"/>
      <c r="AH104" s="505"/>
      <c r="AI104" s="504"/>
      <c r="AJ104" s="505"/>
      <c r="AK104" s="504"/>
      <c r="AL104" s="505"/>
      <c r="AM104" s="503"/>
      <c r="AN104" s="503"/>
      <c r="AO104" s="503"/>
      <c r="AP104" s="503"/>
      <c r="AQ104" s="503"/>
      <c r="AR104" s="503"/>
      <c r="AS104" s="504"/>
      <c r="AT104" s="505"/>
      <c r="AU104" s="503"/>
      <c r="AV104" s="503"/>
      <c r="AW104" s="504"/>
      <c r="AX104" s="505"/>
      <c r="AY104" s="503"/>
      <c r="AZ104" s="503"/>
      <c r="BA104" s="504"/>
      <c r="BB104" s="505"/>
      <c r="BC104" s="502"/>
      <c r="BD104" s="502"/>
      <c r="BE104" s="502"/>
      <c r="BF104" s="502"/>
      <c r="BH104" s="1536">
        <f>SUM(E104:BG104)</f>
        <v>-463.02070199999997</v>
      </c>
      <c r="BJ104" s="489">
        <v>-526.73854899999992</v>
      </c>
    </row>
    <row r="105" spans="1:63" s="6" customFormat="1" ht="21.9" customHeight="1" thickBot="1" x14ac:dyDescent="0.35">
      <c r="B105" s="507" t="s">
        <v>1171</v>
      </c>
      <c r="C105" s="507" t="s">
        <v>1172</v>
      </c>
      <c r="D105" s="527"/>
      <c r="E105" s="513">
        <f>+SUM(E98:E101)</f>
        <v>2447.1734900000001</v>
      </c>
      <c r="F105" s="509"/>
      <c r="G105" s="510">
        <f>SUM(G98:G104)</f>
        <v>0</v>
      </c>
      <c r="H105" s="510">
        <f t="shared" ref="H105:BH105" si="14">SUM(H98:H104)</f>
        <v>0</v>
      </c>
      <c r="I105" s="510">
        <f t="shared" si="14"/>
        <v>0</v>
      </c>
      <c r="J105" s="510">
        <f t="shared" si="14"/>
        <v>0</v>
      </c>
      <c r="K105" s="510">
        <f t="shared" si="14"/>
        <v>0</v>
      </c>
      <c r="L105" s="510">
        <f t="shared" si="14"/>
        <v>0</v>
      </c>
      <c r="M105" s="510">
        <f t="shared" si="14"/>
        <v>0</v>
      </c>
      <c r="N105" s="510">
        <f t="shared" si="14"/>
        <v>0</v>
      </c>
      <c r="O105" s="510">
        <f t="shared" si="14"/>
        <v>0</v>
      </c>
      <c r="P105" s="510">
        <f t="shared" si="14"/>
        <v>0</v>
      </c>
      <c r="Q105" s="510">
        <f t="shared" si="14"/>
        <v>0</v>
      </c>
      <c r="R105" s="510">
        <f t="shared" si="14"/>
        <v>0</v>
      </c>
      <c r="S105" s="510">
        <f t="shared" si="14"/>
        <v>0</v>
      </c>
      <c r="T105" s="510">
        <f>SUM(T98:T104)</f>
        <v>0</v>
      </c>
      <c r="U105" s="510">
        <f t="shared" si="14"/>
        <v>0</v>
      </c>
      <c r="V105" s="510">
        <f t="shared" si="14"/>
        <v>0</v>
      </c>
      <c r="W105" s="510">
        <f t="shared" si="14"/>
        <v>0</v>
      </c>
      <c r="X105" s="510">
        <f t="shared" si="14"/>
        <v>0</v>
      </c>
      <c r="Y105" s="510">
        <f t="shared" si="14"/>
        <v>0</v>
      </c>
      <c r="Z105" s="510">
        <f t="shared" si="14"/>
        <v>0</v>
      </c>
      <c r="AA105" s="510">
        <f t="shared" si="14"/>
        <v>0</v>
      </c>
      <c r="AB105" s="510">
        <f t="shared" si="14"/>
        <v>0</v>
      </c>
      <c r="AC105" s="510">
        <f t="shared" si="14"/>
        <v>0</v>
      </c>
      <c r="AD105" s="510">
        <f t="shared" si="14"/>
        <v>-155.961522</v>
      </c>
      <c r="AE105" s="510">
        <f>SUM(AE98:AE104)</f>
        <v>-759.49458200000004</v>
      </c>
      <c r="AF105" s="510">
        <f t="shared" si="14"/>
        <v>525.84003600000005</v>
      </c>
      <c r="AG105" s="510">
        <f t="shared" si="14"/>
        <v>0</v>
      </c>
      <c r="AH105" s="510">
        <f t="shared" si="14"/>
        <v>0</v>
      </c>
      <c r="AI105" s="510">
        <f t="shared" si="14"/>
        <v>0</v>
      </c>
      <c r="AJ105" s="510">
        <f t="shared" si="14"/>
        <v>0</v>
      </c>
      <c r="AK105" s="510">
        <f t="shared" si="14"/>
        <v>0</v>
      </c>
      <c r="AL105" s="510">
        <f t="shared" si="14"/>
        <v>0</v>
      </c>
      <c r="AM105" s="510">
        <f t="shared" si="14"/>
        <v>0</v>
      </c>
      <c r="AN105" s="510">
        <f t="shared" si="14"/>
        <v>0</v>
      </c>
      <c r="AO105" s="510">
        <f t="shared" si="14"/>
        <v>0</v>
      </c>
      <c r="AP105" s="510">
        <f t="shared" si="14"/>
        <v>0</v>
      </c>
      <c r="AQ105" s="510">
        <f t="shared" si="14"/>
        <v>0</v>
      </c>
      <c r="AR105" s="510">
        <f t="shared" si="14"/>
        <v>0</v>
      </c>
      <c r="AS105" s="510">
        <f t="shared" si="14"/>
        <v>0</v>
      </c>
      <c r="AT105" s="510">
        <f t="shared" si="14"/>
        <v>0</v>
      </c>
      <c r="AU105" s="510">
        <f t="shared" si="14"/>
        <v>0</v>
      </c>
      <c r="AV105" s="510">
        <f t="shared" si="14"/>
        <v>0</v>
      </c>
      <c r="AW105" s="510">
        <f t="shared" si="14"/>
        <v>0</v>
      </c>
      <c r="AX105" s="510">
        <f t="shared" si="14"/>
        <v>0</v>
      </c>
      <c r="AY105" s="510">
        <f t="shared" si="14"/>
        <v>0</v>
      </c>
      <c r="AZ105" s="510">
        <f t="shared" si="14"/>
        <v>0</v>
      </c>
      <c r="BA105" s="510">
        <f t="shared" si="14"/>
        <v>0</v>
      </c>
      <c r="BB105" s="510">
        <f t="shared" si="14"/>
        <v>0</v>
      </c>
      <c r="BC105" s="510">
        <f t="shared" si="14"/>
        <v>0</v>
      </c>
      <c r="BD105" s="510">
        <f t="shared" si="14"/>
        <v>0</v>
      </c>
      <c r="BE105" s="510">
        <f t="shared" si="14"/>
        <v>0</v>
      </c>
      <c r="BF105" s="510">
        <f t="shared" si="14"/>
        <v>0</v>
      </c>
      <c r="BG105" s="527"/>
      <c r="BH105" s="1540">
        <f t="shared" si="14"/>
        <v>2057.5574220000008</v>
      </c>
      <c r="BJ105" s="528">
        <v>2150.7358380000005</v>
      </c>
    </row>
    <row r="106" spans="1:63" ht="12" customHeight="1" x14ac:dyDescent="0.3">
      <c r="E106" s="490"/>
      <c r="F106" s="483"/>
      <c r="G106" s="491"/>
      <c r="H106" s="492"/>
      <c r="I106" s="491"/>
      <c r="J106" s="492"/>
      <c r="K106" s="491"/>
      <c r="L106" s="492"/>
      <c r="M106" s="491"/>
      <c r="N106" s="492"/>
      <c r="O106" s="491"/>
      <c r="P106" s="492"/>
      <c r="Q106" s="493"/>
      <c r="R106" s="493"/>
      <c r="S106" s="493"/>
      <c r="T106" s="493"/>
      <c r="U106" s="494"/>
      <c r="V106" s="493"/>
      <c r="W106" s="493"/>
      <c r="X106" s="493"/>
      <c r="Y106" s="494"/>
      <c r="Z106" s="495"/>
      <c r="AA106" s="496"/>
      <c r="AB106" s="495"/>
      <c r="AC106" s="496"/>
      <c r="AD106" s="495"/>
      <c r="AE106" s="494"/>
      <c r="AF106" s="496"/>
      <c r="AG106" s="495"/>
      <c r="AH106" s="496"/>
      <c r="AI106" s="495"/>
      <c r="AJ106" s="496"/>
      <c r="AK106" s="495"/>
      <c r="AL106" s="496"/>
      <c r="AM106" s="494"/>
      <c r="AN106" s="494"/>
      <c r="AO106" s="494"/>
      <c r="AP106" s="494"/>
      <c r="AQ106" s="494"/>
      <c r="AR106" s="494"/>
      <c r="AS106" s="495"/>
      <c r="AT106" s="496"/>
      <c r="AU106" s="494"/>
      <c r="AV106" s="494"/>
      <c r="AW106" s="495"/>
      <c r="AX106" s="496"/>
      <c r="AY106" s="494"/>
      <c r="AZ106" s="494"/>
      <c r="BA106" s="495"/>
      <c r="BB106" s="496"/>
      <c r="BC106" s="493"/>
      <c r="BD106" s="493"/>
      <c r="BE106" s="493"/>
      <c r="BF106" s="493"/>
      <c r="BH106" s="1535"/>
      <c r="BJ106" s="489"/>
    </row>
    <row r="107" spans="1:63" x14ac:dyDescent="0.3">
      <c r="B107" s="498" t="s">
        <v>326</v>
      </c>
      <c r="C107" s="498" t="s">
        <v>1173</v>
      </c>
      <c r="E107" s="499"/>
      <c r="F107" s="483"/>
      <c r="G107" s="500"/>
      <c r="H107" s="501"/>
      <c r="I107" s="500"/>
      <c r="J107" s="501"/>
      <c r="K107" s="500"/>
      <c r="L107" s="501"/>
      <c r="M107" s="500"/>
      <c r="N107" s="501"/>
      <c r="O107" s="500"/>
      <c r="P107" s="501"/>
      <c r="Q107" s="502"/>
      <c r="R107" s="502"/>
      <c r="S107" s="502"/>
      <c r="T107" s="502"/>
      <c r="U107" s="503"/>
      <c r="V107" s="502"/>
      <c r="W107" s="502"/>
      <c r="X107" s="502"/>
      <c r="Y107" s="503"/>
      <c r="Z107" s="504"/>
      <c r="AA107" s="505"/>
      <c r="AB107" s="504"/>
      <c r="AC107" s="505"/>
      <c r="AD107" s="504"/>
      <c r="AE107" s="503"/>
      <c r="AF107" s="505"/>
      <c r="AG107" s="504"/>
      <c r="AH107" s="505"/>
      <c r="AI107" s="504"/>
      <c r="AJ107" s="505"/>
      <c r="AK107" s="504"/>
      <c r="AL107" s="505"/>
      <c r="AM107" s="503"/>
      <c r="AN107" s="503"/>
      <c r="AO107" s="503"/>
      <c r="AP107" s="503"/>
      <c r="AQ107" s="503"/>
      <c r="AR107" s="503"/>
      <c r="AS107" s="504"/>
      <c r="AT107" s="505"/>
      <c r="AU107" s="503"/>
      <c r="AV107" s="503"/>
      <c r="AW107" s="504"/>
      <c r="AX107" s="505"/>
      <c r="AY107" s="503"/>
      <c r="AZ107" s="503"/>
      <c r="BA107" s="504"/>
      <c r="BB107" s="505"/>
      <c r="BC107" s="502"/>
      <c r="BD107" s="502"/>
      <c r="BE107" s="502"/>
      <c r="BF107" s="502"/>
      <c r="BH107" s="1536">
        <f>SUM(E107:BG107)</f>
        <v>0</v>
      </c>
      <c r="BJ107" s="489">
        <v>0</v>
      </c>
    </row>
    <row r="108" spans="1:63" s="6" customFormat="1" ht="21.9" customHeight="1" thickBot="1" x14ac:dyDescent="0.35">
      <c r="B108" s="507" t="s">
        <v>1174</v>
      </c>
      <c r="C108" s="507" t="s">
        <v>1175</v>
      </c>
      <c r="D108" s="527"/>
      <c r="E108" s="513"/>
      <c r="F108" s="509"/>
      <c r="G108" s="510">
        <f t="shared" ref="G108:BH108" si="15">+G107</f>
        <v>0</v>
      </c>
      <c r="H108" s="511">
        <f t="shared" si="15"/>
        <v>0</v>
      </c>
      <c r="I108" s="510">
        <f t="shared" si="15"/>
        <v>0</v>
      </c>
      <c r="J108" s="511">
        <f t="shared" si="15"/>
        <v>0</v>
      </c>
      <c r="K108" s="510">
        <f t="shared" si="15"/>
        <v>0</v>
      </c>
      <c r="L108" s="511">
        <f t="shared" si="15"/>
        <v>0</v>
      </c>
      <c r="M108" s="510">
        <f t="shared" si="15"/>
        <v>0</v>
      </c>
      <c r="N108" s="511">
        <f t="shared" si="15"/>
        <v>0</v>
      </c>
      <c r="O108" s="510">
        <f t="shared" si="15"/>
        <v>0</v>
      </c>
      <c r="P108" s="511">
        <f t="shared" si="15"/>
        <v>0</v>
      </c>
      <c r="Q108" s="512">
        <f t="shared" si="15"/>
        <v>0</v>
      </c>
      <c r="R108" s="512">
        <f t="shared" si="15"/>
        <v>0</v>
      </c>
      <c r="S108" s="512">
        <f t="shared" si="15"/>
        <v>0</v>
      </c>
      <c r="T108" s="512">
        <f t="shared" si="15"/>
        <v>0</v>
      </c>
      <c r="U108" s="513">
        <f t="shared" si="15"/>
        <v>0</v>
      </c>
      <c r="V108" s="512">
        <f t="shared" si="15"/>
        <v>0</v>
      </c>
      <c r="W108" s="512">
        <f t="shared" si="15"/>
        <v>0</v>
      </c>
      <c r="X108" s="512">
        <f t="shared" si="15"/>
        <v>0</v>
      </c>
      <c r="Y108" s="513">
        <f t="shared" si="15"/>
        <v>0</v>
      </c>
      <c r="Z108" s="514">
        <f t="shared" si="15"/>
        <v>0</v>
      </c>
      <c r="AA108" s="515">
        <f t="shared" si="15"/>
        <v>0</v>
      </c>
      <c r="AB108" s="514">
        <f t="shared" si="15"/>
        <v>0</v>
      </c>
      <c r="AC108" s="515">
        <f t="shared" si="15"/>
        <v>0</v>
      </c>
      <c r="AD108" s="514">
        <f t="shared" si="15"/>
        <v>0</v>
      </c>
      <c r="AE108" s="513">
        <f t="shared" si="15"/>
        <v>0</v>
      </c>
      <c r="AF108" s="515">
        <f t="shared" si="15"/>
        <v>0</v>
      </c>
      <c r="AG108" s="514">
        <f t="shared" si="15"/>
        <v>0</v>
      </c>
      <c r="AH108" s="515">
        <f t="shared" si="15"/>
        <v>0</v>
      </c>
      <c r="AI108" s="515">
        <f t="shared" si="15"/>
        <v>0</v>
      </c>
      <c r="AJ108" s="515">
        <f t="shared" si="15"/>
        <v>0</v>
      </c>
      <c r="AK108" s="515">
        <f t="shared" si="15"/>
        <v>0</v>
      </c>
      <c r="AL108" s="515">
        <f t="shared" si="15"/>
        <v>0</v>
      </c>
      <c r="AM108" s="515">
        <f t="shared" si="15"/>
        <v>0</v>
      </c>
      <c r="AN108" s="515">
        <f t="shared" si="15"/>
        <v>0</v>
      </c>
      <c r="AO108" s="515">
        <f t="shared" si="15"/>
        <v>0</v>
      </c>
      <c r="AP108" s="515">
        <f t="shared" si="15"/>
        <v>0</v>
      </c>
      <c r="AQ108" s="513">
        <f t="shared" si="15"/>
        <v>0</v>
      </c>
      <c r="AR108" s="513">
        <f t="shared" si="15"/>
        <v>0</v>
      </c>
      <c r="AS108" s="514">
        <f t="shared" si="15"/>
        <v>0</v>
      </c>
      <c r="AT108" s="515">
        <f t="shared" si="15"/>
        <v>0</v>
      </c>
      <c r="AU108" s="513">
        <f t="shared" si="15"/>
        <v>0</v>
      </c>
      <c r="AV108" s="513">
        <f t="shared" si="15"/>
        <v>0</v>
      </c>
      <c r="AW108" s="514">
        <f t="shared" si="15"/>
        <v>0</v>
      </c>
      <c r="AX108" s="515">
        <f t="shared" si="15"/>
        <v>0</v>
      </c>
      <c r="AY108" s="513">
        <f t="shared" si="15"/>
        <v>0</v>
      </c>
      <c r="AZ108" s="513">
        <f t="shared" si="15"/>
        <v>0</v>
      </c>
      <c r="BA108" s="514">
        <f t="shared" si="15"/>
        <v>0</v>
      </c>
      <c r="BB108" s="515">
        <f t="shared" si="15"/>
        <v>0</v>
      </c>
      <c r="BC108" s="512">
        <f t="shared" si="15"/>
        <v>0</v>
      </c>
      <c r="BD108" s="512">
        <f t="shared" si="15"/>
        <v>0</v>
      </c>
      <c r="BE108" s="512">
        <f t="shared" si="15"/>
        <v>0</v>
      </c>
      <c r="BF108" s="512">
        <f t="shared" si="15"/>
        <v>0</v>
      </c>
      <c r="BG108" s="527"/>
      <c r="BH108" s="1539">
        <f t="shared" si="15"/>
        <v>0</v>
      </c>
      <c r="BJ108" s="528">
        <v>0</v>
      </c>
    </row>
    <row r="109" spans="1:63" ht="12" customHeight="1" x14ac:dyDescent="0.3">
      <c r="E109" s="490"/>
      <c r="F109" s="483"/>
      <c r="G109" s="491"/>
      <c r="H109" s="492"/>
      <c r="I109" s="491"/>
      <c r="J109" s="492"/>
      <c r="K109" s="491"/>
      <c r="L109" s="492"/>
      <c r="M109" s="491"/>
      <c r="N109" s="492"/>
      <c r="O109" s="491"/>
      <c r="P109" s="492"/>
      <c r="Q109" s="493"/>
      <c r="R109" s="493"/>
      <c r="S109" s="493"/>
      <c r="T109" s="493"/>
      <c r="U109" s="493"/>
      <c r="V109" s="493"/>
      <c r="W109" s="493"/>
      <c r="X109" s="493"/>
      <c r="Y109" s="494"/>
      <c r="Z109" s="495"/>
      <c r="AA109" s="496"/>
      <c r="AB109" s="495"/>
      <c r="AC109" s="496"/>
      <c r="AD109" s="495"/>
      <c r="AE109" s="494"/>
      <c r="AF109" s="496"/>
      <c r="AG109" s="495"/>
      <c r="AH109" s="496"/>
      <c r="AI109" s="495"/>
      <c r="AJ109" s="496"/>
      <c r="AK109" s="495"/>
      <c r="AL109" s="496"/>
      <c r="AM109" s="494"/>
      <c r="AN109" s="494"/>
      <c r="AO109" s="494"/>
      <c r="AP109" s="494"/>
      <c r="AQ109" s="494"/>
      <c r="AR109" s="494"/>
      <c r="AS109" s="495"/>
      <c r="AT109" s="496"/>
      <c r="AU109" s="494"/>
      <c r="AV109" s="494"/>
      <c r="AW109" s="495"/>
      <c r="AX109" s="496"/>
      <c r="AY109" s="494"/>
      <c r="AZ109" s="494"/>
      <c r="BA109" s="495"/>
      <c r="BB109" s="496"/>
      <c r="BC109" s="493"/>
      <c r="BD109" s="493"/>
      <c r="BE109" s="493"/>
      <c r="BF109" s="493"/>
      <c r="BH109" s="1535"/>
      <c r="BJ109" s="489"/>
    </row>
    <row r="110" spans="1:63" x14ac:dyDescent="0.3">
      <c r="C110" s="480" t="s">
        <v>1176</v>
      </c>
      <c r="E110" s="482">
        <f>+'Bilan Actif'!F28/10^6</f>
        <v>1307.8274309999999</v>
      </c>
      <c r="F110" s="483"/>
      <c r="G110" s="484"/>
      <c r="H110" s="485"/>
      <c r="I110" s="484"/>
      <c r="J110" s="485"/>
      <c r="K110" s="484"/>
      <c r="L110" s="485"/>
      <c r="M110" s="484"/>
      <c r="N110" s="485"/>
      <c r="O110" s="484"/>
      <c r="P110" s="485"/>
      <c r="Q110" s="486"/>
      <c r="R110" s="486"/>
      <c r="S110" s="486"/>
      <c r="T110" s="1429">
        <f>-E110</f>
        <v>-1307.8274309999999</v>
      </c>
      <c r="U110" s="486"/>
      <c r="V110" s="486"/>
      <c r="W110" s="486"/>
      <c r="X110" s="486"/>
      <c r="Y110" s="482"/>
      <c r="Z110" s="487"/>
      <c r="AA110" s="488"/>
      <c r="AB110" s="487"/>
      <c r="AC110" s="488"/>
      <c r="AD110" s="487"/>
      <c r="AE110" s="482"/>
      <c r="AF110" s="488"/>
      <c r="AG110" s="487"/>
      <c r="AH110" s="488"/>
      <c r="AI110" s="487"/>
      <c r="AJ110" s="488"/>
      <c r="AK110" s="487"/>
      <c r="AL110" s="488"/>
      <c r="AM110" s="482"/>
      <c r="AN110" s="482"/>
      <c r="AO110" s="482"/>
      <c r="AP110" s="482"/>
      <c r="AQ110" s="482"/>
      <c r="AR110" s="482"/>
      <c r="AS110" s="487"/>
      <c r="AT110" s="488"/>
      <c r="AU110" s="482"/>
      <c r="AV110" s="482"/>
      <c r="AW110" s="487"/>
      <c r="AX110" s="488"/>
      <c r="AY110" s="482"/>
      <c r="AZ110" s="482"/>
      <c r="BA110" s="487"/>
      <c r="BB110" s="488"/>
      <c r="BC110" s="486"/>
      <c r="BD110" s="486"/>
      <c r="BE110" s="486"/>
      <c r="BF110" s="486"/>
      <c r="BH110" s="1534">
        <f>SUM(E110:BG110)</f>
        <v>0</v>
      </c>
      <c r="BJ110" s="489">
        <v>0</v>
      </c>
      <c r="BK110" s="460"/>
    </row>
    <row r="111" spans="1:63" x14ac:dyDescent="0.3">
      <c r="C111" s="480" t="s">
        <v>1177</v>
      </c>
      <c r="E111" s="482">
        <f>+'Bilan Actif'!F36/10^6</f>
        <v>1657.7692</v>
      </c>
      <c r="F111" s="483"/>
      <c r="G111" s="484"/>
      <c r="H111" s="485"/>
      <c r="I111" s="484"/>
      <c r="J111" s="485"/>
      <c r="K111" s="484"/>
      <c r="L111" s="485"/>
      <c r="M111" s="484"/>
      <c r="N111" s="485"/>
      <c r="O111" s="484"/>
      <c r="P111" s="485"/>
      <c r="Q111" s="486"/>
      <c r="R111" s="486"/>
      <c r="S111" s="486"/>
      <c r="T111" s="1531">
        <f>-E111</f>
        <v>-1657.7692</v>
      </c>
      <c r="U111" s="486"/>
      <c r="V111" s="486"/>
      <c r="W111" s="486"/>
      <c r="X111" s="486"/>
      <c r="Y111" s="482"/>
      <c r="Z111" s="487"/>
      <c r="AA111" s="488"/>
      <c r="AB111" s="487"/>
      <c r="AC111" s="488"/>
      <c r="AD111" s="487"/>
      <c r="AE111" s="482"/>
      <c r="AF111" s="488"/>
      <c r="AG111" s="487"/>
      <c r="AH111" s="488"/>
      <c r="AI111" s="487"/>
      <c r="AJ111" s="488"/>
      <c r="AK111" s="487"/>
      <c r="AL111" s="488"/>
      <c r="AM111" s="482"/>
      <c r="AN111" s="482"/>
      <c r="AO111" s="482"/>
      <c r="AP111" s="482"/>
      <c r="AQ111" s="482"/>
      <c r="AR111" s="482"/>
      <c r="AS111" s="487"/>
      <c r="AT111" s="488"/>
      <c r="AU111" s="482"/>
      <c r="AV111" s="482"/>
      <c r="AW111" s="487"/>
      <c r="AX111" s="488"/>
      <c r="AY111" s="482"/>
      <c r="AZ111" s="482"/>
      <c r="BA111" s="487"/>
      <c r="BB111" s="488"/>
      <c r="BC111" s="486"/>
      <c r="BD111" s="486"/>
      <c r="BE111" s="486"/>
      <c r="BF111" s="486"/>
      <c r="BH111" s="1534">
        <f>SUM(E111:BG111)</f>
        <v>0</v>
      </c>
      <c r="BJ111" s="489">
        <v>0</v>
      </c>
      <c r="BK111" s="1962"/>
    </row>
    <row r="112" spans="1:63" x14ac:dyDescent="0.3">
      <c r="C112" s="480" t="s">
        <v>1178</v>
      </c>
      <c r="E112" s="482">
        <f>+'Bilan Actif'!F37/10^6</f>
        <v>20688.464623</v>
      </c>
      <c r="F112" s="483"/>
      <c r="G112" s="484"/>
      <c r="H112" s="485"/>
      <c r="I112" s="484"/>
      <c r="J112" s="485"/>
      <c r="K112" s="484"/>
      <c r="L112" s="485"/>
      <c r="M112" s="484"/>
      <c r="N112" s="485"/>
      <c r="O112" s="484"/>
      <c r="P112" s="485"/>
      <c r="Q112" s="486"/>
      <c r="R112" s="486"/>
      <c r="S112" s="486"/>
      <c r="T112" s="1714">
        <f>-E112</f>
        <v>-20688.464623</v>
      </c>
      <c r="U112" s="486"/>
      <c r="V112" s="486"/>
      <c r="W112" s="486"/>
      <c r="X112" s="486"/>
      <c r="Y112" s="482"/>
      <c r="Z112" s="487"/>
      <c r="AA112" s="488"/>
      <c r="AB112" s="487"/>
      <c r="AC112" s="488"/>
      <c r="AD112" s="487"/>
      <c r="AE112" s="482"/>
      <c r="AF112" s="488"/>
      <c r="AG112" s="487"/>
      <c r="AH112" s="488"/>
      <c r="AI112" s="487"/>
      <c r="AJ112" s="488"/>
      <c r="AK112" s="487"/>
      <c r="AL112" s="488"/>
      <c r="AM112" s="482"/>
      <c r="AN112" s="482"/>
      <c r="AO112" s="482"/>
      <c r="AP112" s="482"/>
      <c r="AQ112" s="482"/>
      <c r="AR112" s="482"/>
      <c r="AS112" s="487"/>
      <c r="AT112" s="488"/>
      <c r="AU112" s="482"/>
      <c r="AV112" s="482"/>
      <c r="AW112" s="487"/>
      <c r="AX112" s="488"/>
      <c r="AY112" s="482"/>
      <c r="AZ112" s="482"/>
      <c r="BA112" s="487"/>
      <c r="BB112" s="488"/>
      <c r="BC112" s="486"/>
      <c r="BD112" s="486"/>
      <c r="BE112" s="486"/>
      <c r="BF112" s="486"/>
      <c r="BH112" s="1534">
        <f>SUM(E112:BG112)</f>
        <v>0</v>
      </c>
      <c r="BJ112" s="489">
        <v>0</v>
      </c>
      <c r="BK112" s="1962"/>
    </row>
    <row r="113" spans="2:63" x14ac:dyDescent="0.3">
      <c r="C113" s="480" t="s">
        <v>1179</v>
      </c>
      <c r="E113" s="482">
        <f>+'Bilan Actif'!F38/10^6</f>
        <v>15136.332418</v>
      </c>
      <c r="F113" s="483"/>
      <c r="G113" s="484"/>
      <c r="H113" s="485"/>
      <c r="I113" s="484"/>
      <c r="J113" s="485"/>
      <c r="K113" s="484"/>
      <c r="L113" s="485"/>
      <c r="M113" s="484"/>
      <c r="N113" s="485"/>
      <c r="O113" s="484"/>
      <c r="P113" s="485"/>
      <c r="Q113" s="486"/>
      <c r="R113" s="486"/>
      <c r="S113" s="486"/>
      <c r="T113" s="486">
        <f>-E113</f>
        <v>-15136.332418</v>
      </c>
      <c r="U113" s="486"/>
      <c r="V113" s="486"/>
      <c r="W113" s="486"/>
      <c r="X113" s="486"/>
      <c r="Y113" s="482"/>
      <c r="Z113" s="487"/>
      <c r="AA113" s="488"/>
      <c r="AB113" s="487"/>
      <c r="AC113" s="488"/>
      <c r="AD113" s="487"/>
      <c r="AE113" s="482"/>
      <c r="AF113" s="488"/>
      <c r="AG113" s="487"/>
      <c r="AH113" s="488"/>
      <c r="AI113" s="487"/>
      <c r="AJ113" s="488"/>
      <c r="AK113" s="487"/>
      <c r="AL113" s="488"/>
      <c r="AM113" s="482"/>
      <c r="AN113" s="482"/>
      <c r="AO113" s="482"/>
      <c r="AP113" s="482"/>
      <c r="AQ113" s="482"/>
      <c r="AR113" s="482"/>
      <c r="AS113" s="487"/>
      <c r="AT113" s="488"/>
      <c r="AU113" s="482"/>
      <c r="AV113" s="482"/>
      <c r="AW113" s="487"/>
      <c r="AX113" s="488"/>
      <c r="AY113" s="482"/>
      <c r="AZ113" s="482"/>
      <c r="BA113" s="487"/>
      <c r="BB113" s="488"/>
      <c r="BC113" s="486"/>
      <c r="BD113" s="486"/>
      <c r="BE113" s="486"/>
      <c r="BF113" s="486"/>
      <c r="BH113" s="1534">
        <f>SUM(E113:BG113)</f>
        <v>0</v>
      </c>
      <c r="BJ113" s="489">
        <v>0</v>
      </c>
      <c r="BK113" s="1962"/>
    </row>
    <row r="114" spans="2:63" ht="12" customHeight="1" x14ac:dyDescent="0.3">
      <c r="E114" s="490"/>
      <c r="F114" s="483"/>
      <c r="G114" s="491"/>
      <c r="H114" s="492"/>
      <c r="I114" s="491"/>
      <c r="J114" s="492"/>
      <c r="K114" s="491"/>
      <c r="L114" s="492"/>
      <c r="M114" s="491"/>
      <c r="N114" s="492"/>
      <c r="O114" s="491"/>
      <c r="P114" s="492"/>
      <c r="Q114" s="493"/>
      <c r="R114" s="493"/>
      <c r="S114" s="493"/>
      <c r="T114" s="493"/>
      <c r="U114" s="493"/>
      <c r="V114" s="493"/>
      <c r="W114" s="493"/>
      <c r="X114" s="493"/>
      <c r="Y114" s="494"/>
      <c r="Z114" s="495"/>
      <c r="AA114" s="496"/>
      <c r="AB114" s="495"/>
      <c r="AC114" s="496"/>
      <c r="AD114" s="495"/>
      <c r="AE114" s="494"/>
      <c r="AF114" s="496"/>
      <c r="AG114" s="495"/>
      <c r="AH114" s="496"/>
      <c r="AI114" s="495"/>
      <c r="AJ114" s="496"/>
      <c r="AK114" s="495"/>
      <c r="AL114" s="496"/>
      <c r="AM114" s="494"/>
      <c r="AN114" s="494"/>
      <c r="AO114" s="494"/>
      <c r="AP114" s="494"/>
      <c r="AQ114" s="494"/>
      <c r="AR114" s="494"/>
      <c r="AS114" s="495"/>
      <c r="AT114" s="496"/>
      <c r="AU114" s="494"/>
      <c r="AV114" s="494"/>
      <c r="AW114" s="495"/>
      <c r="AX114" s="496"/>
      <c r="AY114" s="494"/>
      <c r="AZ114" s="494"/>
      <c r="BA114" s="495"/>
      <c r="BB114" s="496"/>
      <c r="BC114" s="493"/>
      <c r="BD114" s="493"/>
      <c r="BE114" s="493"/>
      <c r="BF114" s="493"/>
      <c r="BH114" s="1535"/>
      <c r="BJ114" s="489"/>
    </row>
    <row r="115" spans="2:63" ht="28.5" customHeight="1" x14ac:dyDescent="0.3">
      <c r="B115" s="498" t="s">
        <v>256</v>
      </c>
      <c r="C115" s="524" t="s">
        <v>1180</v>
      </c>
      <c r="E115" s="499"/>
      <c r="F115" s="483"/>
      <c r="G115" s="500"/>
      <c r="H115" s="501"/>
      <c r="I115" s="500"/>
      <c r="J115" s="501"/>
      <c r="K115" s="500"/>
      <c r="L115" s="501"/>
      <c r="M115" s="500"/>
      <c r="N115" s="501"/>
      <c r="O115" s="500"/>
      <c r="P115" s="501"/>
      <c r="Q115" s="502"/>
      <c r="R115" s="502"/>
      <c r="S115" s="502"/>
      <c r="T115" s="1530">
        <f>+SUM('BG '!J165,'BG '!J166,'BG '!J116:J164)/10^6</f>
        <v>1657.7692</v>
      </c>
      <c r="U115" s="502"/>
      <c r="V115" s="502"/>
      <c r="W115" s="502"/>
      <c r="X115" s="502"/>
      <c r="Y115" s="503"/>
      <c r="Z115" s="504"/>
      <c r="AA115" s="505"/>
      <c r="AB115" s="504"/>
      <c r="AC115" s="505"/>
      <c r="AD115" s="504"/>
      <c r="AE115" s="503"/>
      <c r="AF115" s="505"/>
      <c r="AG115" s="504"/>
      <c r="AH115" s="505"/>
      <c r="AI115" s="504"/>
      <c r="AJ115" s="505"/>
      <c r="AK115" s="504"/>
      <c r="AL115" s="505"/>
      <c r="AM115" s="503"/>
      <c r="AN115" s="503"/>
      <c r="AO115" s="503"/>
      <c r="AP115" s="503"/>
      <c r="AQ115" s="503"/>
      <c r="AR115" s="503"/>
      <c r="AS115" s="504"/>
      <c r="AT115" s="505"/>
      <c r="AU115" s="503"/>
      <c r="AV115" s="503"/>
      <c r="AW115" s="504"/>
      <c r="AX115" s="505"/>
      <c r="AY115" s="503"/>
      <c r="AZ115" s="503"/>
      <c r="BA115" s="504"/>
      <c r="BB115" s="505"/>
      <c r="BC115" s="502"/>
      <c r="BD115" s="502"/>
      <c r="BE115" s="502"/>
      <c r="BF115" s="502"/>
      <c r="BH115" s="1536">
        <f t="shared" ref="BH115:BH140" si="16">SUM(E115:BG115)</f>
        <v>1657.7692</v>
      </c>
      <c r="BJ115" s="489">
        <v>1481.834108</v>
      </c>
    </row>
    <row r="116" spans="2:63" ht="28.8" x14ac:dyDescent="0.3">
      <c r="B116" s="498" t="s">
        <v>1181</v>
      </c>
      <c r="C116" s="524" t="s">
        <v>1182</v>
      </c>
      <c r="E116" s="499"/>
      <c r="F116" s="483"/>
      <c r="G116" s="500"/>
      <c r="H116" s="501"/>
      <c r="I116" s="500"/>
      <c r="J116" s="501"/>
      <c r="K116" s="500"/>
      <c r="L116" s="501"/>
      <c r="M116" s="500"/>
      <c r="N116" s="501"/>
      <c r="O116" s="500"/>
      <c r="P116" s="501"/>
      <c r="Q116" s="502"/>
      <c r="R116" s="502"/>
      <c r="S116" s="502"/>
      <c r="T116" s="502"/>
      <c r="U116" s="502"/>
      <c r="V116" s="502"/>
      <c r="W116" s="502"/>
      <c r="X116" s="502"/>
      <c r="Y116" s="503"/>
      <c r="Z116" s="504"/>
      <c r="AA116" s="505"/>
      <c r="AB116" s="504"/>
      <c r="AC116" s="505"/>
      <c r="AD116" s="504"/>
      <c r="AE116" s="503"/>
      <c r="AF116" s="505"/>
      <c r="AG116" s="504"/>
      <c r="AH116" s="505"/>
      <c r="AI116" s="504"/>
      <c r="AJ116" s="505"/>
      <c r="AK116" s="504"/>
      <c r="AL116" s="505"/>
      <c r="AM116" s="503"/>
      <c r="AN116" s="503"/>
      <c r="AO116" s="503"/>
      <c r="AP116" s="503"/>
      <c r="AQ116" s="503"/>
      <c r="AR116" s="503"/>
      <c r="AS116" s="504"/>
      <c r="AT116" s="505"/>
      <c r="AU116" s="503"/>
      <c r="AV116" s="503"/>
      <c r="AW116" s="504"/>
      <c r="AX116" s="505"/>
      <c r="AY116" s="503"/>
      <c r="AZ116" s="503"/>
      <c r="BA116" s="504"/>
      <c r="BB116" s="505"/>
      <c r="BC116" s="502"/>
      <c r="BD116" s="502"/>
      <c r="BE116" s="502"/>
      <c r="BF116" s="502"/>
      <c r="BH116" s="1536">
        <f t="shared" si="16"/>
        <v>0</v>
      </c>
      <c r="BJ116" s="489">
        <v>0</v>
      </c>
    </row>
    <row r="117" spans="2:63" x14ac:dyDescent="0.3">
      <c r="B117" s="498" t="s">
        <v>258</v>
      </c>
      <c r="C117" s="524" t="s">
        <v>1183</v>
      </c>
      <c r="E117" s="499"/>
      <c r="F117" s="483"/>
      <c r="G117" s="500"/>
      <c r="H117" s="501"/>
      <c r="I117" s="500"/>
      <c r="J117" s="501"/>
      <c r="K117" s="500"/>
      <c r="L117" s="501"/>
      <c r="M117" s="500"/>
      <c r="N117" s="501"/>
      <c r="O117" s="500"/>
      <c r="P117" s="501"/>
      <c r="Q117" s="502"/>
      <c r="R117" s="502"/>
      <c r="S117" s="502"/>
      <c r="T117" s="1715">
        <f>SUM('BG '!J167:J200,'BG '!J291,'BG '!J289:J290)/10^6</f>
        <v>24896.445535999999</v>
      </c>
      <c r="U117" s="554"/>
      <c r="V117" s="554">
        <f>(-33.749288+19.533101+5.71425100000001)*0</f>
        <v>0</v>
      </c>
      <c r="W117" s="502"/>
      <c r="X117" s="502"/>
      <c r="Y117" s="503"/>
      <c r="Z117" s="504"/>
      <c r="AA117" s="505"/>
      <c r="AB117" s="504"/>
      <c r="AC117" s="505"/>
      <c r="AD117" s="504"/>
      <c r="AE117" s="503"/>
      <c r="AF117" s="505"/>
      <c r="AG117" s="504"/>
      <c r="AH117" s="505"/>
      <c r="AI117" s="504"/>
      <c r="AJ117" s="505"/>
      <c r="AK117" s="504"/>
      <c r="AL117" s="505"/>
      <c r="AM117" s="503"/>
      <c r="AN117" s="503"/>
      <c r="AO117" s="503"/>
      <c r="AP117" s="503"/>
      <c r="AQ117" s="503"/>
      <c r="AR117" s="503"/>
      <c r="AS117" s="504"/>
      <c r="AT117" s="505"/>
      <c r="AU117" s="503"/>
      <c r="AV117" s="503"/>
      <c r="AW117" s="504"/>
      <c r="AX117" s="505"/>
      <c r="AY117" s="503"/>
      <c r="AZ117" s="503"/>
      <c r="BA117" s="504"/>
      <c r="BB117" s="505"/>
      <c r="BC117" s="502">
        <v>-1.951335</v>
      </c>
      <c r="BD117" s="502"/>
      <c r="BE117" s="502"/>
      <c r="BF117" s="502"/>
      <c r="BH117" s="1595">
        <f t="shared" si="16"/>
        <v>24894.494200999998</v>
      </c>
      <c r="BJ117" s="489">
        <v>23729.451334999998</v>
      </c>
    </row>
    <row r="118" spans="2:63" x14ac:dyDescent="0.3">
      <c r="B118" s="498" t="s">
        <v>1184</v>
      </c>
      <c r="C118" s="524" t="s">
        <v>1185</v>
      </c>
      <c r="E118" s="499"/>
      <c r="F118" s="483"/>
      <c r="G118" s="500"/>
      <c r="H118" s="501"/>
      <c r="I118" s="500"/>
      <c r="J118" s="501"/>
      <c r="K118" s="500"/>
      <c r="L118" s="501"/>
      <c r="M118" s="500"/>
      <c r="N118" s="501"/>
      <c r="O118" s="500"/>
      <c r="P118" s="501"/>
      <c r="Q118" s="502"/>
      <c r="R118" s="502"/>
      <c r="S118" s="502"/>
      <c r="T118" s="1715">
        <f>SUM('BG '!K284,'BG '!K285,'BG '!K286,'BG '!K287)/10^6</f>
        <v>-4197.5080479999997</v>
      </c>
      <c r="U118" s="554"/>
      <c r="V118" s="554">
        <f>(33.749288+127.682725)*0</f>
        <v>0</v>
      </c>
      <c r="W118" s="502"/>
      <c r="X118" s="502"/>
      <c r="Y118" s="503"/>
      <c r="Z118" s="504"/>
      <c r="AA118" s="505"/>
      <c r="AB118" s="504"/>
      <c r="AC118" s="505"/>
      <c r="AD118" s="504"/>
      <c r="AE118" s="503"/>
      <c r="AF118" s="505"/>
      <c r="AG118" s="504"/>
      <c r="AH118" s="505"/>
      <c r="AI118" s="504"/>
      <c r="AJ118" s="505"/>
      <c r="AK118" s="504"/>
      <c r="AL118" s="505"/>
      <c r="AM118" s="503"/>
      <c r="AN118" s="503"/>
      <c r="AO118" s="503"/>
      <c r="AP118" s="503"/>
      <c r="AQ118" s="503"/>
      <c r="AR118" s="503"/>
      <c r="AS118" s="504"/>
      <c r="AT118" s="505"/>
      <c r="AU118" s="503"/>
      <c r="AV118" s="503"/>
      <c r="AW118" s="504"/>
      <c r="AX118" s="505"/>
      <c r="AY118" s="503"/>
      <c r="AZ118" s="503"/>
      <c r="BA118" s="504"/>
      <c r="BB118" s="505"/>
      <c r="BC118" s="502"/>
      <c r="BD118" s="502"/>
      <c r="BE118" s="502"/>
      <c r="BF118" s="502"/>
      <c r="BH118" s="1594">
        <f t="shared" si="16"/>
        <v>-4197.5080479999997</v>
      </c>
      <c r="BJ118" s="489">
        <v>-4056.9692409999998</v>
      </c>
    </row>
    <row r="119" spans="2:63" x14ac:dyDescent="0.3">
      <c r="B119" s="498" t="s">
        <v>291</v>
      </c>
      <c r="C119" s="524" t="s">
        <v>1186</v>
      </c>
      <c r="E119" s="499"/>
      <c r="F119" s="483"/>
      <c r="G119" s="500"/>
      <c r="H119" s="501"/>
      <c r="I119" s="500"/>
      <c r="J119" s="501"/>
      <c r="K119" s="500"/>
      <c r="L119" s="501"/>
      <c r="M119" s="500"/>
      <c r="N119" s="501"/>
      <c r="O119" s="500"/>
      <c r="P119" s="501"/>
      <c r="Q119" s="502"/>
      <c r="R119" s="502"/>
      <c r="S119" s="502"/>
      <c r="T119" s="502">
        <f>SUM('BG '!J202,'BG '!J203,'BG '!J204,'BG '!J208,'BG '!J205)/10^6</f>
        <v>155.197272</v>
      </c>
      <c r="U119" s="502"/>
      <c r="V119" s="502"/>
      <c r="W119" s="502"/>
      <c r="X119" s="502"/>
      <c r="Y119" s="503"/>
      <c r="Z119" s="504"/>
      <c r="AA119" s="505"/>
      <c r="AB119" s="504"/>
      <c r="AC119" s="505"/>
      <c r="AD119" s="504"/>
      <c r="AE119" s="503"/>
      <c r="AF119" s="505"/>
      <c r="AG119" s="504"/>
      <c r="AH119" s="505"/>
      <c r="AI119" s="504"/>
      <c r="AJ119" s="505"/>
      <c r="AK119" s="504"/>
      <c r="AL119" s="505"/>
      <c r="AM119" s="503"/>
      <c r="AN119" s="503"/>
      <c r="AO119" s="503"/>
      <c r="AP119" s="503"/>
      <c r="AQ119" s="503"/>
      <c r="AR119" s="503"/>
      <c r="AS119" s="504"/>
      <c r="AT119" s="505"/>
      <c r="AU119" s="503"/>
      <c r="AV119" s="503"/>
      <c r="AW119" s="504"/>
      <c r="AX119" s="505"/>
      <c r="AY119" s="503"/>
      <c r="AZ119" s="503"/>
      <c r="BA119" s="504"/>
      <c r="BB119" s="505"/>
      <c r="BC119" s="502"/>
      <c r="BD119" s="502"/>
      <c r="BE119" s="502"/>
      <c r="BF119" s="502"/>
      <c r="BH119" s="1536">
        <f t="shared" si="16"/>
        <v>155.197272</v>
      </c>
      <c r="BJ119" s="489">
        <v>180.54327799999999</v>
      </c>
    </row>
    <row r="120" spans="2:63" x14ac:dyDescent="0.3">
      <c r="B120" s="498" t="s">
        <v>1187</v>
      </c>
      <c r="C120" s="524" t="s">
        <v>1188</v>
      </c>
      <c r="E120" s="499"/>
      <c r="F120" s="483"/>
      <c r="G120" s="500"/>
      <c r="H120" s="501"/>
      <c r="I120" s="500"/>
      <c r="J120" s="501"/>
      <c r="K120" s="500"/>
      <c r="L120" s="501"/>
      <c r="M120" s="500"/>
      <c r="N120" s="501"/>
      <c r="O120" s="500"/>
      <c r="P120" s="501"/>
      <c r="Q120" s="502"/>
      <c r="R120" s="502"/>
      <c r="S120" s="502"/>
      <c r="T120" s="502"/>
      <c r="U120" s="502"/>
      <c r="V120" s="502"/>
      <c r="W120" s="502"/>
      <c r="X120" s="502"/>
      <c r="Y120" s="503"/>
      <c r="Z120" s="504"/>
      <c r="AA120" s="505"/>
      <c r="AB120" s="504"/>
      <c r="AC120" s="505"/>
      <c r="AD120" s="504"/>
      <c r="AE120" s="503"/>
      <c r="AF120" s="505"/>
      <c r="AG120" s="504"/>
      <c r="AH120" s="505"/>
      <c r="AI120" s="504"/>
      <c r="AJ120" s="505"/>
      <c r="AK120" s="504"/>
      <c r="AL120" s="505"/>
      <c r="AM120" s="503"/>
      <c r="AN120" s="503"/>
      <c r="AO120" s="503"/>
      <c r="AP120" s="503"/>
      <c r="AQ120" s="503"/>
      <c r="AR120" s="503"/>
      <c r="AS120" s="504"/>
      <c r="AT120" s="505"/>
      <c r="AU120" s="503"/>
      <c r="AV120" s="503"/>
      <c r="AW120" s="504"/>
      <c r="AX120" s="505"/>
      <c r="AY120" s="503"/>
      <c r="AZ120" s="503"/>
      <c r="BA120" s="504"/>
      <c r="BB120" s="505"/>
      <c r="BC120" s="502"/>
      <c r="BD120" s="502"/>
      <c r="BE120" s="502"/>
      <c r="BF120" s="502"/>
      <c r="BH120" s="1536">
        <f t="shared" si="16"/>
        <v>0</v>
      </c>
      <c r="BJ120" s="489">
        <v>0</v>
      </c>
    </row>
    <row r="121" spans="2:63" x14ac:dyDescent="0.3">
      <c r="B121" s="498" t="s">
        <v>161</v>
      </c>
      <c r="C121" s="524" t="s">
        <v>1189</v>
      </c>
      <c r="E121" s="499"/>
      <c r="F121" s="483"/>
      <c r="G121" s="500"/>
      <c r="H121" s="501"/>
      <c r="I121" s="500"/>
      <c r="J121" s="501"/>
      <c r="K121" s="500"/>
      <c r="L121" s="501"/>
      <c r="M121" s="500"/>
      <c r="N121" s="501"/>
      <c r="O121" s="500"/>
      <c r="P121" s="501"/>
      <c r="Q121" s="502"/>
      <c r="R121" s="502"/>
      <c r="S121" s="502">
        <f>SUM('BG '!J67,'BG '!J68,'BG '!J69,'BG '!J70)/1000000</f>
        <v>533.177863</v>
      </c>
      <c r="T121" s="502"/>
      <c r="U121" s="502"/>
      <c r="V121" s="502"/>
      <c r="W121" s="502"/>
      <c r="X121" s="502"/>
      <c r="Y121" s="503"/>
      <c r="Z121" s="504"/>
      <c r="AA121" s="505"/>
      <c r="AB121" s="504"/>
      <c r="AC121" s="505"/>
      <c r="AD121" s="504"/>
      <c r="AE121" s="503"/>
      <c r="AF121" s="505"/>
      <c r="AG121" s="504"/>
      <c r="AH121" s="505"/>
      <c r="AI121" s="504"/>
      <c r="AJ121" s="505"/>
      <c r="AK121" s="504"/>
      <c r="AL121" s="505"/>
      <c r="AM121" s="503"/>
      <c r="AN121" s="503"/>
      <c r="AO121" s="503"/>
      <c r="AP121" s="503"/>
      <c r="AQ121" s="503"/>
      <c r="AR121" s="503"/>
      <c r="AS121" s="504"/>
      <c r="AT121" s="505"/>
      <c r="AU121" s="503"/>
      <c r="AV121" s="503"/>
      <c r="AW121" s="504"/>
      <c r="AX121" s="505"/>
      <c r="AY121" s="503"/>
      <c r="AZ121" s="503"/>
      <c r="BA121" s="504"/>
      <c r="BB121" s="505"/>
      <c r="BC121" s="502"/>
      <c r="BD121" s="502"/>
      <c r="BE121" s="502"/>
      <c r="BF121" s="502"/>
      <c r="BH121" s="1536">
        <f t="shared" si="16"/>
        <v>533.177863</v>
      </c>
      <c r="BJ121" s="489">
        <v>524.09786299999996</v>
      </c>
    </row>
    <row r="122" spans="2:63" x14ac:dyDescent="0.3">
      <c r="B122" s="498" t="s">
        <v>1190</v>
      </c>
      <c r="C122" s="524" t="s">
        <v>1191</v>
      </c>
      <c r="E122" s="499"/>
      <c r="F122" s="483"/>
      <c r="G122" s="500"/>
      <c r="H122" s="501"/>
      <c r="I122" s="500"/>
      <c r="J122" s="501"/>
      <c r="K122" s="500"/>
      <c r="L122" s="501"/>
      <c r="M122" s="500"/>
      <c r="N122" s="501"/>
      <c r="O122" s="500"/>
      <c r="P122" s="501"/>
      <c r="Q122" s="502"/>
      <c r="R122" s="502"/>
      <c r="S122" s="502"/>
      <c r="T122" s="502"/>
      <c r="U122" s="502"/>
      <c r="V122" s="502"/>
      <c r="W122" s="502"/>
      <c r="X122" s="502"/>
      <c r="Y122" s="503"/>
      <c r="Z122" s="504"/>
      <c r="AA122" s="505"/>
      <c r="AB122" s="504"/>
      <c r="AC122" s="505"/>
      <c r="AD122" s="504"/>
      <c r="AE122" s="503"/>
      <c r="AF122" s="505"/>
      <c r="AG122" s="504"/>
      <c r="AH122" s="505"/>
      <c r="AI122" s="504"/>
      <c r="AJ122" s="505"/>
      <c r="AK122" s="504"/>
      <c r="AL122" s="505"/>
      <c r="AM122" s="503"/>
      <c r="AN122" s="503"/>
      <c r="AO122" s="503"/>
      <c r="AP122" s="503"/>
      <c r="AQ122" s="503"/>
      <c r="AR122" s="503"/>
      <c r="AS122" s="504"/>
      <c r="AT122" s="505"/>
      <c r="AU122" s="503"/>
      <c r="AV122" s="503"/>
      <c r="AW122" s="504"/>
      <c r="AX122" s="505"/>
      <c r="AY122" s="503"/>
      <c r="AZ122" s="503"/>
      <c r="BA122" s="504"/>
      <c r="BB122" s="505"/>
      <c r="BC122" s="502"/>
      <c r="BD122" s="502"/>
      <c r="BE122" s="502"/>
      <c r="BF122" s="502"/>
      <c r="BH122" s="1536">
        <f t="shared" si="16"/>
        <v>0</v>
      </c>
      <c r="BJ122" s="489">
        <v>0</v>
      </c>
    </row>
    <row r="123" spans="2:63" x14ac:dyDescent="0.3">
      <c r="B123" s="498" t="s">
        <v>313</v>
      </c>
      <c r="C123" s="524" t="s">
        <v>1192</v>
      </c>
      <c r="E123" s="499"/>
      <c r="F123" s="483"/>
      <c r="G123" s="500"/>
      <c r="H123" s="501"/>
      <c r="I123" s="500"/>
      <c r="J123" s="501"/>
      <c r="K123" s="500"/>
      <c r="L123" s="501"/>
      <c r="M123" s="500"/>
      <c r="N123" s="501"/>
      <c r="O123" s="500"/>
      <c r="P123" s="501"/>
      <c r="Q123" s="502"/>
      <c r="R123" s="502"/>
      <c r="S123" s="502"/>
      <c r="T123" s="502">
        <f>SUM('BG '!J212,'BG '!J215,'BG '!J217,'BG '!J219,'BG '!J220,'BG '!J221,'BG '!J218)/10^6</f>
        <v>3685.2467040000001</v>
      </c>
      <c r="U123" s="502"/>
      <c r="V123" s="502"/>
      <c r="W123" s="502"/>
      <c r="X123" s="502"/>
      <c r="Y123" s="503"/>
      <c r="Z123" s="504"/>
      <c r="AA123" s="505"/>
      <c r="AB123" s="504"/>
      <c r="AC123" s="505"/>
      <c r="AD123" s="504"/>
      <c r="AE123" s="503"/>
      <c r="AF123" s="505"/>
      <c r="AG123" s="504"/>
      <c r="AH123" s="505"/>
      <c r="AI123" s="504"/>
      <c r="AJ123" s="505"/>
      <c r="AK123" s="504"/>
      <c r="AL123" s="505"/>
      <c r="AM123" s="503"/>
      <c r="AN123" s="503"/>
      <c r="AO123" s="503"/>
      <c r="AP123" s="503"/>
      <c r="AQ123" s="503"/>
      <c r="AR123" s="503"/>
      <c r="AS123" s="504"/>
      <c r="AT123" s="505"/>
      <c r="AU123" s="503"/>
      <c r="AV123" s="503"/>
      <c r="AW123" s="504"/>
      <c r="AX123" s="505"/>
      <c r="AY123" s="503"/>
      <c r="AZ123" s="503"/>
      <c r="BA123" s="504"/>
      <c r="BB123" s="505"/>
      <c r="BC123" s="502"/>
      <c r="BD123" s="502"/>
      <c r="BE123" s="502"/>
      <c r="BF123" s="502"/>
      <c r="BH123" s="1536">
        <f t="shared" si="16"/>
        <v>3685.2467040000001</v>
      </c>
      <c r="BJ123" s="489">
        <v>3550.206995</v>
      </c>
    </row>
    <row r="124" spans="2:63" x14ac:dyDescent="0.3">
      <c r="B124" s="498" t="s">
        <v>1193</v>
      </c>
      <c r="C124" s="524" t="s">
        <v>1194</v>
      </c>
      <c r="E124" s="499"/>
      <c r="F124" s="483"/>
      <c r="G124" s="500"/>
      <c r="H124" s="501"/>
      <c r="I124" s="500"/>
      <c r="J124" s="501"/>
      <c r="K124" s="500"/>
      <c r="L124" s="501"/>
      <c r="M124" s="500"/>
      <c r="N124" s="501"/>
      <c r="O124" s="500"/>
      <c r="P124" s="501"/>
      <c r="Q124" s="502"/>
      <c r="R124" s="502"/>
      <c r="S124" s="502"/>
      <c r="T124" s="502">
        <f>+SUM('BG '!J227,'BG '!J228,'BG '!J230,'BG '!J233,'BG '!J234,'BG '!J235)/10^6</f>
        <v>2708.0120769999999</v>
      </c>
      <c r="U124" s="502"/>
      <c r="V124" s="502"/>
      <c r="W124" s="502"/>
      <c r="X124" s="502"/>
      <c r="Y124" s="503"/>
      <c r="Z124" s="504"/>
      <c r="AA124" s="505"/>
      <c r="AB124" s="504"/>
      <c r="AC124" s="505"/>
      <c r="AD124" s="504"/>
      <c r="AE124" s="503"/>
      <c r="AF124" s="505"/>
      <c r="AG124" s="504"/>
      <c r="AH124" s="505"/>
      <c r="AI124" s="504"/>
      <c r="AJ124" s="505"/>
      <c r="AK124" s="504"/>
      <c r="AL124" s="505"/>
      <c r="AM124" s="503"/>
      <c r="AN124" s="503"/>
      <c r="AO124" s="503"/>
      <c r="AP124" s="503"/>
      <c r="AQ124" s="503"/>
      <c r="AR124" s="503"/>
      <c r="AS124" s="504"/>
      <c r="AT124" s="505"/>
      <c r="AU124" s="503"/>
      <c r="AV124" s="503"/>
      <c r="AW124" s="504"/>
      <c r="AX124" s="505"/>
      <c r="AY124" s="503"/>
      <c r="AZ124" s="503"/>
      <c r="BA124" s="504"/>
      <c r="BB124" s="505"/>
      <c r="BC124" s="502"/>
      <c r="BD124" s="502"/>
      <c r="BE124" s="502"/>
      <c r="BF124" s="502"/>
      <c r="BH124" s="1536">
        <f t="shared" si="16"/>
        <v>2708.0120769999999</v>
      </c>
      <c r="BJ124" s="489">
        <v>2582.0849760000001</v>
      </c>
    </row>
    <row r="125" spans="2:63" x14ac:dyDescent="0.3">
      <c r="B125" s="498" t="s">
        <v>1195</v>
      </c>
      <c r="C125" s="524" t="s">
        <v>1196</v>
      </c>
      <c r="E125" s="499"/>
      <c r="F125" s="483"/>
      <c r="G125" s="500"/>
      <c r="H125" s="501"/>
      <c r="I125" s="500"/>
      <c r="J125" s="501"/>
      <c r="K125" s="500"/>
      <c r="L125" s="501"/>
      <c r="M125" s="500"/>
      <c r="N125" s="501"/>
      <c r="O125" s="500"/>
      <c r="P125" s="501"/>
      <c r="Q125" s="502"/>
      <c r="R125" s="502"/>
      <c r="S125" s="502"/>
      <c r="T125" s="502"/>
      <c r="U125" s="502"/>
      <c r="V125" s="502"/>
      <c r="W125" s="502"/>
      <c r="X125" s="502"/>
      <c r="Y125" s="503"/>
      <c r="Z125" s="504"/>
      <c r="AA125" s="505"/>
      <c r="AB125" s="504"/>
      <c r="AC125" s="505"/>
      <c r="AD125" s="504"/>
      <c r="AE125" s="503"/>
      <c r="AF125" s="505"/>
      <c r="AG125" s="504"/>
      <c r="AH125" s="505"/>
      <c r="AI125" s="504"/>
      <c r="AJ125" s="505"/>
      <c r="AK125" s="504"/>
      <c r="AL125" s="505"/>
      <c r="AM125" s="503"/>
      <c r="AN125" s="503"/>
      <c r="AO125" s="503"/>
      <c r="AP125" s="503"/>
      <c r="AQ125" s="503"/>
      <c r="AR125" s="503"/>
      <c r="AS125" s="504"/>
      <c r="AT125" s="505"/>
      <c r="AU125" s="503"/>
      <c r="AV125" s="503"/>
      <c r="AW125" s="504"/>
      <c r="AX125" s="505"/>
      <c r="AY125" s="503"/>
      <c r="AZ125" s="503"/>
      <c r="BA125" s="504"/>
      <c r="BB125" s="505"/>
      <c r="BC125" s="502"/>
      <c r="BD125" s="502"/>
      <c r="BE125" s="502"/>
      <c r="BF125" s="502"/>
      <c r="BH125" s="1536">
        <f t="shared" si="16"/>
        <v>0</v>
      </c>
      <c r="BJ125" s="489">
        <v>0</v>
      </c>
    </row>
    <row r="126" spans="2:63" x14ac:dyDescent="0.3">
      <c r="B126" s="498" t="s">
        <v>1197</v>
      </c>
      <c r="C126" s="524" t="s">
        <v>1198</v>
      </c>
      <c r="E126" s="499"/>
      <c r="F126" s="483"/>
      <c r="G126" s="500"/>
      <c r="H126" s="501"/>
      <c r="I126" s="500"/>
      <c r="J126" s="501"/>
      <c r="K126" s="500"/>
      <c r="L126" s="501"/>
      <c r="M126" s="500"/>
      <c r="N126" s="501"/>
      <c r="O126" s="500"/>
      <c r="P126" s="501"/>
      <c r="Q126" s="502"/>
      <c r="R126" s="502"/>
      <c r="S126" s="502"/>
      <c r="T126" s="502">
        <f>+('BG '!J236+'BG '!J237)/10^6</f>
        <v>0</v>
      </c>
      <c r="U126" s="502"/>
      <c r="V126" s="502"/>
      <c r="W126" s="502"/>
      <c r="X126" s="502"/>
      <c r="Y126" s="503"/>
      <c r="Z126" s="504"/>
      <c r="AA126" s="505"/>
      <c r="AB126" s="504"/>
      <c r="AC126" s="505"/>
      <c r="AD126" s="504"/>
      <c r="AE126" s="503"/>
      <c r="AF126" s="505"/>
      <c r="AG126" s="504"/>
      <c r="AH126" s="505"/>
      <c r="AI126" s="504"/>
      <c r="AJ126" s="505"/>
      <c r="AK126" s="504"/>
      <c r="AL126" s="505"/>
      <c r="AM126" s="503"/>
      <c r="AN126" s="503"/>
      <c r="AO126" s="503"/>
      <c r="AP126" s="503"/>
      <c r="AQ126" s="503"/>
      <c r="AR126" s="503"/>
      <c r="AS126" s="504"/>
      <c r="AT126" s="505"/>
      <c r="AU126" s="503"/>
      <c r="AV126" s="503"/>
      <c r="AW126" s="504"/>
      <c r="AX126" s="505"/>
      <c r="AY126" s="503"/>
      <c r="AZ126" s="503"/>
      <c r="BA126" s="504"/>
      <c r="BB126" s="505"/>
      <c r="BC126" s="502"/>
      <c r="BD126" s="502"/>
      <c r="BE126" s="502"/>
      <c r="BF126" s="502"/>
      <c r="BH126" s="1536">
        <f t="shared" si="16"/>
        <v>0</v>
      </c>
      <c r="BJ126" s="489">
        <v>0</v>
      </c>
    </row>
    <row r="127" spans="2:63" x14ac:dyDescent="0.3">
      <c r="B127" s="498" t="s">
        <v>1199</v>
      </c>
      <c r="C127" s="524" t="s">
        <v>1200</v>
      </c>
      <c r="E127" s="499"/>
      <c r="F127" s="483"/>
      <c r="G127" s="500"/>
      <c r="H127" s="501"/>
      <c r="I127" s="500"/>
      <c r="J127" s="501"/>
      <c r="K127" s="500"/>
      <c r="L127" s="501"/>
      <c r="M127" s="500"/>
      <c r="N127" s="501"/>
      <c r="O127" s="500"/>
      <c r="P127" s="501"/>
      <c r="Q127" s="502"/>
      <c r="R127" s="502"/>
      <c r="S127" s="502"/>
      <c r="T127" s="502"/>
      <c r="U127" s="502"/>
      <c r="V127" s="502"/>
      <c r="W127" s="502"/>
      <c r="X127" s="502"/>
      <c r="Y127" s="503"/>
      <c r="Z127" s="504"/>
      <c r="AA127" s="505"/>
      <c r="AB127" s="504"/>
      <c r="AC127" s="505"/>
      <c r="AD127" s="504"/>
      <c r="AE127" s="503"/>
      <c r="AF127" s="505"/>
      <c r="AG127" s="504"/>
      <c r="AH127" s="505"/>
      <c r="AI127" s="504"/>
      <c r="AJ127" s="505"/>
      <c r="AK127" s="504"/>
      <c r="AL127" s="505"/>
      <c r="AM127" s="503"/>
      <c r="AN127" s="503"/>
      <c r="AO127" s="503"/>
      <c r="AP127" s="503"/>
      <c r="AQ127" s="503"/>
      <c r="AR127" s="503"/>
      <c r="AS127" s="504"/>
      <c r="AT127" s="505"/>
      <c r="AU127" s="503"/>
      <c r="AV127" s="503"/>
      <c r="AW127" s="504"/>
      <c r="AX127" s="505"/>
      <c r="AY127" s="503"/>
      <c r="AZ127" s="503"/>
      <c r="BA127" s="504"/>
      <c r="BB127" s="505"/>
      <c r="BC127" s="502"/>
      <c r="BD127" s="502"/>
      <c r="BE127" s="502"/>
      <c r="BF127" s="502"/>
      <c r="BH127" s="1536">
        <f t="shared" si="16"/>
        <v>0</v>
      </c>
      <c r="BJ127" s="489">
        <v>0</v>
      </c>
    </row>
    <row r="128" spans="2:63" ht="28.8" x14ac:dyDescent="0.3">
      <c r="B128" s="498" t="s">
        <v>1201</v>
      </c>
      <c r="C128" s="524" t="s">
        <v>1202</v>
      </c>
      <c r="E128" s="499"/>
      <c r="F128" s="483"/>
      <c r="G128" s="500"/>
      <c r="H128" s="501"/>
      <c r="I128" s="500"/>
      <c r="J128" s="501"/>
      <c r="K128" s="500"/>
      <c r="L128" s="501"/>
      <c r="M128" s="500"/>
      <c r="N128" s="501"/>
      <c r="O128" s="500"/>
      <c r="P128" s="501"/>
      <c r="Q128" s="502"/>
      <c r="R128" s="502"/>
      <c r="S128" s="502"/>
      <c r="T128" s="502"/>
      <c r="U128" s="502"/>
      <c r="V128" s="502"/>
      <c r="W128" s="502"/>
      <c r="X128" s="502"/>
      <c r="Y128" s="503"/>
      <c r="Z128" s="504"/>
      <c r="AA128" s="505"/>
      <c r="AB128" s="504"/>
      <c r="AC128" s="505"/>
      <c r="AD128" s="504"/>
      <c r="AE128" s="503"/>
      <c r="AF128" s="505"/>
      <c r="AG128" s="504"/>
      <c r="AH128" s="505"/>
      <c r="AI128" s="504"/>
      <c r="AJ128" s="505"/>
      <c r="AK128" s="504"/>
      <c r="AL128" s="505"/>
      <c r="AM128" s="503"/>
      <c r="AN128" s="503"/>
      <c r="AO128" s="503"/>
      <c r="AP128" s="503"/>
      <c r="AQ128" s="503"/>
      <c r="AR128" s="503"/>
      <c r="AS128" s="504"/>
      <c r="AT128" s="505"/>
      <c r="AU128" s="503"/>
      <c r="AV128" s="503"/>
      <c r="AW128" s="504"/>
      <c r="AX128" s="505"/>
      <c r="AY128" s="503"/>
      <c r="AZ128" s="503"/>
      <c r="BA128" s="504"/>
      <c r="BB128" s="505"/>
      <c r="BC128" s="502"/>
      <c r="BD128" s="502"/>
      <c r="BE128" s="502"/>
      <c r="BF128" s="502"/>
      <c r="BH128" s="1536">
        <f t="shared" si="16"/>
        <v>0</v>
      </c>
      <c r="BJ128" s="489">
        <v>0</v>
      </c>
    </row>
    <row r="129" spans="1:64" ht="28.8" x14ac:dyDescent="0.3">
      <c r="B129" s="498" t="s">
        <v>1203</v>
      </c>
      <c r="C129" s="524" t="s">
        <v>1204</v>
      </c>
      <c r="E129" s="499"/>
      <c r="F129" s="483"/>
      <c r="G129" s="500"/>
      <c r="H129" s="501"/>
      <c r="I129" s="500"/>
      <c r="J129" s="501"/>
      <c r="K129" s="500"/>
      <c r="L129" s="501"/>
      <c r="M129" s="500"/>
      <c r="N129" s="501"/>
      <c r="O129" s="500"/>
      <c r="P129" s="501"/>
      <c r="Q129" s="502"/>
      <c r="R129" s="502"/>
      <c r="S129" s="502"/>
      <c r="T129" s="503"/>
      <c r="U129" s="502"/>
      <c r="V129" s="502"/>
      <c r="W129" s="502"/>
      <c r="X129" s="502"/>
      <c r="Y129" s="503"/>
      <c r="Z129" s="504"/>
      <c r="AA129" s="505"/>
      <c r="AB129" s="504"/>
      <c r="AC129" s="505"/>
      <c r="AD129" s="504"/>
      <c r="AE129" s="503"/>
      <c r="AF129" s="505"/>
      <c r="AG129" s="504"/>
      <c r="AH129" s="505"/>
      <c r="AI129" s="504"/>
      <c r="AJ129" s="505"/>
      <c r="AK129" s="504"/>
      <c r="AL129" s="505"/>
      <c r="AM129" s="503"/>
      <c r="AN129" s="503"/>
      <c r="AO129" s="503"/>
      <c r="AP129" s="503"/>
      <c r="AQ129" s="503"/>
      <c r="AR129" s="503"/>
      <c r="AS129" s="504"/>
      <c r="AT129" s="505"/>
      <c r="AU129" s="503"/>
      <c r="AV129" s="503"/>
      <c r="AW129" s="504"/>
      <c r="AX129" s="505"/>
      <c r="AY129" s="503"/>
      <c r="AZ129" s="503"/>
      <c r="BA129" s="504"/>
      <c r="BB129" s="505"/>
      <c r="BC129" s="502"/>
      <c r="BD129" s="502"/>
      <c r="BE129" s="502"/>
      <c r="BF129" s="502"/>
      <c r="BH129" s="1536">
        <f t="shared" si="16"/>
        <v>0</v>
      </c>
      <c r="BJ129" s="489">
        <v>0</v>
      </c>
    </row>
    <row r="130" spans="1:64" x14ac:dyDescent="0.3">
      <c r="B130" s="498" t="s">
        <v>1205</v>
      </c>
      <c r="C130" s="524" t="s">
        <v>1206</v>
      </c>
      <c r="E130" s="499"/>
      <c r="F130" s="483"/>
      <c r="G130" s="500"/>
      <c r="H130" s="501"/>
      <c r="I130" s="500"/>
      <c r="J130" s="501"/>
      <c r="K130" s="500"/>
      <c r="L130" s="501"/>
      <c r="M130" s="500"/>
      <c r="N130" s="501"/>
      <c r="O130" s="500"/>
      <c r="P130" s="501"/>
      <c r="Q130" s="502"/>
      <c r="R130" s="502"/>
      <c r="S130" s="502"/>
      <c r="T130" s="503"/>
      <c r="U130" s="502"/>
      <c r="V130" s="502"/>
      <c r="W130" s="502"/>
      <c r="X130" s="502"/>
      <c r="Y130" s="503"/>
      <c r="Z130" s="504"/>
      <c r="AA130" s="505"/>
      <c r="AB130" s="504"/>
      <c r="AC130" s="505"/>
      <c r="AD130" s="504"/>
      <c r="AE130" s="503"/>
      <c r="AF130" s="505"/>
      <c r="AG130" s="504"/>
      <c r="AH130" s="505"/>
      <c r="AI130" s="504"/>
      <c r="AJ130" s="505"/>
      <c r="AK130" s="504"/>
      <c r="AL130" s="505"/>
      <c r="AM130" s="503"/>
      <c r="AN130" s="503"/>
      <c r="AO130" s="503"/>
      <c r="AP130" s="503"/>
      <c r="AQ130" s="503"/>
      <c r="AR130" s="503"/>
      <c r="AS130" s="504"/>
      <c r="AT130" s="505"/>
      <c r="AU130" s="503"/>
      <c r="AV130" s="503"/>
      <c r="AW130" s="504"/>
      <c r="AX130" s="505"/>
      <c r="AY130" s="503"/>
      <c r="AZ130" s="503"/>
      <c r="BA130" s="504"/>
      <c r="BB130" s="505"/>
      <c r="BC130" s="502"/>
      <c r="BD130" s="502"/>
      <c r="BE130" s="502"/>
      <c r="BF130" s="502"/>
      <c r="BH130" s="1536">
        <f t="shared" si="16"/>
        <v>0</v>
      </c>
      <c r="BJ130" s="489">
        <v>0</v>
      </c>
    </row>
    <row r="131" spans="1:64" ht="28.8" x14ac:dyDescent="0.3">
      <c r="B131" s="498" t="s">
        <v>1207</v>
      </c>
      <c r="C131" s="524" t="s">
        <v>1208</v>
      </c>
      <c r="E131" s="499"/>
      <c r="F131" s="483"/>
      <c r="G131" s="500"/>
      <c r="H131" s="501"/>
      <c r="I131" s="500"/>
      <c r="J131" s="501"/>
      <c r="K131" s="500"/>
      <c r="L131" s="501"/>
      <c r="M131" s="500"/>
      <c r="N131" s="501"/>
      <c r="O131" s="500"/>
      <c r="P131" s="501"/>
      <c r="Q131" s="502"/>
      <c r="R131" s="502"/>
      <c r="S131" s="502"/>
      <c r="T131" s="503"/>
      <c r="U131" s="502"/>
      <c r="V131" s="502"/>
      <c r="W131" s="502"/>
      <c r="X131" s="502"/>
      <c r="Y131" s="503"/>
      <c r="Z131" s="504"/>
      <c r="AA131" s="505"/>
      <c r="AB131" s="504"/>
      <c r="AC131" s="505"/>
      <c r="AD131" s="504"/>
      <c r="AE131" s="503"/>
      <c r="AF131" s="505"/>
      <c r="AG131" s="504"/>
      <c r="AH131" s="505"/>
      <c r="AI131" s="504"/>
      <c r="AJ131" s="505"/>
      <c r="AK131" s="504"/>
      <c r="AL131" s="505"/>
      <c r="AM131" s="503"/>
      <c r="AN131" s="503"/>
      <c r="AO131" s="503"/>
      <c r="AP131" s="503"/>
      <c r="AQ131" s="503"/>
      <c r="AR131" s="503"/>
      <c r="AS131" s="504"/>
      <c r="AT131" s="505"/>
      <c r="AU131" s="503"/>
      <c r="AV131" s="503"/>
      <c r="AW131" s="504"/>
      <c r="AX131" s="505"/>
      <c r="AY131" s="503"/>
      <c r="AZ131" s="503"/>
      <c r="BA131" s="504"/>
      <c r="BB131" s="505"/>
      <c r="BC131" s="502"/>
      <c r="BD131" s="502"/>
      <c r="BE131" s="502"/>
      <c r="BF131" s="502"/>
      <c r="BH131" s="1536">
        <f t="shared" si="16"/>
        <v>0</v>
      </c>
      <c r="BJ131" s="489">
        <v>0</v>
      </c>
    </row>
    <row r="132" spans="1:64" x14ac:dyDescent="0.3">
      <c r="B132" s="498" t="s">
        <v>1209</v>
      </c>
      <c r="C132" s="524" t="s">
        <v>1210</v>
      </c>
      <c r="E132" s="499"/>
      <c r="F132" s="483"/>
      <c r="G132" s="500"/>
      <c r="H132" s="501"/>
      <c r="I132" s="500"/>
      <c r="J132" s="501"/>
      <c r="K132" s="500"/>
      <c r="L132" s="501"/>
      <c r="M132" s="500"/>
      <c r="N132" s="501"/>
      <c r="O132" s="500"/>
      <c r="P132" s="501"/>
      <c r="Q132" s="502"/>
      <c r="R132" s="502"/>
      <c r="S132" s="502"/>
      <c r="T132" s="503"/>
      <c r="U132" s="502"/>
      <c r="V132" s="502"/>
      <c r="W132" s="502"/>
      <c r="X132" s="502"/>
      <c r="Y132" s="503"/>
      <c r="Z132" s="504"/>
      <c r="AA132" s="505"/>
      <c r="AB132" s="504"/>
      <c r="AC132" s="505"/>
      <c r="AD132" s="504"/>
      <c r="AE132" s="503"/>
      <c r="AF132" s="505"/>
      <c r="AG132" s="504"/>
      <c r="AH132" s="505"/>
      <c r="AI132" s="504"/>
      <c r="AJ132" s="505"/>
      <c r="AK132" s="504"/>
      <c r="AL132" s="505"/>
      <c r="AM132" s="503"/>
      <c r="AN132" s="503"/>
      <c r="AO132" s="503"/>
      <c r="AP132" s="503"/>
      <c r="AQ132" s="503"/>
      <c r="AR132" s="503"/>
      <c r="AS132" s="504"/>
      <c r="AT132" s="505"/>
      <c r="AU132" s="503"/>
      <c r="AV132" s="503"/>
      <c r="AW132" s="504"/>
      <c r="AX132" s="505"/>
      <c r="AY132" s="503"/>
      <c r="AZ132" s="503"/>
      <c r="BA132" s="504"/>
      <c r="BB132" s="505"/>
      <c r="BC132" s="502"/>
      <c r="BD132" s="502"/>
      <c r="BE132" s="502"/>
      <c r="BF132" s="502"/>
      <c r="BH132" s="1536">
        <f t="shared" si="16"/>
        <v>0</v>
      </c>
      <c r="BJ132" s="489">
        <v>0</v>
      </c>
    </row>
    <row r="133" spans="1:64" ht="28.8" x14ac:dyDescent="0.3">
      <c r="B133" s="498" t="s">
        <v>1211</v>
      </c>
      <c r="C133" s="524" t="s">
        <v>1212</v>
      </c>
      <c r="E133" s="499"/>
      <c r="F133" s="483"/>
      <c r="G133" s="500"/>
      <c r="H133" s="501"/>
      <c r="I133" s="500"/>
      <c r="J133" s="501"/>
      <c r="K133" s="500"/>
      <c r="L133" s="501"/>
      <c r="M133" s="500"/>
      <c r="N133" s="501"/>
      <c r="O133" s="500"/>
      <c r="P133" s="501"/>
      <c r="Q133" s="502"/>
      <c r="R133" s="502"/>
      <c r="S133" s="502"/>
      <c r="T133" s="503"/>
      <c r="U133" s="502"/>
      <c r="V133" s="502"/>
      <c r="W133" s="502"/>
      <c r="X133" s="502"/>
      <c r="Y133" s="503"/>
      <c r="Z133" s="504"/>
      <c r="AA133" s="505"/>
      <c r="AB133" s="504"/>
      <c r="AC133" s="505"/>
      <c r="AD133" s="504"/>
      <c r="AE133" s="503"/>
      <c r="AF133" s="505"/>
      <c r="AG133" s="504"/>
      <c r="AH133" s="505"/>
      <c r="AI133" s="504"/>
      <c r="AJ133" s="505"/>
      <c r="AK133" s="504"/>
      <c r="AL133" s="505"/>
      <c r="AM133" s="503"/>
      <c r="AN133" s="503"/>
      <c r="AO133" s="503"/>
      <c r="AP133" s="503"/>
      <c r="AQ133" s="503"/>
      <c r="AR133" s="503"/>
      <c r="AS133" s="504"/>
      <c r="AT133" s="505"/>
      <c r="AU133" s="503"/>
      <c r="AV133" s="503"/>
      <c r="AW133" s="504"/>
      <c r="AX133" s="505"/>
      <c r="AY133" s="503"/>
      <c r="AZ133" s="503"/>
      <c r="BA133" s="504"/>
      <c r="BB133" s="505"/>
      <c r="BC133" s="502"/>
      <c r="BD133" s="502"/>
      <c r="BE133" s="502"/>
      <c r="BF133" s="502"/>
      <c r="BH133" s="1536">
        <f t="shared" si="16"/>
        <v>0</v>
      </c>
      <c r="BJ133" s="489">
        <v>0</v>
      </c>
    </row>
    <row r="134" spans="1:64" x14ac:dyDescent="0.3">
      <c r="B134" s="498" t="s">
        <v>1213</v>
      </c>
      <c r="C134" s="524" t="s">
        <v>1214</v>
      </c>
      <c r="E134" s="499"/>
      <c r="F134" s="483"/>
      <c r="G134" s="500"/>
      <c r="H134" s="501"/>
      <c r="I134" s="500"/>
      <c r="J134" s="501"/>
      <c r="K134" s="500"/>
      <c r="L134" s="501"/>
      <c r="M134" s="500"/>
      <c r="N134" s="501"/>
      <c r="O134" s="500"/>
      <c r="P134" s="501"/>
      <c r="Q134" s="502"/>
      <c r="R134" s="502"/>
      <c r="S134" s="502"/>
      <c r="T134" s="503"/>
      <c r="U134" s="502"/>
      <c r="V134" s="502"/>
      <c r="W134" s="502"/>
      <c r="X134" s="502"/>
      <c r="Y134" s="503"/>
      <c r="Z134" s="504"/>
      <c r="AA134" s="505"/>
      <c r="AB134" s="504"/>
      <c r="AC134" s="505"/>
      <c r="AD134" s="504"/>
      <c r="AE134" s="503"/>
      <c r="AF134" s="505"/>
      <c r="AG134" s="504"/>
      <c r="AH134" s="505"/>
      <c r="AI134" s="504"/>
      <c r="AJ134" s="505"/>
      <c r="AK134" s="504"/>
      <c r="AL134" s="505"/>
      <c r="AM134" s="503"/>
      <c r="AN134" s="503"/>
      <c r="AO134" s="503"/>
      <c r="AP134" s="503"/>
      <c r="AQ134" s="503"/>
      <c r="AR134" s="503"/>
      <c r="AS134" s="504"/>
      <c r="AT134" s="505"/>
      <c r="AU134" s="503"/>
      <c r="AV134" s="503"/>
      <c r="AW134" s="504"/>
      <c r="AX134" s="505"/>
      <c r="AY134" s="503"/>
      <c r="AZ134" s="503"/>
      <c r="BA134" s="504"/>
      <c r="BB134" s="505"/>
      <c r="BC134" s="502"/>
      <c r="BD134" s="502"/>
      <c r="BE134" s="502"/>
      <c r="BF134" s="502"/>
      <c r="BH134" s="1536">
        <f t="shared" si="16"/>
        <v>0</v>
      </c>
      <c r="BJ134" s="489">
        <v>0</v>
      </c>
    </row>
    <row r="135" spans="1:64" x14ac:dyDescent="0.3">
      <c r="B135" s="498" t="s">
        <v>1215</v>
      </c>
      <c r="C135" s="524" t="s">
        <v>1216</v>
      </c>
      <c r="E135" s="499"/>
      <c r="F135" s="483"/>
      <c r="G135" s="500"/>
      <c r="H135" s="501"/>
      <c r="I135" s="500"/>
      <c r="J135" s="501"/>
      <c r="K135" s="500"/>
      <c r="L135" s="501"/>
      <c r="M135" s="500"/>
      <c r="N135" s="501"/>
      <c r="O135" s="500"/>
      <c r="P135" s="501"/>
      <c r="Q135" s="502"/>
      <c r="R135" s="502"/>
      <c r="S135" s="502"/>
      <c r="T135" s="503"/>
      <c r="U135" s="502"/>
      <c r="V135" s="502"/>
      <c r="W135" s="502"/>
      <c r="X135" s="502"/>
      <c r="Y135" s="503"/>
      <c r="Z135" s="504"/>
      <c r="AA135" s="505"/>
      <c r="AB135" s="504"/>
      <c r="AC135" s="505"/>
      <c r="AD135" s="504"/>
      <c r="AE135" s="503"/>
      <c r="AF135" s="505"/>
      <c r="AG135" s="504"/>
      <c r="AH135" s="505"/>
      <c r="AI135" s="504"/>
      <c r="AJ135" s="505"/>
      <c r="AK135" s="504"/>
      <c r="AL135" s="505"/>
      <c r="AM135" s="503"/>
      <c r="AN135" s="503"/>
      <c r="AO135" s="503"/>
      <c r="AP135" s="503"/>
      <c r="AQ135" s="503"/>
      <c r="AR135" s="503"/>
      <c r="AS135" s="504"/>
      <c r="AT135" s="505"/>
      <c r="AU135" s="503"/>
      <c r="AV135" s="503"/>
      <c r="AW135" s="504"/>
      <c r="AX135" s="505"/>
      <c r="AY135" s="503"/>
      <c r="AZ135" s="503"/>
      <c r="BA135" s="504"/>
      <c r="BB135" s="505"/>
      <c r="BC135" s="502"/>
      <c r="BD135" s="502"/>
      <c r="BE135" s="502"/>
      <c r="BF135" s="502"/>
      <c r="BH135" s="1536">
        <f t="shared" si="16"/>
        <v>0</v>
      </c>
      <c r="BJ135" s="489">
        <v>0</v>
      </c>
    </row>
    <row r="136" spans="1:64" ht="28.8" x14ac:dyDescent="0.3">
      <c r="B136" s="498" t="s">
        <v>1217</v>
      </c>
      <c r="C136" s="524" t="s">
        <v>1218</v>
      </c>
      <c r="E136" s="499"/>
      <c r="F136" s="483"/>
      <c r="G136" s="500"/>
      <c r="H136" s="501"/>
      <c r="I136" s="500"/>
      <c r="J136" s="501"/>
      <c r="K136" s="500"/>
      <c r="L136" s="501"/>
      <c r="M136" s="500"/>
      <c r="N136" s="501"/>
      <c r="O136" s="500"/>
      <c r="P136" s="501"/>
      <c r="Q136" s="502"/>
      <c r="R136" s="502"/>
      <c r="S136" s="502"/>
      <c r="T136" s="503"/>
      <c r="U136" s="502"/>
      <c r="V136" s="502"/>
      <c r="W136" s="502"/>
      <c r="X136" s="502"/>
      <c r="Y136" s="503"/>
      <c r="Z136" s="504"/>
      <c r="AA136" s="505"/>
      <c r="AB136" s="504"/>
      <c r="AC136" s="505"/>
      <c r="AD136" s="504"/>
      <c r="AE136" s="503"/>
      <c r="AF136" s="505"/>
      <c r="AG136" s="504"/>
      <c r="AH136" s="505"/>
      <c r="AI136" s="504"/>
      <c r="AJ136" s="505"/>
      <c r="AK136" s="504"/>
      <c r="AL136" s="505"/>
      <c r="AM136" s="503"/>
      <c r="AN136" s="503"/>
      <c r="AO136" s="503"/>
      <c r="AP136" s="503"/>
      <c r="AQ136" s="503"/>
      <c r="AR136" s="503"/>
      <c r="AS136" s="504"/>
      <c r="AT136" s="505"/>
      <c r="AU136" s="503"/>
      <c r="AV136" s="503"/>
      <c r="AW136" s="504"/>
      <c r="AX136" s="505"/>
      <c r="AY136" s="503"/>
      <c r="AZ136" s="503"/>
      <c r="BA136" s="504"/>
      <c r="BB136" s="505"/>
      <c r="BC136" s="502"/>
      <c r="BD136" s="502"/>
      <c r="BE136" s="502"/>
      <c r="BF136" s="502"/>
      <c r="BH136" s="1536">
        <f t="shared" si="16"/>
        <v>0</v>
      </c>
      <c r="BJ136" s="489">
        <v>0</v>
      </c>
    </row>
    <row r="137" spans="1:64" ht="28.8" x14ac:dyDescent="0.3">
      <c r="B137" s="498" t="s">
        <v>1219</v>
      </c>
      <c r="C137" s="524" t="s">
        <v>1220</v>
      </c>
      <c r="E137" s="499"/>
      <c r="F137" s="483"/>
      <c r="G137" s="500"/>
      <c r="H137" s="501"/>
      <c r="I137" s="500"/>
      <c r="J137" s="501"/>
      <c r="K137" s="500"/>
      <c r="L137" s="501"/>
      <c r="M137" s="500"/>
      <c r="N137" s="501"/>
      <c r="O137" s="500"/>
      <c r="P137" s="501"/>
      <c r="Q137" s="502"/>
      <c r="R137" s="502"/>
      <c r="S137" s="502"/>
      <c r="T137" s="503"/>
      <c r="U137" s="502"/>
      <c r="V137" s="502"/>
      <c r="W137" s="502"/>
      <c r="X137" s="502"/>
      <c r="Y137" s="503"/>
      <c r="Z137" s="504"/>
      <c r="AA137" s="505"/>
      <c r="AB137" s="504"/>
      <c r="AC137" s="505"/>
      <c r="AD137" s="504"/>
      <c r="AE137" s="503"/>
      <c r="AF137" s="505"/>
      <c r="AG137" s="504"/>
      <c r="AH137" s="505"/>
      <c r="AI137" s="504"/>
      <c r="AJ137" s="505"/>
      <c r="AK137" s="504"/>
      <c r="AL137" s="505"/>
      <c r="AM137" s="503"/>
      <c r="AN137" s="503"/>
      <c r="AO137" s="503"/>
      <c r="AP137" s="503"/>
      <c r="AQ137" s="503"/>
      <c r="AR137" s="503"/>
      <c r="AS137" s="504"/>
      <c r="AT137" s="505"/>
      <c r="AU137" s="503"/>
      <c r="AV137" s="503"/>
      <c r="AW137" s="504"/>
      <c r="AX137" s="505"/>
      <c r="AY137" s="503"/>
      <c r="AZ137" s="503"/>
      <c r="BA137" s="504"/>
      <c r="BB137" s="505"/>
      <c r="BC137" s="502"/>
      <c r="BD137" s="502"/>
      <c r="BE137" s="502"/>
      <c r="BF137" s="502"/>
      <c r="BH137" s="1536">
        <f t="shared" si="16"/>
        <v>0</v>
      </c>
      <c r="BJ137" s="489">
        <v>0</v>
      </c>
    </row>
    <row r="138" spans="1:64" x14ac:dyDescent="0.3">
      <c r="B138" s="498" t="s">
        <v>375</v>
      </c>
      <c r="C138" s="524" t="s">
        <v>1221</v>
      </c>
      <c r="E138" s="499"/>
      <c r="F138" s="483"/>
      <c r="G138" s="500"/>
      <c r="H138" s="501"/>
      <c r="I138" s="500"/>
      <c r="J138" s="501"/>
      <c r="K138" s="500"/>
      <c r="L138" s="501"/>
      <c r="M138" s="500"/>
      <c r="N138" s="501"/>
      <c r="O138" s="500"/>
      <c r="P138" s="501"/>
      <c r="Q138" s="502"/>
      <c r="R138" s="502"/>
      <c r="S138" s="502"/>
      <c r="T138" s="503">
        <f>+SUM('BG '!J238,'BG '!J242,'BG '!J244,'BG '!J246,'BG '!J249,'BG '!J251,'BG '!J253,'BG '!J257,'BG '!J259,'BG '!J264,'BG '!J260:J262,'BG '!J266,'BG '!J276,'BG '!J278,'BG '!J283,'BG '!J284)/10^6</f>
        <v>9895.7037959999998</v>
      </c>
      <c r="U138" s="502"/>
      <c r="V138" s="502"/>
      <c r="W138" s="502"/>
      <c r="X138" s="502"/>
      <c r="Y138" s="503"/>
      <c r="Z138" s="504"/>
      <c r="AA138" s="505"/>
      <c r="AB138" s="504"/>
      <c r="AC138" s="505"/>
      <c r="AD138" s="504"/>
      <c r="AE138" s="503"/>
      <c r="AF138" s="505"/>
      <c r="AG138" s="504"/>
      <c r="AH138" s="505"/>
      <c r="AI138" s="504"/>
      <c r="AJ138" s="505"/>
      <c r="AK138" s="504"/>
      <c r="AL138" s="505"/>
      <c r="AM138" s="503"/>
      <c r="AN138" s="503"/>
      <c r="AO138" s="503"/>
      <c r="AP138" s="503"/>
      <c r="AQ138" s="503"/>
      <c r="AR138" s="503"/>
      <c r="AS138" s="504"/>
      <c r="AT138" s="505"/>
      <c r="AU138" s="503"/>
      <c r="AV138" s="503"/>
      <c r="AW138" s="504"/>
      <c r="AX138" s="505"/>
      <c r="AY138" s="503"/>
      <c r="AZ138" s="503"/>
      <c r="BA138" s="504"/>
      <c r="BB138" s="505"/>
      <c r="BC138" s="502"/>
      <c r="BD138" s="502"/>
      <c r="BE138" s="502"/>
      <c r="BF138" s="502"/>
      <c r="BH138" s="1536">
        <f t="shared" si="16"/>
        <v>9895.7037959999998</v>
      </c>
      <c r="BJ138" s="489">
        <v>13679.622412000001</v>
      </c>
      <c r="BK138" s="72" t="e">
        <f>(+#REF!+#REF!+#REF!+#REF!+#REF!+#REF!+#REF!+#REF!+#REF!+#REF!+#REF!)/1000000</f>
        <v>#REF!</v>
      </c>
      <c r="BL138" s="555" t="e">
        <f>+BH138-BK138</f>
        <v>#REF!</v>
      </c>
    </row>
    <row r="139" spans="1:64" ht="28.8" x14ac:dyDescent="0.3">
      <c r="B139" s="498" t="s">
        <v>379</v>
      </c>
      <c r="C139" s="524" t="s">
        <v>1222</v>
      </c>
      <c r="E139" s="499"/>
      <c r="F139" s="483"/>
      <c r="G139" s="500"/>
      <c r="H139" s="501"/>
      <c r="I139" s="500"/>
      <c r="J139" s="501"/>
      <c r="K139" s="500"/>
      <c r="L139" s="501"/>
      <c r="M139" s="500"/>
      <c r="N139" s="501"/>
      <c r="O139" s="500"/>
      <c r="P139" s="501"/>
      <c r="Q139" s="502"/>
      <c r="R139" s="502"/>
      <c r="S139" s="502"/>
      <c r="T139" s="503"/>
      <c r="U139" s="502"/>
      <c r="V139" s="502"/>
      <c r="W139" s="502"/>
      <c r="X139" s="502"/>
      <c r="Y139" s="503"/>
      <c r="Z139" s="504"/>
      <c r="AA139" s="505"/>
      <c r="AB139" s="504"/>
      <c r="AC139" s="505"/>
      <c r="AD139" s="504"/>
      <c r="AE139" s="503"/>
      <c r="AF139" s="505"/>
      <c r="AG139" s="504"/>
      <c r="AH139" s="505"/>
      <c r="AI139" s="504"/>
      <c r="AJ139" s="505"/>
      <c r="AK139" s="504"/>
      <c r="AL139" s="505"/>
      <c r="AM139" s="503"/>
      <c r="AN139" s="503"/>
      <c r="AO139" s="503"/>
      <c r="AP139" s="503"/>
      <c r="AQ139" s="503"/>
      <c r="AR139" s="503"/>
      <c r="AS139" s="504"/>
      <c r="AT139" s="505"/>
      <c r="AU139" s="503"/>
      <c r="AV139" s="503"/>
      <c r="AW139" s="504"/>
      <c r="AX139" s="505"/>
      <c r="AY139" s="503"/>
      <c r="AZ139" s="503"/>
      <c r="BA139" s="504"/>
      <c r="BB139" s="505"/>
      <c r="BC139" s="502"/>
      <c r="BD139" s="502"/>
      <c r="BE139" s="502"/>
      <c r="BF139" s="502"/>
      <c r="BH139" s="1536">
        <f t="shared" si="16"/>
        <v>0</v>
      </c>
      <c r="BJ139" s="489">
        <v>0</v>
      </c>
    </row>
    <row r="140" spans="1:64" x14ac:dyDescent="0.3">
      <c r="B140" s="498" t="s">
        <v>356</v>
      </c>
      <c r="C140" s="524" t="s">
        <v>1223</v>
      </c>
      <c r="E140" s="499"/>
      <c r="F140" s="483"/>
      <c r="G140" s="556"/>
      <c r="H140" s="557"/>
      <c r="I140" s="556"/>
      <c r="J140" s="557"/>
      <c r="K140" s="556"/>
      <c r="L140" s="557"/>
      <c r="M140" s="556"/>
      <c r="N140" s="557"/>
      <c r="O140" s="556"/>
      <c r="P140" s="557"/>
      <c r="Q140" s="558"/>
      <c r="R140" s="558"/>
      <c r="S140" s="558"/>
      <c r="T140" s="503"/>
      <c r="U140" s="502"/>
      <c r="V140" s="558"/>
      <c r="W140" s="558"/>
      <c r="X140" s="558"/>
      <c r="Y140" s="559"/>
      <c r="Z140" s="560"/>
      <c r="AA140" s="561"/>
      <c r="AB140" s="560"/>
      <c r="AC140" s="561"/>
      <c r="AD140" s="560"/>
      <c r="AE140" s="562"/>
      <c r="AF140" s="561"/>
      <c r="AG140" s="560"/>
      <c r="AH140" s="561"/>
      <c r="AI140" s="560"/>
      <c r="AJ140" s="561"/>
      <c r="AK140" s="560"/>
      <c r="AL140" s="561"/>
      <c r="AM140" s="562"/>
      <c r="AN140" s="562"/>
      <c r="AO140" s="562"/>
      <c r="AP140" s="562"/>
      <c r="AQ140" s="559"/>
      <c r="AR140" s="559"/>
      <c r="AS140" s="560"/>
      <c r="AT140" s="561"/>
      <c r="AU140" s="559"/>
      <c r="AV140" s="559"/>
      <c r="AW140" s="560"/>
      <c r="AX140" s="561"/>
      <c r="AY140" s="559"/>
      <c r="AZ140" s="559"/>
      <c r="BA140" s="560"/>
      <c r="BB140" s="561"/>
      <c r="BC140" s="558"/>
      <c r="BD140" s="558"/>
      <c r="BE140" s="558"/>
      <c r="BF140" s="558"/>
      <c r="BH140" s="1536">
        <f t="shared" si="16"/>
        <v>0</v>
      </c>
      <c r="BJ140" s="489">
        <v>0.22279399999999999</v>
      </c>
      <c r="BL140" s="555"/>
    </row>
    <row r="141" spans="1:64" s="6" customFormat="1" ht="21.9" customHeight="1" thickBot="1" x14ac:dyDescent="0.35">
      <c r="B141" s="507" t="s">
        <v>1224</v>
      </c>
      <c r="C141" s="507" t="s">
        <v>1225</v>
      </c>
      <c r="D141" s="527"/>
      <c r="E141" s="513">
        <f>+SUM(E110:E113)</f>
        <v>38790.393671999998</v>
      </c>
      <c r="F141" s="509"/>
      <c r="G141" s="510">
        <f>SUM(G110:G140)</f>
        <v>0</v>
      </c>
      <c r="H141" s="510">
        <f t="shared" ref="H141:BH141" si="17">SUM(H110:H140)</f>
        <v>0</v>
      </c>
      <c r="I141" s="510">
        <f t="shared" si="17"/>
        <v>0</v>
      </c>
      <c r="J141" s="510">
        <f t="shared" si="17"/>
        <v>0</v>
      </c>
      <c r="K141" s="510">
        <f t="shared" si="17"/>
        <v>0</v>
      </c>
      <c r="L141" s="510">
        <f t="shared" si="17"/>
        <v>0</v>
      </c>
      <c r="M141" s="510">
        <f t="shared" si="17"/>
        <v>0</v>
      </c>
      <c r="N141" s="510">
        <f t="shared" si="17"/>
        <v>0</v>
      </c>
      <c r="O141" s="510">
        <f t="shared" si="17"/>
        <v>0</v>
      </c>
      <c r="P141" s="510">
        <f t="shared" si="17"/>
        <v>0</v>
      </c>
      <c r="Q141" s="510">
        <f t="shared" si="17"/>
        <v>0</v>
      </c>
      <c r="R141" s="510">
        <f t="shared" si="17"/>
        <v>0</v>
      </c>
      <c r="S141" s="510">
        <f t="shared" si="17"/>
        <v>533.177863</v>
      </c>
      <c r="T141" s="563">
        <f>SUM(T110:T140)</f>
        <v>10.472865000001548</v>
      </c>
      <c r="U141" s="510">
        <f t="shared" si="17"/>
        <v>0</v>
      </c>
      <c r="V141" s="510">
        <f t="shared" si="17"/>
        <v>0</v>
      </c>
      <c r="W141" s="510">
        <f t="shared" si="17"/>
        <v>0</v>
      </c>
      <c r="X141" s="510">
        <f t="shared" si="17"/>
        <v>0</v>
      </c>
      <c r="Y141" s="510">
        <f t="shared" si="17"/>
        <v>0</v>
      </c>
      <c r="Z141" s="510">
        <f t="shared" si="17"/>
        <v>0</v>
      </c>
      <c r="AA141" s="510">
        <f t="shared" si="17"/>
        <v>0</v>
      </c>
      <c r="AB141" s="510">
        <f t="shared" si="17"/>
        <v>0</v>
      </c>
      <c r="AC141" s="510">
        <f t="shared" si="17"/>
        <v>0</v>
      </c>
      <c r="AD141" s="510">
        <f t="shared" si="17"/>
        <v>0</v>
      </c>
      <c r="AE141" s="510">
        <f t="shared" si="17"/>
        <v>0</v>
      </c>
      <c r="AF141" s="510">
        <f t="shared" si="17"/>
        <v>0</v>
      </c>
      <c r="AG141" s="510">
        <f t="shared" si="17"/>
        <v>0</v>
      </c>
      <c r="AH141" s="510">
        <f t="shared" si="17"/>
        <v>0</v>
      </c>
      <c r="AI141" s="510">
        <f t="shared" si="17"/>
        <v>0</v>
      </c>
      <c r="AJ141" s="510">
        <f t="shared" si="17"/>
        <v>0</v>
      </c>
      <c r="AK141" s="510">
        <f t="shared" si="17"/>
        <v>0</v>
      </c>
      <c r="AL141" s="510">
        <f t="shared" si="17"/>
        <v>0</v>
      </c>
      <c r="AM141" s="510">
        <f t="shared" si="17"/>
        <v>0</v>
      </c>
      <c r="AN141" s="510">
        <f t="shared" si="17"/>
        <v>0</v>
      </c>
      <c r="AO141" s="510">
        <f t="shared" si="17"/>
        <v>0</v>
      </c>
      <c r="AP141" s="510">
        <f t="shared" si="17"/>
        <v>0</v>
      </c>
      <c r="AQ141" s="510">
        <f t="shared" si="17"/>
        <v>0</v>
      </c>
      <c r="AR141" s="510">
        <f t="shared" si="17"/>
        <v>0</v>
      </c>
      <c r="AS141" s="510">
        <f t="shared" si="17"/>
        <v>0</v>
      </c>
      <c r="AT141" s="510">
        <f t="shared" si="17"/>
        <v>0</v>
      </c>
      <c r="AU141" s="510">
        <f t="shared" si="17"/>
        <v>0</v>
      </c>
      <c r="AV141" s="510">
        <f t="shared" si="17"/>
        <v>0</v>
      </c>
      <c r="AW141" s="510">
        <f t="shared" si="17"/>
        <v>0</v>
      </c>
      <c r="AX141" s="510">
        <f t="shared" si="17"/>
        <v>0</v>
      </c>
      <c r="AY141" s="510">
        <f t="shared" si="17"/>
        <v>0</v>
      </c>
      <c r="AZ141" s="510">
        <f t="shared" si="17"/>
        <v>0</v>
      </c>
      <c r="BA141" s="510">
        <f t="shared" si="17"/>
        <v>0</v>
      </c>
      <c r="BB141" s="510">
        <f t="shared" si="17"/>
        <v>0</v>
      </c>
      <c r="BC141" s="510">
        <f t="shared" si="17"/>
        <v>-1.951335</v>
      </c>
      <c r="BD141" s="510">
        <f t="shared" si="17"/>
        <v>0</v>
      </c>
      <c r="BE141" s="510">
        <f t="shared" si="17"/>
        <v>0</v>
      </c>
      <c r="BF141" s="510">
        <f t="shared" si="17"/>
        <v>0</v>
      </c>
      <c r="BG141" s="527"/>
      <c r="BH141" s="1540">
        <f t="shared" si="17"/>
        <v>39332.093065000001</v>
      </c>
      <c r="BJ141" s="528">
        <v>41671.094519999999</v>
      </c>
    </row>
    <row r="142" spans="1:64" s="481" customFormat="1" ht="12" customHeight="1" x14ac:dyDescent="0.3">
      <c r="A142" s="467"/>
      <c r="B142" s="467"/>
      <c r="C142" s="467"/>
      <c r="E142" s="517"/>
      <c r="F142" s="483"/>
      <c r="G142" s="518"/>
      <c r="H142" s="519"/>
      <c r="I142" s="518"/>
      <c r="J142" s="519"/>
      <c r="K142" s="518"/>
      <c r="L142" s="519"/>
      <c r="M142" s="518"/>
      <c r="N142" s="519"/>
      <c r="O142" s="518"/>
      <c r="P142" s="519"/>
      <c r="Q142" s="520"/>
      <c r="R142" s="520"/>
      <c r="S142" s="520"/>
      <c r="T142" s="520"/>
      <c r="U142" s="521"/>
      <c r="V142" s="520"/>
      <c r="W142" s="520"/>
      <c r="X142" s="520"/>
      <c r="Y142" s="521"/>
      <c r="Z142" s="522"/>
      <c r="AA142" s="523"/>
      <c r="AB142" s="522"/>
      <c r="AC142" s="523"/>
      <c r="AD142" s="522"/>
      <c r="AE142" s="521"/>
      <c r="AF142" s="523"/>
      <c r="AG142" s="522"/>
      <c r="AH142" s="523"/>
      <c r="AI142" s="522"/>
      <c r="AJ142" s="523"/>
      <c r="AK142" s="522"/>
      <c r="AL142" s="523"/>
      <c r="AM142" s="521"/>
      <c r="AN142" s="521"/>
      <c r="AO142" s="521"/>
      <c r="AP142" s="521"/>
      <c r="AQ142" s="521"/>
      <c r="AR142" s="521"/>
      <c r="AS142" s="522"/>
      <c r="AT142" s="523"/>
      <c r="AU142" s="521"/>
      <c r="AV142" s="521"/>
      <c r="AW142" s="522"/>
      <c r="AX142" s="523"/>
      <c r="AY142" s="521"/>
      <c r="AZ142" s="521"/>
      <c r="BA142" s="522"/>
      <c r="BB142" s="523"/>
      <c r="BC142" s="520"/>
      <c r="BD142" s="520"/>
      <c r="BE142" s="520"/>
      <c r="BF142" s="520"/>
      <c r="BH142" s="1538"/>
      <c r="BJ142" s="489"/>
    </row>
    <row r="143" spans="1:64" s="481" customFormat="1" x14ac:dyDescent="0.3">
      <c r="A143" s="467"/>
      <c r="B143" s="498" t="s">
        <v>338</v>
      </c>
      <c r="C143" s="524" t="s">
        <v>1226</v>
      </c>
      <c r="E143" s="499"/>
      <c r="F143" s="483"/>
      <c r="G143" s="556"/>
      <c r="H143" s="557"/>
      <c r="I143" s="556"/>
      <c r="J143" s="557"/>
      <c r="K143" s="556"/>
      <c r="L143" s="557"/>
      <c r="M143" s="556"/>
      <c r="N143" s="557"/>
      <c r="O143" s="556"/>
      <c r="P143" s="557"/>
      <c r="Q143" s="558"/>
      <c r="R143" s="558"/>
      <c r="S143" s="558"/>
      <c r="T143" s="558"/>
      <c r="U143" s="559"/>
      <c r="V143" s="558"/>
      <c r="W143" s="558"/>
      <c r="X143" s="558"/>
      <c r="Y143" s="559"/>
      <c r="Z143" s="560"/>
      <c r="AA143" s="561"/>
      <c r="AB143" s="560"/>
      <c r="AC143" s="561"/>
      <c r="AD143" s="560"/>
      <c r="AE143" s="562"/>
      <c r="AF143" s="561"/>
      <c r="AG143" s="560"/>
      <c r="AH143" s="561"/>
      <c r="AI143" s="560"/>
      <c r="AJ143" s="561"/>
      <c r="AK143" s="560"/>
      <c r="AL143" s="561"/>
      <c r="AM143" s="562"/>
      <c r="AN143" s="562"/>
      <c r="AO143" s="562"/>
      <c r="AP143" s="562"/>
      <c r="AQ143" s="559"/>
      <c r="AR143" s="559"/>
      <c r="AS143" s="560"/>
      <c r="AT143" s="561"/>
      <c r="AU143" s="559"/>
      <c r="AV143" s="559"/>
      <c r="AW143" s="560"/>
      <c r="AX143" s="561"/>
      <c r="AY143" s="559"/>
      <c r="AZ143" s="559"/>
      <c r="BA143" s="560"/>
      <c r="BB143" s="561"/>
      <c r="BC143" s="558"/>
      <c r="BD143" s="558"/>
      <c r="BE143" s="558"/>
      <c r="BF143" s="558"/>
      <c r="BH143" s="1536">
        <f t="shared" ref="BH143:BH155" si="18">SUM(E143:BG143)</f>
        <v>0</v>
      </c>
      <c r="BJ143" s="489">
        <v>0</v>
      </c>
    </row>
    <row r="144" spans="1:64" s="481" customFormat="1" x14ac:dyDescent="0.3">
      <c r="A144" s="467"/>
      <c r="B144" s="498" t="s">
        <v>1227</v>
      </c>
      <c r="C144" s="524" t="s">
        <v>1228</v>
      </c>
      <c r="E144" s="499"/>
      <c r="F144" s="483"/>
      <c r="G144" s="556"/>
      <c r="H144" s="557"/>
      <c r="I144" s="556"/>
      <c r="J144" s="557"/>
      <c r="K144" s="556"/>
      <c r="L144" s="557"/>
      <c r="M144" s="556"/>
      <c r="N144" s="557"/>
      <c r="O144" s="556"/>
      <c r="P144" s="557"/>
      <c r="Q144" s="558"/>
      <c r="R144" s="558"/>
      <c r="S144" s="558"/>
      <c r="T144" s="558"/>
      <c r="U144" s="559"/>
      <c r="V144" s="558"/>
      <c r="W144" s="558"/>
      <c r="X144" s="558"/>
      <c r="Y144" s="559"/>
      <c r="Z144" s="560"/>
      <c r="AA144" s="561"/>
      <c r="AB144" s="560"/>
      <c r="AC144" s="561"/>
      <c r="AD144" s="560"/>
      <c r="AE144" s="562"/>
      <c r="AF144" s="561"/>
      <c r="AG144" s="560"/>
      <c r="AH144" s="561"/>
      <c r="AI144" s="560"/>
      <c r="AJ144" s="561"/>
      <c r="AK144" s="560"/>
      <c r="AL144" s="561"/>
      <c r="AM144" s="562"/>
      <c r="AN144" s="562"/>
      <c r="AO144" s="562"/>
      <c r="AP144" s="562"/>
      <c r="AQ144" s="559"/>
      <c r="AR144" s="559"/>
      <c r="AS144" s="560"/>
      <c r="AT144" s="561"/>
      <c r="AU144" s="559"/>
      <c r="AV144" s="559"/>
      <c r="AW144" s="560"/>
      <c r="AX144" s="561"/>
      <c r="AY144" s="559"/>
      <c r="AZ144" s="559"/>
      <c r="BA144" s="560"/>
      <c r="BB144" s="561"/>
      <c r="BC144" s="558"/>
      <c r="BD144" s="558"/>
      <c r="BE144" s="558"/>
      <c r="BF144" s="558"/>
      <c r="BH144" s="1536">
        <f t="shared" si="18"/>
        <v>0</v>
      </c>
      <c r="BJ144" s="489">
        <v>0</v>
      </c>
    </row>
    <row r="145" spans="1:63" s="481" customFormat="1" x14ac:dyDescent="0.3">
      <c r="A145" s="467"/>
      <c r="B145" s="498" t="s">
        <v>1229</v>
      </c>
      <c r="C145" s="524" t="s">
        <v>1230</v>
      </c>
      <c r="E145" s="499"/>
      <c r="F145" s="483"/>
      <c r="G145" s="556"/>
      <c r="H145" s="557"/>
      <c r="I145" s="556"/>
      <c r="J145" s="557"/>
      <c r="K145" s="556"/>
      <c r="L145" s="557"/>
      <c r="M145" s="556"/>
      <c r="N145" s="557"/>
      <c r="O145" s="556"/>
      <c r="P145" s="557"/>
      <c r="Q145" s="558"/>
      <c r="R145" s="558"/>
      <c r="S145" s="558"/>
      <c r="T145" s="558"/>
      <c r="U145" s="559"/>
      <c r="V145" s="558"/>
      <c r="W145" s="558"/>
      <c r="X145" s="558"/>
      <c r="Y145" s="559"/>
      <c r="Z145" s="560"/>
      <c r="AA145" s="561"/>
      <c r="AB145" s="560"/>
      <c r="AC145" s="561"/>
      <c r="AD145" s="560"/>
      <c r="AE145" s="562"/>
      <c r="AF145" s="561"/>
      <c r="AG145" s="560"/>
      <c r="AH145" s="561"/>
      <c r="AI145" s="560"/>
      <c r="AJ145" s="561"/>
      <c r="AK145" s="560"/>
      <c r="AL145" s="561"/>
      <c r="AM145" s="562"/>
      <c r="AN145" s="562"/>
      <c r="AO145" s="562"/>
      <c r="AP145" s="562"/>
      <c r="AQ145" s="559"/>
      <c r="AR145" s="559"/>
      <c r="AS145" s="560"/>
      <c r="AT145" s="561"/>
      <c r="AU145" s="559"/>
      <c r="AV145" s="559"/>
      <c r="AW145" s="560"/>
      <c r="AX145" s="561"/>
      <c r="AY145" s="559"/>
      <c r="AZ145" s="559"/>
      <c r="BA145" s="560"/>
      <c r="BB145" s="561"/>
      <c r="BC145" s="558"/>
      <c r="BD145" s="558"/>
      <c r="BE145" s="558"/>
      <c r="BF145" s="558"/>
      <c r="BH145" s="1536">
        <f t="shared" si="18"/>
        <v>0</v>
      </c>
      <c r="BJ145" s="489">
        <v>0</v>
      </c>
    </row>
    <row r="146" spans="1:63" s="481" customFormat="1" ht="28.8" x14ac:dyDescent="0.3">
      <c r="A146" s="467"/>
      <c r="B146" s="498" t="s">
        <v>1231</v>
      </c>
      <c r="C146" s="524" t="s">
        <v>1232</v>
      </c>
      <c r="E146" s="499"/>
      <c r="F146" s="483"/>
      <c r="G146" s="556"/>
      <c r="H146" s="557"/>
      <c r="I146" s="556"/>
      <c r="J146" s="557"/>
      <c r="K146" s="556"/>
      <c r="L146" s="557"/>
      <c r="M146" s="556"/>
      <c r="N146" s="557"/>
      <c r="O146" s="556"/>
      <c r="P146" s="557"/>
      <c r="Q146" s="558"/>
      <c r="R146" s="558"/>
      <c r="S146" s="558"/>
      <c r="T146" s="558"/>
      <c r="U146" s="559"/>
      <c r="V146" s="558"/>
      <c r="W146" s="558"/>
      <c r="X146" s="558"/>
      <c r="Y146" s="559"/>
      <c r="Z146" s="560"/>
      <c r="AA146" s="561"/>
      <c r="AB146" s="560"/>
      <c r="AC146" s="561"/>
      <c r="AD146" s="560"/>
      <c r="AE146" s="562"/>
      <c r="AF146" s="561"/>
      <c r="AG146" s="560"/>
      <c r="AH146" s="561"/>
      <c r="AI146" s="560"/>
      <c r="AJ146" s="561"/>
      <c r="AK146" s="560"/>
      <c r="AL146" s="561"/>
      <c r="AM146" s="562"/>
      <c r="AN146" s="562"/>
      <c r="AO146" s="562"/>
      <c r="AP146" s="562"/>
      <c r="AQ146" s="559"/>
      <c r="AR146" s="559"/>
      <c r="AS146" s="560"/>
      <c r="AT146" s="561"/>
      <c r="AU146" s="559"/>
      <c r="AV146" s="559"/>
      <c r="AW146" s="560"/>
      <c r="AX146" s="561"/>
      <c r="AY146" s="559"/>
      <c r="AZ146" s="559"/>
      <c r="BA146" s="560"/>
      <c r="BB146" s="561"/>
      <c r="BC146" s="558"/>
      <c r="BD146" s="558"/>
      <c r="BE146" s="558"/>
      <c r="BF146" s="558"/>
      <c r="BH146" s="1536">
        <f t="shared" si="18"/>
        <v>0</v>
      </c>
      <c r="BJ146" s="489">
        <v>0</v>
      </c>
    </row>
    <row r="147" spans="1:63" s="481" customFormat="1" x14ac:dyDescent="0.3">
      <c r="A147" s="467"/>
      <c r="B147" s="498" t="s">
        <v>1233</v>
      </c>
      <c r="C147" s="524" t="s">
        <v>1234</v>
      </c>
      <c r="E147" s="499"/>
      <c r="F147" s="483"/>
      <c r="G147" s="556"/>
      <c r="H147" s="557"/>
      <c r="I147" s="556"/>
      <c r="J147" s="557"/>
      <c r="K147" s="556"/>
      <c r="L147" s="557"/>
      <c r="M147" s="556"/>
      <c r="N147" s="557"/>
      <c r="O147" s="556"/>
      <c r="P147" s="557"/>
      <c r="Q147" s="558"/>
      <c r="R147" s="558"/>
      <c r="S147" s="558"/>
      <c r="T147" s="558"/>
      <c r="U147" s="559"/>
      <c r="V147" s="558"/>
      <c r="W147" s="558"/>
      <c r="X147" s="558"/>
      <c r="Y147" s="559"/>
      <c r="Z147" s="560"/>
      <c r="AA147" s="561"/>
      <c r="AB147" s="560"/>
      <c r="AC147" s="561"/>
      <c r="AD147" s="560"/>
      <c r="AE147" s="562"/>
      <c r="AF147" s="561"/>
      <c r="AG147" s="560"/>
      <c r="AH147" s="561"/>
      <c r="AI147" s="560"/>
      <c r="AJ147" s="561"/>
      <c r="AK147" s="560"/>
      <c r="AL147" s="561"/>
      <c r="AM147" s="562"/>
      <c r="AN147" s="562"/>
      <c r="AO147" s="562"/>
      <c r="AP147" s="562"/>
      <c r="AQ147" s="559"/>
      <c r="AR147" s="559"/>
      <c r="AS147" s="560"/>
      <c r="AT147" s="561"/>
      <c r="AU147" s="559"/>
      <c r="AV147" s="559"/>
      <c r="AW147" s="560"/>
      <c r="AX147" s="561"/>
      <c r="AY147" s="559"/>
      <c r="AZ147" s="559"/>
      <c r="BA147" s="560"/>
      <c r="BB147" s="561"/>
      <c r="BC147" s="558"/>
      <c r="BD147" s="558"/>
      <c r="BE147" s="558"/>
      <c r="BF147" s="558"/>
      <c r="BH147" s="1536">
        <f t="shared" si="18"/>
        <v>0</v>
      </c>
      <c r="BJ147" s="489">
        <v>0</v>
      </c>
    </row>
    <row r="148" spans="1:63" s="481" customFormat="1" ht="28.8" x14ac:dyDescent="0.3">
      <c r="A148" s="467"/>
      <c r="B148" s="498" t="s">
        <v>1235</v>
      </c>
      <c r="C148" s="524" t="s">
        <v>1236</v>
      </c>
      <c r="E148" s="499"/>
      <c r="F148" s="483"/>
      <c r="G148" s="556"/>
      <c r="H148" s="557"/>
      <c r="I148" s="556"/>
      <c r="J148" s="557"/>
      <c r="K148" s="556"/>
      <c r="L148" s="557"/>
      <c r="M148" s="556"/>
      <c r="N148" s="557"/>
      <c r="O148" s="556"/>
      <c r="P148" s="557"/>
      <c r="Q148" s="558"/>
      <c r="R148" s="558"/>
      <c r="S148" s="558"/>
      <c r="T148" s="558"/>
      <c r="U148" s="559"/>
      <c r="V148" s="558"/>
      <c r="W148" s="558"/>
      <c r="X148" s="558"/>
      <c r="Y148" s="559"/>
      <c r="Z148" s="560"/>
      <c r="AA148" s="561"/>
      <c r="AB148" s="560"/>
      <c r="AC148" s="561"/>
      <c r="AD148" s="560"/>
      <c r="AE148" s="562"/>
      <c r="AF148" s="561"/>
      <c r="AG148" s="560"/>
      <c r="AH148" s="561"/>
      <c r="AI148" s="560"/>
      <c r="AJ148" s="561"/>
      <c r="AK148" s="560"/>
      <c r="AL148" s="561"/>
      <c r="AM148" s="562"/>
      <c r="AN148" s="562"/>
      <c r="AO148" s="562"/>
      <c r="AP148" s="562"/>
      <c r="AQ148" s="559"/>
      <c r="AR148" s="559"/>
      <c r="AS148" s="560"/>
      <c r="AT148" s="561"/>
      <c r="AU148" s="559"/>
      <c r="AV148" s="559"/>
      <c r="AW148" s="560"/>
      <c r="AX148" s="561"/>
      <c r="AY148" s="559"/>
      <c r="AZ148" s="559"/>
      <c r="BA148" s="560"/>
      <c r="BB148" s="561"/>
      <c r="BC148" s="558"/>
      <c r="BD148" s="558"/>
      <c r="BE148" s="558"/>
      <c r="BF148" s="558"/>
      <c r="BH148" s="1536">
        <f t="shared" si="18"/>
        <v>0</v>
      </c>
      <c r="BJ148" s="489">
        <v>0</v>
      </c>
    </row>
    <row r="149" spans="1:63" s="481" customFormat="1" x14ac:dyDescent="0.3">
      <c r="A149" s="467"/>
      <c r="B149" s="498" t="s">
        <v>1237</v>
      </c>
      <c r="C149" s="524" t="s">
        <v>1238</v>
      </c>
      <c r="E149" s="499"/>
      <c r="F149" s="483"/>
      <c r="G149" s="556"/>
      <c r="H149" s="557"/>
      <c r="I149" s="556"/>
      <c r="J149" s="557"/>
      <c r="K149" s="556"/>
      <c r="L149" s="557"/>
      <c r="M149" s="556"/>
      <c r="N149" s="557"/>
      <c r="O149" s="556"/>
      <c r="P149" s="557"/>
      <c r="Q149" s="558"/>
      <c r="R149" s="558"/>
      <c r="S149" s="558"/>
      <c r="T149" s="558"/>
      <c r="U149" s="559"/>
      <c r="V149" s="558"/>
      <c r="W149" s="558"/>
      <c r="X149" s="558"/>
      <c r="Y149" s="559"/>
      <c r="Z149" s="560"/>
      <c r="AA149" s="561"/>
      <c r="AB149" s="560"/>
      <c r="AC149" s="561"/>
      <c r="AD149" s="560"/>
      <c r="AE149" s="562"/>
      <c r="AF149" s="561"/>
      <c r="AG149" s="560"/>
      <c r="AH149" s="561"/>
      <c r="AI149" s="560"/>
      <c r="AJ149" s="561"/>
      <c r="AK149" s="560"/>
      <c r="AL149" s="561"/>
      <c r="AM149" s="562"/>
      <c r="AN149" s="562"/>
      <c r="AO149" s="562"/>
      <c r="AP149" s="562"/>
      <c r="AQ149" s="559"/>
      <c r="AR149" s="559"/>
      <c r="AS149" s="560"/>
      <c r="AT149" s="561"/>
      <c r="AU149" s="559"/>
      <c r="AV149" s="559"/>
      <c r="AW149" s="560"/>
      <c r="AX149" s="561"/>
      <c r="AY149" s="559"/>
      <c r="AZ149" s="559"/>
      <c r="BA149" s="560"/>
      <c r="BB149" s="561"/>
      <c r="BC149" s="558"/>
      <c r="BD149" s="558"/>
      <c r="BE149" s="558"/>
      <c r="BF149" s="558"/>
      <c r="BH149" s="1536">
        <f t="shared" si="18"/>
        <v>0</v>
      </c>
      <c r="BJ149" s="489">
        <v>0</v>
      </c>
    </row>
    <row r="150" spans="1:63" s="481" customFormat="1" x14ac:dyDescent="0.3">
      <c r="A150" s="467"/>
      <c r="B150" s="498" t="s">
        <v>1239</v>
      </c>
      <c r="C150" s="524" t="s">
        <v>1240</v>
      </c>
      <c r="E150" s="499"/>
      <c r="F150" s="483"/>
      <c r="G150" s="556"/>
      <c r="H150" s="557"/>
      <c r="I150" s="556"/>
      <c r="J150" s="557"/>
      <c r="K150" s="556"/>
      <c r="L150" s="557"/>
      <c r="M150" s="556"/>
      <c r="N150" s="557"/>
      <c r="O150" s="556"/>
      <c r="P150" s="557"/>
      <c r="Q150" s="558"/>
      <c r="R150" s="558"/>
      <c r="S150" s="558"/>
      <c r="T150" s="558"/>
      <c r="U150" s="559"/>
      <c r="V150" s="558"/>
      <c r="W150" s="558"/>
      <c r="X150" s="558"/>
      <c r="Y150" s="559"/>
      <c r="Z150" s="560"/>
      <c r="AA150" s="561"/>
      <c r="AB150" s="560"/>
      <c r="AC150" s="561"/>
      <c r="AD150" s="560"/>
      <c r="AE150" s="562"/>
      <c r="AF150" s="561"/>
      <c r="AG150" s="560"/>
      <c r="AH150" s="561"/>
      <c r="AI150" s="560"/>
      <c r="AJ150" s="561"/>
      <c r="AK150" s="560"/>
      <c r="AL150" s="561"/>
      <c r="AM150" s="562"/>
      <c r="AN150" s="562"/>
      <c r="AO150" s="562"/>
      <c r="AP150" s="562"/>
      <c r="AQ150" s="559"/>
      <c r="AR150" s="559"/>
      <c r="AS150" s="560"/>
      <c r="AT150" s="561"/>
      <c r="AU150" s="559"/>
      <c r="AV150" s="559"/>
      <c r="AW150" s="560"/>
      <c r="AX150" s="561"/>
      <c r="AY150" s="559"/>
      <c r="AZ150" s="559"/>
      <c r="BA150" s="560"/>
      <c r="BB150" s="561"/>
      <c r="BC150" s="558"/>
      <c r="BD150" s="558"/>
      <c r="BE150" s="558"/>
      <c r="BF150" s="558"/>
      <c r="BH150" s="1536">
        <f t="shared" si="18"/>
        <v>0</v>
      </c>
      <c r="BJ150" s="489">
        <v>0</v>
      </c>
    </row>
    <row r="151" spans="1:63" s="481" customFormat="1" hidden="1" x14ac:dyDescent="0.3">
      <c r="A151" s="467"/>
      <c r="B151" s="498" t="s">
        <v>1241</v>
      </c>
      <c r="C151" s="524" t="s">
        <v>1242</v>
      </c>
      <c r="E151" s="499"/>
      <c r="F151" s="483"/>
      <c r="G151" s="556"/>
      <c r="H151" s="557"/>
      <c r="I151" s="556"/>
      <c r="J151" s="557"/>
      <c r="K151" s="556"/>
      <c r="L151" s="557"/>
      <c r="M151" s="556"/>
      <c r="N151" s="557"/>
      <c r="O151" s="556"/>
      <c r="P151" s="557"/>
      <c r="Q151" s="558"/>
      <c r="R151" s="558"/>
      <c r="S151" s="558"/>
      <c r="T151" s="558"/>
      <c r="U151" s="559"/>
      <c r="V151" s="558"/>
      <c r="W151" s="558"/>
      <c r="X151" s="558"/>
      <c r="Y151" s="559"/>
      <c r="Z151" s="560"/>
      <c r="AA151" s="561"/>
      <c r="AB151" s="560"/>
      <c r="AC151" s="561"/>
      <c r="AD151" s="560"/>
      <c r="AE151" s="562"/>
      <c r="AF151" s="561"/>
      <c r="AG151" s="560"/>
      <c r="AH151" s="561"/>
      <c r="AI151" s="560"/>
      <c r="AJ151" s="561"/>
      <c r="AK151" s="560"/>
      <c r="AL151" s="561"/>
      <c r="AM151" s="562"/>
      <c r="AN151" s="562"/>
      <c r="AO151" s="562"/>
      <c r="AP151" s="562"/>
      <c r="AQ151" s="559"/>
      <c r="AR151" s="559"/>
      <c r="AS151" s="560"/>
      <c r="AT151" s="561"/>
      <c r="AU151" s="559"/>
      <c r="AV151" s="559"/>
      <c r="AW151" s="560"/>
      <c r="AX151" s="561"/>
      <c r="AY151" s="559"/>
      <c r="AZ151" s="559"/>
      <c r="BA151" s="560"/>
      <c r="BB151" s="561"/>
      <c r="BC151" s="558"/>
      <c r="BD151" s="558"/>
      <c r="BE151" s="558"/>
      <c r="BF151" s="558"/>
      <c r="BH151" s="1536">
        <f t="shared" si="18"/>
        <v>0</v>
      </c>
      <c r="BJ151" s="489">
        <v>0</v>
      </c>
    </row>
    <row r="152" spans="1:63" s="481" customFormat="1" hidden="1" x14ac:dyDescent="0.3">
      <c r="A152" s="467"/>
      <c r="B152" s="498" t="s">
        <v>1243</v>
      </c>
      <c r="C152" s="524" t="s">
        <v>1244</v>
      </c>
      <c r="E152" s="499"/>
      <c r="F152" s="483"/>
      <c r="G152" s="556"/>
      <c r="H152" s="557"/>
      <c r="I152" s="556"/>
      <c r="J152" s="557"/>
      <c r="K152" s="556"/>
      <c r="L152" s="557"/>
      <c r="M152" s="556"/>
      <c r="N152" s="557"/>
      <c r="O152" s="556"/>
      <c r="P152" s="557"/>
      <c r="Q152" s="558"/>
      <c r="R152" s="558"/>
      <c r="S152" s="558"/>
      <c r="T152" s="558"/>
      <c r="U152" s="559"/>
      <c r="V152" s="558"/>
      <c r="W152" s="558"/>
      <c r="X152" s="558"/>
      <c r="Y152" s="559"/>
      <c r="Z152" s="560"/>
      <c r="AA152" s="561"/>
      <c r="AB152" s="560"/>
      <c r="AC152" s="561"/>
      <c r="AD152" s="560"/>
      <c r="AE152" s="562"/>
      <c r="AF152" s="561"/>
      <c r="AG152" s="560"/>
      <c r="AH152" s="561"/>
      <c r="AI152" s="560"/>
      <c r="AJ152" s="561"/>
      <c r="AK152" s="560"/>
      <c r="AL152" s="561"/>
      <c r="AM152" s="562"/>
      <c r="AN152" s="562"/>
      <c r="AO152" s="562"/>
      <c r="AP152" s="562"/>
      <c r="AQ152" s="559"/>
      <c r="AR152" s="559"/>
      <c r="AS152" s="560"/>
      <c r="AT152" s="561"/>
      <c r="AU152" s="559"/>
      <c r="AV152" s="559"/>
      <c r="AW152" s="560"/>
      <c r="AX152" s="561"/>
      <c r="AY152" s="559"/>
      <c r="AZ152" s="559"/>
      <c r="BA152" s="560"/>
      <c r="BB152" s="561"/>
      <c r="BC152" s="558"/>
      <c r="BD152" s="558"/>
      <c r="BE152" s="558"/>
      <c r="BF152" s="558"/>
      <c r="BH152" s="1536">
        <f t="shared" si="18"/>
        <v>0</v>
      </c>
      <c r="BJ152" s="489">
        <v>0</v>
      </c>
    </row>
    <row r="153" spans="1:63" s="481" customFormat="1" x14ac:dyDescent="0.3">
      <c r="A153" s="467"/>
      <c r="B153" s="498" t="s">
        <v>1245</v>
      </c>
      <c r="C153" s="524" t="s">
        <v>1246</v>
      </c>
      <c r="E153" s="499"/>
      <c r="F153" s="483"/>
      <c r="G153" s="556"/>
      <c r="H153" s="557"/>
      <c r="I153" s="556"/>
      <c r="J153" s="557"/>
      <c r="K153" s="556"/>
      <c r="L153" s="557"/>
      <c r="M153" s="556"/>
      <c r="N153" s="557"/>
      <c r="O153" s="556"/>
      <c r="P153" s="557"/>
      <c r="Q153" s="558"/>
      <c r="R153" s="558"/>
      <c r="S153" s="558"/>
      <c r="T153" s="558"/>
      <c r="U153" s="559"/>
      <c r="V153" s="558"/>
      <c r="W153" s="558"/>
      <c r="X153" s="558"/>
      <c r="Y153" s="559"/>
      <c r="Z153" s="560"/>
      <c r="AA153" s="561"/>
      <c r="AB153" s="560"/>
      <c r="AC153" s="561"/>
      <c r="AD153" s="560"/>
      <c r="AE153" s="562"/>
      <c r="AF153" s="561"/>
      <c r="AG153" s="560"/>
      <c r="AH153" s="561"/>
      <c r="AI153" s="560"/>
      <c r="AJ153" s="561"/>
      <c r="AK153" s="560"/>
      <c r="AL153" s="561"/>
      <c r="AM153" s="562"/>
      <c r="AN153" s="562"/>
      <c r="AO153" s="562"/>
      <c r="AP153" s="562"/>
      <c r="AQ153" s="559"/>
      <c r="AR153" s="559"/>
      <c r="AS153" s="560"/>
      <c r="AT153" s="561"/>
      <c r="AU153" s="559"/>
      <c r="AV153" s="559"/>
      <c r="AW153" s="560"/>
      <c r="AX153" s="561"/>
      <c r="AY153" s="559"/>
      <c r="AZ153" s="559"/>
      <c r="BA153" s="560"/>
      <c r="BB153" s="561"/>
      <c r="BC153" s="558"/>
      <c r="BD153" s="558"/>
      <c r="BE153" s="558"/>
      <c r="BF153" s="558"/>
      <c r="BH153" s="1536">
        <f t="shared" si="18"/>
        <v>0</v>
      </c>
      <c r="BJ153" s="489">
        <v>0</v>
      </c>
    </row>
    <row r="154" spans="1:63" s="481" customFormat="1" ht="28.8" x14ac:dyDescent="0.3">
      <c r="A154" s="467"/>
      <c r="B154" s="498" t="s">
        <v>1247</v>
      </c>
      <c r="C154" s="524" t="s">
        <v>1248</v>
      </c>
      <c r="E154" s="499"/>
      <c r="F154" s="483"/>
      <c r="G154" s="556"/>
      <c r="H154" s="557"/>
      <c r="I154" s="556"/>
      <c r="J154" s="557"/>
      <c r="K154" s="556"/>
      <c r="L154" s="557"/>
      <c r="M154" s="556"/>
      <c r="N154" s="557"/>
      <c r="O154" s="556"/>
      <c r="P154" s="557"/>
      <c r="Q154" s="558"/>
      <c r="R154" s="558"/>
      <c r="S154" s="558"/>
      <c r="T154" s="558"/>
      <c r="U154" s="559"/>
      <c r="V154" s="558"/>
      <c r="W154" s="558"/>
      <c r="X154" s="558"/>
      <c r="Y154" s="559"/>
      <c r="Z154" s="560"/>
      <c r="AA154" s="561"/>
      <c r="AB154" s="560"/>
      <c r="AC154" s="561"/>
      <c r="AD154" s="560"/>
      <c r="AE154" s="562"/>
      <c r="AF154" s="561"/>
      <c r="AG154" s="560"/>
      <c r="AH154" s="561"/>
      <c r="AI154" s="560"/>
      <c r="AJ154" s="561"/>
      <c r="AK154" s="560"/>
      <c r="AL154" s="561"/>
      <c r="AM154" s="562"/>
      <c r="AN154" s="562"/>
      <c r="AO154" s="562"/>
      <c r="AP154" s="562"/>
      <c r="AQ154" s="559"/>
      <c r="AR154" s="559"/>
      <c r="AS154" s="560"/>
      <c r="AT154" s="561"/>
      <c r="AU154" s="559"/>
      <c r="AV154" s="559"/>
      <c r="AW154" s="560"/>
      <c r="AX154" s="561"/>
      <c r="AY154" s="559"/>
      <c r="AZ154" s="559"/>
      <c r="BA154" s="560"/>
      <c r="BB154" s="561"/>
      <c r="BC154" s="558"/>
      <c r="BD154" s="558"/>
      <c r="BE154" s="558"/>
      <c r="BF154" s="558"/>
      <c r="BH154" s="1536">
        <f t="shared" si="18"/>
        <v>0</v>
      </c>
      <c r="BJ154" s="489">
        <v>0</v>
      </c>
    </row>
    <row r="155" spans="1:63" s="481" customFormat="1" x14ac:dyDescent="0.3">
      <c r="A155" s="467"/>
      <c r="B155" s="498" t="s">
        <v>1249</v>
      </c>
      <c r="C155" s="524" t="s">
        <v>1250</v>
      </c>
      <c r="E155" s="499"/>
      <c r="F155" s="483"/>
      <c r="G155" s="556"/>
      <c r="H155" s="557"/>
      <c r="I155" s="556"/>
      <c r="J155" s="557"/>
      <c r="K155" s="556"/>
      <c r="L155" s="557"/>
      <c r="M155" s="556"/>
      <c r="N155" s="557"/>
      <c r="O155" s="556"/>
      <c r="P155" s="557"/>
      <c r="Q155" s="558"/>
      <c r="R155" s="558"/>
      <c r="S155" s="558"/>
      <c r="T155" s="558"/>
      <c r="U155" s="559"/>
      <c r="V155" s="558"/>
      <c r="W155" s="558"/>
      <c r="X155" s="558"/>
      <c r="Y155" s="559"/>
      <c r="Z155" s="560"/>
      <c r="AA155" s="561"/>
      <c r="AB155" s="560"/>
      <c r="AC155" s="561"/>
      <c r="AD155" s="560"/>
      <c r="AE155" s="562"/>
      <c r="AF155" s="561"/>
      <c r="AG155" s="560"/>
      <c r="AH155" s="561"/>
      <c r="AI155" s="560"/>
      <c r="AJ155" s="561"/>
      <c r="AK155" s="560"/>
      <c r="AL155" s="561"/>
      <c r="AM155" s="562"/>
      <c r="AN155" s="562"/>
      <c r="AO155" s="562"/>
      <c r="AP155" s="562"/>
      <c r="AQ155" s="559"/>
      <c r="AR155" s="559"/>
      <c r="AS155" s="560"/>
      <c r="AT155" s="561"/>
      <c r="AU155" s="559"/>
      <c r="AV155" s="559"/>
      <c r="AW155" s="560"/>
      <c r="AX155" s="561"/>
      <c r="AY155" s="559"/>
      <c r="AZ155" s="559"/>
      <c r="BA155" s="560"/>
      <c r="BB155" s="561"/>
      <c r="BC155" s="558"/>
      <c r="BD155" s="558"/>
      <c r="BE155" s="558"/>
      <c r="BF155" s="558"/>
      <c r="BH155" s="1536">
        <f t="shared" si="18"/>
        <v>0</v>
      </c>
      <c r="BJ155" s="489">
        <v>0</v>
      </c>
    </row>
    <row r="156" spans="1:63" s="6" customFormat="1" ht="21.9" customHeight="1" thickBot="1" x14ac:dyDescent="0.35">
      <c r="B156" s="507" t="s">
        <v>1251</v>
      </c>
      <c r="C156" s="507" t="s">
        <v>37</v>
      </c>
      <c r="D156" s="527"/>
      <c r="E156" s="513">
        <f>+SUM(E143:E155)</f>
        <v>0</v>
      </c>
      <c r="F156" s="509"/>
      <c r="G156" s="510">
        <f>+SUM(G143:G155)</f>
        <v>0</v>
      </c>
      <c r="H156" s="511">
        <f t="shared" ref="H156:BF156" si="19">+SUM(H143:H155)</f>
        <v>0</v>
      </c>
      <c r="I156" s="510">
        <f t="shared" si="19"/>
        <v>0</v>
      </c>
      <c r="J156" s="511">
        <f t="shared" si="19"/>
        <v>0</v>
      </c>
      <c r="K156" s="510">
        <f t="shared" si="19"/>
        <v>0</v>
      </c>
      <c r="L156" s="511">
        <f t="shared" si="19"/>
        <v>0</v>
      </c>
      <c r="M156" s="510">
        <f t="shared" si="19"/>
        <v>0</v>
      </c>
      <c r="N156" s="511">
        <f t="shared" si="19"/>
        <v>0</v>
      </c>
      <c r="O156" s="510">
        <f t="shared" si="19"/>
        <v>0</v>
      </c>
      <c r="P156" s="511">
        <f t="shared" si="19"/>
        <v>0</v>
      </c>
      <c r="Q156" s="512">
        <f t="shared" si="19"/>
        <v>0</v>
      </c>
      <c r="R156" s="512">
        <f t="shared" si="19"/>
        <v>0</v>
      </c>
      <c r="S156" s="512">
        <f t="shared" si="19"/>
        <v>0</v>
      </c>
      <c r="T156" s="512">
        <f t="shared" si="19"/>
        <v>0</v>
      </c>
      <c r="U156" s="513">
        <f t="shared" si="19"/>
        <v>0</v>
      </c>
      <c r="V156" s="512">
        <f t="shared" si="19"/>
        <v>0</v>
      </c>
      <c r="W156" s="512">
        <f t="shared" si="19"/>
        <v>0</v>
      </c>
      <c r="X156" s="512">
        <f t="shared" si="19"/>
        <v>0</v>
      </c>
      <c r="Y156" s="513">
        <f t="shared" si="19"/>
        <v>0</v>
      </c>
      <c r="Z156" s="514">
        <f t="shared" si="19"/>
        <v>0</v>
      </c>
      <c r="AA156" s="515">
        <f t="shared" si="19"/>
        <v>0</v>
      </c>
      <c r="AB156" s="514">
        <f t="shared" si="19"/>
        <v>0</v>
      </c>
      <c r="AC156" s="515">
        <f t="shared" si="19"/>
        <v>0</v>
      </c>
      <c r="AD156" s="514">
        <f t="shared" si="19"/>
        <v>0</v>
      </c>
      <c r="AE156" s="513">
        <f t="shared" si="19"/>
        <v>0</v>
      </c>
      <c r="AF156" s="515">
        <f t="shared" si="19"/>
        <v>0</v>
      </c>
      <c r="AG156" s="514">
        <f t="shared" si="19"/>
        <v>0</v>
      </c>
      <c r="AH156" s="515">
        <f t="shared" si="19"/>
        <v>0</v>
      </c>
      <c r="AI156" s="515">
        <f t="shared" si="19"/>
        <v>0</v>
      </c>
      <c r="AJ156" s="515">
        <f t="shared" si="19"/>
        <v>0</v>
      </c>
      <c r="AK156" s="515">
        <f t="shared" si="19"/>
        <v>0</v>
      </c>
      <c r="AL156" s="515">
        <f t="shared" si="19"/>
        <v>0</v>
      </c>
      <c r="AM156" s="515">
        <f t="shared" si="19"/>
        <v>0</v>
      </c>
      <c r="AN156" s="515">
        <f t="shared" si="19"/>
        <v>0</v>
      </c>
      <c r="AO156" s="515">
        <f t="shared" si="19"/>
        <v>0</v>
      </c>
      <c r="AP156" s="515">
        <f t="shared" si="19"/>
        <v>0</v>
      </c>
      <c r="AQ156" s="515">
        <f t="shared" si="19"/>
        <v>0</v>
      </c>
      <c r="AR156" s="513">
        <f t="shared" si="19"/>
        <v>0</v>
      </c>
      <c r="AS156" s="514">
        <f t="shared" si="19"/>
        <v>0</v>
      </c>
      <c r="AT156" s="515">
        <f t="shared" si="19"/>
        <v>0</v>
      </c>
      <c r="AU156" s="513">
        <f t="shared" si="19"/>
        <v>0</v>
      </c>
      <c r="AV156" s="513">
        <f t="shared" si="19"/>
        <v>0</v>
      </c>
      <c r="AW156" s="514">
        <f t="shared" si="19"/>
        <v>0</v>
      </c>
      <c r="AX156" s="515">
        <f t="shared" si="19"/>
        <v>0</v>
      </c>
      <c r="AY156" s="513">
        <f t="shared" si="19"/>
        <v>0</v>
      </c>
      <c r="AZ156" s="513">
        <f t="shared" si="19"/>
        <v>0</v>
      </c>
      <c r="BA156" s="514">
        <f t="shared" si="19"/>
        <v>0</v>
      </c>
      <c r="BB156" s="515">
        <f t="shared" si="19"/>
        <v>0</v>
      </c>
      <c r="BC156" s="512">
        <f t="shared" si="19"/>
        <v>0</v>
      </c>
      <c r="BD156" s="512">
        <f t="shared" si="19"/>
        <v>0</v>
      </c>
      <c r="BE156" s="512">
        <f t="shared" si="19"/>
        <v>0</v>
      </c>
      <c r="BF156" s="512">
        <f t="shared" si="19"/>
        <v>0</v>
      </c>
      <c r="BG156" s="527"/>
      <c r="BH156" s="1539">
        <f>+SUM(BH143:BH155)</f>
        <v>0</v>
      </c>
      <c r="BJ156" s="528">
        <v>0</v>
      </c>
    </row>
    <row r="157" spans="1:63" s="481" customFormat="1" ht="12" customHeight="1" x14ac:dyDescent="0.3">
      <c r="A157" s="467"/>
      <c r="B157" s="467"/>
      <c r="C157" s="467"/>
      <c r="E157" s="529"/>
      <c r="F157" s="483"/>
      <c r="G157" s="564"/>
      <c r="H157" s="565"/>
      <c r="I157" s="564"/>
      <c r="J157" s="565"/>
      <c r="K157" s="564"/>
      <c r="L157" s="565"/>
      <c r="M157" s="564"/>
      <c r="N157" s="565"/>
      <c r="O157" s="564"/>
      <c r="P157" s="565"/>
      <c r="Q157" s="566"/>
      <c r="R157" s="566"/>
      <c r="S157" s="566"/>
      <c r="T157" s="566"/>
      <c r="U157" s="567"/>
      <c r="V157" s="566"/>
      <c r="W157" s="566"/>
      <c r="X157" s="566"/>
      <c r="Y157" s="567"/>
      <c r="Z157" s="568"/>
      <c r="AA157" s="569"/>
      <c r="AB157" s="568"/>
      <c r="AC157" s="569"/>
      <c r="AD157" s="568"/>
      <c r="AE157" s="570"/>
      <c r="AF157" s="569"/>
      <c r="AG157" s="568"/>
      <c r="AH157" s="569"/>
      <c r="AI157" s="568"/>
      <c r="AJ157" s="569"/>
      <c r="AK157" s="568"/>
      <c r="AL157" s="569"/>
      <c r="AM157" s="570"/>
      <c r="AN157" s="570"/>
      <c r="AO157" s="570"/>
      <c r="AP157" s="570"/>
      <c r="AQ157" s="567"/>
      <c r="AR157" s="567"/>
      <c r="AS157" s="568"/>
      <c r="AT157" s="569"/>
      <c r="AU157" s="567"/>
      <c r="AV157" s="567"/>
      <c r="AW157" s="568"/>
      <c r="AX157" s="569"/>
      <c r="AY157" s="567"/>
      <c r="AZ157" s="567"/>
      <c r="BA157" s="568"/>
      <c r="BB157" s="569"/>
      <c r="BC157" s="566"/>
      <c r="BD157" s="566"/>
      <c r="BE157" s="566"/>
      <c r="BF157" s="566"/>
      <c r="BH157" s="1538"/>
      <c r="BJ157" s="489"/>
    </row>
    <row r="158" spans="1:63" x14ac:dyDescent="0.3">
      <c r="C158" s="480" t="s">
        <v>1252</v>
      </c>
      <c r="E158" s="482">
        <f>+'Bilan Actif'!F41/10^6</f>
        <v>0</v>
      </c>
      <c r="F158" s="509"/>
      <c r="G158" s="484"/>
      <c r="H158" s="485"/>
      <c r="I158" s="484"/>
      <c r="J158" s="485"/>
      <c r="K158" s="484"/>
      <c r="L158" s="485"/>
      <c r="M158" s="484"/>
      <c r="N158" s="485"/>
      <c r="O158" s="484"/>
      <c r="P158" s="485"/>
      <c r="Q158" s="486"/>
      <c r="R158" s="486"/>
      <c r="S158" s="486"/>
      <c r="T158" s="482">
        <f>-E158</f>
        <v>0</v>
      </c>
      <c r="U158" s="486"/>
      <c r="V158" s="486"/>
      <c r="W158" s="486"/>
      <c r="X158" s="486"/>
      <c r="Y158" s="482"/>
      <c r="Z158" s="487"/>
      <c r="AA158" s="488"/>
      <c r="AB158" s="487"/>
      <c r="AC158" s="488"/>
      <c r="AD158" s="487"/>
      <c r="AE158" s="482"/>
      <c r="AF158" s="488"/>
      <c r="AG158" s="487"/>
      <c r="AH158" s="488"/>
      <c r="AI158" s="487"/>
      <c r="AJ158" s="488"/>
      <c r="AK158" s="487"/>
      <c r="AL158" s="488"/>
      <c r="AM158" s="482"/>
      <c r="AN158" s="482"/>
      <c r="AO158" s="482"/>
      <c r="AP158" s="482"/>
      <c r="AQ158" s="482"/>
      <c r="AR158" s="482"/>
      <c r="AS158" s="487"/>
      <c r="AT158" s="488"/>
      <c r="AU158" s="482"/>
      <c r="AV158" s="482"/>
      <c r="AW158" s="487"/>
      <c r="AX158" s="488"/>
      <c r="AY158" s="482"/>
      <c r="AZ158" s="482"/>
      <c r="BA158" s="487"/>
      <c r="BB158" s="488"/>
      <c r="BC158" s="486"/>
      <c r="BD158" s="486"/>
      <c r="BE158" s="486"/>
      <c r="BF158" s="486"/>
      <c r="BH158" s="1534">
        <f>SUM(E158:BG158)</f>
        <v>0</v>
      </c>
      <c r="BJ158" s="489">
        <v>0</v>
      </c>
      <c r="BK158" s="1962"/>
    </row>
    <row r="159" spans="1:63" x14ac:dyDescent="0.3">
      <c r="C159" s="480" t="s">
        <v>1253</v>
      </c>
      <c r="E159" s="482">
        <f>+'Bilan Actif'!F42/10^6</f>
        <v>10.472865000000001</v>
      </c>
      <c r="F159" s="509"/>
      <c r="G159" s="484"/>
      <c r="H159" s="485"/>
      <c r="I159" s="484"/>
      <c r="J159" s="485"/>
      <c r="K159" s="484"/>
      <c r="L159" s="485"/>
      <c r="M159" s="484"/>
      <c r="N159" s="485"/>
      <c r="O159" s="484"/>
      <c r="P159" s="485"/>
      <c r="Q159" s="486"/>
      <c r="R159" s="486"/>
      <c r="S159" s="486"/>
      <c r="T159" s="1716">
        <f>-E159</f>
        <v>-10.472865000000001</v>
      </c>
      <c r="U159" s="486"/>
      <c r="V159" s="486"/>
      <c r="W159" s="486"/>
      <c r="X159" s="486"/>
      <c r="Y159" s="482"/>
      <c r="Z159" s="487"/>
      <c r="AA159" s="488"/>
      <c r="AB159" s="487"/>
      <c r="AC159" s="488"/>
      <c r="AD159" s="487"/>
      <c r="AE159" s="482"/>
      <c r="AF159" s="488"/>
      <c r="AG159" s="487"/>
      <c r="AH159" s="488"/>
      <c r="AI159" s="487"/>
      <c r="AJ159" s="488"/>
      <c r="AK159" s="487"/>
      <c r="AL159" s="488"/>
      <c r="AM159" s="482"/>
      <c r="AN159" s="482"/>
      <c r="AO159" s="482"/>
      <c r="AP159" s="482"/>
      <c r="AQ159" s="482"/>
      <c r="AR159" s="482"/>
      <c r="AS159" s="487"/>
      <c r="AT159" s="488"/>
      <c r="AU159" s="482"/>
      <c r="AV159" s="482"/>
      <c r="AW159" s="487"/>
      <c r="AX159" s="488"/>
      <c r="AY159" s="482"/>
      <c r="AZ159" s="482"/>
      <c r="BA159" s="487"/>
      <c r="BB159" s="488"/>
      <c r="BC159" s="486"/>
      <c r="BD159" s="486"/>
      <c r="BE159" s="486"/>
      <c r="BF159" s="486"/>
      <c r="BH159" s="1534">
        <f>SUM(E159:BG159)</f>
        <v>0</v>
      </c>
      <c r="BJ159" s="489">
        <v>0</v>
      </c>
      <c r="BK159" s="1962"/>
    </row>
    <row r="160" spans="1:63" x14ac:dyDescent="0.3">
      <c r="C160" s="480" t="s">
        <v>1254</v>
      </c>
      <c r="E160" s="482">
        <f>+'Bilan Actif'!F43/10^6</f>
        <v>33018.608137000003</v>
      </c>
      <c r="F160" s="509"/>
      <c r="G160" s="484"/>
      <c r="H160" s="485"/>
      <c r="I160" s="484"/>
      <c r="J160" s="485"/>
      <c r="K160" s="484"/>
      <c r="L160" s="485"/>
      <c r="M160" s="484"/>
      <c r="N160" s="485"/>
      <c r="O160" s="484"/>
      <c r="P160" s="485"/>
      <c r="Q160" s="486"/>
      <c r="R160" s="486"/>
      <c r="S160" s="486"/>
      <c r="T160" s="1716">
        <f>-E160</f>
        <v>-33018.608137000003</v>
      </c>
      <c r="U160" s="486"/>
      <c r="V160" s="486"/>
      <c r="W160" s="486"/>
      <c r="X160" s="486"/>
      <c r="Y160" s="482"/>
      <c r="Z160" s="487"/>
      <c r="AA160" s="488"/>
      <c r="AB160" s="487"/>
      <c r="AC160" s="488"/>
      <c r="AD160" s="487"/>
      <c r="AE160" s="482"/>
      <c r="AF160" s="488"/>
      <c r="AG160" s="487"/>
      <c r="AH160" s="488"/>
      <c r="AI160" s="487"/>
      <c r="AJ160" s="488"/>
      <c r="AK160" s="487"/>
      <c r="AL160" s="488"/>
      <c r="AM160" s="482"/>
      <c r="AN160" s="482"/>
      <c r="AO160" s="482"/>
      <c r="AP160" s="482"/>
      <c r="AQ160" s="482"/>
      <c r="AR160" s="482"/>
      <c r="AS160" s="487"/>
      <c r="AT160" s="488"/>
      <c r="AU160" s="482"/>
      <c r="AV160" s="482"/>
      <c r="AW160" s="487"/>
      <c r="AX160" s="488"/>
      <c r="AY160" s="482"/>
      <c r="AZ160" s="482"/>
      <c r="BA160" s="487"/>
      <c r="BB160" s="488"/>
      <c r="BC160" s="486"/>
      <c r="BD160" s="486"/>
      <c r="BE160" s="486"/>
      <c r="BF160" s="486"/>
      <c r="BH160" s="1534">
        <f>SUM(E160:BG160)</f>
        <v>0</v>
      </c>
      <c r="BJ160" s="489">
        <v>0</v>
      </c>
      <c r="BK160" s="1962"/>
    </row>
    <row r="161" spans="1:63" s="481" customFormat="1" ht="12" customHeight="1" x14ac:dyDescent="0.3">
      <c r="A161" s="467"/>
      <c r="B161" s="467"/>
      <c r="C161" s="467"/>
      <c r="E161" s="517"/>
      <c r="F161" s="483"/>
      <c r="G161" s="518"/>
      <c r="H161" s="519"/>
      <c r="I161" s="518"/>
      <c r="J161" s="519"/>
      <c r="K161" s="518"/>
      <c r="L161" s="519"/>
      <c r="M161" s="518"/>
      <c r="N161" s="519"/>
      <c r="O161" s="518"/>
      <c r="P161" s="519"/>
      <c r="Q161" s="520"/>
      <c r="R161" s="520"/>
      <c r="S161" s="520"/>
      <c r="T161" s="521"/>
      <c r="U161" s="520"/>
      <c r="V161" s="520"/>
      <c r="W161" s="520"/>
      <c r="X161" s="520"/>
      <c r="Y161" s="521"/>
      <c r="Z161" s="522"/>
      <c r="AA161" s="523"/>
      <c r="AB161" s="522"/>
      <c r="AC161" s="523"/>
      <c r="AD161" s="522"/>
      <c r="AE161" s="521"/>
      <c r="AF161" s="523"/>
      <c r="AG161" s="522"/>
      <c r="AH161" s="523"/>
      <c r="AI161" s="522"/>
      <c r="AJ161" s="523"/>
      <c r="AK161" s="522"/>
      <c r="AL161" s="523"/>
      <c r="AM161" s="521"/>
      <c r="AN161" s="521"/>
      <c r="AO161" s="521"/>
      <c r="AP161" s="521"/>
      <c r="AQ161" s="521"/>
      <c r="AR161" s="521"/>
      <c r="AS161" s="522"/>
      <c r="AT161" s="523"/>
      <c r="AU161" s="521"/>
      <c r="AV161" s="521"/>
      <c r="AW161" s="522"/>
      <c r="AX161" s="523"/>
      <c r="AY161" s="521"/>
      <c r="AZ161" s="521"/>
      <c r="BA161" s="522"/>
      <c r="BB161" s="523"/>
      <c r="BC161" s="520"/>
      <c r="BD161" s="520"/>
      <c r="BE161" s="520"/>
      <c r="BF161" s="520"/>
      <c r="BH161" s="1538"/>
      <c r="BJ161" s="489"/>
    </row>
    <row r="162" spans="1:63" s="481" customFormat="1" x14ac:dyDescent="0.3">
      <c r="A162" s="467"/>
      <c r="B162" s="498" t="s">
        <v>1255</v>
      </c>
      <c r="C162" s="498" t="s">
        <v>1256</v>
      </c>
      <c r="E162" s="499"/>
      <c r="F162" s="483"/>
      <c r="G162" s="500"/>
      <c r="H162" s="501"/>
      <c r="I162" s="500"/>
      <c r="J162" s="501"/>
      <c r="K162" s="500"/>
      <c r="L162" s="501"/>
      <c r="M162" s="500"/>
      <c r="N162" s="501"/>
      <c r="O162" s="500"/>
      <c r="P162" s="501"/>
      <c r="Q162" s="502"/>
      <c r="R162" s="502"/>
      <c r="S162" s="502"/>
      <c r="T162" s="503"/>
      <c r="U162" s="502"/>
      <c r="V162" s="502"/>
      <c r="W162" s="502"/>
      <c r="X162" s="502"/>
      <c r="Y162" s="503"/>
      <c r="Z162" s="504"/>
      <c r="AA162" s="505"/>
      <c r="AB162" s="504"/>
      <c r="AC162" s="505"/>
      <c r="AD162" s="504"/>
      <c r="AE162" s="503"/>
      <c r="AF162" s="505"/>
      <c r="AG162" s="504"/>
      <c r="AH162" s="505"/>
      <c r="AI162" s="504"/>
      <c r="AJ162" s="505"/>
      <c r="AK162" s="504"/>
      <c r="AL162" s="505"/>
      <c r="AM162" s="503"/>
      <c r="AN162" s="503"/>
      <c r="AO162" s="503"/>
      <c r="AP162" s="503"/>
      <c r="AQ162" s="503"/>
      <c r="AR162" s="503"/>
      <c r="AS162" s="504"/>
      <c r="AT162" s="505"/>
      <c r="AU162" s="503"/>
      <c r="AV162" s="503"/>
      <c r="AW162" s="504"/>
      <c r="AX162" s="505"/>
      <c r="AY162" s="503"/>
      <c r="AZ162" s="503"/>
      <c r="BA162" s="504"/>
      <c r="BB162" s="505"/>
      <c r="BC162" s="502"/>
      <c r="BD162" s="502"/>
      <c r="BE162" s="502"/>
      <c r="BF162" s="502"/>
      <c r="BH162" s="1536">
        <f>SUM(E162:BG162)</f>
        <v>0</v>
      </c>
      <c r="BJ162" s="489">
        <v>0</v>
      </c>
    </row>
    <row r="163" spans="1:63" s="481" customFormat="1" x14ac:dyDescent="0.3">
      <c r="A163" s="467"/>
      <c r="B163" s="498" t="s">
        <v>385</v>
      </c>
      <c r="C163" s="498" t="s">
        <v>1257</v>
      </c>
      <c r="E163" s="499"/>
      <c r="F163" s="483"/>
      <c r="G163" s="500"/>
      <c r="H163" s="501"/>
      <c r="I163" s="500"/>
      <c r="J163" s="501"/>
      <c r="K163" s="500"/>
      <c r="L163" s="501"/>
      <c r="M163" s="500"/>
      <c r="N163" s="501"/>
      <c r="O163" s="500"/>
      <c r="P163" s="501"/>
      <c r="Q163" s="502"/>
      <c r="R163" s="502"/>
      <c r="S163" s="502"/>
      <c r="T163" s="1717">
        <f>SUM('BG '!J291:J446,'BG '!K289)/10^6</f>
        <v>33018.608137000003</v>
      </c>
      <c r="U163" s="502"/>
      <c r="V163" s="502">
        <f>-SUM('BG '!J335,'BG '!J348,'BG '!J349,'BG '!J350,'BG '!J351,'BG '!J352,'BG '!J353,'BG '!J354)/1000000</f>
        <v>-24399.507383</v>
      </c>
      <c r="W163" s="502"/>
      <c r="X163" s="502"/>
      <c r="Y163" s="503"/>
      <c r="Z163" s="504"/>
      <c r="AA163" s="505"/>
      <c r="AB163" s="504"/>
      <c r="AC163" s="505"/>
      <c r="AD163" s="504"/>
      <c r="AE163" s="503"/>
      <c r="AF163" s="505"/>
      <c r="AG163" s="504"/>
      <c r="AH163" s="505"/>
      <c r="AI163" s="504"/>
      <c r="AJ163" s="505"/>
      <c r="AK163" s="504"/>
      <c r="AL163" s="505"/>
      <c r="AM163" s="503"/>
      <c r="AN163" s="503"/>
      <c r="AO163" s="503"/>
      <c r="AP163" s="503"/>
      <c r="AQ163" s="503"/>
      <c r="AR163" s="503"/>
      <c r="AS163" s="504"/>
      <c r="AT163" s="505"/>
      <c r="AU163" s="503"/>
      <c r="AV163" s="503"/>
      <c r="AW163" s="504"/>
      <c r="AX163" s="505"/>
      <c r="AY163" s="503"/>
      <c r="AZ163" s="503"/>
      <c r="BA163" s="504"/>
      <c r="BB163" s="505"/>
      <c r="BC163" s="502"/>
      <c r="BD163" s="502"/>
      <c r="BE163" s="502"/>
      <c r="BF163" s="502"/>
      <c r="BH163" s="1536">
        <f>SUM(E163:BG163)</f>
        <v>8619.1007540000028</v>
      </c>
      <c r="BJ163" s="489">
        <v>16557.195230000001</v>
      </c>
    </row>
    <row r="164" spans="1:63" s="481" customFormat="1" x14ac:dyDescent="0.3">
      <c r="A164" s="467"/>
      <c r="B164" s="498" t="s">
        <v>486</v>
      </c>
      <c r="C164" s="498" t="s">
        <v>1258</v>
      </c>
      <c r="E164" s="499"/>
      <c r="F164" s="483"/>
      <c r="G164" s="500"/>
      <c r="H164" s="501"/>
      <c r="I164" s="500"/>
      <c r="J164" s="501"/>
      <c r="K164" s="500"/>
      <c r="L164" s="501"/>
      <c r="M164" s="500"/>
      <c r="N164" s="501"/>
      <c r="O164" s="500"/>
      <c r="P164" s="501"/>
      <c r="Q164" s="502"/>
      <c r="R164" s="502"/>
      <c r="S164" s="502"/>
      <c r="T164" s="503"/>
      <c r="U164" s="502"/>
      <c r="V164" s="502"/>
      <c r="W164" s="502"/>
      <c r="X164" s="502"/>
      <c r="Y164" s="503"/>
      <c r="Z164" s="504"/>
      <c r="AA164" s="505"/>
      <c r="AB164" s="504"/>
      <c r="AC164" s="505"/>
      <c r="AD164" s="504"/>
      <c r="AE164" s="503"/>
      <c r="AF164" s="505"/>
      <c r="AG164" s="504"/>
      <c r="AH164" s="505"/>
      <c r="AI164" s="504"/>
      <c r="AJ164" s="505"/>
      <c r="AK164" s="504"/>
      <c r="AL164" s="505"/>
      <c r="AM164" s="503"/>
      <c r="AN164" s="503"/>
      <c r="AO164" s="503"/>
      <c r="AP164" s="503"/>
      <c r="AQ164" s="503"/>
      <c r="AR164" s="503"/>
      <c r="AS164" s="504"/>
      <c r="AT164" s="505"/>
      <c r="AU164" s="503"/>
      <c r="AV164" s="503"/>
      <c r="AW164" s="504"/>
      <c r="AX164" s="505"/>
      <c r="AY164" s="503"/>
      <c r="AZ164" s="503"/>
      <c r="BA164" s="504"/>
      <c r="BB164" s="505"/>
      <c r="BC164" s="502"/>
      <c r="BD164" s="502"/>
      <c r="BE164" s="502"/>
      <c r="BF164" s="502"/>
      <c r="BH164" s="1536">
        <f>SUM(E164:BG164)</f>
        <v>0</v>
      </c>
      <c r="BJ164" s="489">
        <v>0</v>
      </c>
    </row>
    <row r="165" spans="1:63" s="481" customFormat="1" x14ac:dyDescent="0.3">
      <c r="A165" s="467"/>
      <c r="B165" s="498" t="s">
        <v>1259</v>
      </c>
      <c r="C165" s="498" t="s">
        <v>1260</v>
      </c>
      <c r="E165" s="499"/>
      <c r="F165" s="483"/>
      <c r="G165" s="500"/>
      <c r="H165" s="501"/>
      <c r="I165" s="500"/>
      <c r="J165" s="501"/>
      <c r="K165" s="500"/>
      <c r="L165" s="501"/>
      <c r="M165" s="500"/>
      <c r="N165" s="501"/>
      <c r="O165" s="500"/>
      <c r="P165" s="501"/>
      <c r="Q165" s="502"/>
      <c r="R165" s="502"/>
      <c r="S165" s="502"/>
      <c r="T165" s="502"/>
      <c r="U165" s="502"/>
      <c r="V165" s="502"/>
      <c r="W165" s="502"/>
      <c r="X165" s="502"/>
      <c r="Y165" s="503"/>
      <c r="Z165" s="504"/>
      <c r="AA165" s="505"/>
      <c r="AB165" s="504"/>
      <c r="AC165" s="505"/>
      <c r="AD165" s="504"/>
      <c r="AE165" s="503"/>
      <c r="AF165" s="505"/>
      <c r="AG165" s="504"/>
      <c r="AH165" s="505"/>
      <c r="AI165" s="504"/>
      <c r="AJ165" s="505"/>
      <c r="AK165" s="504"/>
      <c r="AL165" s="505"/>
      <c r="AM165" s="503"/>
      <c r="AN165" s="503"/>
      <c r="AO165" s="503"/>
      <c r="AP165" s="503"/>
      <c r="AQ165" s="503"/>
      <c r="AR165" s="503"/>
      <c r="AS165" s="504"/>
      <c r="AT165" s="505"/>
      <c r="AU165" s="503"/>
      <c r="AV165" s="503"/>
      <c r="AW165" s="504"/>
      <c r="AX165" s="505"/>
      <c r="AY165" s="503"/>
      <c r="AZ165" s="503"/>
      <c r="BA165" s="504"/>
      <c r="BB165" s="505"/>
      <c r="BC165" s="502"/>
      <c r="BD165" s="502"/>
      <c r="BE165" s="502"/>
      <c r="BF165" s="502"/>
      <c r="BH165" s="1536">
        <f>SUM(E165:BG165)</f>
        <v>0</v>
      </c>
      <c r="BJ165" s="489">
        <v>0</v>
      </c>
    </row>
    <row r="166" spans="1:63" s="6" customFormat="1" ht="21.9" customHeight="1" thickBot="1" x14ac:dyDescent="0.35">
      <c r="B166" s="507" t="s">
        <v>1261</v>
      </c>
      <c r="C166" s="507" t="s">
        <v>1262</v>
      </c>
      <c r="D166" s="527"/>
      <c r="E166" s="513">
        <f>+SUM(E158:E160)</f>
        <v>33029.081002000006</v>
      </c>
      <c r="F166" s="509"/>
      <c r="G166" s="510">
        <f>SUM(G158:G165)</f>
        <v>0</v>
      </c>
      <c r="H166" s="510">
        <f t="shared" ref="H166:BH166" si="20">SUM(H158:H165)</f>
        <v>0</v>
      </c>
      <c r="I166" s="510">
        <f t="shared" si="20"/>
        <v>0</v>
      </c>
      <c r="J166" s="510">
        <f t="shared" si="20"/>
        <v>0</v>
      </c>
      <c r="K166" s="510">
        <f t="shared" si="20"/>
        <v>0</v>
      </c>
      <c r="L166" s="510">
        <f t="shared" si="20"/>
        <v>0</v>
      </c>
      <c r="M166" s="510">
        <f t="shared" si="20"/>
        <v>0</v>
      </c>
      <c r="N166" s="510">
        <f t="shared" si="20"/>
        <v>0</v>
      </c>
      <c r="O166" s="510">
        <f t="shared" si="20"/>
        <v>0</v>
      </c>
      <c r="P166" s="510">
        <f t="shared" si="20"/>
        <v>0</v>
      </c>
      <c r="Q166" s="510">
        <f t="shared" si="20"/>
        <v>0</v>
      </c>
      <c r="R166" s="510">
        <f t="shared" si="20"/>
        <v>0</v>
      </c>
      <c r="S166" s="510">
        <f t="shared" si="20"/>
        <v>0</v>
      </c>
      <c r="T166" s="563">
        <f>SUM(T158:T165)</f>
        <v>-10.472865000003367</v>
      </c>
      <c r="U166" s="510">
        <f t="shared" si="20"/>
        <v>0</v>
      </c>
      <c r="V166" s="510">
        <f t="shared" si="20"/>
        <v>-24399.507383</v>
      </c>
      <c r="W166" s="510">
        <f t="shared" si="20"/>
        <v>0</v>
      </c>
      <c r="X166" s="510">
        <f t="shared" si="20"/>
        <v>0</v>
      </c>
      <c r="Y166" s="510">
        <f t="shared" si="20"/>
        <v>0</v>
      </c>
      <c r="Z166" s="510">
        <f t="shared" si="20"/>
        <v>0</v>
      </c>
      <c r="AA166" s="510">
        <f t="shared" si="20"/>
        <v>0</v>
      </c>
      <c r="AB166" s="510">
        <f t="shared" si="20"/>
        <v>0</v>
      </c>
      <c r="AC166" s="510">
        <f t="shared" si="20"/>
        <v>0</v>
      </c>
      <c r="AD166" s="510">
        <f t="shared" si="20"/>
        <v>0</v>
      </c>
      <c r="AE166" s="510">
        <f t="shared" si="20"/>
        <v>0</v>
      </c>
      <c r="AF166" s="510">
        <f t="shared" si="20"/>
        <v>0</v>
      </c>
      <c r="AG166" s="510">
        <f t="shared" si="20"/>
        <v>0</v>
      </c>
      <c r="AH166" s="510">
        <f t="shared" si="20"/>
        <v>0</v>
      </c>
      <c r="AI166" s="510">
        <f t="shared" si="20"/>
        <v>0</v>
      </c>
      <c r="AJ166" s="510">
        <f t="shared" si="20"/>
        <v>0</v>
      </c>
      <c r="AK166" s="510">
        <f t="shared" si="20"/>
        <v>0</v>
      </c>
      <c r="AL166" s="510">
        <f t="shared" si="20"/>
        <v>0</v>
      </c>
      <c r="AM166" s="510">
        <f t="shared" si="20"/>
        <v>0</v>
      </c>
      <c r="AN166" s="510">
        <f t="shared" si="20"/>
        <v>0</v>
      </c>
      <c r="AO166" s="510">
        <f t="shared" si="20"/>
        <v>0</v>
      </c>
      <c r="AP166" s="510">
        <f t="shared" si="20"/>
        <v>0</v>
      </c>
      <c r="AQ166" s="510">
        <f t="shared" si="20"/>
        <v>0</v>
      </c>
      <c r="AR166" s="510">
        <f t="shared" si="20"/>
        <v>0</v>
      </c>
      <c r="AS166" s="510">
        <f t="shared" si="20"/>
        <v>0</v>
      </c>
      <c r="AT166" s="510">
        <f t="shared" si="20"/>
        <v>0</v>
      </c>
      <c r="AU166" s="510">
        <f t="shared" si="20"/>
        <v>0</v>
      </c>
      <c r="AV166" s="510">
        <f t="shared" si="20"/>
        <v>0</v>
      </c>
      <c r="AW166" s="510">
        <f t="shared" si="20"/>
        <v>0</v>
      </c>
      <c r="AX166" s="510">
        <f t="shared" si="20"/>
        <v>0</v>
      </c>
      <c r="AY166" s="510">
        <f t="shared" si="20"/>
        <v>0</v>
      </c>
      <c r="AZ166" s="510">
        <f t="shared" si="20"/>
        <v>0</v>
      </c>
      <c r="BA166" s="510">
        <f t="shared" si="20"/>
        <v>0</v>
      </c>
      <c r="BB166" s="510">
        <f t="shared" si="20"/>
        <v>0</v>
      </c>
      <c r="BC166" s="510">
        <f t="shared" si="20"/>
        <v>0</v>
      </c>
      <c r="BD166" s="510">
        <f t="shared" si="20"/>
        <v>0</v>
      </c>
      <c r="BE166" s="510">
        <f t="shared" si="20"/>
        <v>0</v>
      </c>
      <c r="BF166" s="510">
        <f t="shared" si="20"/>
        <v>0</v>
      </c>
      <c r="BG166" s="527"/>
      <c r="BH166" s="1540">
        <f t="shared" si="20"/>
        <v>8619.1007540000028</v>
      </c>
      <c r="BJ166" s="528">
        <v>16557.195230000001</v>
      </c>
    </row>
    <row r="167" spans="1:63" s="481" customFormat="1" ht="12" customHeight="1" x14ac:dyDescent="0.3">
      <c r="A167" s="467"/>
      <c r="B167" s="467"/>
      <c r="C167" s="467"/>
      <c r="E167" s="529"/>
      <c r="F167" s="483"/>
      <c r="G167" s="564"/>
      <c r="H167" s="565"/>
      <c r="I167" s="564"/>
      <c r="J167" s="565"/>
      <c r="K167" s="564"/>
      <c r="L167" s="565"/>
      <c r="M167" s="564"/>
      <c r="N167" s="565"/>
      <c r="O167" s="564"/>
      <c r="P167" s="565"/>
      <c r="Q167" s="566"/>
      <c r="R167" s="566"/>
      <c r="S167" s="566"/>
      <c r="T167" s="566"/>
      <c r="U167" s="567"/>
      <c r="V167" s="566"/>
      <c r="W167" s="566"/>
      <c r="X167" s="566"/>
      <c r="Y167" s="567"/>
      <c r="Z167" s="568"/>
      <c r="AA167" s="569"/>
      <c r="AB167" s="568"/>
      <c r="AC167" s="569"/>
      <c r="AD167" s="568"/>
      <c r="AE167" s="570"/>
      <c r="AF167" s="569"/>
      <c r="AG167" s="568"/>
      <c r="AH167" s="569"/>
      <c r="AI167" s="568"/>
      <c r="AJ167" s="569"/>
      <c r="AK167" s="568"/>
      <c r="AL167" s="569"/>
      <c r="AM167" s="570"/>
      <c r="AN167" s="570"/>
      <c r="AO167" s="570"/>
      <c r="AP167" s="570"/>
      <c r="AQ167" s="567"/>
      <c r="AR167" s="567"/>
      <c r="AS167" s="568"/>
      <c r="AT167" s="569"/>
      <c r="AU167" s="567"/>
      <c r="AV167" s="567"/>
      <c r="AW167" s="568"/>
      <c r="AX167" s="569"/>
      <c r="AY167" s="567"/>
      <c r="AZ167" s="567"/>
      <c r="BA167" s="568"/>
      <c r="BB167" s="569"/>
      <c r="BC167" s="566"/>
      <c r="BD167" s="566"/>
      <c r="BE167" s="566"/>
      <c r="BF167" s="566"/>
      <c r="BH167" s="1538"/>
      <c r="BJ167" s="489"/>
    </row>
    <row r="168" spans="1:63" x14ac:dyDescent="0.3">
      <c r="C168" s="480" t="s">
        <v>1263</v>
      </c>
      <c r="E168" s="482">
        <f>+'Bilan Actif'!F46/10^6</f>
        <v>125.992774</v>
      </c>
      <c r="F168" s="483"/>
      <c r="G168" s="484"/>
      <c r="H168" s="485"/>
      <c r="I168" s="484"/>
      <c r="J168" s="485"/>
      <c r="K168" s="484"/>
      <c r="L168" s="485"/>
      <c r="M168" s="484"/>
      <c r="N168" s="485"/>
      <c r="O168" s="484"/>
      <c r="P168" s="485"/>
      <c r="Q168" s="486"/>
      <c r="R168" s="486"/>
      <c r="S168" s="486"/>
      <c r="T168" s="486"/>
      <c r="U168" s="482"/>
      <c r="V168" s="486"/>
      <c r="W168" s="486"/>
      <c r="X168" s="486"/>
      <c r="Y168" s="482"/>
      <c r="Z168" s="487"/>
      <c r="AA168" s="488"/>
      <c r="AB168" s="487"/>
      <c r="AC168" s="488"/>
      <c r="AD168" s="487"/>
      <c r="AE168" s="482"/>
      <c r="AF168" s="488"/>
      <c r="AG168" s="487"/>
      <c r="AH168" s="488"/>
      <c r="AI168" s="487"/>
      <c r="AJ168" s="488"/>
      <c r="AK168" s="487"/>
      <c r="AL168" s="488"/>
      <c r="AM168" s="482"/>
      <c r="AN168" s="482"/>
      <c r="AO168" s="482"/>
      <c r="AP168" s="482"/>
      <c r="AQ168" s="482"/>
      <c r="AR168" s="482"/>
      <c r="AS168" s="487"/>
      <c r="AT168" s="488"/>
      <c r="AU168" s="482"/>
      <c r="AV168" s="482"/>
      <c r="AW168" s="487"/>
      <c r="AX168" s="488"/>
      <c r="AY168" s="482"/>
      <c r="AZ168" s="482"/>
      <c r="BA168" s="571">
        <f>-228.073865-160.682246-208.372387+205.183512-145.669848-201.865698-89.011717+291.024975+126.740934</f>
        <v>-410.72634000000011</v>
      </c>
      <c r="BB168" s="488">
        <f>-SUM('BG '!H269:I270)/10^6</f>
        <v>284.733566</v>
      </c>
      <c r="BC168" s="486"/>
      <c r="BD168" s="486"/>
      <c r="BE168" s="486"/>
      <c r="BF168" s="486"/>
      <c r="BH168" s="1534">
        <f>SUM(E168:BG168)</f>
        <v>0</v>
      </c>
      <c r="BJ168" s="489">
        <v>0</v>
      </c>
      <c r="BK168" s="460"/>
    </row>
    <row r="169" spans="1:63" ht="12" customHeight="1" x14ac:dyDescent="0.3">
      <c r="E169" s="490"/>
      <c r="F169" s="483"/>
      <c r="G169" s="491"/>
      <c r="H169" s="492"/>
      <c r="I169" s="491"/>
      <c r="J169" s="492"/>
      <c r="K169" s="491"/>
      <c r="L169" s="492"/>
      <c r="M169" s="491"/>
      <c r="N169" s="492"/>
      <c r="O169" s="491"/>
      <c r="P169" s="492"/>
      <c r="Q169" s="493"/>
      <c r="R169" s="493"/>
      <c r="S169" s="493"/>
      <c r="T169" s="493"/>
      <c r="U169" s="494"/>
      <c r="V169" s="493"/>
      <c r="W169" s="493"/>
      <c r="X169" s="493"/>
      <c r="Y169" s="494"/>
      <c r="Z169" s="495"/>
      <c r="AA169" s="496"/>
      <c r="AB169" s="495"/>
      <c r="AC169" s="496"/>
      <c r="AD169" s="495"/>
      <c r="AE169" s="494"/>
      <c r="AF169" s="496"/>
      <c r="AG169" s="495"/>
      <c r="AH169" s="496"/>
      <c r="AI169" s="495"/>
      <c r="AJ169" s="496"/>
      <c r="AK169" s="495"/>
      <c r="AL169" s="496"/>
      <c r="AM169" s="494"/>
      <c r="AN169" s="494"/>
      <c r="AO169" s="494"/>
      <c r="AP169" s="494"/>
      <c r="AQ169" s="494"/>
      <c r="AR169" s="494"/>
      <c r="AS169" s="495"/>
      <c r="AT169" s="496"/>
      <c r="AU169" s="494"/>
      <c r="AV169" s="494"/>
      <c r="AW169" s="495"/>
      <c r="AX169" s="496"/>
      <c r="AY169" s="494"/>
      <c r="AZ169" s="494"/>
      <c r="BA169" s="495"/>
      <c r="BB169" s="496"/>
      <c r="BC169" s="493"/>
      <c r="BD169" s="493"/>
      <c r="BE169" s="493"/>
      <c r="BF169" s="493"/>
      <c r="BH169" s="1535"/>
      <c r="BJ169" s="489"/>
    </row>
    <row r="170" spans="1:63" x14ac:dyDescent="0.3">
      <c r="B170" s="498" t="s">
        <v>1264</v>
      </c>
      <c r="C170" s="498" t="s">
        <v>1265</v>
      </c>
      <c r="E170" s="499"/>
      <c r="F170" s="483"/>
      <c r="G170" s="500"/>
      <c r="H170" s="501"/>
      <c r="I170" s="500"/>
      <c r="J170" s="501"/>
      <c r="K170" s="500"/>
      <c r="L170" s="501"/>
      <c r="M170" s="500"/>
      <c r="N170" s="501"/>
      <c r="O170" s="500"/>
      <c r="P170" s="501"/>
      <c r="Q170" s="502"/>
      <c r="R170" s="502"/>
      <c r="S170" s="502"/>
      <c r="T170" s="502"/>
      <c r="U170" s="503"/>
      <c r="V170" s="502"/>
      <c r="W170" s="502"/>
      <c r="X170" s="502"/>
      <c r="Y170" s="503"/>
      <c r="Z170" s="504"/>
      <c r="AA170" s="505"/>
      <c r="AB170" s="504"/>
      <c r="AC170" s="505"/>
      <c r="AD170" s="504"/>
      <c r="AE170" s="503"/>
      <c r="AF170" s="505"/>
      <c r="AG170" s="504"/>
      <c r="AH170" s="505"/>
      <c r="AI170" s="504"/>
      <c r="AJ170" s="505"/>
      <c r="AK170" s="504"/>
      <c r="AL170" s="505"/>
      <c r="AM170" s="503"/>
      <c r="AN170" s="503"/>
      <c r="AO170" s="503"/>
      <c r="AP170" s="503"/>
      <c r="AQ170" s="503"/>
      <c r="AR170" s="503"/>
      <c r="AS170" s="504"/>
      <c r="AT170" s="505"/>
      <c r="AU170" s="503"/>
      <c r="AV170" s="503"/>
      <c r="AW170" s="504"/>
      <c r="AX170" s="505"/>
      <c r="AY170" s="503"/>
      <c r="AZ170" s="503"/>
      <c r="BA170" s="504"/>
      <c r="BB170" s="505"/>
      <c r="BC170" s="502"/>
      <c r="BD170" s="502"/>
      <c r="BE170" s="502"/>
      <c r="BF170" s="502"/>
      <c r="BH170" s="1536">
        <f>SUM(E170:BG170)</f>
        <v>0</v>
      </c>
      <c r="BI170" s="572"/>
      <c r="BJ170" s="489">
        <v>0</v>
      </c>
    </row>
    <row r="171" spans="1:63" s="6" customFormat="1" ht="21.9" customHeight="1" thickBot="1" x14ac:dyDescent="0.35">
      <c r="B171" s="507" t="s">
        <v>1266</v>
      </c>
      <c r="C171" s="507" t="s">
        <v>1267</v>
      </c>
      <c r="D171" s="527"/>
      <c r="E171" s="513"/>
      <c r="F171" s="509"/>
      <c r="G171" s="510">
        <f t="shared" ref="G171:BH171" si="21">+G170</f>
        <v>0</v>
      </c>
      <c r="H171" s="511">
        <f t="shared" si="21"/>
        <v>0</v>
      </c>
      <c r="I171" s="510">
        <f t="shared" si="21"/>
        <v>0</v>
      </c>
      <c r="J171" s="511">
        <f t="shared" si="21"/>
        <v>0</v>
      </c>
      <c r="K171" s="510">
        <f t="shared" si="21"/>
        <v>0</v>
      </c>
      <c r="L171" s="511">
        <f t="shared" si="21"/>
        <v>0</v>
      </c>
      <c r="M171" s="510">
        <f t="shared" si="21"/>
        <v>0</v>
      </c>
      <c r="N171" s="511">
        <f t="shared" si="21"/>
        <v>0</v>
      </c>
      <c r="O171" s="510">
        <f t="shared" si="21"/>
        <v>0</v>
      </c>
      <c r="P171" s="511">
        <f t="shared" si="21"/>
        <v>0</v>
      </c>
      <c r="Q171" s="512">
        <f t="shared" si="21"/>
        <v>0</v>
      </c>
      <c r="R171" s="512">
        <f t="shared" si="21"/>
        <v>0</v>
      </c>
      <c r="S171" s="512">
        <f t="shared" si="21"/>
        <v>0</v>
      </c>
      <c r="T171" s="512">
        <f t="shared" si="21"/>
        <v>0</v>
      </c>
      <c r="U171" s="513">
        <f t="shared" si="21"/>
        <v>0</v>
      </c>
      <c r="V171" s="512">
        <f t="shared" si="21"/>
        <v>0</v>
      </c>
      <c r="W171" s="512">
        <f t="shared" si="21"/>
        <v>0</v>
      </c>
      <c r="X171" s="512">
        <f t="shared" si="21"/>
        <v>0</v>
      </c>
      <c r="Y171" s="513">
        <f t="shared" si="21"/>
        <v>0</v>
      </c>
      <c r="Z171" s="514">
        <f t="shared" si="21"/>
        <v>0</v>
      </c>
      <c r="AA171" s="515">
        <f t="shared" si="21"/>
        <v>0</v>
      </c>
      <c r="AB171" s="514">
        <f t="shared" si="21"/>
        <v>0</v>
      </c>
      <c r="AC171" s="515">
        <f t="shared" si="21"/>
        <v>0</v>
      </c>
      <c r="AD171" s="514">
        <f t="shared" si="21"/>
        <v>0</v>
      </c>
      <c r="AE171" s="513">
        <f t="shared" si="21"/>
        <v>0</v>
      </c>
      <c r="AF171" s="515">
        <f t="shared" si="21"/>
        <v>0</v>
      </c>
      <c r="AG171" s="514">
        <f t="shared" si="21"/>
        <v>0</v>
      </c>
      <c r="AH171" s="515">
        <f t="shared" si="21"/>
        <v>0</v>
      </c>
      <c r="AI171" s="515">
        <f t="shared" si="21"/>
        <v>0</v>
      </c>
      <c r="AJ171" s="515">
        <f t="shared" si="21"/>
        <v>0</v>
      </c>
      <c r="AK171" s="515">
        <f t="shared" si="21"/>
        <v>0</v>
      </c>
      <c r="AL171" s="515">
        <f t="shared" si="21"/>
        <v>0</v>
      </c>
      <c r="AM171" s="515">
        <f t="shared" si="21"/>
        <v>0</v>
      </c>
      <c r="AN171" s="515">
        <f t="shared" si="21"/>
        <v>0</v>
      </c>
      <c r="AO171" s="515">
        <f t="shared" si="21"/>
        <v>0</v>
      </c>
      <c r="AP171" s="515">
        <f t="shared" si="21"/>
        <v>0</v>
      </c>
      <c r="AQ171" s="515">
        <f t="shared" si="21"/>
        <v>0</v>
      </c>
      <c r="AR171" s="513">
        <f t="shared" si="21"/>
        <v>0</v>
      </c>
      <c r="AS171" s="514">
        <f t="shared" si="21"/>
        <v>0</v>
      </c>
      <c r="AT171" s="515">
        <f t="shared" si="21"/>
        <v>0</v>
      </c>
      <c r="AU171" s="513">
        <f t="shared" si="21"/>
        <v>0</v>
      </c>
      <c r="AV171" s="513">
        <f t="shared" si="21"/>
        <v>0</v>
      </c>
      <c r="AW171" s="514">
        <f t="shared" si="21"/>
        <v>0</v>
      </c>
      <c r="AX171" s="515">
        <f t="shared" si="21"/>
        <v>0</v>
      </c>
      <c r="AY171" s="513">
        <f t="shared" si="21"/>
        <v>0</v>
      </c>
      <c r="AZ171" s="513">
        <f t="shared" si="21"/>
        <v>0</v>
      </c>
      <c r="BA171" s="514">
        <f t="shared" si="21"/>
        <v>0</v>
      </c>
      <c r="BB171" s="515">
        <f t="shared" si="21"/>
        <v>0</v>
      </c>
      <c r="BC171" s="512">
        <f t="shared" si="21"/>
        <v>0</v>
      </c>
      <c r="BD171" s="512">
        <f t="shared" si="21"/>
        <v>0</v>
      </c>
      <c r="BE171" s="512">
        <f t="shared" si="21"/>
        <v>0</v>
      </c>
      <c r="BF171" s="512">
        <f t="shared" si="21"/>
        <v>0</v>
      </c>
      <c r="BG171" s="527"/>
      <c r="BH171" s="1539">
        <f t="shared" si="21"/>
        <v>0</v>
      </c>
      <c r="BJ171" s="528">
        <v>0</v>
      </c>
    </row>
    <row r="172" spans="1:63" ht="12" customHeight="1" thickBot="1" x14ac:dyDescent="0.35">
      <c r="E172" s="490"/>
      <c r="F172" s="483"/>
      <c r="G172" s="491"/>
      <c r="H172" s="492"/>
      <c r="I172" s="491"/>
      <c r="J172" s="492"/>
      <c r="K172" s="491"/>
      <c r="L172" s="492"/>
      <c r="M172" s="491"/>
      <c r="N172" s="492"/>
      <c r="O172" s="491"/>
      <c r="P172" s="492"/>
      <c r="Q172" s="493"/>
      <c r="R172" s="493"/>
      <c r="S172" s="493"/>
      <c r="T172" s="493"/>
      <c r="U172" s="494"/>
      <c r="V172" s="493"/>
      <c r="W172" s="493"/>
      <c r="X172" s="493"/>
      <c r="Y172" s="494"/>
      <c r="Z172" s="495"/>
      <c r="AA172" s="496"/>
      <c r="AB172" s="495"/>
      <c r="AC172" s="496"/>
      <c r="AD172" s="495"/>
      <c r="AE172" s="494"/>
      <c r="AF172" s="496"/>
      <c r="AG172" s="495"/>
      <c r="AH172" s="496"/>
      <c r="AI172" s="495"/>
      <c r="AJ172" s="496"/>
      <c r="AK172" s="495"/>
      <c r="AL172" s="496"/>
      <c r="AM172" s="494"/>
      <c r="AN172" s="494"/>
      <c r="AO172" s="494"/>
      <c r="AP172" s="494"/>
      <c r="AQ172" s="494"/>
      <c r="AR172" s="494"/>
      <c r="AS172" s="495"/>
      <c r="AT172" s="496"/>
      <c r="AU172" s="494"/>
      <c r="AV172" s="494"/>
      <c r="AW172" s="495"/>
      <c r="AX172" s="496"/>
      <c r="AY172" s="494"/>
      <c r="AZ172" s="494"/>
      <c r="BA172" s="495"/>
      <c r="BB172" s="496"/>
      <c r="BC172" s="493"/>
      <c r="BD172" s="493"/>
      <c r="BE172" s="493"/>
      <c r="BF172" s="493"/>
      <c r="BH172" s="1535"/>
      <c r="BJ172" s="489"/>
    </row>
    <row r="173" spans="1:63" s="532" customFormat="1" ht="26.25" customHeight="1" thickBot="1" x14ac:dyDescent="0.35">
      <c r="B173" s="533" t="s">
        <v>1268</v>
      </c>
      <c r="C173" s="534" t="s">
        <v>1269</v>
      </c>
      <c r="D173" s="573"/>
      <c r="E173" s="536">
        <f>+E171+E168+E166+E156+E141+E108+E105</f>
        <v>74392.640938000011</v>
      </c>
      <c r="F173" s="509"/>
      <c r="G173" s="536">
        <f>+G171+G168+G166+G156+G141+G108+G105</f>
        <v>0</v>
      </c>
      <c r="H173" s="536">
        <f t="shared" ref="H173:BF173" si="22">+H171+H168+H166+H156+H141+H108+H105</f>
        <v>0</v>
      </c>
      <c r="I173" s="536">
        <f t="shared" si="22"/>
        <v>0</v>
      </c>
      <c r="J173" s="536">
        <f t="shared" si="22"/>
        <v>0</v>
      </c>
      <c r="K173" s="536">
        <f t="shared" si="22"/>
        <v>0</v>
      </c>
      <c r="L173" s="536">
        <f t="shared" si="22"/>
        <v>0</v>
      </c>
      <c r="M173" s="536">
        <f t="shared" si="22"/>
        <v>0</v>
      </c>
      <c r="N173" s="536">
        <f t="shared" si="22"/>
        <v>0</v>
      </c>
      <c r="O173" s="536">
        <f t="shared" si="22"/>
        <v>0</v>
      </c>
      <c r="P173" s="536">
        <f t="shared" si="22"/>
        <v>0</v>
      </c>
      <c r="Q173" s="536">
        <f t="shared" si="22"/>
        <v>0</v>
      </c>
      <c r="R173" s="536">
        <f t="shared" si="22"/>
        <v>0</v>
      </c>
      <c r="S173" s="536">
        <f t="shared" si="22"/>
        <v>533.177863</v>
      </c>
      <c r="T173" s="536">
        <f>+T171+T168+T166+T156+T141+T108+T105</f>
        <v>-1.8189894035458565E-12</v>
      </c>
      <c r="U173" s="536">
        <f t="shared" si="22"/>
        <v>0</v>
      </c>
      <c r="V173" s="536">
        <f t="shared" si="22"/>
        <v>-24399.507383</v>
      </c>
      <c r="W173" s="536">
        <f t="shared" si="22"/>
        <v>0</v>
      </c>
      <c r="X173" s="536">
        <f t="shared" si="22"/>
        <v>0</v>
      </c>
      <c r="Y173" s="536">
        <f t="shared" si="22"/>
        <v>0</v>
      </c>
      <c r="Z173" s="536">
        <f t="shared" si="22"/>
        <v>0</v>
      </c>
      <c r="AA173" s="536">
        <f t="shared" si="22"/>
        <v>0</v>
      </c>
      <c r="AB173" s="536">
        <f t="shared" si="22"/>
        <v>0</v>
      </c>
      <c r="AC173" s="536">
        <f t="shared" si="22"/>
        <v>0</v>
      </c>
      <c r="AD173" s="536">
        <f t="shared" si="22"/>
        <v>-155.961522</v>
      </c>
      <c r="AE173" s="536">
        <f t="shared" si="22"/>
        <v>-759.49458200000004</v>
      </c>
      <c r="AF173" s="536">
        <f t="shared" si="22"/>
        <v>525.84003600000005</v>
      </c>
      <c r="AG173" s="536">
        <f t="shared" si="22"/>
        <v>0</v>
      </c>
      <c r="AH173" s="536">
        <f t="shared" si="22"/>
        <v>0</v>
      </c>
      <c r="AI173" s="536">
        <f t="shared" si="22"/>
        <v>0</v>
      </c>
      <c r="AJ173" s="536">
        <f t="shared" si="22"/>
        <v>0</v>
      </c>
      <c r="AK173" s="536">
        <f t="shared" si="22"/>
        <v>0</v>
      </c>
      <c r="AL173" s="536">
        <f t="shared" si="22"/>
        <v>0</v>
      </c>
      <c r="AM173" s="536">
        <f t="shared" si="22"/>
        <v>0</v>
      </c>
      <c r="AN173" s="536">
        <f>+AN171+AN168+AN166+AN156+AN141+AN108+AN105</f>
        <v>0</v>
      </c>
      <c r="AO173" s="536">
        <f t="shared" si="22"/>
        <v>0</v>
      </c>
      <c r="AP173" s="536">
        <f t="shared" si="22"/>
        <v>0</v>
      </c>
      <c r="AQ173" s="536">
        <f t="shared" si="22"/>
        <v>0</v>
      </c>
      <c r="AR173" s="536">
        <f t="shared" si="22"/>
        <v>0</v>
      </c>
      <c r="AS173" s="536">
        <f t="shared" si="22"/>
        <v>0</v>
      </c>
      <c r="AT173" s="536">
        <f t="shared" si="22"/>
        <v>0</v>
      </c>
      <c r="AU173" s="536">
        <f t="shared" si="22"/>
        <v>0</v>
      </c>
      <c r="AV173" s="536">
        <f t="shared" si="22"/>
        <v>0</v>
      </c>
      <c r="AW173" s="536">
        <f t="shared" si="22"/>
        <v>0</v>
      </c>
      <c r="AX173" s="536">
        <f t="shared" si="22"/>
        <v>0</v>
      </c>
      <c r="AY173" s="536">
        <f t="shared" si="22"/>
        <v>0</v>
      </c>
      <c r="AZ173" s="536">
        <f t="shared" si="22"/>
        <v>0</v>
      </c>
      <c r="BA173" s="536">
        <f t="shared" si="22"/>
        <v>-410.72634000000011</v>
      </c>
      <c r="BB173" s="536">
        <f t="shared" si="22"/>
        <v>284.733566</v>
      </c>
      <c r="BC173" s="536">
        <f t="shared" si="22"/>
        <v>-1.951335</v>
      </c>
      <c r="BD173" s="536">
        <f t="shared" si="22"/>
        <v>0</v>
      </c>
      <c r="BE173" s="536">
        <f t="shared" si="22"/>
        <v>0</v>
      </c>
      <c r="BF173" s="536">
        <f t="shared" si="22"/>
        <v>0</v>
      </c>
      <c r="BG173" s="573"/>
      <c r="BH173" s="1541">
        <f>+BH171+BH168+BH166+BH156+BH141+BH108+BH105</f>
        <v>50008.751241000005</v>
      </c>
      <c r="BJ173" s="574">
        <v>60379.025587999997</v>
      </c>
    </row>
    <row r="174" spans="1:63" ht="12" customHeight="1" thickBot="1" x14ac:dyDescent="0.35">
      <c r="A174" s="540"/>
      <c r="B174" s="540"/>
      <c r="D174" s="541"/>
      <c r="E174" s="542"/>
      <c r="F174" s="543"/>
      <c r="G174" s="544"/>
      <c r="H174" s="545"/>
      <c r="I174" s="544"/>
      <c r="J174" s="545"/>
      <c r="K174" s="544"/>
      <c r="L174" s="545"/>
      <c r="M174" s="544"/>
      <c r="N174" s="545"/>
      <c r="O174" s="544"/>
      <c r="P174" s="545"/>
      <c r="Q174" s="546"/>
      <c r="R174" s="546"/>
      <c r="S174" s="546"/>
      <c r="T174" s="546"/>
      <c r="U174" s="547"/>
      <c r="V174" s="546"/>
      <c r="W174" s="546"/>
      <c r="X174" s="546"/>
      <c r="Y174" s="547"/>
      <c r="Z174" s="548"/>
      <c r="AA174" s="549"/>
      <c r="AB174" s="548"/>
      <c r="AC174" s="549"/>
      <c r="AD174" s="548"/>
      <c r="AE174" s="547"/>
      <c r="AF174" s="549"/>
      <c r="AG174" s="548"/>
      <c r="AH174" s="549"/>
      <c r="AI174" s="548"/>
      <c r="AJ174" s="549"/>
      <c r="AK174" s="548"/>
      <c r="AL174" s="549"/>
      <c r="AM174" s="547"/>
      <c r="AN174" s="547"/>
      <c r="AO174" s="547"/>
      <c r="AP174" s="547"/>
      <c r="AQ174" s="547"/>
      <c r="AR174" s="547"/>
      <c r="AS174" s="548"/>
      <c r="AT174" s="549"/>
      <c r="AU174" s="547"/>
      <c r="AV174" s="547"/>
      <c r="AW174" s="548"/>
      <c r="AX174" s="549"/>
      <c r="AY174" s="547"/>
      <c r="AZ174" s="547"/>
      <c r="BA174" s="548"/>
      <c r="BB174" s="549"/>
      <c r="BC174" s="546"/>
      <c r="BD174" s="546"/>
      <c r="BE174" s="546"/>
      <c r="BF174" s="546"/>
      <c r="BG174" s="541"/>
      <c r="BH174" s="1542"/>
      <c r="BI174" s="550"/>
      <c r="BJ174" s="551"/>
      <c r="BK174" s="550"/>
    </row>
    <row r="175" spans="1:63" ht="12" customHeight="1" x14ac:dyDescent="0.3">
      <c r="E175" s="490"/>
      <c r="F175" s="483"/>
      <c r="G175" s="491"/>
      <c r="H175" s="492"/>
      <c r="I175" s="491"/>
      <c r="J175" s="492"/>
      <c r="K175" s="491"/>
      <c r="L175" s="492"/>
      <c r="M175" s="491"/>
      <c r="N175" s="492"/>
      <c r="O175" s="491"/>
      <c r="P175" s="492"/>
      <c r="Q175" s="493"/>
      <c r="R175" s="493"/>
      <c r="S175" s="493"/>
      <c r="T175" s="493"/>
      <c r="U175" s="494"/>
      <c r="V175" s="493"/>
      <c r="W175" s="493"/>
      <c r="X175" s="493"/>
      <c r="Y175" s="494"/>
      <c r="Z175" s="495"/>
      <c r="AA175" s="496"/>
      <c r="AB175" s="495"/>
      <c r="AC175" s="496"/>
      <c r="AD175" s="495"/>
      <c r="AE175" s="494"/>
      <c r="AF175" s="496"/>
      <c r="AG175" s="495"/>
      <c r="AH175" s="496"/>
      <c r="AI175" s="495"/>
      <c r="AJ175" s="496"/>
      <c r="AK175" s="495"/>
      <c r="AL175" s="496"/>
      <c r="AM175" s="494"/>
      <c r="AN175" s="494"/>
      <c r="AO175" s="494"/>
      <c r="AP175" s="494"/>
      <c r="AQ175" s="494"/>
      <c r="AR175" s="494"/>
      <c r="AS175" s="495"/>
      <c r="AT175" s="496"/>
      <c r="AU175" s="494"/>
      <c r="AV175" s="494"/>
      <c r="AW175" s="495"/>
      <c r="AX175" s="496"/>
      <c r="AY175" s="494"/>
      <c r="AZ175" s="494"/>
      <c r="BA175" s="495"/>
      <c r="BB175" s="496"/>
      <c r="BC175" s="493"/>
      <c r="BD175" s="493"/>
      <c r="BE175" s="493"/>
      <c r="BF175" s="493"/>
      <c r="BH175" s="1543"/>
      <c r="BJ175" s="489"/>
    </row>
    <row r="176" spans="1:63" s="6" customFormat="1" x14ac:dyDescent="0.3">
      <c r="B176" s="575" t="s">
        <v>1270</v>
      </c>
      <c r="C176" s="575" t="s">
        <v>1271</v>
      </c>
      <c r="D176" s="527"/>
      <c r="E176" s="576">
        <f>+E173+E95</f>
        <v>180840.41342300002</v>
      </c>
      <c r="F176" s="509"/>
      <c r="G176" s="577">
        <f t="shared" ref="G176:P176" si="23">+G173+G95</f>
        <v>0</v>
      </c>
      <c r="H176" s="578">
        <f t="shared" si="23"/>
        <v>0</v>
      </c>
      <c r="I176" s="577">
        <f t="shared" si="23"/>
        <v>0</v>
      </c>
      <c r="J176" s="578">
        <f t="shared" si="23"/>
        <v>0</v>
      </c>
      <c r="K176" s="577">
        <f t="shared" si="23"/>
        <v>0</v>
      </c>
      <c r="L176" s="578">
        <f t="shared" si="23"/>
        <v>0</v>
      </c>
      <c r="M176" s="577">
        <f t="shared" si="23"/>
        <v>0</v>
      </c>
      <c r="N176" s="578">
        <f t="shared" si="23"/>
        <v>0</v>
      </c>
      <c r="O176" s="577">
        <f t="shared" si="23"/>
        <v>0</v>
      </c>
      <c r="P176" s="578">
        <f t="shared" si="23"/>
        <v>0</v>
      </c>
      <c r="Q176" s="1476">
        <f>+Q173+Q95</f>
        <v>7.503331289626658E-12</v>
      </c>
      <c r="R176" s="1476">
        <f>+R173+R95</f>
        <v>0</v>
      </c>
      <c r="S176" s="1476">
        <f t="shared" ref="S176:BE176" si="24">+S173+S95</f>
        <v>0</v>
      </c>
      <c r="T176" s="1476">
        <f>+T173+T95</f>
        <v>-1.8189894035458565E-12</v>
      </c>
      <c r="U176" s="1477">
        <f t="shared" si="24"/>
        <v>0</v>
      </c>
      <c r="V176" s="1681">
        <f t="shared" si="24"/>
        <v>-375.74906590538376</v>
      </c>
      <c r="W176" s="1476">
        <f t="shared" si="24"/>
        <v>0</v>
      </c>
      <c r="X176" s="1476">
        <f t="shared" si="24"/>
        <v>0</v>
      </c>
      <c r="Y176" s="1477">
        <f t="shared" si="24"/>
        <v>0</v>
      </c>
      <c r="Z176" s="1478">
        <f t="shared" si="24"/>
        <v>1256.5905809212002</v>
      </c>
      <c r="AA176" s="1479">
        <f t="shared" si="24"/>
        <v>0</v>
      </c>
      <c r="AB176" s="1478">
        <f t="shared" si="24"/>
        <v>-31.38241340814659</v>
      </c>
      <c r="AC176" s="1479">
        <f t="shared" si="24"/>
        <v>0</v>
      </c>
      <c r="AD176" s="1478">
        <f t="shared" si="24"/>
        <v>2795.1303209112402</v>
      </c>
      <c r="AE176" s="1480">
        <f>+AE173+AE95</f>
        <v>0</v>
      </c>
      <c r="AF176" s="1479">
        <f t="shared" si="24"/>
        <v>525.84003600000005</v>
      </c>
      <c r="AG176" s="1478">
        <f t="shared" si="24"/>
        <v>-1723.0393137680903</v>
      </c>
      <c r="AH176" s="1479">
        <f t="shared" si="24"/>
        <v>-160.64583860004169</v>
      </c>
      <c r="AI176" s="1479">
        <f t="shared" si="24"/>
        <v>0</v>
      </c>
      <c r="AJ176" s="1479">
        <f t="shared" si="24"/>
        <v>0</v>
      </c>
      <c r="AK176" s="1479">
        <f t="shared" si="24"/>
        <v>0</v>
      </c>
      <c r="AL176" s="1479">
        <f t="shared" si="24"/>
        <v>0</v>
      </c>
      <c r="AM176" s="1479">
        <f t="shared" si="24"/>
        <v>6303.7094269999998</v>
      </c>
      <c r="AN176" s="1479">
        <f t="shared" si="24"/>
        <v>434.4155609999998</v>
      </c>
      <c r="AO176" s="1479">
        <f t="shared" si="24"/>
        <v>-4071.7676349999997</v>
      </c>
      <c r="AP176" s="1479">
        <f t="shared" si="24"/>
        <v>-805.85368700000004</v>
      </c>
      <c r="AQ176" s="1477">
        <f t="shared" si="24"/>
        <v>158.92853824600002</v>
      </c>
      <c r="AR176" s="1477">
        <f t="shared" si="24"/>
        <v>0</v>
      </c>
      <c r="AS176" s="1478">
        <f t="shared" si="24"/>
        <v>0</v>
      </c>
      <c r="AT176" s="1479">
        <f t="shared" si="24"/>
        <v>0</v>
      </c>
      <c r="AU176" s="1477">
        <f t="shared" si="24"/>
        <v>0</v>
      </c>
      <c r="AV176" s="1477">
        <f t="shared" si="24"/>
        <v>0</v>
      </c>
      <c r="AW176" s="1478">
        <f t="shared" si="24"/>
        <v>0</v>
      </c>
      <c r="AX176" s="1479">
        <f t="shared" si="24"/>
        <v>0</v>
      </c>
      <c r="AY176" s="1477">
        <f t="shared" si="24"/>
        <v>0</v>
      </c>
      <c r="AZ176" s="1477">
        <f t="shared" si="24"/>
        <v>0</v>
      </c>
      <c r="BA176" s="1478">
        <f t="shared" si="24"/>
        <v>-410.72634000000011</v>
      </c>
      <c r="BB176" s="1479">
        <f t="shared" si="24"/>
        <v>284.733566</v>
      </c>
      <c r="BC176" s="1476">
        <f t="shared" si="24"/>
        <v>26397.048664999998</v>
      </c>
      <c r="BD176" s="1476">
        <f t="shared" si="24"/>
        <v>2116.8000000000002</v>
      </c>
      <c r="BE176" s="1476">
        <f t="shared" si="24"/>
        <v>0</v>
      </c>
      <c r="BF176" s="1476">
        <f>+BF173+BF95</f>
        <v>917.45642204198759</v>
      </c>
      <c r="BG176" s="1481"/>
      <c r="BH176" s="1544">
        <f>SUM(E176:BG176)</f>
        <v>214451.90224643884</v>
      </c>
      <c r="BJ176" s="528">
        <v>220138.94724938585</v>
      </c>
    </row>
    <row r="177" spans="1:62" s="1702" customFormat="1" x14ac:dyDescent="0.3">
      <c r="A177" s="1696"/>
      <c r="B177" s="1696"/>
      <c r="C177" s="1696"/>
      <c r="D177" s="1697"/>
      <c r="E177" s="1698"/>
      <c r="F177" s="1699"/>
      <c r="G177" s="1700"/>
      <c r="H177" s="1700"/>
      <c r="I177" s="1700"/>
      <c r="J177" s="1700"/>
      <c r="K177" s="1700"/>
      <c r="L177" s="1700"/>
      <c r="M177" s="1700"/>
      <c r="N177" s="1700"/>
      <c r="O177" s="1700"/>
      <c r="P177" s="1700"/>
      <c r="Q177" s="1701">
        <f>+Q176-'Passage Passif BC '!U140</f>
        <v>7.503331289626658E-12</v>
      </c>
      <c r="R177" s="1701">
        <f>+R176-'Passage Passif BC '!V140</f>
        <v>0</v>
      </c>
      <c r="S177" s="1701">
        <f>+S176-'Passage Passif BC '!W140</f>
        <v>0</v>
      </c>
      <c r="T177" s="1701">
        <f>+T176-'Passage Passif BC '!X140</f>
        <v>-1.8189894035458565E-12</v>
      </c>
      <c r="U177" s="1701">
        <f>+U176-'Passage Passif BC '!Y140</f>
        <v>0</v>
      </c>
      <c r="V177" s="1701">
        <f>+V176-'Passage Passif BC '!Z140</f>
        <v>-1.1368683772161603E-12</v>
      </c>
      <c r="W177" s="1701">
        <f>+W176-'Passage Passif BC '!AA140</f>
        <v>0</v>
      </c>
      <c r="X177" s="1701">
        <f>+X176-'Passage Passif BC '!AB140</f>
        <v>0</v>
      </c>
      <c r="Y177" s="1701">
        <f>+Y176-'Passage Passif BC '!AC140</f>
        <v>0</v>
      </c>
      <c r="Z177" s="1701">
        <f>+Z176-'Passage Passif BC '!AD140</f>
        <v>0</v>
      </c>
      <c r="AA177" s="1701">
        <f>+AA176-'Passage Passif BC '!AE140</f>
        <v>0</v>
      </c>
      <c r="AB177" s="1701">
        <f>AB176-'Passage Passif BC '!AF140</f>
        <v>0</v>
      </c>
      <c r="AC177" s="1701">
        <f>+AC176-'Passage Passif BC '!AG140</f>
        <v>0</v>
      </c>
      <c r="AD177" s="1701">
        <f>+AD176-'Passage Passif BC '!AH140</f>
        <v>0</v>
      </c>
      <c r="AE177" s="1701">
        <f>+AE176-'Passage Passif BC '!AI140</f>
        <v>0</v>
      </c>
      <c r="AF177" s="1701">
        <f>+AF176-'Passage Passif BC '!AJ140</f>
        <v>0</v>
      </c>
      <c r="AG177" s="1701">
        <f>+AG176-'Passage Passif BC '!AK140</f>
        <v>2.2737367544323206E-12</v>
      </c>
      <c r="AH177" s="1701">
        <f>+AH176-'Passage Passif BC '!AL140</f>
        <v>0</v>
      </c>
      <c r="AI177" s="1701">
        <f>+AI176-'Passage Passif BC '!AM140</f>
        <v>0</v>
      </c>
      <c r="AJ177" s="1701">
        <f>+AJ176-'Passage Passif BC '!AN140</f>
        <v>0</v>
      </c>
      <c r="AK177" s="1701">
        <f>+AK176-'Passage Passif BC '!AO140</f>
        <v>0</v>
      </c>
      <c r="AL177" s="1701">
        <f>+AL176-'Passage Passif BC '!AP140</f>
        <v>0</v>
      </c>
      <c r="AM177" s="1701">
        <f>+AM176-'Passage Passif BC '!AQ140</f>
        <v>3731.638332</v>
      </c>
      <c r="AN177" s="1701">
        <f>+AN176-'Passage Passif BC '!AR140</f>
        <v>864.077943</v>
      </c>
      <c r="AO177" s="1701">
        <f>+AO176-'Passage Passif BC '!AS140</f>
        <v>-3731.6383319999995</v>
      </c>
      <c r="AP177" s="1701">
        <f>+AP176-'Passage Passif BC '!AT140</f>
        <v>-864.077943</v>
      </c>
      <c r="AQ177" s="1701">
        <f>+AQ176-'Passage Passif BC '!AU140</f>
        <v>0</v>
      </c>
      <c r="AR177" s="1701">
        <f>+AR176-'Passage Passif BC '!AV140</f>
        <v>0</v>
      </c>
      <c r="AS177" s="1701"/>
      <c r="AT177" s="1701"/>
      <c r="AU177" s="1701">
        <f>+AU176-'Passage Passif BC '!AY140</f>
        <v>0</v>
      </c>
      <c r="AV177" s="1701">
        <f>+AV176-'Passage Passif BC '!AZ140</f>
        <v>0</v>
      </c>
      <c r="AW177" s="1701"/>
      <c r="AX177" s="1701"/>
      <c r="AY177" s="1701"/>
      <c r="AZ177" s="1701"/>
      <c r="BA177" s="1701">
        <f>BA176-'Passage Passif BC '!AW140</f>
        <v>0</v>
      </c>
      <c r="BB177" s="1701">
        <f>BB176-'Passage Passif BC '!AX140</f>
        <v>0</v>
      </c>
      <c r="BC177" s="1701">
        <f>BC176-'Passage Passif BC '!BC140</f>
        <v>-1.9513350000015635</v>
      </c>
      <c r="BD177" s="1701">
        <f>BD176-'Passage Passif BC '!BD140</f>
        <v>1.9513350000001992</v>
      </c>
      <c r="BE177" s="1701">
        <f>+BE176-'Passage Passif BC '!BI140</f>
        <v>0</v>
      </c>
      <c r="BF177" s="1701">
        <f>+BF176-'Passage Passif BC '!BE140</f>
        <v>177.84412687379006</v>
      </c>
      <c r="BG177" s="1697"/>
      <c r="BH177" s="1698"/>
      <c r="BJ177" s="1703"/>
    </row>
    <row r="178" spans="1:62" s="1708" customFormat="1" x14ac:dyDescent="0.3">
      <c r="A178" s="1704"/>
      <c r="B178" s="1704"/>
      <c r="C178" s="1705" t="s">
        <v>1272</v>
      </c>
      <c r="D178" s="1706"/>
      <c r="E178" s="1707">
        <f>+E176-'Bilan Actif'!F47/10^6</f>
        <v>0</v>
      </c>
      <c r="BG178" s="1706"/>
      <c r="BH178" s="1736">
        <f>BH176-'Passage Passif BC '!BG140</f>
        <v>177.84412120122579</v>
      </c>
      <c r="BJ178" s="1709">
        <f>+BH178*1000000</f>
        <v>177844121.20122579</v>
      </c>
    </row>
    <row r="179" spans="1:62" x14ac:dyDescent="0.3">
      <c r="C179" s="583" t="s">
        <v>1273</v>
      </c>
      <c r="E179" s="1737">
        <f>E176-'Passage Passif BC '!E140</f>
        <v>0</v>
      </c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  <c r="AA179" s="584"/>
      <c r="AB179" s="584">
        <v>4.1000000000899197E-3</v>
      </c>
      <c r="AC179" s="584"/>
      <c r="AD179" s="584"/>
      <c r="AE179" s="584"/>
      <c r="AF179" s="584"/>
      <c r="AG179" s="584"/>
      <c r="AH179" s="584"/>
      <c r="AI179" s="584"/>
      <c r="AJ179" s="584"/>
      <c r="AK179" s="584"/>
      <c r="AL179" s="584"/>
      <c r="AM179" s="584"/>
      <c r="AN179" s="584"/>
      <c r="AO179" s="584"/>
      <c r="AP179" s="584"/>
      <c r="AQ179" s="584"/>
      <c r="AR179" s="584"/>
      <c r="AS179" s="584"/>
      <c r="AT179" s="584"/>
      <c r="AU179" s="584"/>
      <c r="AV179" s="584"/>
      <c r="AW179" s="584"/>
      <c r="AX179" s="584"/>
      <c r="AY179" s="584"/>
      <c r="AZ179" s="584"/>
      <c r="BA179" s="584"/>
      <c r="BB179" s="584"/>
      <c r="BC179" s="584"/>
      <c r="BD179" s="584"/>
      <c r="BE179" s="584"/>
      <c r="BF179" s="584"/>
      <c r="BH179" s="1545"/>
      <c r="BJ179" s="489"/>
    </row>
    <row r="180" spans="1:62" ht="28.5" customHeight="1" x14ac:dyDescent="0.3">
      <c r="E180" s="581"/>
      <c r="T180" s="1644">
        <f>T173*1000000</f>
        <v>-1.8189894035458565E-6</v>
      </c>
      <c r="V180" s="1644"/>
      <c r="AB180" s="1612">
        <f>+AB177*1000000</f>
        <v>0</v>
      </c>
      <c r="AC180" s="1612">
        <f>+AC177*1000000</f>
        <v>0</v>
      </c>
      <c r="AD180" s="1612"/>
      <c r="BH180" s="1535">
        <f>+'Passage Passif BC '!BG143</f>
        <v>-177.84412120122579</v>
      </c>
      <c r="BJ180" s="1444">
        <v>-0.28083711455110461</v>
      </c>
    </row>
    <row r="181" spans="1:62" x14ac:dyDescent="0.3">
      <c r="T181" s="1602"/>
    </row>
  </sheetData>
  <sheetProtection formatCells="0" formatColumns="0" formatRows="0"/>
  <mergeCells count="41">
    <mergeCell ref="BH4:BH5"/>
    <mergeCell ref="AG4:AH4"/>
    <mergeCell ref="AI4:AJ4"/>
    <mergeCell ref="AK4:AL4"/>
    <mergeCell ref="AM4:AN4"/>
    <mergeCell ref="AO4:AP4"/>
    <mergeCell ref="AQ4:AR4"/>
    <mergeCell ref="AU4:AV4"/>
    <mergeCell ref="AW4:AX4"/>
    <mergeCell ref="AY4:AZ4"/>
    <mergeCell ref="BA4:BB4"/>
    <mergeCell ref="AS4:AT4"/>
    <mergeCell ref="BK158:BK160"/>
    <mergeCell ref="BK7:BK8"/>
    <mergeCell ref="BK14:BK17"/>
    <mergeCell ref="BK39:BK44"/>
    <mergeCell ref="BK64:BK65"/>
    <mergeCell ref="BK98:BK101"/>
    <mergeCell ref="BK111:BK113"/>
    <mergeCell ref="Q2:Y3"/>
    <mergeCell ref="AB4:AC4"/>
    <mergeCell ref="W4:W5"/>
    <mergeCell ref="X4:X5"/>
    <mergeCell ref="Y4:Y5"/>
    <mergeCell ref="Z4:AA4"/>
    <mergeCell ref="G2:P2"/>
    <mergeCell ref="Z2:BB2"/>
    <mergeCell ref="BC2:BF2"/>
    <mergeCell ref="E4:E5"/>
    <mergeCell ref="G4:H4"/>
    <mergeCell ref="I4:J4"/>
    <mergeCell ref="K4:L4"/>
    <mergeCell ref="M4:N4"/>
    <mergeCell ref="O4:P4"/>
    <mergeCell ref="AD4:AF4"/>
    <mergeCell ref="Q4:Q5"/>
    <mergeCell ref="R4:R5"/>
    <mergeCell ref="S4:S5"/>
    <mergeCell ref="T4:T5"/>
    <mergeCell ref="U4:U5"/>
    <mergeCell ref="V4:V5"/>
  </mergeCells>
  <hyperlinks>
    <hyperlink ref="A1" location="Sommaire!F12" display="Sommaire" xr:uid="{00000000-0004-0000-0800-000000000000}"/>
  </hyperlinks>
  <pageMargins left="0.7" right="0.7" top="0.75" bottom="0.75" header="0.3" footer="0.3"/>
  <pageSetup paperSize="9" scale="15" fitToHeight="0" orientation="landscape" r:id="rId1"/>
  <rowBreaks count="1" manualBreakCount="1">
    <brk id="165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BO148"/>
  <sheetViews>
    <sheetView showGridLines="0" zoomScale="70" zoomScaleNormal="70" zoomScaleSheetLayoutView="70" workbookViewId="0">
      <pane xSplit="4" ySplit="6" topLeftCell="F136" activePane="bottomRight" state="frozen"/>
      <selection activeCell="AT18" sqref="AT18"/>
      <selection pane="topRight" activeCell="AT18" sqref="AT18"/>
      <selection pane="bottomLeft" activeCell="AT18" sqref="AT18"/>
      <selection pane="bottomRight" activeCell="AT18" sqref="AT18"/>
    </sheetView>
  </sheetViews>
  <sheetFormatPr baseColWidth="10" defaultColWidth="11.44140625" defaultRowHeight="14.4" outlineLevelRow="1" outlineLevelCol="1" x14ac:dyDescent="0.3"/>
  <cols>
    <col min="1" max="1" width="0.88671875" style="2" customWidth="1"/>
    <col min="2" max="2" width="9.5546875" style="2" customWidth="1"/>
    <col min="3" max="3" width="50.5546875" style="1382" customWidth="1"/>
    <col min="4" max="4" width="1.5546875" style="481" customWidth="1"/>
    <col min="5" max="5" width="22.88671875" style="2" customWidth="1"/>
    <col min="6" max="6" width="1.88671875" style="72" customWidth="1"/>
    <col min="7" max="12" width="14.5546875" style="72" hidden="1" customWidth="1" outlineLevel="1"/>
    <col min="13" max="14" width="14.5546875" style="72" customWidth="1" outlineLevel="1"/>
    <col min="15" max="16" width="14.5546875" style="72" hidden="1" customWidth="1" outlineLevel="1"/>
    <col min="17" max="17" width="24" style="72" customWidth="1" collapsed="1"/>
    <col min="18" max="18" width="16.6640625" style="72" customWidth="1"/>
    <col min="19" max="19" width="14.5546875" style="72" customWidth="1"/>
    <col min="20" max="20" width="17.44140625" style="72" customWidth="1"/>
    <col min="21" max="21" width="14.5546875" style="72" customWidth="1"/>
    <col min="22" max="22" width="17.44140625" style="72" customWidth="1"/>
    <col min="23" max="23" width="14.5546875" style="72" customWidth="1"/>
    <col min="24" max="24" width="16.5546875" style="72" customWidth="1"/>
    <col min="25" max="33" width="14.5546875" style="72" customWidth="1"/>
    <col min="34" max="34" width="11" style="72" customWidth="1"/>
    <col min="35" max="56" width="14.5546875" style="72" customWidth="1"/>
    <col min="57" max="57" width="20.44140625" style="72" customWidth="1"/>
    <col min="58" max="58" width="1.44140625" style="72" customWidth="1"/>
    <col min="59" max="59" width="23" style="2" customWidth="1"/>
    <col min="60" max="60" width="12.88671875" style="460" hidden="1" customWidth="1"/>
    <col min="61" max="61" width="15.88671875" style="72" hidden="1" customWidth="1"/>
    <col min="62" max="62" width="0" style="72" hidden="1" customWidth="1"/>
    <col min="63" max="63" width="14.5546875" bestFit="1" customWidth="1"/>
    <col min="64" max="64" width="17.6640625" style="72" bestFit="1" customWidth="1"/>
    <col min="65" max="16384" width="11.44140625" style="72"/>
  </cols>
  <sheetData>
    <row r="1" spans="1:64" x14ac:dyDescent="0.3">
      <c r="A1" s="585" t="s">
        <v>75</v>
      </c>
    </row>
    <row r="2" spans="1:64" x14ac:dyDescent="0.3">
      <c r="B2" s="462"/>
      <c r="C2" s="1383"/>
      <c r="G2" s="1946" t="s">
        <v>1001</v>
      </c>
      <c r="H2" s="1947"/>
      <c r="I2" s="1947"/>
      <c r="J2" s="1947"/>
      <c r="K2" s="1947"/>
      <c r="L2" s="1947"/>
      <c r="M2" s="1947"/>
      <c r="N2" s="1947"/>
      <c r="O2" s="1947"/>
      <c r="P2" s="1948"/>
      <c r="Q2" s="1964" t="s">
        <v>1002</v>
      </c>
      <c r="R2" s="1965"/>
      <c r="S2" s="1965"/>
      <c r="T2" s="1965"/>
      <c r="U2" s="1965"/>
      <c r="V2" s="1965"/>
      <c r="W2" s="1965"/>
      <c r="X2" s="1965"/>
      <c r="Y2" s="1965"/>
      <c r="Z2" s="1965"/>
      <c r="AA2" s="1965"/>
      <c r="AB2" s="1965"/>
      <c r="AC2" s="1965"/>
      <c r="AD2" s="586"/>
      <c r="AE2" s="586"/>
      <c r="AF2" s="586"/>
      <c r="AG2" s="586"/>
      <c r="AH2" s="586"/>
      <c r="AI2" s="586"/>
      <c r="AJ2" s="587"/>
      <c r="AK2" s="1966" t="s">
        <v>1003</v>
      </c>
      <c r="AL2" s="1967"/>
      <c r="AM2" s="1967"/>
      <c r="AN2" s="1967"/>
      <c r="AO2" s="1967"/>
      <c r="AP2" s="1967"/>
      <c r="AQ2" s="1967"/>
      <c r="AR2" s="1967"/>
      <c r="AS2" s="1967"/>
      <c r="AT2" s="1967"/>
      <c r="AU2" s="1967"/>
      <c r="AV2" s="1967"/>
      <c r="AW2" s="1967"/>
      <c r="AX2" s="1967"/>
      <c r="AY2" s="1967"/>
      <c r="AZ2" s="1967"/>
      <c r="BA2" s="1967"/>
      <c r="BB2" s="1968"/>
      <c r="BC2" s="1952" t="s">
        <v>1004</v>
      </c>
      <c r="BD2" s="1953"/>
      <c r="BE2" s="1953"/>
    </row>
    <row r="3" spans="1:64" ht="6.75" customHeight="1" x14ac:dyDescent="0.3">
      <c r="E3" s="581"/>
      <c r="G3" s="588"/>
      <c r="H3" s="588"/>
      <c r="I3" s="588"/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8"/>
      <c r="Y3" s="588"/>
      <c r="Z3" s="588"/>
      <c r="AA3" s="588"/>
      <c r="AB3" s="588"/>
      <c r="AC3" s="588"/>
      <c r="AD3" s="588"/>
      <c r="AE3" s="588"/>
      <c r="AF3" s="588"/>
      <c r="AG3" s="588"/>
      <c r="AH3" s="588"/>
      <c r="AI3" s="588"/>
      <c r="AJ3" s="588"/>
      <c r="AK3" s="588"/>
      <c r="AL3" s="588"/>
      <c r="AM3" s="588"/>
      <c r="AN3" s="588"/>
      <c r="AO3" s="588"/>
      <c r="AP3" s="588"/>
      <c r="AQ3" s="588"/>
      <c r="AR3" s="588"/>
      <c r="AS3" s="588"/>
      <c r="AT3" s="588"/>
      <c r="AU3" s="588"/>
      <c r="AV3" s="588"/>
      <c r="AW3" s="588"/>
      <c r="AX3" s="588"/>
      <c r="AY3" s="588"/>
      <c r="AZ3" s="588"/>
      <c r="BA3" s="588"/>
      <c r="BB3" s="588"/>
      <c r="BC3" s="588"/>
      <c r="BD3" s="588"/>
      <c r="BE3" s="588"/>
      <c r="BG3" s="589"/>
      <c r="BH3" s="590"/>
    </row>
    <row r="4" spans="1:64" s="594" customFormat="1" ht="36" customHeight="1" x14ac:dyDescent="0.7">
      <c r="A4" s="591"/>
      <c r="B4" s="592"/>
      <c r="C4" s="1384" t="s">
        <v>24</v>
      </c>
      <c r="D4" s="593"/>
      <c r="E4" s="1955" t="s">
        <v>74</v>
      </c>
      <c r="G4" s="1969" t="s">
        <v>1005</v>
      </c>
      <c r="H4" s="1970"/>
      <c r="I4" s="1969" t="s">
        <v>1006</v>
      </c>
      <c r="J4" s="1970"/>
      <c r="K4" s="1969" t="s">
        <v>1007</v>
      </c>
      <c r="L4" s="1970"/>
      <c r="M4" s="1969" t="s">
        <v>1008</v>
      </c>
      <c r="N4" s="1970"/>
      <c r="O4" s="1969" t="s">
        <v>1009</v>
      </c>
      <c r="P4" s="1970"/>
      <c r="Q4" s="1972" t="s">
        <v>1274</v>
      </c>
      <c r="R4" s="1971" t="s">
        <v>1275</v>
      </c>
      <c r="S4" s="1971" t="s">
        <v>1276</v>
      </c>
      <c r="T4" s="1971" t="s">
        <v>1277</v>
      </c>
      <c r="U4" s="1971" t="s">
        <v>1278</v>
      </c>
      <c r="V4" s="1971" t="s">
        <v>1279</v>
      </c>
      <c r="W4" s="1971" t="s">
        <v>1280</v>
      </c>
      <c r="X4" s="1971" t="s">
        <v>1281</v>
      </c>
      <c r="Y4" s="1971" t="s">
        <v>1282</v>
      </c>
      <c r="Z4" s="1971" t="s">
        <v>1283</v>
      </c>
      <c r="AA4" s="1971" t="s">
        <v>1284</v>
      </c>
      <c r="AB4" s="1971" t="s">
        <v>1285</v>
      </c>
      <c r="AC4" s="1971" t="s">
        <v>1286</v>
      </c>
      <c r="AD4" s="1969" t="s">
        <v>1019</v>
      </c>
      <c r="AE4" s="1970"/>
      <c r="AF4" s="1973" t="s">
        <v>1287</v>
      </c>
      <c r="AG4" s="1974"/>
      <c r="AH4" s="1975" t="s">
        <v>1021</v>
      </c>
      <c r="AI4" s="1975"/>
      <c r="AJ4" s="1974"/>
      <c r="AK4" s="1969" t="s">
        <v>1022</v>
      </c>
      <c r="AL4" s="1970"/>
      <c r="AM4" s="1969" t="s">
        <v>1023</v>
      </c>
      <c r="AN4" s="1970"/>
      <c r="AO4" s="1969" t="s">
        <v>1288</v>
      </c>
      <c r="AP4" s="1970"/>
      <c r="AQ4" s="1956" t="s">
        <v>1025</v>
      </c>
      <c r="AR4" s="1957"/>
      <c r="AS4" s="1956" t="s">
        <v>1026</v>
      </c>
      <c r="AT4" s="1957"/>
      <c r="AU4" s="1969" t="s">
        <v>1289</v>
      </c>
      <c r="AV4" s="1970"/>
      <c r="AW4" s="1969" t="s">
        <v>1032</v>
      </c>
      <c r="AX4" s="1970"/>
      <c r="AY4" s="1969" t="s">
        <v>1290</v>
      </c>
      <c r="AZ4" s="1970"/>
      <c r="BA4" s="1969" t="s">
        <v>1291</v>
      </c>
      <c r="BB4" s="1970"/>
      <c r="BC4" s="595" t="s">
        <v>1033</v>
      </c>
      <c r="BD4" s="595" t="s">
        <v>1034</v>
      </c>
      <c r="BE4" s="596" t="s">
        <v>1035</v>
      </c>
      <c r="BF4" s="597"/>
      <c r="BG4" s="1976" t="s">
        <v>78</v>
      </c>
      <c r="BH4" s="598"/>
      <c r="BK4"/>
      <c r="BL4" s="594" t="s">
        <v>78</v>
      </c>
    </row>
    <row r="5" spans="1:64" s="594" customFormat="1" ht="37.5" customHeight="1" x14ac:dyDescent="0.3">
      <c r="A5" s="591"/>
      <c r="B5" s="599"/>
      <c r="C5" s="1385" t="str">
        <f>Cover!Y13</f>
        <v>En millions de FCFA</v>
      </c>
      <c r="D5" s="593"/>
      <c r="E5" s="1955"/>
      <c r="G5" s="600" t="s">
        <v>1037</v>
      </c>
      <c r="H5" s="600" t="s">
        <v>1038</v>
      </c>
      <c r="I5" s="600" t="s">
        <v>1037</v>
      </c>
      <c r="J5" s="600" t="s">
        <v>1038</v>
      </c>
      <c r="K5" s="600" t="s">
        <v>1037</v>
      </c>
      <c r="L5" s="600" t="s">
        <v>1038</v>
      </c>
      <c r="M5" s="600" t="s">
        <v>1037</v>
      </c>
      <c r="N5" s="600" t="s">
        <v>1038</v>
      </c>
      <c r="O5" s="600" t="s">
        <v>1037</v>
      </c>
      <c r="P5" s="600" t="s">
        <v>1038</v>
      </c>
      <c r="Q5" s="1972"/>
      <c r="R5" s="1971"/>
      <c r="S5" s="1971"/>
      <c r="T5" s="1971"/>
      <c r="U5" s="1971"/>
      <c r="V5" s="1971"/>
      <c r="W5" s="1971"/>
      <c r="X5" s="1971"/>
      <c r="Y5" s="1971"/>
      <c r="Z5" s="1971"/>
      <c r="AA5" s="1971"/>
      <c r="AB5" s="1971"/>
      <c r="AC5" s="1971"/>
      <c r="AD5" s="600" t="s">
        <v>1037</v>
      </c>
      <c r="AE5" s="600" t="s">
        <v>1038</v>
      </c>
      <c r="AF5" s="600" t="s">
        <v>1037</v>
      </c>
      <c r="AG5" s="600" t="s">
        <v>1038</v>
      </c>
      <c r="AH5" s="474" t="s">
        <v>1037</v>
      </c>
      <c r="AI5" s="474" t="s">
        <v>1292</v>
      </c>
      <c r="AJ5" s="474" t="s">
        <v>1040</v>
      </c>
      <c r="AK5" s="600" t="s">
        <v>1037</v>
      </c>
      <c r="AL5" s="600" t="s">
        <v>1038</v>
      </c>
      <c r="AM5" s="600" t="s">
        <v>1037</v>
      </c>
      <c r="AN5" s="600" t="s">
        <v>1038</v>
      </c>
      <c r="AO5" s="600" t="s">
        <v>1037</v>
      </c>
      <c r="AP5" s="600" t="s">
        <v>1038</v>
      </c>
      <c r="AQ5" s="474" t="s">
        <v>1037</v>
      </c>
      <c r="AR5" s="474" t="s">
        <v>1038</v>
      </c>
      <c r="AS5" s="474" t="s">
        <v>1037</v>
      </c>
      <c r="AT5" s="474" t="s">
        <v>1038</v>
      </c>
      <c r="AU5" s="600" t="s">
        <v>1037</v>
      </c>
      <c r="AV5" s="600" t="s">
        <v>1038</v>
      </c>
      <c r="AW5" s="600" t="s">
        <v>1037</v>
      </c>
      <c r="AX5" s="600" t="s">
        <v>1038</v>
      </c>
      <c r="AY5" s="600" t="s">
        <v>1037</v>
      </c>
      <c r="AZ5" s="600" t="s">
        <v>1038</v>
      </c>
      <c r="BA5" s="600" t="s">
        <v>1037</v>
      </c>
      <c r="BB5" s="600" t="s">
        <v>1038</v>
      </c>
      <c r="BC5" s="595" t="s">
        <v>1041</v>
      </c>
      <c r="BD5" s="595" t="s">
        <v>1042</v>
      </c>
      <c r="BE5" s="596" t="s">
        <v>1293</v>
      </c>
      <c r="BF5" s="597"/>
      <c r="BG5" s="1976"/>
      <c r="BH5" s="601"/>
      <c r="BK5"/>
    </row>
    <row r="6" spans="1:64" x14ac:dyDescent="0.3">
      <c r="B6" s="469"/>
      <c r="C6" s="1386"/>
      <c r="D6" s="72"/>
      <c r="G6" s="602"/>
      <c r="H6" s="602"/>
      <c r="I6" s="602"/>
      <c r="J6" s="602"/>
    </row>
    <row r="7" spans="1:64" s="2" customFormat="1" x14ac:dyDescent="0.3">
      <c r="C7" s="1387" t="s">
        <v>1294</v>
      </c>
      <c r="D7" s="604"/>
      <c r="E7" s="482">
        <f>+('Bilan Passif '!C9+'Bilan Passif '!C10)/10^6</f>
        <v>10408.280000000001</v>
      </c>
      <c r="F7" s="605"/>
      <c r="G7" s="606"/>
      <c r="H7" s="606"/>
      <c r="I7" s="606"/>
      <c r="J7" s="606"/>
      <c r="K7" s="606"/>
      <c r="L7" s="606"/>
      <c r="M7" s="606"/>
      <c r="N7" s="606"/>
      <c r="O7" s="606"/>
      <c r="P7" s="606"/>
      <c r="Q7" s="607">
        <f>-E7</f>
        <v>-10408.280000000001</v>
      </c>
      <c r="R7" s="608"/>
      <c r="S7" s="608"/>
      <c r="T7" s="608"/>
      <c r="U7" s="608"/>
      <c r="V7" s="608"/>
      <c r="W7" s="608"/>
      <c r="X7" s="608"/>
      <c r="Y7" s="608"/>
      <c r="Z7" s="608"/>
      <c r="AA7" s="608"/>
      <c r="AB7" s="608"/>
      <c r="AC7" s="608"/>
      <c r="AD7" s="608"/>
      <c r="AE7" s="608"/>
      <c r="AF7" s="608"/>
      <c r="AG7" s="608"/>
      <c r="AH7" s="608"/>
      <c r="AI7" s="608"/>
      <c r="AJ7" s="608"/>
      <c r="AK7" s="608"/>
      <c r="AL7" s="608"/>
      <c r="AM7" s="608"/>
      <c r="AN7" s="608"/>
      <c r="AO7" s="608"/>
      <c r="AP7" s="608"/>
      <c r="AQ7" s="608"/>
      <c r="AR7" s="608"/>
      <c r="AS7" s="608"/>
      <c r="AT7" s="608"/>
      <c r="AU7" s="608"/>
      <c r="AV7" s="608"/>
      <c r="AW7" s="608"/>
      <c r="AX7" s="608"/>
      <c r="AY7" s="608"/>
      <c r="AZ7" s="608"/>
      <c r="BA7" s="608"/>
      <c r="BB7" s="608"/>
      <c r="BC7" s="608"/>
      <c r="BD7" s="608"/>
      <c r="BE7" s="608"/>
      <c r="BF7" s="605"/>
      <c r="BG7" s="609">
        <f t="shared" ref="BG7:BG15" si="0">+SUM(E7:BE7)</f>
        <v>0</v>
      </c>
      <c r="BH7" s="610"/>
      <c r="BI7" s="1977"/>
      <c r="BK7"/>
      <c r="BL7" s="2">
        <v>0</v>
      </c>
    </row>
    <row r="8" spans="1:64" s="2" customFormat="1" x14ac:dyDescent="0.3">
      <c r="C8" s="1387" t="s">
        <v>1295</v>
      </c>
      <c r="D8" s="604"/>
      <c r="E8" s="482">
        <f>+'Bilan Passif '!C12/10^6</f>
        <v>0</v>
      </c>
      <c r="F8" s="605"/>
      <c r="G8" s="606"/>
      <c r="H8" s="606"/>
      <c r="I8" s="606"/>
      <c r="J8" s="606"/>
      <c r="K8" s="606"/>
      <c r="L8" s="606"/>
      <c r="M8" s="606"/>
      <c r="N8" s="606"/>
      <c r="O8" s="606"/>
      <c r="P8" s="606"/>
      <c r="Q8" s="607">
        <f t="shared" ref="Q8:Q15" si="1">-E8</f>
        <v>0</v>
      </c>
      <c r="R8" s="608"/>
      <c r="S8" s="608"/>
      <c r="T8" s="608"/>
      <c r="U8" s="608"/>
      <c r="V8" s="608"/>
      <c r="W8" s="608"/>
      <c r="X8" s="608"/>
      <c r="Y8" s="608"/>
      <c r="Z8" s="608"/>
      <c r="AA8" s="608"/>
      <c r="AB8" s="608"/>
      <c r="AC8" s="608"/>
      <c r="AD8" s="608"/>
      <c r="AE8" s="608"/>
      <c r="AF8" s="608"/>
      <c r="AG8" s="608"/>
      <c r="AH8" s="608"/>
      <c r="AI8" s="608"/>
      <c r="AJ8" s="608"/>
      <c r="AK8" s="608"/>
      <c r="AL8" s="608"/>
      <c r="AM8" s="608"/>
      <c r="AN8" s="608"/>
      <c r="AO8" s="608"/>
      <c r="AP8" s="608"/>
      <c r="AQ8" s="608"/>
      <c r="AR8" s="608"/>
      <c r="AS8" s="608"/>
      <c r="AT8" s="608"/>
      <c r="AU8" s="608"/>
      <c r="AV8" s="608"/>
      <c r="AW8" s="608"/>
      <c r="AX8" s="608"/>
      <c r="AY8" s="608"/>
      <c r="AZ8" s="608"/>
      <c r="BA8" s="608"/>
      <c r="BB8" s="608"/>
      <c r="BC8" s="608"/>
      <c r="BD8" s="608"/>
      <c r="BE8" s="608"/>
      <c r="BF8" s="605"/>
      <c r="BG8" s="609">
        <f t="shared" si="0"/>
        <v>0</v>
      </c>
      <c r="BH8" s="610"/>
      <c r="BI8" s="1977"/>
      <c r="BK8"/>
      <c r="BL8" s="2">
        <v>0</v>
      </c>
    </row>
    <row r="9" spans="1:64" s="2" customFormat="1" x14ac:dyDescent="0.3">
      <c r="C9" s="1387" t="s">
        <v>1296</v>
      </c>
      <c r="D9" s="604"/>
      <c r="E9" s="482">
        <f>+'Bilan Passif '!C13/10^6</f>
        <v>0</v>
      </c>
      <c r="F9" s="605"/>
      <c r="G9" s="606"/>
      <c r="H9" s="606"/>
      <c r="I9" s="606"/>
      <c r="J9" s="606"/>
      <c r="K9" s="606"/>
      <c r="L9" s="606"/>
      <c r="M9" s="606"/>
      <c r="N9" s="606"/>
      <c r="O9" s="606"/>
      <c r="P9" s="606"/>
      <c r="Q9" s="607">
        <f t="shared" si="1"/>
        <v>0</v>
      </c>
      <c r="R9" s="608"/>
      <c r="S9" s="608"/>
      <c r="T9" s="608"/>
      <c r="U9" s="608"/>
      <c r="V9" s="608"/>
      <c r="W9" s="608"/>
      <c r="X9" s="608"/>
      <c r="Y9" s="608"/>
      <c r="Z9" s="608"/>
      <c r="AA9" s="608"/>
      <c r="AB9" s="608"/>
      <c r="AC9" s="608"/>
      <c r="AD9" s="608"/>
      <c r="AE9" s="608"/>
      <c r="AF9" s="608"/>
      <c r="AG9" s="608"/>
      <c r="AH9" s="608"/>
      <c r="AI9" s="608"/>
      <c r="AJ9" s="608"/>
      <c r="AK9" s="608"/>
      <c r="AL9" s="608"/>
      <c r="AM9" s="608"/>
      <c r="AN9" s="608"/>
      <c r="AO9" s="608"/>
      <c r="AP9" s="608"/>
      <c r="AQ9" s="608"/>
      <c r="AR9" s="608"/>
      <c r="AS9" s="608"/>
      <c r="AT9" s="608"/>
      <c r="AU9" s="608"/>
      <c r="AV9" s="608"/>
      <c r="AW9" s="608"/>
      <c r="AX9" s="608"/>
      <c r="AY9" s="608"/>
      <c r="AZ9" s="608"/>
      <c r="BA9" s="608"/>
      <c r="BB9" s="608"/>
      <c r="BC9" s="608"/>
      <c r="BD9" s="608"/>
      <c r="BE9" s="608"/>
      <c r="BF9" s="605"/>
      <c r="BG9" s="609">
        <f t="shared" si="0"/>
        <v>0</v>
      </c>
      <c r="BH9" s="610"/>
      <c r="BI9" s="1977"/>
      <c r="BK9"/>
      <c r="BL9" s="2">
        <v>0</v>
      </c>
    </row>
    <row r="10" spans="1:64" s="2" customFormat="1" x14ac:dyDescent="0.3">
      <c r="C10" s="1387" t="s">
        <v>1297</v>
      </c>
      <c r="D10" s="604"/>
      <c r="E10" s="482">
        <f>+'Bilan Passif '!C14/10^6</f>
        <v>0</v>
      </c>
      <c r="F10" s="605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7">
        <f t="shared" si="1"/>
        <v>0</v>
      </c>
      <c r="R10" s="608"/>
      <c r="S10" s="608"/>
      <c r="T10" s="608"/>
      <c r="U10" s="608"/>
      <c r="V10" s="608"/>
      <c r="W10" s="608"/>
      <c r="X10" s="608"/>
      <c r="Y10" s="608"/>
      <c r="Z10" s="608"/>
      <c r="AA10" s="608"/>
      <c r="AB10" s="608"/>
      <c r="AC10" s="608"/>
      <c r="AD10" s="608"/>
      <c r="AE10" s="608"/>
      <c r="AF10" s="608"/>
      <c r="AG10" s="608"/>
      <c r="AH10" s="608"/>
      <c r="AI10" s="608"/>
      <c r="AJ10" s="608"/>
      <c r="AK10" s="608"/>
      <c r="AL10" s="608"/>
      <c r="AM10" s="608"/>
      <c r="AN10" s="608"/>
      <c r="AO10" s="608"/>
      <c r="AP10" s="608"/>
      <c r="AQ10" s="608"/>
      <c r="AR10" s="608"/>
      <c r="AS10" s="608"/>
      <c r="AT10" s="608"/>
      <c r="AU10" s="608"/>
      <c r="AV10" s="608"/>
      <c r="AW10" s="608"/>
      <c r="AX10" s="608"/>
      <c r="AY10" s="608"/>
      <c r="AZ10" s="608"/>
      <c r="BA10" s="608"/>
      <c r="BB10" s="608"/>
      <c r="BC10" s="608"/>
      <c r="BD10" s="608"/>
      <c r="BE10" s="608"/>
      <c r="BF10" s="605"/>
      <c r="BG10" s="609">
        <f t="shared" si="0"/>
        <v>0</v>
      </c>
      <c r="BH10" s="610"/>
      <c r="BI10" s="1977"/>
      <c r="BK10"/>
      <c r="BL10" s="2">
        <v>0</v>
      </c>
    </row>
    <row r="11" spans="1:64" s="2" customFormat="1" x14ac:dyDescent="0.3">
      <c r="C11" s="1387" t="s">
        <v>1298</v>
      </c>
      <c r="D11" s="604"/>
      <c r="E11" s="482">
        <f>+'Bilan Passif '!C15/10^6</f>
        <v>0</v>
      </c>
      <c r="F11" s="605"/>
      <c r="G11" s="606"/>
      <c r="H11" s="606"/>
      <c r="I11" s="606"/>
      <c r="J11" s="606"/>
      <c r="K11" s="606"/>
      <c r="L11" s="606"/>
      <c r="M11" s="606"/>
      <c r="N11" s="606"/>
      <c r="O11" s="606"/>
      <c r="P11" s="606"/>
      <c r="Q11" s="607">
        <f t="shared" si="1"/>
        <v>0</v>
      </c>
      <c r="R11" s="608"/>
      <c r="S11" s="608"/>
      <c r="T11" s="608"/>
      <c r="U11" s="608"/>
      <c r="V11" s="608"/>
      <c r="W11" s="608"/>
      <c r="X11" s="608"/>
      <c r="Y11" s="608"/>
      <c r="Z11" s="608"/>
      <c r="AA11" s="608"/>
      <c r="AB11" s="608"/>
      <c r="AC11" s="608"/>
      <c r="AD11" s="608"/>
      <c r="AE11" s="608"/>
      <c r="AF11" s="608"/>
      <c r="AG11" s="608"/>
      <c r="AH11" s="608"/>
      <c r="AI11" s="608"/>
      <c r="AJ11" s="608"/>
      <c r="AK11" s="608"/>
      <c r="AL11" s="608"/>
      <c r="AM11" s="608"/>
      <c r="AN11" s="608"/>
      <c r="AO11" s="608"/>
      <c r="AP11" s="608"/>
      <c r="AQ11" s="608"/>
      <c r="AR11" s="608"/>
      <c r="AS11" s="608"/>
      <c r="AT11" s="608"/>
      <c r="AU11" s="608"/>
      <c r="AV11" s="608"/>
      <c r="AW11" s="608"/>
      <c r="AX11" s="608"/>
      <c r="AY11" s="608"/>
      <c r="AZ11" s="608"/>
      <c r="BA11" s="608"/>
      <c r="BB11" s="608"/>
      <c r="BC11" s="608"/>
      <c r="BD11" s="608"/>
      <c r="BE11" s="608"/>
      <c r="BF11" s="605"/>
      <c r="BG11" s="609">
        <f t="shared" si="0"/>
        <v>0</v>
      </c>
      <c r="BH11" s="610"/>
      <c r="BI11" s="1977"/>
      <c r="BK11"/>
      <c r="BL11" s="2">
        <v>0</v>
      </c>
    </row>
    <row r="12" spans="1:64" s="2" customFormat="1" x14ac:dyDescent="0.3">
      <c r="C12" s="1387" t="s">
        <v>1299</v>
      </c>
      <c r="D12" s="604"/>
      <c r="E12" s="482">
        <f>+'Bilan Passif '!C16/10^6</f>
        <v>-1228.656692</v>
      </c>
      <c r="F12" s="605"/>
      <c r="G12" s="606"/>
      <c r="H12" s="606"/>
      <c r="I12" s="606"/>
      <c r="J12" s="606"/>
      <c r="K12" s="606"/>
      <c r="L12" s="606"/>
      <c r="M12" s="606"/>
      <c r="N12" s="606"/>
      <c r="O12" s="606"/>
      <c r="P12" s="606"/>
      <c r="Q12" s="607">
        <f t="shared" si="1"/>
        <v>1228.656692</v>
      </c>
      <c r="R12" s="608"/>
      <c r="S12" s="608"/>
      <c r="T12" s="608"/>
      <c r="U12" s="608"/>
      <c r="V12" s="608"/>
      <c r="W12" s="608"/>
      <c r="X12" s="608"/>
      <c r="Y12" s="608"/>
      <c r="Z12" s="608"/>
      <c r="AA12" s="608"/>
      <c r="AB12" s="608"/>
      <c r="AC12" s="608"/>
      <c r="AD12" s="608"/>
      <c r="AE12" s="608"/>
      <c r="AF12" s="608"/>
      <c r="AG12" s="608"/>
      <c r="AH12" s="608"/>
      <c r="AI12" s="608"/>
      <c r="AJ12" s="608"/>
      <c r="AK12" s="608"/>
      <c r="AL12" s="608"/>
      <c r="AM12" s="608"/>
      <c r="AN12" s="608"/>
      <c r="AO12" s="608"/>
      <c r="AP12" s="608"/>
      <c r="AQ12" s="608"/>
      <c r="AR12" s="608"/>
      <c r="AS12" s="608"/>
      <c r="AT12" s="608"/>
      <c r="AU12" s="608"/>
      <c r="AV12" s="608"/>
      <c r="AW12" s="608"/>
      <c r="AX12" s="608"/>
      <c r="AY12" s="608"/>
      <c r="AZ12" s="608"/>
      <c r="BA12" s="608"/>
      <c r="BB12" s="608"/>
      <c r="BC12" s="608"/>
      <c r="BD12" s="608"/>
      <c r="BE12" s="608"/>
      <c r="BF12" s="605"/>
      <c r="BG12" s="609">
        <f t="shared" si="0"/>
        <v>0</v>
      </c>
      <c r="BH12" s="610"/>
      <c r="BI12" s="1977"/>
      <c r="BK12"/>
      <c r="BL12" s="2">
        <v>0</v>
      </c>
    </row>
    <row r="13" spans="1:64" s="2" customFormat="1" x14ac:dyDescent="0.3">
      <c r="C13" s="1387" t="s">
        <v>1300</v>
      </c>
      <c r="D13" s="604"/>
      <c r="E13" s="482">
        <f>+'Bilan Passif '!C17/10^6</f>
        <v>4778.3636839999999</v>
      </c>
      <c r="F13" s="605"/>
      <c r="G13" s="606"/>
      <c r="H13" s="606"/>
      <c r="I13" s="606"/>
      <c r="J13" s="606"/>
      <c r="K13" s="606"/>
      <c r="L13" s="606"/>
      <c r="M13" s="606"/>
      <c r="N13" s="606"/>
      <c r="O13" s="606"/>
      <c r="P13" s="606"/>
      <c r="Q13" s="607">
        <f t="shared" si="1"/>
        <v>-4778.3636839999999</v>
      </c>
      <c r="R13" s="608"/>
      <c r="S13" s="608"/>
      <c r="T13" s="608"/>
      <c r="U13" s="608"/>
      <c r="V13" s="608"/>
      <c r="W13" s="608"/>
      <c r="X13" s="608"/>
      <c r="Y13" s="608"/>
      <c r="Z13" s="608"/>
      <c r="AA13" s="608"/>
      <c r="AB13" s="608"/>
      <c r="AC13" s="608"/>
      <c r="AD13" s="608"/>
      <c r="AE13" s="608"/>
      <c r="AF13" s="608"/>
      <c r="AG13" s="608"/>
      <c r="AH13" s="608"/>
      <c r="AI13" s="608"/>
      <c r="AJ13" s="608"/>
      <c r="AK13" s="608"/>
      <c r="AL13" s="608"/>
      <c r="AM13" s="608"/>
      <c r="AN13" s="608"/>
      <c r="AO13" s="608"/>
      <c r="AP13" s="608"/>
      <c r="AQ13" s="608"/>
      <c r="AR13" s="608"/>
      <c r="AS13" s="608"/>
      <c r="AT13" s="608"/>
      <c r="AU13" s="608"/>
      <c r="AV13" s="608"/>
      <c r="AW13" s="608"/>
      <c r="AX13" s="608"/>
      <c r="AY13" s="608"/>
      <c r="AZ13" s="608"/>
      <c r="BA13" s="608"/>
      <c r="BB13" s="608"/>
      <c r="BC13" s="608"/>
      <c r="BD13" s="608"/>
      <c r="BE13" s="608"/>
      <c r="BF13" s="605"/>
      <c r="BG13" s="609">
        <f t="shared" si="0"/>
        <v>0</v>
      </c>
      <c r="BH13" s="610"/>
      <c r="BI13" s="1977"/>
      <c r="BK13"/>
      <c r="BL13" s="2">
        <v>0</v>
      </c>
    </row>
    <row r="14" spans="1:64" s="2" customFormat="1" x14ac:dyDescent="0.3">
      <c r="C14" s="1387" t="s">
        <v>1301</v>
      </c>
      <c r="D14" s="604"/>
      <c r="E14" s="482">
        <f>+'Bilan Passif '!C19/10^6</f>
        <v>0</v>
      </c>
      <c r="F14" s="605"/>
      <c r="G14" s="606"/>
      <c r="H14" s="606"/>
      <c r="I14" s="606"/>
      <c r="J14" s="606"/>
      <c r="K14" s="606"/>
      <c r="L14" s="606"/>
      <c r="M14" s="606"/>
      <c r="N14" s="606"/>
      <c r="O14" s="606"/>
      <c r="P14" s="606"/>
      <c r="Q14" s="608">
        <f t="shared" si="1"/>
        <v>0</v>
      </c>
      <c r="R14" s="608"/>
      <c r="S14" s="608"/>
      <c r="T14" s="608"/>
      <c r="U14" s="608"/>
      <c r="V14" s="608"/>
      <c r="W14" s="608"/>
      <c r="X14" s="608"/>
      <c r="Y14" s="608"/>
      <c r="Z14" s="608"/>
      <c r="AA14" s="608"/>
      <c r="AB14" s="608"/>
      <c r="AC14" s="608"/>
      <c r="AD14" s="608"/>
      <c r="AE14" s="608"/>
      <c r="AF14" s="608"/>
      <c r="AG14" s="608"/>
      <c r="AH14" s="608"/>
      <c r="AI14" s="608"/>
      <c r="AJ14" s="608"/>
      <c r="AK14" s="608"/>
      <c r="AL14" s="608"/>
      <c r="AM14" s="608"/>
      <c r="AN14" s="608"/>
      <c r="AO14" s="611"/>
      <c r="AP14" s="608"/>
      <c r="AQ14" s="608"/>
      <c r="AR14" s="608"/>
      <c r="AS14" s="608"/>
      <c r="AT14" s="608"/>
      <c r="AU14" s="608"/>
      <c r="AV14" s="608"/>
      <c r="AW14" s="608"/>
      <c r="AX14" s="608"/>
      <c r="AY14" s="608"/>
      <c r="AZ14" s="608"/>
      <c r="BA14" s="608"/>
      <c r="BB14" s="608"/>
      <c r="BC14" s="608"/>
      <c r="BD14" s="608"/>
      <c r="BE14" s="608"/>
      <c r="BF14" s="605"/>
      <c r="BG14" s="609">
        <f t="shared" si="0"/>
        <v>0</v>
      </c>
      <c r="BH14" s="610"/>
      <c r="BI14" s="1977"/>
      <c r="BK14"/>
      <c r="BL14" s="2">
        <v>0</v>
      </c>
    </row>
    <row r="15" spans="1:64" s="2" customFormat="1" x14ac:dyDescent="0.3">
      <c r="C15" s="1387" t="s">
        <v>1302</v>
      </c>
      <c r="D15" s="604"/>
      <c r="E15" s="482">
        <f>+'Bilan Passif '!C20/10^6</f>
        <v>0</v>
      </c>
      <c r="F15" s="605"/>
      <c r="G15" s="606"/>
      <c r="H15" s="606"/>
      <c r="I15" s="606"/>
      <c r="J15" s="606"/>
      <c r="K15" s="606"/>
      <c r="L15" s="606"/>
      <c r="M15" s="606"/>
      <c r="N15" s="606"/>
      <c r="O15" s="606"/>
      <c r="P15" s="606"/>
      <c r="Q15" s="608">
        <f t="shared" si="1"/>
        <v>0</v>
      </c>
      <c r="R15" s="608"/>
      <c r="S15" s="608"/>
      <c r="T15" s="608"/>
      <c r="U15" s="608"/>
      <c r="V15" s="608"/>
      <c r="W15" s="608"/>
      <c r="X15" s="608"/>
      <c r="Y15" s="608"/>
      <c r="Z15" s="608"/>
      <c r="AA15" s="608"/>
      <c r="AB15" s="608"/>
      <c r="AC15" s="608"/>
      <c r="AD15" s="608"/>
      <c r="AE15" s="608"/>
      <c r="AF15" s="608"/>
      <c r="AG15" s="608"/>
      <c r="AH15" s="608"/>
      <c r="AI15" s="608"/>
      <c r="AJ15" s="608"/>
      <c r="AK15" s="608"/>
      <c r="AL15" s="608"/>
      <c r="AM15" s="608"/>
      <c r="AN15" s="608"/>
      <c r="AO15" s="608"/>
      <c r="AP15" s="608"/>
      <c r="AQ15" s="608"/>
      <c r="AR15" s="608"/>
      <c r="AS15" s="608"/>
      <c r="AT15" s="608"/>
      <c r="AU15" s="608"/>
      <c r="AV15" s="608"/>
      <c r="AW15" s="608"/>
      <c r="AX15" s="608"/>
      <c r="AY15" s="608"/>
      <c r="AZ15" s="608"/>
      <c r="BA15" s="608"/>
      <c r="BB15" s="608"/>
      <c r="BC15" s="608"/>
      <c r="BD15" s="608"/>
      <c r="BE15" s="608"/>
      <c r="BF15" s="605"/>
      <c r="BG15" s="609">
        <f t="shared" si="0"/>
        <v>0</v>
      </c>
      <c r="BH15" s="610"/>
      <c r="BI15" s="1977"/>
      <c r="BK15"/>
      <c r="BL15" s="2">
        <v>0</v>
      </c>
    </row>
    <row r="16" spans="1:64" ht="12" customHeight="1" x14ac:dyDescent="0.3">
      <c r="E16" s="490"/>
      <c r="F16" s="555"/>
      <c r="G16" s="555"/>
      <c r="H16" s="555"/>
      <c r="I16" s="555"/>
      <c r="J16" s="555"/>
      <c r="K16" s="555"/>
      <c r="L16" s="555"/>
      <c r="M16" s="1266"/>
      <c r="N16" s="555"/>
      <c r="O16" s="555"/>
      <c r="P16" s="555"/>
      <c r="Q16" s="555"/>
      <c r="R16" s="555"/>
      <c r="S16" s="555"/>
      <c r="T16" s="555"/>
      <c r="U16" s="555"/>
      <c r="V16" s="555"/>
      <c r="W16" s="555"/>
      <c r="X16" s="555"/>
      <c r="Y16" s="555"/>
      <c r="Z16" s="555"/>
      <c r="AA16" s="555"/>
      <c r="AB16" s="555"/>
      <c r="AC16" s="555"/>
      <c r="AD16" s="555"/>
      <c r="AE16" s="555"/>
      <c r="AF16" s="555"/>
      <c r="AG16" s="555"/>
      <c r="AH16" s="555"/>
      <c r="AI16" s="555"/>
      <c r="AJ16" s="555"/>
      <c r="AK16" s="555"/>
      <c r="AL16" s="555"/>
      <c r="AM16" s="555"/>
      <c r="AN16" s="555"/>
      <c r="AO16" s="555"/>
      <c r="AP16" s="555"/>
      <c r="AQ16" s="555"/>
      <c r="AR16" s="555"/>
      <c r="AS16" s="555"/>
      <c r="AT16" s="555"/>
      <c r="AU16" s="555"/>
      <c r="AV16" s="555"/>
      <c r="AW16" s="555"/>
      <c r="AX16" s="555"/>
      <c r="AY16" s="555"/>
      <c r="AZ16" s="555"/>
      <c r="BA16" s="555"/>
      <c r="BB16" s="555"/>
      <c r="BC16" s="555"/>
      <c r="BD16" s="555"/>
      <c r="BE16" s="555"/>
      <c r="BF16" s="555"/>
      <c r="BG16" s="605"/>
      <c r="BH16" s="590"/>
    </row>
    <row r="17" spans="2:64" x14ac:dyDescent="0.3">
      <c r="B17" s="498" t="s">
        <v>82</v>
      </c>
      <c r="C17" s="1264" t="s">
        <v>1303</v>
      </c>
      <c r="E17" s="499"/>
      <c r="F17" s="555"/>
      <c r="G17" s="530"/>
      <c r="H17" s="612"/>
      <c r="I17" s="530"/>
      <c r="J17" s="612"/>
      <c r="K17" s="530"/>
      <c r="L17" s="612"/>
      <c r="M17" s="530"/>
      <c r="N17" s="612"/>
      <c r="O17" s="530"/>
      <c r="P17" s="612"/>
      <c r="Q17" s="613">
        <f>-SUM('BG '!J4:K11,'BG '!J688:K688,'BG '!J687)/10^6</f>
        <v>9179.6233080000002</v>
      </c>
      <c r="R17" s="612"/>
      <c r="S17" s="612"/>
      <c r="T17" s="612"/>
      <c r="U17" s="612"/>
      <c r="V17" s="612"/>
      <c r="W17" s="612"/>
      <c r="X17" s="612"/>
      <c r="Y17" s="530"/>
      <c r="Z17" s="1326">
        <f>-94.2828596846101-Z18</f>
        <v>45.274280315389902</v>
      </c>
      <c r="AA17" s="612"/>
      <c r="AB17" s="612"/>
      <c r="AC17" s="612"/>
      <c r="AD17" s="530">
        <f>1196.5+60.0905809212002</f>
        <v>1256.5905809212002</v>
      </c>
      <c r="AE17" s="612"/>
      <c r="AF17" s="613">
        <v>48.608513499999994</v>
      </c>
      <c r="AG17" s="612"/>
      <c r="AH17" s="530">
        <f>275.906817837868+458.955034+527.51748+272.1091863+197.1612356+184.7497827+175.5695235+243.3039189+0.0457790733726142</f>
        <v>2335.3187579112405</v>
      </c>
      <c r="AI17" s="612"/>
      <c r="AJ17" s="612"/>
      <c r="AK17" s="530">
        <f>-52.3534514953817-297.576952826635-404.060113074649-276.452537231798-242.21997880329-185.519873683713-140.635020157903-124.221386494723</f>
        <v>-1723.0393137680926</v>
      </c>
      <c r="AL17" s="612"/>
      <c r="AM17" s="612"/>
      <c r="AN17" s="612"/>
      <c r="AO17" s="612"/>
      <c r="AP17" s="612"/>
      <c r="AQ17" s="612"/>
      <c r="AR17" s="612"/>
      <c r="AS17" s="612">
        <f>-87.0857085-72.2560097-58.0208139-20.72798</f>
        <v>-238.09051210000001</v>
      </c>
      <c r="AT17" s="612"/>
      <c r="AU17" s="612">
        <f>-371.084564984+246.78740723+200.150696+58.1525</f>
        <v>134.00603824600003</v>
      </c>
      <c r="AV17" s="612"/>
      <c r="AW17" s="612"/>
      <c r="AX17" s="612"/>
      <c r="AY17" s="612"/>
      <c r="AZ17" s="612"/>
      <c r="BA17" s="612">
        <f>222.456446+46.8762550000001-210.424885+12.9370556+41.4813511+75.4173266-111.5003687+2.863455</f>
        <v>80.106635600000104</v>
      </c>
      <c r="BB17" s="612"/>
      <c r="BC17" s="612">
        <f>19085+7314</f>
        <v>26399</v>
      </c>
      <c r="BD17" s="612">
        <f>2116.8-1.951335</f>
        <v>2114.848665</v>
      </c>
      <c r="BE17" s="612">
        <f>211.133221692526+178.572330668901+132.956685332176+101.946129422176+70.935573512176+39.925017602176+8.914461692176</f>
        <v>744.38341992230698</v>
      </c>
      <c r="BF17" s="555"/>
      <c r="BG17" s="629">
        <f>+SUM(E17:BE17)</f>
        <v>40376.63037354804</v>
      </c>
      <c r="BH17" s="590"/>
      <c r="BL17" s="72">
        <v>40376.584478474666</v>
      </c>
    </row>
    <row r="18" spans="2:64" ht="15.6" x14ac:dyDescent="0.3">
      <c r="B18" s="498" t="s">
        <v>87</v>
      </c>
      <c r="C18" s="1264" t="s">
        <v>1304</v>
      </c>
      <c r="E18" s="499"/>
      <c r="F18" s="555"/>
      <c r="G18" s="612"/>
      <c r="H18" s="612"/>
      <c r="I18" s="612"/>
      <c r="J18" s="612"/>
      <c r="K18" s="612"/>
      <c r="L18" s="612"/>
      <c r="M18" s="612"/>
      <c r="N18" s="612"/>
      <c r="O18" s="612"/>
      <c r="P18" s="612"/>
      <c r="Q18" s="613">
        <f>-SUM('BG '!J448:K687)/1000000</f>
        <v>4778.3636839999999</v>
      </c>
      <c r="R18" s="612"/>
      <c r="S18" s="612"/>
      <c r="T18" s="612"/>
      <c r="U18" s="612"/>
      <c r="V18" s="612"/>
      <c r="W18" s="612"/>
      <c r="X18" s="612"/>
      <c r="Y18" s="530"/>
      <c r="Z18" s="1414">
        <f>'Passage P&amp;L-par nature'!Y191</f>
        <v>-139.55714</v>
      </c>
      <c r="AA18" s="612"/>
      <c r="AB18" s="612"/>
      <c r="AC18" s="612"/>
      <c r="AD18" s="612"/>
      <c r="AE18" s="612"/>
      <c r="AF18" s="612"/>
      <c r="AG18" s="612"/>
      <c r="AH18" s="612"/>
      <c r="AI18" s="612"/>
      <c r="AJ18" s="613">
        <f>'Passage Actif BC '!AF103*70%</f>
        <v>368.0880252</v>
      </c>
      <c r="AK18" s="612"/>
      <c r="AL18" s="612">
        <f>(+'Passage Actif BC '!AH30)*70%</f>
        <v>-160.64583860004169</v>
      </c>
      <c r="AM18" s="612"/>
      <c r="AN18" s="612"/>
      <c r="AO18" s="612"/>
      <c r="AP18" s="612"/>
      <c r="AQ18" s="612"/>
      <c r="AR18" s="614"/>
      <c r="AS18" s="612"/>
      <c r="AT18" s="614">
        <f>('Impacts_IFRS.16-09'!L85*70%)</f>
        <v>40.756979199999975</v>
      </c>
      <c r="AU18" s="612"/>
      <c r="AV18" s="612">
        <f>-SUM('BG '!H29:I29)/10^6*70%</f>
        <v>0</v>
      </c>
      <c r="AW18" s="612"/>
      <c r="AX18" s="612"/>
      <c r="AY18" s="612"/>
      <c r="AZ18" s="612"/>
      <c r="BA18" s="612"/>
      <c r="BB18" s="612">
        <f>-SUM('BG '!H271:I272)/1000000*70%</f>
        <v>8.5850799999999991E-2</v>
      </c>
      <c r="BC18" s="615"/>
      <c r="BD18" s="612"/>
      <c r="BE18" s="612">
        <f>(+Activation!CN240)*70%/1000000</f>
        <v>31.225325522083327</v>
      </c>
      <c r="BF18" s="555"/>
      <c r="BG18" s="616">
        <f>+SUM(E18:BE18)</f>
        <v>4918.316886122042</v>
      </c>
      <c r="BH18" s="590"/>
      <c r="BL18" s="72">
        <v>3337.3214352816708</v>
      </c>
    </row>
    <row r="19" spans="2:64" x14ac:dyDescent="0.3">
      <c r="B19" s="498" t="s">
        <v>1305</v>
      </c>
      <c r="C19" s="1264" t="s">
        <v>1306</v>
      </c>
      <c r="E19" s="499"/>
      <c r="F19" s="555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2"/>
      <c r="AA19" s="612"/>
      <c r="AB19" s="612"/>
      <c r="AC19" s="612"/>
      <c r="AD19" s="612"/>
      <c r="AE19" s="612"/>
      <c r="AF19" s="612"/>
      <c r="AG19" s="612"/>
      <c r="AH19" s="612"/>
      <c r="AI19" s="612"/>
      <c r="AJ19" s="612"/>
      <c r="AK19" s="612"/>
      <c r="AL19" s="612"/>
      <c r="AM19" s="612"/>
      <c r="AN19" s="612"/>
      <c r="AO19" s="612"/>
      <c r="AP19" s="612"/>
      <c r="AQ19" s="612"/>
      <c r="AR19" s="612"/>
      <c r="AS19" s="612"/>
      <c r="AT19" s="612"/>
      <c r="AU19" s="612"/>
      <c r="AV19" s="612"/>
      <c r="AW19" s="612"/>
      <c r="AX19" s="612"/>
      <c r="AY19" s="612"/>
      <c r="AZ19" s="612"/>
      <c r="BA19" s="612"/>
      <c r="BB19" s="612"/>
      <c r="BC19" s="612"/>
      <c r="BD19" s="612"/>
      <c r="BE19" s="612"/>
      <c r="BF19" s="555"/>
      <c r="BG19" s="616">
        <f t="shared" ref="BG19:BG25" si="2">+SUM(E19:BE19)</f>
        <v>0</v>
      </c>
      <c r="BH19" s="590"/>
      <c r="BL19" s="72">
        <v>0</v>
      </c>
    </row>
    <row r="20" spans="2:64" x14ac:dyDescent="0.3">
      <c r="B20" s="498" t="s">
        <v>1307</v>
      </c>
      <c r="C20" s="1264" t="s">
        <v>1308</v>
      </c>
      <c r="E20" s="499"/>
      <c r="F20" s="555"/>
      <c r="G20" s="612"/>
      <c r="H20" s="612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  <c r="Y20" s="612"/>
      <c r="Z20" s="612"/>
      <c r="AA20" s="612"/>
      <c r="AB20" s="612"/>
      <c r="AC20" s="612"/>
      <c r="AD20" s="612"/>
      <c r="AE20" s="612"/>
      <c r="AF20" s="612"/>
      <c r="AG20" s="612"/>
      <c r="AH20" s="612"/>
      <c r="AI20" s="612"/>
      <c r="AJ20" s="612"/>
      <c r="AK20" s="612"/>
      <c r="AL20" s="612"/>
      <c r="AM20" s="612"/>
      <c r="AN20" s="612"/>
      <c r="AO20" s="612"/>
      <c r="AP20" s="612"/>
      <c r="AQ20" s="612"/>
      <c r="AR20" s="612"/>
      <c r="AS20" s="612"/>
      <c r="AT20" s="612"/>
      <c r="AU20" s="612"/>
      <c r="AV20" s="612"/>
      <c r="AW20" s="612"/>
      <c r="AX20" s="612"/>
      <c r="AY20" s="612"/>
      <c r="AZ20" s="612"/>
      <c r="BA20" s="612"/>
      <c r="BB20" s="612"/>
      <c r="BC20" s="612"/>
      <c r="BD20" s="612"/>
      <c r="BE20" s="612"/>
      <c r="BF20" s="555"/>
      <c r="BG20" s="616">
        <f t="shared" si="2"/>
        <v>0</v>
      </c>
      <c r="BH20" s="590"/>
      <c r="BL20" s="72">
        <v>0</v>
      </c>
    </row>
    <row r="21" spans="2:64" x14ac:dyDescent="0.3">
      <c r="B21" s="498" t="s">
        <v>1309</v>
      </c>
      <c r="C21" s="1264" t="s">
        <v>1310</v>
      </c>
      <c r="E21" s="499"/>
      <c r="F21" s="555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12"/>
      <c r="AB21" s="612"/>
      <c r="AC21" s="612"/>
      <c r="AD21" s="612"/>
      <c r="AE21" s="612"/>
      <c r="AF21" s="612"/>
      <c r="AG21" s="612"/>
      <c r="AH21" s="612"/>
      <c r="AI21" s="612"/>
      <c r="AJ21" s="612"/>
      <c r="AK21" s="612"/>
      <c r="AL21" s="612"/>
      <c r="AM21" s="612"/>
      <c r="AN21" s="612"/>
      <c r="AO21" s="612"/>
      <c r="AP21" s="612"/>
      <c r="AQ21" s="612"/>
      <c r="AR21" s="612"/>
      <c r="AS21" s="612"/>
      <c r="AT21" s="612"/>
      <c r="AU21" s="612"/>
      <c r="AV21" s="612"/>
      <c r="AW21" s="612"/>
      <c r="AX21" s="612"/>
      <c r="AY21" s="612"/>
      <c r="AZ21" s="612"/>
      <c r="BA21" s="612"/>
      <c r="BB21" s="612"/>
      <c r="BC21" s="612"/>
      <c r="BD21" s="612"/>
      <c r="BE21" s="612"/>
      <c r="BF21" s="555"/>
      <c r="BG21" s="616">
        <f t="shared" si="2"/>
        <v>0</v>
      </c>
      <c r="BH21" s="590"/>
      <c r="BL21" s="72">
        <v>0</v>
      </c>
    </row>
    <row r="22" spans="2:64" x14ac:dyDescent="0.3">
      <c r="B22" s="498" t="s">
        <v>1311</v>
      </c>
      <c r="C22" s="1264" t="s">
        <v>1312</v>
      </c>
      <c r="E22" s="499"/>
      <c r="F22" s="555"/>
      <c r="G22" s="612"/>
      <c r="H22" s="612"/>
      <c r="I22" s="612"/>
      <c r="J22" s="612"/>
      <c r="K22" s="612"/>
      <c r="L22" s="612"/>
      <c r="M22" s="612"/>
      <c r="N22" s="612"/>
      <c r="O22" s="612"/>
      <c r="P22" s="612"/>
      <c r="Q22" s="612"/>
      <c r="R22" s="612"/>
      <c r="S22" s="612"/>
      <c r="T22" s="612"/>
      <c r="U22" s="612"/>
      <c r="V22" s="612"/>
      <c r="W22" s="612"/>
      <c r="X22" s="612"/>
      <c r="Y22" s="612"/>
      <c r="Z22" s="612"/>
      <c r="AA22" s="612"/>
      <c r="AB22" s="612"/>
      <c r="AC22" s="612"/>
      <c r="AD22" s="612"/>
      <c r="AE22" s="612"/>
      <c r="AF22" s="612">
        <f>-48.468784+153.063162027155+54.2999999999998-64.6156183425448-61.4977152467883+42.6783600365493</f>
        <v>75.459404474370984</v>
      </c>
      <c r="AG22" s="612">
        <f>-PIDR!D13</f>
        <v>110.2</v>
      </c>
      <c r="AH22" s="612"/>
      <c r="AI22" s="612"/>
      <c r="AJ22" s="612"/>
      <c r="AK22" s="612"/>
      <c r="AL22" s="612"/>
      <c r="AM22" s="612"/>
      <c r="AN22" s="612"/>
      <c r="AO22" s="612"/>
      <c r="AP22" s="612"/>
      <c r="AQ22" s="612"/>
      <c r="AR22" s="612"/>
      <c r="AS22" s="612"/>
      <c r="AT22" s="612"/>
      <c r="AU22" s="612"/>
      <c r="AV22" s="612"/>
      <c r="AW22" s="612"/>
      <c r="AX22" s="612"/>
      <c r="AY22" s="612"/>
      <c r="AZ22" s="612"/>
      <c r="BA22" s="612"/>
      <c r="BB22" s="612"/>
      <c r="BC22" s="612"/>
      <c r="BD22" s="612"/>
      <c r="BE22" s="612"/>
      <c r="BF22" s="555"/>
      <c r="BG22" s="616">
        <f t="shared" si="2"/>
        <v>185.659404474371</v>
      </c>
      <c r="BH22" s="590"/>
      <c r="BI22" s="555"/>
      <c r="BL22" s="72">
        <v>75.459404474370984</v>
      </c>
    </row>
    <row r="23" spans="2:64" x14ac:dyDescent="0.3">
      <c r="B23" s="498" t="s">
        <v>1313</v>
      </c>
      <c r="C23" s="1264" t="s">
        <v>1314</v>
      </c>
      <c r="E23" s="499"/>
      <c r="F23" s="555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2"/>
      <c r="W23" s="612"/>
      <c r="X23" s="612"/>
      <c r="Y23" s="612"/>
      <c r="Z23" s="612"/>
      <c r="AA23" s="612"/>
      <c r="AB23" s="612"/>
      <c r="AC23" s="612"/>
      <c r="AD23" s="612"/>
      <c r="AE23" s="612"/>
      <c r="AF23" s="612">
        <f>14.5406352-45.9189486081465-16.29+19.3846855027635+18.4493145740365-12.8035080109648</f>
        <v>-22.637821342311305</v>
      </c>
      <c r="AG23" s="612">
        <f>-AG22*30%</f>
        <v>-33.06</v>
      </c>
      <c r="AH23" s="612"/>
      <c r="AI23" s="612"/>
      <c r="AJ23" s="612"/>
      <c r="AK23" s="612"/>
      <c r="AL23" s="612"/>
      <c r="AM23" s="612"/>
      <c r="AN23" s="612"/>
      <c r="AO23" s="612"/>
      <c r="AP23" s="612"/>
      <c r="AQ23" s="612"/>
      <c r="AR23" s="612"/>
      <c r="AS23" s="612"/>
      <c r="AT23" s="612"/>
      <c r="AU23" s="612"/>
      <c r="AV23" s="612"/>
      <c r="AW23" s="612"/>
      <c r="AX23" s="612"/>
      <c r="AY23" s="612"/>
      <c r="AZ23" s="612"/>
      <c r="BA23" s="612"/>
      <c r="BB23" s="612"/>
      <c r="BC23" s="612"/>
      <c r="BD23" s="612"/>
      <c r="BE23" s="612"/>
      <c r="BF23" s="555"/>
      <c r="BG23" s="616">
        <f t="shared" si="2"/>
        <v>-55.697821342311308</v>
      </c>
      <c r="BH23" s="590"/>
      <c r="BL23" s="72">
        <v>-22.637821342311305</v>
      </c>
    </row>
    <row r="24" spans="2:64" x14ac:dyDescent="0.3">
      <c r="B24" s="498" t="s">
        <v>1315</v>
      </c>
      <c r="C24" s="1264" t="s">
        <v>1316</v>
      </c>
      <c r="E24" s="499"/>
      <c r="F24" s="555"/>
      <c r="G24" s="612"/>
      <c r="H24" s="612"/>
      <c r="I24" s="612"/>
      <c r="J24" s="612"/>
      <c r="K24" s="612"/>
      <c r="L24" s="612"/>
      <c r="M24" s="612"/>
      <c r="N24" s="612"/>
      <c r="O24" s="612"/>
      <c r="P24" s="612"/>
      <c r="Q24" s="612"/>
      <c r="R24" s="612"/>
      <c r="S24" s="612"/>
      <c r="T24" s="612"/>
      <c r="U24" s="612"/>
      <c r="V24" s="612"/>
      <c r="W24" s="612"/>
      <c r="X24" s="612"/>
      <c r="Y24" s="612"/>
      <c r="Z24" s="612"/>
      <c r="AA24" s="612"/>
      <c r="AB24" s="612"/>
      <c r="AC24" s="612"/>
      <c r="AD24" s="612"/>
      <c r="AE24" s="612"/>
      <c r="AF24" s="612"/>
      <c r="AG24" s="612"/>
      <c r="AH24" s="612"/>
      <c r="AI24" s="612"/>
      <c r="AJ24" s="612"/>
      <c r="AK24" s="612"/>
      <c r="AL24" s="612"/>
      <c r="AM24" s="612"/>
      <c r="AN24" s="612"/>
      <c r="AO24" s="612"/>
      <c r="AP24" s="612"/>
      <c r="AQ24" s="612"/>
      <c r="AR24" s="612"/>
      <c r="AS24" s="612"/>
      <c r="AT24" s="612"/>
      <c r="AU24" s="612"/>
      <c r="AV24" s="612"/>
      <c r="AW24" s="612"/>
      <c r="AX24" s="612"/>
      <c r="AY24" s="612"/>
      <c r="AZ24" s="612"/>
      <c r="BA24" s="612"/>
      <c r="BB24" s="612"/>
      <c r="BC24" s="612"/>
      <c r="BD24" s="612"/>
      <c r="BE24" s="612"/>
      <c r="BF24" s="555"/>
      <c r="BG24" s="616">
        <f t="shared" si="2"/>
        <v>0</v>
      </c>
      <c r="BH24" s="590"/>
      <c r="BL24" s="72">
        <v>0</v>
      </c>
    </row>
    <row r="25" spans="2:64" x14ac:dyDescent="0.3">
      <c r="B25" s="498" t="s">
        <v>1317</v>
      </c>
      <c r="C25" s="1264" t="s">
        <v>1318</v>
      </c>
      <c r="E25" s="499"/>
      <c r="F25" s="555"/>
      <c r="G25" s="612"/>
      <c r="H25" s="612"/>
      <c r="I25" s="612"/>
      <c r="J25" s="612"/>
      <c r="K25" s="612"/>
      <c r="L25" s="612"/>
      <c r="M25" s="612"/>
      <c r="N25" s="612"/>
      <c r="O25" s="612"/>
      <c r="P25" s="612"/>
      <c r="Q25" s="612"/>
      <c r="R25" s="612"/>
      <c r="S25" s="612"/>
      <c r="T25" s="612"/>
      <c r="U25" s="612"/>
      <c r="V25" s="612"/>
      <c r="W25" s="612"/>
      <c r="X25" s="612"/>
      <c r="Y25" s="612"/>
      <c r="Z25" s="612"/>
      <c r="AA25" s="612"/>
      <c r="AB25" s="612"/>
      <c r="AC25" s="612"/>
      <c r="AD25" s="612"/>
      <c r="AE25" s="612"/>
      <c r="AF25" s="612"/>
      <c r="AG25" s="612"/>
      <c r="AH25" s="612"/>
      <c r="AI25" s="612"/>
      <c r="AJ25" s="612"/>
      <c r="AK25" s="612"/>
      <c r="AL25" s="612"/>
      <c r="AM25" s="612"/>
      <c r="AN25" s="612"/>
      <c r="AO25" s="612"/>
      <c r="AP25" s="612"/>
      <c r="AQ25" s="612"/>
      <c r="AR25" s="612"/>
      <c r="AS25" s="612"/>
      <c r="AT25" s="612"/>
      <c r="AU25" s="612"/>
      <c r="AV25" s="612"/>
      <c r="AW25" s="612"/>
      <c r="AX25" s="612"/>
      <c r="AY25" s="612"/>
      <c r="AZ25" s="612"/>
      <c r="BA25" s="612"/>
      <c r="BB25" s="612"/>
      <c r="BC25" s="612"/>
      <c r="BD25" s="612"/>
      <c r="BE25" s="612"/>
      <c r="BF25" s="555"/>
      <c r="BG25" s="616">
        <f t="shared" si="2"/>
        <v>0</v>
      </c>
      <c r="BH25" s="590"/>
      <c r="BL25" s="72">
        <v>0</v>
      </c>
    </row>
    <row r="26" spans="2:64" s="2" customFormat="1" ht="21.9" customHeight="1" thickBot="1" x14ac:dyDescent="0.35">
      <c r="B26" s="507" t="s">
        <v>1319</v>
      </c>
      <c r="C26" s="1388" t="s">
        <v>1320</v>
      </c>
      <c r="D26" s="467"/>
      <c r="E26" s="513">
        <f>+SUM(E7:E15)</f>
        <v>13957.986992</v>
      </c>
      <c r="F26" s="605"/>
      <c r="G26" s="617">
        <f t="shared" ref="G26:P26" si="3">+SUM(G17:G25)</f>
        <v>0</v>
      </c>
      <c r="H26" s="617">
        <f t="shared" si="3"/>
        <v>0</v>
      </c>
      <c r="I26" s="617">
        <f t="shared" si="3"/>
        <v>0</v>
      </c>
      <c r="J26" s="617">
        <f t="shared" si="3"/>
        <v>0</v>
      </c>
      <c r="K26" s="617">
        <f t="shared" si="3"/>
        <v>0</v>
      </c>
      <c r="L26" s="617">
        <f t="shared" si="3"/>
        <v>0</v>
      </c>
      <c r="M26" s="617">
        <f t="shared" si="3"/>
        <v>0</v>
      </c>
      <c r="N26" s="617">
        <f t="shared" si="3"/>
        <v>0</v>
      </c>
      <c r="O26" s="617">
        <f t="shared" si="3"/>
        <v>0</v>
      </c>
      <c r="P26" s="617">
        <f t="shared" si="3"/>
        <v>0</v>
      </c>
      <c r="Q26" s="618">
        <f>+SUM(Q7:Q25)</f>
        <v>0</v>
      </c>
      <c r="R26" s="618">
        <f t="shared" ref="R26:BE26" si="4">+SUM(R7:R25)</f>
        <v>0</v>
      </c>
      <c r="S26" s="618">
        <f t="shared" si="4"/>
        <v>0</v>
      </c>
      <c r="T26" s="618">
        <f t="shared" si="4"/>
        <v>0</v>
      </c>
      <c r="U26" s="618">
        <f t="shared" si="4"/>
        <v>0</v>
      </c>
      <c r="V26" s="618">
        <f t="shared" si="4"/>
        <v>0</v>
      </c>
      <c r="W26" s="618">
        <f t="shared" si="4"/>
        <v>0</v>
      </c>
      <c r="X26" s="618">
        <f t="shared" si="4"/>
        <v>0</v>
      </c>
      <c r="Y26" s="618">
        <f t="shared" si="4"/>
        <v>0</v>
      </c>
      <c r="Z26" s="618">
        <f t="shared" si="4"/>
        <v>-94.282859684610102</v>
      </c>
      <c r="AA26" s="618">
        <f t="shared" si="4"/>
        <v>0</v>
      </c>
      <c r="AB26" s="618">
        <f t="shared" si="4"/>
        <v>0</v>
      </c>
      <c r="AC26" s="618">
        <f t="shared" si="4"/>
        <v>0</v>
      </c>
      <c r="AD26" s="618">
        <f t="shared" si="4"/>
        <v>1256.5905809212002</v>
      </c>
      <c r="AE26" s="618">
        <f t="shared" si="4"/>
        <v>0</v>
      </c>
      <c r="AF26" s="618">
        <f t="shared" si="4"/>
        <v>101.43009663205967</v>
      </c>
      <c r="AG26" s="618">
        <f t="shared" si="4"/>
        <v>77.14</v>
      </c>
      <c r="AH26" s="618">
        <f t="shared" si="4"/>
        <v>2335.3187579112405</v>
      </c>
      <c r="AI26" s="618">
        <f t="shared" si="4"/>
        <v>0</v>
      </c>
      <c r="AJ26" s="618">
        <f t="shared" si="4"/>
        <v>368.0880252</v>
      </c>
      <c r="AK26" s="618">
        <f t="shared" si="4"/>
        <v>-1723.0393137680926</v>
      </c>
      <c r="AL26" s="618">
        <f t="shared" si="4"/>
        <v>-160.64583860004169</v>
      </c>
      <c r="AM26" s="618">
        <f t="shared" si="4"/>
        <v>0</v>
      </c>
      <c r="AN26" s="618">
        <f t="shared" si="4"/>
        <v>0</v>
      </c>
      <c r="AO26" s="618">
        <f t="shared" si="4"/>
        <v>0</v>
      </c>
      <c r="AP26" s="618">
        <f t="shared" si="4"/>
        <v>0</v>
      </c>
      <c r="AQ26" s="618">
        <f t="shared" si="4"/>
        <v>0</v>
      </c>
      <c r="AR26" s="618">
        <f t="shared" si="4"/>
        <v>0</v>
      </c>
      <c r="AS26" s="618">
        <f t="shared" si="4"/>
        <v>-238.09051210000001</v>
      </c>
      <c r="AT26" s="618">
        <f t="shared" si="4"/>
        <v>40.756979199999975</v>
      </c>
      <c r="AU26" s="618">
        <f t="shared" si="4"/>
        <v>134.00603824600003</v>
      </c>
      <c r="AV26" s="618">
        <f t="shared" si="4"/>
        <v>0</v>
      </c>
      <c r="AW26" s="618">
        <f t="shared" si="4"/>
        <v>0</v>
      </c>
      <c r="AX26" s="618">
        <f t="shared" si="4"/>
        <v>0</v>
      </c>
      <c r="AY26" s="618">
        <f t="shared" si="4"/>
        <v>0</v>
      </c>
      <c r="AZ26" s="618">
        <f t="shared" si="4"/>
        <v>0</v>
      </c>
      <c r="BA26" s="618">
        <f t="shared" si="4"/>
        <v>80.106635600000104</v>
      </c>
      <c r="BB26" s="618">
        <f t="shared" si="4"/>
        <v>8.5850799999999991E-2</v>
      </c>
      <c r="BC26" s="618">
        <f t="shared" si="4"/>
        <v>26399</v>
      </c>
      <c r="BD26" s="618">
        <f t="shared" si="4"/>
        <v>2114.848665</v>
      </c>
      <c r="BE26" s="618">
        <f t="shared" si="4"/>
        <v>775.60874544439037</v>
      </c>
      <c r="BF26" s="605"/>
      <c r="BG26" s="618">
        <f>+SUM(BG7:BG25)</f>
        <v>45424.908842802135</v>
      </c>
      <c r="BH26" s="610"/>
      <c r="BK26"/>
      <c r="BL26" s="2">
        <v>43766.727496888401</v>
      </c>
    </row>
    <row r="27" spans="2:64" ht="12" customHeight="1" x14ac:dyDescent="0.3">
      <c r="E27" s="490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  <c r="R27" s="555"/>
      <c r="S27" s="555"/>
      <c r="T27" s="555"/>
      <c r="U27" s="555"/>
      <c r="V27" s="555"/>
      <c r="W27" s="555"/>
      <c r="X27" s="555"/>
      <c r="Y27" s="555"/>
      <c r="Z27" s="555"/>
      <c r="AA27" s="555"/>
      <c r="AB27" s="555"/>
      <c r="AC27" s="555"/>
      <c r="AD27" s="555"/>
      <c r="AE27" s="555"/>
      <c r="AF27" s="555"/>
      <c r="AG27" s="555"/>
      <c r="AH27" s="555"/>
      <c r="AI27" s="555"/>
      <c r="AJ27" s="555"/>
      <c r="AK27" s="555"/>
      <c r="AL27" s="555"/>
      <c r="AM27" s="555"/>
      <c r="AN27" s="555"/>
      <c r="AO27" s="555"/>
      <c r="AP27" s="555"/>
      <c r="AQ27" s="555"/>
      <c r="AR27" s="555"/>
      <c r="AS27" s="555"/>
      <c r="AT27" s="555"/>
      <c r="AU27" s="555"/>
      <c r="AV27" s="555"/>
      <c r="AW27" s="555"/>
      <c r="AX27" s="555"/>
      <c r="AY27" s="555"/>
      <c r="AZ27" s="555"/>
      <c r="BA27" s="555"/>
      <c r="BB27" s="555"/>
      <c r="BC27" s="555"/>
      <c r="BD27" s="555"/>
      <c r="BE27" s="555"/>
      <c r="BF27" s="555"/>
      <c r="BG27" s="605"/>
      <c r="BH27" s="590"/>
    </row>
    <row r="28" spans="2:64" outlineLevel="1" x14ac:dyDescent="0.3">
      <c r="B28" s="498" t="s">
        <v>1321</v>
      </c>
      <c r="C28" s="1264" t="s">
        <v>1322</v>
      </c>
      <c r="E28" s="499"/>
      <c r="F28" s="555"/>
      <c r="G28" s="612"/>
      <c r="H28" s="612"/>
      <c r="I28" s="612"/>
      <c r="J28" s="612"/>
      <c r="K28" s="612"/>
      <c r="L28" s="612"/>
      <c r="M28" s="612"/>
      <c r="N28" s="612"/>
      <c r="O28" s="612"/>
      <c r="P28" s="612"/>
      <c r="Q28" s="612"/>
      <c r="R28" s="612"/>
      <c r="S28" s="612"/>
      <c r="T28" s="612"/>
      <c r="U28" s="612"/>
      <c r="V28" s="612"/>
      <c r="W28" s="612"/>
      <c r="X28" s="612"/>
      <c r="Y28" s="530"/>
      <c r="Z28" s="612"/>
      <c r="AA28" s="612"/>
      <c r="AB28" s="612"/>
      <c r="AC28" s="612"/>
      <c r="AD28" s="530"/>
      <c r="AE28" s="612"/>
      <c r="AF28" s="612"/>
      <c r="AG28" s="612"/>
      <c r="AH28" s="530"/>
      <c r="AI28" s="612"/>
      <c r="AJ28" s="612"/>
      <c r="AK28" s="530"/>
      <c r="AL28" s="612"/>
      <c r="AM28" s="612"/>
      <c r="AN28" s="612"/>
      <c r="AO28" s="612"/>
      <c r="AP28" s="612"/>
      <c r="AQ28" s="612"/>
      <c r="AR28" s="612"/>
      <c r="AS28" s="612"/>
      <c r="AT28" s="612"/>
      <c r="AU28" s="530"/>
      <c r="AV28" s="612"/>
      <c r="AW28" s="530"/>
      <c r="AX28" s="612"/>
      <c r="AY28" s="530"/>
      <c r="AZ28" s="612"/>
      <c r="BA28" s="612"/>
      <c r="BB28" s="612"/>
      <c r="BC28" s="612"/>
      <c r="BD28" s="612"/>
      <c r="BE28" s="612"/>
      <c r="BF28" s="555"/>
      <c r="BG28" s="616">
        <f t="shared" ref="BG28:BG35" si="5">+SUM(E28:BE28)</f>
        <v>0</v>
      </c>
      <c r="BH28" s="590"/>
      <c r="BL28" s="72">
        <v>0</v>
      </c>
    </row>
    <row r="29" spans="2:64" outlineLevel="1" x14ac:dyDescent="0.3">
      <c r="B29" s="498" t="s">
        <v>1323</v>
      </c>
      <c r="C29" s="1264" t="s">
        <v>1324</v>
      </c>
      <c r="E29" s="499"/>
      <c r="F29" s="555"/>
      <c r="G29" s="612"/>
      <c r="H29" s="612"/>
      <c r="I29" s="612"/>
      <c r="J29" s="612"/>
      <c r="K29" s="612"/>
      <c r="L29" s="612"/>
      <c r="M29" s="612"/>
      <c r="N29" s="612"/>
      <c r="O29" s="612"/>
      <c r="P29" s="612"/>
      <c r="Q29" s="612"/>
      <c r="R29" s="612"/>
      <c r="S29" s="612"/>
      <c r="T29" s="612"/>
      <c r="U29" s="612"/>
      <c r="V29" s="612"/>
      <c r="W29" s="612"/>
      <c r="X29" s="612"/>
      <c r="Y29" s="530"/>
      <c r="Z29" s="612"/>
      <c r="AA29" s="612"/>
      <c r="AB29" s="612"/>
      <c r="AC29" s="612"/>
      <c r="AD29" s="612"/>
      <c r="AE29" s="619"/>
      <c r="AF29" s="612"/>
      <c r="AG29" s="612"/>
      <c r="AH29" s="612"/>
      <c r="AI29" s="612"/>
      <c r="AJ29" s="612"/>
      <c r="AK29" s="612"/>
      <c r="AL29" s="530"/>
      <c r="AM29" s="612"/>
      <c r="AN29" s="612"/>
      <c r="AO29" s="612"/>
      <c r="AP29" s="612"/>
      <c r="AQ29" s="612"/>
      <c r="AR29" s="612"/>
      <c r="AS29" s="612"/>
      <c r="AT29" s="612"/>
      <c r="AU29" s="612"/>
      <c r="AV29" s="530"/>
      <c r="AW29" s="612"/>
      <c r="AX29" s="612"/>
      <c r="AY29" s="612"/>
      <c r="AZ29" s="612"/>
      <c r="BA29" s="612"/>
      <c r="BB29" s="612"/>
      <c r="BC29" s="612"/>
      <c r="BD29" s="612"/>
      <c r="BE29" s="612"/>
      <c r="BF29" s="555"/>
      <c r="BG29" s="616">
        <f t="shared" si="5"/>
        <v>0</v>
      </c>
      <c r="BH29" s="590"/>
      <c r="BL29" s="72">
        <v>0</v>
      </c>
    </row>
    <row r="30" spans="2:64" outlineLevel="1" x14ac:dyDescent="0.3">
      <c r="B30" s="498" t="s">
        <v>1325</v>
      </c>
      <c r="C30" s="1264" t="s">
        <v>1326</v>
      </c>
      <c r="E30" s="499"/>
      <c r="F30" s="555"/>
      <c r="G30" s="612"/>
      <c r="H30" s="612"/>
      <c r="I30" s="612"/>
      <c r="J30" s="612"/>
      <c r="K30" s="612"/>
      <c r="L30" s="612"/>
      <c r="M30" s="612"/>
      <c r="N30" s="612"/>
      <c r="O30" s="612"/>
      <c r="P30" s="612"/>
      <c r="Q30" s="612"/>
      <c r="R30" s="612"/>
      <c r="S30" s="612"/>
      <c r="T30" s="612"/>
      <c r="U30" s="612"/>
      <c r="V30" s="612"/>
      <c r="W30" s="612"/>
      <c r="X30" s="612"/>
      <c r="Y30" s="612"/>
      <c r="Z30" s="612"/>
      <c r="AA30" s="612"/>
      <c r="AB30" s="612"/>
      <c r="AC30" s="612"/>
      <c r="AD30" s="612"/>
      <c r="AE30" s="612"/>
      <c r="AF30" s="612"/>
      <c r="AG30" s="612"/>
      <c r="AH30" s="612"/>
      <c r="AI30" s="612"/>
      <c r="AJ30" s="612"/>
      <c r="AK30" s="612"/>
      <c r="AL30" s="612"/>
      <c r="AM30" s="612"/>
      <c r="AN30" s="612"/>
      <c r="AO30" s="612"/>
      <c r="AP30" s="612"/>
      <c r="AQ30" s="612"/>
      <c r="AR30" s="612"/>
      <c r="AS30" s="612"/>
      <c r="AT30" s="612"/>
      <c r="AU30" s="612"/>
      <c r="AV30" s="612"/>
      <c r="AW30" s="612"/>
      <c r="AX30" s="612"/>
      <c r="AY30" s="612"/>
      <c r="AZ30" s="612"/>
      <c r="BA30" s="612"/>
      <c r="BB30" s="612"/>
      <c r="BC30" s="612"/>
      <c r="BD30" s="612"/>
      <c r="BE30" s="612"/>
      <c r="BF30" s="555"/>
      <c r="BG30" s="616">
        <f t="shared" si="5"/>
        <v>0</v>
      </c>
      <c r="BH30" s="590"/>
      <c r="BL30" s="72">
        <v>0</v>
      </c>
    </row>
    <row r="31" spans="2:64" outlineLevel="1" x14ac:dyDescent="0.3">
      <c r="B31" s="498" t="s">
        <v>1327</v>
      </c>
      <c r="C31" s="1264" t="s">
        <v>1310</v>
      </c>
      <c r="E31" s="499"/>
      <c r="F31" s="555"/>
      <c r="G31" s="612"/>
      <c r="H31" s="612"/>
      <c r="I31" s="612"/>
      <c r="J31" s="612"/>
      <c r="K31" s="612"/>
      <c r="L31" s="612"/>
      <c r="M31" s="612"/>
      <c r="N31" s="612"/>
      <c r="O31" s="612"/>
      <c r="P31" s="612"/>
      <c r="Q31" s="612"/>
      <c r="R31" s="612"/>
      <c r="S31" s="612"/>
      <c r="T31" s="612"/>
      <c r="U31" s="612"/>
      <c r="V31" s="612"/>
      <c r="W31" s="612"/>
      <c r="X31" s="612"/>
      <c r="Y31" s="612"/>
      <c r="Z31" s="612"/>
      <c r="AA31" s="612"/>
      <c r="AB31" s="612"/>
      <c r="AC31" s="612"/>
      <c r="AD31" s="612"/>
      <c r="AE31" s="612"/>
      <c r="AF31" s="612"/>
      <c r="AG31" s="612"/>
      <c r="AH31" s="612"/>
      <c r="AI31" s="612"/>
      <c r="AJ31" s="612"/>
      <c r="AK31" s="612"/>
      <c r="AL31" s="612"/>
      <c r="AM31" s="612"/>
      <c r="AN31" s="612"/>
      <c r="AO31" s="612"/>
      <c r="AP31" s="612"/>
      <c r="AQ31" s="612"/>
      <c r="AR31" s="612"/>
      <c r="AS31" s="612"/>
      <c r="AT31" s="612"/>
      <c r="AU31" s="612"/>
      <c r="AV31" s="612"/>
      <c r="AW31" s="612"/>
      <c r="AX31" s="612"/>
      <c r="AY31" s="612"/>
      <c r="AZ31" s="612"/>
      <c r="BA31" s="612"/>
      <c r="BB31" s="612"/>
      <c r="BC31" s="612"/>
      <c r="BD31" s="612"/>
      <c r="BE31" s="612"/>
      <c r="BF31" s="555"/>
      <c r="BG31" s="616">
        <f t="shared" si="5"/>
        <v>0</v>
      </c>
      <c r="BH31" s="590"/>
      <c r="BL31" s="72">
        <v>0</v>
      </c>
    </row>
    <row r="32" spans="2:64" outlineLevel="1" x14ac:dyDescent="0.3">
      <c r="B32" s="498" t="s">
        <v>1328</v>
      </c>
      <c r="C32" s="1264" t="s">
        <v>1312</v>
      </c>
      <c r="E32" s="499"/>
      <c r="F32" s="555"/>
      <c r="G32" s="612"/>
      <c r="H32" s="612"/>
      <c r="I32" s="612"/>
      <c r="J32" s="612"/>
      <c r="K32" s="612"/>
      <c r="L32" s="612"/>
      <c r="M32" s="612"/>
      <c r="N32" s="612"/>
      <c r="O32" s="612"/>
      <c r="P32" s="612"/>
      <c r="Q32" s="612"/>
      <c r="R32" s="612"/>
      <c r="S32" s="612"/>
      <c r="T32" s="612"/>
      <c r="U32" s="612"/>
      <c r="V32" s="612"/>
      <c r="W32" s="612"/>
      <c r="X32" s="612"/>
      <c r="Y32" s="612"/>
      <c r="Z32" s="612"/>
      <c r="AA32" s="612"/>
      <c r="AB32" s="612"/>
      <c r="AC32" s="612"/>
      <c r="AD32" s="612"/>
      <c r="AE32" s="612"/>
      <c r="AF32" s="612"/>
      <c r="AG32" s="612"/>
      <c r="AH32" s="612"/>
      <c r="AI32" s="612"/>
      <c r="AJ32" s="612"/>
      <c r="AK32" s="612"/>
      <c r="AL32" s="612"/>
      <c r="AM32" s="612"/>
      <c r="AN32" s="612"/>
      <c r="AO32" s="612"/>
      <c r="AP32" s="612"/>
      <c r="AQ32" s="612"/>
      <c r="AR32" s="612"/>
      <c r="AS32" s="612"/>
      <c r="AT32" s="612"/>
      <c r="AU32" s="612"/>
      <c r="AV32" s="612"/>
      <c r="AW32" s="612"/>
      <c r="AX32" s="612"/>
      <c r="AY32" s="612"/>
      <c r="AZ32" s="612"/>
      <c r="BA32" s="612"/>
      <c r="BB32" s="612"/>
      <c r="BC32" s="612"/>
      <c r="BD32" s="612"/>
      <c r="BE32" s="612"/>
      <c r="BF32" s="555"/>
      <c r="BG32" s="616">
        <f t="shared" si="5"/>
        <v>0</v>
      </c>
      <c r="BH32" s="590"/>
      <c r="BL32" s="72">
        <v>0</v>
      </c>
    </row>
    <row r="33" spans="1:64" outlineLevel="1" x14ac:dyDescent="0.3">
      <c r="B33" s="498" t="s">
        <v>1329</v>
      </c>
      <c r="C33" s="1264" t="s">
        <v>1314</v>
      </c>
      <c r="E33" s="499"/>
      <c r="F33" s="555"/>
      <c r="G33" s="612"/>
      <c r="H33" s="612"/>
      <c r="I33" s="612"/>
      <c r="J33" s="612"/>
      <c r="K33" s="612"/>
      <c r="L33" s="612"/>
      <c r="M33" s="612"/>
      <c r="N33" s="612"/>
      <c r="O33" s="612"/>
      <c r="P33" s="612"/>
      <c r="Q33" s="612"/>
      <c r="R33" s="612"/>
      <c r="S33" s="612"/>
      <c r="T33" s="612"/>
      <c r="U33" s="612"/>
      <c r="V33" s="612"/>
      <c r="W33" s="612"/>
      <c r="X33" s="612"/>
      <c r="Y33" s="612"/>
      <c r="Z33" s="612"/>
      <c r="AA33" s="612"/>
      <c r="AB33" s="612"/>
      <c r="AC33" s="612"/>
      <c r="AD33" s="612"/>
      <c r="AE33" s="612"/>
      <c r="AF33" s="612"/>
      <c r="AG33" s="612"/>
      <c r="AH33" s="612"/>
      <c r="AI33" s="612"/>
      <c r="AJ33" s="612"/>
      <c r="AK33" s="612"/>
      <c r="AL33" s="612"/>
      <c r="AM33" s="612"/>
      <c r="AN33" s="612"/>
      <c r="AO33" s="612"/>
      <c r="AP33" s="612"/>
      <c r="AQ33" s="612"/>
      <c r="AR33" s="612"/>
      <c r="AS33" s="612"/>
      <c r="AT33" s="612"/>
      <c r="AU33" s="612"/>
      <c r="AV33" s="612"/>
      <c r="AW33" s="612"/>
      <c r="AX33" s="612"/>
      <c r="AY33" s="612"/>
      <c r="AZ33" s="612"/>
      <c r="BA33" s="612"/>
      <c r="BB33" s="612"/>
      <c r="BC33" s="612"/>
      <c r="BD33" s="612"/>
      <c r="BE33" s="612"/>
      <c r="BF33" s="555"/>
      <c r="BG33" s="616">
        <f t="shared" si="5"/>
        <v>0</v>
      </c>
      <c r="BH33" s="590"/>
      <c r="BL33" s="72">
        <v>0</v>
      </c>
    </row>
    <row r="34" spans="1:64" outlineLevel="1" x14ac:dyDescent="0.3">
      <c r="B34" s="498" t="s">
        <v>1330</v>
      </c>
      <c r="C34" s="1264" t="s">
        <v>1316</v>
      </c>
      <c r="E34" s="499"/>
      <c r="F34" s="555"/>
      <c r="G34" s="612"/>
      <c r="H34" s="612"/>
      <c r="I34" s="612"/>
      <c r="J34" s="612"/>
      <c r="K34" s="612"/>
      <c r="L34" s="612"/>
      <c r="M34" s="612"/>
      <c r="N34" s="612"/>
      <c r="O34" s="612"/>
      <c r="P34" s="612"/>
      <c r="Q34" s="612"/>
      <c r="R34" s="612"/>
      <c r="S34" s="612"/>
      <c r="T34" s="612"/>
      <c r="U34" s="612"/>
      <c r="V34" s="612"/>
      <c r="W34" s="612"/>
      <c r="X34" s="612"/>
      <c r="Y34" s="612"/>
      <c r="Z34" s="612"/>
      <c r="AA34" s="612"/>
      <c r="AB34" s="612"/>
      <c r="AC34" s="612"/>
      <c r="AD34" s="612"/>
      <c r="AE34" s="612"/>
      <c r="AF34" s="612"/>
      <c r="AG34" s="612"/>
      <c r="AH34" s="612"/>
      <c r="AI34" s="612"/>
      <c r="AJ34" s="612"/>
      <c r="AK34" s="612"/>
      <c r="AL34" s="612"/>
      <c r="AM34" s="612"/>
      <c r="AN34" s="612"/>
      <c r="AO34" s="612"/>
      <c r="AP34" s="612"/>
      <c r="AQ34" s="612"/>
      <c r="AR34" s="612"/>
      <c r="AS34" s="612"/>
      <c r="AT34" s="612"/>
      <c r="AU34" s="612"/>
      <c r="AV34" s="612"/>
      <c r="AW34" s="612"/>
      <c r="AX34" s="612"/>
      <c r="AY34" s="612"/>
      <c r="AZ34" s="612"/>
      <c r="BA34" s="612"/>
      <c r="BB34" s="612"/>
      <c r="BC34" s="612"/>
      <c r="BD34" s="612"/>
      <c r="BE34" s="612"/>
      <c r="BF34" s="555"/>
      <c r="BG34" s="616">
        <f t="shared" si="5"/>
        <v>0</v>
      </c>
      <c r="BH34" s="590"/>
      <c r="BL34" s="72">
        <v>0</v>
      </c>
    </row>
    <row r="35" spans="1:64" outlineLevel="1" x14ac:dyDescent="0.3">
      <c r="B35" s="498" t="s">
        <v>1331</v>
      </c>
      <c r="C35" s="1264" t="s">
        <v>1318</v>
      </c>
      <c r="E35" s="499"/>
      <c r="F35" s="555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12"/>
      <c r="AB35" s="612"/>
      <c r="AC35" s="612"/>
      <c r="AD35" s="612"/>
      <c r="AE35" s="612"/>
      <c r="AF35" s="612"/>
      <c r="AG35" s="612"/>
      <c r="AH35" s="612"/>
      <c r="AI35" s="612"/>
      <c r="AJ35" s="612"/>
      <c r="AK35" s="612"/>
      <c r="AL35" s="612"/>
      <c r="AM35" s="612"/>
      <c r="AN35" s="612"/>
      <c r="AO35" s="612"/>
      <c r="AP35" s="612"/>
      <c r="AQ35" s="612"/>
      <c r="AR35" s="612"/>
      <c r="AS35" s="612"/>
      <c r="AT35" s="612"/>
      <c r="AU35" s="612"/>
      <c r="AV35" s="612"/>
      <c r="AW35" s="612"/>
      <c r="AX35" s="612"/>
      <c r="AY35" s="612"/>
      <c r="AZ35" s="612"/>
      <c r="BA35" s="612"/>
      <c r="BB35" s="612"/>
      <c r="BC35" s="612"/>
      <c r="BD35" s="612"/>
      <c r="BE35" s="612"/>
      <c r="BF35" s="555"/>
      <c r="BG35" s="616">
        <f t="shared" si="5"/>
        <v>0</v>
      </c>
      <c r="BH35" s="590"/>
      <c r="BL35" s="72">
        <v>0</v>
      </c>
    </row>
    <row r="36" spans="1:64" s="2" customFormat="1" ht="21.9" customHeight="1" outlineLevel="1" thickBot="1" x14ac:dyDescent="0.35">
      <c r="B36" s="507" t="s">
        <v>1332</v>
      </c>
      <c r="C36" s="1388" t="s">
        <v>1333</v>
      </c>
      <c r="D36" s="467"/>
      <c r="E36" s="513">
        <f>+SUM(E28:E35)</f>
        <v>0</v>
      </c>
      <c r="F36" s="605"/>
      <c r="G36" s="617">
        <f t="shared" ref="G36:X36" si="6">+SUM(G28:G35)</f>
        <v>0</v>
      </c>
      <c r="H36" s="617">
        <f t="shared" si="6"/>
        <v>0</v>
      </c>
      <c r="I36" s="617">
        <f t="shared" si="6"/>
        <v>0</v>
      </c>
      <c r="J36" s="617">
        <f t="shared" si="6"/>
        <v>0</v>
      </c>
      <c r="K36" s="617">
        <f t="shared" si="6"/>
        <v>0</v>
      </c>
      <c r="L36" s="617">
        <f t="shared" si="6"/>
        <v>0</v>
      </c>
      <c r="M36" s="617">
        <f t="shared" si="6"/>
        <v>0</v>
      </c>
      <c r="N36" s="617">
        <f t="shared" si="6"/>
        <v>0</v>
      </c>
      <c r="O36" s="617">
        <f t="shared" si="6"/>
        <v>0</v>
      </c>
      <c r="P36" s="617">
        <f t="shared" si="6"/>
        <v>0</v>
      </c>
      <c r="Q36" s="618">
        <f t="shared" si="6"/>
        <v>0</v>
      </c>
      <c r="R36" s="618">
        <f t="shared" si="6"/>
        <v>0</v>
      </c>
      <c r="S36" s="618">
        <f t="shared" si="6"/>
        <v>0</v>
      </c>
      <c r="T36" s="618">
        <f t="shared" si="6"/>
        <v>0</v>
      </c>
      <c r="U36" s="618">
        <f t="shared" si="6"/>
        <v>0</v>
      </c>
      <c r="V36" s="618">
        <f t="shared" si="6"/>
        <v>0</v>
      </c>
      <c r="W36" s="618">
        <f t="shared" si="6"/>
        <v>0</v>
      </c>
      <c r="X36" s="618">
        <f t="shared" si="6"/>
        <v>0</v>
      </c>
      <c r="Y36" s="618"/>
      <c r="Z36" s="618">
        <f t="shared" ref="Z36:BE36" si="7">+SUM(Z28:Z35)</f>
        <v>0</v>
      </c>
      <c r="AA36" s="618">
        <f t="shared" si="7"/>
        <v>0</v>
      </c>
      <c r="AB36" s="618">
        <f t="shared" si="7"/>
        <v>0</v>
      </c>
      <c r="AC36" s="618">
        <f t="shared" si="7"/>
        <v>0</v>
      </c>
      <c r="AD36" s="618">
        <f t="shared" si="7"/>
        <v>0</v>
      </c>
      <c r="AE36" s="618">
        <f t="shared" si="7"/>
        <v>0</v>
      </c>
      <c r="AF36" s="618">
        <f t="shared" si="7"/>
        <v>0</v>
      </c>
      <c r="AG36" s="618">
        <f t="shared" si="7"/>
        <v>0</v>
      </c>
      <c r="AH36" s="618">
        <f t="shared" si="7"/>
        <v>0</v>
      </c>
      <c r="AI36" s="618">
        <f t="shared" si="7"/>
        <v>0</v>
      </c>
      <c r="AJ36" s="618">
        <f t="shared" si="7"/>
        <v>0</v>
      </c>
      <c r="AK36" s="618">
        <f t="shared" si="7"/>
        <v>0</v>
      </c>
      <c r="AL36" s="618">
        <f t="shared" si="7"/>
        <v>0</v>
      </c>
      <c r="AM36" s="618">
        <f t="shared" si="7"/>
        <v>0</v>
      </c>
      <c r="AN36" s="618">
        <f t="shared" si="7"/>
        <v>0</v>
      </c>
      <c r="AO36" s="618">
        <f t="shared" si="7"/>
        <v>0</v>
      </c>
      <c r="AP36" s="618">
        <f t="shared" si="7"/>
        <v>0</v>
      </c>
      <c r="AQ36" s="618">
        <f t="shared" si="7"/>
        <v>0</v>
      </c>
      <c r="AR36" s="618">
        <f t="shared" si="7"/>
        <v>0</v>
      </c>
      <c r="AS36" s="618">
        <f t="shared" si="7"/>
        <v>0</v>
      </c>
      <c r="AT36" s="618">
        <f t="shared" si="7"/>
        <v>0</v>
      </c>
      <c r="AU36" s="618">
        <f t="shared" si="7"/>
        <v>0</v>
      </c>
      <c r="AV36" s="618">
        <f t="shared" si="7"/>
        <v>0</v>
      </c>
      <c r="AW36" s="618">
        <f t="shared" si="7"/>
        <v>0</v>
      </c>
      <c r="AX36" s="618">
        <f t="shared" si="7"/>
        <v>0</v>
      </c>
      <c r="AY36" s="618">
        <f t="shared" si="7"/>
        <v>0</v>
      </c>
      <c r="AZ36" s="618">
        <f t="shared" si="7"/>
        <v>0</v>
      </c>
      <c r="BA36" s="618">
        <f t="shared" si="7"/>
        <v>0</v>
      </c>
      <c r="BB36" s="618">
        <f t="shared" si="7"/>
        <v>0</v>
      </c>
      <c r="BC36" s="618">
        <f t="shared" si="7"/>
        <v>0</v>
      </c>
      <c r="BD36" s="618">
        <f t="shared" si="7"/>
        <v>0</v>
      </c>
      <c r="BE36" s="618">
        <f t="shared" si="7"/>
        <v>0</v>
      </c>
      <c r="BF36" s="605"/>
      <c r="BG36" s="618">
        <f>+SUM(BG28:BG35)</f>
        <v>0</v>
      </c>
      <c r="BH36" s="610"/>
      <c r="BK36"/>
      <c r="BL36" s="2">
        <v>0</v>
      </c>
    </row>
    <row r="37" spans="1:64" ht="12" customHeight="1" thickBot="1" x14ac:dyDescent="0.35">
      <c r="E37" s="490"/>
      <c r="F37" s="555"/>
      <c r="G37" s="555"/>
      <c r="H37" s="555"/>
      <c r="I37" s="555"/>
      <c r="J37" s="555"/>
      <c r="K37" s="555"/>
      <c r="L37" s="555"/>
      <c r="M37" s="555"/>
      <c r="N37" s="555"/>
      <c r="O37" s="555"/>
      <c r="P37" s="555"/>
      <c r="Q37" s="555"/>
      <c r="R37" s="555"/>
      <c r="S37" s="555"/>
      <c r="T37" s="555"/>
      <c r="U37" s="555"/>
      <c r="V37" s="555"/>
      <c r="W37" s="555"/>
      <c r="X37" s="555"/>
      <c r="Y37" s="555"/>
      <c r="Z37" s="555"/>
      <c r="AA37" s="555"/>
      <c r="AB37" s="555"/>
      <c r="AC37" s="555"/>
      <c r="AD37" s="555"/>
      <c r="AE37" s="555"/>
      <c r="AF37" s="555"/>
      <c r="AG37" s="555"/>
      <c r="AH37" s="555"/>
      <c r="AI37" s="555"/>
      <c r="AJ37" s="555"/>
      <c r="AK37" s="555"/>
      <c r="AL37" s="555"/>
      <c r="AM37" s="555"/>
      <c r="AN37" s="555"/>
      <c r="AO37" s="555"/>
      <c r="AP37" s="555"/>
      <c r="AQ37" s="555"/>
      <c r="AR37" s="555"/>
      <c r="AS37" s="555"/>
      <c r="AT37" s="555"/>
      <c r="AU37" s="555"/>
      <c r="AV37" s="555"/>
      <c r="AW37" s="555"/>
      <c r="AX37" s="555"/>
      <c r="AY37" s="555"/>
      <c r="AZ37" s="555"/>
      <c r="BA37" s="555"/>
      <c r="BB37" s="555"/>
      <c r="BC37" s="555"/>
      <c r="BD37" s="555"/>
      <c r="BE37" s="555"/>
      <c r="BF37" s="555"/>
      <c r="BG37" s="616">
        <f>+SUM(E37:BB37)</f>
        <v>0</v>
      </c>
      <c r="BH37" s="590"/>
      <c r="BL37" s="72">
        <v>0</v>
      </c>
    </row>
    <row r="38" spans="1:64" s="6" customFormat="1" ht="24.9" customHeight="1" thickBot="1" x14ac:dyDescent="0.35">
      <c r="B38" s="533" t="s">
        <v>1334</v>
      </c>
      <c r="C38" s="1389" t="s">
        <v>1335</v>
      </c>
      <c r="D38" s="527"/>
      <c r="E38" s="536">
        <f>+E36+E26</f>
        <v>13957.986992</v>
      </c>
      <c r="F38" s="620"/>
      <c r="G38" s="621">
        <f t="shared" ref="G38:P38" si="8">+G36+G26+SUM(G7:G15)</f>
        <v>0</v>
      </c>
      <c r="H38" s="621">
        <f t="shared" si="8"/>
        <v>0</v>
      </c>
      <c r="I38" s="621">
        <f t="shared" si="8"/>
        <v>0</v>
      </c>
      <c r="J38" s="621">
        <f t="shared" si="8"/>
        <v>0</v>
      </c>
      <c r="K38" s="621">
        <f t="shared" si="8"/>
        <v>0</v>
      </c>
      <c r="L38" s="621">
        <f t="shared" si="8"/>
        <v>0</v>
      </c>
      <c r="M38" s="621">
        <f t="shared" si="8"/>
        <v>0</v>
      </c>
      <c r="N38" s="621">
        <f t="shared" si="8"/>
        <v>0</v>
      </c>
      <c r="O38" s="621">
        <f t="shared" si="8"/>
        <v>0</v>
      </c>
      <c r="P38" s="621">
        <f t="shared" si="8"/>
        <v>0</v>
      </c>
      <c r="Q38" s="536">
        <f t="shared" ref="Q38:BE38" si="9">+Q36+Q26</f>
        <v>0</v>
      </c>
      <c r="R38" s="536">
        <f t="shared" si="9"/>
        <v>0</v>
      </c>
      <c r="S38" s="536">
        <f t="shared" si="9"/>
        <v>0</v>
      </c>
      <c r="T38" s="536">
        <f t="shared" si="9"/>
        <v>0</v>
      </c>
      <c r="U38" s="536">
        <f t="shared" si="9"/>
        <v>0</v>
      </c>
      <c r="V38" s="536">
        <f t="shared" si="9"/>
        <v>0</v>
      </c>
      <c r="W38" s="536">
        <f t="shared" si="9"/>
        <v>0</v>
      </c>
      <c r="X38" s="536">
        <f t="shared" si="9"/>
        <v>0</v>
      </c>
      <c r="Y38" s="536">
        <f t="shared" si="9"/>
        <v>0</v>
      </c>
      <c r="Z38" s="536">
        <f t="shared" si="9"/>
        <v>-94.282859684610102</v>
      </c>
      <c r="AA38" s="536">
        <f t="shared" si="9"/>
        <v>0</v>
      </c>
      <c r="AB38" s="536">
        <f t="shared" si="9"/>
        <v>0</v>
      </c>
      <c r="AC38" s="536">
        <f t="shared" si="9"/>
        <v>0</v>
      </c>
      <c r="AD38" s="536">
        <f t="shared" si="9"/>
        <v>1256.5905809212002</v>
      </c>
      <c r="AE38" s="536">
        <f t="shared" si="9"/>
        <v>0</v>
      </c>
      <c r="AF38" s="536">
        <f t="shared" si="9"/>
        <v>101.43009663205967</v>
      </c>
      <c r="AG38" s="536">
        <f t="shared" si="9"/>
        <v>77.14</v>
      </c>
      <c r="AH38" s="536">
        <f t="shared" si="9"/>
        <v>2335.3187579112405</v>
      </c>
      <c r="AI38" s="536">
        <f t="shared" si="9"/>
        <v>0</v>
      </c>
      <c r="AJ38" s="536">
        <f t="shared" si="9"/>
        <v>368.0880252</v>
      </c>
      <c r="AK38" s="536">
        <f t="shared" si="9"/>
        <v>-1723.0393137680926</v>
      </c>
      <c r="AL38" s="536">
        <f t="shared" si="9"/>
        <v>-160.64583860004169</v>
      </c>
      <c r="AM38" s="536">
        <f t="shared" si="9"/>
        <v>0</v>
      </c>
      <c r="AN38" s="536">
        <f t="shared" si="9"/>
        <v>0</v>
      </c>
      <c r="AO38" s="536">
        <f t="shared" si="9"/>
        <v>0</v>
      </c>
      <c r="AP38" s="536">
        <f t="shared" si="9"/>
        <v>0</v>
      </c>
      <c r="AQ38" s="536">
        <f t="shared" si="9"/>
        <v>0</v>
      </c>
      <c r="AR38" s="536">
        <f t="shared" si="9"/>
        <v>0</v>
      </c>
      <c r="AS38" s="536">
        <f t="shared" si="9"/>
        <v>-238.09051210000001</v>
      </c>
      <c r="AT38" s="536">
        <f t="shared" si="9"/>
        <v>40.756979199999975</v>
      </c>
      <c r="AU38" s="536">
        <f t="shared" si="9"/>
        <v>134.00603824600003</v>
      </c>
      <c r="AV38" s="536">
        <f t="shared" si="9"/>
        <v>0</v>
      </c>
      <c r="AW38" s="536">
        <f t="shared" si="9"/>
        <v>0</v>
      </c>
      <c r="AX38" s="536">
        <f t="shared" si="9"/>
        <v>0</v>
      </c>
      <c r="AY38" s="536">
        <f t="shared" si="9"/>
        <v>0</v>
      </c>
      <c r="AZ38" s="536">
        <f t="shared" si="9"/>
        <v>0</v>
      </c>
      <c r="BA38" s="536">
        <f t="shared" si="9"/>
        <v>80.106635600000104</v>
      </c>
      <c r="BB38" s="536">
        <f t="shared" si="9"/>
        <v>8.5850799999999991E-2</v>
      </c>
      <c r="BC38" s="536">
        <f t="shared" si="9"/>
        <v>26399</v>
      </c>
      <c r="BD38" s="536">
        <f t="shared" si="9"/>
        <v>2114.848665</v>
      </c>
      <c r="BE38" s="536">
        <f t="shared" si="9"/>
        <v>775.60874544439037</v>
      </c>
      <c r="BF38" s="620"/>
      <c r="BG38" s="536">
        <f>+BG36+BG26</f>
        <v>45424.908842802135</v>
      </c>
      <c r="BH38" s="622"/>
      <c r="BJ38" s="623"/>
      <c r="BK38"/>
      <c r="BL38" s="6">
        <v>43766.727496888401</v>
      </c>
    </row>
    <row r="39" spans="1:64" ht="15" thickBot="1" x14ac:dyDescent="0.35">
      <c r="A39" s="540"/>
      <c r="B39" s="540"/>
      <c r="C39" s="1390"/>
      <c r="D39" s="541"/>
      <c r="E39" s="542"/>
      <c r="F39" s="543"/>
      <c r="G39" s="544"/>
      <c r="H39" s="545"/>
      <c r="I39" s="544"/>
      <c r="J39" s="545"/>
      <c r="K39" s="544"/>
      <c r="L39" s="545"/>
      <c r="M39" s="544"/>
      <c r="N39" s="545"/>
      <c r="O39" s="544"/>
      <c r="P39" s="545"/>
      <c r="Q39" s="546"/>
      <c r="R39" s="546"/>
      <c r="S39" s="546"/>
      <c r="T39" s="546"/>
      <c r="U39" s="547"/>
      <c r="V39" s="546"/>
      <c r="W39" s="546"/>
      <c r="X39" s="546"/>
      <c r="Y39" s="547"/>
      <c r="Z39" s="548"/>
      <c r="AA39" s="549"/>
      <c r="AB39" s="548"/>
      <c r="AC39" s="549"/>
      <c r="AD39" s="548"/>
      <c r="AE39" s="547"/>
      <c r="AF39" s="549"/>
      <c r="AG39" s="548"/>
      <c r="AH39" s="549"/>
      <c r="AI39" s="548"/>
      <c r="AJ39" s="549"/>
      <c r="AK39" s="548"/>
      <c r="AL39" s="549"/>
      <c r="AM39" s="547"/>
      <c r="AN39" s="547"/>
      <c r="AO39" s="548"/>
      <c r="AP39" s="549"/>
      <c r="AQ39" s="547"/>
      <c r="AR39" s="547"/>
      <c r="AS39" s="547"/>
      <c r="AT39" s="547"/>
      <c r="AU39" s="547"/>
      <c r="AV39" s="547"/>
      <c r="AW39" s="548"/>
      <c r="AX39" s="549"/>
      <c r="AY39" s="547"/>
      <c r="AZ39" s="547"/>
      <c r="BA39" s="548"/>
      <c r="BB39" s="549"/>
      <c r="BC39" s="546"/>
      <c r="BD39" s="546"/>
      <c r="BE39" s="546"/>
      <c r="BF39" s="546"/>
      <c r="BG39" s="624"/>
      <c r="BH39" s="547"/>
      <c r="BI39" s="550"/>
      <c r="BJ39" s="551"/>
    </row>
    <row r="40" spans="1:64" x14ac:dyDescent="0.3">
      <c r="B40" s="603" t="s">
        <v>1336</v>
      </c>
      <c r="C40" s="1391"/>
      <c r="E40" s="482">
        <f>+'Bilan Passif '!C24/10^6</f>
        <v>46196.599328999997</v>
      </c>
      <c r="F40" s="555"/>
      <c r="G40" s="625"/>
      <c r="H40" s="625"/>
      <c r="I40" s="625"/>
      <c r="J40" s="625"/>
      <c r="K40" s="625"/>
      <c r="L40" s="625"/>
      <c r="M40" s="625"/>
      <c r="N40" s="625"/>
      <c r="O40" s="625"/>
      <c r="P40" s="625"/>
      <c r="Q40" s="626"/>
      <c r="R40" s="1433">
        <f>SUM('BG '!K13:K14,'BG '!K16:K20)/1000000</f>
        <v>-44208.391756999998</v>
      </c>
      <c r="S40" s="627">
        <f>(SUM('BG '!K22,'BG '!K24,'BG '!K21)+'BG '!J15)/1000000</f>
        <v>-692.693489</v>
      </c>
      <c r="T40" s="627">
        <f>('BG '!K15)/10^6</f>
        <v>0</v>
      </c>
      <c r="U40" s="626"/>
      <c r="V40" s="627"/>
      <c r="W40" s="626"/>
      <c r="X40" s="626"/>
      <c r="Y40" s="626"/>
      <c r="Z40" s="626">
        <f>'BG '!K12/1000000</f>
        <v>-1295.5140799999999</v>
      </c>
      <c r="AA40" s="626"/>
      <c r="AB40" s="626"/>
      <c r="AC40" s="626"/>
      <c r="AD40" s="626"/>
      <c r="AE40" s="626"/>
      <c r="AF40" s="626"/>
      <c r="AG40" s="626"/>
      <c r="AH40" s="626"/>
      <c r="AI40" s="626"/>
      <c r="AJ40" s="626"/>
      <c r="AK40" s="626"/>
      <c r="AL40" s="626"/>
      <c r="AM40" s="626"/>
      <c r="AN40" s="626"/>
      <c r="AO40" s="626"/>
      <c r="AP40" s="626"/>
      <c r="AQ40" s="626"/>
      <c r="AR40" s="626"/>
      <c r="AS40" s="626"/>
      <c r="AT40" s="626"/>
      <c r="AU40" s="626"/>
      <c r="AV40" s="626"/>
      <c r="AW40" s="626"/>
      <c r="AX40" s="626"/>
      <c r="AY40" s="626"/>
      <c r="AZ40" s="626"/>
      <c r="BA40" s="626"/>
      <c r="BB40" s="626"/>
      <c r="BC40" s="626"/>
      <c r="BD40" s="626"/>
      <c r="BE40" s="626"/>
      <c r="BF40" s="555"/>
      <c r="BG40" s="609">
        <f>+SUM(E40:BE40)</f>
        <v>2.9999994239915395E-6</v>
      </c>
      <c r="BH40" s="590"/>
      <c r="BI40" s="1962"/>
      <c r="BL40" s="72">
        <v>3.0000003334862413E-6</v>
      </c>
    </row>
    <row r="41" spans="1:64" x14ac:dyDescent="0.3">
      <c r="B41" s="603" t="s">
        <v>1337</v>
      </c>
      <c r="C41" s="1391"/>
      <c r="E41" s="482">
        <f>+'Bilan Passif '!C25/10^6</f>
        <v>0</v>
      </c>
      <c r="F41" s="555"/>
      <c r="G41" s="625"/>
      <c r="H41" s="625"/>
      <c r="I41" s="625"/>
      <c r="J41" s="625"/>
      <c r="K41" s="625"/>
      <c r="L41" s="625"/>
      <c r="M41" s="625"/>
      <c r="N41" s="625"/>
      <c r="O41" s="625"/>
      <c r="P41" s="625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6"/>
      <c r="AO41" s="626"/>
      <c r="AP41" s="626"/>
      <c r="AQ41" s="626"/>
      <c r="AR41" s="626"/>
      <c r="AS41" s="626"/>
      <c r="AT41" s="626"/>
      <c r="AU41" s="626"/>
      <c r="AV41" s="626"/>
      <c r="AW41" s="626"/>
      <c r="AX41" s="626"/>
      <c r="AY41" s="626"/>
      <c r="AZ41" s="626"/>
      <c r="BA41" s="626"/>
      <c r="BB41" s="626"/>
      <c r="BC41" s="626"/>
      <c r="BD41" s="626"/>
      <c r="BE41" s="626"/>
      <c r="BF41" s="555"/>
      <c r="BG41" s="609">
        <f>+SUM(E41:BE41)</f>
        <v>0</v>
      </c>
      <c r="BH41" s="590"/>
      <c r="BI41" s="1962"/>
      <c r="BL41" s="72">
        <v>0</v>
      </c>
    </row>
    <row r="42" spans="1:64" x14ac:dyDescent="0.3">
      <c r="B42" s="603" t="s">
        <v>1338</v>
      </c>
      <c r="C42" s="1391"/>
      <c r="E42" s="482">
        <f>+'Bilan Passif '!C26/10^6</f>
        <v>0</v>
      </c>
      <c r="F42" s="555"/>
      <c r="G42" s="625"/>
      <c r="H42" s="625"/>
      <c r="I42" s="625"/>
      <c r="J42" s="625"/>
      <c r="K42" s="625"/>
      <c r="L42" s="625"/>
      <c r="M42" s="625"/>
      <c r="N42" s="625"/>
      <c r="O42" s="625"/>
      <c r="P42" s="625"/>
      <c r="Q42" s="626"/>
      <c r="R42" s="626"/>
      <c r="S42" s="626"/>
      <c r="T42" s="626"/>
      <c r="U42" s="627"/>
      <c r="V42" s="626"/>
      <c r="W42" s="626"/>
      <c r="X42" s="626"/>
      <c r="Y42" s="626"/>
      <c r="Z42" s="626">
        <f>-E42</f>
        <v>0</v>
      </c>
      <c r="AA42" s="626"/>
      <c r="AB42" s="626"/>
      <c r="AC42" s="626"/>
      <c r="AD42" s="626"/>
      <c r="AE42" s="626"/>
      <c r="AF42" s="626"/>
      <c r="AG42" s="626"/>
      <c r="AH42" s="626"/>
      <c r="AI42" s="626"/>
      <c r="AJ42" s="626"/>
      <c r="AK42" s="626"/>
      <c r="AL42" s="626"/>
      <c r="AM42" s="626"/>
      <c r="AN42" s="626"/>
      <c r="AO42" s="626"/>
      <c r="AP42" s="626"/>
      <c r="AQ42" s="626"/>
      <c r="AR42" s="626"/>
      <c r="AS42" s="626"/>
      <c r="AT42" s="626"/>
      <c r="AU42" s="626"/>
      <c r="AV42" s="626"/>
      <c r="AW42" s="626"/>
      <c r="AX42" s="626"/>
      <c r="AY42" s="626"/>
      <c r="AZ42" s="626"/>
      <c r="BA42" s="626"/>
      <c r="BB42" s="626"/>
      <c r="BC42" s="626"/>
      <c r="BD42" s="626"/>
      <c r="BE42" s="626"/>
      <c r="BF42" s="555"/>
      <c r="BG42" s="609">
        <f>+SUM(E42:BE42)</f>
        <v>0</v>
      </c>
      <c r="BH42" s="590"/>
      <c r="BI42" s="1962"/>
      <c r="BL42" s="72">
        <v>0</v>
      </c>
    </row>
    <row r="43" spans="1:64" x14ac:dyDescent="0.3">
      <c r="B43" s="603" t="s">
        <v>1339</v>
      </c>
      <c r="C43" s="1391"/>
      <c r="E43" s="482">
        <f>+'Bilan Passif '!C27/10^6</f>
        <v>1119.2478739999999</v>
      </c>
      <c r="F43" s="555"/>
      <c r="G43" s="625"/>
      <c r="H43" s="625"/>
      <c r="I43" s="625"/>
      <c r="J43" s="625"/>
      <c r="K43" s="625"/>
      <c r="L43" s="625"/>
      <c r="M43" s="625"/>
      <c r="N43" s="625"/>
      <c r="O43" s="625"/>
      <c r="P43" s="625"/>
      <c r="Q43" s="627"/>
      <c r="R43" s="626"/>
      <c r="S43" s="626"/>
      <c r="T43" s="626"/>
      <c r="U43" s="626"/>
      <c r="V43" s="626">
        <f>-E43</f>
        <v>-1119.2478739999999</v>
      </c>
      <c r="W43" s="626"/>
      <c r="X43" s="626"/>
      <c r="Y43" s="626"/>
      <c r="Z43" s="626"/>
      <c r="AA43" s="626"/>
      <c r="AB43" s="626"/>
      <c r="AC43" s="626"/>
      <c r="AD43" s="626"/>
      <c r="AE43" s="626"/>
      <c r="AF43" s="626"/>
      <c r="AG43" s="626"/>
      <c r="AH43" s="626"/>
      <c r="AI43" s="626"/>
      <c r="AJ43" s="626"/>
      <c r="AK43" s="626"/>
      <c r="AL43" s="626"/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6"/>
      <c r="AX43" s="626"/>
      <c r="AY43" s="626"/>
      <c r="AZ43" s="626"/>
      <c r="BA43" s="626"/>
      <c r="BB43" s="626"/>
      <c r="BC43" s="626"/>
      <c r="BD43" s="626"/>
      <c r="BE43" s="627"/>
      <c r="BF43" s="555"/>
      <c r="BG43" s="609">
        <f>+SUM(E43:BE43)</f>
        <v>0</v>
      </c>
      <c r="BH43" s="590"/>
      <c r="BI43" s="1962"/>
      <c r="BL43" s="72">
        <v>0</v>
      </c>
    </row>
    <row r="44" spans="1:64" ht="12" customHeight="1" x14ac:dyDescent="0.3">
      <c r="E44" s="490"/>
      <c r="F44" s="555"/>
      <c r="G44" s="555"/>
      <c r="H44" s="555"/>
      <c r="I44" s="555"/>
      <c r="J44" s="555"/>
      <c r="K44" s="555"/>
      <c r="L44" s="555"/>
      <c r="M44" s="555"/>
      <c r="N44" s="555"/>
      <c r="O44" s="555"/>
      <c r="P44" s="555"/>
      <c r="Q44" s="555"/>
      <c r="R44" s="555"/>
      <c r="S44" s="555"/>
      <c r="T44" s="555"/>
      <c r="U44" s="555"/>
      <c r="V44" s="555"/>
      <c r="W44" s="555"/>
      <c r="X44" s="555"/>
      <c r="Y44" s="555"/>
      <c r="Z44" s="555"/>
      <c r="AA44" s="555"/>
      <c r="AB44" s="555"/>
      <c r="AC44" s="555"/>
      <c r="AD44" s="555"/>
      <c r="AE44" s="555"/>
      <c r="AF44" s="555"/>
      <c r="AG44" s="555"/>
      <c r="AH44" s="555"/>
      <c r="AI44" s="555"/>
      <c r="AJ44" s="555"/>
      <c r="AK44" s="555"/>
      <c r="AL44" s="555"/>
      <c r="AM44" s="555"/>
      <c r="AN44" s="555"/>
      <c r="AO44" s="555"/>
      <c r="AP44" s="555"/>
      <c r="AQ44" s="555"/>
      <c r="AR44" s="555"/>
      <c r="AS44" s="555"/>
      <c r="AT44" s="555"/>
      <c r="AU44" s="555"/>
      <c r="AV44" s="555"/>
      <c r="AW44" s="555"/>
      <c r="AX44" s="555"/>
      <c r="AY44" s="555"/>
      <c r="AZ44" s="555"/>
      <c r="BA44" s="555"/>
      <c r="BB44" s="555"/>
      <c r="BC44" s="555"/>
      <c r="BD44" s="555"/>
      <c r="BE44" s="555"/>
      <c r="BF44" s="555"/>
      <c r="BG44" s="605"/>
      <c r="BH44" s="590"/>
    </row>
    <row r="45" spans="1:64" x14ac:dyDescent="0.3">
      <c r="B45" s="498" t="s">
        <v>92</v>
      </c>
      <c r="C45" s="1264" t="s">
        <v>1340</v>
      </c>
      <c r="E45" s="499"/>
      <c r="F45" s="555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1432">
        <f>(-'BG '!K16/1000000)*0+('Amortissment Coris'!C25+'SYNTHESE BOA'!D58+'TABLEAU CBAO'!E53)/1000000</f>
        <v>29003.313237394239</v>
      </c>
      <c r="S45" s="612"/>
      <c r="T45" s="612"/>
      <c r="U45" s="612"/>
      <c r="V45" s="612"/>
      <c r="W45" s="612"/>
      <c r="X45" s="628"/>
      <c r="Y45" s="612"/>
      <c r="Z45" s="612">
        <f>-'BG '!K12/1000000</f>
        <v>1295.5140799999999</v>
      </c>
      <c r="AA45" s="612"/>
      <c r="AB45" s="612"/>
      <c r="AC45" s="612"/>
      <c r="AD45" s="612"/>
      <c r="AE45" s="612"/>
      <c r="AF45" s="612"/>
      <c r="AG45" s="612"/>
      <c r="AH45" s="612"/>
      <c r="AI45" s="612"/>
      <c r="AJ45" s="612"/>
      <c r="AK45" s="612"/>
      <c r="AL45" s="612"/>
      <c r="AM45" s="612"/>
      <c r="AN45" s="612"/>
      <c r="AO45" s="612"/>
      <c r="AP45" s="612"/>
      <c r="AQ45" s="612"/>
      <c r="AR45" s="612"/>
      <c r="AS45" s="612"/>
      <c r="AT45" s="612"/>
      <c r="AU45" s="612"/>
      <c r="AV45" s="612"/>
      <c r="AW45" s="612"/>
      <c r="AX45" s="612"/>
      <c r="AY45" s="612"/>
      <c r="AZ45" s="612"/>
      <c r="BA45" s="612"/>
      <c r="BB45" s="612"/>
      <c r="BC45" s="612"/>
      <c r="BD45" s="612"/>
      <c r="BE45" s="612"/>
      <c r="BF45" s="555"/>
      <c r="BG45" s="616">
        <f t="shared" ref="BG45:BG50" si="10">+SUM(E45:BE45)</f>
        <v>30298.82731739424</v>
      </c>
      <c r="BH45" s="590"/>
      <c r="BL45" s="72">
        <v>33000.791009394241</v>
      </c>
    </row>
    <row r="46" spans="1:64" x14ac:dyDescent="0.3">
      <c r="B46" s="498" t="s">
        <v>94</v>
      </c>
      <c r="C46" s="1264" t="s">
        <v>1341</v>
      </c>
      <c r="E46" s="499"/>
      <c r="F46" s="555"/>
      <c r="G46" s="612"/>
      <c r="H46" s="612"/>
      <c r="I46" s="612"/>
      <c r="J46" s="612"/>
      <c r="K46" s="612"/>
      <c r="L46" s="612"/>
      <c r="M46" s="612"/>
      <c r="N46" s="612"/>
      <c r="O46" s="612"/>
      <c r="P46" s="612"/>
      <c r="Q46" s="612"/>
      <c r="R46" s="612"/>
      <c r="S46" s="612">
        <f>(-('BG '!K24)-'BG '!J15)/10^6</f>
        <v>0</v>
      </c>
      <c r="T46" s="612">
        <f>-'BG '!K15/10^6</f>
        <v>0</v>
      </c>
      <c r="U46" s="612"/>
      <c r="V46" s="612"/>
      <c r="W46" s="612"/>
      <c r="X46" s="612"/>
      <c r="Y46" s="612"/>
      <c r="Z46" s="612">
        <f>6918.1479695*0+7079.14449*0</f>
        <v>0</v>
      </c>
      <c r="AA46" s="612"/>
      <c r="AB46" s="612"/>
      <c r="AC46" s="612"/>
      <c r="AD46" s="612"/>
      <c r="AE46" s="612"/>
      <c r="AF46" s="612"/>
      <c r="AG46" s="612"/>
      <c r="AH46" s="612"/>
      <c r="AI46" s="612"/>
      <c r="AJ46" s="612"/>
      <c r="AK46" s="612"/>
      <c r="AL46" s="612"/>
      <c r="AM46" s="612"/>
      <c r="AN46" s="612"/>
      <c r="AO46" s="612"/>
      <c r="AP46" s="612"/>
      <c r="AQ46" s="612"/>
      <c r="AR46" s="612"/>
      <c r="AS46" s="612"/>
      <c r="AT46" s="612"/>
      <c r="AU46" s="612"/>
      <c r="AV46" s="612"/>
      <c r="AW46" s="612"/>
      <c r="AX46" s="612"/>
      <c r="AY46" s="612"/>
      <c r="AZ46" s="612"/>
      <c r="BA46" s="612"/>
      <c r="BB46" s="612"/>
      <c r="BC46" s="612"/>
      <c r="BD46" s="612"/>
      <c r="BE46" s="612"/>
      <c r="BF46" s="555"/>
      <c r="BG46" s="616">
        <f t="shared" si="10"/>
        <v>0</v>
      </c>
      <c r="BH46" s="590"/>
      <c r="BI46" s="588"/>
      <c r="BL46" s="72">
        <v>0</v>
      </c>
    </row>
    <row r="47" spans="1:64" x14ac:dyDescent="0.3">
      <c r="B47" s="498" t="s">
        <v>1342</v>
      </c>
      <c r="C47" s="1264" t="s">
        <v>1343</v>
      </c>
      <c r="E47" s="499"/>
      <c r="F47" s="555"/>
      <c r="G47" s="612"/>
      <c r="H47" s="612"/>
      <c r="I47" s="612"/>
      <c r="J47" s="612"/>
      <c r="K47" s="612"/>
      <c r="L47" s="612"/>
      <c r="M47" s="612"/>
      <c r="N47" s="612"/>
      <c r="O47" s="612"/>
      <c r="P47" s="612"/>
      <c r="Q47" s="612"/>
      <c r="R47" s="612"/>
      <c r="S47" s="612"/>
      <c r="T47" s="612"/>
      <c r="U47" s="612"/>
      <c r="V47" s="612"/>
      <c r="W47" s="612"/>
      <c r="X47" s="612"/>
      <c r="Y47" s="612"/>
      <c r="Z47" s="612"/>
      <c r="AA47" s="612"/>
      <c r="AB47" s="612"/>
      <c r="AC47" s="612"/>
      <c r="AD47" s="612"/>
      <c r="AE47" s="612"/>
      <c r="AF47" s="612"/>
      <c r="AG47" s="612"/>
      <c r="AH47" s="612"/>
      <c r="AI47" s="612"/>
      <c r="AJ47" s="612"/>
      <c r="AK47" s="612"/>
      <c r="AL47" s="612"/>
      <c r="AM47" s="612"/>
      <c r="AN47" s="612"/>
      <c r="AO47" s="612"/>
      <c r="AP47" s="612"/>
      <c r="AQ47" s="612"/>
      <c r="AR47" s="612"/>
      <c r="AS47" s="612"/>
      <c r="AT47" s="612"/>
      <c r="AU47" s="612"/>
      <c r="AV47" s="612"/>
      <c r="AW47" s="612"/>
      <c r="AX47" s="612"/>
      <c r="AY47" s="612"/>
      <c r="AZ47" s="612"/>
      <c r="BA47" s="612"/>
      <c r="BB47" s="612"/>
      <c r="BC47" s="612"/>
      <c r="BD47" s="612"/>
      <c r="BE47" s="612"/>
      <c r="BF47" s="555"/>
      <c r="BG47" s="616">
        <f t="shared" si="10"/>
        <v>0</v>
      </c>
      <c r="BH47" s="590"/>
      <c r="BL47" s="72">
        <v>0</v>
      </c>
    </row>
    <row r="48" spans="1:64" x14ac:dyDescent="0.3">
      <c r="B48" s="525" t="s">
        <v>1344</v>
      </c>
      <c r="C48" s="1392" t="s">
        <v>1345</v>
      </c>
      <c r="E48" s="499"/>
      <c r="F48" s="555"/>
      <c r="G48" s="612"/>
      <c r="H48" s="612"/>
      <c r="I48" s="612"/>
      <c r="J48" s="612"/>
      <c r="K48" s="612"/>
      <c r="L48" s="612"/>
      <c r="M48" s="612"/>
      <c r="N48" s="612"/>
      <c r="O48" s="612"/>
      <c r="P48" s="612"/>
      <c r="Q48" s="612"/>
      <c r="R48" s="612"/>
      <c r="S48" s="612"/>
      <c r="T48" s="612"/>
      <c r="U48" s="612"/>
      <c r="V48" s="612"/>
      <c r="W48" s="612"/>
      <c r="X48" s="612"/>
      <c r="Y48" s="612"/>
      <c r="Z48" s="612">
        <f>-Z119</f>
        <v>0</v>
      </c>
      <c r="AA48" s="612"/>
      <c r="AB48" s="612"/>
      <c r="AC48" s="612"/>
      <c r="AD48" s="612"/>
      <c r="AE48" s="612"/>
      <c r="AF48" s="612"/>
      <c r="AG48" s="612"/>
      <c r="AH48" s="612"/>
      <c r="AI48" s="612"/>
      <c r="AJ48" s="612"/>
      <c r="AK48" s="612"/>
      <c r="AL48" s="612"/>
      <c r="AM48" s="612"/>
      <c r="AN48" s="612"/>
      <c r="AO48" s="612"/>
      <c r="AP48" s="612"/>
      <c r="AQ48" s="612">
        <f>3207.250837+1191.490619-951.196397-771.206006</f>
        <v>2676.3390529999997</v>
      </c>
      <c r="AR48" s="612">
        <f>SUM('Impacts_IFRS.16-09'!$F$75:$K$76)</f>
        <v>-427.47990100000015</v>
      </c>
      <c r="AS48" s="612"/>
      <c r="AT48" s="612"/>
      <c r="AU48" s="612"/>
      <c r="AV48" s="612"/>
      <c r="AW48" s="612"/>
      <c r="AX48" s="612"/>
      <c r="AY48" s="612"/>
      <c r="AZ48" s="612"/>
      <c r="BA48" s="612"/>
      <c r="BB48" s="612"/>
      <c r="BC48" s="612"/>
      <c r="BD48" s="612"/>
      <c r="BE48" s="612"/>
      <c r="BF48" s="555"/>
      <c r="BG48" s="629">
        <f>+SUM(E48:BE48)</f>
        <v>2248.8591519999995</v>
      </c>
      <c r="BH48" s="590"/>
      <c r="BL48" s="72">
        <v>2443.4390919999996</v>
      </c>
    </row>
    <row r="49" spans="2:67" x14ac:dyDescent="0.3">
      <c r="B49" s="498" t="s">
        <v>90</v>
      </c>
      <c r="C49" s="1264" t="s">
        <v>1346</v>
      </c>
      <c r="E49" s="499"/>
      <c r="F49" s="555"/>
      <c r="G49" s="612"/>
      <c r="H49" s="612"/>
      <c r="I49" s="612"/>
      <c r="J49" s="612"/>
      <c r="K49" s="612"/>
      <c r="L49" s="612"/>
      <c r="M49" s="612"/>
      <c r="N49" s="612"/>
      <c r="O49" s="612"/>
      <c r="P49" s="612"/>
      <c r="Q49" s="612"/>
      <c r="R49" s="612"/>
      <c r="S49" s="612"/>
      <c r="T49" s="612"/>
      <c r="U49" s="612"/>
      <c r="V49" s="612"/>
      <c r="W49" s="612"/>
      <c r="X49" s="612"/>
      <c r="Y49" s="612"/>
      <c r="Z49" s="612"/>
      <c r="AA49" s="612"/>
      <c r="AB49" s="612"/>
      <c r="AC49" s="612"/>
      <c r="AD49" s="612"/>
      <c r="AE49" s="612"/>
      <c r="AF49" s="612"/>
      <c r="AG49" s="612"/>
      <c r="AH49" s="612"/>
      <c r="AI49" s="612"/>
      <c r="AJ49" s="612"/>
      <c r="AK49" s="612"/>
      <c r="AL49" s="612"/>
      <c r="AM49" s="612"/>
      <c r="AN49" s="612"/>
      <c r="AO49" s="612"/>
      <c r="AP49" s="612"/>
      <c r="AQ49" s="612"/>
      <c r="AR49" s="612"/>
      <c r="AS49" s="612"/>
      <c r="AT49" s="612"/>
      <c r="AU49" s="612"/>
      <c r="AV49" s="612"/>
      <c r="AW49" s="612"/>
      <c r="AX49" s="612"/>
      <c r="AY49" s="612"/>
      <c r="AZ49" s="612"/>
      <c r="BA49" s="612"/>
      <c r="BB49" s="612"/>
      <c r="BC49" s="612"/>
      <c r="BD49" s="612"/>
      <c r="BE49" s="612"/>
      <c r="BF49" s="555"/>
      <c r="BG49" s="616">
        <f t="shared" si="10"/>
        <v>0</v>
      </c>
      <c r="BH49" s="590"/>
      <c r="BL49" s="72">
        <v>0</v>
      </c>
    </row>
    <row r="50" spans="2:67" x14ac:dyDescent="0.3">
      <c r="B50" s="498" t="s">
        <v>1347</v>
      </c>
      <c r="C50" s="1264" t="s">
        <v>1348</v>
      </c>
      <c r="E50" s="499"/>
      <c r="F50" s="555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33">
        <f>(-'BG '!K13/1000000)*0+'Emprunt ACE'!I44/1000000</f>
        <v>188.25787299999999</v>
      </c>
      <c r="S50" s="612"/>
      <c r="T50" s="612"/>
      <c r="U50" s="612"/>
      <c r="V50" s="612"/>
      <c r="W50" s="612"/>
      <c r="X50" s="612"/>
      <c r="Y50" s="612"/>
      <c r="Z50" s="612"/>
      <c r="AA50" s="612"/>
      <c r="AB50" s="612"/>
      <c r="AC50" s="612"/>
      <c r="AD50" s="612"/>
      <c r="AE50" s="612"/>
      <c r="AF50" s="612"/>
      <c r="AG50" s="612"/>
      <c r="AH50" s="612"/>
      <c r="AI50" s="612"/>
      <c r="AJ50" s="612"/>
      <c r="AK50" s="612"/>
      <c r="AL50" s="612"/>
      <c r="AM50" s="612"/>
      <c r="AN50" s="612"/>
      <c r="AO50" s="612"/>
      <c r="AP50" s="612"/>
      <c r="AQ50" s="612"/>
      <c r="AR50" s="612"/>
      <c r="AS50" s="612"/>
      <c r="AT50" s="612"/>
      <c r="AU50" s="612"/>
      <c r="AV50" s="612"/>
      <c r="AW50" s="612"/>
      <c r="AX50" s="612"/>
      <c r="AY50" s="612"/>
      <c r="AZ50" s="612"/>
      <c r="BA50" s="612"/>
      <c r="BB50" s="612"/>
      <c r="BC50" s="612"/>
      <c r="BD50" s="612"/>
      <c r="BE50" s="612"/>
      <c r="BF50" s="555"/>
      <c r="BG50" s="616">
        <f t="shared" si="10"/>
        <v>188.25787299999999</v>
      </c>
      <c r="BH50" s="590"/>
      <c r="BL50" s="72">
        <v>282.38680950000003</v>
      </c>
    </row>
    <row r="51" spans="2:67" s="2" customFormat="1" ht="21.9" customHeight="1" thickBot="1" x14ac:dyDescent="0.35">
      <c r="B51" s="507" t="s">
        <v>1349</v>
      </c>
      <c r="C51" s="1388" t="s">
        <v>1350</v>
      </c>
      <c r="D51" s="467"/>
      <c r="E51" s="513"/>
      <c r="F51" s="605"/>
      <c r="G51" s="617">
        <f t="shared" ref="G51:P51" si="11">+SUM(G45:G50)</f>
        <v>0</v>
      </c>
      <c r="H51" s="617">
        <f t="shared" si="11"/>
        <v>0</v>
      </c>
      <c r="I51" s="617">
        <f t="shared" si="11"/>
        <v>0</v>
      </c>
      <c r="J51" s="617">
        <f t="shared" si="11"/>
        <v>0</v>
      </c>
      <c r="K51" s="617">
        <f t="shared" si="11"/>
        <v>0</v>
      </c>
      <c r="L51" s="617">
        <f t="shared" si="11"/>
        <v>0</v>
      </c>
      <c r="M51" s="617">
        <f t="shared" si="11"/>
        <v>0</v>
      </c>
      <c r="N51" s="617">
        <f t="shared" si="11"/>
        <v>0</v>
      </c>
      <c r="O51" s="617">
        <f t="shared" si="11"/>
        <v>0</v>
      </c>
      <c r="P51" s="617">
        <f t="shared" si="11"/>
        <v>0</v>
      </c>
      <c r="Q51" s="618">
        <f t="shared" ref="Q51:V51" si="12">+SUM(Q45:Q50)</f>
        <v>0</v>
      </c>
      <c r="R51" s="618">
        <f t="shared" si="12"/>
        <v>29191.571110394238</v>
      </c>
      <c r="S51" s="618">
        <f t="shared" si="12"/>
        <v>0</v>
      </c>
      <c r="T51" s="618">
        <f t="shared" si="12"/>
        <v>0</v>
      </c>
      <c r="U51" s="618">
        <f t="shared" si="12"/>
        <v>0</v>
      </c>
      <c r="V51" s="618">
        <f t="shared" si="12"/>
        <v>0</v>
      </c>
      <c r="W51" s="618">
        <f t="shared" ref="W51:BE51" si="13">+SUM(W45:W50)</f>
        <v>0</v>
      </c>
      <c r="X51" s="618">
        <f t="shared" si="13"/>
        <v>0</v>
      </c>
      <c r="Y51" s="618">
        <f t="shared" si="13"/>
        <v>0</v>
      </c>
      <c r="Z51" s="618">
        <f t="shared" si="13"/>
        <v>1295.5140799999999</v>
      </c>
      <c r="AA51" s="618">
        <f t="shared" si="13"/>
        <v>0</v>
      </c>
      <c r="AB51" s="618">
        <f t="shared" si="13"/>
        <v>0</v>
      </c>
      <c r="AC51" s="618">
        <f t="shared" si="13"/>
        <v>0</v>
      </c>
      <c r="AD51" s="618">
        <f t="shared" si="13"/>
        <v>0</v>
      </c>
      <c r="AE51" s="618">
        <f t="shared" si="13"/>
        <v>0</v>
      </c>
      <c r="AF51" s="618">
        <f t="shared" si="13"/>
        <v>0</v>
      </c>
      <c r="AG51" s="618">
        <f t="shared" si="13"/>
        <v>0</v>
      </c>
      <c r="AH51" s="618">
        <f t="shared" si="13"/>
        <v>0</v>
      </c>
      <c r="AI51" s="618">
        <f t="shared" si="13"/>
        <v>0</v>
      </c>
      <c r="AJ51" s="618">
        <f t="shared" si="13"/>
        <v>0</v>
      </c>
      <c r="AK51" s="618">
        <f t="shared" si="13"/>
        <v>0</v>
      </c>
      <c r="AL51" s="618">
        <f t="shared" si="13"/>
        <v>0</v>
      </c>
      <c r="AM51" s="618">
        <f t="shared" si="13"/>
        <v>0</v>
      </c>
      <c r="AN51" s="618">
        <f t="shared" si="13"/>
        <v>0</v>
      </c>
      <c r="AO51" s="618">
        <f t="shared" si="13"/>
        <v>0</v>
      </c>
      <c r="AP51" s="618">
        <f t="shared" si="13"/>
        <v>0</v>
      </c>
      <c r="AQ51" s="618">
        <f t="shared" si="13"/>
        <v>2676.3390529999997</v>
      </c>
      <c r="AR51" s="618">
        <f t="shared" si="13"/>
        <v>-427.47990100000015</v>
      </c>
      <c r="AS51" s="618">
        <f t="shared" si="13"/>
        <v>0</v>
      </c>
      <c r="AT51" s="618">
        <f t="shared" si="13"/>
        <v>0</v>
      </c>
      <c r="AU51" s="618">
        <f t="shared" si="13"/>
        <v>0</v>
      </c>
      <c r="AV51" s="618">
        <f t="shared" si="13"/>
        <v>0</v>
      </c>
      <c r="AW51" s="618">
        <f t="shared" si="13"/>
        <v>0</v>
      </c>
      <c r="AX51" s="618">
        <f t="shared" si="13"/>
        <v>0</v>
      </c>
      <c r="AY51" s="618">
        <f t="shared" si="13"/>
        <v>0</v>
      </c>
      <c r="AZ51" s="618">
        <f t="shared" si="13"/>
        <v>0</v>
      </c>
      <c r="BA51" s="618">
        <f t="shared" si="13"/>
        <v>0</v>
      </c>
      <c r="BB51" s="618">
        <f t="shared" si="13"/>
        <v>0</v>
      </c>
      <c r="BC51" s="618">
        <f t="shared" si="13"/>
        <v>0</v>
      </c>
      <c r="BD51" s="618">
        <f t="shared" si="13"/>
        <v>0</v>
      </c>
      <c r="BE51" s="618">
        <f t="shared" si="13"/>
        <v>0</v>
      </c>
      <c r="BF51" s="605"/>
      <c r="BG51" s="618">
        <f>+SUM(BG45:BG50)</f>
        <v>32735.944342394239</v>
      </c>
      <c r="BH51" s="610"/>
      <c r="BK51"/>
      <c r="BL51" s="2">
        <v>35726.616910894241</v>
      </c>
    </row>
    <row r="52" spans="2:67" ht="12" customHeight="1" x14ac:dyDescent="0.3">
      <c r="B52" s="630"/>
      <c r="C52" s="1393"/>
      <c r="E52" s="490"/>
      <c r="F52" s="555"/>
      <c r="G52" s="555"/>
      <c r="H52" s="555"/>
      <c r="I52" s="555"/>
      <c r="J52" s="555"/>
      <c r="K52" s="555"/>
      <c r="L52" s="555"/>
      <c r="M52" s="555"/>
      <c r="N52" s="555"/>
      <c r="O52" s="555"/>
      <c r="P52" s="555"/>
      <c r="Q52" s="555"/>
      <c r="R52" s="555"/>
      <c r="S52" s="555"/>
      <c r="T52" s="555"/>
      <c r="U52" s="555"/>
      <c r="V52" s="555"/>
      <c r="W52" s="555"/>
      <c r="X52" s="555"/>
      <c r="Y52" s="555"/>
      <c r="Z52" s="555"/>
      <c r="AA52" s="555"/>
      <c r="AB52" s="555"/>
      <c r="AC52" s="555"/>
      <c r="AD52" s="555"/>
      <c r="AE52" s="555"/>
      <c r="AF52" s="555"/>
      <c r="AG52" s="555"/>
      <c r="AH52" s="555"/>
      <c r="AI52" s="555"/>
      <c r="AJ52" s="555"/>
      <c r="AK52" s="555"/>
      <c r="AL52" s="555"/>
      <c r="AM52" s="555"/>
      <c r="AN52" s="555"/>
      <c r="AO52" s="555"/>
      <c r="AP52" s="555"/>
      <c r="AQ52" s="555"/>
      <c r="AR52" s="555"/>
      <c r="AS52" s="555"/>
      <c r="AT52" s="555"/>
      <c r="AU52" s="555"/>
      <c r="AV52" s="555"/>
      <c r="AW52" s="555"/>
      <c r="AX52" s="555"/>
      <c r="AY52" s="555"/>
      <c r="AZ52" s="555"/>
      <c r="BA52" s="555"/>
      <c r="BB52" s="555"/>
      <c r="BC52" s="555"/>
      <c r="BD52" s="555"/>
      <c r="BE52" s="555"/>
      <c r="BF52" s="555"/>
      <c r="BG52" s="631">
        <f>+SUM(E52:BB52)</f>
        <v>0</v>
      </c>
      <c r="BH52" s="590"/>
      <c r="BL52" s="72">
        <v>0</v>
      </c>
    </row>
    <row r="53" spans="2:67" x14ac:dyDescent="0.3">
      <c r="B53" s="498" t="s">
        <v>1351</v>
      </c>
      <c r="C53" s="1264" t="s">
        <v>1352</v>
      </c>
      <c r="E53" s="499"/>
      <c r="F53" s="555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2"/>
      <c r="AS53" s="612"/>
      <c r="AT53" s="612"/>
      <c r="AU53" s="612"/>
      <c r="AV53" s="612"/>
      <c r="AW53" s="612"/>
      <c r="AX53" s="612"/>
      <c r="AY53" s="612"/>
      <c r="AZ53" s="612"/>
      <c r="BA53" s="612"/>
      <c r="BB53" s="612"/>
      <c r="BC53" s="612"/>
      <c r="BD53" s="612"/>
      <c r="BE53" s="612"/>
      <c r="BF53" s="555"/>
      <c r="BG53" s="616">
        <f>+SUM(E53:BE53)</f>
        <v>0</v>
      </c>
      <c r="BH53" s="590"/>
      <c r="BL53" s="72">
        <v>0</v>
      </c>
    </row>
    <row r="54" spans="2:67" x14ac:dyDescent="0.3">
      <c r="B54" s="498" t="s">
        <v>1353</v>
      </c>
      <c r="C54" s="1264" t="s">
        <v>1354</v>
      </c>
      <c r="E54" s="499"/>
      <c r="F54" s="555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1297">
        <f>-('BG '!K27+'BG '!K28)/10^6</f>
        <v>414.37553400000002</v>
      </c>
      <c r="W54" s="612"/>
      <c r="X54" s="612"/>
      <c r="Y54" s="612"/>
      <c r="Z54" s="612"/>
      <c r="AA54" s="612"/>
      <c r="AB54" s="612"/>
      <c r="AC54" s="612"/>
      <c r="AD54" s="612"/>
      <c r="AE54" s="612"/>
      <c r="AF54" s="612"/>
      <c r="AG54" s="612"/>
      <c r="AH54" s="612"/>
      <c r="AI54" s="612"/>
      <c r="AJ54" s="612"/>
      <c r="AK54" s="612"/>
      <c r="AL54" s="612"/>
      <c r="AM54" s="612"/>
      <c r="AN54" s="612"/>
      <c r="AO54" s="612"/>
      <c r="AP54" s="612"/>
      <c r="AQ54" s="612"/>
      <c r="AR54" s="612"/>
      <c r="AS54" s="612"/>
      <c r="AT54" s="612"/>
      <c r="AU54" s="612"/>
      <c r="AV54" s="612"/>
      <c r="AW54" s="612"/>
      <c r="AX54" s="612"/>
      <c r="AY54" s="612"/>
      <c r="AZ54" s="612"/>
      <c r="BA54" s="612"/>
      <c r="BB54" s="612"/>
      <c r="BC54" s="612"/>
      <c r="BD54" s="612"/>
      <c r="BE54" s="612"/>
      <c r="BF54" s="555"/>
      <c r="BG54" s="616">
        <f>+SUM(E54:BE54)</f>
        <v>414.37553400000002</v>
      </c>
      <c r="BH54" s="590"/>
      <c r="BL54" s="72">
        <v>448.01931100000002</v>
      </c>
    </row>
    <row r="55" spans="2:67" x14ac:dyDescent="0.3">
      <c r="B55" s="498" t="s">
        <v>1355</v>
      </c>
      <c r="C55" s="1264" t="s">
        <v>1356</v>
      </c>
      <c r="E55" s="499"/>
      <c r="F55" s="555"/>
      <c r="G55" s="612"/>
      <c r="H55" s="612"/>
      <c r="I55" s="612"/>
      <c r="J55" s="612"/>
      <c r="K55" s="612"/>
      <c r="L55" s="612"/>
      <c r="M55" s="612"/>
      <c r="N55" s="612"/>
      <c r="O55" s="612"/>
      <c r="P55" s="612"/>
      <c r="Q55" s="612"/>
      <c r="R55" s="612"/>
      <c r="S55" s="612"/>
      <c r="T55" s="612"/>
      <c r="U55" s="612"/>
      <c r="V55" s="628"/>
      <c r="W55" s="612"/>
      <c r="X55" s="612"/>
      <c r="Y55" s="612"/>
      <c r="Z55" s="612"/>
      <c r="AA55" s="612"/>
      <c r="AB55" s="612"/>
      <c r="AC55" s="612"/>
      <c r="AD55" s="612"/>
      <c r="AE55" s="612"/>
      <c r="AF55" s="612"/>
      <c r="AG55" s="612"/>
      <c r="AH55" s="612"/>
      <c r="AI55" s="612"/>
      <c r="AJ55" s="612"/>
      <c r="AK55" s="612"/>
      <c r="AL55" s="612"/>
      <c r="AM55" s="612"/>
      <c r="AN55" s="612"/>
      <c r="AO55" s="612"/>
      <c r="AP55" s="612"/>
      <c r="AQ55" s="612"/>
      <c r="AR55" s="612"/>
      <c r="AS55" s="612"/>
      <c r="AT55" s="612"/>
      <c r="AU55" s="612"/>
      <c r="AV55" s="612"/>
      <c r="AW55" s="612"/>
      <c r="AX55" s="612"/>
      <c r="AY55" s="612"/>
      <c r="AZ55" s="612"/>
      <c r="BA55" s="612"/>
      <c r="BB55" s="612"/>
      <c r="BC55" s="612"/>
      <c r="BD55" s="612"/>
      <c r="BE55" s="612"/>
      <c r="BF55" s="555"/>
      <c r="BG55" s="616">
        <f>+SUM(E55:BE55)</f>
        <v>0</v>
      </c>
      <c r="BH55" s="590"/>
      <c r="BL55" s="72">
        <v>0</v>
      </c>
    </row>
    <row r="56" spans="2:67" x14ac:dyDescent="0.3">
      <c r="B56" s="498" t="s">
        <v>1357</v>
      </c>
      <c r="C56" s="1264" t="s">
        <v>1358</v>
      </c>
      <c r="E56" s="499"/>
      <c r="F56" s="555"/>
      <c r="G56" s="612"/>
      <c r="H56" s="612"/>
      <c r="I56" s="612"/>
      <c r="J56" s="612"/>
      <c r="K56" s="612"/>
      <c r="L56" s="612"/>
      <c r="M56" s="612"/>
      <c r="N56" s="612"/>
      <c r="O56" s="612"/>
      <c r="P56" s="612"/>
      <c r="Q56" s="612"/>
      <c r="R56" s="612"/>
      <c r="S56" s="612"/>
      <c r="T56" s="612"/>
      <c r="U56" s="612"/>
      <c r="V56" s="1297">
        <f>-('BG '!K25+'BG '!K26)/10^6</f>
        <v>704.87234000000001</v>
      </c>
      <c r="W56" s="612"/>
      <c r="X56" s="612"/>
      <c r="Y56" s="612"/>
      <c r="Z56" s="1682">
        <f>94.2828596846101</f>
        <v>94.282859684610102</v>
      </c>
      <c r="AA56" s="612"/>
      <c r="AB56" s="612"/>
      <c r="AC56" s="612"/>
      <c r="AD56" s="612"/>
      <c r="AE56" s="612"/>
      <c r="AF56" s="1516">
        <f>((36.787694+11.68109-153.063162027155-54.3040999999999+64.6156183425448)+61.4977152467883-42.6783600365493)</f>
        <v>-75.463504474371064</v>
      </c>
      <c r="AG56" s="612">
        <f>PIDR!D13</f>
        <v>-110.2</v>
      </c>
      <c r="AH56" s="612"/>
      <c r="AI56" s="612"/>
      <c r="AJ56" s="612"/>
      <c r="AK56" s="612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2"/>
      <c r="AY56" s="612"/>
      <c r="AZ56" s="612"/>
      <c r="BA56" s="612"/>
      <c r="BB56" s="612"/>
      <c r="BC56" s="612"/>
      <c r="BD56" s="612"/>
      <c r="BE56" s="612"/>
      <c r="BF56" s="555"/>
      <c r="BG56" s="1597">
        <f>+SUM(E56:BE56)</f>
        <v>613.49169521023896</v>
      </c>
      <c r="BH56" s="590"/>
      <c r="BL56" s="1266">
        <v>666.96601921023898</v>
      </c>
      <c r="BM56" s="1266">
        <v>2.9577299728450726</v>
      </c>
      <c r="BO56" s="555">
        <f>BG56-V56</f>
        <v>-91.38064478976105</v>
      </c>
    </row>
    <row r="57" spans="2:67" x14ac:dyDescent="0.3">
      <c r="B57" s="498" t="s">
        <v>1359</v>
      </c>
      <c r="C57" s="1264" t="s">
        <v>1360</v>
      </c>
      <c r="E57" s="499"/>
      <c r="F57" s="555"/>
      <c r="G57" s="612"/>
      <c r="H57" s="612"/>
      <c r="I57" s="612"/>
      <c r="J57" s="612"/>
      <c r="K57" s="612"/>
      <c r="L57" s="612"/>
      <c r="M57" s="612"/>
      <c r="N57" s="612"/>
      <c r="O57" s="612"/>
      <c r="P57" s="612"/>
      <c r="Q57" s="612"/>
      <c r="R57" s="612"/>
      <c r="S57" s="612"/>
      <c r="T57" s="612"/>
      <c r="U57" s="612"/>
      <c r="V57" s="612"/>
      <c r="W57" s="612"/>
      <c r="X57" s="612"/>
      <c r="Y57" s="612"/>
      <c r="Z57" s="612"/>
      <c r="AA57" s="612"/>
      <c r="AB57" s="612"/>
      <c r="AC57" s="612"/>
      <c r="AD57" s="612"/>
      <c r="AE57" s="612"/>
      <c r="AF57" s="612"/>
      <c r="AG57" s="612"/>
      <c r="AH57" s="612"/>
      <c r="AI57" s="612"/>
      <c r="AJ57" s="612"/>
      <c r="AK57" s="612"/>
      <c r="AL57" s="612"/>
      <c r="AM57" s="612"/>
      <c r="AN57" s="612"/>
      <c r="AO57" s="612"/>
      <c r="AP57" s="612"/>
      <c r="AQ57" s="612"/>
      <c r="AR57" s="612"/>
      <c r="AS57" s="612"/>
      <c r="AT57" s="612"/>
      <c r="AU57" s="612"/>
      <c r="AV57" s="612"/>
      <c r="AW57" s="612"/>
      <c r="AX57" s="612"/>
      <c r="AY57" s="612"/>
      <c r="AZ57" s="612"/>
      <c r="BA57" s="612"/>
      <c r="BB57" s="612"/>
      <c r="BC57" s="612"/>
      <c r="BD57" s="612"/>
      <c r="BE57" s="612"/>
      <c r="BF57" s="555"/>
      <c r="BG57" s="616">
        <f>+SUM(E57:BE57)</f>
        <v>0</v>
      </c>
      <c r="BH57" s="590"/>
      <c r="BL57" s="72">
        <v>0</v>
      </c>
    </row>
    <row r="58" spans="2:67" s="2" customFormat="1" ht="21.9" customHeight="1" thickBot="1" x14ac:dyDescent="0.35">
      <c r="B58" s="507" t="s">
        <v>1361</v>
      </c>
      <c r="C58" s="1388" t="s">
        <v>1362</v>
      </c>
      <c r="D58" s="467"/>
      <c r="E58" s="513"/>
      <c r="F58" s="605"/>
      <c r="G58" s="617">
        <f t="shared" ref="G58:U58" si="14">+SUM(G53:G57)</f>
        <v>0</v>
      </c>
      <c r="H58" s="617">
        <f t="shared" si="14"/>
        <v>0</v>
      </c>
      <c r="I58" s="617">
        <f t="shared" si="14"/>
        <v>0</v>
      </c>
      <c r="J58" s="617">
        <f t="shared" si="14"/>
        <v>0</v>
      </c>
      <c r="K58" s="617">
        <f t="shared" si="14"/>
        <v>0</v>
      </c>
      <c r="L58" s="617">
        <f t="shared" si="14"/>
        <v>0</v>
      </c>
      <c r="M58" s="617">
        <f t="shared" si="14"/>
        <v>0</v>
      </c>
      <c r="N58" s="617">
        <f t="shared" si="14"/>
        <v>0</v>
      </c>
      <c r="O58" s="617">
        <f t="shared" si="14"/>
        <v>0</v>
      </c>
      <c r="P58" s="617">
        <f t="shared" si="14"/>
        <v>0</v>
      </c>
      <c r="Q58" s="618">
        <f t="shared" si="14"/>
        <v>0</v>
      </c>
      <c r="R58" s="618">
        <f t="shared" si="14"/>
        <v>0</v>
      </c>
      <c r="S58" s="618">
        <f t="shared" si="14"/>
        <v>0</v>
      </c>
      <c r="T58" s="618">
        <f t="shared" si="14"/>
        <v>0</v>
      </c>
      <c r="U58" s="618">
        <f t="shared" si="14"/>
        <v>0</v>
      </c>
      <c r="V58" s="618">
        <f>+SUM(V53:V57)</f>
        <v>1119.2478740000001</v>
      </c>
      <c r="W58" s="618">
        <f>+SUM(W53:W57)</f>
        <v>0</v>
      </c>
      <c r="X58" s="618">
        <f>+SUM(X53:X57)</f>
        <v>0</v>
      </c>
      <c r="Y58" s="618"/>
      <c r="Z58" s="618">
        <f t="shared" ref="Z58:BE58" si="15">+SUM(Z53:Z57)</f>
        <v>94.282859684610102</v>
      </c>
      <c r="AA58" s="618">
        <f t="shared" si="15"/>
        <v>0</v>
      </c>
      <c r="AB58" s="618">
        <f t="shared" si="15"/>
        <v>0</v>
      </c>
      <c r="AC58" s="618">
        <f t="shared" si="15"/>
        <v>0</v>
      </c>
      <c r="AD58" s="618">
        <f t="shared" si="15"/>
        <v>0</v>
      </c>
      <c r="AE58" s="618">
        <f t="shared" si="15"/>
        <v>0</v>
      </c>
      <c r="AF58" s="618">
        <f t="shared" si="15"/>
        <v>-75.463504474371064</v>
      </c>
      <c r="AG58" s="618">
        <f t="shared" si="15"/>
        <v>-110.2</v>
      </c>
      <c r="AH58" s="618">
        <f t="shared" si="15"/>
        <v>0</v>
      </c>
      <c r="AI58" s="618">
        <f t="shared" si="15"/>
        <v>0</v>
      </c>
      <c r="AJ58" s="618">
        <f t="shared" si="15"/>
        <v>0</v>
      </c>
      <c r="AK58" s="618">
        <f t="shared" si="15"/>
        <v>0</v>
      </c>
      <c r="AL58" s="618">
        <f t="shared" si="15"/>
        <v>0</v>
      </c>
      <c r="AM58" s="618">
        <f t="shared" si="15"/>
        <v>0</v>
      </c>
      <c r="AN58" s="618">
        <f t="shared" si="15"/>
        <v>0</v>
      </c>
      <c r="AO58" s="618">
        <f t="shared" si="15"/>
        <v>0</v>
      </c>
      <c r="AP58" s="618">
        <f t="shared" si="15"/>
        <v>0</v>
      </c>
      <c r="AQ58" s="618">
        <f t="shared" si="15"/>
        <v>0</v>
      </c>
      <c r="AR58" s="618">
        <f t="shared" si="15"/>
        <v>0</v>
      </c>
      <c r="AS58" s="618">
        <f t="shared" si="15"/>
        <v>0</v>
      </c>
      <c r="AT58" s="618">
        <f t="shared" si="15"/>
        <v>0</v>
      </c>
      <c r="AU58" s="618">
        <f t="shared" si="15"/>
        <v>0</v>
      </c>
      <c r="AV58" s="618">
        <f t="shared" si="15"/>
        <v>0</v>
      </c>
      <c r="AW58" s="618">
        <f t="shared" si="15"/>
        <v>0</v>
      </c>
      <c r="AX58" s="618">
        <f t="shared" si="15"/>
        <v>0</v>
      </c>
      <c r="AY58" s="618">
        <f t="shared" si="15"/>
        <v>0</v>
      </c>
      <c r="AZ58" s="618">
        <f t="shared" si="15"/>
        <v>0</v>
      </c>
      <c r="BA58" s="618">
        <f t="shared" si="15"/>
        <v>0</v>
      </c>
      <c r="BB58" s="618">
        <f t="shared" si="15"/>
        <v>0</v>
      </c>
      <c r="BC58" s="618">
        <f t="shared" si="15"/>
        <v>0</v>
      </c>
      <c r="BD58" s="618">
        <f t="shared" si="15"/>
        <v>0</v>
      </c>
      <c r="BE58" s="618">
        <f t="shared" si="15"/>
        <v>0</v>
      </c>
      <c r="BF58" s="605"/>
      <c r="BG58" s="618">
        <f>+SUM(BG53:BG57)</f>
        <v>1027.867229210239</v>
      </c>
      <c r="BH58" s="610"/>
      <c r="BK58"/>
      <c r="BL58" s="605">
        <v>1114.985330210239</v>
      </c>
    </row>
    <row r="59" spans="2:67" ht="12" customHeight="1" x14ac:dyDescent="0.3">
      <c r="E59" s="490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55"/>
      <c r="AB59" s="555"/>
      <c r="AC59" s="555"/>
      <c r="AD59" s="555"/>
      <c r="AE59" s="555"/>
      <c r="AF59" s="555"/>
      <c r="AG59" s="555"/>
      <c r="AH59" s="555"/>
      <c r="AI59" s="555"/>
      <c r="AJ59" s="555"/>
      <c r="AK59" s="555"/>
      <c r="AL59" s="555"/>
      <c r="AM59" s="555"/>
      <c r="AN59" s="555"/>
      <c r="AO59" s="555"/>
      <c r="AP59" s="555"/>
      <c r="AQ59" s="555"/>
      <c r="AR59" s="555"/>
      <c r="AS59" s="555"/>
      <c r="AT59" s="555"/>
      <c r="AU59" s="555"/>
      <c r="AV59" s="555"/>
      <c r="AW59" s="555"/>
      <c r="AX59" s="555"/>
      <c r="AY59" s="555"/>
      <c r="AZ59" s="555"/>
      <c r="BA59" s="555"/>
      <c r="BB59" s="555"/>
      <c r="BC59" s="555"/>
      <c r="BD59" s="555"/>
      <c r="BE59" s="555"/>
      <c r="BF59" s="555"/>
      <c r="BG59" s="632"/>
      <c r="BH59" s="590"/>
    </row>
    <row r="60" spans="2:67" x14ac:dyDescent="0.3">
      <c r="B60" s="498" t="s">
        <v>1363</v>
      </c>
      <c r="C60" s="1264" t="s">
        <v>1364</v>
      </c>
      <c r="E60" s="499"/>
      <c r="F60" s="555"/>
      <c r="G60" s="612"/>
      <c r="H60" s="612"/>
      <c r="I60" s="612"/>
      <c r="J60" s="612"/>
      <c r="K60" s="612"/>
      <c r="L60" s="612"/>
      <c r="M60" s="612"/>
      <c r="N60" s="612"/>
      <c r="O60" s="612"/>
      <c r="P60" s="612"/>
      <c r="Q60" s="612"/>
      <c r="R60" s="612"/>
      <c r="S60" s="612"/>
      <c r="T60" s="612"/>
      <c r="U60" s="612"/>
      <c r="V60" s="612"/>
      <c r="W60" s="612"/>
      <c r="X60" s="612"/>
      <c r="Y60" s="612"/>
      <c r="Z60" s="614"/>
      <c r="AA60" s="612"/>
      <c r="AB60" s="612"/>
      <c r="AC60" s="612"/>
      <c r="AD60" s="612"/>
      <c r="AE60" s="612"/>
      <c r="AF60" s="612"/>
      <c r="AG60" s="612"/>
      <c r="AH60" s="612"/>
      <c r="AI60" s="612"/>
      <c r="AJ60" s="612"/>
      <c r="AK60" s="612"/>
      <c r="AL60" s="612"/>
      <c r="AM60" s="612"/>
      <c r="AN60" s="612"/>
      <c r="AO60" s="612"/>
      <c r="AP60" s="612"/>
      <c r="AQ60" s="612"/>
      <c r="AR60" s="612"/>
      <c r="AS60" s="612"/>
      <c r="AT60" s="612"/>
      <c r="AU60" s="612"/>
      <c r="AV60" s="612"/>
      <c r="AW60" s="612"/>
      <c r="AX60" s="612"/>
      <c r="AY60" s="612"/>
      <c r="AZ60" s="612"/>
      <c r="BA60" s="612"/>
      <c r="BB60" s="612"/>
      <c r="BC60" s="612"/>
      <c r="BD60" s="612"/>
      <c r="BE60" s="612"/>
      <c r="BF60" s="555"/>
      <c r="BG60" s="616">
        <f>+SUM(E60:BE60)</f>
        <v>0</v>
      </c>
      <c r="BH60" s="590"/>
      <c r="BL60" s="72">
        <v>0</v>
      </c>
    </row>
    <row r="61" spans="2:67" s="2" customFormat="1" ht="21.9" customHeight="1" thickBot="1" x14ac:dyDescent="0.35">
      <c r="B61" s="507" t="s">
        <v>1365</v>
      </c>
      <c r="C61" s="1388" t="s">
        <v>1366</v>
      </c>
      <c r="D61" s="467"/>
      <c r="E61" s="513"/>
      <c r="F61" s="605"/>
      <c r="G61" s="617">
        <f t="shared" ref="G61:BE61" si="16">+G60</f>
        <v>0</v>
      </c>
      <c r="H61" s="617">
        <f t="shared" si="16"/>
        <v>0</v>
      </c>
      <c r="I61" s="617">
        <f t="shared" si="16"/>
        <v>0</v>
      </c>
      <c r="J61" s="617">
        <f t="shared" si="16"/>
        <v>0</v>
      </c>
      <c r="K61" s="617">
        <f t="shared" si="16"/>
        <v>0</v>
      </c>
      <c r="L61" s="617">
        <f t="shared" si="16"/>
        <v>0</v>
      </c>
      <c r="M61" s="617">
        <f t="shared" si="16"/>
        <v>0</v>
      </c>
      <c r="N61" s="617">
        <f t="shared" si="16"/>
        <v>0</v>
      </c>
      <c r="O61" s="617">
        <f t="shared" si="16"/>
        <v>0</v>
      </c>
      <c r="P61" s="617">
        <f t="shared" si="16"/>
        <v>0</v>
      </c>
      <c r="Q61" s="618">
        <f t="shared" si="16"/>
        <v>0</v>
      </c>
      <c r="R61" s="618">
        <f t="shared" si="16"/>
        <v>0</v>
      </c>
      <c r="S61" s="618">
        <f t="shared" si="16"/>
        <v>0</v>
      </c>
      <c r="T61" s="618">
        <f t="shared" si="16"/>
        <v>0</v>
      </c>
      <c r="U61" s="618">
        <f t="shared" si="16"/>
        <v>0</v>
      </c>
      <c r="V61" s="618">
        <f t="shared" si="16"/>
        <v>0</v>
      </c>
      <c r="W61" s="618">
        <f t="shared" si="16"/>
        <v>0</v>
      </c>
      <c r="X61" s="618">
        <f t="shared" si="16"/>
        <v>0</v>
      </c>
      <c r="Y61" s="618">
        <f t="shared" si="16"/>
        <v>0</v>
      </c>
      <c r="Z61" s="618">
        <f t="shared" si="16"/>
        <v>0</v>
      </c>
      <c r="AA61" s="618">
        <f t="shared" si="16"/>
        <v>0</v>
      </c>
      <c r="AB61" s="618">
        <f t="shared" si="16"/>
        <v>0</v>
      </c>
      <c r="AC61" s="618">
        <f t="shared" si="16"/>
        <v>0</v>
      </c>
      <c r="AD61" s="618">
        <f t="shared" si="16"/>
        <v>0</v>
      </c>
      <c r="AE61" s="618">
        <f t="shared" si="16"/>
        <v>0</v>
      </c>
      <c r="AF61" s="618">
        <f t="shared" si="16"/>
        <v>0</v>
      </c>
      <c r="AG61" s="618">
        <f t="shared" si="16"/>
        <v>0</v>
      </c>
      <c r="AH61" s="618">
        <f t="shared" si="16"/>
        <v>0</v>
      </c>
      <c r="AI61" s="618">
        <f t="shared" si="16"/>
        <v>0</v>
      </c>
      <c r="AJ61" s="618">
        <f t="shared" si="16"/>
        <v>0</v>
      </c>
      <c r="AK61" s="618">
        <f t="shared" si="16"/>
        <v>0</v>
      </c>
      <c r="AL61" s="618">
        <f t="shared" si="16"/>
        <v>0</v>
      </c>
      <c r="AM61" s="618">
        <f t="shared" si="16"/>
        <v>0</v>
      </c>
      <c r="AN61" s="618">
        <f t="shared" si="16"/>
        <v>0</v>
      </c>
      <c r="AO61" s="618">
        <f t="shared" si="16"/>
        <v>0</v>
      </c>
      <c r="AP61" s="618">
        <f t="shared" si="16"/>
        <v>0</v>
      </c>
      <c r="AQ61" s="618">
        <f t="shared" si="16"/>
        <v>0</v>
      </c>
      <c r="AR61" s="618">
        <f t="shared" si="16"/>
        <v>0</v>
      </c>
      <c r="AS61" s="618">
        <f t="shared" si="16"/>
        <v>0</v>
      </c>
      <c r="AT61" s="618">
        <f t="shared" si="16"/>
        <v>0</v>
      </c>
      <c r="AU61" s="618">
        <f t="shared" si="16"/>
        <v>0</v>
      </c>
      <c r="AV61" s="618">
        <f t="shared" si="16"/>
        <v>0</v>
      </c>
      <c r="AW61" s="618">
        <f t="shared" si="16"/>
        <v>0</v>
      </c>
      <c r="AX61" s="618">
        <f t="shared" si="16"/>
        <v>0</v>
      </c>
      <c r="AY61" s="618">
        <f t="shared" si="16"/>
        <v>0</v>
      </c>
      <c r="AZ61" s="618">
        <f t="shared" si="16"/>
        <v>0</v>
      </c>
      <c r="BA61" s="618">
        <f t="shared" si="16"/>
        <v>0</v>
      </c>
      <c r="BB61" s="618">
        <f t="shared" si="16"/>
        <v>0</v>
      </c>
      <c r="BC61" s="618">
        <f t="shared" si="16"/>
        <v>0</v>
      </c>
      <c r="BD61" s="618">
        <f t="shared" si="16"/>
        <v>0</v>
      </c>
      <c r="BE61" s="618">
        <f t="shared" si="16"/>
        <v>0</v>
      </c>
      <c r="BF61" s="605"/>
      <c r="BG61" s="618">
        <f>+BG60</f>
        <v>0</v>
      </c>
      <c r="BH61" s="610"/>
      <c r="BK61"/>
      <c r="BL61" s="2">
        <v>0</v>
      </c>
    </row>
    <row r="62" spans="2:67" ht="12" customHeight="1" x14ac:dyDescent="0.3">
      <c r="E62" s="490"/>
      <c r="F62" s="555"/>
      <c r="G62" s="555"/>
      <c r="H62" s="555"/>
      <c r="I62" s="555"/>
      <c r="J62" s="555"/>
      <c r="K62" s="555"/>
      <c r="L62" s="555"/>
      <c r="M62" s="555"/>
      <c r="N62" s="555"/>
      <c r="O62" s="555"/>
      <c r="P62" s="555"/>
      <c r="Q62" s="555"/>
      <c r="R62" s="555"/>
      <c r="S62" s="555"/>
      <c r="T62" s="555"/>
      <c r="U62" s="555"/>
      <c r="V62" s="555"/>
      <c r="W62" s="555"/>
      <c r="X62" s="555"/>
      <c r="Y62" s="555"/>
      <c r="Z62" s="555"/>
      <c r="AA62" s="555"/>
      <c r="AB62" s="555"/>
      <c r="AC62" s="555"/>
      <c r="AD62" s="555"/>
      <c r="AE62" s="555"/>
      <c r="AF62" s="555"/>
      <c r="AG62" s="555"/>
      <c r="AH62" s="555"/>
      <c r="AI62" s="555"/>
      <c r="AJ62" s="555"/>
      <c r="AK62" s="555"/>
      <c r="AL62" s="555"/>
      <c r="AM62" s="555"/>
      <c r="AN62" s="555"/>
      <c r="AO62" s="555"/>
      <c r="AP62" s="555"/>
      <c r="AQ62" s="555"/>
      <c r="AR62" s="555"/>
      <c r="AS62" s="555"/>
      <c r="AT62" s="555"/>
      <c r="AU62" s="555"/>
      <c r="AV62" s="555"/>
      <c r="AW62" s="555"/>
      <c r="AX62" s="555"/>
      <c r="AY62" s="555"/>
      <c r="AZ62" s="555"/>
      <c r="BA62" s="555"/>
      <c r="BB62" s="555"/>
      <c r="BC62" s="555"/>
      <c r="BD62" s="555"/>
      <c r="BE62" s="555"/>
      <c r="BF62" s="555"/>
      <c r="BG62" s="605"/>
      <c r="BH62" s="590"/>
    </row>
    <row r="63" spans="2:67" x14ac:dyDescent="0.3">
      <c r="B63" s="498" t="s">
        <v>1367</v>
      </c>
      <c r="C63" s="1264" t="s">
        <v>1368</v>
      </c>
      <c r="E63" s="499"/>
      <c r="F63" s="555"/>
      <c r="G63" s="612"/>
      <c r="H63" s="612"/>
      <c r="I63" s="530"/>
      <c r="J63" s="612"/>
      <c r="K63" s="530"/>
      <c r="L63" s="530"/>
      <c r="M63" s="530"/>
      <c r="N63" s="612"/>
      <c r="O63" s="530"/>
      <c r="P63" s="612"/>
      <c r="Q63" s="612"/>
      <c r="R63" s="612"/>
      <c r="S63" s="612"/>
      <c r="T63" s="612"/>
      <c r="U63" s="612"/>
      <c r="V63" s="612"/>
      <c r="W63" s="612"/>
      <c r="X63" s="612"/>
      <c r="Y63" s="612"/>
      <c r="Z63" s="614">
        <f>-272.2492342804-12.8035080109648-17.8706515617857+8.88341999999997-65.9909429906782-15.7181490615539</f>
        <v>-375.74906590538262</v>
      </c>
      <c r="AA63" s="612"/>
      <c r="AB63" s="612"/>
      <c r="AC63" s="612"/>
      <c r="AD63" s="530"/>
      <c r="AE63" s="530"/>
      <c r="AF63" s="1326">
        <f>-48.6085135+16.29-19.3846855027635-18.4493145740365+12.8035080109648</f>
        <v>-57.349005565835206</v>
      </c>
      <c r="AG63" s="612">
        <f>-AG23</f>
        <v>33.06</v>
      </c>
      <c r="AH63" s="530">
        <f>116.6182227+84.4976724+79.1784783+75.2440815+104.2731081</f>
        <v>459.81156299999998</v>
      </c>
      <c r="AI63" s="612"/>
      <c r="AJ63" s="1324">
        <f>'Passage Actif BC '!AF103*30%</f>
        <v>157.75201080000002</v>
      </c>
      <c r="AK63" s="612"/>
      <c r="AL63" s="530"/>
      <c r="AM63" s="612"/>
      <c r="AN63" s="612"/>
      <c r="AO63" s="612"/>
      <c r="AP63" s="612"/>
      <c r="AQ63" s="612"/>
      <c r="AR63" s="614"/>
      <c r="AS63" s="612">
        <f>-37.3224465-30.9668613-24.8660631-8.88342</f>
        <v>-102.03879090000001</v>
      </c>
      <c r="AT63" s="1325">
        <f>('Impacts_IFRS.16-09'!$L$85*30%)</f>
        <v>17.46727679999999</v>
      </c>
      <c r="AU63" s="612">
        <v>24.922499999999999</v>
      </c>
      <c r="AV63" s="1324">
        <f>-SUM('BG '!H29:I29)/10^6*30%</f>
        <v>0</v>
      </c>
      <c r="AW63" s="612"/>
      <c r="AX63" s="612"/>
      <c r="AY63" s="612"/>
      <c r="AZ63" s="612"/>
      <c r="BA63" s="612">
        <f>5.5444524+17.7777219+32.3217114-47.7858723+1.227195</f>
        <v>9.0852083999999973</v>
      </c>
      <c r="BB63" s="1324">
        <f>-SUM('BG '!H271:I272)/1000000*30%</f>
        <v>3.6793199999999998E-2</v>
      </c>
      <c r="BC63" s="612"/>
      <c r="BD63" s="612"/>
      <c r="BE63" s="612">
        <f>-70.3099380546651+17.110721829504+3.82048358236114+(+Activation!CN240)*30%/1000000</f>
        <v>-35.99645027619281</v>
      </c>
      <c r="BF63" s="555"/>
      <c r="BG63" s="1327">
        <f>+SUM(E63:BE63)</f>
        <v>131.00203955258934</v>
      </c>
      <c r="BH63" s="590"/>
      <c r="BK63">
        <v>65.990942990678235</v>
      </c>
      <c r="BL63" s="72">
        <v>0</v>
      </c>
    </row>
    <row r="64" spans="2:67" s="2" customFormat="1" ht="21.9" customHeight="1" thickBot="1" x14ac:dyDescent="0.35">
      <c r="B64" s="507" t="s">
        <v>1369</v>
      </c>
      <c r="C64" s="1388" t="s">
        <v>1368</v>
      </c>
      <c r="D64" s="467"/>
      <c r="E64" s="513"/>
      <c r="F64" s="605"/>
      <c r="G64" s="617">
        <f t="shared" ref="G64:P64" si="17">+G63</f>
        <v>0</v>
      </c>
      <c r="H64" s="617">
        <f t="shared" si="17"/>
        <v>0</v>
      </c>
      <c r="I64" s="617">
        <f t="shared" si="17"/>
        <v>0</v>
      </c>
      <c r="J64" s="617">
        <f t="shared" si="17"/>
        <v>0</v>
      </c>
      <c r="K64" s="617">
        <f t="shared" si="17"/>
        <v>0</v>
      </c>
      <c r="L64" s="617">
        <f t="shared" si="17"/>
        <v>0</v>
      </c>
      <c r="M64" s="617">
        <f t="shared" si="17"/>
        <v>0</v>
      </c>
      <c r="N64" s="617">
        <f t="shared" si="17"/>
        <v>0</v>
      </c>
      <c r="O64" s="617">
        <f t="shared" si="17"/>
        <v>0</v>
      </c>
      <c r="P64" s="617">
        <f t="shared" si="17"/>
        <v>0</v>
      </c>
      <c r="Q64" s="618">
        <f>+Q63</f>
        <v>0</v>
      </c>
      <c r="R64" s="618">
        <f t="shared" ref="R64:BE64" si="18">+R63</f>
        <v>0</v>
      </c>
      <c r="S64" s="618">
        <f t="shared" si="18"/>
        <v>0</v>
      </c>
      <c r="T64" s="618">
        <f t="shared" si="18"/>
        <v>0</v>
      </c>
      <c r="U64" s="618">
        <f t="shared" si="18"/>
        <v>0</v>
      </c>
      <c r="V64" s="618">
        <f t="shared" si="18"/>
        <v>0</v>
      </c>
      <c r="W64" s="618">
        <f t="shared" si="18"/>
        <v>0</v>
      </c>
      <c r="X64" s="618">
        <f t="shared" si="18"/>
        <v>0</v>
      </c>
      <c r="Y64" s="618">
        <f t="shared" si="18"/>
        <v>0</v>
      </c>
      <c r="Z64" s="618">
        <f t="shared" si="18"/>
        <v>-375.74906590538262</v>
      </c>
      <c r="AA64" s="618">
        <f t="shared" si="18"/>
        <v>0</v>
      </c>
      <c r="AB64" s="618">
        <f t="shared" si="18"/>
        <v>0</v>
      </c>
      <c r="AC64" s="618">
        <f t="shared" si="18"/>
        <v>0</v>
      </c>
      <c r="AD64" s="618">
        <f t="shared" si="18"/>
        <v>0</v>
      </c>
      <c r="AE64" s="618">
        <f t="shared" si="18"/>
        <v>0</v>
      </c>
      <c r="AF64" s="618">
        <f t="shared" si="18"/>
        <v>-57.349005565835206</v>
      </c>
      <c r="AG64" s="618">
        <f t="shared" si="18"/>
        <v>33.06</v>
      </c>
      <c r="AH64" s="618">
        <f t="shared" si="18"/>
        <v>459.81156299999998</v>
      </c>
      <c r="AI64" s="618">
        <f t="shared" si="18"/>
        <v>0</v>
      </c>
      <c r="AJ64" s="618">
        <f t="shared" si="18"/>
        <v>157.75201080000002</v>
      </c>
      <c r="AK64" s="618">
        <f t="shared" si="18"/>
        <v>0</v>
      </c>
      <c r="AL64" s="618">
        <f t="shared" si="18"/>
        <v>0</v>
      </c>
      <c r="AM64" s="618">
        <f t="shared" si="18"/>
        <v>0</v>
      </c>
      <c r="AN64" s="618">
        <f t="shared" si="18"/>
        <v>0</v>
      </c>
      <c r="AO64" s="618">
        <f t="shared" si="18"/>
        <v>0</v>
      </c>
      <c r="AP64" s="618">
        <f t="shared" si="18"/>
        <v>0</v>
      </c>
      <c r="AQ64" s="618">
        <f t="shared" si="18"/>
        <v>0</v>
      </c>
      <c r="AR64" s="618">
        <f t="shared" si="18"/>
        <v>0</v>
      </c>
      <c r="AS64" s="618">
        <f t="shared" si="18"/>
        <v>-102.03879090000001</v>
      </c>
      <c r="AT64" s="618">
        <f t="shared" si="18"/>
        <v>17.46727679999999</v>
      </c>
      <c r="AU64" s="618">
        <f t="shared" si="18"/>
        <v>24.922499999999999</v>
      </c>
      <c r="AV64" s="618">
        <f t="shared" si="18"/>
        <v>0</v>
      </c>
      <c r="AW64" s="618">
        <f t="shared" si="18"/>
        <v>0</v>
      </c>
      <c r="AX64" s="618">
        <f t="shared" si="18"/>
        <v>0</v>
      </c>
      <c r="AY64" s="618">
        <f t="shared" si="18"/>
        <v>0</v>
      </c>
      <c r="AZ64" s="618">
        <f t="shared" si="18"/>
        <v>0</v>
      </c>
      <c r="BA64" s="618">
        <f t="shared" si="18"/>
        <v>9.0852083999999973</v>
      </c>
      <c r="BB64" s="618">
        <f t="shared" si="18"/>
        <v>3.6793199999999998E-2</v>
      </c>
      <c r="BC64" s="618">
        <f t="shared" si="18"/>
        <v>0</v>
      </c>
      <c r="BD64" s="618">
        <f t="shared" si="18"/>
        <v>0</v>
      </c>
      <c r="BE64" s="618">
        <f t="shared" si="18"/>
        <v>-35.99645027619281</v>
      </c>
      <c r="BF64" s="605"/>
      <c r="BG64" s="618">
        <f>+BG63</f>
        <v>131.00203955258934</v>
      </c>
      <c r="BH64" s="610"/>
      <c r="BK64"/>
      <c r="BL64" s="2">
        <v>0</v>
      </c>
    </row>
    <row r="65" spans="1:64" ht="12" customHeight="1" x14ac:dyDescent="0.3">
      <c r="E65" s="490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55"/>
      <c r="AB65" s="555"/>
      <c r="AC65" s="555"/>
      <c r="AD65" s="555"/>
      <c r="AE65" s="555"/>
      <c r="AF65" s="555"/>
      <c r="AG65" s="555"/>
      <c r="AH65" s="555"/>
      <c r="AI65" s="555"/>
      <c r="AJ65" s="555"/>
      <c r="AK65" s="555"/>
      <c r="AL65" s="555"/>
      <c r="AM65" s="555"/>
      <c r="AN65" s="555"/>
      <c r="AO65" s="555"/>
      <c r="AP65" s="555"/>
      <c r="AQ65" s="555"/>
      <c r="AR65" s="555"/>
      <c r="AS65" s="555"/>
      <c r="AT65" s="555"/>
      <c r="AU65" s="555"/>
      <c r="AV65" s="555"/>
      <c r="AW65" s="555"/>
      <c r="AX65" s="555"/>
      <c r="AY65" s="555"/>
      <c r="AZ65" s="555"/>
      <c r="BA65" s="555"/>
      <c r="BB65" s="555"/>
      <c r="BC65" s="555"/>
      <c r="BD65" s="555"/>
      <c r="BE65" s="555"/>
      <c r="BF65" s="555"/>
      <c r="BG65" s="605"/>
      <c r="BH65" s="590"/>
    </row>
    <row r="66" spans="1:64" x14ac:dyDescent="0.3">
      <c r="B66" s="498" t="s">
        <v>1370</v>
      </c>
      <c r="C66" s="1264" t="s">
        <v>1371</v>
      </c>
      <c r="E66" s="499"/>
      <c r="F66" s="555"/>
      <c r="G66" s="612"/>
      <c r="H66" s="612"/>
      <c r="I66" s="612"/>
      <c r="J66" s="612"/>
      <c r="K66" s="612"/>
      <c r="L66" s="612"/>
      <c r="M66" s="612"/>
      <c r="N66" s="612"/>
      <c r="O66" s="612"/>
      <c r="P66" s="612"/>
      <c r="Q66" s="612"/>
      <c r="R66" s="612"/>
      <c r="S66" s="612"/>
      <c r="T66" s="612"/>
      <c r="U66" s="612"/>
      <c r="V66" s="612"/>
      <c r="W66" s="612"/>
      <c r="X66" s="612"/>
      <c r="Y66" s="612"/>
      <c r="Z66" s="612"/>
      <c r="AA66" s="612"/>
      <c r="AB66" s="612"/>
      <c r="AC66" s="612"/>
      <c r="AD66" s="612"/>
      <c r="AE66" s="612"/>
      <c r="AF66" s="612"/>
      <c r="AG66" s="612"/>
      <c r="AH66" s="612"/>
      <c r="AI66" s="612"/>
      <c r="AJ66" s="612"/>
      <c r="AK66" s="612"/>
      <c r="AL66" s="612"/>
      <c r="AM66" s="612"/>
      <c r="AN66" s="612"/>
      <c r="AO66" s="612"/>
      <c r="AP66" s="612"/>
      <c r="AQ66" s="612"/>
      <c r="AR66" s="612"/>
      <c r="AS66" s="612"/>
      <c r="AT66" s="612"/>
      <c r="AU66" s="612"/>
      <c r="AV66" s="612"/>
      <c r="AW66" s="612"/>
      <c r="AX66" s="612"/>
      <c r="AY66" s="612"/>
      <c r="AZ66" s="612"/>
      <c r="BA66" s="612"/>
      <c r="BB66" s="612"/>
      <c r="BC66" s="612"/>
      <c r="BD66" s="612"/>
      <c r="BE66" s="612"/>
      <c r="BF66" s="555"/>
      <c r="BG66" s="616">
        <f>+SUM(E66:BE66)</f>
        <v>0</v>
      </c>
      <c r="BH66" s="590"/>
      <c r="BL66" s="72">
        <v>0</v>
      </c>
    </row>
    <row r="67" spans="1:64" s="2" customFormat="1" ht="21.9" customHeight="1" thickBot="1" x14ac:dyDescent="0.35">
      <c r="B67" s="507" t="s">
        <v>1372</v>
      </c>
      <c r="C67" s="1388" t="s">
        <v>1373</v>
      </c>
      <c r="D67" s="467"/>
      <c r="E67" s="513"/>
      <c r="F67" s="605"/>
      <c r="G67" s="617">
        <f t="shared" ref="G67:P67" si="19">+G66</f>
        <v>0</v>
      </c>
      <c r="H67" s="617">
        <f t="shared" si="19"/>
        <v>0</v>
      </c>
      <c r="I67" s="617">
        <f t="shared" si="19"/>
        <v>0</v>
      </c>
      <c r="J67" s="617">
        <f t="shared" si="19"/>
        <v>0</v>
      </c>
      <c r="K67" s="617">
        <f t="shared" si="19"/>
        <v>0</v>
      </c>
      <c r="L67" s="617">
        <f t="shared" si="19"/>
        <v>0</v>
      </c>
      <c r="M67" s="617">
        <f t="shared" si="19"/>
        <v>0</v>
      </c>
      <c r="N67" s="617">
        <f t="shared" si="19"/>
        <v>0</v>
      </c>
      <c r="O67" s="617">
        <f t="shared" si="19"/>
        <v>0</v>
      </c>
      <c r="P67" s="617">
        <f t="shared" si="19"/>
        <v>0</v>
      </c>
      <c r="Q67" s="618">
        <f>+Q66</f>
        <v>0</v>
      </c>
      <c r="R67" s="618">
        <f t="shared" ref="R67:BG67" si="20">+R66</f>
        <v>0</v>
      </c>
      <c r="S67" s="618">
        <f t="shared" si="20"/>
        <v>0</v>
      </c>
      <c r="T67" s="618">
        <f t="shared" si="20"/>
        <v>0</v>
      </c>
      <c r="U67" s="618">
        <f t="shared" si="20"/>
        <v>0</v>
      </c>
      <c r="V67" s="618">
        <f t="shared" si="20"/>
        <v>0</v>
      </c>
      <c r="W67" s="618">
        <f t="shared" si="20"/>
        <v>0</v>
      </c>
      <c r="X67" s="618">
        <f t="shared" si="20"/>
        <v>0</v>
      </c>
      <c r="Y67" s="618">
        <f t="shared" si="20"/>
        <v>0</v>
      </c>
      <c r="Z67" s="618">
        <f t="shared" si="20"/>
        <v>0</v>
      </c>
      <c r="AA67" s="618">
        <f t="shared" si="20"/>
        <v>0</v>
      </c>
      <c r="AB67" s="618">
        <f t="shared" si="20"/>
        <v>0</v>
      </c>
      <c r="AC67" s="618">
        <f t="shared" si="20"/>
        <v>0</v>
      </c>
      <c r="AD67" s="618">
        <f t="shared" si="20"/>
        <v>0</v>
      </c>
      <c r="AE67" s="618">
        <f t="shared" si="20"/>
        <v>0</v>
      </c>
      <c r="AF67" s="618">
        <f t="shared" si="20"/>
        <v>0</v>
      </c>
      <c r="AG67" s="618">
        <f t="shared" si="20"/>
        <v>0</v>
      </c>
      <c r="AH67" s="618">
        <f t="shared" si="20"/>
        <v>0</v>
      </c>
      <c r="AI67" s="618">
        <f t="shared" si="20"/>
        <v>0</v>
      </c>
      <c r="AJ67" s="618">
        <f t="shared" si="20"/>
        <v>0</v>
      </c>
      <c r="AK67" s="618">
        <f t="shared" si="20"/>
        <v>0</v>
      </c>
      <c r="AL67" s="618">
        <f t="shared" si="20"/>
        <v>0</v>
      </c>
      <c r="AM67" s="618">
        <f t="shared" si="20"/>
        <v>0</v>
      </c>
      <c r="AN67" s="618">
        <f t="shared" si="20"/>
        <v>0</v>
      </c>
      <c r="AO67" s="618">
        <f t="shared" si="20"/>
        <v>0</v>
      </c>
      <c r="AP67" s="618">
        <f t="shared" si="20"/>
        <v>0</v>
      </c>
      <c r="AQ67" s="618">
        <f t="shared" si="20"/>
        <v>0</v>
      </c>
      <c r="AR67" s="618">
        <f t="shared" si="20"/>
        <v>0</v>
      </c>
      <c r="AS67" s="618">
        <f t="shared" si="20"/>
        <v>0</v>
      </c>
      <c r="AT67" s="618">
        <f t="shared" si="20"/>
        <v>0</v>
      </c>
      <c r="AU67" s="618">
        <f t="shared" si="20"/>
        <v>0</v>
      </c>
      <c r="AV67" s="618">
        <f t="shared" si="20"/>
        <v>0</v>
      </c>
      <c r="AW67" s="618">
        <f t="shared" si="20"/>
        <v>0</v>
      </c>
      <c r="AX67" s="618">
        <f t="shared" si="20"/>
        <v>0</v>
      </c>
      <c r="AY67" s="618">
        <f t="shared" si="20"/>
        <v>0</v>
      </c>
      <c r="AZ67" s="618">
        <f t="shared" si="20"/>
        <v>0</v>
      </c>
      <c r="BA67" s="618">
        <f t="shared" si="20"/>
        <v>0</v>
      </c>
      <c r="BB67" s="618">
        <f t="shared" si="20"/>
        <v>0</v>
      </c>
      <c r="BC67" s="618">
        <f t="shared" si="20"/>
        <v>0</v>
      </c>
      <c r="BD67" s="618">
        <f t="shared" si="20"/>
        <v>0</v>
      </c>
      <c r="BE67" s="618">
        <f t="shared" si="20"/>
        <v>0</v>
      </c>
      <c r="BF67" s="618">
        <f t="shared" si="20"/>
        <v>0</v>
      </c>
      <c r="BG67" s="618">
        <f t="shared" si="20"/>
        <v>0</v>
      </c>
      <c r="BH67" s="610"/>
      <c r="BK67"/>
      <c r="BL67" s="2">
        <v>0</v>
      </c>
    </row>
    <row r="68" spans="1:64" ht="12" customHeight="1" thickBot="1" x14ac:dyDescent="0.35">
      <c r="E68" s="490"/>
      <c r="F68" s="555"/>
      <c r="G68" s="555"/>
      <c r="H68" s="555"/>
      <c r="I68" s="555"/>
      <c r="J68" s="555"/>
      <c r="K68" s="555"/>
      <c r="L68" s="555"/>
      <c r="M68" s="555"/>
      <c r="N68" s="555"/>
      <c r="O68" s="555"/>
      <c r="P68" s="555"/>
      <c r="Q68" s="555"/>
      <c r="R68" s="555"/>
      <c r="S68" s="555"/>
      <c r="T68" s="555"/>
      <c r="U68" s="555"/>
      <c r="V68" s="555"/>
      <c r="W68" s="555"/>
      <c r="X68" s="555"/>
      <c r="Y68" s="555"/>
      <c r="Z68" s="555"/>
      <c r="AA68" s="555"/>
      <c r="AB68" s="555"/>
      <c r="AC68" s="555"/>
      <c r="AD68" s="555"/>
      <c r="AE68" s="555"/>
      <c r="AF68" s="555"/>
      <c r="AG68" s="555"/>
      <c r="AH68" s="555"/>
      <c r="AI68" s="555"/>
      <c r="AJ68" s="555"/>
      <c r="AK68" s="555"/>
      <c r="AL68" s="555"/>
      <c r="AM68" s="555"/>
      <c r="AN68" s="555"/>
      <c r="AO68" s="555"/>
      <c r="AP68" s="555"/>
      <c r="AQ68" s="555"/>
      <c r="AR68" s="555"/>
      <c r="AS68" s="555"/>
      <c r="AT68" s="555"/>
      <c r="AU68" s="555"/>
      <c r="AV68" s="555"/>
      <c r="AW68" s="555"/>
      <c r="AX68" s="555"/>
      <c r="AY68" s="555"/>
      <c r="AZ68" s="555"/>
      <c r="BA68" s="555"/>
      <c r="BB68" s="555"/>
      <c r="BC68" s="555"/>
      <c r="BD68" s="555"/>
      <c r="BE68" s="555"/>
      <c r="BF68" s="555"/>
      <c r="BG68" s="605"/>
      <c r="BH68" s="590"/>
    </row>
    <row r="69" spans="1:64" s="6" customFormat="1" ht="24.9" customHeight="1" thickBot="1" x14ac:dyDescent="0.35">
      <c r="B69" s="533" t="s">
        <v>1374</v>
      </c>
      <c r="C69" s="1389" t="s">
        <v>1375</v>
      </c>
      <c r="D69" s="527"/>
      <c r="E69" s="536">
        <f>+E67+E64+E61+E58+E51+SUM(E40:E43)</f>
        <v>47315.847202999998</v>
      </c>
      <c r="F69" s="620"/>
      <c r="G69" s="621">
        <f t="shared" ref="G69:BE69" si="21">+G67+G64+G61+G58+G51+SUM(G40:G43)</f>
        <v>0</v>
      </c>
      <c r="H69" s="621">
        <f t="shared" si="21"/>
        <v>0</v>
      </c>
      <c r="I69" s="621">
        <f t="shared" si="21"/>
        <v>0</v>
      </c>
      <c r="J69" s="621">
        <f t="shared" si="21"/>
        <v>0</v>
      </c>
      <c r="K69" s="621">
        <f t="shared" si="21"/>
        <v>0</v>
      </c>
      <c r="L69" s="621">
        <f t="shared" si="21"/>
        <v>0</v>
      </c>
      <c r="M69" s="621">
        <f t="shared" si="21"/>
        <v>0</v>
      </c>
      <c r="N69" s="621">
        <f t="shared" si="21"/>
        <v>0</v>
      </c>
      <c r="O69" s="621">
        <f t="shared" si="21"/>
        <v>0</v>
      </c>
      <c r="P69" s="621">
        <f t="shared" si="21"/>
        <v>0</v>
      </c>
      <c r="Q69" s="536">
        <f t="shared" ref="Q69:Z69" si="22">+Q67+Q64+Q61+Q58+Q51+SUM(Q40:Q43)</f>
        <v>0</v>
      </c>
      <c r="R69" s="536">
        <f t="shared" si="22"/>
        <v>-15016.82064660576</v>
      </c>
      <c r="S69" s="536">
        <f>+S67+S64+S61+S58+S51+SUM(S40:S43)</f>
        <v>-692.693489</v>
      </c>
      <c r="T69" s="536">
        <f t="shared" si="22"/>
        <v>0</v>
      </c>
      <c r="U69" s="536">
        <f t="shared" si="22"/>
        <v>0</v>
      </c>
      <c r="V69" s="536">
        <f t="shared" si="22"/>
        <v>0</v>
      </c>
      <c r="W69" s="536">
        <f t="shared" si="22"/>
        <v>0</v>
      </c>
      <c r="X69" s="536">
        <f t="shared" si="22"/>
        <v>0</v>
      </c>
      <c r="Y69" s="536">
        <f t="shared" si="22"/>
        <v>0</v>
      </c>
      <c r="Z69" s="536">
        <f t="shared" si="22"/>
        <v>-281.46620622077251</v>
      </c>
      <c r="AA69" s="536">
        <f t="shared" si="21"/>
        <v>0</v>
      </c>
      <c r="AB69" s="536">
        <f t="shared" si="21"/>
        <v>0</v>
      </c>
      <c r="AC69" s="536">
        <f t="shared" si="21"/>
        <v>0</v>
      </c>
      <c r="AD69" s="536">
        <f t="shared" si="21"/>
        <v>0</v>
      </c>
      <c r="AE69" s="536">
        <f t="shared" si="21"/>
        <v>0</v>
      </c>
      <c r="AF69" s="536">
        <f t="shared" si="21"/>
        <v>-132.81251004020626</v>
      </c>
      <c r="AG69" s="536">
        <f t="shared" si="21"/>
        <v>-77.14</v>
      </c>
      <c r="AH69" s="536">
        <f t="shared" si="21"/>
        <v>459.81156299999998</v>
      </c>
      <c r="AI69" s="536">
        <f t="shared" si="21"/>
        <v>0</v>
      </c>
      <c r="AJ69" s="536">
        <f t="shared" si="21"/>
        <v>157.75201080000002</v>
      </c>
      <c r="AK69" s="536">
        <f t="shared" si="21"/>
        <v>0</v>
      </c>
      <c r="AL69" s="536">
        <f t="shared" si="21"/>
        <v>0</v>
      </c>
      <c r="AM69" s="536">
        <f t="shared" si="21"/>
        <v>0</v>
      </c>
      <c r="AN69" s="536">
        <f t="shared" si="21"/>
        <v>0</v>
      </c>
      <c r="AO69" s="536">
        <f t="shared" si="21"/>
        <v>0</v>
      </c>
      <c r="AP69" s="536">
        <f t="shared" si="21"/>
        <v>0</v>
      </c>
      <c r="AQ69" s="536">
        <f t="shared" si="21"/>
        <v>2676.3390529999997</v>
      </c>
      <c r="AR69" s="536">
        <f t="shared" si="21"/>
        <v>-427.47990100000015</v>
      </c>
      <c r="AS69" s="536">
        <f t="shared" si="21"/>
        <v>-102.03879090000001</v>
      </c>
      <c r="AT69" s="536">
        <f t="shared" si="21"/>
        <v>17.46727679999999</v>
      </c>
      <c r="AU69" s="536">
        <f t="shared" si="21"/>
        <v>24.922499999999999</v>
      </c>
      <c r="AV69" s="536">
        <f t="shared" si="21"/>
        <v>0</v>
      </c>
      <c r="AW69" s="536">
        <f t="shared" si="21"/>
        <v>0</v>
      </c>
      <c r="AX69" s="536">
        <f t="shared" si="21"/>
        <v>0</v>
      </c>
      <c r="AY69" s="536">
        <f t="shared" si="21"/>
        <v>0</v>
      </c>
      <c r="AZ69" s="536">
        <f t="shared" si="21"/>
        <v>0</v>
      </c>
      <c r="BA69" s="536">
        <f t="shared" si="21"/>
        <v>9.0852083999999973</v>
      </c>
      <c r="BB69" s="536">
        <f t="shared" si="21"/>
        <v>3.6793199999999998E-2</v>
      </c>
      <c r="BC69" s="536">
        <f t="shared" si="21"/>
        <v>0</v>
      </c>
      <c r="BD69" s="536">
        <f t="shared" si="21"/>
        <v>0</v>
      </c>
      <c r="BE69" s="536">
        <f t="shared" si="21"/>
        <v>-35.99645027619281</v>
      </c>
      <c r="BF69" s="620"/>
      <c r="BG69" s="536">
        <f>+BG67+BG64+BG61+BG58+BG51+SUM(BG40:BG43)</f>
        <v>33894.813614157072</v>
      </c>
      <c r="BH69" s="622"/>
      <c r="BK69"/>
      <c r="BL69" s="6">
        <v>36841.602244104484</v>
      </c>
    </row>
    <row r="70" spans="1:64" ht="12" customHeight="1" thickBot="1" x14ac:dyDescent="0.35">
      <c r="A70" s="540"/>
      <c r="B70" s="540"/>
      <c r="C70" s="1390"/>
      <c r="D70" s="541"/>
      <c r="E70" s="542"/>
      <c r="F70" s="543"/>
      <c r="G70" s="544"/>
      <c r="H70" s="545"/>
      <c r="I70" s="544"/>
      <c r="J70" s="545"/>
      <c r="K70" s="544"/>
      <c r="L70" s="545"/>
      <c r="M70" s="544"/>
      <c r="N70" s="545"/>
      <c r="O70" s="544"/>
      <c r="P70" s="545"/>
      <c r="Q70" s="546"/>
      <c r="R70" s="546"/>
      <c r="S70" s="546"/>
      <c r="T70" s="546"/>
      <c r="U70" s="547"/>
      <c r="V70" s="546"/>
      <c r="W70" s="546"/>
      <c r="X70" s="546"/>
      <c r="Y70" s="547"/>
      <c r="Z70" s="548"/>
      <c r="AA70" s="549"/>
      <c r="AB70" s="548"/>
      <c r="AC70" s="549"/>
      <c r="AD70" s="548"/>
      <c r="AE70" s="547"/>
      <c r="AF70" s="549"/>
      <c r="AG70" s="548"/>
      <c r="AH70" s="549"/>
      <c r="AI70" s="548"/>
      <c r="AJ70" s="549"/>
      <c r="AK70" s="548"/>
      <c r="AL70" s="549"/>
      <c r="AM70" s="547"/>
      <c r="AN70" s="547"/>
      <c r="AO70" s="548"/>
      <c r="AP70" s="549"/>
      <c r="AQ70" s="547"/>
      <c r="AR70" s="547"/>
      <c r="AS70" s="547"/>
      <c r="AT70" s="547"/>
      <c r="AU70" s="547"/>
      <c r="AV70" s="547"/>
      <c r="AW70" s="548"/>
      <c r="AX70" s="549"/>
      <c r="AY70" s="547"/>
      <c r="AZ70" s="547"/>
      <c r="BA70" s="548"/>
      <c r="BB70" s="549"/>
      <c r="BC70" s="546"/>
      <c r="BD70" s="546"/>
      <c r="BE70" s="546"/>
      <c r="BF70" s="546"/>
      <c r="BG70" s="624"/>
      <c r="BH70" s="547"/>
      <c r="BI70" s="550"/>
      <c r="BJ70" s="551"/>
    </row>
    <row r="71" spans="1:64" s="2" customFormat="1" x14ac:dyDescent="0.3">
      <c r="C71" s="1394" t="s">
        <v>1376</v>
      </c>
      <c r="D71" s="467"/>
      <c r="E71" s="482">
        <f>+'Bilan Passif '!C32/10^6</f>
        <v>20173.765751999999</v>
      </c>
      <c r="F71" s="605"/>
      <c r="G71" s="606"/>
      <c r="H71" s="606"/>
      <c r="I71" s="606"/>
      <c r="J71" s="606"/>
      <c r="K71" s="606"/>
      <c r="L71" s="606"/>
      <c r="M71" s="606"/>
      <c r="N71" s="606"/>
      <c r="O71" s="606"/>
      <c r="P71" s="606"/>
      <c r="Q71" s="608"/>
      <c r="R71" s="608"/>
      <c r="S71" s="608"/>
      <c r="T71" s="608"/>
      <c r="U71" s="608"/>
      <c r="V71" s="608"/>
      <c r="W71" s="608"/>
      <c r="X71" s="1691">
        <f t="shared" ref="X71:X80" si="23">-E71</f>
        <v>-20173.765751999999</v>
      </c>
      <c r="Y71" s="608"/>
      <c r="Z71" s="608"/>
      <c r="AA71" s="608"/>
      <c r="AB71" s="608"/>
      <c r="AC71" s="608"/>
      <c r="AD71" s="608"/>
      <c r="AE71" s="608"/>
      <c r="AF71" s="608"/>
      <c r="AG71" s="608"/>
      <c r="AH71" s="608"/>
      <c r="AI71" s="608"/>
      <c r="AJ71" s="608"/>
      <c r="AK71" s="608"/>
      <c r="AL71" s="608"/>
      <c r="AM71" s="608"/>
      <c r="AN71" s="608"/>
      <c r="AO71" s="608"/>
      <c r="AP71" s="608"/>
      <c r="AQ71" s="608"/>
      <c r="AR71" s="608"/>
      <c r="AS71" s="608"/>
      <c r="AT71" s="608"/>
      <c r="AU71" s="608"/>
      <c r="AV71" s="608"/>
      <c r="AW71" s="608"/>
      <c r="AX71" s="608"/>
      <c r="AY71" s="608"/>
      <c r="AZ71" s="608"/>
      <c r="BA71" s="608"/>
      <c r="BB71" s="608"/>
      <c r="BC71" s="608"/>
      <c r="BD71" s="608"/>
      <c r="BE71" s="608"/>
      <c r="BF71" s="605"/>
      <c r="BG71" s="609">
        <f t="shared" ref="BG71:BG80" si="24">+SUM(E71:BE71)</f>
        <v>0</v>
      </c>
      <c r="BH71" s="610"/>
      <c r="BI71" s="1977"/>
      <c r="BK71"/>
      <c r="BL71" s="2">
        <v>0</v>
      </c>
    </row>
    <row r="72" spans="1:64" s="2" customFormat="1" x14ac:dyDescent="0.3">
      <c r="C72" s="1394" t="s">
        <v>1377</v>
      </c>
      <c r="D72" s="467"/>
      <c r="E72" s="482">
        <f>+'Bilan Passif '!C33/10^6</f>
        <v>1266.2503959999999</v>
      </c>
      <c r="F72" s="605"/>
      <c r="G72" s="606"/>
      <c r="H72" s="606"/>
      <c r="I72" s="606"/>
      <c r="J72" s="606"/>
      <c r="K72" s="606"/>
      <c r="L72" s="606"/>
      <c r="M72" s="606"/>
      <c r="N72" s="606"/>
      <c r="O72" s="606"/>
      <c r="P72" s="606"/>
      <c r="Q72" s="608"/>
      <c r="R72" s="608"/>
      <c r="S72" s="608"/>
      <c r="T72" s="608"/>
      <c r="U72" s="608"/>
      <c r="V72" s="608"/>
      <c r="W72" s="608"/>
      <c r="X72" s="1689">
        <f t="shared" si="23"/>
        <v>-1266.2503959999999</v>
      </c>
      <c r="Y72" s="608"/>
      <c r="Z72" s="608"/>
      <c r="AA72" s="608"/>
      <c r="AB72" s="608"/>
      <c r="AC72" s="608"/>
      <c r="AD72" s="608"/>
      <c r="AE72" s="608"/>
      <c r="AF72" s="608"/>
      <c r="AG72" s="608"/>
      <c r="AH72" s="608"/>
      <c r="AI72" s="608"/>
      <c r="AJ72" s="608"/>
      <c r="AK72" s="608"/>
      <c r="AL72" s="608"/>
      <c r="AM72" s="608"/>
      <c r="AN72" s="608"/>
      <c r="AO72" s="608"/>
      <c r="AP72" s="608"/>
      <c r="AQ72" s="608"/>
      <c r="AR72" s="608"/>
      <c r="AS72" s="608"/>
      <c r="AT72" s="608"/>
      <c r="AU72" s="608"/>
      <c r="AV72" s="608"/>
      <c r="AW72" s="608"/>
      <c r="AX72" s="608"/>
      <c r="AY72" s="608"/>
      <c r="AZ72" s="608"/>
      <c r="BA72" s="608"/>
      <c r="BB72" s="608"/>
      <c r="BC72" s="608"/>
      <c r="BD72" s="608"/>
      <c r="BE72" s="608"/>
      <c r="BF72" s="605"/>
      <c r="BG72" s="609">
        <f t="shared" si="24"/>
        <v>0</v>
      </c>
      <c r="BH72" s="610"/>
      <c r="BI72" s="1977"/>
      <c r="BK72"/>
      <c r="BL72" s="2">
        <v>0</v>
      </c>
    </row>
    <row r="73" spans="1:64" s="2" customFormat="1" x14ac:dyDescent="0.3">
      <c r="C73" s="1394" t="s">
        <v>1378</v>
      </c>
      <c r="D73" s="467"/>
      <c r="E73" s="482">
        <f>+'Bilan Passif '!C34/10^6</f>
        <v>40919.405808000003</v>
      </c>
      <c r="F73" s="605"/>
      <c r="G73" s="606"/>
      <c r="H73" s="606"/>
      <c r="I73" s="606"/>
      <c r="J73" s="606"/>
      <c r="K73" s="606"/>
      <c r="L73" s="606"/>
      <c r="M73" s="606"/>
      <c r="N73" s="606"/>
      <c r="O73" s="606"/>
      <c r="P73" s="606"/>
      <c r="Q73" s="608"/>
      <c r="R73" s="608"/>
      <c r="S73" s="608"/>
      <c r="T73" s="608"/>
      <c r="U73" s="608"/>
      <c r="V73" s="608"/>
      <c r="W73" s="608"/>
      <c r="X73" s="1687">
        <f t="shared" si="23"/>
        <v>-40919.405808000003</v>
      </c>
      <c r="Y73" s="608"/>
      <c r="Z73" s="608"/>
      <c r="AA73" s="608"/>
      <c r="AB73" s="608"/>
      <c r="AC73" s="608"/>
      <c r="AD73" s="608"/>
      <c r="AE73" s="608"/>
      <c r="AF73" s="608"/>
      <c r="AG73" s="608"/>
      <c r="AH73" s="608"/>
      <c r="AI73" s="608"/>
      <c r="AJ73" s="608"/>
      <c r="AK73" s="608"/>
      <c r="AL73" s="608"/>
      <c r="AM73" s="608"/>
      <c r="AN73" s="608"/>
      <c r="AO73" s="608"/>
      <c r="AP73" s="608"/>
      <c r="AQ73" s="608"/>
      <c r="AR73" s="608"/>
      <c r="AS73" s="608"/>
      <c r="AT73" s="608"/>
      <c r="AU73" s="608"/>
      <c r="AV73" s="608"/>
      <c r="AW73" s="608"/>
      <c r="AX73" s="608"/>
      <c r="AY73" s="608"/>
      <c r="AZ73" s="608"/>
      <c r="BA73" s="608"/>
      <c r="BB73" s="608"/>
      <c r="BC73" s="608"/>
      <c r="BD73" s="608"/>
      <c r="BE73" s="608"/>
      <c r="BF73" s="605"/>
      <c r="BG73" s="609">
        <f t="shared" si="24"/>
        <v>0</v>
      </c>
      <c r="BH73" s="610"/>
      <c r="BI73" s="1977"/>
      <c r="BK73"/>
      <c r="BL73" s="2">
        <v>0</v>
      </c>
    </row>
    <row r="74" spans="1:64" s="2" customFormat="1" x14ac:dyDescent="0.3">
      <c r="C74" s="1394" t="s">
        <v>1379</v>
      </c>
      <c r="D74" s="467"/>
      <c r="E74" s="482">
        <f>+'Bilan Passif '!C35/10^6</f>
        <v>6711.8655339999996</v>
      </c>
      <c r="F74" s="605"/>
      <c r="G74" s="606"/>
      <c r="H74" s="606"/>
      <c r="I74" s="606"/>
      <c r="J74" s="606"/>
      <c r="K74" s="606"/>
      <c r="L74" s="606"/>
      <c r="M74" s="606"/>
      <c r="N74" s="606"/>
      <c r="O74" s="606"/>
      <c r="P74" s="606"/>
      <c r="Q74" s="608"/>
      <c r="R74" s="608"/>
      <c r="S74" s="608"/>
      <c r="T74" s="608"/>
      <c r="U74" s="608"/>
      <c r="V74" s="608"/>
      <c r="W74" s="608"/>
      <c r="X74" s="1430">
        <f t="shared" si="23"/>
        <v>-6711.8655339999996</v>
      </c>
      <c r="Y74" s="608"/>
      <c r="Z74" s="608"/>
      <c r="AA74" s="608"/>
      <c r="AB74" s="608"/>
      <c r="AC74" s="608"/>
      <c r="AD74" s="608"/>
      <c r="AE74" s="608"/>
      <c r="AF74" s="608"/>
      <c r="AG74" s="608"/>
      <c r="AH74" s="608"/>
      <c r="AI74" s="608"/>
      <c r="AJ74" s="608"/>
      <c r="AK74" s="608"/>
      <c r="AL74" s="608"/>
      <c r="AM74" s="608"/>
      <c r="AN74" s="608"/>
      <c r="AO74" s="608"/>
      <c r="AP74" s="608"/>
      <c r="AQ74" s="608"/>
      <c r="AR74" s="608"/>
      <c r="AS74" s="608"/>
      <c r="AT74" s="608"/>
      <c r="AU74" s="608"/>
      <c r="AV74" s="608"/>
      <c r="AW74" s="608"/>
      <c r="AX74" s="608"/>
      <c r="AY74" s="608"/>
      <c r="AZ74" s="608"/>
      <c r="BA74" s="608"/>
      <c r="BB74" s="608"/>
      <c r="BC74" s="608"/>
      <c r="BD74" s="608"/>
      <c r="BE74" s="608"/>
      <c r="BF74" s="605"/>
      <c r="BG74" s="609">
        <f t="shared" si="24"/>
        <v>0</v>
      </c>
      <c r="BH74" s="610"/>
      <c r="BI74" s="1977"/>
      <c r="BK74"/>
      <c r="BL74" s="2">
        <v>0</v>
      </c>
    </row>
    <row r="75" spans="1:64" s="2" customFormat="1" x14ac:dyDescent="0.3">
      <c r="C75" s="1394" t="s">
        <v>1380</v>
      </c>
      <c r="D75" s="467"/>
      <c r="E75" s="482">
        <f>+'Bilan Passif '!C36/10^6</f>
        <v>0</v>
      </c>
      <c r="F75" s="605"/>
      <c r="G75" s="606"/>
      <c r="H75" s="606"/>
      <c r="I75" s="606"/>
      <c r="J75" s="606"/>
      <c r="K75" s="606"/>
      <c r="L75" s="606"/>
      <c r="M75" s="606"/>
      <c r="N75" s="606"/>
      <c r="O75" s="606"/>
      <c r="P75" s="606"/>
      <c r="Q75" s="608"/>
      <c r="R75" s="608"/>
      <c r="S75" s="608"/>
      <c r="T75" s="608"/>
      <c r="U75" s="608"/>
      <c r="V75" s="608"/>
      <c r="W75" s="608"/>
      <c r="X75" s="608">
        <f t="shared" si="23"/>
        <v>0</v>
      </c>
      <c r="Y75" s="608"/>
      <c r="Z75" s="608"/>
      <c r="AA75" s="608"/>
      <c r="AB75" s="608"/>
      <c r="AC75" s="608"/>
      <c r="AD75" s="608"/>
      <c r="AE75" s="608"/>
      <c r="AF75" s="608"/>
      <c r="AG75" s="608"/>
      <c r="AH75" s="608"/>
      <c r="AI75" s="608"/>
      <c r="AJ75" s="608"/>
      <c r="AK75" s="608"/>
      <c r="AL75" s="608"/>
      <c r="AM75" s="608"/>
      <c r="AN75" s="608"/>
      <c r="AO75" s="608"/>
      <c r="AP75" s="608"/>
      <c r="AQ75" s="608"/>
      <c r="AR75" s="608"/>
      <c r="AS75" s="608"/>
      <c r="AT75" s="608"/>
      <c r="AU75" s="608"/>
      <c r="AV75" s="608"/>
      <c r="AW75" s="608"/>
      <c r="AX75" s="608"/>
      <c r="AY75" s="608"/>
      <c r="AZ75" s="608"/>
      <c r="BA75" s="608"/>
      <c r="BB75" s="608"/>
      <c r="BC75" s="608"/>
      <c r="BD75" s="608"/>
      <c r="BE75" s="608"/>
      <c r="BF75" s="605"/>
      <c r="BG75" s="609">
        <f t="shared" si="24"/>
        <v>0</v>
      </c>
      <c r="BH75" s="610"/>
      <c r="BI75" s="1977"/>
      <c r="BK75"/>
      <c r="BL75" s="2">
        <v>0</v>
      </c>
    </row>
    <row r="76" spans="1:64" s="2" customFormat="1" x14ac:dyDescent="0.3">
      <c r="C76" s="1394" t="s">
        <v>1381</v>
      </c>
      <c r="D76" s="467"/>
      <c r="E76" s="482">
        <f>+'Bilan Passif '!C37/10^6</f>
        <v>34096.023295999999</v>
      </c>
      <c r="F76" s="605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8"/>
      <c r="R76" s="608"/>
      <c r="S76" s="608"/>
      <c r="T76" s="608"/>
      <c r="U76" s="608"/>
      <c r="V76" s="608"/>
      <c r="W76" s="608"/>
      <c r="X76" s="1484">
        <f t="shared" si="23"/>
        <v>-34096.023295999999</v>
      </c>
      <c r="Y76" s="608"/>
      <c r="Z76" s="608"/>
      <c r="AA76" s="608"/>
      <c r="AB76" s="608"/>
      <c r="AC76" s="608"/>
      <c r="AD76" s="608"/>
      <c r="AE76" s="608"/>
      <c r="AF76" s="608"/>
      <c r="AG76" s="608"/>
      <c r="AH76" s="608"/>
      <c r="AI76" s="608"/>
      <c r="AJ76" s="608"/>
      <c r="AK76" s="608"/>
      <c r="AL76" s="608"/>
      <c r="AM76" s="608"/>
      <c r="AN76" s="608"/>
      <c r="AO76" s="608"/>
      <c r="AP76" s="608"/>
      <c r="AQ76" s="608"/>
      <c r="AR76" s="608"/>
      <c r="AS76" s="608"/>
      <c r="AT76" s="608"/>
      <c r="AU76" s="608"/>
      <c r="AV76" s="608"/>
      <c r="AW76" s="608"/>
      <c r="AX76" s="608"/>
      <c r="AY76" s="608"/>
      <c r="AZ76" s="608"/>
      <c r="BA76" s="608"/>
      <c r="BB76" s="608"/>
      <c r="BC76" s="608"/>
      <c r="BD76" s="608"/>
      <c r="BE76" s="608"/>
      <c r="BF76" s="605"/>
      <c r="BG76" s="609">
        <f t="shared" si="24"/>
        <v>0</v>
      </c>
      <c r="BH76" s="610"/>
      <c r="BI76" s="1977"/>
      <c r="BK76"/>
      <c r="BL76" s="2">
        <v>0</v>
      </c>
    </row>
    <row r="77" spans="1:64" s="2" customFormat="1" x14ac:dyDescent="0.3">
      <c r="C77" s="1394" t="s">
        <v>1382</v>
      </c>
      <c r="D77" s="467"/>
      <c r="E77" s="482">
        <f>+'Bilan Passif '!C38/10^6</f>
        <v>212.954781</v>
      </c>
      <c r="F77" s="605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8"/>
      <c r="R77" s="608"/>
      <c r="S77" s="608"/>
      <c r="T77" s="608"/>
      <c r="U77" s="608"/>
      <c r="V77" s="608"/>
      <c r="W77" s="608"/>
      <c r="X77" s="1685">
        <f t="shared" si="23"/>
        <v>-212.954781</v>
      </c>
      <c r="Y77" s="608"/>
      <c r="Z77" s="608"/>
      <c r="AA77" s="608"/>
      <c r="AB77" s="608"/>
      <c r="AC77" s="608"/>
      <c r="AD77" s="608"/>
      <c r="AE77" s="608"/>
      <c r="AF77" s="608"/>
      <c r="AG77" s="608"/>
      <c r="AH77" s="608"/>
      <c r="AI77" s="608"/>
      <c r="AJ77" s="608"/>
      <c r="AK77" s="608"/>
      <c r="AL77" s="608"/>
      <c r="AM77" s="608"/>
      <c r="AN77" s="608"/>
      <c r="AO77" s="608"/>
      <c r="AP77" s="608"/>
      <c r="AQ77" s="608"/>
      <c r="AR77" s="608"/>
      <c r="AS77" s="608"/>
      <c r="AT77" s="608"/>
      <c r="AU77" s="608"/>
      <c r="AV77" s="608"/>
      <c r="AW77" s="608"/>
      <c r="AX77" s="608"/>
      <c r="AY77" s="611"/>
      <c r="AZ77" s="608"/>
      <c r="BA77" s="608"/>
      <c r="BB77" s="608"/>
      <c r="BC77" s="608"/>
      <c r="BD77" s="608"/>
      <c r="BE77" s="608"/>
      <c r="BF77" s="605"/>
      <c r="BG77" s="609">
        <f t="shared" si="24"/>
        <v>0</v>
      </c>
      <c r="BH77" s="610"/>
      <c r="BI77" s="1977"/>
      <c r="BK77"/>
      <c r="BL77" s="2">
        <v>0</v>
      </c>
    </row>
    <row r="78" spans="1:64" s="2" customFormat="1" x14ac:dyDescent="0.3">
      <c r="C78" s="1394" t="s">
        <v>1383</v>
      </c>
      <c r="D78" s="467"/>
      <c r="E78" s="482">
        <f>+'Bilan Passif '!C41/10^6</f>
        <v>52.277096</v>
      </c>
      <c r="F78" s="605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8"/>
      <c r="R78" s="608"/>
      <c r="S78" s="608"/>
      <c r="T78" s="608"/>
      <c r="U78" s="608"/>
      <c r="V78" s="608"/>
      <c r="W78" s="608"/>
      <c r="X78" s="1692">
        <f t="shared" si="23"/>
        <v>-52.277096</v>
      </c>
      <c r="Y78" s="608"/>
      <c r="Z78" s="608"/>
      <c r="AA78" s="608"/>
      <c r="AB78" s="608"/>
      <c r="AC78" s="608"/>
      <c r="AD78" s="608"/>
      <c r="AE78" s="608"/>
      <c r="AF78" s="608"/>
      <c r="AG78" s="608"/>
      <c r="AH78" s="608"/>
      <c r="AI78" s="608"/>
      <c r="AJ78" s="608"/>
      <c r="AK78" s="608"/>
      <c r="AL78" s="608"/>
      <c r="AM78" s="608"/>
      <c r="AN78" s="608"/>
      <c r="AO78" s="608"/>
      <c r="AP78" s="608"/>
      <c r="AQ78" s="608"/>
      <c r="AR78" s="608"/>
      <c r="AS78" s="608"/>
      <c r="AT78" s="608"/>
      <c r="AU78" s="608"/>
      <c r="AV78" s="608"/>
      <c r="AW78" s="608"/>
      <c r="AX78" s="608"/>
      <c r="AY78" s="608"/>
      <c r="AZ78" s="608"/>
      <c r="BA78" s="608"/>
      <c r="BB78" s="608"/>
      <c r="BC78" s="608"/>
      <c r="BD78" s="608"/>
      <c r="BE78" s="608"/>
      <c r="BF78" s="605"/>
      <c r="BG78" s="609">
        <f t="shared" si="24"/>
        <v>0</v>
      </c>
      <c r="BH78" s="610"/>
      <c r="BI78" s="1977"/>
      <c r="BK78"/>
      <c r="BL78" s="2">
        <v>0</v>
      </c>
    </row>
    <row r="79" spans="1:64" s="2" customFormat="1" x14ac:dyDescent="0.3">
      <c r="C79" s="1394" t="s">
        <v>1384</v>
      </c>
      <c r="D79" s="467"/>
      <c r="E79" s="482">
        <f>+'Bilan Passif '!C42/10^6</f>
        <v>16044.722077</v>
      </c>
      <c r="F79" s="605"/>
      <c r="G79" s="606"/>
      <c r="H79" s="606"/>
      <c r="I79" s="606"/>
      <c r="J79" s="606"/>
      <c r="K79" s="606"/>
      <c r="L79" s="606"/>
      <c r="M79" s="606"/>
      <c r="N79" s="606"/>
      <c r="O79" s="606"/>
      <c r="P79" s="606"/>
      <c r="Q79" s="608"/>
      <c r="R79" s="608"/>
      <c r="S79" s="608"/>
      <c r="T79" s="608"/>
      <c r="U79" s="608"/>
      <c r="V79" s="608"/>
      <c r="W79" s="608"/>
      <c r="X79" s="1692">
        <f t="shared" si="23"/>
        <v>-16044.722077</v>
      </c>
      <c r="Y79" s="608"/>
      <c r="Z79" s="608"/>
      <c r="AA79" s="608"/>
      <c r="AB79" s="608"/>
      <c r="AC79" s="608"/>
      <c r="AD79" s="608"/>
      <c r="AE79" s="608"/>
      <c r="AF79" s="608"/>
      <c r="AG79" s="608"/>
      <c r="AH79" s="608"/>
      <c r="AI79" s="608"/>
      <c r="AJ79" s="608"/>
      <c r="AK79" s="608"/>
      <c r="AL79" s="608"/>
      <c r="AM79" s="608"/>
      <c r="AN79" s="608"/>
      <c r="AO79" s="608"/>
      <c r="AP79" s="608"/>
      <c r="AQ79" s="608"/>
      <c r="AR79" s="608"/>
      <c r="AS79" s="608"/>
      <c r="AT79" s="608"/>
      <c r="AU79" s="608"/>
      <c r="AV79" s="608"/>
      <c r="AW79" s="608"/>
      <c r="AX79" s="608"/>
      <c r="AY79" s="608"/>
      <c r="AZ79" s="608"/>
      <c r="BA79" s="608"/>
      <c r="BB79" s="608"/>
      <c r="BC79" s="608"/>
      <c r="BD79" s="608"/>
      <c r="BE79" s="608"/>
      <c r="BF79" s="605"/>
      <c r="BG79" s="609">
        <f t="shared" si="24"/>
        <v>0</v>
      </c>
      <c r="BH79" s="610"/>
      <c r="BI79" s="1977"/>
      <c r="BK79"/>
      <c r="BL79" s="2">
        <v>0</v>
      </c>
    </row>
    <row r="80" spans="1:64" s="2" customFormat="1" x14ac:dyDescent="0.3">
      <c r="C80" s="1394" t="s">
        <v>1385</v>
      </c>
      <c r="D80" s="467"/>
      <c r="E80" s="482">
        <f>+'Bilan Passif '!C43/10^6</f>
        <v>0</v>
      </c>
      <c r="F80" s="605"/>
      <c r="G80" s="606"/>
      <c r="H80" s="606"/>
      <c r="I80" s="606"/>
      <c r="J80" s="606"/>
      <c r="K80" s="606"/>
      <c r="L80" s="606"/>
      <c r="M80" s="606"/>
      <c r="N80" s="606"/>
      <c r="O80" s="606"/>
      <c r="P80" s="606"/>
      <c r="Q80" s="608"/>
      <c r="R80" s="608"/>
      <c r="S80" s="608"/>
      <c r="T80" s="608"/>
      <c r="U80" s="608"/>
      <c r="V80" s="608"/>
      <c r="W80" s="608"/>
      <c r="X80" s="608">
        <f t="shared" si="23"/>
        <v>0</v>
      </c>
      <c r="Y80" s="608"/>
      <c r="Z80" s="608"/>
      <c r="AA80" s="608"/>
      <c r="AB80" s="608"/>
      <c r="AC80" s="608"/>
      <c r="AD80" s="608"/>
      <c r="AE80" s="608"/>
      <c r="AF80" s="608"/>
      <c r="AG80" s="608"/>
      <c r="AH80" s="608"/>
      <c r="AI80" s="608"/>
      <c r="AJ80" s="608"/>
      <c r="AK80" s="608"/>
      <c r="AL80" s="608"/>
      <c r="AM80" s="608"/>
      <c r="AN80" s="608"/>
      <c r="AO80" s="608"/>
      <c r="AP80" s="608"/>
      <c r="AQ80" s="608"/>
      <c r="AR80" s="608"/>
      <c r="AS80" s="608"/>
      <c r="AT80" s="608"/>
      <c r="AU80" s="608"/>
      <c r="AV80" s="608"/>
      <c r="AW80" s="608"/>
      <c r="AX80" s="608"/>
      <c r="AY80" s="608"/>
      <c r="AZ80" s="608"/>
      <c r="BA80" s="608"/>
      <c r="BB80" s="608"/>
      <c r="BC80" s="608"/>
      <c r="BD80" s="608"/>
      <c r="BE80" s="608"/>
      <c r="BF80" s="605"/>
      <c r="BG80" s="609">
        <f t="shared" si="24"/>
        <v>0</v>
      </c>
      <c r="BH80" s="610"/>
      <c r="BI80" s="1977"/>
      <c r="BK80"/>
      <c r="BL80" s="2">
        <v>0</v>
      </c>
    </row>
    <row r="81" spans="2:64" s="2" customFormat="1" ht="12" customHeight="1" x14ac:dyDescent="0.3">
      <c r="C81" s="1382"/>
      <c r="D81" s="467"/>
      <c r="E81" s="490"/>
      <c r="F81" s="605"/>
      <c r="G81" s="605"/>
      <c r="H81" s="605"/>
      <c r="I81" s="605"/>
      <c r="J81" s="605"/>
      <c r="K81" s="605"/>
      <c r="L81" s="605"/>
      <c r="M81" s="605"/>
      <c r="N81" s="605"/>
      <c r="O81" s="605"/>
      <c r="P81" s="605"/>
      <c r="Q81" s="605"/>
      <c r="R81" s="605"/>
      <c r="S81" s="605"/>
      <c r="T81" s="605"/>
      <c r="U81" s="605"/>
      <c r="V81" s="605"/>
      <c r="W81" s="605"/>
      <c r="X81" s="605"/>
      <c r="Y81" s="605"/>
      <c r="Z81" s="605"/>
      <c r="AA81" s="605"/>
      <c r="AB81" s="605"/>
      <c r="AC81" s="605"/>
      <c r="AD81" s="605"/>
      <c r="AE81" s="605"/>
      <c r="AF81" s="605"/>
      <c r="AG81" s="605"/>
      <c r="AH81" s="605"/>
      <c r="AI81" s="605"/>
      <c r="AJ81" s="605"/>
      <c r="AK81" s="605"/>
      <c r="AL81" s="605"/>
      <c r="AM81" s="605"/>
      <c r="AN81" s="605"/>
      <c r="AO81" s="605"/>
      <c r="AP81" s="605"/>
      <c r="AQ81" s="605"/>
      <c r="AR81" s="605"/>
      <c r="AS81" s="605"/>
      <c r="AT81" s="605"/>
      <c r="AU81" s="605"/>
      <c r="AV81" s="605"/>
      <c r="AW81" s="605"/>
      <c r="AX81" s="605"/>
      <c r="AY81" s="605"/>
      <c r="AZ81" s="605"/>
      <c r="BA81" s="605"/>
      <c r="BB81" s="605"/>
      <c r="BC81" s="605"/>
      <c r="BD81" s="605"/>
      <c r="BE81" s="605"/>
      <c r="BF81" s="605"/>
      <c r="BG81" s="605"/>
      <c r="BH81" s="610"/>
      <c r="BK81"/>
    </row>
    <row r="82" spans="2:64" x14ac:dyDescent="0.3">
      <c r="B82" s="498" t="s">
        <v>288</v>
      </c>
      <c r="C82" s="1264" t="s">
        <v>1386</v>
      </c>
      <c r="E82" s="499"/>
      <c r="F82" s="555"/>
      <c r="G82" s="612"/>
      <c r="H82" s="612"/>
      <c r="I82" s="612"/>
      <c r="J82" s="612"/>
      <c r="K82" s="612"/>
      <c r="L82" s="612"/>
      <c r="M82" s="612"/>
      <c r="N82" s="612"/>
      <c r="O82" s="612"/>
      <c r="P82" s="612"/>
      <c r="Q82" s="503"/>
      <c r="R82" s="612"/>
      <c r="S82" s="612"/>
      <c r="T82" s="612"/>
      <c r="U82" s="612"/>
      <c r="V82" s="612"/>
      <c r="W82" s="612"/>
      <c r="X82" s="1690">
        <f>-SUM('BG '!K176,'BG '!K197,'BG '!K202)/1000000</f>
        <v>1266.2503959999999</v>
      </c>
      <c r="Y82" s="612"/>
      <c r="Z82" s="612">
        <f>(127.682725-(33.749288+127.682725)+19.533101+5.71425100000001)*0</f>
        <v>0</v>
      </c>
      <c r="AA82" s="612"/>
      <c r="AB82" s="612"/>
      <c r="AC82" s="612"/>
      <c r="AD82" s="612"/>
      <c r="AE82" s="612"/>
      <c r="AF82" s="612"/>
      <c r="AG82" s="612"/>
      <c r="AH82" s="612"/>
      <c r="AI82" s="612"/>
      <c r="AJ82" s="612"/>
      <c r="AK82" s="612"/>
      <c r="AL82" s="612"/>
      <c r="AM82" s="612"/>
      <c r="AN82" s="612"/>
      <c r="AO82" s="612"/>
      <c r="AP82" s="612"/>
      <c r="AQ82" s="612"/>
      <c r="AR82" s="612"/>
      <c r="AS82" s="612"/>
      <c r="AT82" s="612"/>
      <c r="AU82" s="612"/>
      <c r="AV82" s="612"/>
      <c r="AW82" s="612"/>
      <c r="AX82" s="612"/>
      <c r="AY82" s="612"/>
      <c r="AZ82" s="612"/>
      <c r="BA82" s="612"/>
      <c r="BB82" s="612"/>
      <c r="BC82" s="612"/>
      <c r="BD82" s="612"/>
      <c r="BE82" s="612"/>
      <c r="BF82" s="555"/>
      <c r="BG82" s="616">
        <f t="shared" ref="BG82:BG100" si="25">+SUM(E82:BE82)</f>
        <v>1266.2503959999999</v>
      </c>
      <c r="BH82" s="590"/>
      <c r="BL82" s="72">
        <v>8.5019360000000006</v>
      </c>
    </row>
    <row r="83" spans="2:64" x14ac:dyDescent="0.3">
      <c r="B83" s="498" t="s">
        <v>219</v>
      </c>
      <c r="C83" s="1264" t="s">
        <v>1387</v>
      </c>
      <c r="E83" s="499"/>
      <c r="F83" s="555"/>
      <c r="G83" s="612"/>
      <c r="H83" s="612"/>
      <c r="I83" s="612"/>
      <c r="J83" s="612"/>
      <c r="K83" s="612"/>
      <c r="L83" s="612"/>
      <c r="M83" s="612"/>
      <c r="N83" s="612"/>
      <c r="O83" s="612"/>
      <c r="P83" s="612"/>
      <c r="Q83" s="503"/>
      <c r="R83" s="612"/>
      <c r="S83" s="612"/>
      <c r="T83" s="612"/>
      <c r="U83" s="612"/>
      <c r="V83" s="612"/>
      <c r="W83" s="612"/>
      <c r="X83" s="1688">
        <f>-SUM('BG '!K116:K164)/1000000</f>
        <v>40919.405808000003</v>
      </c>
      <c r="Y83" s="612"/>
      <c r="Z83" s="612">
        <f>(-5404)*0</f>
        <v>0</v>
      </c>
      <c r="AA83" s="612"/>
      <c r="AB83" s="612"/>
      <c r="AC83" s="612"/>
      <c r="AD83" s="612"/>
      <c r="AE83" s="612"/>
      <c r="AF83" s="612"/>
      <c r="AG83" s="612"/>
      <c r="AH83" s="612"/>
      <c r="AI83" s="612"/>
      <c r="AJ83" s="612"/>
      <c r="AK83" s="612"/>
      <c r="AL83" s="612"/>
      <c r="AM83" s="612"/>
      <c r="AN83" s="612"/>
      <c r="AO83" s="612"/>
      <c r="AP83" s="612"/>
      <c r="AQ83" s="612"/>
      <c r="AR83" s="612"/>
      <c r="AS83" s="612"/>
      <c r="AT83" s="612"/>
      <c r="AU83" s="612"/>
      <c r="AV83" s="612"/>
      <c r="AW83" s="612"/>
      <c r="AX83" s="612"/>
      <c r="AY83" s="612"/>
      <c r="AZ83" s="612"/>
      <c r="BA83" s="612"/>
      <c r="BB83" s="613">
        <f>-SUM('BG '!H270:I270)/10^6*0</f>
        <v>0</v>
      </c>
      <c r="BC83" s="633"/>
      <c r="BD83" s="612"/>
      <c r="BE83" s="612"/>
      <c r="BF83" s="555"/>
      <c r="BG83" s="616">
        <f t="shared" si="25"/>
        <v>40919.405808000003</v>
      </c>
      <c r="BH83" s="616">
        <v>82256.765018999999</v>
      </c>
      <c r="BL83" s="72">
        <v>46331.339301</v>
      </c>
    </row>
    <row r="84" spans="2:64" x14ac:dyDescent="0.3">
      <c r="B84" s="498" t="s">
        <v>294</v>
      </c>
      <c r="C84" s="1264" t="s">
        <v>1388</v>
      </c>
      <c r="E84" s="499"/>
      <c r="F84" s="555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503"/>
      <c r="R84" s="612"/>
      <c r="S84" s="612"/>
      <c r="T84" s="612"/>
      <c r="U84" s="612"/>
      <c r="V84" s="612"/>
      <c r="W84" s="612"/>
      <c r="X84" s="1431">
        <f>-SUM('BG '!K203,'BG '!K204,'BG '!K205,'BG '!K206,'BG '!K207)/1000000</f>
        <v>1063.9224220000001</v>
      </c>
      <c r="Y84" s="612"/>
      <c r="Z84" s="612">
        <f>39.1309990000008*0</f>
        <v>0</v>
      </c>
      <c r="AA84" s="612"/>
      <c r="AB84" s="612"/>
      <c r="AC84" s="612"/>
      <c r="AD84" s="612"/>
      <c r="AE84" s="612"/>
      <c r="AF84" s="612"/>
      <c r="AG84" s="612"/>
      <c r="AH84" s="612"/>
      <c r="AI84" s="612"/>
      <c r="AJ84" s="612"/>
      <c r="AK84" s="612"/>
      <c r="AL84" s="612"/>
      <c r="AM84" s="612"/>
      <c r="AN84" s="612"/>
      <c r="AO84" s="612"/>
      <c r="AP84" s="612"/>
      <c r="AQ84" s="612"/>
      <c r="AR84" s="612"/>
      <c r="AS84" s="612"/>
      <c r="AT84" s="612"/>
      <c r="AU84" s="612"/>
      <c r="AV84" s="612"/>
      <c r="AW84" s="612"/>
      <c r="AX84" s="612"/>
      <c r="AY84" s="612"/>
      <c r="AZ84" s="612"/>
      <c r="BA84" s="612"/>
      <c r="BB84" s="612"/>
      <c r="BC84" s="612"/>
      <c r="BD84" s="612"/>
      <c r="BE84" s="612"/>
      <c r="BF84" s="555"/>
      <c r="BG84" s="616">
        <f t="shared" si="25"/>
        <v>1063.9224220000001</v>
      </c>
      <c r="BH84" s="590"/>
      <c r="BL84" s="72">
        <v>1298.5605069999999</v>
      </c>
    </row>
    <row r="85" spans="2:64" x14ac:dyDescent="0.3">
      <c r="B85" s="498" t="s">
        <v>298</v>
      </c>
      <c r="C85" s="1264" t="s">
        <v>1389</v>
      </c>
      <c r="E85" s="499"/>
      <c r="F85" s="555"/>
      <c r="G85" s="612"/>
      <c r="H85" s="612"/>
      <c r="I85" s="612"/>
      <c r="J85" s="612"/>
      <c r="K85" s="612"/>
      <c r="L85" s="612"/>
      <c r="M85" s="612"/>
      <c r="N85" s="612"/>
      <c r="O85" s="612"/>
      <c r="P85" s="612"/>
      <c r="Q85" s="503"/>
      <c r="R85" s="612"/>
      <c r="S85" s="612"/>
      <c r="T85" s="612"/>
      <c r="U85" s="612"/>
      <c r="V85" s="612"/>
      <c r="W85" s="612"/>
      <c r="X85" s="1431">
        <f>-SUM('BG '!K210,'BG '!K208,'BG '!K209)/1000000</f>
        <v>342.62655899999999</v>
      </c>
      <c r="Y85" s="612"/>
      <c r="Z85" s="612"/>
      <c r="AA85" s="612"/>
      <c r="AB85" s="612"/>
      <c r="AC85" s="612"/>
      <c r="AD85" s="612"/>
      <c r="AE85" s="612"/>
      <c r="AF85" s="612"/>
      <c r="AG85" s="612"/>
      <c r="AH85" s="612"/>
      <c r="AI85" s="612"/>
      <c r="AJ85" s="612"/>
      <c r="AK85" s="612"/>
      <c r="AL85" s="612"/>
      <c r="AM85" s="612"/>
      <c r="AN85" s="612"/>
      <c r="AO85" s="612"/>
      <c r="AP85" s="612"/>
      <c r="AQ85" s="612"/>
      <c r="AR85" s="612"/>
      <c r="AS85" s="612"/>
      <c r="AT85" s="612"/>
      <c r="AU85" s="612"/>
      <c r="AV85" s="612"/>
      <c r="AW85" s="612"/>
      <c r="AX85" s="612"/>
      <c r="AY85" s="612"/>
      <c r="AZ85" s="612"/>
      <c r="BA85" s="612"/>
      <c r="BB85" s="612"/>
      <c r="BC85" s="612"/>
      <c r="BD85" s="612"/>
      <c r="BE85" s="530"/>
      <c r="BF85" s="555"/>
      <c r="BG85" s="616">
        <f t="shared" si="25"/>
        <v>342.62655899999999</v>
      </c>
      <c r="BH85" s="590"/>
      <c r="BL85" s="72">
        <v>391.04952600000001</v>
      </c>
    </row>
    <row r="86" spans="2:64" x14ac:dyDescent="0.3">
      <c r="B86" s="498" t="s">
        <v>306</v>
      </c>
      <c r="C86" s="1264" t="s">
        <v>1390</v>
      </c>
      <c r="E86" s="499"/>
      <c r="F86" s="555"/>
      <c r="G86" s="612"/>
      <c r="H86" s="612"/>
      <c r="I86" s="612"/>
      <c r="J86" s="612"/>
      <c r="K86" s="612"/>
      <c r="L86" s="612"/>
      <c r="M86" s="612"/>
      <c r="N86" s="612"/>
      <c r="O86" s="612"/>
      <c r="P86" s="612"/>
      <c r="Q86" s="503"/>
      <c r="R86" s="612"/>
      <c r="S86" s="612"/>
      <c r="T86" s="612"/>
      <c r="U86" s="612"/>
      <c r="V86" s="612"/>
      <c r="W86" s="612"/>
      <c r="X86" s="1431">
        <f>-SUM('BG '!K214:K217)/1000000</f>
        <v>2307.4653250000001</v>
      </c>
      <c r="Y86" s="612"/>
      <c r="Z86" s="612"/>
      <c r="AA86" s="612"/>
      <c r="AB86" s="612"/>
      <c r="AC86" s="612"/>
      <c r="AD86" s="612"/>
      <c r="AE86" s="612"/>
      <c r="AF86" s="612"/>
      <c r="AG86" s="612"/>
      <c r="AH86" s="612"/>
      <c r="AI86" s="612"/>
      <c r="AJ86" s="612"/>
      <c r="AK86" s="612"/>
      <c r="AL86" s="612"/>
      <c r="AM86" s="612"/>
      <c r="AN86" s="612"/>
      <c r="AO86" s="612"/>
      <c r="AP86" s="612"/>
      <c r="AQ86" s="612"/>
      <c r="AR86" s="612"/>
      <c r="AS86" s="612"/>
      <c r="AT86" s="612"/>
      <c r="AU86" s="612"/>
      <c r="AV86" s="612"/>
      <c r="AW86" s="612"/>
      <c r="AX86" s="612"/>
      <c r="AY86" s="612"/>
      <c r="AZ86" s="612"/>
      <c r="BA86" s="612"/>
      <c r="BB86" s="612"/>
      <c r="BC86" s="612"/>
      <c r="BD86" s="612"/>
      <c r="BE86" s="612"/>
      <c r="BF86" s="555"/>
      <c r="BG86" s="616">
        <f t="shared" si="25"/>
        <v>2307.4653250000001</v>
      </c>
      <c r="BH86" s="590"/>
      <c r="BL86" s="72">
        <v>1115.8719160000001</v>
      </c>
    </row>
    <row r="87" spans="2:64" x14ac:dyDescent="0.3">
      <c r="B87" s="498" t="s">
        <v>310</v>
      </c>
      <c r="C87" s="1264" t="s">
        <v>1391</v>
      </c>
      <c r="E87" s="499"/>
      <c r="F87" s="555"/>
      <c r="G87" s="612"/>
      <c r="H87" s="612"/>
      <c r="I87" s="612"/>
      <c r="J87" s="612"/>
      <c r="K87" s="612"/>
      <c r="L87" s="612"/>
      <c r="M87" s="612"/>
      <c r="N87" s="612"/>
      <c r="O87" s="612"/>
      <c r="P87" s="612"/>
      <c r="Q87" s="503"/>
      <c r="R87" s="612"/>
      <c r="S87" s="612"/>
      <c r="T87" s="612"/>
      <c r="U87" s="612"/>
      <c r="V87" s="612"/>
      <c r="W87" s="612"/>
      <c r="X87" s="1431">
        <f>-SUM('BG '!$K$212,'BG '!$K$211,'BG '!$K$222,'BG '!$K$223,'BG '!$K$225,'BG '!$K$227,'BG '!$K$228,'BG '!$K$229,'BG '!$K$230,'BG '!$K$231)/1000000</f>
        <v>2997.851228</v>
      </c>
      <c r="Y87" s="612"/>
      <c r="Z87" s="612"/>
      <c r="AA87" s="612"/>
      <c r="AB87" s="612"/>
      <c r="AC87" s="612"/>
      <c r="AD87" s="612"/>
      <c r="AE87" s="612"/>
      <c r="AF87" s="612"/>
      <c r="AG87" s="612"/>
      <c r="AH87" s="612"/>
      <c r="AI87" s="612"/>
      <c r="AJ87" s="612"/>
      <c r="AK87" s="612"/>
      <c r="AL87" s="612"/>
      <c r="AM87" s="612"/>
      <c r="AN87" s="612"/>
      <c r="AO87" s="612"/>
      <c r="AP87" s="612"/>
      <c r="AQ87" s="612"/>
      <c r="AR87" s="612"/>
      <c r="AS87" s="612"/>
      <c r="AT87" s="612"/>
      <c r="AU87" s="612"/>
      <c r="AV87" s="612"/>
      <c r="AW87" s="612"/>
      <c r="AX87" s="612"/>
      <c r="AY87" s="612"/>
      <c r="AZ87" s="612"/>
      <c r="BA87" s="612"/>
      <c r="BB87" s="612"/>
      <c r="BC87" s="612"/>
      <c r="BD87" s="612"/>
      <c r="BE87" s="612"/>
      <c r="BF87" s="555"/>
      <c r="BG87" s="616">
        <f t="shared" si="25"/>
        <v>2997.851228</v>
      </c>
      <c r="BH87" s="616">
        <v>1858.831379</v>
      </c>
      <c r="BL87" s="72">
        <v>1718.7473769999999</v>
      </c>
    </row>
    <row r="88" spans="2:64" x14ac:dyDescent="0.3">
      <c r="B88" s="498" t="s">
        <v>1392</v>
      </c>
      <c r="C88" s="1264" t="s">
        <v>1393</v>
      </c>
      <c r="E88" s="499"/>
      <c r="F88" s="555"/>
      <c r="G88" s="612"/>
      <c r="H88" s="612"/>
      <c r="I88" s="612"/>
      <c r="J88" s="612"/>
      <c r="K88" s="612"/>
      <c r="L88" s="612"/>
      <c r="M88" s="612"/>
      <c r="N88" s="612"/>
      <c r="O88" s="612"/>
      <c r="P88" s="612"/>
      <c r="Q88" s="503"/>
      <c r="R88" s="612"/>
      <c r="S88" s="612"/>
      <c r="T88" s="612"/>
      <c r="U88" s="612"/>
      <c r="V88" s="612"/>
      <c r="W88" s="612"/>
      <c r="X88" s="612"/>
      <c r="Y88" s="612"/>
      <c r="Z88" s="612">
        <f>(-6918.1479695*0-7079.14449*0-7256.088082*0-9618.229671*0-10868.3*0-9654.789301*0-8626.871441)*0</f>
        <v>0</v>
      </c>
      <c r="AA88" s="612"/>
      <c r="AB88" s="612"/>
      <c r="AC88" s="612"/>
      <c r="AD88" s="612"/>
      <c r="AE88" s="612"/>
      <c r="AF88" s="612"/>
      <c r="AG88" s="612"/>
      <c r="AH88" s="612"/>
      <c r="AI88" s="612"/>
      <c r="AJ88" s="612"/>
      <c r="AK88" s="612"/>
      <c r="AL88" s="612"/>
      <c r="AM88" s="612"/>
      <c r="AN88" s="612"/>
      <c r="AO88" s="612"/>
      <c r="AP88" s="612"/>
      <c r="AQ88" s="612"/>
      <c r="AR88" s="612"/>
      <c r="AS88" s="612"/>
      <c r="AT88" s="612"/>
      <c r="AU88" s="612"/>
      <c r="AV88" s="612"/>
      <c r="AW88" s="612"/>
      <c r="AX88" s="612"/>
      <c r="AY88" s="612"/>
      <c r="AZ88" s="612"/>
      <c r="BA88" s="612"/>
      <c r="BB88" s="612"/>
      <c r="BC88" s="612"/>
      <c r="BD88" s="612"/>
      <c r="BE88" s="612"/>
      <c r="BF88" s="555"/>
      <c r="BG88" s="1320">
        <f t="shared" si="25"/>
        <v>0</v>
      </c>
      <c r="BH88" s="590">
        <v>7256.0880820000002</v>
      </c>
      <c r="BI88" s="72">
        <v>1356.4646710000006</v>
      </c>
      <c r="BJ88" s="555"/>
      <c r="BL88" s="72">
        <v>0</v>
      </c>
    </row>
    <row r="89" spans="2:64" x14ac:dyDescent="0.3">
      <c r="B89" s="498" t="s">
        <v>1394</v>
      </c>
      <c r="C89" s="1264" t="s">
        <v>1395</v>
      </c>
      <c r="E89" s="499"/>
      <c r="F89" s="555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503"/>
      <c r="R89" s="612"/>
      <c r="S89" s="612"/>
      <c r="T89" s="612"/>
      <c r="U89" s="612"/>
      <c r="V89" s="612"/>
      <c r="W89" s="612"/>
      <c r="X89" s="612"/>
      <c r="Y89" s="612"/>
      <c r="Z89" s="612"/>
      <c r="AA89" s="612"/>
      <c r="AB89" s="612"/>
      <c r="AC89" s="612"/>
      <c r="AD89" s="612"/>
      <c r="AE89" s="612"/>
      <c r="AF89" s="612"/>
      <c r="AG89" s="612"/>
      <c r="AH89" s="612"/>
      <c r="AI89" s="612"/>
      <c r="AJ89" s="612"/>
      <c r="AK89" s="612"/>
      <c r="AL89" s="612"/>
      <c r="AM89" s="612"/>
      <c r="AN89" s="612"/>
      <c r="AO89" s="612"/>
      <c r="AP89" s="612"/>
      <c r="AQ89" s="612"/>
      <c r="AR89" s="612"/>
      <c r="AS89" s="612"/>
      <c r="AT89" s="612"/>
      <c r="AU89" s="612"/>
      <c r="AV89" s="612"/>
      <c r="AW89" s="612"/>
      <c r="AX89" s="612"/>
      <c r="AY89" s="612"/>
      <c r="AZ89" s="612"/>
      <c r="BA89" s="612"/>
      <c r="BB89" s="612"/>
      <c r="BC89" s="612"/>
      <c r="BD89" s="612"/>
      <c r="BE89" s="612"/>
      <c r="BF89" s="555"/>
      <c r="BG89" s="616">
        <f t="shared" si="25"/>
        <v>0</v>
      </c>
      <c r="BH89" s="590"/>
      <c r="BL89" s="72">
        <v>0</v>
      </c>
    </row>
    <row r="90" spans="2:64" x14ac:dyDescent="0.3">
      <c r="B90" s="498" t="s">
        <v>1396</v>
      </c>
      <c r="C90" s="1264" t="s">
        <v>1397</v>
      </c>
      <c r="E90" s="499"/>
      <c r="F90" s="555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503"/>
      <c r="R90" s="612"/>
      <c r="S90" s="612"/>
      <c r="T90" s="612"/>
      <c r="U90" s="612"/>
      <c r="V90" s="612"/>
      <c r="W90" s="612"/>
      <c r="X90" s="612"/>
      <c r="Y90" s="612"/>
      <c r="Z90" s="612"/>
      <c r="AA90" s="612"/>
      <c r="AB90" s="612"/>
      <c r="AC90" s="612"/>
      <c r="AD90" s="612"/>
      <c r="AE90" s="612"/>
      <c r="AF90" s="612"/>
      <c r="AG90" s="612"/>
      <c r="AH90" s="612"/>
      <c r="AI90" s="612"/>
      <c r="AJ90" s="612"/>
      <c r="AK90" s="612"/>
      <c r="AL90" s="612"/>
      <c r="AM90" s="612"/>
      <c r="AN90" s="612"/>
      <c r="AO90" s="612"/>
      <c r="AP90" s="612"/>
      <c r="AQ90" s="612"/>
      <c r="AR90" s="612"/>
      <c r="AS90" s="612"/>
      <c r="AT90" s="612"/>
      <c r="AU90" s="612"/>
      <c r="AV90" s="612"/>
      <c r="AW90" s="612"/>
      <c r="AX90" s="612"/>
      <c r="AY90" s="612"/>
      <c r="AZ90" s="612"/>
      <c r="BA90" s="612"/>
      <c r="BB90" s="612"/>
      <c r="BC90" s="612"/>
      <c r="BD90" s="612"/>
      <c r="BE90" s="612"/>
      <c r="BF90" s="555"/>
      <c r="BG90" s="616">
        <f t="shared" si="25"/>
        <v>0</v>
      </c>
      <c r="BH90" s="590"/>
      <c r="BL90" s="72">
        <v>0</v>
      </c>
    </row>
    <row r="91" spans="2:64" x14ac:dyDescent="0.3">
      <c r="B91" s="498" t="s">
        <v>1398</v>
      </c>
      <c r="C91" s="1264" t="s">
        <v>1399</v>
      </c>
      <c r="E91" s="499"/>
      <c r="F91" s="555"/>
      <c r="G91" s="612"/>
      <c r="H91" s="612"/>
      <c r="I91" s="612"/>
      <c r="J91" s="612"/>
      <c r="K91" s="612"/>
      <c r="L91" s="612"/>
      <c r="M91" s="612"/>
      <c r="N91" s="612"/>
      <c r="O91" s="612"/>
      <c r="P91" s="612"/>
      <c r="Q91" s="503"/>
      <c r="R91" s="612"/>
      <c r="S91" s="612"/>
      <c r="T91" s="612"/>
      <c r="U91" s="612"/>
      <c r="V91" s="612"/>
      <c r="W91" s="612"/>
      <c r="X91" s="612"/>
      <c r="Y91" s="612"/>
      <c r="Z91" s="612"/>
      <c r="AA91" s="612"/>
      <c r="AB91" s="612"/>
      <c r="AC91" s="612"/>
      <c r="AD91" s="612"/>
      <c r="AE91" s="612"/>
      <c r="AF91" s="612"/>
      <c r="AG91" s="612"/>
      <c r="AH91" s="612"/>
      <c r="AI91" s="612"/>
      <c r="AJ91" s="612"/>
      <c r="AK91" s="612"/>
      <c r="AL91" s="612"/>
      <c r="AM91" s="612"/>
      <c r="AN91" s="612"/>
      <c r="AO91" s="612"/>
      <c r="AP91" s="612"/>
      <c r="AQ91" s="612"/>
      <c r="AR91" s="612"/>
      <c r="AS91" s="612"/>
      <c r="AT91" s="612"/>
      <c r="AU91" s="612"/>
      <c r="AV91" s="612"/>
      <c r="AW91" s="612"/>
      <c r="AX91" s="612"/>
      <c r="AY91" s="612"/>
      <c r="AZ91" s="612"/>
      <c r="BA91" s="612"/>
      <c r="BB91" s="612"/>
      <c r="BC91" s="612"/>
      <c r="BD91" s="612"/>
      <c r="BE91" s="612"/>
      <c r="BF91" s="555"/>
      <c r="BG91" s="616">
        <f t="shared" si="25"/>
        <v>0</v>
      </c>
      <c r="BH91" s="590"/>
      <c r="BL91" s="72">
        <v>0</v>
      </c>
    </row>
    <row r="92" spans="2:64" x14ac:dyDescent="0.3">
      <c r="B92" s="498" t="s">
        <v>1400</v>
      </c>
      <c r="C92" s="1264" t="s">
        <v>1401</v>
      </c>
      <c r="E92" s="499"/>
      <c r="F92" s="555"/>
      <c r="G92" s="612"/>
      <c r="H92" s="612"/>
      <c r="I92" s="612"/>
      <c r="J92" s="612"/>
      <c r="K92" s="612"/>
      <c r="L92" s="612"/>
      <c r="M92" s="612"/>
      <c r="N92" s="612"/>
      <c r="O92" s="612"/>
      <c r="P92" s="612"/>
      <c r="Q92" s="503"/>
      <c r="R92" s="612"/>
      <c r="S92" s="612"/>
      <c r="T92" s="612"/>
      <c r="U92" s="612"/>
      <c r="V92" s="612"/>
      <c r="W92" s="612"/>
      <c r="X92" s="612"/>
      <c r="Y92" s="612"/>
      <c r="Z92" s="612"/>
      <c r="AA92" s="612"/>
      <c r="AB92" s="612"/>
      <c r="AC92" s="612"/>
      <c r="AD92" s="612"/>
      <c r="AE92" s="612"/>
      <c r="AF92" s="612"/>
      <c r="AG92" s="612"/>
      <c r="AH92" s="612"/>
      <c r="AI92" s="612"/>
      <c r="AJ92" s="612"/>
      <c r="AK92" s="612"/>
      <c r="AL92" s="612"/>
      <c r="AM92" s="612"/>
      <c r="AN92" s="612"/>
      <c r="AO92" s="612"/>
      <c r="AP92" s="612"/>
      <c r="AQ92" s="612"/>
      <c r="AR92" s="612"/>
      <c r="AS92" s="612"/>
      <c r="AT92" s="612"/>
      <c r="AU92" s="612"/>
      <c r="AV92" s="612"/>
      <c r="AW92" s="612"/>
      <c r="AX92" s="612"/>
      <c r="AY92" s="612"/>
      <c r="AZ92" s="612"/>
      <c r="BA92" s="612"/>
      <c r="BB92" s="612"/>
      <c r="BC92" s="612"/>
      <c r="BD92" s="612"/>
      <c r="BE92" s="612"/>
      <c r="BF92" s="555"/>
      <c r="BG92" s="616">
        <f t="shared" si="25"/>
        <v>0</v>
      </c>
      <c r="BH92" s="590"/>
      <c r="BL92" s="72">
        <v>0</v>
      </c>
    </row>
    <row r="93" spans="2:64" x14ac:dyDescent="0.3">
      <c r="B93" s="498" t="s">
        <v>1402</v>
      </c>
      <c r="C93" s="1264" t="s">
        <v>1403</v>
      </c>
      <c r="E93" s="499"/>
      <c r="F93" s="555"/>
      <c r="G93" s="612"/>
      <c r="H93" s="612"/>
      <c r="I93" s="612"/>
      <c r="J93" s="612"/>
      <c r="K93" s="612"/>
      <c r="L93" s="612"/>
      <c r="M93" s="612"/>
      <c r="N93" s="612"/>
      <c r="O93" s="612"/>
      <c r="P93" s="612"/>
      <c r="Q93" s="503"/>
      <c r="R93" s="612"/>
      <c r="S93" s="612"/>
      <c r="T93" s="612"/>
      <c r="U93" s="612"/>
      <c r="V93" s="612"/>
      <c r="W93" s="612"/>
      <c r="X93" s="612"/>
      <c r="Y93" s="612"/>
      <c r="Z93" s="612"/>
      <c r="AA93" s="612"/>
      <c r="AB93" s="612"/>
      <c r="AC93" s="612"/>
      <c r="AD93" s="612"/>
      <c r="AE93" s="612"/>
      <c r="AF93" s="612"/>
      <c r="AG93" s="612"/>
      <c r="AH93" s="612"/>
      <c r="AI93" s="612"/>
      <c r="AJ93" s="612"/>
      <c r="AK93" s="612"/>
      <c r="AL93" s="612"/>
      <c r="AM93" s="612"/>
      <c r="AN93" s="612"/>
      <c r="AO93" s="612"/>
      <c r="AP93" s="612"/>
      <c r="AQ93" s="612"/>
      <c r="AR93" s="612"/>
      <c r="AS93" s="612"/>
      <c r="AT93" s="612"/>
      <c r="AU93" s="612"/>
      <c r="AV93" s="612"/>
      <c r="AW93" s="612"/>
      <c r="AX93" s="612"/>
      <c r="AY93" s="612"/>
      <c r="AZ93" s="612"/>
      <c r="BA93" s="612"/>
      <c r="BB93" s="612"/>
      <c r="BC93" s="612"/>
      <c r="BD93" s="612"/>
      <c r="BE93" s="612"/>
      <c r="BF93" s="555"/>
      <c r="BG93" s="616">
        <f t="shared" si="25"/>
        <v>0</v>
      </c>
      <c r="BH93" s="590"/>
      <c r="BL93" s="72">
        <v>0</v>
      </c>
    </row>
    <row r="94" spans="2:64" x14ac:dyDescent="0.3">
      <c r="B94" s="498" t="s">
        <v>366</v>
      </c>
      <c r="C94" s="1264" t="s">
        <v>1404</v>
      </c>
      <c r="E94" s="499"/>
      <c r="F94" s="555"/>
      <c r="G94" s="612"/>
      <c r="H94" s="612"/>
      <c r="I94" s="612"/>
      <c r="J94" s="612"/>
      <c r="K94" s="612"/>
      <c r="L94" s="612"/>
      <c r="M94" s="612"/>
      <c r="N94" s="612"/>
      <c r="O94" s="612"/>
      <c r="P94" s="612"/>
      <c r="Q94" s="503"/>
      <c r="R94" s="612"/>
      <c r="S94" s="612"/>
      <c r="T94" s="612"/>
      <c r="U94" s="612"/>
      <c r="V94" s="612"/>
      <c r="W94" s="612"/>
      <c r="X94" s="1682">
        <f>-SUM('BG '!K274,'BG '!K273,'BG '!K275,'BG '!K276,'BG '!K277,'BG '!K279,'BG '!K280,'BG '!K281,'BG '!K282,'BG '!K283)/1000000</f>
        <v>20173.765751999999</v>
      </c>
      <c r="Y94" s="612"/>
      <c r="Z94" s="612"/>
      <c r="AA94" s="612"/>
      <c r="AB94" s="612"/>
      <c r="AC94" s="612"/>
      <c r="AD94" s="612"/>
      <c r="AE94" s="612"/>
      <c r="AF94" s="612"/>
      <c r="AG94" s="612"/>
      <c r="AH94" s="612"/>
      <c r="AI94" s="612"/>
      <c r="AJ94" s="612"/>
      <c r="AK94" s="612"/>
      <c r="AL94" s="612"/>
      <c r="AM94" s="612"/>
      <c r="AN94" s="612"/>
      <c r="AO94" s="612"/>
      <c r="AP94" s="612"/>
      <c r="AQ94" s="612"/>
      <c r="AR94" s="612"/>
      <c r="AS94" s="612"/>
      <c r="AT94" s="612"/>
      <c r="AU94" s="612"/>
      <c r="AV94" s="612"/>
      <c r="AW94" s="612"/>
      <c r="AX94" s="612"/>
      <c r="AY94" s="612"/>
      <c r="AZ94" s="612"/>
      <c r="BA94" s="612"/>
      <c r="BB94" s="612"/>
      <c r="BC94" s="612"/>
      <c r="BD94" s="612"/>
      <c r="BE94" s="612"/>
      <c r="BF94" s="555"/>
      <c r="BG94" s="616">
        <f t="shared" si="25"/>
        <v>20173.765751999999</v>
      </c>
      <c r="BH94" s="590"/>
      <c r="BL94" s="72">
        <v>19908.608865999999</v>
      </c>
    </row>
    <row r="95" spans="2:64" x14ac:dyDescent="0.3">
      <c r="B95" s="498" t="s">
        <v>371</v>
      </c>
      <c r="C95" s="1264" t="s">
        <v>1405</v>
      </c>
      <c r="E95" s="499"/>
      <c r="F95" s="555"/>
      <c r="G95" s="612"/>
      <c r="H95" s="612"/>
      <c r="I95" s="612"/>
      <c r="J95" s="612"/>
      <c r="K95" s="612"/>
      <c r="L95" s="612"/>
      <c r="M95" s="612"/>
      <c r="N95" s="612"/>
      <c r="O95" s="612"/>
      <c r="P95" s="612"/>
      <c r="Q95" s="503"/>
      <c r="R95" s="612"/>
      <c r="S95" s="612"/>
      <c r="T95" s="612"/>
      <c r="U95" s="612"/>
      <c r="V95" s="612"/>
      <c r="W95" s="612"/>
      <c r="X95" s="612"/>
      <c r="Y95" s="612"/>
      <c r="Z95" s="612"/>
      <c r="AA95" s="612"/>
      <c r="AB95" s="612"/>
      <c r="AC95" s="612"/>
      <c r="AD95" s="612"/>
      <c r="AE95" s="612"/>
      <c r="AF95" s="612"/>
      <c r="AG95" s="612"/>
      <c r="AH95" s="612"/>
      <c r="AI95" s="612"/>
      <c r="AJ95" s="612"/>
      <c r="AK95" s="612"/>
      <c r="AL95" s="612"/>
      <c r="AM95" s="612"/>
      <c r="AN95" s="612"/>
      <c r="AO95" s="612"/>
      <c r="AP95" s="612"/>
      <c r="AQ95" s="612"/>
      <c r="AR95" s="612"/>
      <c r="AS95" s="612"/>
      <c r="AT95" s="612"/>
      <c r="AU95" s="612"/>
      <c r="AV95" s="612"/>
      <c r="AW95" s="612"/>
      <c r="AX95" s="612"/>
      <c r="AY95" s="612"/>
      <c r="AZ95" s="612"/>
      <c r="BA95" s="612"/>
      <c r="BB95" s="612"/>
      <c r="BC95" s="612"/>
      <c r="BD95" s="612"/>
      <c r="BE95" s="612"/>
      <c r="BF95" s="555"/>
      <c r="BG95" s="616">
        <f t="shared" si="25"/>
        <v>0</v>
      </c>
      <c r="BH95" s="590"/>
      <c r="BL95" s="72">
        <v>0</v>
      </c>
    </row>
    <row r="96" spans="2:64" x14ac:dyDescent="0.3">
      <c r="B96" s="498" t="s">
        <v>342</v>
      </c>
      <c r="C96" s="1264" t="s">
        <v>1406</v>
      </c>
      <c r="E96" s="499"/>
      <c r="F96" s="555"/>
      <c r="G96" s="612"/>
      <c r="H96" s="612"/>
      <c r="I96" s="612"/>
      <c r="J96" s="612"/>
      <c r="K96" s="612"/>
      <c r="L96" s="612"/>
      <c r="M96" s="612"/>
      <c r="N96" s="612"/>
      <c r="O96" s="612"/>
      <c r="P96" s="612"/>
      <c r="Q96" s="503"/>
      <c r="R96" s="612"/>
      <c r="S96" s="612"/>
      <c r="T96" s="612"/>
      <c r="U96" s="612"/>
      <c r="V96" s="612"/>
      <c r="W96" s="612"/>
      <c r="X96" s="1483">
        <f>-SUM('BG '!$K$237,'BG '!$I$238,'BG '!$K$239,'BG '!$K$240,'BG '!$K$243,'BG '!$K$247,'BG '!$K$248,'BG '!$K$252,'BG '!$K$253,'BG '!$K$254,'BG '!$K$259,'BG '!$K$267,'BG '!$K$268,'BG '!K256,'BG '!K266,'BG '!K265,'BG '!K257)/10^6</f>
        <v>9705.8965000000007</v>
      </c>
      <c r="Y96" s="612"/>
      <c r="Z96" s="612">
        <f>(7256.088082*0+9618.229671*0+10868.3*0+9654.789301*0+8626.871441)*0</f>
        <v>0</v>
      </c>
      <c r="AA96" s="612"/>
      <c r="AB96" s="612"/>
      <c r="AC96" s="612"/>
      <c r="AD96" s="612"/>
      <c r="AE96" s="612"/>
      <c r="AF96" s="612"/>
      <c r="AG96" s="612"/>
      <c r="AH96" s="612"/>
      <c r="AI96" s="612"/>
      <c r="AJ96" s="612"/>
      <c r="AK96" s="612"/>
      <c r="AL96" s="612"/>
      <c r="AM96" s="612"/>
      <c r="AN96" s="612"/>
      <c r="AO96" s="612"/>
      <c r="AP96" s="612"/>
      <c r="AQ96" s="612"/>
      <c r="AR96" s="612"/>
      <c r="AS96" s="612"/>
      <c r="AT96" s="612"/>
      <c r="AU96" s="612"/>
      <c r="AV96" s="612"/>
      <c r="AW96" s="612"/>
      <c r="AX96" s="612"/>
      <c r="AY96" s="612"/>
      <c r="AZ96" s="612"/>
      <c r="BA96" s="612"/>
      <c r="BB96" s="612"/>
      <c r="BC96" s="612"/>
      <c r="BD96" s="612"/>
      <c r="BE96" s="612"/>
      <c r="BF96" s="555"/>
      <c r="BG96" s="1320">
        <f t="shared" si="25"/>
        <v>9705.8965000000007</v>
      </c>
      <c r="BH96" s="590"/>
      <c r="BI96" s="72">
        <v>3103.0647650000001</v>
      </c>
      <c r="BL96" s="72">
        <v>9810.2605079999994</v>
      </c>
    </row>
    <row r="97" spans="2:64" x14ac:dyDescent="0.3">
      <c r="B97" s="498" t="s">
        <v>358</v>
      </c>
      <c r="C97" s="1264" t="s">
        <v>1407</v>
      </c>
      <c r="E97" s="499"/>
      <c r="F97" s="555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503"/>
      <c r="R97" s="612"/>
      <c r="S97" s="612"/>
      <c r="T97" s="612"/>
      <c r="U97" s="612"/>
      <c r="V97" s="612"/>
      <c r="W97" s="612"/>
      <c r="X97" s="612"/>
      <c r="Y97" s="612"/>
      <c r="Z97" s="612"/>
      <c r="AA97" s="612"/>
      <c r="AB97" s="612"/>
      <c r="AC97" s="612"/>
      <c r="AD97" s="612"/>
      <c r="AE97" s="612"/>
      <c r="AF97" s="612"/>
      <c r="AG97" s="612"/>
      <c r="AH97" s="612"/>
      <c r="AI97" s="612"/>
      <c r="AJ97" s="612"/>
      <c r="AK97" s="612"/>
      <c r="AL97" s="612"/>
      <c r="AM97" s="612"/>
      <c r="AN97" s="612"/>
      <c r="AO97" s="612"/>
      <c r="AP97" s="612"/>
      <c r="AQ97" s="612">
        <f>-[155]Feuil1!$G$17-104.425999-8.32064199999999</f>
        <v>-104.26795799999999</v>
      </c>
      <c r="AR97" s="612">
        <f>-AQ97-'Impacts_IFRS.16-09'!$L$71</f>
        <v>-2.1824810000000099</v>
      </c>
      <c r="AS97" s="612"/>
      <c r="AT97" s="612"/>
      <c r="AU97" s="612"/>
      <c r="AV97" s="612"/>
      <c r="AW97" s="612"/>
      <c r="AX97" s="612"/>
      <c r="AY97" s="612"/>
      <c r="AZ97" s="612"/>
      <c r="BA97" s="612"/>
      <c r="BB97" s="612"/>
      <c r="BC97" s="612"/>
      <c r="BD97" s="612"/>
      <c r="BE97" s="612"/>
      <c r="BF97" s="555"/>
      <c r="BG97" s="616">
        <f>+SUM(E97:BE97)</f>
        <v>-106.450439</v>
      </c>
      <c r="BH97" s="590"/>
      <c r="BJ97" s="555"/>
      <c r="BL97" s="72">
        <v>-92.771726999999998</v>
      </c>
    </row>
    <row r="98" spans="2:64" x14ac:dyDescent="0.3">
      <c r="B98" s="498" t="s">
        <v>1408</v>
      </c>
      <c r="C98" s="1264" t="s">
        <v>1409</v>
      </c>
      <c r="E98" s="499"/>
      <c r="F98" s="555"/>
      <c r="G98" s="612"/>
      <c r="H98" s="612"/>
      <c r="I98" s="612"/>
      <c r="J98" s="612"/>
      <c r="K98" s="612"/>
      <c r="L98" s="612"/>
      <c r="M98" s="612"/>
      <c r="N98" s="612"/>
      <c r="O98" s="612"/>
      <c r="P98" s="612"/>
      <c r="Q98" s="503"/>
      <c r="R98" s="612"/>
      <c r="S98" s="612"/>
      <c r="T98" s="612"/>
      <c r="U98" s="612"/>
      <c r="V98" s="612"/>
      <c r="W98" s="612"/>
      <c r="X98" s="612"/>
      <c r="Y98" s="612"/>
      <c r="Z98" s="612"/>
      <c r="AA98" s="612"/>
      <c r="AB98" s="612"/>
      <c r="AC98" s="612"/>
      <c r="AD98" s="612"/>
      <c r="AE98" s="612"/>
      <c r="AF98" s="612"/>
      <c r="AG98" s="612"/>
      <c r="AH98" s="612"/>
      <c r="AI98" s="612"/>
      <c r="AJ98" s="612"/>
      <c r="AK98" s="612"/>
      <c r="AL98" s="612"/>
      <c r="AM98" s="612"/>
      <c r="AN98" s="612"/>
      <c r="AO98" s="612"/>
      <c r="AP98" s="612"/>
      <c r="AQ98" s="612"/>
      <c r="AR98" s="612"/>
      <c r="AS98" s="612"/>
      <c r="AT98" s="612"/>
      <c r="AU98" s="612"/>
      <c r="AV98" s="612"/>
      <c r="AW98" s="612"/>
      <c r="AX98" s="612"/>
      <c r="AY98" s="612"/>
      <c r="AZ98" s="612"/>
      <c r="BA98" s="612"/>
      <c r="BB98" s="612"/>
      <c r="BC98" s="612"/>
      <c r="BD98" s="612"/>
      <c r="BE98" s="612"/>
      <c r="BF98" s="555"/>
      <c r="BG98" s="616">
        <f t="shared" si="25"/>
        <v>0</v>
      </c>
      <c r="BH98" s="590"/>
      <c r="BL98" s="72">
        <v>0</v>
      </c>
    </row>
    <row r="99" spans="2:64" x14ac:dyDescent="0.3">
      <c r="B99" s="498" t="s">
        <v>1410</v>
      </c>
      <c r="C99" s="1264" t="s">
        <v>1411</v>
      </c>
      <c r="E99" s="499"/>
      <c r="F99" s="555"/>
      <c r="G99" s="612"/>
      <c r="H99" s="612"/>
      <c r="I99" s="612"/>
      <c r="J99" s="612"/>
      <c r="K99" s="612"/>
      <c r="L99" s="612"/>
      <c r="M99" s="612"/>
      <c r="N99" s="612"/>
      <c r="O99" s="612"/>
      <c r="P99" s="612"/>
      <c r="Q99" s="503"/>
      <c r="R99" s="612"/>
      <c r="S99" s="612"/>
      <c r="T99" s="612"/>
      <c r="U99" s="612"/>
      <c r="V99" s="612"/>
      <c r="W99" s="612"/>
      <c r="X99" s="612"/>
      <c r="Y99" s="612"/>
      <c r="Z99" s="612"/>
      <c r="AA99" s="612"/>
      <c r="AB99" s="612"/>
      <c r="AC99" s="612"/>
      <c r="AD99" s="612"/>
      <c r="AE99" s="612"/>
      <c r="AF99" s="612"/>
      <c r="AG99" s="612"/>
      <c r="AH99" s="612"/>
      <c r="AI99" s="612"/>
      <c r="AJ99" s="612"/>
      <c r="AK99" s="612"/>
      <c r="AL99" s="612"/>
      <c r="AM99" s="612"/>
      <c r="AN99" s="612"/>
      <c r="AO99" s="612"/>
      <c r="AP99" s="612"/>
      <c r="AQ99" s="612"/>
      <c r="AR99" s="612"/>
      <c r="AS99" s="612"/>
      <c r="AT99" s="612"/>
      <c r="AU99" s="612"/>
      <c r="AV99" s="612"/>
      <c r="AW99" s="612"/>
      <c r="AX99" s="612"/>
      <c r="AY99" s="612"/>
      <c r="AZ99" s="612"/>
      <c r="BA99" s="612"/>
      <c r="BB99" s="612"/>
      <c r="BC99" s="612"/>
      <c r="BD99" s="612"/>
      <c r="BE99" s="612"/>
      <c r="BF99" s="555"/>
      <c r="BG99" s="616">
        <f t="shared" si="25"/>
        <v>0</v>
      </c>
      <c r="BH99" s="590"/>
      <c r="BL99" s="72">
        <v>0</v>
      </c>
    </row>
    <row r="100" spans="2:64" x14ac:dyDescent="0.3">
      <c r="B100" s="498" t="s">
        <v>1412</v>
      </c>
      <c r="C100" s="1264" t="s">
        <v>1413</v>
      </c>
      <c r="E100" s="499"/>
      <c r="F100" s="555"/>
      <c r="G100" s="612"/>
      <c r="H100" s="612"/>
      <c r="I100" s="612"/>
      <c r="J100" s="612"/>
      <c r="K100" s="612"/>
      <c r="L100" s="612"/>
      <c r="M100" s="612"/>
      <c r="N100" s="612"/>
      <c r="O100" s="612"/>
      <c r="P100" s="612"/>
      <c r="Q100" s="503"/>
      <c r="R100" s="612">
        <f>-SUM('BG '!K19:K20)/10^6</f>
        <v>328.541179</v>
      </c>
      <c r="S100" s="612"/>
      <c r="T100" s="612"/>
      <c r="U100" s="612"/>
      <c r="V100" s="612"/>
      <c r="W100" s="612"/>
      <c r="X100" s="1483">
        <f>-SUM('BG '!K255)/1000000</f>
        <v>24390.126796</v>
      </c>
      <c r="Y100" s="612"/>
      <c r="Z100" s="612">
        <f>-Z42</f>
        <v>0</v>
      </c>
      <c r="AA100" s="612"/>
      <c r="AB100" s="612"/>
      <c r="AC100" s="612"/>
      <c r="AD100" s="612"/>
      <c r="AE100" s="612"/>
      <c r="AF100" s="612"/>
      <c r="AG100" s="612"/>
      <c r="AH100" s="612"/>
      <c r="AI100" s="612"/>
      <c r="AJ100" s="612"/>
      <c r="AK100" s="612"/>
      <c r="AL100" s="612"/>
      <c r="AM100" s="612"/>
      <c r="AN100" s="612"/>
      <c r="AO100" s="612"/>
      <c r="AP100" s="612"/>
      <c r="AQ100" s="612"/>
      <c r="AR100" s="612"/>
      <c r="AS100" s="612"/>
      <c r="AT100" s="612"/>
      <c r="AU100" s="612"/>
      <c r="AV100" s="612"/>
      <c r="AW100" s="612"/>
      <c r="AX100" s="612"/>
      <c r="AY100" s="612"/>
      <c r="AZ100" s="612"/>
      <c r="BA100" s="612"/>
      <c r="BB100" s="612"/>
      <c r="BC100" s="612"/>
      <c r="BD100" s="612"/>
      <c r="BE100" s="612"/>
      <c r="BF100" s="555"/>
      <c r="BG100" s="616">
        <f t="shared" si="25"/>
        <v>24718.667975</v>
      </c>
      <c r="BH100" s="590"/>
      <c r="BL100" s="72">
        <v>23802.050123000001</v>
      </c>
    </row>
    <row r="101" spans="2:64" s="2" customFormat="1" ht="21.9" customHeight="1" thickBot="1" x14ac:dyDescent="0.35">
      <c r="B101" s="507" t="s">
        <v>1414</v>
      </c>
      <c r="C101" s="1388" t="s">
        <v>1415</v>
      </c>
      <c r="D101" s="467"/>
      <c r="E101" s="513"/>
      <c r="F101" s="605"/>
      <c r="G101" s="617">
        <f t="shared" ref="G101:P101" si="26">+SUM(G82:G100)</f>
        <v>0</v>
      </c>
      <c r="H101" s="617">
        <f t="shared" si="26"/>
        <v>0</v>
      </c>
      <c r="I101" s="617">
        <f t="shared" si="26"/>
        <v>0</v>
      </c>
      <c r="J101" s="617">
        <f t="shared" si="26"/>
        <v>0</v>
      </c>
      <c r="K101" s="617">
        <f t="shared" si="26"/>
        <v>0</v>
      </c>
      <c r="L101" s="617">
        <f t="shared" si="26"/>
        <v>0</v>
      </c>
      <c r="M101" s="617">
        <f t="shared" si="26"/>
        <v>0</v>
      </c>
      <c r="N101" s="617">
        <f t="shared" si="26"/>
        <v>0</v>
      </c>
      <c r="O101" s="617">
        <f t="shared" si="26"/>
        <v>0</v>
      </c>
      <c r="P101" s="617">
        <f t="shared" si="26"/>
        <v>0</v>
      </c>
      <c r="Q101" s="618">
        <f>+SUM(Q82:Q100)</f>
        <v>0</v>
      </c>
      <c r="R101" s="618">
        <f t="shared" ref="R101:BE101" si="27">+SUM(R82:R100)</f>
        <v>328.541179</v>
      </c>
      <c r="S101" s="618">
        <f t="shared" si="27"/>
        <v>0</v>
      </c>
      <c r="T101" s="618">
        <f t="shared" si="27"/>
        <v>0</v>
      </c>
      <c r="U101" s="618">
        <f t="shared" si="27"/>
        <v>0</v>
      </c>
      <c r="V101" s="618">
        <f t="shared" si="27"/>
        <v>0</v>
      </c>
      <c r="W101" s="618">
        <f t="shared" si="27"/>
        <v>0</v>
      </c>
      <c r="X101" s="618">
        <f>+SUM(X82:X100)</f>
        <v>103167.310786</v>
      </c>
      <c r="Y101" s="618">
        <f t="shared" si="27"/>
        <v>0</v>
      </c>
      <c r="Z101" s="618">
        <f t="shared" si="27"/>
        <v>0</v>
      </c>
      <c r="AA101" s="618">
        <f t="shared" si="27"/>
        <v>0</v>
      </c>
      <c r="AB101" s="618">
        <f t="shared" si="27"/>
        <v>0</v>
      </c>
      <c r="AC101" s="618">
        <f t="shared" si="27"/>
        <v>0</v>
      </c>
      <c r="AD101" s="618">
        <f t="shared" si="27"/>
        <v>0</v>
      </c>
      <c r="AE101" s="618">
        <f t="shared" si="27"/>
        <v>0</v>
      </c>
      <c r="AF101" s="618">
        <f t="shared" si="27"/>
        <v>0</v>
      </c>
      <c r="AG101" s="618">
        <f t="shared" si="27"/>
        <v>0</v>
      </c>
      <c r="AH101" s="618">
        <f t="shared" si="27"/>
        <v>0</v>
      </c>
      <c r="AI101" s="618">
        <f t="shared" si="27"/>
        <v>0</v>
      </c>
      <c r="AJ101" s="618">
        <f t="shared" si="27"/>
        <v>0</v>
      </c>
      <c r="AK101" s="618">
        <f t="shared" si="27"/>
        <v>0</v>
      </c>
      <c r="AL101" s="618">
        <f t="shared" si="27"/>
        <v>0</v>
      </c>
      <c r="AM101" s="618">
        <f t="shared" si="27"/>
        <v>0</v>
      </c>
      <c r="AN101" s="618">
        <f t="shared" si="27"/>
        <v>0</v>
      </c>
      <c r="AO101" s="618">
        <f t="shared" si="27"/>
        <v>0</v>
      </c>
      <c r="AP101" s="618">
        <f t="shared" si="27"/>
        <v>0</v>
      </c>
      <c r="AQ101" s="618">
        <f t="shared" si="27"/>
        <v>-104.26795799999999</v>
      </c>
      <c r="AR101" s="618">
        <f t="shared" si="27"/>
        <v>-2.1824810000000099</v>
      </c>
      <c r="AS101" s="618">
        <f t="shared" si="27"/>
        <v>0</v>
      </c>
      <c r="AT101" s="618">
        <f t="shared" si="27"/>
        <v>0</v>
      </c>
      <c r="AU101" s="618">
        <f t="shared" si="27"/>
        <v>0</v>
      </c>
      <c r="AV101" s="618">
        <f t="shared" si="27"/>
        <v>0</v>
      </c>
      <c r="AW101" s="618">
        <f t="shared" si="27"/>
        <v>0</v>
      </c>
      <c r="AX101" s="618">
        <f t="shared" si="27"/>
        <v>0</v>
      </c>
      <c r="AY101" s="618">
        <f t="shared" si="27"/>
        <v>0</v>
      </c>
      <c r="AZ101" s="618">
        <f t="shared" si="27"/>
        <v>0</v>
      </c>
      <c r="BA101" s="618">
        <f t="shared" si="27"/>
        <v>0</v>
      </c>
      <c r="BB101" s="618">
        <f t="shared" si="27"/>
        <v>0</v>
      </c>
      <c r="BC101" s="618">
        <f t="shared" si="27"/>
        <v>0</v>
      </c>
      <c r="BD101" s="618">
        <f t="shared" si="27"/>
        <v>0</v>
      </c>
      <c r="BE101" s="618">
        <f t="shared" si="27"/>
        <v>0</v>
      </c>
      <c r="BF101" s="605"/>
      <c r="BG101" s="618">
        <f>+SUM(BG82:BG100)</f>
        <v>103389.40152600002</v>
      </c>
      <c r="BH101" s="610"/>
      <c r="BK101"/>
      <c r="BL101" s="2">
        <v>104292.21833300003</v>
      </c>
    </row>
    <row r="102" spans="2:64" ht="12" customHeight="1" x14ac:dyDescent="0.3">
      <c r="E102" s="490"/>
      <c r="F102" s="555"/>
      <c r="G102" s="555"/>
      <c r="H102" s="555"/>
      <c r="I102" s="555"/>
      <c r="J102" s="555"/>
      <c r="K102" s="555"/>
      <c r="L102" s="555"/>
      <c r="M102" s="555"/>
      <c r="N102" s="555"/>
      <c r="O102" s="555"/>
      <c r="P102" s="555"/>
      <c r="Q102" s="555"/>
      <c r="R102" s="555"/>
      <c r="S102" s="555"/>
      <c r="T102" s="555"/>
      <c r="U102" s="555"/>
      <c r="V102" s="555"/>
      <c r="W102" s="555"/>
      <c r="X102" s="555"/>
      <c r="Y102" s="555"/>
      <c r="Z102" s="555"/>
      <c r="AA102" s="555"/>
      <c r="AB102" s="555"/>
      <c r="AC102" s="555"/>
      <c r="AD102" s="555"/>
      <c r="AE102" s="555"/>
      <c r="AF102" s="555"/>
      <c r="AG102" s="555"/>
      <c r="AH102" s="555"/>
      <c r="AI102" s="555"/>
      <c r="AJ102" s="555"/>
      <c r="AK102" s="555"/>
      <c r="AL102" s="555"/>
      <c r="AM102" s="555"/>
      <c r="AN102" s="555"/>
      <c r="AO102" s="555"/>
      <c r="AP102" s="555"/>
      <c r="AQ102" s="555"/>
      <c r="AR102" s="555"/>
      <c r="AS102" s="555"/>
      <c r="AT102" s="555"/>
      <c r="AU102" s="555"/>
      <c r="AV102" s="555"/>
      <c r="AW102" s="555"/>
      <c r="AX102" s="555"/>
      <c r="AY102" s="555"/>
      <c r="AZ102" s="555"/>
      <c r="BA102" s="555"/>
      <c r="BB102" s="555"/>
      <c r="BC102" s="555"/>
      <c r="BD102" s="555"/>
      <c r="BE102" s="555"/>
      <c r="BF102" s="555"/>
      <c r="BG102" s="632"/>
      <c r="BH102" s="590"/>
    </row>
    <row r="103" spans="2:64" x14ac:dyDescent="0.3">
      <c r="B103" s="498" t="s">
        <v>1416</v>
      </c>
      <c r="C103" s="1264" t="s">
        <v>1417</v>
      </c>
      <c r="E103" s="499"/>
      <c r="F103" s="555"/>
      <c r="G103" s="612"/>
      <c r="H103" s="612"/>
      <c r="I103" s="612"/>
      <c r="J103" s="612"/>
      <c r="K103" s="612"/>
      <c r="L103" s="612"/>
      <c r="M103" s="612"/>
      <c r="N103" s="612"/>
      <c r="O103" s="612"/>
      <c r="P103" s="612"/>
      <c r="Q103" s="612"/>
      <c r="R103" s="612"/>
      <c r="S103" s="612"/>
      <c r="T103" s="612"/>
      <c r="U103" s="612"/>
      <c r="V103" s="612"/>
      <c r="W103" s="612"/>
      <c r="X103" s="612"/>
      <c r="Y103" s="612"/>
      <c r="Z103" s="612"/>
      <c r="AA103" s="612"/>
      <c r="AB103" s="612"/>
      <c r="AC103" s="612"/>
      <c r="AD103" s="612"/>
      <c r="AE103" s="612"/>
      <c r="AF103" s="612"/>
      <c r="AG103" s="612"/>
      <c r="AH103" s="612"/>
      <c r="AI103" s="612"/>
      <c r="AJ103" s="612"/>
      <c r="AK103" s="612"/>
      <c r="AL103" s="612"/>
      <c r="AM103" s="612"/>
      <c r="AN103" s="612"/>
      <c r="AO103" s="612"/>
      <c r="AP103" s="612"/>
      <c r="AQ103" s="612"/>
      <c r="AR103" s="612"/>
      <c r="AS103" s="612"/>
      <c r="AT103" s="612"/>
      <c r="AU103" s="612"/>
      <c r="AV103" s="612"/>
      <c r="AW103" s="612"/>
      <c r="AX103" s="612"/>
      <c r="AY103" s="612"/>
      <c r="AZ103" s="612"/>
      <c r="BA103" s="612"/>
      <c r="BB103" s="612"/>
      <c r="BC103" s="612"/>
      <c r="BD103" s="612"/>
      <c r="BE103" s="612"/>
      <c r="BF103" s="555"/>
      <c r="BG103" s="616">
        <f>+SUM(E103:BE103)</f>
        <v>0</v>
      </c>
      <c r="BH103" s="590"/>
      <c r="BL103" s="72">
        <v>0</v>
      </c>
    </row>
    <row r="104" spans="2:64" s="2" customFormat="1" ht="21.9" customHeight="1" thickBot="1" x14ac:dyDescent="0.35">
      <c r="B104" s="507" t="s">
        <v>1418</v>
      </c>
      <c r="C104" s="1388" t="s">
        <v>1419</v>
      </c>
      <c r="D104" s="467"/>
      <c r="E104" s="513">
        <f>E103</f>
        <v>0</v>
      </c>
      <c r="F104" s="605"/>
      <c r="G104" s="617">
        <f t="shared" ref="G104:BE104" si="28">G103</f>
        <v>0</v>
      </c>
      <c r="H104" s="617">
        <f t="shared" si="28"/>
        <v>0</v>
      </c>
      <c r="I104" s="617">
        <f t="shared" si="28"/>
        <v>0</v>
      </c>
      <c r="J104" s="617">
        <f t="shared" si="28"/>
        <v>0</v>
      </c>
      <c r="K104" s="617">
        <f t="shared" si="28"/>
        <v>0</v>
      </c>
      <c r="L104" s="617">
        <f t="shared" si="28"/>
        <v>0</v>
      </c>
      <c r="M104" s="617">
        <f t="shared" si="28"/>
        <v>0</v>
      </c>
      <c r="N104" s="617">
        <f t="shared" si="28"/>
        <v>0</v>
      </c>
      <c r="O104" s="617">
        <f t="shared" si="28"/>
        <v>0</v>
      </c>
      <c r="P104" s="617">
        <f t="shared" si="28"/>
        <v>0</v>
      </c>
      <c r="Q104" s="618">
        <f t="shared" si="28"/>
        <v>0</v>
      </c>
      <c r="R104" s="618">
        <f t="shared" si="28"/>
        <v>0</v>
      </c>
      <c r="S104" s="618">
        <f t="shared" si="28"/>
        <v>0</v>
      </c>
      <c r="T104" s="618">
        <f t="shared" si="28"/>
        <v>0</v>
      </c>
      <c r="U104" s="618">
        <f t="shared" si="28"/>
        <v>0</v>
      </c>
      <c r="V104" s="618">
        <f t="shared" si="28"/>
        <v>0</v>
      </c>
      <c r="W104" s="618">
        <f t="shared" si="28"/>
        <v>0</v>
      </c>
      <c r="X104" s="618">
        <f>X103</f>
        <v>0</v>
      </c>
      <c r="Y104" s="618">
        <f t="shared" si="28"/>
        <v>0</v>
      </c>
      <c r="Z104" s="618">
        <f t="shared" si="28"/>
        <v>0</v>
      </c>
      <c r="AA104" s="618">
        <f t="shared" si="28"/>
        <v>0</v>
      </c>
      <c r="AB104" s="618">
        <f t="shared" si="28"/>
        <v>0</v>
      </c>
      <c r="AC104" s="618">
        <f t="shared" si="28"/>
        <v>0</v>
      </c>
      <c r="AD104" s="618">
        <f t="shared" si="28"/>
        <v>0</v>
      </c>
      <c r="AE104" s="618">
        <f t="shared" si="28"/>
        <v>0</v>
      </c>
      <c r="AF104" s="618">
        <f t="shared" si="28"/>
        <v>0</v>
      </c>
      <c r="AG104" s="618">
        <f t="shared" si="28"/>
        <v>0</v>
      </c>
      <c r="AH104" s="618">
        <f t="shared" si="28"/>
        <v>0</v>
      </c>
      <c r="AI104" s="618">
        <f t="shared" si="28"/>
        <v>0</v>
      </c>
      <c r="AJ104" s="618">
        <f t="shared" si="28"/>
        <v>0</v>
      </c>
      <c r="AK104" s="618">
        <f t="shared" si="28"/>
        <v>0</v>
      </c>
      <c r="AL104" s="618">
        <f t="shared" si="28"/>
        <v>0</v>
      </c>
      <c r="AM104" s="618">
        <f t="shared" si="28"/>
        <v>0</v>
      </c>
      <c r="AN104" s="618">
        <f t="shared" si="28"/>
        <v>0</v>
      </c>
      <c r="AO104" s="618">
        <f t="shared" si="28"/>
        <v>0</v>
      </c>
      <c r="AP104" s="618">
        <f t="shared" si="28"/>
        <v>0</v>
      </c>
      <c r="AQ104" s="618">
        <f t="shared" si="28"/>
        <v>0</v>
      </c>
      <c r="AR104" s="618">
        <f t="shared" si="28"/>
        <v>0</v>
      </c>
      <c r="AS104" s="618">
        <f t="shared" si="28"/>
        <v>0</v>
      </c>
      <c r="AT104" s="618">
        <f t="shared" si="28"/>
        <v>0</v>
      </c>
      <c r="AU104" s="618">
        <f t="shared" si="28"/>
        <v>0</v>
      </c>
      <c r="AV104" s="618">
        <f t="shared" si="28"/>
        <v>0</v>
      </c>
      <c r="AW104" s="618">
        <f t="shared" si="28"/>
        <v>0</v>
      </c>
      <c r="AX104" s="618">
        <f t="shared" si="28"/>
        <v>0</v>
      </c>
      <c r="AY104" s="618">
        <f t="shared" si="28"/>
        <v>0</v>
      </c>
      <c r="AZ104" s="618">
        <f t="shared" si="28"/>
        <v>0</v>
      </c>
      <c r="BA104" s="618">
        <f t="shared" si="28"/>
        <v>0</v>
      </c>
      <c r="BB104" s="618">
        <f t="shared" si="28"/>
        <v>0</v>
      </c>
      <c r="BC104" s="618">
        <f t="shared" si="28"/>
        <v>0</v>
      </c>
      <c r="BD104" s="618">
        <f t="shared" si="28"/>
        <v>0</v>
      </c>
      <c r="BE104" s="618">
        <f t="shared" si="28"/>
        <v>0</v>
      </c>
      <c r="BF104" s="605"/>
      <c r="BG104" s="618">
        <f>BG103</f>
        <v>0</v>
      </c>
      <c r="BH104" s="610"/>
      <c r="BK104"/>
      <c r="BL104" s="2">
        <v>0</v>
      </c>
    </row>
    <row r="105" spans="2:64" ht="12" customHeight="1" x14ac:dyDescent="0.3">
      <c r="E105" s="490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55"/>
      <c r="AB105" s="555"/>
      <c r="AC105" s="555"/>
      <c r="AD105" s="555"/>
      <c r="AE105" s="555"/>
      <c r="AF105" s="555"/>
      <c r="AG105" s="555"/>
      <c r="AH105" s="555"/>
      <c r="AI105" s="555"/>
      <c r="AJ105" s="555"/>
      <c r="AK105" s="555"/>
      <c r="AL105" s="555"/>
      <c r="AM105" s="555"/>
      <c r="AN105" s="555"/>
      <c r="AO105" s="555"/>
      <c r="AP105" s="555"/>
      <c r="AQ105" s="555"/>
      <c r="AR105" s="555"/>
      <c r="AS105" s="555"/>
      <c r="AT105" s="555"/>
      <c r="AU105" s="555"/>
      <c r="AV105" s="555"/>
      <c r="AW105" s="555"/>
      <c r="AX105" s="555"/>
      <c r="AY105" s="555"/>
      <c r="AZ105" s="555"/>
      <c r="BA105" s="555"/>
      <c r="BB105" s="555"/>
      <c r="BC105" s="555"/>
      <c r="BD105" s="555"/>
      <c r="BE105" s="555"/>
      <c r="BF105" s="555"/>
      <c r="BG105" s="605"/>
      <c r="BH105" s="590"/>
    </row>
    <row r="106" spans="2:64" x14ac:dyDescent="0.3">
      <c r="B106" s="498" t="s">
        <v>1420</v>
      </c>
      <c r="C106" s="1264" t="s">
        <v>1421</v>
      </c>
      <c r="E106" s="499"/>
      <c r="F106" s="555"/>
      <c r="G106" s="612"/>
      <c r="H106" s="612"/>
      <c r="I106" s="612"/>
      <c r="J106" s="612"/>
      <c r="K106" s="612"/>
      <c r="L106" s="612"/>
      <c r="M106" s="612"/>
      <c r="N106" s="612"/>
      <c r="O106" s="612"/>
      <c r="P106" s="612"/>
      <c r="Q106" s="612"/>
      <c r="R106" s="612"/>
      <c r="S106" s="612"/>
      <c r="T106" s="612"/>
      <c r="U106" s="612"/>
      <c r="V106" s="612"/>
      <c r="W106" s="612"/>
      <c r="X106" s="1686">
        <f>-SUM('BG '!K288,'BG '!K447)/10^6</f>
        <v>212.954781</v>
      </c>
      <c r="Y106" s="612"/>
      <c r="Z106" s="612"/>
      <c r="AA106" s="612"/>
      <c r="AB106" s="612"/>
      <c r="AC106" s="612"/>
      <c r="AD106" s="612"/>
      <c r="AE106" s="612"/>
      <c r="AF106" s="612"/>
      <c r="AG106" s="612"/>
      <c r="AH106" s="612"/>
      <c r="AI106" s="612"/>
      <c r="AJ106" s="612"/>
      <c r="AK106" s="612"/>
      <c r="AL106" s="612"/>
      <c r="AM106" s="612"/>
      <c r="AN106" s="612"/>
      <c r="AO106" s="612"/>
      <c r="AP106" s="612"/>
      <c r="AQ106" s="612"/>
      <c r="AR106" s="612"/>
      <c r="AS106" s="612"/>
      <c r="AT106" s="612"/>
      <c r="AU106" s="612"/>
      <c r="AV106" s="612"/>
      <c r="AW106" s="633">
        <f>-228.073865-160.682246-208.372387+205.183512-145.669848-201.865698-89.011717+291.024975+126.740934</f>
        <v>-410.72634000000011</v>
      </c>
      <c r="AX106" s="634">
        <f>-SUM('BG '!H269:I270)/10^6</f>
        <v>284.733566</v>
      </c>
      <c r="AY106" s="612"/>
      <c r="AZ106" s="612"/>
      <c r="BA106" s="612"/>
      <c r="BB106" s="612"/>
      <c r="BC106" s="612"/>
      <c r="BD106" s="612"/>
      <c r="BE106" s="612"/>
      <c r="BF106" s="555"/>
      <c r="BG106" s="616">
        <f>+SUM(E106:BE106)</f>
        <v>86.962006999999886</v>
      </c>
      <c r="BH106" s="590"/>
      <c r="BI106" s="588"/>
      <c r="BL106" s="72">
        <v>86.962006999999915</v>
      </c>
    </row>
    <row r="107" spans="2:64" x14ac:dyDescent="0.3">
      <c r="B107" s="498" t="s">
        <v>1422</v>
      </c>
      <c r="C107" s="1264" t="s">
        <v>1423</v>
      </c>
      <c r="E107" s="499"/>
      <c r="F107" s="555"/>
      <c r="G107" s="612"/>
      <c r="H107" s="612"/>
      <c r="I107" s="612"/>
      <c r="J107" s="612"/>
      <c r="K107" s="612"/>
      <c r="L107" s="612"/>
      <c r="M107" s="612"/>
      <c r="N107" s="612"/>
      <c r="O107" s="612"/>
      <c r="P107" s="612"/>
      <c r="Q107" s="612"/>
      <c r="R107" s="612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2"/>
      <c r="AD107" s="612"/>
      <c r="AE107" s="612"/>
      <c r="AF107" s="612"/>
      <c r="AG107" s="612"/>
      <c r="AH107" s="612"/>
      <c r="AI107" s="612"/>
      <c r="AJ107" s="612"/>
      <c r="AK107" s="612"/>
      <c r="AL107" s="612"/>
      <c r="AM107" s="612"/>
      <c r="AN107" s="612"/>
      <c r="AO107" s="612"/>
      <c r="AP107" s="612"/>
      <c r="AQ107" s="612"/>
      <c r="AR107" s="612"/>
      <c r="AS107" s="612"/>
      <c r="AT107" s="612"/>
      <c r="AU107" s="612"/>
      <c r="AV107" s="612"/>
      <c r="AW107" s="612"/>
      <c r="AX107" s="612"/>
      <c r="AY107" s="612"/>
      <c r="AZ107" s="612"/>
      <c r="BA107" s="612"/>
      <c r="BB107" s="612"/>
      <c r="BC107" s="612"/>
      <c r="BD107" s="612"/>
      <c r="BE107" s="612"/>
      <c r="BF107" s="555"/>
      <c r="BG107" s="616">
        <f>+SUM(E107:BE107)</f>
        <v>0</v>
      </c>
      <c r="BH107" s="590"/>
      <c r="BI107" s="73"/>
      <c r="BL107" s="72">
        <v>0</v>
      </c>
    </row>
    <row r="108" spans="2:64" x14ac:dyDescent="0.3">
      <c r="B108" s="498" t="s">
        <v>1424</v>
      </c>
      <c r="C108" s="1264" t="s">
        <v>1425</v>
      </c>
      <c r="E108" s="499"/>
      <c r="F108" s="555"/>
      <c r="G108" s="612"/>
      <c r="H108" s="612"/>
      <c r="I108" s="612"/>
      <c r="J108" s="612"/>
      <c r="K108" s="612"/>
      <c r="L108" s="612"/>
      <c r="M108" s="612"/>
      <c r="N108" s="612"/>
      <c r="O108" s="612"/>
      <c r="P108" s="612"/>
      <c r="Q108" s="612"/>
      <c r="R108" s="612"/>
      <c r="S108" s="612"/>
      <c r="T108" s="612"/>
      <c r="U108" s="612"/>
      <c r="V108" s="612"/>
      <c r="W108" s="612"/>
      <c r="X108" s="612"/>
      <c r="Y108" s="612"/>
      <c r="Z108" s="612"/>
      <c r="AA108" s="612"/>
      <c r="AB108" s="612"/>
      <c r="AC108" s="612"/>
      <c r="AD108" s="612"/>
      <c r="AE108" s="612"/>
      <c r="AF108" s="612"/>
      <c r="AG108" s="612"/>
      <c r="AH108" s="612"/>
      <c r="AI108" s="612"/>
      <c r="AJ108" s="612"/>
      <c r="AK108" s="612"/>
      <c r="AL108" s="612"/>
      <c r="AM108" s="612"/>
      <c r="AN108" s="612"/>
      <c r="AO108" s="612"/>
      <c r="AP108" s="612"/>
      <c r="AQ108" s="612"/>
      <c r="AR108" s="612"/>
      <c r="AS108" s="612"/>
      <c r="AT108" s="612"/>
      <c r="AU108" s="612"/>
      <c r="AV108" s="612"/>
      <c r="AW108" s="612"/>
      <c r="AX108" s="612"/>
      <c r="AY108" s="612"/>
      <c r="AZ108" s="612"/>
      <c r="BA108" s="612"/>
      <c r="BB108" s="612"/>
      <c r="BC108" s="612"/>
      <c r="BD108" s="612"/>
      <c r="BE108" s="612"/>
      <c r="BF108" s="555"/>
      <c r="BG108" s="616">
        <f>+SUM(E108:BE108)</f>
        <v>0</v>
      </c>
      <c r="BH108" s="590"/>
      <c r="BL108" s="72">
        <v>0</v>
      </c>
    </row>
    <row r="109" spans="2:64" x14ac:dyDescent="0.3">
      <c r="B109" s="498" t="s">
        <v>1426</v>
      </c>
      <c r="C109" s="1264" t="s">
        <v>1427</v>
      </c>
      <c r="E109" s="499"/>
      <c r="F109" s="555"/>
      <c r="G109" s="612"/>
      <c r="H109" s="612"/>
      <c r="I109" s="612"/>
      <c r="J109" s="612"/>
      <c r="K109" s="612"/>
      <c r="L109" s="612"/>
      <c r="M109" s="612"/>
      <c r="N109" s="612"/>
      <c r="O109" s="612"/>
      <c r="P109" s="612"/>
      <c r="Q109" s="612"/>
      <c r="R109" s="612"/>
      <c r="S109" s="612"/>
      <c r="T109" s="612"/>
      <c r="U109" s="612"/>
      <c r="V109" s="612"/>
      <c r="W109" s="612"/>
      <c r="X109" s="612"/>
      <c r="Y109" s="612"/>
      <c r="Z109" s="612"/>
      <c r="AA109" s="612"/>
      <c r="AB109" s="612"/>
      <c r="AC109" s="612"/>
      <c r="AD109" s="612"/>
      <c r="AE109" s="612"/>
      <c r="AF109" s="612"/>
      <c r="AG109" s="612"/>
      <c r="AH109" s="612"/>
      <c r="AI109" s="612"/>
      <c r="AJ109" s="612"/>
      <c r="AK109" s="612"/>
      <c r="AL109" s="612"/>
      <c r="AM109" s="612"/>
      <c r="AN109" s="612"/>
      <c r="AO109" s="612"/>
      <c r="AP109" s="612"/>
      <c r="AQ109" s="612"/>
      <c r="AR109" s="612"/>
      <c r="AS109" s="612"/>
      <c r="AT109" s="612"/>
      <c r="AU109" s="612"/>
      <c r="AV109" s="612"/>
      <c r="AW109" s="612"/>
      <c r="AX109" s="612"/>
      <c r="AY109" s="612"/>
      <c r="AZ109" s="612"/>
      <c r="BA109" s="612"/>
      <c r="BB109" s="612"/>
      <c r="BC109" s="612"/>
      <c r="BD109" s="612"/>
      <c r="BE109" s="612"/>
      <c r="BF109" s="555"/>
      <c r="BG109" s="616">
        <f>+SUM(E109:BE109)</f>
        <v>0</v>
      </c>
      <c r="BH109" s="590"/>
      <c r="BL109" s="72">
        <v>0</v>
      </c>
    </row>
    <row r="110" spans="2:64" x14ac:dyDescent="0.3">
      <c r="B110" s="498" t="s">
        <v>1428</v>
      </c>
      <c r="C110" s="1264" t="s">
        <v>1429</v>
      </c>
      <c r="E110" s="499"/>
      <c r="F110" s="555"/>
      <c r="G110" s="612"/>
      <c r="H110" s="612"/>
      <c r="I110" s="612"/>
      <c r="J110" s="612"/>
      <c r="K110" s="612"/>
      <c r="L110" s="612"/>
      <c r="M110" s="612"/>
      <c r="N110" s="612"/>
      <c r="O110" s="612"/>
      <c r="P110" s="612"/>
      <c r="Q110" s="612"/>
      <c r="R110" s="612"/>
      <c r="S110" s="612"/>
      <c r="T110" s="612"/>
      <c r="U110" s="612"/>
      <c r="V110" s="612"/>
      <c r="W110" s="612"/>
      <c r="X110" s="612"/>
      <c r="Y110" s="612"/>
      <c r="Z110" s="612"/>
      <c r="AA110" s="612"/>
      <c r="AB110" s="612"/>
      <c r="AC110" s="612"/>
      <c r="AD110" s="612"/>
      <c r="AE110" s="612"/>
      <c r="AF110" s="612"/>
      <c r="AG110" s="612"/>
      <c r="AH110" s="612"/>
      <c r="AI110" s="612"/>
      <c r="AJ110" s="612"/>
      <c r="AK110" s="612"/>
      <c r="AL110" s="612"/>
      <c r="AM110" s="612"/>
      <c r="AN110" s="612"/>
      <c r="AO110" s="612"/>
      <c r="AP110" s="612"/>
      <c r="AQ110" s="612"/>
      <c r="AR110" s="612"/>
      <c r="AS110" s="612"/>
      <c r="AT110" s="612"/>
      <c r="AU110" s="612"/>
      <c r="AV110" s="612"/>
      <c r="AW110" s="612"/>
      <c r="AX110" s="612"/>
      <c r="AY110" s="612"/>
      <c r="AZ110" s="612"/>
      <c r="BA110" s="612"/>
      <c r="BB110" s="612"/>
      <c r="BC110" s="612"/>
      <c r="BD110" s="612"/>
      <c r="BE110" s="612"/>
      <c r="BF110" s="555"/>
      <c r="BG110" s="616">
        <f>+SUM(E110:BE110)</f>
        <v>0</v>
      </c>
      <c r="BH110" s="590"/>
      <c r="BL110" s="72">
        <v>0</v>
      </c>
    </row>
    <row r="111" spans="2:64" s="2" customFormat="1" ht="21.9" customHeight="1" thickBot="1" x14ac:dyDescent="0.35">
      <c r="B111" s="507" t="s">
        <v>1430</v>
      </c>
      <c r="C111" s="1388" t="s">
        <v>1431</v>
      </c>
      <c r="D111" s="467"/>
      <c r="E111" s="513">
        <f>+SUM(E106:E110)</f>
        <v>0</v>
      </c>
      <c r="F111" s="605"/>
      <c r="G111" s="617">
        <f t="shared" ref="G111:BE111" si="29">+SUM(G106:G110)</f>
        <v>0</v>
      </c>
      <c r="H111" s="617">
        <f t="shared" si="29"/>
        <v>0</v>
      </c>
      <c r="I111" s="617">
        <f t="shared" si="29"/>
        <v>0</v>
      </c>
      <c r="J111" s="617">
        <f t="shared" si="29"/>
        <v>0</v>
      </c>
      <c r="K111" s="617">
        <f t="shared" si="29"/>
        <v>0</v>
      </c>
      <c r="L111" s="617">
        <f t="shared" si="29"/>
        <v>0</v>
      </c>
      <c r="M111" s="617">
        <f t="shared" si="29"/>
        <v>0</v>
      </c>
      <c r="N111" s="617">
        <f t="shared" si="29"/>
        <v>0</v>
      </c>
      <c r="O111" s="617">
        <f t="shared" si="29"/>
        <v>0</v>
      </c>
      <c r="P111" s="617">
        <f t="shared" si="29"/>
        <v>0</v>
      </c>
      <c r="Q111" s="618">
        <f t="shared" si="29"/>
        <v>0</v>
      </c>
      <c r="R111" s="618">
        <f t="shared" si="29"/>
        <v>0</v>
      </c>
      <c r="S111" s="618">
        <f t="shared" si="29"/>
        <v>0</v>
      </c>
      <c r="T111" s="618">
        <f t="shared" si="29"/>
        <v>0</v>
      </c>
      <c r="U111" s="618">
        <f t="shared" si="29"/>
        <v>0</v>
      </c>
      <c r="V111" s="618">
        <f t="shared" si="29"/>
        <v>0</v>
      </c>
      <c r="W111" s="618">
        <f t="shared" si="29"/>
        <v>0</v>
      </c>
      <c r="X111" s="618">
        <f>+SUM(X106:X110)</f>
        <v>212.954781</v>
      </c>
      <c r="Y111" s="618">
        <f t="shared" si="29"/>
        <v>0</v>
      </c>
      <c r="Z111" s="618">
        <f t="shared" si="29"/>
        <v>0</v>
      </c>
      <c r="AA111" s="618">
        <f t="shared" si="29"/>
        <v>0</v>
      </c>
      <c r="AB111" s="618">
        <f t="shared" si="29"/>
        <v>0</v>
      </c>
      <c r="AC111" s="618">
        <f t="shared" si="29"/>
        <v>0</v>
      </c>
      <c r="AD111" s="618">
        <f t="shared" si="29"/>
        <v>0</v>
      </c>
      <c r="AE111" s="618">
        <f t="shared" si="29"/>
        <v>0</v>
      </c>
      <c r="AF111" s="618">
        <f t="shared" si="29"/>
        <v>0</v>
      </c>
      <c r="AG111" s="618">
        <f t="shared" si="29"/>
        <v>0</v>
      </c>
      <c r="AH111" s="618">
        <f t="shared" si="29"/>
        <v>0</v>
      </c>
      <c r="AI111" s="618">
        <f t="shared" si="29"/>
        <v>0</v>
      </c>
      <c r="AJ111" s="618">
        <f t="shared" si="29"/>
        <v>0</v>
      </c>
      <c r="AK111" s="618">
        <f t="shared" si="29"/>
        <v>0</v>
      </c>
      <c r="AL111" s="618">
        <f t="shared" si="29"/>
        <v>0</v>
      </c>
      <c r="AM111" s="618">
        <f t="shared" si="29"/>
        <v>0</v>
      </c>
      <c r="AN111" s="618">
        <f t="shared" si="29"/>
        <v>0</v>
      </c>
      <c r="AO111" s="618">
        <f t="shared" si="29"/>
        <v>0</v>
      </c>
      <c r="AP111" s="618">
        <f t="shared" si="29"/>
        <v>0</v>
      </c>
      <c r="AQ111" s="618">
        <f t="shared" si="29"/>
        <v>0</v>
      </c>
      <c r="AR111" s="618">
        <f t="shared" si="29"/>
        <v>0</v>
      </c>
      <c r="AS111" s="618">
        <f t="shared" si="29"/>
        <v>0</v>
      </c>
      <c r="AT111" s="618">
        <f t="shared" si="29"/>
        <v>0</v>
      </c>
      <c r="AU111" s="618">
        <f t="shared" si="29"/>
        <v>0</v>
      </c>
      <c r="AV111" s="618">
        <f t="shared" si="29"/>
        <v>0</v>
      </c>
      <c r="AW111" s="618">
        <f t="shared" si="29"/>
        <v>-410.72634000000011</v>
      </c>
      <c r="AX111" s="618">
        <f t="shared" si="29"/>
        <v>284.733566</v>
      </c>
      <c r="AY111" s="618">
        <f t="shared" si="29"/>
        <v>0</v>
      </c>
      <c r="AZ111" s="618">
        <f t="shared" si="29"/>
        <v>0</v>
      </c>
      <c r="BA111" s="618">
        <f t="shared" si="29"/>
        <v>0</v>
      </c>
      <c r="BB111" s="618">
        <f t="shared" si="29"/>
        <v>0</v>
      </c>
      <c r="BC111" s="618">
        <f t="shared" si="29"/>
        <v>0</v>
      </c>
      <c r="BD111" s="618">
        <f t="shared" si="29"/>
        <v>0</v>
      </c>
      <c r="BE111" s="618">
        <f t="shared" si="29"/>
        <v>0</v>
      </c>
      <c r="BF111" s="605"/>
      <c r="BG111" s="618">
        <f>+SUM(BG106:BG110)</f>
        <v>86.962006999999886</v>
      </c>
      <c r="BH111" s="610"/>
      <c r="BK111"/>
      <c r="BL111" s="2">
        <v>86.962006999999915</v>
      </c>
    </row>
    <row r="112" spans="2:64" ht="12" customHeight="1" x14ac:dyDescent="0.3">
      <c r="E112" s="490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55"/>
      <c r="AB112" s="555"/>
      <c r="AC112" s="555"/>
      <c r="AD112" s="555"/>
      <c r="AE112" s="555"/>
      <c r="AF112" s="555"/>
      <c r="AG112" s="555"/>
      <c r="AH112" s="555"/>
      <c r="AI112" s="555"/>
      <c r="AJ112" s="555"/>
      <c r="AK112" s="555"/>
      <c r="AL112" s="555"/>
      <c r="AM112" s="555"/>
      <c r="AN112" s="555"/>
      <c r="AO112" s="555"/>
      <c r="AP112" s="555"/>
      <c r="AQ112" s="555"/>
      <c r="AR112" s="555"/>
      <c r="AS112" s="555"/>
      <c r="AT112" s="555"/>
      <c r="AU112" s="555"/>
      <c r="AV112" s="555"/>
      <c r="AW112" s="555"/>
      <c r="AX112" s="555"/>
      <c r="AY112" s="555"/>
      <c r="AZ112" s="555"/>
      <c r="BA112" s="555"/>
      <c r="BB112" s="555"/>
      <c r="BC112" s="555"/>
      <c r="BD112" s="555"/>
      <c r="BE112" s="555"/>
      <c r="BF112" s="555"/>
      <c r="BG112" s="632"/>
      <c r="BH112" s="590"/>
    </row>
    <row r="113" spans="2:64" x14ac:dyDescent="0.3">
      <c r="B113" s="498" t="s">
        <v>1432</v>
      </c>
      <c r="C113" s="1264" t="s">
        <v>1433</v>
      </c>
      <c r="E113" s="499"/>
      <c r="F113" s="555"/>
      <c r="G113" s="612"/>
      <c r="H113" s="612"/>
      <c r="I113" s="612"/>
      <c r="J113" s="612"/>
      <c r="K113" s="612"/>
      <c r="L113" s="612"/>
      <c r="M113" s="612"/>
      <c r="N113" s="612"/>
      <c r="O113" s="612"/>
      <c r="P113" s="612"/>
      <c r="Q113" s="612"/>
      <c r="R113" s="612">
        <f>('Amortissment Coris'!C24+'TABLEAU CBAO'!E52+'SYNTHESE BOA'!D57)/1000000</f>
        <v>14500.021600278385</v>
      </c>
      <c r="S113" s="612"/>
      <c r="T113" s="612"/>
      <c r="U113" s="530"/>
      <c r="V113" s="612"/>
      <c r="W113" s="612"/>
      <c r="X113" s="612"/>
      <c r="Y113" s="612"/>
      <c r="Z113" s="612"/>
      <c r="AA113" s="612"/>
      <c r="AB113" s="612"/>
      <c r="AC113" s="612"/>
      <c r="AD113" s="612"/>
      <c r="AE113" s="612"/>
      <c r="AF113" s="612"/>
      <c r="AG113" s="612"/>
      <c r="AH113" s="612"/>
      <c r="AI113" s="612"/>
      <c r="AJ113" s="612"/>
      <c r="AK113" s="612"/>
      <c r="AL113" s="612"/>
      <c r="AM113" s="612"/>
      <c r="AN113" s="612"/>
      <c r="AO113" s="612"/>
      <c r="AP113" s="612"/>
      <c r="AQ113" s="612"/>
      <c r="AR113" s="612"/>
      <c r="AS113" s="612"/>
      <c r="AT113" s="612"/>
      <c r="AU113" s="612"/>
      <c r="AV113" s="612"/>
      <c r="AW113" s="612"/>
      <c r="AX113" s="612"/>
      <c r="AY113" s="612"/>
      <c r="AZ113" s="612"/>
      <c r="BA113" s="612"/>
      <c r="BB113" s="612"/>
      <c r="BC113" s="612"/>
      <c r="BD113" s="612"/>
      <c r="BE113" s="612"/>
      <c r="BF113" s="555"/>
      <c r="BG113" s="616">
        <f t="shared" ref="BG113:BG127" si="30">+SUM(E113:BE113)</f>
        <v>14500.021600278385</v>
      </c>
      <c r="BH113" s="590"/>
      <c r="BL113" s="72">
        <v>13236.857915278386</v>
      </c>
    </row>
    <row r="114" spans="2:64" x14ac:dyDescent="0.3">
      <c r="B114" s="498" t="s">
        <v>102</v>
      </c>
      <c r="C114" s="1264" t="s">
        <v>1434</v>
      </c>
      <c r="E114" s="499"/>
      <c r="F114" s="555"/>
      <c r="G114" s="612"/>
      <c r="H114" s="612"/>
      <c r="I114" s="612"/>
      <c r="J114" s="612"/>
      <c r="K114" s="612"/>
      <c r="L114" s="612"/>
      <c r="M114" s="612"/>
      <c r="N114" s="612"/>
      <c r="O114" s="612"/>
      <c r="P114" s="612"/>
      <c r="Q114" s="612"/>
      <c r="R114" s="612"/>
      <c r="S114" s="612">
        <f>-SUM('BG '!K22,'BG '!K21)/10^6</f>
        <v>692.693489</v>
      </c>
      <c r="T114" s="612"/>
      <c r="U114" s="612"/>
      <c r="V114" s="612"/>
      <c r="W114" s="612"/>
      <c r="X114" s="612"/>
      <c r="Y114" s="612"/>
      <c r="Z114" s="612"/>
      <c r="AA114" s="612"/>
      <c r="AB114" s="612"/>
      <c r="AC114" s="612"/>
      <c r="AD114" s="612"/>
      <c r="AE114" s="612"/>
      <c r="AF114" s="612"/>
      <c r="AG114" s="612"/>
      <c r="AH114" s="612"/>
      <c r="AI114" s="612"/>
      <c r="AJ114" s="612"/>
      <c r="AK114" s="612"/>
      <c r="AL114" s="612"/>
      <c r="AM114" s="612"/>
      <c r="AN114" s="612"/>
      <c r="AO114" s="612"/>
      <c r="AP114" s="612"/>
      <c r="AQ114" s="612"/>
      <c r="AR114" s="612"/>
      <c r="AS114" s="612"/>
      <c r="AT114" s="612"/>
      <c r="AU114" s="612"/>
      <c r="AV114" s="612"/>
      <c r="AW114" s="612"/>
      <c r="AX114" s="612"/>
      <c r="AY114" s="612"/>
      <c r="AZ114" s="612"/>
      <c r="BA114" s="612"/>
      <c r="BB114" s="612"/>
      <c r="BC114" s="612"/>
      <c r="BD114" s="612"/>
      <c r="BE114" s="612"/>
      <c r="BF114" s="555"/>
      <c r="BG114" s="616">
        <f t="shared" si="30"/>
        <v>692.693489</v>
      </c>
      <c r="BH114" s="590"/>
      <c r="BL114" s="72">
        <v>0</v>
      </c>
    </row>
    <row r="115" spans="2:64" x14ac:dyDescent="0.3">
      <c r="B115" s="498" t="s">
        <v>1435</v>
      </c>
      <c r="C115" s="1264" t="s">
        <v>1436</v>
      </c>
      <c r="E115" s="499"/>
      <c r="F115" s="555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>
        <f>-T40*0</f>
        <v>0</v>
      </c>
      <c r="U115" s="612"/>
      <c r="V115" s="612"/>
      <c r="W115" s="612"/>
      <c r="X115" s="612"/>
      <c r="Y115" s="612"/>
      <c r="Z115" s="612"/>
      <c r="AA115" s="612"/>
      <c r="AB115" s="612"/>
      <c r="AC115" s="612"/>
      <c r="AD115" s="612"/>
      <c r="AE115" s="612"/>
      <c r="AF115" s="612"/>
      <c r="AG115" s="612"/>
      <c r="AH115" s="612"/>
      <c r="AI115" s="612"/>
      <c r="AJ115" s="612"/>
      <c r="AK115" s="612"/>
      <c r="AL115" s="612"/>
      <c r="AM115" s="612"/>
      <c r="AN115" s="612"/>
      <c r="AO115" s="612"/>
      <c r="AP115" s="612"/>
      <c r="AQ115" s="612"/>
      <c r="AR115" s="612"/>
      <c r="AS115" s="612"/>
      <c r="AT115" s="612"/>
      <c r="AU115" s="612"/>
      <c r="AV115" s="612"/>
      <c r="AW115" s="612"/>
      <c r="AX115" s="612"/>
      <c r="AY115" s="612"/>
      <c r="AZ115" s="612"/>
      <c r="BA115" s="612"/>
      <c r="BB115" s="612"/>
      <c r="BC115" s="612"/>
      <c r="BD115" s="612"/>
      <c r="BE115" s="612"/>
      <c r="BF115" s="555"/>
      <c r="BG115" s="616">
        <f t="shared" si="30"/>
        <v>0</v>
      </c>
      <c r="BH115" s="590"/>
      <c r="BL115" s="72">
        <v>0</v>
      </c>
    </row>
    <row r="116" spans="2:64" x14ac:dyDescent="0.3">
      <c r="B116" s="498" t="s">
        <v>105</v>
      </c>
      <c r="C116" s="1264" t="s">
        <v>1437</v>
      </c>
      <c r="E116" s="499"/>
      <c r="F116" s="555"/>
      <c r="G116" s="612"/>
      <c r="H116" s="612"/>
      <c r="I116" s="612"/>
      <c r="J116" s="612"/>
      <c r="K116" s="612"/>
      <c r="L116" s="612"/>
      <c r="M116" s="612"/>
      <c r="N116" s="612"/>
      <c r="O116" s="612"/>
      <c r="P116" s="612"/>
      <c r="Q116" s="612"/>
      <c r="R116" s="612"/>
      <c r="S116" s="612">
        <f>-('BG '!K24)/10^6*0</f>
        <v>0</v>
      </c>
      <c r="T116" s="612"/>
      <c r="U116" s="612"/>
      <c r="V116" s="612"/>
      <c r="W116" s="612"/>
      <c r="X116" s="612"/>
      <c r="Y116" s="612"/>
      <c r="Z116" s="612"/>
      <c r="AA116" s="612"/>
      <c r="AB116" s="612"/>
      <c r="AC116" s="612"/>
      <c r="AD116" s="612"/>
      <c r="AE116" s="612"/>
      <c r="AF116" s="612"/>
      <c r="AG116" s="612"/>
      <c r="AH116" s="612"/>
      <c r="AI116" s="612"/>
      <c r="AJ116" s="612"/>
      <c r="AK116" s="612"/>
      <c r="AL116" s="612"/>
      <c r="AM116" s="612"/>
      <c r="AN116" s="612"/>
      <c r="AO116" s="612"/>
      <c r="AP116" s="612"/>
      <c r="AQ116" s="612"/>
      <c r="AR116" s="612"/>
      <c r="AS116" s="612"/>
      <c r="AT116" s="612"/>
      <c r="AU116" s="612"/>
      <c r="AV116" s="612"/>
      <c r="AW116" s="612"/>
      <c r="AX116" s="612"/>
      <c r="AY116" s="612"/>
      <c r="AZ116" s="612"/>
      <c r="BA116" s="612"/>
      <c r="BB116" s="612"/>
      <c r="BC116" s="612"/>
      <c r="BD116" s="612"/>
      <c r="BE116" s="612"/>
      <c r="BF116" s="555"/>
      <c r="BG116" s="616">
        <f t="shared" si="30"/>
        <v>0</v>
      </c>
      <c r="BH116" s="590"/>
      <c r="BJ116" s="555"/>
      <c r="BL116" s="72">
        <v>0</v>
      </c>
    </row>
    <row r="117" spans="2:64" x14ac:dyDescent="0.3">
      <c r="B117" s="498" t="s">
        <v>1438</v>
      </c>
      <c r="C117" s="1264" t="s">
        <v>1439</v>
      </c>
      <c r="E117" s="499"/>
      <c r="F117" s="555"/>
      <c r="G117" s="612"/>
      <c r="H117" s="612"/>
      <c r="I117" s="612"/>
      <c r="J117" s="612"/>
      <c r="K117" s="612"/>
      <c r="L117" s="612"/>
      <c r="M117" s="612"/>
      <c r="N117" s="612"/>
      <c r="O117" s="612"/>
      <c r="P117" s="612"/>
      <c r="Q117" s="612"/>
      <c r="R117" s="612"/>
      <c r="S117" s="612"/>
      <c r="T117" s="612"/>
      <c r="U117" s="612"/>
      <c r="V117" s="612"/>
      <c r="W117" s="612"/>
      <c r="X117" s="612"/>
      <c r="Y117" s="612"/>
      <c r="Z117" s="612"/>
      <c r="AA117" s="612"/>
      <c r="AB117" s="612"/>
      <c r="AC117" s="612"/>
      <c r="AD117" s="612"/>
      <c r="AE117" s="612"/>
      <c r="AF117" s="612"/>
      <c r="AG117" s="612"/>
      <c r="AH117" s="612"/>
      <c r="AI117" s="612"/>
      <c r="AJ117" s="612"/>
      <c r="AK117" s="612"/>
      <c r="AL117" s="612"/>
      <c r="AM117" s="612"/>
      <c r="AN117" s="612"/>
      <c r="AO117" s="612"/>
      <c r="AP117" s="612"/>
      <c r="AQ117" s="612"/>
      <c r="AR117" s="612"/>
      <c r="AS117" s="612"/>
      <c r="AT117" s="612"/>
      <c r="AU117" s="612"/>
      <c r="AV117" s="612"/>
      <c r="AW117" s="612"/>
      <c r="AX117" s="612"/>
      <c r="AY117" s="612"/>
      <c r="AZ117" s="612"/>
      <c r="BA117" s="612"/>
      <c r="BB117" s="612"/>
      <c r="BC117" s="612"/>
      <c r="BD117" s="612"/>
      <c r="BE117" s="612"/>
      <c r="BF117" s="555"/>
      <c r="BG117" s="616">
        <f t="shared" si="30"/>
        <v>0</v>
      </c>
      <c r="BH117" s="590"/>
      <c r="BL117" s="72">
        <v>0</v>
      </c>
    </row>
    <row r="118" spans="2:64" x14ac:dyDescent="0.3">
      <c r="B118" s="498" t="s">
        <v>1440</v>
      </c>
      <c r="C118" s="1264" t="s">
        <v>1441</v>
      </c>
      <c r="E118" s="499"/>
      <c r="F118" s="555"/>
      <c r="G118" s="612"/>
      <c r="H118" s="612"/>
      <c r="I118" s="612"/>
      <c r="J118" s="612"/>
      <c r="K118" s="612"/>
      <c r="L118" s="612"/>
      <c r="M118" s="612"/>
      <c r="N118" s="612"/>
      <c r="O118" s="612"/>
      <c r="P118" s="612"/>
      <c r="Q118" s="612"/>
      <c r="R118" s="612"/>
      <c r="S118" s="612"/>
      <c r="T118" s="612"/>
      <c r="U118" s="612"/>
      <c r="V118" s="612"/>
      <c r="W118" s="612"/>
      <c r="X118" s="612"/>
      <c r="Y118" s="612"/>
      <c r="Z118" s="612"/>
      <c r="AA118" s="612"/>
      <c r="AB118" s="612"/>
      <c r="AC118" s="612"/>
      <c r="AD118" s="612"/>
      <c r="AE118" s="612"/>
      <c r="AF118" s="612"/>
      <c r="AG118" s="612"/>
      <c r="AH118" s="612"/>
      <c r="AI118" s="612"/>
      <c r="AJ118" s="612"/>
      <c r="AK118" s="612"/>
      <c r="AL118" s="612"/>
      <c r="AM118" s="612"/>
      <c r="AN118" s="612"/>
      <c r="AO118" s="612"/>
      <c r="AP118" s="612"/>
      <c r="AQ118" s="612"/>
      <c r="AR118" s="612"/>
      <c r="AS118" s="612"/>
      <c r="AT118" s="612"/>
      <c r="AU118" s="612"/>
      <c r="AV118" s="612"/>
      <c r="AW118" s="612"/>
      <c r="AX118" s="612"/>
      <c r="AY118" s="612"/>
      <c r="AZ118" s="612"/>
      <c r="BA118" s="612"/>
      <c r="BB118" s="612"/>
      <c r="BC118" s="612"/>
      <c r="BD118" s="612"/>
      <c r="BE118" s="612"/>
      <c r="BF118" s="555"/>
      <c r="BG118" s="616">
        <f t="shared" si="30"/>
        <v>0</v>
      </c>
      <c r="BH118" s="590"/>
      <c r="BL118" s="72">
        <v>0</v>
      </c>
    </row>
    <row r="119" spans="2:64" x14ac:dyDescent="0.3">
      <c r="B119" s="1264" t="s">
        <v>1442</v>
      </c>
      <c r="C119" s="1264" t="s">
        <v>1443</v>
      </c>
      <c r="E119" s="499"/>
      <c r="F119" s="555"/>
      <c r="G119" s="612"/>
      <c r="H119" s="612"/>
      <c r="I119" s="612"/>
      <c r="J119" s="612"/>
      <c r="K119" s="612"/>
      <c r="L119" s="612"/>
      <c r="M119" s="612"/>
      <c r="N119" s="612"/>
      <c r="O119" s="612"/>
      <c r="P119" s="612"/>
      <c r="Q119" s="612"/>
      <c r="R119" s="612"/>
      <c r="S119" s="612"/>
      <c r="T119" s="612"/>
      <c r="U119" s="612"/>
      <c r="V119" s="612"/>
      <c r="W119" s="612"/>
      <c r="X119" s="612"/>
      <c r="Y119" s="612"/>
      <c r="Z119" s="612">
        <f>[156]Impacts_IFRS.16!$J$11/1000000*0+866.126229*0+940.02*0</f>
        <v>0</v>
      </c>
      <c r="AA119" s="612"/>
      <c r="AB119" s="612"/>
      <c r="AC119" s="612"/>
      <c r="AD119" s="612"/>
      <c r="AE119" s="612"/>
      <c r="AF119" s="612"/>
      <c r="AG119" s="612"/>
      <c r="AH119" s="612"/>
      <c r="AI119" s="612"/>
      <c r="AJ119" s="612"/>
      <c r="AK119" s="612"/>
      <c r="AL119" s="612"/>
      <c r="AM119" s="612"/>
      <c r="AN119" s="612"/>
      <c r="AO119" s="612"/>
      <c r="AP119" s="612"/>
      <c r="AQ119" s="612"/>
      <c r="AR119" s="612"/>
      <c r="AS119" s="612"/>
      <c r="AT119" s="612"/>
      <c r="AU119" s="612"/>
      <c r="AV119" s="612"/>
      <c r="AW119" s="612"/>
      <c r="AX119" s="612"/>
      <c r="AY119" s="612"/>
      <c r="AZ119" s="612"/>
      <c r="BA119" s="612"/>
      <c r="BB119" s="612"/>
      <c r="BC119" s="612"/>
      <c r="BD119" s="612"/>
      <c r="BE119" s="612"/>
      <c r="BF119" s="555"/>
      <c r="BG119" s="629">
        <f t="shared" si="30"/>
        <v>0</v>
      </c>
      <c r="BH119" s="590"/>
      <c r="BL119" s="72">
        <v>0</v>
      </c>
    </row>
    <row r="120" spans="2:64" x14ac:dyDescent="0.3">
      <c r="B120" s="498" t="s">
        <v>100</v>
      </c>
      <c r="C120" s="1264" t="s">
        <v>1444</v>
      </c>
      <c r="E120" s="499"/>
      <c r="F120" s="555"/>
      <c r="G120" s="612"/>
      <c r="H120" s="612"/>
      <c r="I120" s="612"/>
      <c r="J120" s="612"/>
      <c r="K120" s="612"/>
      <c r="L120" s="612"/>
      <c r="M120" s="612"/>
      <c r="N120" s="612"/>
      <c r="O120" s="612"/>
      <c r="P120" s="612"/>
      <c r="Q120" s="612"/>
      <c r="R120" s="612"/>
      <c r="S120" s="612"/>
      <c r="T120" s="612"/>
      <c r="U120" s="612"/>
      <c r="V120" s="612"/>
      <c r="W120" s="612"/>
      <c r="X120" s="612"/>
      <c r="Y120" s="612"/>
      <c r="Z120" s="612"/>
      <c r="AA120" s="612"/>
      <c r="AB120" s="612"/>
      <c r="AC120" s="612"/>
      <c r="AD120" s="612"/>
      <c r="AE120" s="612"/>
      <c r="AF120" s="612"/>
      <c r="AG120" s="612"/>
      <c r="AH120" s="612"/>
      <c r="AI120" s="612"/>
      <c r="AJ120" s="612"/>
      <c r="AK120" s="612"/>
      <c r="AL120" s="612"/>
      <c r="AM120" s="612"/>
      <c r="AN120" s="612"/>
      <c r="AO120" s="612"/>
      <c r="AP120" s="612"/>
      <c r="AQ120" s="612"/>
      <c r="AR120" s="612"/>
      <c r="AS120" s="612"/>
      <c r="AT120" s="612"/>
      <c r="AU120" s="612"/>
      <c r="AV120" s="612"/>
      <c r="AW120" s="612"/>
      <c r="AX120" s="612"/>
      <c r="AY120" s="612"/>
      <c r="AZ120" s="612"/>
      <c r="BA120" s="612"/>
      <c r="BB120" s="612"/>
      <c r="BC120" s="612"/>
      <c r="BD120" s="612"/>
      <c r="BE120" s="612"/>
      <c r="BF120" s="555"/>
      <c r="BG120" s="616">
        <f t="shared" si="30"/>
        <v>0</v>
      </c>
      <c r="BH120" s="590"/>
      <c r="BL120" s="72">
        <v>0</v>
      </c>
    </row>
    <row r="121" spans="2:64" x14ac:dyDescent="0.3">
      <c r="B121" s="498" t="s">
        <v>1445</v>
      </c>
      <c r="C121" s="1264" t="s">
        <v>1446</v>
      </c>
      <c r="E121" s="499"/>
      <c r="F121" s="555"/>
      <c r="G121" s="612"/>
      <c r="H121" s="612"/>
      <c r="I121" s="612"/>
      <c r="J121" s="612"/>
      <c r="K121" s="612"/>
      <c r="L121" s="612"/>
      <c r="M121" s="612"/>
      <c r="N121" s="612"/>
      <c r="O121" s="612"/>
      <c r="P121" s="612"/>
      <c r="Q121" s="612"/>
      <c r="R121" s="612"/>
      <c r="S121" s="612"/>
      <c r="T121" s="612"/>
      <c r="U121" s="612"/>
      <c r="V121" s="612"/>
      <c r="W121" s="612"/>
      <c r="X121" s="612"/>
      <c r="Y121" s="612"/>
      <c r="Z121" s="612"/>
      <c r="AA121" s="612"/>
      <c r="AB121" s="612"/>
      <c r="AC121" s="612"/>
      <c r="AD121" s="612"/>
      <c r="AE121" s="612"/>
      <c r="AF121" s="612"/>
      <c r="AG121" s="612"/>
      <c r="AH121" s="612"/>
      <c r="AI121" s="612"/>
      <c r="AJ121" s="612"/>
      <c r="AK121" s="612"/>
      <c r="AL121" s="612"/>
      <c r="AM121" s="612"/>
      <c r="AN121" s="612"/>
      <c r="AO121" s="612"/>
      <c r="AP121" s="612"/>
      <c r="AQ121" s="612"/>
      <c r="AR121" s="612"/>
      <c r="AS121" s="612"/>
      <c r="AT121" s="612"/>
      <c r="AU121" s="612"/>
      <c r="AV121" s="612"/>
      <c r="AW121" s="612"/>
      <c r="AX121" s="612"/>
      <c r="AY121" s="612"/>
      <c r="AZ121" s="612"/>
      <c r="BA121" s="612"/>
      <c r="BB121" s="612"/>
      <c r="BC121" s="612"/>
      <c r="BD121" s="612"/>
      <c r="BE121" s="612"/>
      <c r="BF121" s="555"/>
      <c r="BG121" s="616">
        <f t="shared" si="30"/>
        <v>0</v>
      </c>
      <c r="BH121" s="590"/>
      <c r="BL121" s="72">
        <v>0</v>
      </c>
    </row>
    <row r="122" spans="2:64" x14ac:dyDescent="0.3">
      <c r="B122" s="498" t="s">
        <v>1447</v>
      </c>
      <c r="C122" s="1264" t="s">
        <v>1448</v>
      </c>
      <c r="E122" s="499"/>
      <c r="F122" s="555"/>
      <c r="G122" s="612"/>
      <c r="H122" s="612"/>
      <c r="I122" s="612"/>
      <c r="J122" s="612"/>
      <c r="K122" s="612"/>
      <c r="L122" s="612"/>
      <c r="M122" s="612"/>
      <c r="N122" s="612"/>
      <c r="O122" s="612"/>
      <c r="P122" s="612"/>
      <c r="Q122" s="612"/>
      <c r="R122" s="633">
        <f>-'BG '!K14/1000000+'Emprunt ACE'!I35/1000000</f>
        <v>188.25787299999999</v>
      </c>
      <c r="S122" s="612"/>
      <c r="T122" s="612"/>
      <c r="U122" s="612"/>
      <c r="V122" s="612"/>
      <c r="W122" s="612"/>
      <c r="X122" s="612"/>
      <c r="Y122" s="612"/>
      <c r="Z122" s="612"/>
      <c r="AA122" s="612"/>
      <c r="AB122" s="612"/>
      <c r="AC122" s="612"/>
      <c r="AD122" s="612"/>
      <c r="AE122" s="612"/>
      <c r="AF122" s="612"/>
      <c r="AG122" s="612"/>
      <c r="AH122" s="612"/>
      <c r="AI122" s="612"/>
      <c r="AJ122" s="612"/>
      <c r="AK122" s="612"/>
      <c r="AL122" s="612"/>
      <c r="AM122" s="612"/>
      <c r="AN122" s="612"/>
      <c r="AO122" s="612"/>
      <c r="AP122" s="612"/>
      <c r="AQ122" s="612"/>
      <c r="AR122" s="612"/>
      <c r="AS122" s="612"/>
      <c r="AT122" s="612"/>
      <c r="AU122" s="612"/>
      <c r="AV122" s="612"/>
      <c r="AW122" s="612"/>
      <c r="AX122" s="612"/>
      <c r="AY122" s="612"/>
      <c r="AZ122" s="612"/>
      <c r="BA122" s="612"/>
      <c r="BB122" s="612"/>
      <c r="BC122" s="612"/>
      <c r="BD122" s="612"/>
      <c r="BE122" s="612"/>
      <c r="BF122" s="555"/>
      <c r="BG122" s="616">
        <f t="shared" si="30"/>
        <v>188.25787299999999</v>
      </c>
      <c r="BH122" s="590"/>
      <c r="BL122" s="72">
        <v>188.25787299999999</v>
      </c>
    </row>
    <row r="123" spans="2:64" x14ac:dyDescent="0.3">
      <c r="B123" s="498" t="s">
        <v>1449</v>
      </c>
      <c r="C123" s="1264" t="s">
        <v>1450</v>
      </c>
      <c r="E123" s="499"/>
      <c r="F123" s="555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>
        <f>-SUM('BG '!K22,'BG '!K21,'BG '!K23)/10^6*0</f>
        <v>0</v>
      </c>
      <c r="T123" s="612"/>
      <c r="U123" s="612"/>
      <c r="V123" s="612"/>
      <c r="W123" s="612"/>
      <c r="X123" s="612"/>
      <c r="Y123" s="612"/>
      <c r="Z123" s="612"/>
      <c r="AA123" s="612"/>
      <c r="AB123" s="612"/>
      <c r="AC123" s="612"/>
      <c r="AD123" s="612"/>
      <c r="AE123" s="612"/>
      <c r="AF123" s="612"/>
      <c r="AG123" s="612"/>
      <c r="AH123" s="612"/>
      <c r="AI123" s="612"/>
      <c r="AJ123" s="612"/>
      <c r="AK123" s="612"/>
      <c r="AL123" s="612"/>
      <c r="AM123" s="612"/>
      <c r="AN123" s="612"/>
      <c r="AO123" s="612"/>
      <c r="AP123" s="612"/>
      <c r="AQ123" s="612"/>
      <c r="AR123" s="612"/>
      <c r="AS123" s="612"/>
      <c r="AT123" s="612"/>
      <c r="AU123" s="612"/>
      <c r="AV123" s="612"/>
      <c r="AW123" s="612"/>
      <c r="AX123" s="612"/>
      <c r="AY123" s="612"/>
      <c r="AZ123" s="612"/>
      <c r="BA123" s="612"/>
      <c r="BB123" s="612"/>
      <c r="BC123" s="612"/>
      <c r="BD123" s="612"/>
      <c r="BE123" s="612"/>
      <c r="BF123" s="555"/>
      <c r="BG123" s="616">
        <f t="shared" si="30"/>
        <v>0</v>
      </c>
      <c r="BH123" s="590"/>
      <c r="BL123" s="72">
        <v>734.22814700000004</v>
      </c>
    </row>
    <row r="124" spans="2:64" x14ac:dyDescent="0.3">
      <c r="B124" s="498" t="s">
        <v>1451</v>
      </c>
      <c r="C124" s="1264" t="s">
        <v>1452</v>
      </c>
      <c r="E124" s="499"/>
      <c r="F124" s="555"/>
      <c r="G124" s="612"/>
      <c r="H124" s="612"/>
      <c r="I124" s="612"/>
      <c r="J124" s="612"/>
      <c r="K124" s="612"/>
      <c r="L124" s="612"/>
      <c r="M124" s="612"/>
      <c r="N124" s="612"/>
      <c r="O124" s="612"/>
      <c r="P124" s="612"/>
      <c r="Q124" s="612"/>
      <c r="R124" s="612"/>
      <c r="S124" s="612"/>
      <c r="T124" s="612"/>
      <c r="U124" s="612"/>
      <c r="V124" s="612"/>
      <c r="W124" s="612"/>
      <c r="X124" s="612"/>
      <c r="Y124" s="612"/>
      <c r="Z124" s="612"/>
      <c r="AA124" s="612"/>
      <c r="AB124" s="612"/>
      <c r="AC124" s="612"/>
      <c r="AD124" s="612"/>
      <c r="AE124" s="612"/>
      <c r="AF124" s="612"/>
      <c r="AG124" s="612"/>
      <c r="AH124" s="612"/>
      <c r="AI124" s="612"/>
      <c r="AJ124" s="612"/>
      <c r="AK124" s="612"/>
      <c r="AL124" s="612"/>
      <c r="AM124" s="612"/>
      <c r="AN124" s="612"/>
      <c r="AO124" s="612"/>
      <c r="AP124" s="612"/>
      <c r="AQ124" s="612"/>
      <c r="AR124" s="612"/>
      <c r="AS124" s="612"/>
      <c r="AT124" s="612"/>
      <c r="AU124" s="612"/>
      <c r="AV124" s="612"/>
      <c r="AW124" s="612"/>
      <c r="AX124" s="612"/>
      <c r="AY124" s="612"/>
      <c r="AZ124" s="612"/>
      <c r="BA124" s="612"/>
      <c r="BB124" s="612"/>
      <c r="BC124" s="612"/>
      <c r="BD124" s="612"/>
      <c r="BE124" s="612"/>
      <c r="BF124" s="555"/>
      <c r="BG124" s="616">
        <f t="shared" si="30"/>
        <v>0</v>
      </c>
      <c r="BH124" s="590"/>
      <c r="BL124" s="72">
        <v>0</v>
      </c>
    </row>
    <row r="125" spans="2:64" x14ac:dyDescent="0.3">
      <c r="B125" s="498" t="s">
        <v>1453</v>
      </c>
      <c r="C125" s="1264" t="s">
        <v>1454</v>
      </c>
      <c r="E125" s="499"/>
      <c r="F125" s="555"/>
      <c r="G125" s="612"/>
      <c r="H125" s="612"/>
      <c r="I125" s="612"/>
      <c r="J125" s="612"/>
      <c r="K125" s="612"/>
      <c r="L125" s="612"/>
      <c r="M125" s="612"/>
      <c r="N125" s="612"/>
      <c r="O125" s="612"/>
      <c r="P125" s="612"/>
      <c r="Q125" s="612"/>
      <c r="R125" s="612"/>
      <c r="S125" s="612"/>
      <c r="T125" s="612"/>
      <c r="U125" s="612"/>
      <c r="V125" s="612"/>
      <c r="W125" s="612"/>
      <c r="X125" s="612"/>
      <c r="Y125" s="612"/>
      <c r="Z125" s="612"/>
      <c r="AA125" s="612"/>
      <c r="AB125" s="612"/>
      <c r="AC125" s="612"/>
      <c r="AD125" s="612"/>
      <c r="AE125" s="612"/>
      <c r="AF125" s="612"/>
      <c r="AG125" s="612"/>
      <c r="AH125" s="612"/>
      <c r="AI125" s="612"/>
      <c r="AJ125" s="612"/>
      <c r="AK125" s="612"/>
      <c r="AL125" s="612"/>
      <c r="AM125" s="612"/>
      <c r="AN125" s="612"/>
      <c r="AO125" s="612"/>
      <c r="AP125" s="612"/>
      <c r="AQ125" s="612"/>
      <c r="AR125" s="612"/>
      <c r="AS125" s="612"/>
      <c r="AT125" s="612"/>
      <c r="AU125" s="612"/>
      <c r="AV125" s="612"/>
      <c r="AW125" s="612"/>
      <c r="AX125" s="612"/>
      <c r="AY125" s="612"/>
      <c r="AZ125" s="612"/>
      <c r="BA125" s="612"/>
      <c r="BB125" s="612"/>
      <c r="BC125" s="612"/>
      <c r="BD125" s="612"/>
      <c r="BE125" s="612"/>
      <c r="BF125" s="555"/>
      <c r="BG125" s="616">
        <f t="shared" si="30"/>
        <v>0</v>
      </c>
      <c r="BH125" s="590"/>
      <c r="BL125" s="72">
        <v>0</v>
      </c>
    </row>
    <row r="126" spans="2:64" x14ac:dyDescent="0.3">
      <c r="B126" s="498" t="s">
        <v>1455</v>
      </c>
      <c r="C126" s="1264" t="s">
        <v>1456</v>
      </c>
      <c r="E126" s="499"/>
      <c r="F126" s="555"/>
      <c r="G126" s="612"/>
      <c r="H126" s="612"/>
      <c r="I126" s="612"/>
      <c r="J126" s="612"/>
      <c r="K126" s="612"/>
      <c r="L126" s="612"/>
      <c r="M126" s="612"/>
      <c r="N126" s="612"/>
      <c r="O126" s="612"/>
      <c r="P126" s="612"/>
      <c r="Q126" s="612"/>
      <c r="R126" s="612"/>
      <c r="S126" s="612"/>
      <c r="T126" s="612"/>
      <c r="U126" s="612"/>
      <c r="V126" s="612"/>
      <c r="W126" s="612"/>
      <c r="X126" s="1693">
        <f>-SUM('BG '!K293:K446)/1000000</f>
        <v>16096.999173</v>
      </c>
      <c r="Y126" s="612"/>
      <c r="Z126" s="612"/>
      <c r="AA126" s="612"/>
      <c r="AB126" s="612"/>
      <c r="AC126" s="612"/>
      <c r="AD126" s="612"/>
      <c r="AE126" s="612"/>
      <c r="AF126" s="612"/>
      <c r="AG126" s="612"/>
      <c r="AH126" s="612"/>
      <c r="AI126" s="612"/>
      <c r="AJ126" s="612"/>
      <c r="AK126" s="612"/>
      <c r="AL126" s="612"/>
      <c r="AM126" s="612"/>
      <c r="AN126" s="612"/>
      <c r="AO126" s="612"/>
      <c r="AP126" s="612"/>
      <c r="AQ126" s="612"/>
      <c r="AR126" s="612"/>
      <c r="AS126" s="612"/>
      <c r="AT126" s="612"/>
      <c r="AU126" s="612"/>
      <c r="AV126" s="612"/>
      <c r="AW126" s="612"/>
      <c r="AX126" s="612"/>
      <c r="AY126" s="612"/>
      <c r="AZ126" s="612"/>
      <c r="BA126" s="612"/>
      <c r="BB126" s="612"/>
      <c r="BC126" s="612"/>
      <c r="BD126" s="612"/>
      <c r="BE126" s="612"/>
      <c r="BF126" s="555"/>
      <c r="BG126" s="616">
        <f t="shared" si="30"/>
        <v>16096.999173</v>
      </c>
      <c r="BH126" s="590"/>
      <c r="BL126" s="72">
        <v>20991.812396000001</v>
      </c>
    </row>
    <row r="127" spans="2:64" x14ac:dyDescent="0.3">
      <c r="B127" s="498" t="s">
        <v>1457</v>
      </c>
      <c r="C127" s="1264" t="s">
        <v>1458</v>
      </c>
      <c r="E127" s="499"/>
      <c r="F127" s="555"/>
      <c r="G127" s="612"/>
      <c r="H127" s="612"/>
      <c r="I127" s="612"/>
      <c r="J127" s="612"/>
      <c r="K127" s="612"/>
      <c r="L127" s="612"/>
      <c r="M127" s="612"/>
      <c r="N127" s="612"/>
      <c r="O127" s="612"/>
      <c r="P127" s="612"/>
      <c r="Q127" s="612"/>
      <c r="R127" s="612"/>
      <c r="S127" s="612"/>
      <c r="T127" s="612"/>
      <c r="U127" s="612"/>
      <c r="V127" s="612"/>
      <c r="W127" s="612"/>
      <c r="X127" s="612"/>
      <c r="Y127" s="612"/>
      <c r="Z127" s="612"/>
      <c r="AA127" s="612"/>
      <c r="AB127" s="612"/>
      <c r="AC127" s="612"/>
      <c r="AD127" s="612"/>
      <c r="AE127" s="612"/>
      <c r="AF127" s="612"/>
      <c r="AG127" s="612"/>
      <c r="AH127" s="612"/>
      <c r="AI127" s="612"/>
      <c r="AJ127" s="612"/>
      <c r="AK127" s="612"/>
      <c r="AL127" s="612"/>
      <c r="AM127" s="612"/>
      <c r="AN127" s="612"/>
      <c r="AO127" s="612"/>
      <c r="AP127" s="612"/>
      <c r="AQ127" s="612"/>
      <c r="AR127" s="612"/>
      <c r="AS127" s="612"/>
      <c r="AT127" s="612"/>
      <c r="AU127" s="612"/>
      <c r="AV127" s="612"/>
      <c r="AW127" s="612"/>
      <c r="AX127" s="612"/>
      <c r="AY127" s="612"/>
      <c r="AZ127" s="612"/>
      <c r="BA127" s="612"/>
      <c r="BB127" s="612"/>
      <c r="BC127" s="612"/>
      <c r="BD127" s="612"/>
      <c r="BE127" s="612"/>
      <c r="BF127" s="555"/>
      <c r="BG127" s="616">
        <f t="shared" si="30"/>
        <v>0</v>
      </c>
      <c r="BH127" s="590"/>
      <c r="BL127" s="72">
        <v>0</v>
      </c>
    </row>
    <row r="128" spans="2:64" s="2" customFormat="1" ht="21.9" customHeight="1" thickBot="1" x14ac:dyDescent="0.35">
      <c r="B128" s="507" t="s">
        <v>1459</v>
      </c>
      <c r="C128" s="1388" t="s">
        <v>1460</v>
      </c>
      <c r="D128" s="467"/>
      <c r="E128" s="513">
        <f>+SUM(E113:E127)</f>
        <v>0</v>
      </c>
      <c r="F128" s="605"/>
      <c r="G128" s="617">
        <f t="shared" ref="G128:X128" si="31">+SUM(G113:G127)</f>
        <v>0</v>
      </c>
      <c r="H128" s="617">
        <f t="shared" si="31"/>
        <v>0</v>
      </c>
      <c r="I128" s="617">
        <f t="shared" si="31"/>
        <v>0</v>
      </c>
      <c r="J128" s="617">
        <f t="shared" si="31"/>
        <v>0</v>
      </c>
      <c r="K128" s="617">
        <f t="shared" si="31"/>
        <v>0</v>
      </c>
      <c r="L128" s="617">
        <f t="shared" si="31"/>
        <v>0</v>
      </c>
      <c r="M128" s="617">
        <f t="shared" si="31"/>
        <v>0</v>
      </c>
      <c r="N128" s="617">
        <f t="shared" si="31"/>
        <v>0</v>
      </c>
      <c r="O128" s="617">
        <f t="shared" si="31"/>
        <v>0</v>
      </c>
      <c r="P128" s="617">
        <f t="shared" si="31"/>
        <v>0</v>
      </c>
      <c r="Q128" s="618">
        <f t="shared" si="31"/>
        <v>0</v>
      </c>
      <c r="R128" s="618">
        <f t="shared" si="31"/>
        <v>14688.279473278386</v>
      </c>
      <c r="S128" s="618">
        <f t="shared" si="31"/>
        <v>692.693489</v>
      </c>
      <c r="T128" s="618">
        <f t="shared" si="31"/>
        <v>0</v>
      </c>
      <c r="U128" s="618">
        <f t="shared" si="31"/>
        <v>0</v>
      </c>
      <c r="V128" s="618">
        <f t="shared" si="31"/>
        <v>0</v>
      </c>
      <c r="W128" s="618">
        <f t="shared" si="31"/>
        <v>0</v>
      </c>
      <c r="X128" s="618">
        <f t="shared" si="31"/>
        <v>16096.999173</v>
      </c>
      <c r="Y128" s="618"/>
      <c r="Z128" s="618">
        <f t="shared" ref="Z128:BE128" si="32">+SUM(Z113:Z127)</f>
        <v>0</v>
      </c>
      <c r="AA128" s="618">
        <f t="shared" si="32"/>
        <v>0</v>
      </c>
      <c r="AB128" s="618">
        <f t="shared" si="32"/>
        <v>0</v>
      </c>
      <c r="AC128" s="618">
        <f t="shared" si="32"/>
        <v>0</v>
      </c>
      <c r="AD128" s="618">
        <f t="shared" si="32"/>
        <v>0</v>
      </c>
      <c r="AE128" s="618">
        <f t="shared" si="32"/>
        <v>0</v>
      </c>
      <c r="AF128" s="618">
        <f t="shared" si="32"/>
        <v>0</v>
      </c>
      <c r="AG128" s="618">
        <f t="shared" si="32"/>
        <v>0</v>
      </c>
      <c r="AH128" s="618">
        <f t="shared" si="32"/>
        <v>0</v>
      </c>
      <c r="AI128" s="618">
        <f t="shared" si="32"/>
        <v>0</v>
      </c>
      <c r="AJ128" s="618">
        <f t="shared" si="32"/>
        <v>0</v>
      </c>
      <c r="AK128" s="618">
        <f t="shared" si="32"/>
        <v>0</v>
      </c>
      <c r="AL128" s="618">
        <f t="shared" si="32"/>
        <v>0</v>
      </c>
      <c r="AM128" s="618">
        <f t="shared" si="32"/>
        <v>0</v>
      </c>
      <c r="AN128" s="618">
        <f t="shared" si="32"/>
        <v>0</v>
      </c>
      <c r="AO128" s="618">
        <f t="shared" si="32"/>
        <v>0</v>
      </c>
      <c r="AP128" s="618">
        <f t="shared" si="32"/>
        <v>0</v>
      </c>
      <c r="AQ128" s="618">
        <f t="shared" si="32"/>
        <v>0</v>
      </c>
      <c r="AR128" s="618">
        <f t="shared" si="32"/>
        <v>0</v>
      </c>
      <c r="AS128" s="618">
        <f t="shared" si="32"/>
        <v>0</v>
      </c>
      <c r="AT128" s="618">
        <f t="shared" si="32"/>
        <v>0</v>
      </c>
      <c r="AU128" s="618">
        <f t="shared" si="32"/>
        <v>0</v>
      </c>
      <c r="AV128" s="618">
        <f t="shared" si="32"/>
        <v>0</v>
      </c>
      <c r="AW128" s="618">
        <f t="shared" si="32"/>
        <v>0</v>
      </c>
      <c r="AX128" s="618">
        <f t="shared" si="32"/>
        <v>0</v>
      </c>
      <c r="AY128" s="618">
        <f t="shared" si="32"/>
        <v>0</v>
      </c>
      <c r="AZ128" s="618">
        <f t="shared" si="32"/>
        <v>0</v>
      </c>
      <c r="BA128" s="618">
        <f t="shared" si="32"/>
        <v>0</v>
      </c>
      <c r="BB128" s="618">
        <f t="shared" si="32"/>
        <v>0</v>
      </c>
      <c r="BC128" s="618">
        <f t="shared" si="32"/>
        <v>0</v>
      </c>
      <c r="BD128" s="618">
        <f t="shared" si="32"/>
        <v>0</v>
      </c>
      <c r="BE128" s="618">
        <f t="shared" si="32"/>
        <v>0</v>
      </c>
      <c r="BF128" s="605"/>
      <c r="BG128" s="618">
        <f>+SUM(BG113:BG127)</f>
        <v>31477.972135278385</v>
      </c>
      <c r="BH128" s="610"/>
      <c r="BK128"/>
      <c r="BL128" s="2">
        <v>35151.156331278384</v>
      </c>
    </row>
    <row r="129" spans="2:64" ht="12" customHeight="1" x14ac:dyDescent="0.3">
      <c r="E129" s="490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55"/>
      <c r="AB129" s="555"/>
      <c r="AC129" s="555"/>
      <c r="AD129" s="555"/>
      <c r="AE129" s="555"/>
      <c r="AF129" s="555"/>
      <c r="AG129" s="555"/>
      <c r="AH129" s="555"/>
      <c r="AI129" s="555"/>
      <c r="AJ129" s="555"/>
      <c r="AK129" s="555"/>
      <c r="AL129" s="555"/>
      <c r="AM129" s="555"/>
      <c r="AN129" s="555"/>
      <c r="AO129" s="555"/>
      <c r="AP129" s="555"/>
      <c r="AQ129" s="555"/>
      <c r="AR129" s="555"/>
      <c r="AS129" s="555"/>
      <c r="AT129" s="555"/>
      <c r="AU129" s="555"/>
      <c r="AV129" s="555"/>
      <c r="AW129" s="555"/>
      <c r="AX129" s="555"/>
      <c r="AY129" s="555"/>
      <c r="AZ129" s="555"/>
      <c r="BA129" s="555"/>
      <c r="BB129" s="555"/>
      <c r="BC129" s="555"/>
      <c r="BD129" s="555"/>
      <c r="BE129" s="555"/>
      <c r="BF129" s="555"/>
      <c r="BG129" s="605"/>
      <c r="BH129" s="590"/>
    </row>
    <row r="130" spans="2:64" x14ac:dyDescent="0.3">
      <c r="B130" s="498" t="s">
        <v>1461</v>
      </c>
      <c r="C130" s="1264" t="s">
        <v>1462</v>
      </c>
      <c r="E130" s="499"/>
      <c r="F130" s="555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612"/>
      <c r="AB130" s="612"/>
      <c r="AC130" s="612"/>
      <c r="AD130" s="612"/>
      <c r="AE130" s="612"/>
      <c r="AF130" s="612"/>
      <c r="AG130" s="612"/>
      <c r="AH130" s="612"/>
      <c r="AI130" s="612"/>
      <c r="AJ130" s="612"/>
      <c r="AK130" s="612"/>
      <c r="AL130" s="612"/>
      <c r="AM130" s="612"/>
      <c r="AN130" s="612"/>
      <c r="AO130" s="612"/>
      <c r="AP130" s="612"/>
      <c r="AQ130" s="612"/>
      <c r="AR130" s="612"/>
      <c r="AS130" s="612"/>
      <c r="AT130" s="612"/>
      <c r="AU130" s="612"/>
      <c r="AV130" s="612"/>
      <c r="AW130" s="612"/>
      <c r="AX130" s="612"/>
      <c r="AY130" s="612"/>
      <c r="AZ130" s="612"/>
      <c r="BA130" s="612"/>
      <c r="BB130" s="612"/>
      <c r="BC130" s="612"/>
      <c r="BD130" s="612"/>
      <c r="BE130" s="612"/>
      <c r="BF130" s="555"/>
      <c r="BG130" s="616">
        <f>+SUM(E130:BE130)</f>
        <v>0</v>
      </c>
      <c r="BH130" s="590"/>
      <c r="BL130" s="72">
        <v>0</v>
      </c>
    </row>
    <row r="131" spans="2:64" s="2" customFormat="1" ht="21.9" customHeight="1" thickBot="1" x14ac:dyDescent="0.35">
      <c r="B131" s="507" t="s">
        <v>1463</v>
      </c>
      <c r="C131" s="1388" t="s">
        <v>1464</v>
      </c>
      <c r="D131" s="467"/>
      <c r="E131" s="513">
        <f>+E130</f>
        <v>0</v>
      </c>
      <c r="F131" s="605"/>
      <c r="G131" s="617">
        <f t="shared" ref="G131:BE131" si="33">+G130</f>
        <v>0</v>
      </c>
      <c r="H131" s="617">
        <f t="shared" si="33"/>
        <v>0</v>
      </c>
      <c r="I131" s="617">
        <f t="shared" si="33"/>
        <v>0</v>
      </c>
      <c r="J131" s="617">
        <f t="shared" si="33"/>
        <v>0</v>
      </c>
      <c r="K131" s="617">
        <f t="shared" si="33"/>
        <v>0</v>
      </c>
      <c r="L131" s="617">
        <f t="shared" si="33"/>
        <v>0</v>
      </c>
      <c r="M131" s="617">
        <f t="shared" si="33"/>
        <v>0</v>
      </c>
      <c r="N131" s="617">
        <f t="shared" si="33"/>
        <v>0</v>
      </c>
      <c r="O131" s="617">
        <f t="shared" si="33"/>
        <v>0</v>
      </c>
      <c r="P131" s="617">
        <f t="shared" si="33"/>
        <v>0</v>
      </c>
      <c r="Q131" s="618">
        <f t="shared" si="33"/>
        <v>0</v>
      </c>
      <c r="R131" s="618">
        <f t="shared" si="33"/>
        <v>0</v>
      </c>
      <c r="S131" s="618">
        <f t="shared" si="33"/>
        <v>0</v>
      </c>
      <c r="T131" s="618">
        <f t="shared" si="33"/>
        <v>0</v>
      </c>
      <c r="U131" s="618">
        <f t="shared" si="33"/>
        <v>0</v>
      </c>
      <c r="V131" s="618">
        <f t="shared" si="33"/>
        <v>0</v>
      </c>
      <c r="W131" s="618">
        <f t="shared" si="33"/>
        <v>0</v>
      </c>
      <c r="X131" s="618">
        <f t="shared" si="33"/>
        <v>0</v>
      </c>
      <c r="Y131" s="618">
        <f t="shared" si="33"/>
        <v>0</v>
      </c>
      <c r="Z131" s="618">
        <f t="shared" si="33"/>
        <v>0</v>
      </c>
      <c r="AA131" s="618">
        <f t="shared" si="33"/>
        <v>0</v>
      </c>
      <c r="AB131" s="618">
        <f t="shared" si="33"/>
        <v>0</v>
      </c>
      <c r="AC131" s="618">
        <f t="shared" si="33"/>
        <v>0</v>
      </c>
      <c r="AD131" s="618">
        <f t="shared" si="33"/>
        <v>0</v>
      </c>
      <c r="AE131" s="618">
        <f t="shared" si="33"/>
        <v>0</v>
      </c>
      <c r="AF131" s="618">
        <f t="shared" si="33"/>
        <v>0</v>
      </c>
      <c r="AG131" s="618">
        <f t="shared" si="33"/>
        <v>0</v>
      </c>
      <c r="AH131" s="618">
        <f t="shared" si="33"/>
        <v>0</v>
      </c>
      <c r="AI131" s="618">
        <f t="shared" si="33"/>
        <v>0</v>
      </c>
      <c r="AJ131" s="618">
        <f t="shared" si="33"/>
        <v>0</v>
      </c>
      <c r="AK131" s="618">
        <f t="shared" si="33"/>
        <v>0</v>
      </c>
      <c r="AL131" s="618">
        <f t="shared" si="33"/>
        <v>0</v>
      </c>
      <c r="AM131" s="618">
        <f t="shared" si="33"/>
        <v>0</v>
      </c>
      <c r="AN131" s="618">
        <f t="shared" si="33"/>
        <v>0</v>
      </c>
      <c r="AO131" s="618">
        <f t="shared" si="33"/>
        <v>0</v>
      </c>
      <c r="AP131" s="618">
        <f t="shared" si="33"/>
        <v>0</v>
      </c>
      <c r="AQ131" s="618">
        <f t="shared" si="33"/>
        <v>0</v>
      </c>
      <c r="AR131" s="618">
        <f t="shared" si="33"/>
        <v>0</v>
      </c>
      <c r="AS131" s="618">
        <f t="shared" si="33"/>
        <v>0</v>
      </c>
      <c r="AT131" s="618">
        <f t="shared" si="33"/>
        <v>0</v>
      </c>
      <c r="AU131" s="618">
        <f t="shared" si="33"/>
        <v>0</v>
      </c>
      <c r="AV131" s="618">
        <f t="shared" si="33"/>
        <v>0</v>
      </c>
      <c r="AW131" s="618">
        <f t="shared" si="33"/>
        <v>0</v>
      </c>
      <c r="AX131" s="618">
        <f t="shared" si="33"/>
        <v>0</v>
      </c>
      <c r="AY131" s="618">
        <f t="shared" si="33"/>
        <v>0</v>
      </c>
      <c r="AZ131" s="618">
        <f t="shared" si="33"/>
        <v>0</v>
      </c>
      <c r="BA131" s="618">
        <f t="shared" si="33"/>
        <v>0</v>
      </c>
      <c r="BB131" s="618">
        <f t="shared" si="33"/>
        <v>0</v>
      </c>
      <c r="BC131" s="618">
        <f t="shared" si="33"/>
        <v>0</v>
      </c>
      <c r="BD131" s="618">
        <f t="shared" si="33"/>
        <v>0</v>
      </c>
      <c r="BE131" s="618">
        <f t="shared" si="33"/>
        <v>0</v>
      </c>
      <c r="BF131" s="605"/>
      <c r="BG131" s="618">
        <f>+BG130</f>
        <v>0</v>
      </c>
      <c r="BH131" s="610"/>
      <c r="BK131"/>
      <c r="BL131" s="2">
        <v>0</v>
      </c>
    </row>
    <row r="132" spans="2:64" ht="12" customHeight="1" x14ac:dyDescent="0.3">
      <c r="E132" s="490"/>
      <c r="F132" s="555"/>
      <c r="G132" s="555"/>
      <c r="H132" s="555"/>
      <c r="I132" s="555"/>
      <c r="J132" s="555"/>
      <c r="K132" s="555"/>
      <c r="L132" s="555"/>
      <c r="M132" s="555"/>
      <c r="N132" s="555"/>
      <c r="O132" s="555"/>
      <c r="P132" s="555"/>
      <c r="Q132" s="555"/>
      <c r="R132" s="555"/>
      <c r="S132" s="555"/>
      <c r="T132" s="555"/>
      <c r="U132" s="555"/>
      <c r="V132" s="555"/>
      <c r="W132" s="555"/>
      <c r="X132" s="555"/>
      <c r="Y132" s="555"/>
      <c r="Z132" s="555"/>
      <c r="AA132" s="555"/>
      <c r="AB132" s="555"/>
      <c r="AC132" s="555"/>
      <c r="AD132" s="555"/>
      <c r="AE132" s="555"/>
      <c r="AF132" s="555"/>
      <c r="AG132" s="555"/>
      <c r="AH132" s="555"/>
      <c r="AI132" s="555"/>
      <c r="AJ132" s="555"/>
      <c r="AK132" s="555"/>
      <c r="AL132" s="555"/>
      <c r="AM132" s="555"/>
      <c r="AN132" s="555"/>
      <c r="AO132" s="555"/>
      <c r="AP132" s="555"/>
      <c r="AQ132" s="555"/>
      <c r="AR132" s="555"/>
      <c r="AS132" s="555"/>
      <c r="AT132" s="555"/>
      <c r="AU132" s="555"/>
      <c r="AV132" s="555"/>
      <c r="AW132" s="555"/>
      <c r="AX132" s="555"/>
      <c r="AY132" s="555"/>
      <c r="AZ132" s="555"/>
      <c r="BA132" s="555"/>
      <c r="BB132" s="555"/>
      <c r="BC132" s="555"/>
      <c r="BD132" s="555"/>
      <c r="BE132" s="555"/>
      <c r="BF132" s="555"/>
      <c r="BG132" s="605"/>
      <c r="BH132" s="590"/>
    </row>
    <row r="133" spans="2:64" x14ac:dyDescent="0.3">
      <c r="C133" s="1394" t="s">
        <v>1465</v>
      </c>
      <c r="E133" s="482">
        <f>+'Bilan Passif '!C46/10^6</f>
        <v>89.314487999999997</v>
      </c>
      <c r="F133" s="555"/>
      <c r="G133" s="625"/>
      <c r="H133" s="625"/>
      <c r="I133" s="625"/>
      <c r="J133" s="625"/>
      <c r="K133" s="625"/>
      <c r="L133" s="625"/>
      <c r="M133" s="625"/>
      <c r="N133" s="625"/>
      <c r="O133" s="625"/>
      <c r="P133" s="625"/>
      <c r="Q133" s="626"/>
      <c r="R133" s="626"/>
      <c r="S133" s="626"/>
      <c r="T133" s="626"/>
      <c r="U133" s="626"/>
      <c r="V133" s="626"/>
      <c r="W133" s="626"/>
      <c r="X133" s="626"/>
      <c r="Y133" s="626"/>
      <c r="Z133" s="626"/>
      <c r="AA133" s="626"/>
      <c r="AB133" s="626"/>
      <c r="AC133" s="626"/>
      <c r="AD133" s="626"/>
      <c r="AE133" s="626"/>
      <c r="AF133" s="626"/>
      <c r="AG133" s="626"/>
      <c r="AH133" s="626"/>
      <c r="AI133" s="626"/>
      <c r="AJ133" s="626"/>
      <c r="AK133" s="626"/>
      <c r="AL133" s="626"/>
      <c r="AM133" s="626"/>
      <c r="AN133" s="626"/>
      <c r="AO133" s="626"/>
      <c r="AP133" s="626"/>
      <c r="AQ133" s="626"/>
      <c r="AR133" s="626"/>
      <c r="AS133" s="626"/>
      <c r="AT133" s="626"/>
      <c r="AU133" s="626"/>
      <c r="AV133" s="626"/>
      <c r="AW133" s="626"/>
      <c r="AX133" s="626"/>
      <c r="AY133" s="626"/>
      <c r="AZ133" s="626"/>
      <c r="BA133" s="626">
        <f>-222.456446-46.8762550000001+210.424885-18.481508-59.259073-107.739038+159.286241-4.09065</f>
        <v>-89.191844000000103</v>
      </c>
      <c r="BB133" s="626">
        <f>SUM('BG '!H271:I272)/1000000</f>
        <v>-0.122644</v>
      </c>
      <c r="BC133" s="626"/>
      <c r="BD133" s="626"/>
      <c r="BE133" s="626"/>
      <c r="BF133" s="555"/>
      <c r="BG133" s="608">
        <f>+SUM(E133:BE133)</f>
        <v>-1.054989429150055E-13</v>
      </c>
      <c r="BH133" s="590"/>
      <c r="BI133" s="460"/>
      <c r="BL133" s="72">
        <v>-1.0125233984581428E-13</v>
      </c>
    </row>
    <row r="134" spans="2:64" ht="12" customHeight="1" x14ac:dyDescent="0.3">
      <c r="E134" s="490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55"/>
      <c r="AB134" s="555"/>
      <c r="AC134" s="555"/>
      <c r="AD134" s="555"/>
      <c r="AE134" s="555"/>
      <c r="AF134" s="555"/>
      <c r="AG134" s="555"/>
      <c r="AH134" s="555"/>
      <c r="AI134" s="555"/>
      <c r="AJ134" s="555"/>
      <c r="AK134" s="555"/>
      <c r="AL134" s="555"/>
      <c r="AM134" s="555"/>
      <c r="AN134" s="555"/>
      <c r="AO134" s="555"/>
      <c r="AP134" s="555"/>
      <c r="AQ134" s="555"/>
      <c r="AR134" s="555"/>
      <c r="AS134" s="555"/>
      <c r="AT134" s="555"/>
      <c r="AU134" s="555"/>
      <c r="AV134" s="555"/>
      <c r="AW134" s="555"/>
      <c r="AX134" s="555"/>
      <c r="AY134" s="555"/>
      <c r="AZ134" s="555"/>
      <c r="BA134" s="555"/>
      <c r="BB134" s="555"/>
      <c r="BC134" s="555"/>
      <c r="BD134" s="555"/>
      <c r="BE134" s="555"/>
      <c r="BF134" s="555"/>
      <c r="BG134" s="605"/>
      <c r="BH134" s="590"/>
    </row>
    <row r="135" spans="2:64" x14ac:dyDescent="0.3">
      <c r="B135" s="498" t="s">
        <v>1466</v>
      </c>
      <c r="C135" s="1264" t="s">
        <v>1467</v>
      </c>
      <c r="E135" s="499"/>
      <c r="F135" s="555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612"/>
      <c r="AB135" s="612"/>
      <c r="AC135" s="612"/>
      <c r="AD135" s="612"/>
      <c r="AE135" s="612"/>
      <c r="AF135" s="612"/>
      <c r="AG135" s="612"/>
      <c r="AH135" s="612"/>
      <c r="AI135" s="612"/>
      <c r="AJ135" s="612"/>
      <c r="AK135" s="612"/>
      <c r="AL135" s="612"/>
      <c r="AM135" s="612"/>
      <c r="AN135" s="612"/>
      <c r="AO135" s="612"/>
      <c r="AP135" s="612"/>
      <c r="AQ135" s="612"/>
      <c r="AR135" s="612"/>
      <c r="AS135" s="612"/>
      <c r="AT135" s="612"/>
      <c r="AU135" s="612"/>
      <c r="AV135" s="612"/>
      <c r="AW135" s="612"/>
      <c r="AX135" s="612"/>
      <c r="AY135" s="612"/>
      <c r="AZ135" s="612"/>
      <c r="BA135" s="612"/>
      <c r="BB135" s="612"/>
      <c r="BC135" s="612"/>
      <c r="BD135" s="612"/>
      <c r="BE135" s="612"/>
      <c r="BF135" s="555"/>
      <c r="BG135" s="616">
        <f>+SUM(E135:BE135)</f>
        <v>0</v>
      </c>
      <c r="BH135" s="590"/>
      <c r="BL135" s="72">
        <v>0</v>
      </c>
    </row>
    <row r="136" spans="2:64" s="2" customFormat="1" ht="34.5" customHeight="1" thickBot="1" x14ac:dyDescent="0.35">
      <c r="B136" s="507" t="s">
        <v>1468</v>
      </c>
      <c r="C136" s="1388" t="s">
        <v>1469</v>
      </c>
      <c r="D136" s="467"/>
      <c r="E136" s="513">
        <f>+E135</f>
        <v>0</v>
      </c>
      <c r="F136" s="605"/>
      <c r="G136" s="617">
        <f t="shared" ref="G136:BE136" si="34">+G135</f>
        <v>0</v>
      </c>
      <c r="H136" s="617">
        <f t="shared" si="34"/>
        <v>0</v>
      </c>
      <c r="I136" s="617">
        <f t="shared" si="34"/>
        <v>0</v>
      </c>
      <c r="J136" s="617">
        <f t="shared" si="34"/>
        <v>0</v>
      </c>
      <c r="K136" s="617">
        <f t="shared" si="34"/>
        <v>0</v>
      </c>
      <c r="L136" s="617">
        <f t="shared" si="34"/>
        <v>0</v>
      </c>
      <c r="M136" s="617">
        <f t="shared" si="34"/>
        <v>0</v>
      </c>
      <c r="N136" s="617">
        <f t="shared" si="34"/>
        <v>0</v>
      </c>
      <c r="O136" s="617">
        <f t="shared" si="34"/>
        <v>0</v>
      </c>
      <c r="P136" s="617">
        <f t="shared" si="34"/>
        <v>0</v>
      </c>
      <c r="Q136" s="618">
        <f t="shared" si="34"/>
        <v>0</v>
      </c>
      <c r="R136" s="618">
        <f t="shared" si="34"/>
        <v>0</v>
      </c>
      <c r="S136" s="618">
        <f t="shared" si="34"/>
        <v>0</v>
      </c>
      <c r="T136" s="618">
        <f t="shared" si="34"/>
        <v>0</v>
      </c>
      <c r="U136" s="618">
        <f t="shared" si="34"/>
        <v>0</v>
      </c>
      <c r="V136" s="618">
        <f t="shared" si="34"/>
        <v>0</v>
      </c>
      <c r="W136" s="618">
        <f t="shared" si="34"/>
        <v>0</v>
      </c>
      <c r="X136" s="618">
        <f t="shared" si="34"/>
        <v>0</v>
      </c>
      <c r="Y136" s="618">
        <f t="shared" si="34"/>
        <v>0</v>
      </c>
      <c r="Z136" s="618">
        <f t="shared" si="34"/>
        <v>0</v>
      </c>
      <c r="AA136" s="618">
        <f t="shared" si="34"/>
        <v>0</v>
      </c>
      <c r="AB136" s="618">
        <f t="shared" si="34"/>
        <v>0</v>
      </c>
      <c r="AC136" s="618">
        <f t="shared" si="34"/>
        <v>0</v>
      </c>
      <c r="AD136" s="618">
        <f t="shared" si="34"/>
        <v>0</v>
      </c>
      <c r="AE136" s="618">
        <f t="shared" si="34"/>
        <v>0</v>
      </c>
      <c r="AF136" s="618">
        <f t="shared" si="34"/>
        <v>0</v>
      </c>
      <c r="AG136" s="618">
        <f t="shared" si="34"/>
        <v>0</v>
      </c>
      <c r="AH136" s="618">
        <f t="shared" si="34"/>
        <v>0</v>
      </c>
      <c r="AI136" s="618">
        <f t="shared" si="34"/>
        <v>0</v>
      </c>
      <c r="AJ136" s="618">
        <f t="shared" si="34"/>
        <v>0</v>
      </c>
      <c r="AK136" s="618">
        <f t="shared" si="34"/>
        <v>0</v>
      </c>
      <c r="AL136" s="618">
        <f t="shared" si="34"/>
        <v>0</v>
      </c>
      <c r="AM136" s="618">
        <f t="shared" si="34"/>
        <v>0</v>
      </c>
      <c r="AN136" s="618">
        <f t="shared" si="34"/>
        <v>0</v>
      </c>
      <c r="AO136" s="618">
        <f t="shared" si="34"/>
        <v>0</v>
      </c>
      <c r="AP136" s="618">
        <f t="shared" si="34"/>
        <v>0</v>
      </c>
      <c r="AQ136" s="618">
        <f t="shared" si="34"/>
        <v>0</v>
      </c>
      <c r="AR136" s="618">
        <f t="shared" si="34"/>
        <v>0</v>
      </c>
      <c r="AS136" s="618">
        <f t="shared" si="34"/>
        <v>0</v>
      </c>
      <c r="AT136" s="618">
        <f t="shared" si="34"/>
        <v>0</v>
      </c>
      <c r="AU136" s="618">
        <f t="shared" si="34"/>
        <v>0</v>
      </c>
      <c r="AV136" s="618">
        <f t="shared" si="34"/>
        <v>0</v>
      </c>
      <c r="AW136" s="618">
        <f t="shared" si="34"/>
        <v>0</v>
      </c>
      <c r="AX136" s="618">
        <f t="shared" si="34"/>
        <v>0</v>
      </c>
      <c r="AY136" s="618">
        <f t="shared" si="34"/>
        <v>0</v>
      </c>
      <c r="AZ136" s="618">
        <f t="shared" si="34"/>
        <v>0</v>
      </c>
      <c r="BA136" s="618">
        <f t="shared" si="34"/>
        <v>0</v>
      </c>
      <c r="BB136" s="618">
        <f t="shared" si="34"/>
        <v>0</v>
      </c>
      <c r="BC136" s="618">
        <f t="shared" si="34"/>
        <v>0</v>
      </c>
      <c r="BD136" s="618">
        <f t="shared" si="34"/>
        <v>0</v>
      </c>
      <c r="BE136" s="618">
        <f t="shared" si="34"/>
        <v>0</v>
      </c>
      <c r="BF136" s="605"/>
      <c r="BG136" s="618">
        <f>+BG135</f>
        <v>0</v>
      </c>
      <c r="BH136" s="610"/>
      <c r="BK136"/>
      <c r="BL136" s="2">
        <v>0</v>
      </c>
    </row>
    <row r="137" spans="2:64" ht="12" customHeight="1" thickBot="1" x14ac:dyDescent="0.35">
      <c r="E137" s="490"/>
      <c r="F137" s="555"/>
      <c r="G137" s="555"/>
      <c r="H137" s="555"/>
      <c r="I137" s="555"/>
      <c r="J137" s="555"/>
      <c r="K137" s="555"/>
      <c r="L137" s="555"/>
      <c r="M137" s="555"/>
      <c r="N137" s="555"/>
      <c r="O137" s="555"/>
      <c r="P137" s="555"/>
      <c r="Q137" s="555"/>
      <c r="R137" s="555"/>
      <c r="S137" s="555"/>
      <c r="T137" s="555"/>
      <c r="U137" s="555"/>
      <c r="V137" s="555"/>
      <c r="W137" s="555"/>
      <c r="X137" s="555"/>
      <c r="Y137" s="555"/>
      <c r="Z137" s="555"/>
      <c r="AA137" s="555"/>
      <c r="AB137" s="555"/>
      <c r="AC137" s="555"/>
      <c r="AD137" s="555"/>
      <c r="AE137" s="555"/>
      <c r="AF137" s="555"/>
      <c r="AG137" s="555"/>
      <c r="AH137" s="555"/>
      <c r="AI137" s="555"/>
      <c r="AJ137" s="555"/>
      <c r="AK137" s="555"/>
      <c r="AL137" s="555"/>
      <c r="AM137" s="555"/>
      <c r="AN137" s="555"/>
      <c r="AO137" s="555"/>
      <c r="AP137" s="555"/>
      <c r="AQ137" s="555"/>
      <c r="AR137" s="555"/>
      <c r="AS137" s="555"/>
      <c r="AT137" s="555"/>
      <c r="AU137" s="555"/>
      <c r="AV137" s="555"/>
      <c r="AW137" s="555"/>
      <c r="AX137" s="555"/>
      <c r="AY137" s="555"/>
      <c r="AZ137" s="555"/>
      <c r="BA137" s="555"/>
      <c r="BB137" s="555"/>
      <c r="BC137" s="555"/>
      <c r="BD137" s="555"/>
      <c r="BE137" s="555"/>
      <c r="BF137" s="555"/>
      <c r="BG137" s="605"/>
      <c r="BH137" s="590"/>
    </row>
    <row r="138" spans="2:64" s="6" customFormat="1" ht="24.9" customHeight="1" thickBot="1" x14ac:dyDescent="0.35">
      <c r="B138" s="533" t="s">
        <v>1470</v>
      </c>
      <c r="C138" s="1389" t="s">
        <v>1471</v>
      </c>
      <c r="D138" s="527"/>
      <c r="E138" s="536">
        <f>+E136+E133+E131+E128+E111+E104+E101+SUM(E71:E80)</f>
        <v>119566.579228</v>
      </c>
      <c r="F138" s="620"/>
      <c r="G138" s="621">
        <f t="shared" ref="G138:P138" si="35">+G136+G133+G131+G128+G111+G104+G101</f>
        <v>0</v>
      </c>
      <c r="H138" s="621">
        <f t="shared" si="35"/>
        <v>0</v>
      </c>
      <c r="I138" s="621">
        <f t="shared" si="35"/>
        <v>0</v>
      </c>
      <c r="J138" s="621">
        <f t="shared" si="35"/>
        <v>0</v>
      </c>
      <c r="K138" s="621">
        <f t="shared" si="35"/>
        <v>0</v>
      </c>
      <c r="L138" s="621">
        <f t="shared" si="35"/>
        <v>0</v>
      </c>
      <c r="M138" s="621">
        <f t="shared" si="35"/>
        <v>0</v>
      </c>
      <c r="N138" s="621">
        <f t="shared" si="35"/>
        <v>0</v>
      </c>
      <c r="O138" s="621">
        <f t="shared" si="35"/>
        <v>0</v>
      </c>
      <c r="P138" s="621">
        <f t="shared" si="35"/>
        <v>0</v>
      </c>
      <c r="Q138" s="536">
        <f t="shared" ref="Q138:AL138" si="36">+Q136+Q133+Q131+Q128+Q111+Q104+Q101+SUM(Q71:Q80)</f>
        <v>0</v>
      </c>
      <c r="R138" s="536">
        <f t="shared" si="36"/>
        <v>15016.820652278386</v>
      </c>
      <c r="S138" s="536">
        <f t="shared" si="36"/>
        <v>692.693489</v>
      </c>
      <c r="T138" s="536">
        <f t="shared" si="36"/>
        <v>0</v>
      </c>
      <c r="U138" s="536">
        <f t="shared" si="36"/>
        <v>0</v>
      </c>
      <c r="V138" s="536">
        <f t="shared" si="36"/>
        <v>0</v>
      </c>
      <c r="W138" s="536">
        <f t="shared" si="36"/>
        <v>0</v>
      </c>
      <c r="X138" s="536">
        <f>+X136+X133+X131+X128+X111+X104+X101+SUM(X71:X80)</f>
        <v>0</v>
      </c>
      <c r="Y138" s="536">
        <f t="shared" si="36"/>
        <v>0</v>
      </c>
      <c r="Z138" s="536">
        <f t="shared" si="36"/>
        <v>0</v>
      </c>
      <c r="AA138" s="536">
        <f t="shared" si="36"/>
        <v>0</v>
      </c>
      <c r="AB138" s="536">
        <f t="shared" si="36"/>
        <v>0</v>
      </c>
      <c r="AC138" s="536">
        <f t="shared" si="36"/>
        <v>0</v>
      </c>
      <c r="AD138" s="536">
        <f t="shared" si="36"/>
        <v>0</v>
      </c>
      <c r="AE138" s="536">
        <f t="shared" si="36"/>
        <v>0</v>
      </c>
      <c r="AF138" s="536">
        <f t="shared" si="36"/>
        <v>0</v>
      </c>
      <c r="AG138" s="536">
        <f t="shared" si="36"/>
        <v>0</v>
      </c>
      <c r="AH138" s="536">
        <f t="shared" si="36"/>
        <v>0</v>
      </c>
      <c r="AI138" s="536">
        <f t="shared" si="36"/>
        <v>0</v>
      </c>
      <c r="AJ138" s="536">
        <f t="shared" si="36"/>
        <v>0</v>
      </c>
      <c r="AK138" s="536">
        <f t="shared" si="36"/>
        <v>0</v>
      </c>
      <c r="AL138" s="536">
        <f t="shared" si="36"/>
        <v>0</v>
      </c>
      <c r="AM138" s="536">
        <f t="shared" ref="AM138:BE138" si="37">+AM136+AM133+AM131+AM128+AM111+AM104+AM101+SUM(AM71:AM80)</f>
        <v>0</v>
      </c>
      <c r="AN138" s="536">
        <f t="shared" si="37"/>
        <v>0</v>
      </c>
      <c r="AO138" s="536">
        <f t="shared" si="37"/>
        <v>0</v>
      </c>
      <c r="AP138" s="536">
        <f t="shared" si="37"/>
        <v>0</v>
      </c>
      <c r="AQ138" s="536">
        <f t="shared" si="37"/>
        <v>-104.26795799999999</v>
      </c>
      <c r="AR138" s="536">
        <f t="shared" si="37"/>
        <v>-2.1824810000000099</v>
      </c>
      <c r="AS138" s="536">
        <f t="shared" si="37"/>
        <v>0</v>
      </c>
      <c r="AT138" s="536">
        <f t="shared" si="37"/>
        <v>0</v>
      </c>
      <c r="AU138" s="536">
        <f t="shared" si="37"/>
        <v>0</v>
      </c>
      <c r="AV138" s="536">
        <f t="shared" si="37"/>
        <v>0</v>
      </c>
      <c r="AW138" s="536">
        <f t="shared" si="37"/>
        <v>-410.72634000000011</v>
      </c>
      <c r="AX138" s="536">
        <f t="shared" si="37"/>
        <v>284.733566</v>
      </c>
      <c r="AY138" s="536">
        <f t="shared" si="37"/>
        <v>0</v>
      </c>
      <c r="AZ138" s="536">
        <f t="shared" si="37"/>
        <v>0</v>
      </c>
      <c r="BA138" s="536">
        <f t="shared" si="37"/>
        <v>-89.191844000000103</v>
      </c>
      <c r="BB138" s="536">
        <f t="shared" si="37"/>
        <v>-0.122644</v>
      </c>
      <c r="BC138" s="536">
        <f t="shared" si="37"/>
        <v>0</v>
      </c>
      <c r="BD138" s="536">
        <f t="shared" si="37"/>
        <v>0</v>
      </c>
      <c r="BE138" s="536">
        <f t="shared" si="37"/>
        <v>0</v>
      </c>
      <c r="BF138" s="620"/>
      <c r="BG138" s="536">
        <f>+BG136+BG133+BG131+BG128+BG111+BG104+BG101+SUM(BG71:BG80)</f>
        <v>134954.33566827839</v>
      </c>
      <c r="BH138" s="622"/>
      <c r="BK138"/>
      <c r="BL138" s="6">
        <v>139530.3366712784</v>
      </c>
    </row>
    <row r="139" spans="2:64" ht="12" customHeight="1" x14ac:dyDescent="0.3">
      <c r="E139" s="490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55"/>
      <c r="AB139" s="555"/>
      <c r="AC139" s="555"/>
      <c r="AD139" s="555"/>
      <c r="AE139" s="555"/>
      <c r="AF139" s="555"/>
      <c r="AG139" s="555"/>
      <c r="AH139" s="555"/>
      <c r="AI139" s="555"/>
      <c r="AJ139" s="555"/>
      <c r="AK139" s="555"/>
      <c r="AL139" s="555"/>
      <c r="AM139" s="555"/>
      <c r="AN139" s="555"/>
      <c r="AO139" s="555"/>
      <c r="AP139" s="555"/>
      <c r="AQ139" s="555"/>
      <c r="AR139" s="555"/>
      <c r="AS139" s="555"/>
      <c r="AT139" s="555"/>
      <c r="AU139" s="555"/>
      <c r="AV139" s="555"/>
      <c r="AW139" s="555"/>
      <c r="AX139" s="555"/>
      <c r="AY139" s="555"/>
      <c r="AZ139" s="555"/>
      <c r="BA139" s="555"/>
      <c r="BB139" s="555"/>
      <c r="BC139" s="555"/>
      <c r="BD139" s="555"/>
      <c r="BE139" s="555"/>
      <c r="BF139" s="555"/>
      <c r="BG139" s="605"/>
      <c r="BH139" s="590"/>
    </row>
    <row r="140" spans="2:64" s="2" customFormat="1" ht="31.5" customHeight="1" x14ac:dyDescent="0.3">
      <c r="B140" s="575" t="s">
        <v>1472</v>
      </c>
      <c r="C140" s="1395" t="s">
        <v>1473</v>
      </c>
      <c r="D140" s="467"/>
      <c r="E140" s="576">
        <f>+E138+E69+E38</f>
        <v>180840.41342299999</v>
      </c>
      <c r="F140" s="605"/>
      <c r="G140" s="580">
        <f t="shared" ref="G140:BE140" si="38">+G138+G69+G38</f>
        <v>0</v>
      </c>
      <c r="H140" s="580">
        <f t="shared" si="38"/>
        <v>0</v>
      </c>
      <c r="I140" s="580">
        <f t="shared" si="38"/>
        <v>0</v>
      </c>
      <c r="J140" s="580">
        <f t="shared" si="38"/>
        <v>0</v>
      </c>
      <c r="K140" s="580">
        <f t="shared" si="38"/>
        <v>0</v>
      </c>
      <c r="L140" s="580">
        <f t="shared" si="38"/>
        <v>0</v>
      </c>
      <c r="M140" s="579">
        <f t="shared" si="38"/>
        <v>0</v>
      </c>
      <c r="N140" s="579">
        <f t="shared" si="38"/>
        <v>0</v>
      </c>
      <c r="O140" s="579">
        <f t="shared" si="38"/>
        <v>0</v>
      </c>
      <c r="P140" s="579">
        <f t="shared" si="38"/>
        <v>0</v>
      </c>
      <c r="Q140" s="1591">
        <f t="shared" si="38"/>
        <v>0</v>
      </c>
      <c r="R140" s="579">
        <f>+R138+R69+R38</f>
        <v>5.6726257753325626E-6</v>
      </c>
      <c r="S140" s="579">
        <f>+S138+S69+S38</f>
        <v>0</v>
      </c>
      <c r="T140" s="579">
        <f t="shared" si="38"/>
        <v>0</v>
      </c>
      <c r="U140" s="579">
        <f t="shared" si="38"/>
        <v>0</v>
      </c>
      <c r="V140" s="1591">
        <f t="shared" si="38"/>
        <v>0</v>
      </c>
      <c r="W140" s="579">
        <f t="shared" si="38"/>
        <v>0</v>
      </c>
      <c r="X140" s="579">
        <f t="shared" si="38"/>
        <v>0</v>
      </c>
      <c r="Y140" s="579">
        <f t="shared" si="38"/>
        <v>0</v>
      </c>
      <c r="Z140" s="579">
        <f t="shared" si="38"/>
        <v>-375.74906590538262</v>
      </c>
      <c r="AA140" s="579">
        <f t="shared" si="38"/>
        <v>0</v>
      </c>
      <c r="AB140" s="579">
        <f t="shared" si="38"/>
        <v>0</v>
      </c>
      <c r="AC140" s="579">
        <f t="shared" si="38"/>
        <v>0</v>
      </c>
      <c r="AD140" s="579">
        <f t="shared" si="38"/>
        <v>1256.5905809212002</v>
      </c>
      <c r="AE140" s="579">
        <f t="shared" si="38"/>
        <v>0</v>
      </c>
      <c r="AF140" s="1710">
        <f t="shared" si="38"/>
        <v>-31.38241340814659</v>
      </c>
      <c r="AG140" s="579">
        <f t="shared" si="38"/>
        <v>0</v>
      </c>
      <c r="AH140" s="579">
        <f t="shared" si="38"/>
        <v>2795.1303209112402</v>
      </c>
      <c r="AI140" s="579">
        <f t="shared" si="38"/>
        <v>0</v>
      </c>
      <c r="AJ140" s="579">
        <f t="shared" si="38"/>
        <v>525.84003600000005</v>
      </c>
      <c r="AK140" s="579">
        <f t="shared" si="38"/>
        <v>-1723.0393137680926</v>
      </c>
      <c r="AL140" s="579">
        <f t="shared" si="38"/>
        <v>-160.64583860004169</v>
      </c>
      <c r="AM140" s="579">
        <f t="shared" si="38"/>
        <v>0</v>
      </c>
      <c r="AN140" s="579">
        <f t="shared" si="38"/>
        <v>0</v>
      </c>
      <c r="AO140" s="579">
        <f t="shared" si="38"/>
        <v>0</v>
      </c>
      <c r="AP140" s="579">
        <f t="shared" si="38"/>
        <v>0</v>
      </c>
      <c r="AQ140" s="579">
        <f t="shared" si="38"/>
        <v>2572.0710949999998</v>
      </c>
      <c r="AR140" s="579">
        <f t="shared" si="38"/>
        <v>-429.66238200000015</v>
      </c>
      <c r="AS140" s="579">
        <f t="shared" si="38"/>
        <v>-340.12930300000005</v>
      </c>
      <c r="AT140" s="579">
        <f t="shared" si="38"/>
        <v>58.224255999999968</v>
      </c>
      <c r="AU140" s="1282">
        <f t="shared" si="38"/>
        <v>158.92853824600002</v>
      </c>
      <c r="AV140" s="580">
        <f t="shared" si="38"/>
        <v>0</v>
      </c>
      <c r="AW140" s="580">
        <f t="shared" si="38"/>
        <v>-410.72634000000011</v>
      </c>
      <c r="AX140" s="580">
        <f t="shared" si="38"/>
        <v>284.733566</v>
      </c>
      <c r="AY140" s="579">
        <f t="shared" si="38"/>
        <v>0</v>
      </c>
      <c r="AZ140" s="579">
        <f t="shared" si="38"/>
        <v>0</v>
      </c>
      <c r="BA140" s="579">
        <f t="shared" si="38"/>
        <v>0</v>
      </c>
      <c r="BB140" s="579">
        <f t="shared" si="38"/>
        <v>0</v>
      </c>
      <c r="BC140" s="1282">
        <f t="shared" si="38"/>
        <v>26399</v>
      </c>
      <c r="BD140" s="579">
        <f t="shared" si="38"/>
        <v>2114.848665</v>
      </c>
      <c r="BE140" s="579">
        <f t="shared" si="38"/>
        <v>739.61229516819753</v>
      </c>
      <c r="BF140" s="605"/>
      <c r="BG140" s="580">
        <f>+BG138+BG69+BG38</f>
        <v>214274.05812523761</v>
      </c>
      <c r="BH140" s="610"/>
      <c r="BK140"/>
      <c r="BL140" s="2">
        <v>220138.6664122713</v>
      </c>
    </row>
    <row r="141" spans="2:64" x14ac:dyDescent="0.3">
      <c r="E141" s="490"/>
      <c r="F141" s="555"/>
      <c r="G141" s="555"/>
      <c r="H141" s="555"/>
      <c r="I141" s="555"/>
      <c r="J141" s="555"/>
      <c r="K141" s="555"/>
      <c r="L141" s="555"/>
      <c r="M141" s="555"/>
      <c r="N141" s="555"/>
      <c r="O141" s="555"/>
      <c r="P141" s="555"/>
      <c r="Q141" s="555"/>
      <c r="R141" s="555"/>
      <c r="S141" s="555"/>
      <c r="T141" s="555"/>
      <c r="U141" s="555"/>
      <c r="V141" s="555"/>
      <c r="W141" s="555"/>
      <c r="X141" s="555"/>
      <c r="Y141" s="555"/>
      <c r="Z141" s="555">
        <f>Z140-'Passage Actif BC '!V176</f>
        <v>1.1368683772161603E-12</v>
      </c>
      <c r="AA141" s="555"/>
      <c r="AB141" s="555"/>
      <c r="AC141" s="555"/>
      <c r="AD141" s="555"/>
      <c r="AE141" s="555"/>
      <c r="AF141" s="555"/>
      <c r="AG141" s="555"/>
      <c r="AH141" s="555"/>
      <c r="AI141" s="555"/>
      <c r="AJ141" s="555"/>
      <c r="AK141" s="555"/>
      <c r="AL141" s="555"/>
      <c r="AM141" s="555"/>
      <c r="AN141" s="555"/>
      <c r="AO141" s="555"/>
      <c r="AP141" s="555"/>
      <c r="AQ141" s="555"/>
      <c r="AR141" s="555"/>
      <c r="AS141" s="555"/>
      <c r="AT141" s="555"/>
      <c r="AU141" s="555"/>
      <c r="AV141" s="555"/>
      <c r="AW141" s="555"/>
      <c r="AX141" s="555"/>
      <c r="AY141" s="555"/>
      <c r="AZ141" s="555"/>
      <c r="BA141" s="555"/>
      <c r="BB141" s="555"/>
      <c r="BC141" s="555"/>
      <c r="BD141" s="555"/>
      <c r="BE141" s="555"/>
      <c r="BF141" s="555"/>
      <c r="BH141" s="590"/>
    </row>
    <row r="142" spans="2:64" x14ac:dyDescent="0.3">
      <c r="C142" s="1396" t="s">
        <v>1474</v>
      </c>
      <c r="E142" s="1548">
        <f>E140-'Bilan Passif '!C47/10^6</f>
        <v>0</v>
      </c>
      <c r="F142" s="555"/>
      <c r="G142" s="555"/>
      <c r="H142" s="555"/>
      <c r="I142" s="555"/>
      <c r="J142" s="555"/>
      <c r="K142" s="555"/>
      <c r="L142" s="555"/>
      <c r="M142" s="555"/>
      <c r="N142" s="555"/>
      <c r="O142" s="555"/>
      <c r="P142" s="555"/>
      <c r="Q142" s="555"/>
      <c r="R142" s="555"/>
      <c r="S142" s="555"/>
      <c r="T142" s="555"/>
      <c r="U142" s="555"/>
      <c r="V142" s="555"/>
      <c r="W142" s="555"/>
      <c r="X142" s="555"/>
      <c r="Y142" s="555"/>
      <c r="Z142" s="555"/>
      <c r="AA142" s="555"/>
      <c r="AB142" s="555"/>
      <c r="AC142" s="555"/>
      <c r="AD142" s="555"/>
      <c r="AE142" s="555"/>
      <c r="AF142" s="555"/>
      <c r="AG142" s="555"/>
      <c r="AH142" s="555"/>
      <c r="AI142" s="555"/>
      <c r="AJ142" s="555"/>
      <c r="AK142" s="555"/>
      <c r="AL142" s="555"/>
      <c r="AM142" s="555"/>
      <c r="AN142" s="555"/>
      <c r="AO142" s="555"/>
      <c r="AP142" s="555"/>
      <c r="AQ142" s="555"/>
      <c r="AR142" s="555"/>
      <c r="AS142" s="555"/>
      <c r="AT142" s="555"/>
      <c r="AU142" s="555"/>
      <c r="AV142" s="555"/>
      <c r="AW142" s="555"/>
      <c r="AX142" s="555"/>
      <c r="AY142" s="555"/>
      <c r="AZ142" s="555"/>
      <c r="BA142" s="555"/>
      <c r="BB142" s="555"/>
      <c r="BC142" s="555"/>
      <c r="BD142" s="555"/>
      <c r="BE142" s="555"/>
      <c r="BF142" s="555"/>
      <c r="BG142" s="605"/>
    </row>
    <row r="143" spans="2:64" x14ac:dyDescent="0.3">
      <c r="C143" s="1396" t="s">
        <v>1475</v>
      </c>
      <c r="E143" s="636">
        <f>E140-'Passage Actif BC '!E176</f>
        <v>0</v>
      </c>
      <c r="BG143" s="1711">
        <f>+BG140-'Passage Actif BC '!BH176</f>
        <v>-177.84412120122579</v>
      </c>
      <c r="BL143" s="1712">
        <f>BG143*1000000</f>
        <v>-177844121.20122579</v>
      </c>
    </row>
    <row r="144" spans="2:64" x14ac:dyDescent="0.3">
      <c r="R144" s="1694"/>
      <c r="BG144" s="637"/>
    </row>
    <row r="145" spans="24:59" x14ac:dyDescent="0.3">
      <c r="BG145" s="637"/>
    </row>
    <row r="146" spans="24:59" x14ac:dyDescent="0.3">
      <c r="X146" s="1695">
        <f>+X140*1000000</f>
        <v>0</v>
      </c>
    </row>
    <row r="148" spans="24:59" x14ac:dyDescent="0.3">
      <c r="BG148" s="1413"/>
    </row>
  </sheetData>
  <sheetProtection formatCells="0" formatColumns="0" formatRows="0"/>
  <mergeCells count="39">
    <mergeCell ref="BA4:BB4"/>
    <mergeCell ref="BG4:BG5"/>
    <mergeCell ref="BI7:BI15"/>
    <mergeCell ref="BI40:BI43"/>
    <mergeCell ref="BI71:BI80"/>
    <mergeCell ref="AA4:AA5"/>
    <mergeCell ref="AY4:AZ4"/>
    <mergeCell ref="AC4:AC5"/>
    <mergeCell ref="AD4:AE4"/>
    <mergeCell ref="AF4:AG4"/>
    <mergeCell ref="AH4:AJ4"/>
    <mergeCell ref="AK4:AL4"/>
    <mergeCell ref="AM4:AN4"/>
    <mergeCell ref="AO4:AP4"/>
    <mergeCell ref="AQ4:AR4"/>
    <mergeCell ref="AS4:AT4"/>
    <mergeCell ref="AU4:AV4"/>
    <mergeCell ref="AW4:AX4"/>
    <mergeCell ref="V4:V5"/>
    <mergeCell ref="W4:W5"/>
    <mergeCell ref="X4:X5"/>
    <mergeCell ref="Y4:Y5"/>
    <mergeCell ref="Z4:Z5"/>
    <mergeCell ref="G2:P2"/>
    <mergeCell ref="Q2:AC2"/>
    <mergeCell ref="AK2:BB2"/>
    <mergeCell ref="BC2:BE2"/>
    <mergeCell ref="E4:E5"/>
    <mergeCell ref="G4:H4"/>
    <mergeCell ref="I4:J4"/>
    <mergeCell ref="K4:L4"/>
    <mergeCell ref="M4:N4"/>
    <mergeCell ref="O4:P4"/>
    <mergeCell ref="AB4:AB5"/>
    <mergeCell ref="Q4:Q5"/>
    <mergeCell ref="R4:R5"/>
    <mergeCell ref="S4:S5"/>
    <mergeCell ref="T4:T5"/>
    <mergeCell ref="U4:U5"/>
  </mergeCells>
  <hyperlinks>
    <hyperlink ref="A1" location="Sommaire!F13" display="Sommaire" xr:uid="{00000000-0004-0000-0900-000000000000}"/>
  </hyperlinks>
  <pageMargins left="0.7" right="0.7" top="0.75" bottom="0.75" header="0.3" footer="0.3"/>
  <pageSetup paperSize="9" scale="19" fitToHeight="0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AV206"/>
  <sheetViews>
    <sheetView showGridLines="0" zoomScale="50" zoomScaleNormal="50" zoomScaleSheetLayoutView="64" workbookViewId="0">
      <pane xSplit="3" ySplit="4" topLeftCell="Z188" activePane="bottomRight" state="frozen"/>
      <selection activeCell="AT18" sqref="AT18"/>
      <selection pane="topRight" activeCell="AT18" sqref="AT18"/>
      <selection pane="bottomLeft" activeCell="AT18" sqref="AT18"/>
      <selection pane="bottomRight" activeCell="AT18" sqref="AT18"/>
    </sheetView>
  </sheetViews>
  <sheetFormatPr baseColWidth="10" defaultColWidth="11.44140625" defaultRowHeight="23.4" outlineLevelRow="1" outlineLevelCol="1" x14ac:dyDescent="0.45"/>
  <cols>
    <col min="1" max="1" width="2.88671875" style="2" customWidth="1"/>
    <col min="2" max="2" width="20.109375" style="6" customWidth="1"/>
    <col min="3" max="3" width="77.5546875" style="2" customWidth="1"/>
    <col min="4" max="4" width="1.44140625" style="481" customWidth="1"/>
    <col min="5" max="5" width="30" style="2" bestFit="1" customWidth="1"/>
    <col min="6" max="6" width="25.88671875" style="72" customWidth="1" outlineLevel="1"/>
    <col min="7" max="7" width="21.44140625" style="72" customWidth="1" outlineLevel="1"/>
    <col min="8" max="8" width="19.88671875" style="72" bestFit="1" customWidth="1" outlineLevel="1"/>
    <col min="9" max="13" width="15.5546875" style="72" customWidth="1" outlineLevel="1"/>
    <col min="14" max="14" width="18" style="72" customWidth="1" outlineLevel="1"/>
    <col min="15" max="17" width="15.5546875" style="72" customWidth="1" outlineLevel="1"/>
    <col min="18" max="18" width="17.109375" style="72" customWidth="1" outlineLevel="1"/>
    <col min="19" max="19" width="17.109375" style="72" customWidth="1"/>
    <col min="20" max="20" width="15.5546875" style="72" customWidth="1"/>
    <col min="21" max="21" width="22.5546875" style="72" customWidth="1"/>
    <col min="22" max="23" width="15.5546875" style="72" customWidth="1"/>
    <col min="24" max="24" width="16.5546875" style="72" customWidth="1"/>
    <col min="25" max="25" width="15.5546875" style="458" customWidth="1"/>
    <col min="26" max="27" width="15.5546875" style="72" customWidth="1" outlineLevel="1"/>
    <col min="28" max="28" width="15.5546875" style="458" customWidth="1" outlineLevel="1"/>
    <col min="29" max="29" width="1.44140625" style="481" customWidth="1"/>
    <col min="30" max="30" width="21.5546875" style="715" bestFit="1" customWidth="1"/>
    <col min="31" max="31" width="1" style="1563" customWidth="1"/>
    <col min="32" max="32" width="20.44140625" style="1756" bestFit="1" customWidth="1"/>
    <col min="33" max="33" width="11.6640625" style="1907" bestFit="1" customWidth="1"/>
    <col min="34" max="34" width="13.5546875" hidden="1" customWidth="1"/>
    <col min="35" max="35" width="20.109375" hidden="1" customWidth="1"/>
    <col min="36" max="36" width="15.5546875" hidden="1" customWidth="1"/>
    <col min="37" max="37" width="10.88671875" hidden="1" customWidth="1"/>
    <col min="38" max="38" width="20.44140625" bestFit="1" customWidth="1"/>
    <col min="39" max="39" width="7.33203125" customWidth="1"/>
    <col min="40" max="40" width="15" bestFit="1" customWidth="1"/>
    <col min="41" max="41" width="11.88671875" bestFit="1" customWidth="1"/>
    <col min="42" max="42" width="18.88671875" customWidth="1"/>
    <col min="43" max="43" width="7.5546875" customWidth="1"/>
    <col min="44" max="44" width="25.44140625" bestFit="1" customWidth="1"/>
    <col min="45" max="45" width="11.44140625" bestFit="1" customWidth="1"/>
    <col min="49" max="16384" width="11.44140625" style="72"/>
  </cols>
  <sheetData>
    <row r="1" spans="1:48" ht="52.5" hidden="1" customHeight="1" x14ac:dyDescent="0.45">
      <c r="A1" s="456" t="s">
        <v>75</v>
      </c>
      <c r="B1" s="638"/>
      <c r="C1" s="639"/>
      <c r="D1" s="640"/>
      <c r="E1" s="639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2"/>
      <c r="Z1" s="641" t="s">
        <v>1476</v>
      </c>
      <c r="AA1" s="641" t="s">
        <v>1477</v>
      </c>
      <c r="AB1" s="642"/>
      <c r="AC1" s="640"/>
      <c r="AD1" s="643"/>
    </row>
    <row r="2" spans="1:48" s="138" customFormat="1" ht="30.6" customHeight="1" x14ac:dyDescent="0.45">
      <c r="B2" s="644"/>
      <c r="C2" s="1978" t="s">
        <v>1478</v>
      </c>
      <c r="D2" s="645"/>
      <c r="E2" s="638"/>
      <c r="F2" s="1979" t="s">
        <v>1479</v>
      </c>
      <c r="G2" s="1979"/>
      <c r="H2" s="1979"/>
      <c r="I2" s="1979"/>
      <c r="J2" s="1979"/>
      <c r="K2" s="1979"/>
      <c r="L2" s="1979"/>
      <c r="M2" s="1979"/>
      <c r="N2" s="1979"/>
      <c r="O2" s="1979"/>
      <c r="P2" s="1979"/>
      <c r="Q2" s="1979"/>
      <c r="R2" s="1979"/>
      <c r="S2" s="1979" t="s">
        <v>1480</v>
      </c>
      <c r="T2" s="1979"/>
      <c r="U2" s="1979" t="s">
        <v>1481</v>
      </c>
      <c r="V2" s="1979"/>
      <c r="W2" s="1979"/>
      <c r="X2" s="1979"/>
      <c r="Y2" s="1979"/>
      <c r="Z2" s="1979">
        <v>0</v>
      </c>
      <c r="AA2" s="1979"/>
      <c r="AB2" s="1979"/>
      <c r="AC2" s="645"/>
      <c r="AD2" s="646"/>
      <c r="AE2" s="1563"/>
      <c r="AF2" s="1756"/>
      <c r="AG2" s="1907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</row>
    <row r="3" spans="1:48" ht="18.600000000000001" customHeight="1" x14ac:dyDescent="0.45">
      <c r="A3" s="647"/>
      <c r="B3" s="644"/>
      <c r="C3" s="1978"/>
      <c r="D3" s="640"/>
      <c r="E3" s="639"/>
      <c r="F3" s="641"/>
      <c r="G3" s="641"/>
      <c r="H3" s="641"/>
      <c r="I3" s="648"/>
      <c r="J3" s="641"/>
      <c r="K3" s="641"/>
      <c r="L3" s="641"/>
      <c r="M3" s="642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2"/>
      <c r="Z3" s="641"/>
      <c r="AA3" s="641"/>
      <c r="AB3" s="642"/>
      <c r="AC3" s="640"/>
      <c r="AD3" s="643"/>
    </row>
    <row r="4" spans="1:48" s="469" customFormat="1" ht="87" customHeight="1" x14ac:dyDescent="0.45">
      <c r="B4" s="638"/>
      <c r="C4" s="649" t="str">
        <f>Cover!Y13</f>
        <v>En millions de FCFA</v>
      </c>
      <c r="D4" s="650"/>
      <c r="E4" s="651" t="s">
        <v>74</v>
      </c>
      <c r="F4" s="652" t="s">
        <v>1482</v>
      </c>
      <c r="G4" s="652" t="s">
        <v>1483</v>
      </c>
      <c r="H4" s="652" t="s">
        <v>1484</v>
      </c>
      <c r="I4" s="652" t="s">
        <v>1485</v>
      </c>
      <c r="J4" s="652" t="s">
        <v>1486</v>
      </c>
      <c r="K4" s="652" t="s">
        <v>1487</v>
      </c>
      <c r="L4" s="652" t="s">
        <v>1488</v>
      </c>
      <c r="M4" s="652" t="s">
        <v>1489</v>
      </c>
      <c r="N4" s="652" t="s">
        <v>1027</v>
      </c>
      <c r="O4" s="652" t="s">
        <v>1032</v>
      </c>
      <c r="P4" s="652" t="s">
        <v>1490</v>
      </c>
      <c r="Q4" s="652" t="s">
        <v>1291</v>
      </c>
      <c r="R4" s="652" t="s">
        <v>1491</v>
      </c>
      <c r="S4" s="652" t="s">
        <v>1492</v>
      </c>
      <c r="T4" s="652" t="s">
        <v>1493</v>
      </c>
      <c r="U4" s="652" t="s">
        <v>1494</v>
      </c>
      <c r="V4" s="652" t="s">
        <v>1019</v>
      </c>
      <c r="W4" s="652" t="s">
        <v>1495</v>
      </c>
      <c r="X4" s="652" t="s">
        <v>1496</v>
      </c>
      <c r="Y4" s="652" t="s">
        <v>1497</v>
      </c>
      <c r="Z4" s="653" t="s">
        <v>1033</v>
      </c>
      <c r="AA4" s="653" t="s">
        <v>1034</v>
      </c>
      <c r="AB4" s="654" t="s">
        <v>1035</v>
      </c>
      <c r="AC4" s="650"/>
      <c r="AD4" s="655" t="s">
        <v>78</v>
      </c>
      <c r="AE4" s="1563"/>
      <c r="AF4" s="1756" t="s">
        <v>78</v>
      </c>
      <c r="AG4" s="1907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</row>
    <row r="5" spans="1:48" ht="9.9" customHeight="1" x14ac:dyDescent="0.45">
      <c r="B5" s="657"/>
      <c r="C5" s="639"/>
      <c r="D5" s="640"/>
      <c r="E5" s="639"/>
      <c r="F5" s="641"/>
      <c r="G5" s="641"/>
      <c r="H5" s="641"/>
      <c r="I5" s="641"/>
      <c r="J5" s="641"/>
      <c r="K5" s="641"/>
      <c r="L5" s="641"/>
      <c r="M5" s="641"/>
      <c r="N5" s="641"/>
      <c r="O5" s="641"/>
      <c r="P5" s="641"/>
      <c r="Q5" s="641"/>
      <c r="R5" s="641"/>
      <c r="S5" s="641"/>
      <c r="T5" s="641"/>
      <c r="U5" s="641"/>
      <c r="V5" s="641"/>
      <c r="W5" s="641"/>
      <c r="X5" s="641"/>
      <c r="Y5" s="642"/>
      <c r="Z5" s="641"/>
      <c r="AA5" s="641"/>
      <c r="AB5" s="642"/>
      <c r="AC5" s="640"/>
      <c r="AD5" s="643"/>
    </row>
    <row r="6" spans="1:48" s="2" customFormat="1" x14ac:dyDescent="0.45">
      <c r="B6" s="638"/>
      <c r="C6" s="658" t="s">
        <v>900</v>
      </c>
      <c r="D6" s="659"/>
      <c r="E6" s="660">
        <f>+'Compte de résultat'!H6/10^6</f>
        <v>1124.4278670000001</v>
      </c>
      <c r="F6" s="660">
        <f>-E6</f>
        <v>-1124.4278670000001</v>
      </c>
      <c r="G6" s="660"/>
      <c r="H6" s="660"/>
      <c r="I6" s="660"/>
      <c r="J6" s="660"/>
      <c r="K6" s="660"/>
      <c r="L6" s="660"/>
      <c r="M6" s="660"/>
      <c r="N6" s="660"/>
      <c r="O6" s="660"/>
      <c r="P6" s="660"/>
      <c r="Q6" s="660"/>
      <c r="R6" s="660"/>
      <c r="S6" s="660"/>
      <c r="T6" s="660"/>
      <c r="U6" s="660"/>
      <c r="V6" s="660"/>
      <c r="W6" s="660"/>
      <c r="X6" s="660"/>
      <c r="Y6" s="660"/>
      <c r="Z6" s="660"/>
      <c r="AA6" s="660"/>
      <c r="AB6" s="660"/>
      <c r="AC6" s="661"/>
      <c r="AD6" s="662">
        <f t="shared" ref="AD6:AD15" si="0">+SUM(E6:AB6)</f>
        <v>0</v>
      </c>
      <c r="AE6" s="1563"/>
      <c r="AF6" s="1756">
        <v>0</v>
      </c>
      <c r="AG6" s="1908">
        <f>+AD6-AF6</f>
        <v>0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s="2" customFormat="1" x14ac:dyDescent="0.45">
      <c r="B7" s="638"/>
      <c r="C7" s="658" t="s">
        <v>902</v>
      </c>
      <c r="D7" s="659"/>
      <c r="E7" s="660">
        <f>+'Compte de résultat'!H7/10^6</f>
        <v>0</v>
      </c>
      <c r="F7" s="660">
        <f t="shared" ref="F7:F15" si="1">-E7</f>
        <v>0</v>
      </c>
      <c r="G7" s="660"/>
      <c r="H7" s="660"/>
      <c r="I7" s="660"/>
      <c r="J7" s="660"/>
      <c r="K7" s="660"/>
      <c r="L7" s="660"/>
      <c r="M7" s="660"/>
      <c r="N7" s="660"/>
      <c r="O7" s="660"/>
      <c r="P7" s="660"/>
      <c r="Q7" s="660"/>
      <c r="R7" s="660"/>
      <c r="S7" s="660"/>
      <c r="T7" s="660"/>
      <c r="U7" s="660"/>
      <c r="V7" s="660"/>
      <c r="W7" s="660"/>
      <c r="X7" s="660"/>
      <c r="Y7" s="660"/>
      <c r="Z7" s="660"/>
      <c r="AA7" s="660"/>
      <c r="AB7" s="660"/>
      <c r="AC7" s="661"/>
      <c r="AD7" s="662">
        <f t="shared" si="0"/>
        <v>0</v>
      </c>
      <c r="AE7" s="1563"/>
      <c r="AF7" s="1756">
        <v>0</v>
      </c>
      <c r="AG7" s="1908">
        <f t="shared" ref="AG7:AG70" si="2">+AD7-AF7</f>
        <v>0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2" customFormat="1" x14ac:dyDescent="0.45">
      <c r="B8" s="638"/>
      <c r="C8" s="658" t="s">
        <v>904</v>
      </c>
      <c r="D8" s="659"/>
      <c r="E8" s="660">
        <f>+'Compte de résultat'!H8/10^6</f>
        <v>103941.367167</v>
      </c>
      <c r="F8" s="660">
        <f>-E8</f>
        <v>-103941.367167</v>
      </c>
      <c r="G8" s="660"/>
      <c r="H8" s="660"/>
      <c r="I8" s="660"/>
      <c r="J8" s="660"/>
      <c r="K8" s="660"/>
      <c r="L8" s="660"/>
      <c r="M8" s="660"/>
      <c r="N8" s="660"/>
      <c r="O8" s="660"/>
      <c r="P8" s="660"/>
      <c r="Q8" s="660"/>
      <c r="R8" s="660"/>
      <c r="S8" s="660"/>
      <c r="T8" s="660"/>
      <c r="U8" s="660"/>
      <c r="V8" s="660"/>
      <c r="W8" s="660"/>
      <c r="X8" s="660"/>
      <c r="Y8" s="660"/>
      <c r="Z8" s="660"/>
      <c r="AA8" s="660"/>
      <c r="AB8" s="660"/>
      <c r="AC8" s="661"/>
      <c r="AD8" s="662">
        <f t="shared" si="0"/>
        <v>0</v>
      </c>
      <c r="AE8" s="1563"/>
      <c r="AF8" s="1756">
        <v>0</v>
      </c>
      <c r="AG8" s="1908">
        <f t="shared" si="2"/>
        <v>0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2" customFormat="1" x14ac:dyDescent="0.45">
      <c r="B9" s="638"/>
      <c r="C9" s="658" t="s">
        <v>1499</v>
      </c>
      <c r="D9" s="659"/>
      <c r="E9" s="660">
        <f>+'Compte de résultat'!H9/10^6</f>
        <v>0</v>
      </c>
      <c r="F9" s="660">
        <f t="shared" si="1"/>
        <v>0</v>
      </c>
      <c r="G9" s="660"/>
      <c r="H9" s="660"/>
      <c r="I9" s="660"/>
      <c r="J9" s="660"/>
      <c r="K9" s="660"/>
      <c r="L9" s="660"/>
      <c r="M9" s="660"/>
      <c r="N9" s="660"/>
      <c r="O9" s="660"/>
      <c r="P9" s="660"/>
      <c r="Q9" s="660"/>
      <c r="R9" s="660"/>
      <c r="S9" s="660"/>
      <c r="T9" s="660"/>
      <c r="U9" s="660"/>
      <c r="V9" s="660"/>
      <c r="W9" s="660"/>
      <c r="X9" s="660"/>
      <c r="Y9" s="660"/>
      <c r="Z9" s="660"/>
      <c r="AA9" s="660"/>
      <c r="AB9" s="660"/>
      <c r="AC9" s="661"/>
      <c r="AD9" s="662">
        <f t="shared" si="0"/>
        <v>0</v>
      </c>
      <c r="AE9" s="1563"/>
      <c r="AF9" s="1756">
        <v>0</v>
      </c>
      <c r="AG9" s="1908">
        <f t="shared" si="2"/>
        <v>0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2" customFormat="1" x14ac:dyDescent="0.45">
      <c r="B10" s="638"/>
      <c r="C10" s="658" t="s">
        <v>908</v>
      </c>
      <c r="D10" s="659"/>
      <c r="E10" s="660">
        <f>+'Compte de résultat'!H10/10^6</f>
        <v>0</v>
      </c>
      <c r="F10" s="660">
        <f t="shared" si="1"/>
        <v>0</v>
      </c>
      <c r="G10" s="660"/>
      <c r="H10" s="660"/>
      <c r="I10" s="660"/>
      <c r="J10" s="660"/>
      <c r="K10" s="660"/>
      <c r="L10" s="660"/>
      <c r="M10" s="660"/>
      <c r="N10" s="660"/>
      <c r="O10" s="660"/>
      <c r="P10" s="660"/>
      <c r="Q10" s="660"/>
      <c r="R10" s="660"/>
      <c r="S10" s="660"/>
      <c r="T10" s="660"/>
      <c r="U10" s="660"/>
      <c r="V10" s="660"/>
      <c r="W10" s="660"/>
      <c r="X10" s="660"/>
      <c r="Y10" s="660"/>
      <c r="Z10" s="660"/>
      <c r="AA10" s="660"/>
      <c r="AB10" s="660"/>
      <c r="AC10" s="661"/>
      <c r="AD10" s="662">
        <f t="shared" si="0"/>
        <v>0</v>
      </c>
      <c r="AE10" s="1563"/>
      <c r="AF10" s="1756">
        <v>0</v>
      </c>
      <c r="AG10" s="1908">
        <f t="shared" si="2"/>
        <v>0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2" customFormat="1" x14ac:dyDescent="0.45">
      <c r="B11" s="638"/>
      <c r="C11" s="658" t="s">
        <v>910</v>
      </c>
      <c r="D11" s="659"/>
      <c r="E11" s="660">
        <f>+'Compte de résultat'!H11/10^6</f>
        <v>1193.512416</v>
      </c>
      <c r="F11" s="660">
        <f t="shared" si="1"/>
        <v>-1193.512416</v>
      </c>
      <c r="G11" s="660"/>
      <c r="H11" s="660"/>
      <c r="I11" s="660"/>
      <c r="J11" s="660"/>
      <c r="K11" s="660"/>
      <c r="L11" s="660"/>
      <c r="M11" s="660"/>
      <c r="N11" s="660"/>
      <c r="O11" s="660"/>
      <c r="P11" s="660"/>
      <c r="Q11" s="660"/>
      <c r="R11" s="660"/>
      <c r="S11" s="660"/>
      <c r="T11" s="660"/>
      <c r="U11" s="660"/>
      <c r="V11" s="660"/>
      <c r="W11" s="660"/>
      <c r="X11" s="660"/>
      <c r="Y11" s="660"/>
      <c r="Z11" s="660"/>
      <c r="AA11" s="660"/>
      <c r="AB11" s="660"/>
      <c r="AC11" s="661"/>
      <c r="AD11" s="662">
        <f t="shared" si="0"/>
        <v>0</v>
      </c>
      <c r="AE11" s="1563"/>
      <c r="AF11" s="1756">
        <v>0</v>
      </c>
      <c r="AG11" s="1908">
        <f t="shared" si="2"/>
        <v>0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2" customFormat="1" x14ac:dyDescent="0.45">
      <c r="B12" s="638"/>
      <c r="C12" s="658" t="s">
        <v>916</v>
      </c>
      <c r="D12" s="659"/>
      <c r="E12" s="660">
        <f>+'Compte de résultat'!H14/10^6</f>
        <v>0</v>
      </c>
      <c r="F12" s="660">
        <f t="shared" si="1"/>
        <v>0</v>
      </c>
      <c r="G12" s="660"/>
      <c r="H12" s="660"/>
      <c r="I12" s="660"/>
      <c r="J12" s="660"/>
      <c r="K12" s="660"/>
      <c r="L12" s="660"/>
      <c r="M12" s="660"/>
      <c r="N12" s="660"/>
      <c r="O12" s="660"/>
      <c r="P12" s="660"/>
      <c r="Q12" s="660"/>
      <c r="R12" s="660"/>
      <c r="S12" s="660"/>
      <c r="T12" s="660"/>
      <c r="U12" s="660"/>
      <c r="V12" s="660"/>
      <c r="W12" s="660"/>
      <c r="X12" s="660"/>
      <c r="Y12" s="660"/>
      <c r="Z12" s="660"/>
      <c r="AA12" s="660"/>
      <c r="AB12" s="660"/>
      <c r="AC12" s="661"/>
      <c r="AD12" s="662">
        <f t="shared" si="0"/>
        <v>0</v>
      </c>
      <c r="AE12" s="1563"/>
      <c r="AF12" s="1756">
        <v>0</v>
      </c>
      <c r="AG12" s="1908">
        <f t="shared" si="2"/>
        <v>0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2" customFormat="1" x14ac:dyDescent="0.45">
      <c r="B13" s="638"/>
      <c r="C13" s="658" t="s">
        <v>918</v>
      </c>
      <c r="D13" s="659"/>
      <c r="E13" s="660">
        <f>+'Compte de résultat'!H15/10^6</f>
        <v>1146.703428</v>
      </c>
      <c r="F13" s="1565">
        <f t="shared" si="1"/>
        <v>-1146.703428</v>
      </c>
      <c r="G13" s="660"/>
      <c r="H13" s="660"/>
      <c r="I13" s="660"/>
      <c r="J13" s="660"/>
      <c r="K13" s="660"/>
      <c r="L13" s="660"/>
      <c r="M13" s="660"/>
      <c r="N13" s="660"/>
      <c r="O13" s="660"/>
      <c r="P13" s="660"/>
      <c r="Q13" s="660"/>
      <c r="R13" s="660"/>
      <c r="S13" s="660"/>
      <c r="T13" s="660"/>
      <c r="U13" s="660"/>
      <c r="V13" s="660"/>
      <c r="W13" s="660"/>
      <c r="X13" s="660"/>
      <c r="Y13" s="660"/>
      <c r="Z13" s="660"/>
      <c r="AA13" s="660"/>
      <c r="AB13" s="660"/>
      <c r="AC13" s="661"/>
      <c r="AD13" s="662">
        <f t="shared" si="0"/>
        <v>0</v>
      </c>
      <c r="AE13" s="1563"/>
      <c r="AF13" s="1756">
        <v>0</v>
      </c>
      <c r="AG13" s="1908">
        <f t="shared" si="2"/>
        <v>0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2" customFormat="1" x14ac:dyDescent="0.45">
      <c r="B14" s="638"/>
      <c r="C14" s="658" t="s">
        <v>920</v>
      </c>
      <c r="D14" s="659"/>
      <c r="E14" s="660">
        <f>+'Compte de résultat'!H16/10^6</f>
        <v>1588.9122</v>
      </c>
      <c r="F14" s="1589">
        <f t="shared" si="1"/>
        <v>-1588.9122</v>
      </c>
      <c r="G14" s="660"/>
      <c r="H14" s="660"/>
      <c r="I14" s="660"/>
      <c r="J14" s="660"/>
      <c r="K14" s="660"/>
      <c r="L14" s="660"/>
      <c r="M14" s="660"/>
      <c r="N14" s="660"/>
      <c r="O14" s="660"/>
      <c r="P14" s="660"/>
      <c r="Q14" s="660"/>
      <c r="R14" s="660"/>
      <c r="S14" s="660"/>
      <c r="T14" s="660"/>
      <c r="U14" s="660"/>
      <c r="V14" s="660"/>
      <c r="W14" s="660"/>
      <c r="X14" s="660"/>
      <c r="Y14" s="660"/>
      <c r="Z14" s="660"/>
      <c r="AA14" s="660"/>
      <c r="AB14" s="660"/>
      <c r="AC14" s="661"/>
      <c r="AD14" s="662">
        <f t="shared" si="0"/>
        <v>0</v>
      </c>
      <c r="AE14" s="1563"/>
      <c r="AF14" s="1756">
        <v>0</v>
      </c>
      <c r="AG14" s="1908">
        <f t="shared" si="2"/>
        <v>0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s="2" customFormat="1" x14ac:dyDescent="0.45">
      <c r="B15" s="638"/>
      <c r="C15" s="658" t="s">
        <v>922</v>
      </c>
      <c r="D15" s="659"/>
      <c r="E15" s="660">
        <f>+'Compte de résultat'!H17/10^6</f>
        <v>202.46258399999999</v>
      </c>
      <c r="F15" s="660">
        <f t="shared" si="1"/>
        <v>-202.46258399999999</v>
      </c>
      <c r="G15" s="660"/>
      <c r="H15" s="660"/>
      <c r="I15" s="660"/>
      <c r="J15" s="660"/>
      <c r="K15" s="660"/>
      <c r="L15" s="660"/>
      <c r="M15" s="660"/>
      <c r="N15" s="660"/>
      <c r="O15" s="660"/>
      <c r="P15" s="660"/>
      <c r="Q15" s="660"/>
      <c r="R15" s="660"/>
      <c r="S15" s="660"/>
      <c r="T15" s="660"/>
      <c r="U15" s="660"/>
      <c r="V15" s="660"/>
      <c r="W15" s="660"/>
      <c r="X15" s="660"/>
      <c r="Y15" s="660"/>
      <c r="Z15" s="660"/>
      <c r="AA15" s="660"/>
      <c r="AB15" s="660"/>
      <c r="AC15" s="661"/>
      <c r="AD15" s="662">
        <f t="shared" si="0"/>
        <v>0</v>
      </c>
      <c r="AE15" s="1563"/>
      <c r="AF15" s="1756">
        <v>0</v>
      </c>
      <c r="AG15" s="1908">
        <f t="shared" si="2"/>
        <v>0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ht="9.9" customHeight="1" x14ac:dyDescent="0.45">
      <c r="B16" s="638"/>
      <c r="C16" s="639"/>
      <c r="D16" s="640"/>
      <c r="E16" s="663"/>
      <c r="F16" s="664"/>
      <c r="G16" s="664"/>
      <c r="H16" s="664"/>
      <c r="I16" s="664"/>
      <c r="J16" s="664"/>
      <c r="K16" s="664"/>
      <c r="L16" s="664"/>
      <c r="M16" s="664"/>
      <c r="N16" s="664"/>
      <c r="O16" s="664"/>
      <c r="P16" s="664"/>
      <c r="Q16" s="664"/>
      <c r="R16" s="664"/>
      <c r="S16" s="664"/>
      <c r="T16" s="664"/>
      <c r="U16" s="664"/>
      <c r="V16" s="664"/>
      <c r="W16" s="664"/>
      <c r="X16" s="664"/>
      <c r="Y16" s="664"/>
      <c r="Z16" s="664"/>
      <c r="AA16" s="664"/>
      <c r="AB16" s="664"/>
      <c r="AC16" s="665"/>
      <c r="AD16" s="666"/>
      <c r="AG16" s="1908">
        <f t="shared" si="2"/>
        <v>0</v>
      </c>
    </row>
    <row r="17" spans="2:48" x14ac:dyDescent="0.45">
      <c r="B17" s="667" t="s">
        <v>1500</v>
      </c>
      <c r="C17" s="668" t="s">
        <v>1501</v>
      </c>
      <c r="D17" s="640"/>
      <c r="E17" s="669"/>
      <c r="F17" s="670">
        <f>-SUM('BG '!K616,'BG '!J616,'BG '!J617,'BG '!K617,'BG '!J618,'BG '!K618,'BG '!J619,'BG '!K620,'BG '!J620,'BG '!K619,'BG '!K622,'BG '!K621)/10^6</f>
        <v>1124.4278670000001</v>
      </c>
      <c r="G17" s="670"/>
      <c r="H17" s="670"/>
      <c r="I17" s="670"/>
      <c r="J17" s="670"/>
      <c r="K17" s="670"/>
      <c r="L17" s="670"/>
      <c r="M17" s="670"/>
      <c r="N17" s="670"/>
      <c r="O17" s="670"/>
      <c r="P17" s="670"/>
      <c r="Q17" s="670"/>
      <c r="R17" s="670"/>
      <c r="S17" s="670"/>
      <c r="T17" s="670"/>
      <c r="U17" s="670"/>
      <c r="V17" s="670"/>
      <c r="W17" s="670"/>
      <c r="X17" s="670"/>
      <c r="Y17" s="670"/>
      <c r="Z17" s="670"/>
      <c r="AA17" s="670"/>
      <c r="AB17" s="670"/>
      <c r="AC17" s="665"/>
      <c r="AD17" s="671">
        <f>+SUM(E17:AB17)</f>
        <v>1124.4278670000001</v>
      </c>
      <c r="AF17" s="1756">
        <v>1124.4278670000001</v>
      </c>
      <c r="AG17" s="1908">
        <f t="shared" si="2"/>
        <v>0</v>
      </c>
    </row>
    <row r="18" spans="2:48" x14ac:dyDescent="0.45">
      <c r="B18" s="667" t="s">
        <v>2299</v>
      </c>
      <c r="C18" s="668" t="s">
        <v>1503</v>
      </c>
      <c r="D18" s="640"/>
      <c r="E18" s="669"/>
      <c r="F18" s="670">
        <f>-SUM('BG '!J627,'BG '!K627,'BG '!J628,'BG '!K628,'BG '!J629,'BG '!K629,'BG '!J630,'BG '!K630,'BG '!J631,'BG '!K631,'BG '!J632,'BG '!K632,'BG '!J633,'BG '!K633,'BG '!J634,'BG '!K634,'BG '!J635,'BG '!K635,'BG '!J636,'BG '!K636,'BG '!J637,'BG '!K637,'BG '!J638,'BG '!K638,'BG '!J639,'BG '!K639,'BG '!J640,'BG '!K640,'BG '!J641,'BG '!K641,'BG '!J642,'BG '!K642,'BG '!J643,'BG '!K643,'BG '!J644,'BG '!K644,'BG '!J645,'BG '!K645,'BG '!J646,'BG '!K646,'BG '!J647,'BG '!K647,'BG '!J648,'BG '!K648,'BG '!J649,'BG '!K649,'BG '!J650,'BG '!K650,'BG '!J651,'BG '!K651,'BG '!J656,'BG '!K656,'BG '!J658,'BG '!K658,'BG '!J659,'BG '!K659,'BG '!J660,'BG '!K660,'BG '!J661,'BG '!K661,'BG '!J663,'BG '!K663,'BG '!J624,'BG '!J625,'BG '!J626,'BG '!K655,'BG '!J664,'BG '!J665,'BG '!J666,'BG '!J657:K657,'BG '!K664,'BG '!K652,'BG '!K653,'BG '!K654)/10^6</f>
        <v>103573.105394</v>
      </c>
      <c r="G18" s="670"/>
      <c r="H18" s="672">
        <f>SUM('BG '!J664,'BG '!J666)/1000000</f>
        <v>0</v>
      </c>
      <c r="I18" s="670"/>
      <c r="J18" s="670"/>
      <c r="K18" s="670"/>
      <c r="L18" s="670"/>
      <c r="M18" s="670"/>
      <c r="N18" s="670"/>
      <c r="O18" s="670"/>
      <c r="P18" s="670"/>
      <c r="Q18" s="670"/>
      <c r="R18" s="670"/>
      <c r="S18" s="670"/>
      <c r="T18" s="670"/>
      <c r="U18" s="1435">
        <f>-'Taxe 5%'!G36/1000000</f>
        <v>-768.31055000000003</v>
      </c>
      <c r="V18" s="670"/>
      <c r="W18" s="670"/>
      <c r="X18" s="670"/>
      <c r="Y18" s="685">
        <f>[157]Feuil9!$G$205/1000000</f>
        <v>51.994343999999998</v>
      </c>
      <c r="Z18" s="670"/>
      <c r="AA18" s="670"/>
      <c r="AB18" s="670"/>
      <c r="AC18" s="665"/>
      <c r="AD18" s="671">
        <f>+SUM(E18:AB18)</f>
        <v>102856.78918800001</v>
      </c>
      <c r="AF18" s="1756">
        <v>102856.78918800001</v>
      </c>
      <c r="AG18" s="1908">
        <f t="shared" si="2"/>
        <v>0</v>
      </c>
    </row>
    <row r="19" spans="2:48" x14ac:dyDescent="0.45">
      <c r="B19" s="667" t="s">
        <v>2300</v>
      </c>
      <c r="C19" s="668" t="s">
        <v>1505</v>
      </c>
      <c r="D19" s="640"/>
      <c r="E19" s="669"/>
      <c r="F19" s="670">
        <f>-SUM('BG '!K667:K668,'BG '!K662)/10^6</f>
        <v>1561.774189</v>
      </c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670"/>
      <c r="AB19" s="670"/>
      <c r="AC19" s="665"/>
      <c r="AD19" s="671">
        <f>+SUM(E19:AB19)</f>
        <v>1561.774189</v>
      </c>
      <c r="AF19" s="1756">
        <v>1561.774189</v>
      </c>
      <c r="AG19" s="1908">
        <f t="shared" si="2"/>
        <v>0</v>
      </c>
    </row>
    <row r="20" spans="2:48" s="2" customFormat="1" x14ac:dyDescent="0.45">
      <c r="B20" s="673" t="s">
        <v>1506</v>
      </c>
      <c r="C20" s="673" t="s">
        <v>1507</v>
      </c>
      <c r="D20" s="674"/>
      <c r="E20" s="675">
        <f>+SUM(E6:E15)</f>
        <v>109197.385662</v>
      </c>
      <c r="F20" s="676">
        <f>+F19+F18+F17</f>
        <v>106259.30745000001</v>
      </c>
      <c r="G20" s="676">
        <f t="shared" ref="G20:AB20" si="3">+G19+G18+G17</f>
        <v>0</v>
      </c>
      <c r="H20" s="676">
        <f t="shared" si="3"/>
        <v>0</v>
      </c>
      <c r="I20" s="676">
        <f t="shared" si="3"/>
        <v>0</v>
      </c>
      <c r="J20" s="676">
        <f t="shared" si="3"/>
        <v>0</v>
      </c>
      <c r="K20" s="676">
        <f t="shared" si="3"/>
        <v>0</v>
      </c>
      <c r="L20" s="676">
        <f t="shared" si="3"/>
        <v>0</v>
      </c>
      <c r="M20" s="676">
        <f t="shared" si="3"/>
        <v>0</v>
      </c>
      <c r="N20" s="676">
        <f t="shared" si="3"/>
        <v>0</v>
      </c>
      <c r="O20" s="676">
        <f t="shared" si="3"/>
        <v>0</v>
      </c>
      <c r="P20" s="676">
        <f t="shared" si="3"/>
        <v>0</v>
      </c>
      <c r="Q20" s="676">
        <f t="shared" si="3"/>
        <v>0</v>
      </c>
      <c r="R20" s="676">
        <f t="shared" si="3"/>
        <v>0</v>
      </c>
      <c r="S20" s="676">
        <f t="shared" si="3"/>
        <v>0</v>
      </c>
      <c r="T20" s="676">
        <f t="shared" si="3"/>
        <v>0</v>
      </c>
      <c r="U20" s="676">
        <f t="shared" si="3"/>
        <v>-768.31055000000003</v>
      </c>
      <c r="V20" s="676">
        <f t="shared" si="3"/>
        <v>0</v>
      </c>
      <c r="W20" s="676">
        <f t="shared" si="3"/>
        <v>0</v>
      </c>
      <c r="X20" s="676">
        <f t="shared" si="3"/>
        <v>0</v>
      </c>
      <c r="Y20" s="676">
        <f t="shared" si="3"/>
        <v>51.994343999999998</v>
      </c>
      <c r="Z20" s="676">
        <f t="shared" si="3"/>
        <v>0</v>
      </c>
      <c r="AA20" s="676">
        <f t="shared" si="3"/>
        <v>0</v>
      </c>
      <c r="AB20" s="676">
        <f t="shared" si="3"/>
        <v>0</v>
      </c>
      <c r="AC20" s="661"/>
      <c r="AD20" s="679">
        <f>SUM(AD17:AD19)</f>
        <v>105542.99124400002</v>
      </c>
      <c r="AE20" s="1563"/>
      <c r="AF20" s="1756">
        <v>105542.99124400002</v>
      </c>
      <c r="AG20" s="1908">
        <f t="shared" si="2"/>
        <v>0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2:48" ht="9.9" customHeight="1" x14ac:dyDescent="0.45">
      <c r="B21" s="638"/>
      <c r="C21" s="639"/>
      <c r="D21" s="640"/>
      <c r="E21" s="677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78"/>
      <c r="Z21" s="648"/>
      <c r="AA21" s="648"/>
      <c r="AB21" s="678"/>
      <c r="AC21" s="665"/>
      <c r="AD21" s="643"/>
      <c r="AG21" s="1908">
        <f t="shared" si="2"/>
        <v>0</v>
      </c>
    </row>
    <row r="22" spans="2:48" x14ac:dyDescent="0.45">
      <c r="B22" s="667" t="s">
        <v>2304</v>
      </c>
      <c r="C22" s="668" t="s">
        <v>1509</v>
      </c>
      <c r="D22" s="640"/>
      <c r="E22" s="669"/>
      <c r="F22" s="670"/>
      <c r="G22" s="670"/>
      <c r="H22" s="670"/>
      <c r="I22" s="670"/>
      <c r="J22" s="670"/>
      <c r="K22" s="670"/>
      <c r="L22" s="670"/>
      <c r="M22" s="670"/>
      <c r="N22" s="670"/>
      <c r="O22" s="670"/>
      <c r="P22" s="670"/>
      <c r="Q22" s="670"/>
      <c r="R22" s="670"/>
      <c r="S22" s="670"/>
      <c r="T22" s="670"/>
      <c r="U22" s="670"/>
      <c r="V22" s="670"/>
      <c r="W22" s="670"/>
      <c r="X22" s="670"/>
      <c r="Y22" s="670"/>
      <c r="Z22" s="670"/>
      <c r="AA22" s="670"/>
      <c r="AB22" s="670"/>
      <c r="AC22" s="665"/>
      <c r="AD22" s="671">
        <f t="shared" ref="AD22:AD27" si="4">+SUM(E22:AB22)</f>
        <v>0</v>
      </c>
      <c r="AF22" s="1756">
        <v>0</v>
      </c>
      <c r="AG22" s="1908">
        <f t="shared" si="2"/>
        <v>0</v>
      </c>
    </row>
    <row r="23" spans="2:48" x14ac:dyDescent="0.45">
      <c r="B23" s="667" t="s">
        <v>2305</v>
      </c>
      <c r="C23" s="668" t="s">
        <v>1511</v>
      </c>
      <c r="D23" s="640"/>
      <c r="E23" s="669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0"/>
      <c r="W23" s="670"/>
      <c r="X23" s="670"/>
      <c r="Y23" s="670"/>
      <c r="Z23" s="670"/>
      <c r="AA23" s="670"/>
      <c r="AB23" s="670"/>
      <c r="AC23" s="665"/>
      <c r="AD23" s="671">
        <f t="shared" si="4"/>
        <v>0</v>
      </c>
      <c r="AF23" s="1756">
        <v>0</v>
      </c>
      <c r="AG23" s="1908">
        <f t="shared" si="2"/>
        <v>0</v>
      </c>
    </row>
    <row r="24" spans="2:48" x14ac:dyDescent="0.45">
      <c r="B24" s="667" t="s">
        <v>2302</v>
      </c>
      <c r="C24" s="668" t="s">
        <v>1513</v>
      </c>
      <c r="D24" s="640"/>
      <c r="E24" s="669"/>
      <c r="F24" s="670">
        <f>-'BG '!K679/10^6</f>
        <v>143.76480799999999</v>
      </c>
      <c r="G24" s="670"/>
      <c r="H24" s="670"/>
      <c r="I24" s="670"/>
      <c r="J24" s="670"/>
      <c r="K24" s="670"/>
      <c r="L24" s="670"/>
      <c r="M24" s="670"/>
      <c r="N24" s="670"/>
      <c r="O24" s="670"/>
      <c r="P24" s="670"/>
      <c r="Q24" s="670"/>
      <c r="R24" s="670"/>
      <c r="S24" s="670"/>
      <c r="T24" s="670"/>
      <c r="U24" s="1300">
        <f>'BG '!K679/10^6</f>
        <v>-143.76480799999999</v>
      </c>
      <c r="V24" s="670"/>
      <c r="W24" s="670"/>
      <c r="X24" s="670"/>
      <c r="Y24" s="670"/>
      <c r="Z24" s="670"/>
      <c r="AA24" s="670"/>
      <c r="AB24" s="670"/>
      <c r="AC24" s="665"/>
      <c r="AD24" s="671">
        <f t="shared" si="4"/>
        <v>0</v>
      </c>
      <c r="AF24" s="1756">
        <v>0</v>
      </c>
      <c r="AG24" s="1908">
        <f t="shared" si="2"/>
        <v>0</v>
      </c>
    </row>
    <row r="25" spans="2:48" x14ac:dyDescent="0.45">
      <c r="B25" s="667" t="s">
        <v>2306</v>
      </c>
      <c r="C25" s="668" t="s">
        <v>1515</v>
      </c>
      <c r="D25" s="640"/>
      <c r="E25" s="669"/>
      <c r="F25" s="670"/>
      <c r="G25" s="670"/>
      <c r="H25" s="670"/>
      <c r="I25" s="670"/>
      <c r="J25" s="670"/>
      <c r="K25" s="670"/>
      <c r="L25" s="670"/>
      <c r="M25" s="670"/>
      <c r="N25" s="670"/>
      <c r="O25" s="670"/>
      <c r="P25" s="670"/>
      <c r="Q25" s="670"/>
      <c r="R25" s="670"/>
      <c r="S25" s="670"/>
      <c r="T25" s="670"/>
      <c r="U25" s="670">
        <f>-((-'BG '!J587/10^6)*0+(SUM('BG '!H271:I272)/1000000))</f>
        <v>0.122644</v>
      </c>
      <c r="V25" s="670"/>
      <c r="W25" s="670"/>
      <c r="X25" s="670"/>
      <c r="Y25" s="670"/>
      <c r="Z25" s="670"/>
      <c r="AA25" s="670"/>
      <c r="AB25" s="670"/>
      <c r="AC25" s="665"/>
      <c r="AD25" s="1567">
        <f t="shared" si="4"/>
        <v>0.122644</v>
      </c>
      <c r="AF25" s="1756">
        <v>0.122644</v>
      </c>
      <c r="AG25" s="1908">
        <f t="shared" si="2"/>
        <v>0</v>
      </c>
    </row>
    <row r="26" spans="2:48" x14ac:dyDescent="0.45">
      <c r="B26" s="667" t="s">
        <v>2307</v>
      </c>
      <c r="C26" s="668" t="s">
        <v>1517</v>
      </c>
      <c r="D26" s="640"/>
      <c r="E26" s="669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>
        <f>(-'BG '!K684)/1000000</f>
        <v>0</v>
      </c>
      <c r="V26" s="670"/>
      <c r="W26" s="670"/>
      <c r="X26" s="670"/>
      <c r="Y26" s="670"/>
      <c r="Z26" s="670"/>
      <c r="AA26" s="670"/>
      <c r="AB26" s="670"/>
      <c r="AC26" s="665"/>
      <c r="AD26" s="671">
        <f t="shared" si="4"/>
        <v>0</v>
      </c>
      <c r="AF26" s="1756">
        <v>0</v>
      </c>
      <c r="AG26" s="1908">
        <f t="shared" si="2"/>
        <v>0</v>
      </c>
    </row>
    <row r="27" spans="2:48" x14ac:dyDescent="0.45">
      <c r="B27" s="667" t="s">
        <v>2301</v>
      </c>
      <c r="C27" s="668" t="s">
        <v>1519</v>
      </c>
      <c r="D27" s="640"/>
      <c r="E27" s="669"/>
      <c r="F27" s="1435">
        <f>-SUM('BG '!K670,'BG '!K671,'BG '!K669)/10^6</f>
        <v>110.909479</v>
      </c>
      <c r="G27" s="670"/>
      <c r="H27" s="670"/>
      <c r="I27" s="670"/>
      <c r="J27" s="670"/>
      <c r="K27" s="670"/>
      <c r="L27" s="670"/>
      <c r="M27" s="670"/>
      <c r="N27" s="670"/>
      <c r="O27" s="670"/>
      <c r="P27" s="670"/>
      <c r="Q27" s="670"/>
      <c r="R27" s="670"/>
      <c r="S27" s="670"/>
      <c r="T27" s="670"/>
      <c r="U27" s="1300">
        <f>SUM('BG '!K670,'BG '!K671)/1000000</f>
        <v>-110.909479</v>
      </c>
      <c r="V27" s="670"/>
      <c r="W27" s="670"/>
      <c r="X27" s="670"/>
      <c r="Y27" s="670"/>
      <c r="Z27" s="670"/>
      <c r="AA27" s="670"/>
      <c r="AB27" s="670"/>
      <c r="AC27" s="665"/>
      <c r="AD27" s="671">
        <f t="shared" si="4"/>
        <v>0</v>
      </c>
      <c r="AF27" s="1756">
        <v>0</v>
      </c>
      <c r="AG27" s="1908">
        <f t="shared" si="2"/>
        <v>0</v>
      </c>
    </row>
    <row r="28" spans="2:48" s="2" customFormat="1" x14ac:dyDescent="0.45">
      <c r="B28" s="673" t="s">
        <v>1520</v>
      </c>
      <c r="C28" s="673" t="s">
        <v>1521</v>
      </c>
      <c r="D28" s="674"/>
      <c r="E28" s="675"/>
      <c r="F28" s="676">
        <f>+SUM(F22:F27)</f>
        <v>254.67428699999999</v>
      </c>
      <c r="G28" s="676">
        <f>+SUM(G22:G27)</f>
        <v>0</v>
      </c>
      <c r="H28" s="676">
        <f t="shared" ref="H28:AB28" si="5">+SUM(H22:H27)</f>
        <v>0</v>
      </c>
      <c r="I28" s="676">
        <f t="shared" si="5"/>
        <v>0</v>
      </c>
      <c r="J28" s="676">
        <f t="shared" si="5"/>
        <v>0</v>
      </c>
      <c r="K28" s="676">
        <f t="shared" si="5"/>
        <v>0</v>
      </c>
      <c r="L28" s="676">
        <f t="shared" si="5"/>
        <v>0</v>
      </c>
      <c r="M28" s="676">
        <f t="shared" si="5"/>
        <v>0</v>
      </c>
      <c r="N28" s="676">
        <f t="shared" si="5"/>
        <v>0</v>
      </c>
      <c r="O28" s="676">
        <f t="shared" si="5"/>
        <v>0</v>
      </c>
      <c r="P28" s="676">
        <f t="shared" si="5"/>
        <v>0</v>
      </c>
      <c r="Q28" s="676">
        <f t="shared" si="5"/>
        <v>0</v>
      </c>
      <c r="R28" s="676">
        <f t="shared" si="5"/>
        <v>0</v>
      </c>
      <c r="S28" s="676">
        <f t="shared" si="5"/>
        <v>0</v>
      </c>
      <c r="T28" s="676">
        <f t="shared" si="5"/>
        <v>0</v>
      </c>
      <c r="U28" s="676">
        <f t="shared" si="5"/>
        <v>-254.55164299999998</v>
      </c>
      <c r="V28" s="676">
        <f t="shared" si="5"/>
        <v>0</v>
      </c>
      <c r="W28" s="676">
        <f>+SUM(W22:W27)</f>
        <v>0</v>
      </c>
      <c r="X28" s="676">
        <f>+SUM(X22:X27)</f>
        <v>0</v>
      </c>
      <c r="Y28" s="676">
        <f>+SUM(Y22:Y27)</f>
        <v>0</v>
      </c>
      <c r="Z28" s="676">
        <f t="shared" si="5"/>
        <v>0</v>
      </c>
      <c r="AA28" s="676">
        <f t="shared" si="5"/>
        <v>0</v>
      </c>
      <c r="AB28" s="676">
        <f t="shared" si="5"/>
        <v>0</v>
      </c>
      <c r="AC28" s="661"/>
      <c r="AD28" s="1568">
        <f>+SUM(AD22:AD27)</f>
        <v>0.122644</v>
      </c>
      <c r="AE28" s="1563"/>
      <c r="AF28" s="1756">
        <v>0.122644</v>
      </c>
      <c r="AG28" s="1908">
        <f t="shared" si="2"/>
        <v>0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2:48" ht="9.9" customHeight="1" x14ac:dyDescent="0.45">
      <c r="B29" s="638"/>
      <c r="C29" s="639"/>
      <c r="D29" s="640"/>
      <c r="E29" s="677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78"/>
      <c r="Z29" s="648"/>
      <c r="AA29" s="648"/>
      <c r="AB29" s="678"/>
      <c r="AC29" s="665"/>
      <c r="AD29" s="643"/>
      <c r="AG29" s="1908">
        <f t="shared" si="2"/>
        <v>0</v>
      </c>
    </row>
    <row r="30" spans="2:48" x14ac:dyDescent="0.45">
      <c r="B30" s="667" t="s">
        <v>2308</v>
      </c>
      <c r="C30" s="668" t="s">
        <v>1523</v>
      </c>
      <c r="D30" s="640"/>
      <c r="E30" s="669"/>
      <c r="F30" s="670"/>
      <c r="G30" s="670"/>
      <c r="H30" s="670"/>
      <c r="I30" s="670"/>
      <c r="J30" s="670"/>
      <c r="K30" s="670"/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  <c r="X30" s="670"/>
      <c r="Y30" s="670"/>
      <c r="Z30" s="670"/>
      <c r="AA30" s="670"/>
      <c r="AB30" s="670"/>
      <c r="AC30" s="665"/>
      <c r="AD30" s="671">
        <f t="shared" ref="AD30:AD41" si="6">+SUM(E30:AB30)</f>
        <v>0</v>
      </c>
      <c r="AF30" s="1756">
        <v>0</v>
      </c>
      <c r="AG30" s="1908">
        <f t="shared" si="2"/>
        <v>0</v>
      </c>
    </row>
    <row r="31" spans="2:48" x14ac:dyDescent="0.45">
      <c r="B31" s="667" t="s">
        <v>2309</v>
      </c>
      <c r="C31" s="668" t="s">
        <v>1525</v>
      </c>
      <c r="D31" s="640"/>
      <c r="E31" s="669"/>
      <c r="F31" s="1588">
        <f>-'BG '!K682/10^6</f>
        <v>1458.8835770000001</v>
      </c>
      <c r="G31" s="670"/>
      <c r="H31" s="670"/>
      <c r="I31" s="670"/>
      <c r="J31" s="670"/>
      <c r="K31" s="670"/>
      <c r="L31" s="670"/>
      <c r="M31" s="670"/>
      <c r="N31" s="670"/>
      <c r="O31" s="670"/>
      <c r="P31" s="670"/>
      <c r="Q31" s="670"/>
      <c r="R31" s="670"/>
      <c r="S31" s="670"/>
      <c r="T31" s="670"/>
      <c r="U31" s="1435">
        <f>'BG '!K682/10^6</f>
        <v>-1458.8835770000001</v>
      </c>
      <c r="V31" s="670"/>
      <c r="W31" s="670"/>
      <c r="X31" s="670"/>
      <c r="Y31" s="670"/>
      <c r="Z31" s="670"/>
      <c r="AA31" s="670"/>
      <c r="AB31" s="670"/>
      <c r="AC31" s="665"/>
      <c r="AD31" s="671">
        <f t="shared" si="6"/>
        <v>0</v>
      </c>
      <c r="AF31" s="1756">
        <v>0</v>
      </c>
      <c r="AG31" s="1908">
        <f t="shared" si="2"/>
        <v>0</v>
      </c>
    </row>
    <row r="32" spans="2:48" x14ac:dyDescent="0.45">
      <c r="B32" s="667" t="s">
        <v>1526</v>
      </c>
      <c r="C32" s="668" t="s">
        <v>1527</v>
      </c>
      <c r="D32" s="640"/>
      <c r="E32" s="669"/>
      <c r="F32" s="1588"/>
      <c r="G32" s="670"/>
      <c r="H32" s="670"/>
      <c r="I32" s="670"/>
      <c r="J32" s="670"/>
      <c r="K32" s="670"/>
      <c r="L32" s="670"/>
      <c r="M32" s="670"/>
      <c r="N32" s="670"/>
      <c r="O32" s="670"/>
      <c r="P32" s="670"/>
      <c r="Q32" s="670"/>
      <c r="R32" s="670"/>
      <c r="S32" s="670"/>
      <c r="T32" s="670"/>
      <c r="U32" s="670"/>
      <c r="V32" s="670"/>
      <c r="W32" s="670"/>
      <c r="X32" s="670"/>
      <c r="Y32" s="670"/>
      <c r="Z32" s="670"/>
      <c r="AA32" s="670"/>
      <c r="AB32" s="670"/>
      <c r="AC32" s="665"/>
      <c r="AD32" s="671">
        <f t="shared" si="6"/>
        <v>0</v>
      </c>
      <c r="AF32" s="1756">
        <v>0</v>
      </c>
      <c r="AG32" s="1908">
        <f t="shared" si="2"/>
        <v>0</v>
      </c>
    </row>
    <row r="33" spans="2:48" x14ac:dyDescent="0.45">
      <c r="B33" s="667" t="s">
        <v>1528</v>
      </c>
      <c r="C33" s="668" t="s">
        <v>1529</v>
      </c>
      <c r="D33" s="640"/>
      <c r="E33" s="669"/>
      <c r="F33" s="1588">
        <f>-SUM('BG '!K674,'BG '!K681)/10^6</f>
        <v>130.02862300000001</v>
      </c>
      <c r="G33" s="670"/>
      <c r="H33" s="670"/>
      <c r="I33" s="670"/>
      <c r="J33" s="670"/>
      <c r="K33" s="670"/>
      <c r="L33" s="670"/>
      <c r="M33" s="670"/>
      <c r="N33" s="670"/>
      <c r="O33" s="670"/>
      <c r="P33" s="670"/>
      <c r="Q33" s="670"/>
      <c r="R33" s="670"/>
      <c r="S33" s="670"/>
      <c r="T33" s="670"/>
      <c r="U33" s="672">
        <f>-F33</f>
        <v>-130.02862300000001</v>
      </c>
      <c r="V33" s="670"/>
      <c r="W33" s="670"/>
      <c r="X33" s="670"/>
      <c r="Y33" s="670"/>
      <c r="Z33" s="670"/>
      <c r="AA33" s="670"/>
      <c r="AB33" s="670"/>
      <c r="AC33" s="665"/>
      <c r="AD33" s="671">
        <f>+SUM(E33:AB33)</f>
        <v>0</v>
      </c>
      <c r="AF33" s="1756">
        <v>0</v>
      </c>
      <c r="AG33" s="1908">
        <f t="shared" si="2"/>
        <v>0</v>
      </c>
    </row>
    <row r="34" spans="2:48" x14ac:dyDescent="0.45">
      <c r="B34" s="667" t="s">
        <v>1530</v>
      </c>
      <c r="C34" s="668" t="s">
        <v>1531</v>
      </c>
      <c r="D34" s="640"/>
      <c r="E34" s="669"/>
      <c r="F34" s="670">
        <f>-SUM('BG '!K672)/10^6</f>
        <v>0</v>
      </c>
      <c r="G34" s="670"/>
      <c r="H34" s="670"/>
      <c r="I34" s="670"/>
      <c r="J34" s="670"/>
      <c r="K34" s="670"/>
      <c r="L34" s="670"/>
      <c r="M34" s="670"/>
      <c r="N34" s="670"/>
      <c r="O34" s="670"/>
      <c r="P34" s="670"/>
      <c r="Q34" s="670"/>
      <c r="R34" s="670"/>
      <c r="S34" s="670"/>
      <c r="T34" s="670"/>
      <c r="U34" s="1435">
        <f>'BG '!K672/1000000</f>
        <v>0</v>
      </c>
      <c r="V34" s="670"/>
      <c r="W34" s="670"/>
      <c r="X34" s="670"/>
      <c r="Y34" s="670"/>
      <c r="Z34" s="670"/>
      <c r="AA34" s="670"/>
      <c r="AB34" s="670"/>
      <c r="AC34" s="665"/>
      <c r="AD34" s="680">
        <f t="shared" si="6"/>
        <v>0</v>
      </c>
      <c r="AF34" s="1756">
        <v>0</v>
      </c>
      <c r="AG34" s="1908">
        <f t="shared" si="2"/>
        <v>0</v>
      </c>
    </row>
    <row r="35" spans="2:48" x14ac:dyDescent="0.45">
      <c r="B35" s="667" t="s">
        <v>1532</v>
      </c>
      <c r="C35" s="668" t="s">
        <v>1533</v>
      </c>
      <c r="D35" s="640"/>
      <c r="E35" s="669"/>
      <c r="F35" s="1435">
        <f>-SUM('BG '!K673)/10^6</f>
        <v>1035.7939490000001</v>
      </c>
      <c r="G35" s="670"/>
      <c r="H35" s="670"/>
      <c r="I35" s="670"/>
      <c r="J35" s="670"/>
      <c r="K35" s="670"/>
      <c r="L35" s="670"/>
      <c r="M35" s="670"/>
      <c r="N35" s="670"/>
      <c r="O35" s="670"/>
      <c r="P35" s="670"/>
      <c r="Q35" s="670"/>
      <c r="R35" s="670"/>
      <c r="S35" s="670"/>
      <c r="T35" s="670"/>
      <c r="U35" s="672">
        <f>SUM('BG '!K673)/10^6</f>
        <v>-1035.7939490000001</v>
      </c>
      <c r="V35" s="670"/>
      <c r="W35" s="670"/>
      <c r="X35" s="670"/>
      <c r="Y35" s="670"/>
      <c r="Z35" s="670"/>
      <c r="AA35" s="670"/>
      <c r="AB35" s="670"/>
      <c r="AC35" s="665"/>
      <c r="AD35" s="1845">
        <f>+SUM(E35:AB35)+1035.79394778353</f>
        <v>1035.79394778353</v>
      </c>
      <c r="AF35" s="1756">
        <v>1035.79394778353</v>
      </c>
      <c r="AG35" s="1908">
        <f t="shared" si="2"/>
        <v>0</v>
      </c>
    </row>
    <row r="36" spans="2:48" x14ac:dyDescent="0.45">
      <c r="B36" s="667" t="s">
        <v>1534</v>
      </c>
      <c r="C36" s="668" t="s">
        <v>1535</v>
      </c>
      <c r="D36" s="640"/>
      <c r="E36" s="669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70"/>
      <c r="AB36" s="670"/>
      <c r="AC36" s="665"/>
      <c r="AD36" s="671">
        <f t="shared" si="6"/>
        <v>0</v>
      </c>
      <c r="AF36" s="1756">
        <v>0</v>
      </c>
      <c r="AG36" s="1908">
        <f t="shared" si="2"/>
        <v>0</v>
      </c>
    </row>
    <row r="37" spans="2:48" x14ac:dyDescent="0.45">
      <c r="B37" s="667" t="s">
        <v>1536</v>
      </c>
      <c r="C37" s="668" t="s">
        <v>1537</v>
      </c>
      <c r="D37" s="640"/>
      <c r="E37" s="669"/>
      <c r="F37" s="670"/>
      <c r="G37" s="670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670"/>
      <c r="X37" s="670"/>
      <c r="Y37" s="670"/>
      <c r="Z37" s="670"/>
      <c r="AA37" s="670"/>
      <c r="AB37" s="670"/>
      <c r="AC37" s="665"/>
      <c r="AD37" s="671">
        <f t="shared" si="6"/>
        <v>0</v>
      </c>
      <c r="AF37" s="1756">
        <v>0</v>
      </c>
      <c r="AG37" s="1908">
        <f t="shared" si="2"/>
        <v>0</v>
      </c>
    </row>
    <row r="38" spans="2:48" x14ac:dyDescent="0.45">
      <c r="B38" s="667" t="s">
        <v>1538</v>
      </c>
      <c r="C38" s="668" t="s">
        <v>1539</v>
      </c>
      <c r="D38" s="640"/>
      <c r="E38" s="669"/>
      <c r="F38" s="670"/>
      <c r="G38" s="670"/>
      <c r="H38" s="670"/>
      <c r="I38" s="670"/>
      <c r="J38" s="670"/>
      <c r="K38" s="670"/>
      <c r="L38" s="670"/>
      <c r="M38" s="670"/>
      <c r="N38" s="670"/>
      <c r="O38" s="670"/>
      <c r="P38" s="670"/>
      <c r="Q38" s="670"/>
      <c r="R38" s="670"/>
      <c r="S38" s="670"/>
      <c r="T38" s="670"/>
      <c r="U38" s="670"/>
      <c r="V38" s="670"/>
      <c r="W38" s="670"/>
      <c r="X38" s="670"/>
      <c r="Y38" s="670"/>
      <c r="Z38" s="670"/>
      <c r="AA38" s="670"/>
      <c r="AB38" s="670"/>
      <c r="AC38" s="665"/>
      <c r="AD38" s="671">
        <f t="shared" si="6"/>
        <v>0</v>
      </c>
      <c r="AF38" s="1756">
        <v>0</v>
      </c>
      <c r="AG38" s="1908">
        <f t="shared" si="2"/>
        <v>0</v>
      </c>
    </row>
    <row r="39" spans="2:48" x14ac:dyDescent="0.45">
      <c r="B39" s="667" t="s">
        <v>1540</v>
      </c>
      <c r="C39" s="668" t="s">
        <v>1541</v>
      </c>
      <c r="D39" s="640"/>
      <c r="E39" s="669"/>
      <c r="F39" s="670"/>
      <c r="G39" s="670"/>
      <c r="H39" s="670"/>
      <c r="I39" s="670"/>
      <c r="J39" s="670"/>
      <c r="K39" s="670"/>
      <c r="L39" s="670"/>
      <c r="M39" s="670"/>
      <c r="N39" s="670"/>
      <c r="O39" s="670"/>
      <c r="P39" s="670"/>
      <c r="Q39" s="670"/>
      <c r="R39" s="670"/>
      <c r="S39" s="670"/>
      <c r="T39" s="670"/>
      <c r="U39" s="670"/>
      <c r="V39" s="670"/>
      <c r="W39" s="670"/>
      <c r="X39" s="670"/>
      <c r="Y39" s="670"/>
      <c r="Z39" s="670"/>
      <c r="AA39" s="670"/>
      <c r="AB39" s="670"/>
      <c r="AC39" s="665"/>
      <c r="AD39" s="671">
        <f t="shared" si="6"/>
        <v>0</v>
      </c>
      <c r="AF39" s="1756">
        <v>0</v>
      </c>
      <c r="AG39" s="1908">
        <f t="shared" si="2"/>
        <v>0</v>
      </c>
    </row>
    <row r="40" spans="2:48" x14ac:dyDescent="0.45">
      <c r="B40" s="667" t="s">
        <v>1542</v>
      </c>
      <c r="C40" s="668" t="s">
        <v>1543</v>
      </c>
      <c r="D40" s="640"/>
      <c r="E40" s="669"/>
      <c r="F40" s="670"/>
      <c r="G40" s="670"/>
      <c r="H40" s="670"/>
      <c r="I40" s="670"/>
      <c r="J40" s="670"/>
      <c r="K40" s="670"/>
      <c r="L40" s="670"/>
      <c r="M40" s="670"/>
      <c r="N40" s="670"/>
      <c r="O40" s="670"/>
      <c r="P40" s="670"/>
      <c r="Q40" s="670"/>
      <c r="R40" s="670"/>
      <c r="S40" s="670"/>
      <c r="T40" s="670"/>
      <c r="U40" s="670"/>
      <c r="V40" s="670"/>
      <c r="W40" s="670"/>
      <c r="X40" s="670"/>
      <c r="Y40" s="670"/>
      <c r="Z40" s="670"/>
      <c r="AA40" s="670"/>
      <c r="AB40" s="670"/>
      <c r="AC40" s="665"/>
      <c r="AD40" s="671">
        <f t="shared" si="6"/>
        <v>0</v>
      </c>
      <c r="AF40" s="1756">
        <v>0</v>
      </c>
      <c r="AG40" s="1908">
        <f t="shared" si="2"/>
        <v>0</v>
      </c>
    </row>
    <row r="41" spans="2:48" x14ac:dyDescent="0.45">
      <c r="B41" s="667" t="s">
        <v>1544</v>
      </c>
      <c r="C41" s="668" t="s">
        <v>1545</v>
      </c>
      <c r="D41" s="640"/>
      <c r="E41" s="669"/>
      <c r="F41" s="670"/>
      <c r="G41" s="670"/>
      <c r="H41" s="670"/>
      <c r="I41" s="670"/>
      <c r="J41" s="670"/>
      <c r="K41" s="670"/>
      <c r="L41" s="670"/>
      <c r="M41" s="670"/>
      <c r="N41" s="670"/>
      <c r="O41" s="670"/>
      <c r="P41" s="670"/>
      <c r="Q41" s="670"/>
      <c r="R41" s="670"/>
      <c r="S41" s="670"/>
      <c r="T41" s="670"/>
      <c r="U41" s="670"/>
      <c r="V41" s="670"/>
      <c r="W41" s="670"/>
      <c r="X41" s="670"/>
      <c r="Y41" s="670"/>
      <c r="Z41" s="670"/>
      <c r="AA41" s="670"/>
      <c r="AB41" s="670"/>
      <c r="AC41" s="665"/>
      <c r="AD41" s="671">
        <f t="shared" si="6"/>
        <v>0</v>
      </c>
      <c r="AF41" s="1756">
        <v>0</v>
      </c>
      <c r="AG41" s="1908">
        <f t="shared" si="2"/>
        <v>0</v>
      </c>
    </row>
    <row r="42" spans="2:48" s="2" customFormat="1" ht="29.1" customHeight="1" x14ac:dyDescent="0.45">
      <c r="B42" s="673" t="s">
        <v>1546</v>
      </c>
      <c r="C42" s="673" t="s">
        <v>1547</v>
      </c>
      <c r="D42" s="674"/>
      <c r="E42" s="675"/>
      <c r="F42" s="676">
        <f>+SUM(F30:F41)</f>
        <v>2624.7061490000001</v>
      </c>
      <c r="G42" s="676">
        <f>+SUM(G30:G41)</f>
        <v>0</v>
      </c>
      <c r="H42" s="676">
        <f t="shared" ref="H42:AB42" si="7">+SUM(H30:H41)</f>
        <v>0</v>
      </c>
      <c r="I42" s="676">
        <f t="shared" si="7"/>
        <v>0</v>
      </c>
      <c r="J42" s="676">
        <f t="shared" si="7"/>
        <v>0</v>
      </c>
      <c r="K42" s="676">
        <f t="shared" si="7"/>
        <v>0</v>
      </c>
      <c r="L42" s="676">
        <f t="shared" si="7"/>
        <v>0</v>
      </c>
      <c r="M42" s="676">
        <f t="shared" si="7"/>
        <v>0</v>
      </c>
      <c r="N42" s="676">
        <f t="shared" si="7"/>
        <v>0</v>
      </c>
      <c r="O42" s="676">
        <f t="shared" si="7"/>
        <v>0</v>
      </c>
      <c r="P42" s="676">
        <f t="shared" si="7"/>
        <v>0</v>
      </c>
      <c r="Q42" s="676">
        <f t="shared" si="7"/>
        <v>0</v>
      </c>
      <c r="R42" s="676">
        <f t="shared" si="7"/>
        <v>0</v>
      </c>
      <c r="S42" s="676">
        <f t="shared" si="7"/>
        <v>0</v>
      </c>
      <c r="T42" s="676">
        <f t="shared" si="7"/>
        <v>0</v>
      </c>
      <c r="U42" s="676">
        <f t="shared" si="7"/>
        <v>-2624.7061490000001</v>
      </c>
      <c r="V42" s="676">
        <f t="shared" si="7"/>
        <v>0</v>
      </c>
      <c r="W42" s="676">
        <f t="shared" si="7"/>
        <v>0</v>
      </c>
      <c r="X42" s="676">
        <f t="shared" si="7"/>
        <v>0</v>
      </c>
      <c r="Y42" s="676">
        <f t="shared" si="7"/>
        <v>0</v>
      </c>
      <c r="Z42" s="676">
        <f t="shared" si="7"/>
        <v>0</v>
      </c>
      <c r="AA42" s="676">
        <f t="shared" si="7"/>
        <v>0</v>
      </c>
      <c r="AB42" s="676">
        <f t="shared" si="7"/>
        <v>0</v>
      </c>
      <c r="AC42" s="661"/>
      <c r="AD42" s="679">
        <f>+SUM(AD30:AD41)</f>
        <v>1035.79394778353</v>
      </c>
      <c r="AE42" s="1563"/>
      <c r="AF42" s="1756">
        <v>1035.79394778353</v>
      </c>
      <c r="AG42" s="1908">
        <f t="shared" si="2"/>
        <v>0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</row>
    <row r="43" spans="2:48" ht="9.9" customHeight="1" x14ac:dyDescent="0.45">
      <c r="B43" s="638" t="s">
        <v>1548</v>
      </c>
      <c r="C43" s="639"/>
      <c r="D43" s="640"/>
      <c r="E43" s="663"/>
      <c r="F43" s="664"/>
      <c r="G43" s="664"/>
      <c r="H43" s="664"/>
      <c r="I43" s="664"/>
      <c r="J43" s="664"/>
      <c r="K43" s="664"/>
      <c r="L43" s="664"/>
      <c r="M43" s="664"/>
      <c r="N43" s="664"/>
      <c r="O43" s="664"/>
      <c r="P43" s="664"/>
      <c r="Q43" s="664"/>
      <c r="R43" s="664"/>
      <c r="S43" s="664"/>
      <c r="T43" s="664"/>
      <c r="U43" s="664"/>
      <c r="V43" s="664"/>
      <c r="W43" s="664"/>
      <c r="X43" s="664"/>
      <c r="Y43" s="664"/>
      <c r="Z43" s="664"/>
      <c r="AA43" s="664"/>
      <c r="AB43" s="664"/>
      <c r="AC43" s="665"/>
      <c r="AD43" s="666"/>
      <c r="AG43" s="1908">
        <f t="shared" si="2"/>
        <v>0</v>
      </c>
    </row>
    <row r="44" spans="2:48" s="2" customFormat="1" x14ac:dyDescent="0.45">
      <c r="B44" s="638" t="s">
        <v>1548</v>
      </c>
      <c r="C44" s="681" t="s">
        <v>1549</v>
      </c>
      <c r="D44" s="659"/>
      <c r="E44" s="660">
        <f>-'Compte de résultat'!H20/10^6</f>
        <v>-1878.495285</v>
      </c>
      <c r="F44" s="660"/>
      <c r="G44" s="1565">
        <f>-E44</f>
        <v>1878.495285</v>
      </c>
      <c r="H44" s="660"/>
      <c r="I44" s="660"/>
      <c r="J44" s="660"/>
      <c r="K44" s="660"/>
      <c r="L44" s="660"/>
      <c r="M44" s="660"/>
      <c r="N44" s="660"/>
      <c r="O44" s="660"/>
      <c r="P44" s="660"/>
      <c r="Q44" s="660"/>
      <c r="R44" s="660"/>
      <c r="S44" s="660"/>
      <c r="T44" s="660"/>
      <c r="U44" s="660"/>
      <c r="V44" s="660"/>
      <c r="W44" s="660"/>
      <c r="X44" s="660"/>
      <c r="Y44" s="660"/>
      <c r="Z44" s="660"/>
      <c r="AA44" s="660"/>
      <c r="AB44" s="660"/>
      <c r="AC44" s="661"/>
      <c r="AD44" s="662">
        <f t="shared" ref="AD44:AD55" si="8">+SUM(E44:AB44)</f>
        <v>0</v>
      </c>
      <c r="AE44" s="1563"/>
      <c r="AF44" s="1756">
        <v>0</v>
      </c>
      <c r="AG44" s="1908">
        <f t="shared" si="2"/>
        <v>0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</row>
    <row r="45" spans="2:48" s="2" customFormat="1" x14ac:dyDescent="0.45">
      <c r="B45" s="638" t="s">
        <v>1548</v>
      </c>
      <c r="C45" s="682" t="s">
        <v>1550</v>
      </c>
      <c r="D45" s="659"/>
      <c r="E45" s="660">
        <f>-'Compte de résultat'!H21/10^6</f>
        <v>-167.058426</v>
      </c>
      <c r="F45" s="660"/>
      <c r="G45" s="1565">
        <f t="shared" ref="G45:G55" si="9">-E45</f>
        <v>167.058426</v>
      </c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660"/>
      <c r="S45" s="660"/>
      <c r="T45" s="660"/>
      <c r="U45" s="660"/>
      <c r="V45" s="660"/>
      <c r="W45" s="660"/>
      <c r="X45" s="660"/>
      <c r="Y45" s="660"/>
      <c r="Z45" s="660"/>
      <c r="AA45" s="660"/>
      <c r="AB45" s="660"/>
      <c r="AC45" s="661"/>
      <c r="AD45" s="662">
        <f t="shared" si="8"/>
        <v>0</v>
      </c>
      <c r="AE45" s="1563"/>
      <c r="AF45" s="1756">
        <v>0</v>
      </c>
      <c r="AG45" s="1908">
        <f t="shared" si="2"/>
        <v>0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</row>
    <row r="46" spans="2:48" s="2" customFormat="1" x14ac:dyDescent="0.45">
      <c r="B46" s="638" t="s">
        <v>1548</v>
      </c>
      <c r="C46" s="682" t="s">
        <v>1551</v>
      </c>
      <c r="D46" s="659"/>
      <c r="E46" s="660">
        <f>-'Compte de résultat'!H22/10^6</f>
        <v>0</v>
      </c>
      <c r="F46" s="660"/>
      <c r="G46" s="660">
        <f t="shared" si="9"/>
        <v>0</v>
      </c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0"/>
      <c r="AB46" s="660"/>
      <c r="AC46" s="661"/>
      <c r="AD46" s="662">
        <f t="shared" si="8"/>
        <v>0</v>
      </c>
      <c r="AE46" s="1563"/>
      <c r="AF46" s="1756">
        <v>0</v>
      </c>
      <c r="AG46" s="1908">
        <f t="shared" si="2"/>
        <v>0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</row>
    <row r="47" spans="2:48" s="2" customFormat="1" x14ac:dyDescent="0.45">
      <c r="B47" s="638" t="s">
        <v>1548</v>
      </c>
      <c r="C47" s="682" t="s">
        <v>1550</v>
      </c>
      <c r="D47" s="659"/>
      <c r="E47" s="660">
        <f>-'Compte de résultat'!H23/10^6</f>
        <v>20.98283</v>
      </c>
      <c r="F47" s="660"/>
      <c r="G47" s="660">
        <f t="shared" si="9"/>
        <v>-20.98283</v>
      </c>
      <c r="H47" s="660"/>
      <c r="I47" s="660"/>
      <c r="J47" s="660"/>
      <c r="K47" s="660"/>
      <c r="L47" s="660"/>
      <c r="M47" s="660"/>
      <c r="N47" s="660"/>
      <c r="O47" s="660"/>
      <c r="P47" s="660"/>
      <c r="Q47" s="660"/>
      <c r="R47" s="660"/>
      <c r="S47" s="660"/>
      <c r="T47" s="660"/>
      <c r="U47" s="660"/>
      <c r="V47" s="660"/>
      <c r="W47" s="660"/>
      <c r="X47" s="660"/>
      <c r="Y47" s="660"/>
      <c r="Z47" s="660"/>
      <c r="AA47" s="660"/>
      <c r="AB47" s="660"/>
      <c r="AC47" s="661"/>
      <c r="AD47" s="662">
        <f t="shared" si="8"/>
        <v>0</v>
      </c>
      <c r="AE47" s="1563"/>
      <c r="AF47" s="1756">
        <v>0</v>
      </c>
      <c r="AG47" s="1908">
        <f t="shared" si="2"/>
        <v>0</v>
      </c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  <row r="48" spans="2:48" s="2" customFormat="1" x14ac:dyDescent="0.45">
      <c r="B48" s="638" t="s">
        <v>1548</v>
      </c>
      <c r="C48" s="682" t="s">
        <v>1552</v>
      </c>
      <c r="D48" s="659"/>
      <c r="E48" s="660">
        <f>-'Compte de résultat'!H24/10^6</f>
        <v>-13535.561694</v>
      </c>
      <c r="F48" s="660"/>
      <c r="G48" s="660">
        <f t="shared" si="9"/>
        <v>13535.561694</v>
      </c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660"/>
      <c r="AB48" s="660"/>
      <c r="AC48" s="661"/>
      <c r="AD48" s="662">
        <f t="shared" si="8"/>
        <v>0</v>
      </c>
      <c r="AE48" s="1563"/>
      <c r="AF48" s="1756">
        <v>0</v>
      </c>
      <c r="AG48" s="1908">
        <f t="shared" si="2"/>
        <v>0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2:48" s="2" customFormat="1" x14ac:dyDescent="0.45">
      <c r="B49" s="638" t="s">
        <v>1548</v>
      </c>
      <c r="C49" s="682" t="s">
        <v>1550</v>
      </c>
      <c r="D49" s="659"/>
      <c r="E49" s="660">
        <f>-'Compte de résultat'!H25/10^6</f>
        <v>-70.632568000000006</v>
      </c>
      <c r="F49" s="660"/>
      <c r="G49" s="660">
        <f t="shared" si="9"/>
        <v>70.632568000000006</v>
      </c>
      <c r="H49" s="660"/>
      <c r="I49" s="660"/>
      <c r="J49" s="660"/>
      <c r="K49" s="660"/>
      <c r="L49" s="660"/>
      <c r="M49" s="660"/>
      <c r="N49" s="660"/>
      <c r="O49" s="660"/>
      <c r="P49" s="660"/>
      <c r="Q49" s="660"/>
      <c r="R49" s="660"/>
      <c r="S49" s="660"/>
      <c r="T49" s="660"/>
      <c r="U49" s="660"/>
      <c r="V49" s="660"/>
      <c r="W49" s="660"/>
      <c r="X49" s="660"/>
      <c r="Y49" s="660"/>
      <c r="Z49" s="660"/>
      <c r="AA49" s="660"/>
      <c r="AB49" s="660"/>
      <c r="AC49" s="661"/>
      <c r="AD49" s="662">
        <f t="shared" si="8"/>
        <v>0</v>
      </c>
      <c r="AE49" s="1563"/>
      <c r="AF49" s="1756">
        <v>0</v>
      </c>
      <c r="AG49" s="1908">
        <f t="shared" si="2"/>
        <v>0</v>
      </c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2:48" s="2" customFormat="1" x14ac:dyDescent="0.45">
      <c r="B50" s="638" t="s">
        <v>1548</v>
      </c>
      <c r="C50" s="682" t="s">
        <v>1553</v>
      </c>
      <c r="D50" s="659"/>
      <c r="E50" s="660">
        <f>-'Compte de résultat'!H26/10^6</f>
        <v>-185.10870800000001</v>
      </c>
      <c r="F50" s="660"/>
      <c r="G50" s="660">
        <f t="shared" si="9"/>
        <v>185.10870800000001</v>
      </c>
      <c r="H50" s="660"/>
      <c r="I50" s="660"/>
      <c r="J50" s="660"/>
      <c r="K50" s="660"/>
      <c r="L50" s="660"/>
      <c r="M50" s="660"/>
      <c r="N50" s="660"/>
      <c r="O50" s="660"/>
      <c r="P50" s="660"/>
      <c r="Q50" s="660"/>
      <c r="R50" s="660"/>
      <c r="S50" s="660"/>
      <c r="T50" s="660"/>
      <c r="U50" s="660"/>
      <c r="V50" s="660"/>
      <c r="W50" s="660"/>
      <c r="X50" s="660"/>
      <c r="Y50" s="660"/>
      <c r="Z50" s="660"/>
      <c r="AA50" s="660"/>
      <c r="AB50" s="660"/>
      <c r="AC50" s="661"/>
      <c r="AD50" s="662">
        <f t="shared" si="8"/>
        <v>0</v>
      </c>
      <c r="AE50" s="1563"/>
      <c r="AF50" s="1756">
        <v>0</v>
      </c>
      <c r="AG50" s="1908">
        <f t="shared" si="2"/>
        <v>0</v>
      </c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2:48" s="2" customFormat="1" x14ac:dyDescent="0.45">
      <c r="B51" s="638" t="s">
        <v>1548</v>
      </c>
      <c r="C51" s="682" t="s">
        <v>1554</v>
      </c>
      <c r="D51" s="659"/>
      <c r="E51" s="660">
        <f>-'Compte de résultat'!H27/10^6</f>
        <v>-55972.756449</v>
      </c>
      <c r="F51" s="660"/>
      <c r="G51" s="660">
        <f t="shared" si="9"/>
        <v>55972.756449</v>
      </c>
      <c r="H51" s="660"/>
      <c r="I51" s="660"/>
      <c r="J51" s="660"/>
      <c r="K51" s="660"/>
      <c r="L51" s="660"/>
      <c r="M51" s="660"/>
      <c r="N51" s="660"/>
      <c r="O51" s="660"/>
      <c r="P51" s="660"/>
      <c r="Q51" s="660"/>
      <c r="R51" s="660"/>
      <c r="S51" s="660"/>
      <c r="T51" s="660"/>
      <c r="U51" s="660"/>
      <c r="V51" s="660"/>
      <c r="W51" s="660"/>
      <c r="X51" s="660"/>
      <c r="Y51" s="660"/>
      <c r="Z51" s="660"/>
      <c r="AA51" s="660"/>
      <c r="AB51" s="660"/>
      <c r="AC51" s="661"/>
      <c r="AD51" s="662">
        <f t="shared" si="8"/>
        <v>0</v>
      </c>
      <c r="AE51" s="1563"/>
      <c r="AF51" s="1756">
        <v>0</v>
      </c>
      <c r="AG51" s="1908">
        <f t="shared" si="2"/>
        <v>0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2:48" s="2" customFormat="1" x14ac:dyDescent="0.45">
      <c r="B52" s="638" t="s">
        <v>1548</v>
      </c>
      <c r="C52" s="682" t="s">
        <v>1555</v>
      </c>
      <c r="D52" s="659"/>
      <c r="E52" s="660">
        <f>-'Compte de résultat'!H28/10^6</f>
        <v>-2756.9669140000001</v>
      </c>
      <c r="F52" s="660"/>
      <c r="G52" s="1726">
        <f t="shared" si="9"/>
        <v>2756.9669140000001</v>
      </c>
      <c r="H52" s="660"/>
      <c r="I52" s="660"/>
      <c r="J52" s="660"/>
      <c r="K52" s="660"/>
      <c r="L52" s="660"/>
      <c r="M52" s="660"/>
      <c r="N52" s="660"/>
      <c r="O52" s="660"/>
      <c r="P52" s="660"/>
      <c r="Q52" s="660"/>
      <c r="R52" s="660"/>
      <c r="S52" s="660"/>
      <c r="T52" s="660"/>
      <c r="U52" s="660"/>
      <c r="V52" s="660"/>
      <c r="W52" s="660"/>
      <c r="X52" s="660"/>
      <c r="Y52" s="660"/>
      <c r="Z52" s="660"/>
      <c r="AA52" s="660"/>
      <c r="AB52" s="660"/>
      <c r="AC52" s="661"/>
      <c r="AD52" s="662">
        <f t="shared" si="8"/>
        <v>0</v>
      </c>
      <c r="AE52" s="1563"/>
      <c r="AF52" s="1756">
        <v>0</v>
      </c>
      <c r="AG52" s="1908">
        <f t="shared" si="2"/>
        <v>0</v>
      </c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2:48" s="2" customFormat="1" x14ac:dyDescent="0.45">
      <c r="B53" s="638" t="s">
        <v>1548</v>
      </c>
      <c r="C53" s="682" t="s">
        <v>1556</v>
      </c>
      <c r="D53" s="659"/>
      <c r="E53" s="660">
        <f>-'Compte de résultat'!H29/10^6</f>
        <v>-2130.824161</v>
      </c>
      <c r="F53" s="660"/>
      <c r="G53" s="660">
        <f t="shared" si="9"/>
        <v>2130.824161</v>
      </c>
      <c r="H53" s="660"/>
      <c r="I53" s="660"/>
      <c r="J53" s="660"/>
      <c r="K53" s="660"/>
      <c r="L53" s="660"/>
      <c r="M53" s="660"/>
      <c r="N53" s="660"/>
      <c r="O53" s="660"/>
      <c r="P53" s="660"/>
      <c r="Q53" s="660"/>
      <c r="R53" s="660"/>
      <c r="S53" s="660"/>
      <c r="T53" s="660"/>
      <c r="U53" s="660"/>
      <c r="V53" s="660"/>
      <c r="W53" s="660"/>
      <c r="X53" s="660"/>
      <c r="Y53" s="660"/>
      <c r="Z53" s="660"/>
      <c r="AA53" s="660"/>
      <c r="AB53" s="660"/>
      <c r="AC53" s="661"/>
      <c r="AD53" s="662">
        <f t="shared" si="8"/>
        <v>0</v>
      </c>
      <c r="AE53" s="1563"/>
      <c r="AF53" s="1756">
        <v>0</v>
      </c>
      <c r="AG53" s="1908">
        <f t="shared" si="2"/>
        <v>0</v>
      </c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2:48" s="2" customFormat="1" x14ac:dyDescent="0.45">
      <c r="B54" s="638"/>
      <c r="C54" s="682" t="s">
        <v>1557</v>
      </c>
      <c r="D54" s="659"/>
      <c r="E54" s="660">
        <f>-'Compte de résultat'!H30/10^6</f>
        <v>-4859.4978529999998</v>
      </c>
      <c r="F54" s="660"/>
      <c r="G54" s="1723">
        <f t="shared" si="9"/>
        <v>4859.4978529999998</v>
      </c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0"/>
      <c r="AB54" s="660"/>
      <c r="AC54" s="661"/>
      <c r="AD54" s="662">
        <f t="shared" si="8"/>
        <v>0</v>
      </c>
      <c r="AE54" s="1563"/>
      <c r="AF54" s="1756">
        <v>0</v>
      </c>
      <c r="AG54" s="1908">
        <f t="shared" si="2"/>
        <v>0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2:48" s="2" customFormat="1" x14ac:dyDescent="0.45">
      <c r="B55" s="638" t="s">
        <v>1548</v>
      </c>
      <c r="C55" s="682" t="s">
        <v>947</v>
      </c>
      <c r="D55" s="659"/>
      <c r="E55" s="660">
        <f>-'Compte de résultat'!H31/10^6</f>
        <v>-18531.485240000002</v>
      </c>
      <c r="F55" s="660"/>
      <c r="G55" s="1721">
        <f t="shared" si="9"/>
        <v>18531.485240000002</v>
      </c>
      <c r="H55" s="660"/>
      <c r="I55" s="660"/>
      <c r="J55" s="660"/>
      <c r="K55" s="660"/>
      <c r="L55" s="660"/>
      <c r="M55" s="660"/>
      <c r="N55" s="660"/>
      <c r="O55" s="660"/>
      <c r="P55" s="660"/>
      <c r="Q55" s="660"/>
      <c r="R55" s="660"/>
      <c r="S55" s="660"/>
      <c r="T55" s="660"/>
      <c r="U55" s="660"/>
      <c r="V55" s="660"/>
      <c r="W55" s="660"/>
      <c r="X55" s="660"/>
      <c r="Y55" s="660"/>
      <c r="Z55" s="660"/>
      <c r="AA55" s="660"/>
      <c r="AB55" s="660"/>
      <c r="AC55" s="661"/>
      <c r="AD55" s="662">
        <f t="shared" si="8"/>
        <v>0</v>
      </c>
      <c r="AE55" s="1563"/>
      <c r="AF55" s="1756">
        <v>0</v>
      </c>
      <c r="AG55" s="1908">
        <f t="shared" si="2"/>
        <v>0</v>
      </c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2:48" ht="9.9" customHeight="1" x14ac:dyDescent="0.45">
      <c r="B56" s="638" t="s">
        <v>1548</v>
      </c>
      <c r="C56" s="639"/>
      <c r="D56" s="640"/>
      <c r="E56" s="663"/>
      <c r="F56" s="664"/>
      <c r="G56" s="664"/>
      <c r="H56" s="664"/>
      <c r="I56" s="664"/>
      <c r="J56" s="664"/>
      <c r="K56" s="664"/>
      <c r="L56" s="664"/>
      <c r="M56" s="664"/>
      <c r="N56" s="664"/>
      <c r="O56" s="664"/>
      <c r="P56" s="664"/>
      <c r="Q56" s="664"/>
      <c r="R56" s="664"/>
      <c r="S56" s="664"/>
      <c r="T56" s="664"/>
      <c r="U56" s="664"/>
      <c r="V56" s="664"/>
      <c r="W56" s="664"/>
      <c r="X56" s="664"/>
      <c r="Y56" s="664"/>
      <c r="Z56" s="664"/>
      <c r="AA56" s="664"/>
      <c r="AB56" s="664"/>
      <c r="AC56" s="665"/>
      <c r="AD56" s="666"/>
      <c r="AG56" s="1908">
        <f t="shared" si="2"/>
        <v>0</v>
      </c>
    </row>
    <row r="57" spans="2:48" x14ac:dyDescent="0.45">
      <c r="B57" s="667" t="s">
        <v>2281</v>
      </c>
      <c r="C57" s="668" t="s">
        <v>1559</v>
      </c>
      <c r="D57" s="640"/>
      <c r="E57" s="669"/>
      <c r="F57" s="670"/>
      <c r="G57" s="1435">
        <f>-SUM('BG '!J449:K451,'BG '!J454:K455,'BG '!J448:K448)/10^6</f>
        <v>-1519.152857</v>
      </c>
      <c r="H57" s="670"/>
      <c r="I57" s="670"/>
      <c r="J57" s="670"/>
      <c r="K57" s="670"/>
      <c r="L57" s="670"/>
      <c r="M57" s="670"/>
      <c r="N57" s="670"/>
      <c r="O57" s="670"/>
      <c r="P57" s="670"/>
      <c r="Q57" s="670"/>
      <c r="R57" s="670"/>
      <c r="S57" s="670"/>
      <c r="T57" s="670"/>
      <c r="U57" s="670">
        <f>(-U88-U34-U83)*0</f>
        <v>0</v>
      </c>
      <c r="V57" s="670"/>
      <c r="W57" s="670"/>
      <c r="X57" s="670"/>
      <c r="Y57" s="670"/>
      <c r="Z57" s="670"/>
      <c r="AA57" s="670"/>
      <c r="AB57" s="670"/>
      <c r="AC57" s="665"/>
      <c r="AD57" s="680">
        <f>+SUM(E57:AB57)</f>
        <v>-1519.152857</v>
      </c>
      <c r="AF57" s="1756">
        <v>-1519.152857</v>
      </c>
      <c r="AG57" s="1908">
        <f t="shared" si="2"/>
        <v>0</v>
      </c>
    </row>
    <row r="58" spans="2:48" ht="29.1" customHeight="1" x14ac:dyDescent="0.45">
      <c r="B58" s="667" t="s">
        <v>2284</v>
      </c>
      <c r="C58" s="668" t="s">
        <v>1561</v>
      </c>
      <c r="D58" s="640"/>
      <c r="E58" s="669"/>
      <c r="F58" s="670"/>
      <c r="G58" s="670">
        <f>-SUM('BG '!J476:J483,'BG '!J485:K486,'BG '!K476:K483)/10^6</f>
        <v>-7257.5140739999997</v>
      </c>
      <c r="H58" s="670"/>
      <c r="I58" s="670"/>
      <c r="J58" s="670"/>
      <c r="K58" s="670"/>
      <c r="L58" s="670"/>
      <c r="M58" s="670"/>
      <c r="N58" s="670"/>
      <c r="O58" s="670"/>
      <c r="P58" s="670"/>
      <c r="Q58" s="670"/>
      <c r="R58" s="670"/>
      <c r="S58" s="670"/>
      <c r="T58" s="670"/>
      <c r="U58" s="1564">
        <f>'COMMISSION MM'!G50/1000000</f>
        <v>4417.7263999999996</v>
      </c>
      <c r="V58" s="670"/>
      <c r="W58" s="670"/>
      <c r="X58" s="670"/>
      <c r="Y58" s="685">
        <f>[157]Feuil9!$G$33/1000000</f>
        <v>4.7858039999999997</v>
      </c>
      <c r="Z58" s="670"/>
      <c r="AA58" s="670"/>
      <c r="AB58" s="670"/>
      <c r="AC58" s="665"/>
      <c r="AD58" s="1276">
        <f>+SUM(E58:AB58)</f>
        <v>-2835.0018700000001</v>
      </c>
      <c r="AF58" s="1756">
        <v>-2835.0018700000001</v>
      </c>
      <c r="AG58" s="1908">
        <f t="shared" si="2"/>
        <v>0</v>
      </c>
    </row>
    <row r="59" spans="2:48" ht="28.5" customHeight="1" x14ac:dyDescent="0.45">
      <c r="B59" s="667" t="s">
        <v>2282</v>
      </c>
      <c r="C59" s="668" t="s">
        <v>1563</v>
      </c>
      <c r="D59" s="640"/>
      <c r="E59" s="669"/>
      <c r="F59" s="670"/>
      <c r="G59" s="1566">
        <f>-SUM('BG '!J452,'BG '!K452,'BG '!J453,'BG '!K453,'BG '!J456,'BG '!K456,'BG '!J457,'BG '!K457,'BG '!J458:K458,'BG '!J484:K484)/10^6</f>
        <v>-748.87960499999997</v>
      </c>
      <c r="H59" s="670"/>
      <c r="I59" s="670"/>
      <c r="J59" s="670">
        <f>SUM('BG '!J452,'BG '!K452)/1000000</f>
        <v>759.49458200000004</v>
      </c>
      <c r="K59" s="670">
        <f>SUM('BG '!K456,'BG '!K457)/1000000+SUM('BG '!J456,'BG '!J457)/1000000</f>
        <v>-233.65454600000001</v>
      </c>
      <c r="L59" s="670"/>
      <c r="M59" s="670"/>
      <c r="N59" s="670"/>
      <c r="O59" s="670"/>
      <c r="P59" s="670"/>
      <c r="Q59" s="670"/>
      <c r="R59" s="670"/>
      <c r="S59" s="670"/>
      <c r="T59" s="670"/>
      <c r="U59" s="1300">
        <f>-'Détails des Charges ope'!AH11/1000000</f>
        <v>-4444.9300270000003</v>
      </c>
      <c r="V59" s="670"/>
      <c r="W59" s="670"/>
      <c r="X59" s="670"/>
      <c r="Y59" s="670"/>
      <c r="Z59" s="670"/>
      <c r="AA59" s="670"/>
      <c r="AB59" s="670"/>
      <c r="AC59" s="665"/>
      <c r="AD59" s="1441">
        <f>+SUM(E59:AB59)</f>
        <v>-4667.9695959999999</v>
      </c>
      <c r="AF59" s="1756">
        <v>-4667.9695959999999</v>
      </c>
      <c r="AG59" s="1908">
        <f t="shared" si="2"/>
        <v>0</v>
      </c>
    </row>
    <row r="60" spans="2:48" s="2" customFormat="1" ht="25.5" customHeight="1" x14ac:dyDescent="0.45">
      <c r="B60" s="673" t="s">
        <v>1564</v>
      </c>
      <c r="C60" s="673" t="s">
        <v>1565</v>
      </c>
      <c r="D60" s="674"/>
      <c r="E60" s="675"/>
      <c r="F60" s="676">
        <f>+SUM(F57:F59)</f>
        <v>0</v>
      </c>
      <c r="G60" s="676">
        <f>+SUM(G57:G59)</f>
        <v>-9525.5465359999998</v>
      </c>
      <c r="H60" s="676">
        <f t="shared" ref="H60:AB60" si="10">+SUM(H57:H59)</f>
        <v>0</v>
      </c>
      <c r="I60" s="676">
        <f t="shared" si="10"/>
        <v>0</v>
      </c>
      <c r="J60" s="676">
        <f t="shared" si="10"/>
        <v>759.49458200000004</v>
      </c>
      <c r="K60" s="676">
        <f t="shared" si="10"/>
        <v>-233.65454600000001</v>
      </c>
      <c r="L60" s="676">
        <f t="shared" si="10"/>
        <v>0</v>
      </c>
      <c r="M60" s="676">
        <f t="shared" si="10"/>
        <v>0</v>
      </c>
      <c r="N60" s="676">
        <f t="shared" si="10"/>
        <v>0</v>
      </c>
      <c r="O60" s="676">
        <f t="shared" si="10"/>
        <v>0</v>
      </c>
      <c r="P60" s="676">
        <f t="shared" si="10"/>
        <v>0</v>
      </c>
      <c r="Q60" s="676">
        <f t="shared" si="10"/>
        <v>0</v>
      </c>
      <c r="R60" s="676">
        <f t="shared" si="10"/>
        <v>0</v>
      </c>
      <c r="S60" s="676">
        <f t="shared" si="10"/>
        <v>0</v>
      </c>
      <c r="T60" s="676">
        <f t="shared" si="10"/>
        <v>0</v>
      </c>
      <c r="U60" s="676">
        <f t="shared" si="10"/>
        <v>-27.203627000000779</v>
      </c>
      <c r="V60" s="676">
        <f t="shared" si="10"/>
        <v>0</v>
      </c>
      <c r="W60" s="676">
        <f t="shared" si="10"/>
        <v>0</v>
      </c>
      <c r="X60" s="676">
        <f t="shared" si="10"/>
        <v>0</v>
      </c>
      <c r="Y60" s="676">
        <f>+SUM(Y57:Y59)</f>
        <v>4.7858039999999997</v>
      </c>
      <c r="Z60" s="676">
        <f t="shared" si="10"/>
        <v>0</v>
      </c>
      <c r="AA60" s="676">
        <f t="shared" si="10"/>
        <v>0</v>
      </c>
      <c r="AB60" s="676">
        <f t="shared" si="10"/>
        <v>0</v>
      </c>
      <c r="AC60" s="661"/>
      <c r="AD60" s="679">
        <f>+SUM(AD57:AD59)</f>
        <v>-9022.124323</v>
      </c>
      <c r="AE60" s="1563"/>
      <c r="AF60" s="1756">
        <v>-9022.124323</v>
      </c>
      <c r="AG60" s="1908">
        <f t="shared" si="2"/>
        <v>0</v>
      </c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2:48" ht="21" customHeight="1" x14ac:dyDescent="0.45">
      <c r="B61" s="638"/>
      <c r="C61" s="639"/>
      <c r="D61" s="640"/>
      <c r="E61" s="677"/>
      <c r="F61" s="648"/>
      <c r="G61" s="648"/>
      <c r="H61" s="648"/>
      <c r="I61" s="648"/>
      <c r="J61" s="648"/>
      <c r="K61" s="648"/>
      <c r="L61" s="648"/>
      <c r="M61" s="648"/>
      <c r="N61" s="648"/>
      <c r="O61" s="648"/>
      <c r="P61" s="648"/>
      <c r="Q61" s="648"/>
      <c r="R61" s="648"/>
      <c r="S61" s="648"/>
      <c r="T61" s="648"/>
      <c r="U61" s="648"/>
      <c r="V61" s="648"/>
      <c r="W61" s="648"/>
      <c r="X61" s="648"/>
      <c r="Y61" s="678"/>
      <c r="Z61" s="648"/>
      <c r="AA61" s="648"/>
      <c r="AB61" s="678"/>
      <c r="AC61" s="665"/>
      <c r="AD61" s="643"/>
      <c r="AG61" s="1908">
        <f t="shared" si="2"/>
        <v>0</v>
      </c>
    </row>
    <row r="62" spans="2:48" ht="29.1" customHeight="1" x14ac:dyDescent="0.45">
      <c r="B62" s="667" t="s">
        <v>2293</v>
      </c>
      <c r="C62" s="668" t="s">
        <v>1567</v>
      </c>
      <c r="D62" s="640"/>
      <c r="E62" s="669"/>
      <c r="F62" s="670"/>
      <c r="G62" s="1724">
        <f>-SUM('BG '!J549,'BG '!J573,'BG '!J574,'BG '!J575,'BG '!J576,'BG '!J583,'BG '!J579,'BG '!J578,'BG '!J582,'BG '!J577)/10^6</f>
        <v>-5175.2677990000002</v>
      </c>
      <c r="H62" s="670"/>
      <c r="I62" s="670"/>
      <c r="J62" s="670"/>
      <c r="K62" s="670"/>
      <c r="L62" s="670"/>
      <c r="M62" s="670"/>
      <c r="N62" s="670"/>
      <c r="O62" s="670"/>
      <c r="P62" s="670"/>
      <c r="Q62" s="670"/>
      <c r="R62" s="670"/>
      <c r="S62" s="670"/>
      <c r="T62" s="670"/>
      <c r="U62" s="1427">
        <f>'BG '!J549/1000000</f>
        <v>1074.250029</v>
      </c>
      <c r="V62" s="670"/>
      <c r="W62" s="670">
        <f>SUM(Activation!H176:H213)/1000000</f>
        <v>513.79161757500026</v>
      </c>
      <c r="X62" s="670"/>
      <c r="Y62" s="670"/>
      <c r="Z62" s="670"/>
      <c r="AA62" s="670"/>
      <c r="AB62" s="670"/>
      <c r="AC62" s="665"/>
      <c r="AD62" s="1872">
        <f>+SUM(E62:AB62)</f>
        <v>-3587.2261524250002</v>
      </c>
      <c r="AF62" s="1756">
        <v>-3790.9122109</v>
      </c>
      <c r="AG62" s="1908">
        <f t="shared" si="2"/>
        <v>203.68605847499975</v>
      </c>
    </row>
    <row r="63" spans="2:48" x14ac:dyDescent="0.45">
      <c r="B63" s="667" t="s">
        <v>2287</v>
      </c>
      <c r="C63" s="668" t="s">
        <v>1569</v>
      </c>
      <c r="D63" s="640"/>
      <c r="E63" s="669"/>
      <c r="F63" s="670"/>
      <c r="G63" s="1727">
        <f>-SUM('BG '!J513,'BG '!J580,'BG '!K513)/10^6</f>
        <v>-970.41569400000003</v>
      </c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70"/>
      <c r="AB63" s="670"/>
      <c r="AC63" s="665"/>
      <c r="AD63" s="1873">
        <f>+SUM(E63:AB63)</f>
        <v>-970.41569400000003</v>
      </c>
      <c r="AF63" s="1756">
        <v>-970.41569400000003</v>
      </c>
      <c r="AG63" s="1908">
        <f t="shared" si="2"/>
        <v>0</v>
      </c>
    </row>
    <row r="64" spans="2:48" x14ac:dyDescent="0.45">
      <c r="B64" s="667" t="s">
        <v>2310</v>
      </c>
      <c r="C64" s="668" t="s">
        <v>1571</v>
      </c>
      <c r="D64" s="640"/>
      <c r="E64" s="669"/>
      <c r="F64" s="670"/>
      <c r="G64" s="1316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670"/>
      <c r="S64" s="670"/>
      <c r="T64" s="670"/>
      <c r="U64" s="670"/>
      <c r="V64" s="670"/>
      <c r="W64" s="670"/>
      <c r="X64" s="670"/>
      <c r="Y64" s="670"/>
      <c r="Z64" s="670"/>
      <c r="AA64" s="670"/>
      <c r="AB64" s="670"/>
      <c r="AC64" s="665"/>
      <c r="AD64" s="671">
        <f>+SUM(E64:AB64)</f>
        <v>0</v>
      </c>
      <c r="AF64" s="1756">
        <v>0</v>
      </c>
      <c r="AG64" s="1908">
        <f t="shared" si="2"/>
        <v>0</v>
      </c>
    </row>
    <row r="65" spans="1:48" s="2" customFormat="1" ht="23.1" customHeight="1" x14ac:dyDescent="0.45">
      <c r="B65" s="673" t="s">
        <v>1572</v>
      </c>
      <c r="C65" s="673" t="s">
        <v>1573</v>
      </c>
      <c r="D65" s="674"/>
      <c r="E65" s="675"/>
      <c r="F65" s="676">
        <f t="shared" ref="F65:AB65" si="11">+SUM(F62:F64)</f>
        <v>0</v>
      </c>
      <c r="G65" s="676">
        <f t="shared" si="11"/>
        <v>-6145.6834930000005</v>
      </c>
      <c r="H65" s="676">
        <f t="shared" si="11"/>
        <v>0</v>
      </c>
      <c r="I65" s="676">
        <f t="shared" si="11"/>
        <v>0</v>
      </c>
      <c r="J65" s="676">
        <f t="shared" si="11"/>
        <v>0</v>
      </c>
      <c r="K65" s="676">
        <f t="shared" si="11"/>
        <v>0</v>
      </c>
      <c r="L65" s="676">
        <f t="shared" si="11"/>
        <v>0</v>
      </c>
      <c r="M65" s="676">
        <f t="shared" si="11"/>
        <v>0</v>
      </c>
      <c r="N65" s="676">
        <f t="shared" si="11"/>
        <v>0</v>
      </c>
      <c r="O65" s="676">
        <f t="shared" si="11"/>
        <v>0</v>
      </c>
      <c r="P65" s="676">
        <f t="shared" si="11"/>
        <v>0</v>
      </c>
      <c r="Q65" s="676">
        <f t="shared" si="11"/>
        <v>0</v>
      </c>
      <c r="R65" s="676">
        <f t="shared" si="11"/>
        <v>0</v>
      </c>
      <c r="S65" s="676">
        <f t="shared" si="11"/>
        <v>0</v>
      </c>
      <c r="T65" s="676">
        <f t="shared" si="11"/>
        <v>0</v>
      </c>
      <c r="U65" s="676">
        <f t="shared" si="11"/>
        <v>1074.250029</v>
      </c>
      <c r="V65" s="676">
        <f t="shared" si="11"/>
        <v>0</v>
      </c>
      <c r="W65" s="676">
        <f t="shared" si="11"/>
        <v>513.79161757500026</v>
      </c>
      <c r="X65" s="676">
        <f t="shared" si="11"/>
        <v>0</v>
      </c>
      <c r="Y65" s="676">
        <f t="shared" si="11"/>
        <v>0</v>
      </c>
      <c r="Z65" s="676">
        <f t="shared" si="11"/>
        <v>0</v>
      </c>
      <c r="AA65" s="676">
        <f t="shared" si="11"/>
        <v>0</v>
      </c>
      <c r="AB65" s="676">
        <f t="shared" si="11"/>
        <v>0</v>
      </c>
      <c r="AC65" s="661"/>
      <c r="AD65" s="1437">
        <f>+SUM(AD62:AD64)</f>
        <v>-4557.641846425</v>
      </c>
      <c r="AE65" s="1563"/>
      <c r="AF65" s="1756">
        <v>-4761.3279049000002</v>
      </c>
      <c r="AG65" s="1908">
        <f t="shared" si="2"/>
        <v>203.68605847500021</v>
      </c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</row>
    <row r="66" spans="1:48" ht="9.9" customHeight="1" x14ac:dyDescent="0.45">
      <c r="B66" s="638"/>
      <c r="C66" s="639"/>
      <c r="D66" s="640"/>
      <c r="E66" s="677"/>
      <c r="F66" s="648"/>
      <c r="G66" s="648"/>
      <c r="H66" s="648"/>
      <c r="I66" s="648"/>
      <c r="J66" s="648"/>
      <c r="K66" s="648"/>
      <c r="L66" s="648"/>
      <c r="M66" s="648"/>
      <c r="N66" s="648"/>
      <c r="O66" s="648"/>
      <c r="P66" s="648"/>
      <c r="Q66" s="648"/>
      <c r="R66" s="648"/>
      <c r="S66" s="648"/>
      <c r="T66" s="648"/>
      <c r="U66" s="648"/>
      <c r="V66" s="648"/>
      <c r="W66" s="648"/>
      <c r="X66" s="648"/>
      <c r="Y66" s="678"/>
      <c r="Z66" s="648"/>
      <c r="AA66" s="648"/>
      <c r="AB66" s="678"/>
      <c r="AC66" s="665"/>
      <c r="AD66" s="643"/>
      <c r="AG66" s="1908">
        <f t="shared" si="2"/>
        <v>0</v>
      </c>
    </row>
    <row r="67" spans="1:48" s="1266" customFormat="1" x14ac:dyDescent="0.45">
      <c r="A67" s="1874"/>
      <c r="B67" s="1875" t="s">
        <v>2294</v>
      </c>
      <c r="C67" s="1876" t="s">
        <v>1575</v>
      </c>
      <c r="D67" s="1877"/>
      <c r="E67" s="1878"/>
      <c r="F67" s="672"/>
      <c r="G67" s="1879">
        <f>-SUM('BG '!J557,'BG '!J558,'BG '!J559,'BG '!J560,'BG '!J561,'BG '!J562,'BG '!J563,'BG '!J564,'BG '!K557,'BG '!K558,'BG '!K559,'BG '!K560,'BG '!K561,'BG '!K562,'BG '!K563,'BG '!K564,'BG '!J568,'BG '!J565)/10^6</f>
        <v>-2763.3223670000002</v>
      </c>
      <c r="H67" s="672"/>
      <c r="I67" s="672"/>
      <c r="J67" s="672"/>
      <c r="K67" s="672"/>
      <c r="L67" s="672"/>
      <c r="M67" s="672"/>
      <c r="N67" s="672"/>
      <c r="O67" s="672"/>
      <c r="P67" s="672"/>
      <c r="Q67" s="672"/>
      <c r="R67" s="672"/>
      <c r="S67" s="672"/>
      <c r="T67" s="672"/>
      <c r="U67" s="1880">
        <f>(-SUM('BG '!K670)/1000000)*0+'Taxe 5%'!G36/1000000-U27</f>
        <v>879.22002900000007</v>
      </c>
      <c r="V67" s="672"/>
      <c r="W67" s="672"/>
      <c r="X67" s="672"/>
      <c r="Y67" s="702">
        <f>[157]Feuil9!$G$110/1000000</f>
        <v>17.770399000000001</v>
      </c>
      <c r="Z67" s="672"/>
      <c r="AA67" s="672"/>
      <c r="AB67" s="672"/>
      <c r="AC67" s="1877"/>
      <c r="AD67" s="1884">
        <f>+SUM(E67:AB67)</f>
        <v>-1866.3319390000001</v>
      </c>
      <c r="AE67" s="1881"/>
      <c r="AF67" s="1882">
        <v>-1866.3319420000003</v>
      </c>
      <c r="AG67" s="1908">
        <f t="shared" si="2"/>
        <v>3.0000001061125658E-6</v>
      </c>
      <c r="AH67" s="1883"/>
      <c r="AI67" s="1883"/>
      <c r="AJ67" s="1883"/>
      <c r="AK67" s="1883"/>
      <c r="AL67" s="1883"/>
      <c r="AM67" s="1883"/>
      <c r="AN67" s="1883"/>
      <c r="AO67" s="1883"/>
      <c r="AP67" s="1883"/>
      <c r="AQ67" s="1883"/>
      <c r="AR67" s="1883"/>
      <c r="AS67" s="1883"/>
      <c r="AT67" s="1883"/>
      <c r="AU67" s="1883"/>
      <c r="AV67" s="1883"/>
    </row>
    <row r="68" spans="1:48" x14ac:dyDescent="0.45">
      <c r="B68" s="667" t="s">
        <v>2292</v>
      </c>
      <c r="C68" s="668" t="s">
        <v>1577</v>
      </c>
      <c r="D68" s="640"/>
      <c r="E68" s="669"/>
      <c r="F68" s="670"/>
      <c r="G68" s="670">
        <f>-SUM('BG '!J545)/10^6</f>
        <v>-30095.550954999999</v>
      </c>
      <c r="H68" s="670"/>
      <c r="I68" s="670"/>
      <c r="J68" s="670"/>
      <c r="K68" s="670"/>
      <c r="L68" s="670"/>
      <c r="M68" s="670"/>
      <c r="N68" s="670"/>
      <c r="O68" s="670"/>
      <c r="P68" s="670"/>
      <c r="Q68" s="670"/>
      <c r="R68" s="670"/>
      <c r="S68" s="670"/>
      <c r="T68" s="670"/>
      <c r="U68" s="670"/>
      <c r="V68" s="670"/>
      <c r="W68" s="670"/>
      <c r="X68" s="670"/>
      <c r="Y68" s="685">
        <f>[157]Feuil9!$G$95/1000000</f>
        <v>-44.602617000000002</v>
      </c>
      <c r="Z68" s="670"/>
      <c r="AA68" s="670"/>
      <c r="AB68" s="670"/>
      <c r="AC68" s="665"/>
      <c r="AD68" s="671">
        <f>+SUM(E68:AB68)</f>
        <v>-30140.153571999999</v>
      </c>
      <c r="AF68" s="1756">
        <v>-30140.153571999999</v>
      </c>
      <c r="AG68" s="1908">
        <f t="shared" si="2"/>
        <v>0</v>
      </c>
    </row>
    <row r="69" spans="1:48" s="2" customFormat="1" ht="33.9" customHeight="1" x14ac:dyDescent="0.45">
      <c r="B69" s="673" t="s">
        <v>1578</v>
      </c>
      <c r="C69" s="673" t="s">
        <v>1579</v>
      </c>
      <c r="D69" s="674"/>
      <c r="E69" s="675"/>
      <c r="F69" s="676">
        <f t="shared" ref="F69:AB69" si="12">+F67+F68</f>
        <v>0</v>
      </c>
      <c r="G69" s="676">
        <f t="shared" si="12"/>
        <v>-32858.873321999999</v>
      </c>
      <c r="H69" s="676">
        <f t="shared" si="12"/>
        <v>0</v>
      </c>
      <c r="I69" s="676">
        <f t="shared" si="12"/>
        <v>0</v>
      </c>
      <c r="J69" s="676">
        <f t="shared" si="12"/>
        <v>0</v>
      </c>
      <c r="K69" s="676">
        <f t="shared" si="12"/>
        <v>0</v>
      </c>
      <c r="L69" s="676">
        <f t="shared" si="12"/>
        <v>0</v>
      </c>
      <c r="M69" s="676">
        <f t="shared" si="12"/>
        <v>0</v>
      </c>
      <c r="N69" s="676">
        <f t="shared" si="12"/>
        <v>0</v>
      </c>
      <c r="O69" s="676">
        <f t="shared" si="12"/>
        <v>0</v>
      </c>
      <c r="P69" s="676">
        <f t="shared" si="12"/>
        <v>0</v>
      </c>
      <c r="Q69" s="676">
        <f t="shared" si="12"/>
        <v>0</v>
      </c>
      <c r="R69" s="676">
        <f t="shared" si="12"/>
        <v>0</v>
      </c>
      <c r="S69" s="676">
        <f t="shared" si="12"/>
        <v>0</v>
      </c>
      <c r="T69" s="676">
        <f t="shared" si="12"/>
        <v>0</v>
      </c>
      <c r="U69" s="676">
        <f t="shared" si="12"/>
        <v>879.22002900000007</v>
      </c>
      <c r="V69" s="676">
        <f t="shared" si="12"/>
        <v>0</v>
      </c>
      <c r="W69" s="676">
        <f t="shared" si="12"/>
        <v>0</v>
      </c>
      <c r="X69" s="676">
        <f t="shared" si="12"/>
        <v>0</v>
      </c>
      <c r="Y69" s="676">
        <f t="shared" si="12"/>
        <v>-26.832218000000001</v>
      </c>
      <c r="Z69" s="676">
        <f t="shared" si="12"/>
        <v>0</v>
      </c>
      <c r="AA69" s="676">
        <f t="shared" si="12"/>
        <v>0</v>
      </c>
      <c r="AB69" s="676">
        <f t="shared" si="12"/>
        <v>0</v>
      </c>
      <c r="AC69" s="661"/>
      <c r="AD69" s="1437">
        <f>+AD67+AD68</f>
        <v>-32006.485510999999</v>
      </c>
      <c r="AE69" s="1563"/>
      <c r="AF69" s="1756">
        <v>-32006.485514</v>
      </c>
      <c r="AG69" s="1908">
        <f t="shared" si="2"/>
        <v>3.0000010156072676E-6</v>
      </c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</row>
    <row r="70" spans="1:48" ht="9.9" customHeight="1" x14ac:dyDescent="0.45">
      <c r="B70" s="638"/>
      <c r="C70" s="639"/>
      <c r="D70" s="640"/>
      <c r="E70" s="677"/>
      <c r="F70" s="648"/>
      <c r="G70" s="648"/>
      <c r="H70" s="648"/>
      <c r="I70" s="648"/>
      <c r="J70" s="648"/>
      <c r="K70" s="648"/>
      <c r="L70" s="648"/>
      <c r="M70" s="648"/>
      <c r="N70" s="648"/>
      <c r="O70" s="648"/>
      <c r="P70" s="648"/>
      <c r="Q70" s="648"/>
      <c r="R70" s="648"/>
      <c r="S70" s="648"/>
      <c r="T70" s="648"/>
      <c r="U70" s="648"/>
      <c r="V70" s="648"/>
      <c r="W70" s="648"/>
      <c r="X70" s="648"/>
      <c r="Y70" s="678"/>
      <c r="Z70" s="648"/>
      <c r="AA70" s="648"/>
      <c r="AB70" s="678"/>
      <c r="AC70" s="665"/>
      <c r="AD70" s="643"/>
      <c r="AG70" s="1908">
        <f t="shared" si="2"/>
        <v>0</v>
      </c>
    </row>
    <row r="71" spans="1:48" x14ac:dyDescent="0.45">
      <c r="B71" s="667" t="s">
        <v>2288</v>
      </c>
      <c r="C71" s="668" t="s">
        <v>1581</v>
      </c>
      <c r="D71" s="640"/>
      <c r="E71" s="669"/>
      <c r="F71" s="670"/>
      <c r="G71" s="670">
        <f>-SUM('BG '!J516,'BG '!J517,'BG '!J518,'BG '!J519,'BG '!J521,'BG '!J522,'BG '!J523,'BG '!J524,'BG '!J525,'BG '!K516,'BG '!K517,'BG '!K518,'BG '!K519,'BG '!K521,'BG '!K522,'BG '!K523,'BG '!K524,'BG '!K525,'BG '!J520,'BG '!K461,'BG '!J461)/10^6</f>
        <v>-3395.146706</v>
      </c>
      <c r="H71" s="670"/>
      <c r="I71" s="670"/>
      <c r="J71" s="670"/>
      <c r="K71" s="670"/>
      <c r="L71" s="670"/>
      <c r="M71" s="670"/>
      <c r="N71" s="670"/>
      <c r="O71" s="670"/>
      <c r="P71" s="670"/>
      <c r="Q71" s="670"/>
      <c r="R71" s="670"/>
      <c r="S71" s="670"/>
      <c r="T71" s="670"/>
      <c r="U71" s="1300">
        <f>29.033395+28.89609</f>
        <v>57.929485</v>
      </c>
      <c r="V71" s="670"/>
      <c r="W71" s="670"/>
      <c r="X71" s="670"/>
      <c r="Y71" s="670"/>
      <c r="Z71" s="670"/>
      <c r="AA71" s="670"/>
      <c r="AB71" s="670"/>
      <c r="AC71" s="665"/>
      <c r="AD71" s="1436">
        <f t="shared" ref="AD71:AD80" si="13">+SUM(E71:AB71)</f>
        <v>-3337.2172209999999</v>
      </c>
      <c r="AF71" s="1756">
        <v>-3337.2172209999999</v>
      </c>
      <c r="AG71" s="1908">
        <f t="shared" ref="AG71:AG134" si="14">+AD71-AF71</f>
        <v>0</v>
      </c>
    </row>
    <row r="72" spans="1:48" x14ac:dyDescent="0.45">
      <c r="B72" s="667" t="s">
        <v>2290</v>
      </c>
      <c r="C72" s="668" t="s">
        <v>1583</v>
      </c>
      <c r="D72" s="640"/>
      <c r="E72" s="669"/>
      <c r="F72" s="670"/>
      <c r="G72" s="670">
        <f>-SUM('BG '!J534)/1000000</f>
        <v>-6841.6295040000005</v>
      </c>
      <c r="H72" s="670">
        <f>-SUM('BG '!J664,'BG '!J666)/1000000</f>
        <v>0</v>
      </c>
      <c r="I72" s="670"/>
      <c r="J72" s="670"/>
      <c r="K72" s="670"/>
      <c r="L72" s="670"/>
      <c r="M72" s="670"/>
      <c r="N72" s="670"/>
      <c r="O72" s="670"/>
      <c r="P72" s="670"/>
      <c r="Q72" s="670"/>
      <c r="R72" s="670"/>
      <c r="S72" s="670"/>
      <c r="T72" s="670"/>
      <c r="U72" s="1564">
        <f>-'COMMISSION MM'!G50/1000000</f>
        <v>-4417.7263999999996</v>
      </c>
      <c r="V72" s="670"/>
      <c r="W72" s="670"/>
      <c r="X72" s="670"/>
      <c r="Y72" s="685">
        <f>[157]Feuil9!$G$34/1000000+[157]Feuil9!$G$84/1000000</f>
        <v>-89.556291999999999</v>
      </c>
      <c r="Z72" s="670"/>
      <c r="AA72" s="670"/>
      <c r="AB72" s="670"/>
      <c r="AC72" s="665"/>
      <c r="AD72" s="1276">
        <f t="shared" si="13"/>
        <v>-11348.912195999999</v>
      </c>
      <c r="AF72" s="1756">
        <v>-11348.912195999999</v>
      </c>
      <c r="AG72" s="1908">
        <f t="shared" si="14"/>
        <v>0</v>
      </c>
    </row>
    <row r="73" spans="1:48" x14ac:dyDescent="0.45">
      <c r="B73" s="667" t="s">
        <v>2285</v>
      </c>
      <c r="C73" s="668" t="s">
        <v>1585</v>
      </c>
      <c r="D73" s="640"/>
      <c r="E73" s="669"/>
      <c r="F73" s="670"/>
      <c r="G73" s="670">
        <f>-SUM('BG '!J492:K492,'BG '!J493:K493,'BG '!J494:K494,'BG '!J495:K495,'BG '!J496:K496,'BG '!J497:K497,'BG '!J498:K498,'BG '!J499:K499,'BG '!J500:K500,'BG '!J501:K501)/10^6</f>
        <v>-4963.1088149999996</v>
      </c>
      <c r="H73" s="670"/>
      <c r="I73" s="670"/>
      <c r="J73" s="670"/>
      <c r="K73" s="670"/>
      <c r="L73" s="670"/>
      <c r="M73" s="670"/>
      <c r="N73" s="670"/>
      <c r="O73" s="670"/>
      <c r="P73" s="670"/>
      <c r="Q73" s="670"/>
      <c r="R73" s="670"/>
      <c r="S73" s="670"/>
      <c r="T73" s="670"/>
      <c r="U73" s="670"/>
      <c r="V73" s="670"/>
      <c r="W73" s="670"/>
      <c r="X73" s="685">
        <f>'Impacts_IFRS.16-09'!L81</f>
        <v>980.56181700000002</v>
      </c>
      <c r="Y73" s="670"/>
      <c r="Z73" s="670"/>
      <c r="AA73" s="670"/>
      <c r="AB73" s="670"/>
      <c r="AC73" s="665"/>
      <c r="AD73" s="1442">
        <f>+SUM(E73:AB73)</f>
        <v>-3982.5469979999998</v>
      </c>
      <c r="AF73" s="1756">
        <v>-3982.5469979999998</v>
      </c>
      <c r="AG73" s="1908">
        <f t="shared" si="14"/>
        <v>0</v>
      </c>
    </row>
    <row r="74" spans="1:48" x14ac:dyDescent="0.45">
      <c r="B74" s="667" t="s">
        <v>2286</v>
      </c>
      <c r="C74" s="668" t="s">
        <v>1587</v>
      </c>
      <c r="D74" s="640"/>
      <c r="E74" s="669"/>
      <c r="F74" s="670"/>
      <c r="G74" s="670">
        <f>-SUM('BG '!J502,'BG '!J503,'BG '!J504,'BG '!J505,'BG '!J506,'BG '!J507,'BG '!J508,'BG '!J509,'BG '!J510,'BG '!K502,'BG '!K503,'BG '!K504,'BG '!K505,'BG '!K506,'BG '!K507,'BG '!K508,'BG '!K509,'BG '!J462:K463)/10^6</f>
        <v>-4255.7388369999999</v>
      </c>
      <c r="H74" s="670"/>
      <c r="I74" s="670"/>
      <c r="J74" s="670"/>
      <c r="K74" s="670"/>
      <c r="L74" s="670"/>
      <c r="M74" s="670"/>
      <c r="N74" s="670"/>
      <c r="O74" s="670"/>
      <c r="P74" s="670"/>
      <c r="Q74" s="670"/>
      <c r="R74" s="670"/>
      <c r="S74" s="670"/>
      <c r="T74" s="670"/>
      <c r="U74" s="670"/>
      <c r="V74" s="670"/>
      <c r="W74" s="670"/>
      <c r="X74" s="670"/>
      <c r="Y74" s="670"/>
      <c r="Z74" s="670"/>
      <c r="AA74" s="670"/>
      <c r="AB74" s="670"/>
      <c r="AC74" s="665"/>
      <c r="AD74" s="1442">
        <f t="shared" si="13"/>
        <v>-4255.7388369999999</v>
      </c>
      <c r="AF74" s="1756">
        <v>-4255.7388369999999</v>
      </c>
      <c r="AG74" s="1908">
        <f t="shared" si="14"/>
        <v>0</v>
      </c>
    </row>
    <row r="75" spans="1:48" x14ac:dyDescent="0.45">
      <c r="B75" s="667" t="s">
        <v>2291</v>
      </c>
      <c r="C75" s="668" t="s">
        <v>1589</v>
      </c>
      <c r="D75" s="640"/>
      <c r="E75" s="669"/>
      <c r="F75" s="670"/>
      <c r="G75" s="670">
        <f>-SUM('BG '!J535,'BG '!J536,'BG '!J537,'BG '!J538,'BG '!J539,'BG '!J541,'BG '!J542,'BG '!J546,'BG '!K538,'BG '!K542)/10^6</f>
        <v>-3218.1219219999998</v>
      </c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1301">
        <f>-'BG '!J549/1000000</f>
        <v>-1074.250029</v>
      </c>
      <c r="V75" s="670"/>
      <c r="W75" s="670"/>
      <c r="X75" s="670"/>
      <c r="Y75" s="670"/>
      <c r="Z75" s="670"/>
      <c r="AA75" s="670"/>
      <c r="AB75" s="670"/>
      <c r="AC75" s="665"/>
      <c r="AD75" s="1442">
        <f t="shared" si="13"/>
        <v>-4292.3719510000001</v>
      </c>
      <c r="AF75" s="1756">
        <v>-4292.3719510000001</v>
      </c>
      <c r="AG75" s="1908">
        <f t="shared" si="14"/>
        <v>0</v>
      </c>
    </row>
    <row r="76" spans="1:48" ht="23.4" customHeight="1" x14ac:dyDescent="0.45">
      <c r="B76" s="667" t="s">
        <v>2289</v>
      </c>
      <c r="C76" s="668" t="s">
        <v>1591</v>
      </c>
      <c r="D76" s="640"/>
      <c r="E76" s="669"/>
      <c r="F76" s="670"/>
      <c r="G76" s="670">
        <f>-SUM('BG '!J531,'BG '!J532,'BG '!J533)/10^6</f>
        <v>-211.06718599999999</v>
      </c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1300">
        <f>-'BG '!J511/1000000</f>
        <v>-60.386750999999997</v>
      </c>
      <c r="V76" s="670"/>
      <c r="W76" s="670"/>
      <c r="X76" s="670"/>
      <c r="Y76" s="685">
        <f>[157]Feuil9!$G$81/1000000</f>
        <v>-17.803553000000001</v>
      </c>
      <c r="Z76" s="670"/>
      <c r="AA76" s="670"/>
      <c r="AB76" s="670"/>
      <c r="AC76" s="665"/>
      <c r="AD76" s="1436">
        <f t="shared" si="13"/>
        <v>-289.25749000000002</v>
      </c>
      <c r="AF76" s="1756">
        <v>-289.25749000000002</v>
      </c>
      <c r="AG76" s="1908">
        <f t="shared" si="14"/>
        <v>0</v>
      </c>
    </row>
    <row r="77" spans="1:48" x14ac:dyDescent="0.45">
      <c r="B77" s="667" t="s">
        <v>2311</v>
      </c>
      <c r="C77" s="668" t="s">
        <v>1593</v>
      </c>
      <c r="D77" s="640"/>
      <c r="E77" s="669"/>
      <c r="F77" s="670"/>
      <c r="G77" s="670"/>
      <c r="H77" s="670"/>
      <c r="I77" s="670"/>
      <c r="J77" s="670"/>
      <c r="K77" s="670"/>
      <c r="L77" s="670"/>
      <c r="M77" s="670"/>
      <c r="N77" s="670"/>
      <c r="O77" s="670"/>
      <c r="P77" s="670"/>
      <c r="Q77" s="670"/>
      <c r="R77" s="670"/>
      <c r="S77" s="670"/>
      <c r="T77" s="670"/>
      <c r="U77" s="670"/>
      <c r="V77" s="670"/>
      <c r="W77" s="670"/>
      <c r="X77" s="670"/>
      <c r="Y77" s="670"/>
      <c r="Z77" s="670"/>
      <c r="AA77" s="670"/>
      <c r="AB77" s="670"/>
      <c r="AC77" s="665"/>
      <c r="AD77" s="671">
        <f t="shared" si="13"/>
        <v>0</v>
      </c>
      <c r="AF77" s="1756">
        <v>0</v>
      </c>
      <c r="AG77" s="1908">
        <f t="shared" si="14"/>
        <v>0</v>
      </c>
    </row>
    <row r="78" spans="1:48" x14ac:dyDescent="0.45">
      <c r="B78" s="667" t="s">
        <v>2296</v>
      </c>
      <c r="C78" s="668" t="s">
        <v>1595</v>
      </c>
      <c r="D78" s="640"/>
      <c r="E78" s="669"/>
      <c r="F78" s="670"/>
      <c r="G78" s="686">
        <f>-'BG '!J587/10^6*0</f>
        <v>0</v>
      </c>
      <c r="H78" s="670"/>
      <c r="I78" s="670"/>
      <c r="J78" s="670"/>
      <c r="K78" s="670"/>
      <c r="L78" s="670"/>
      <c r="M78" s="670"/>
      <c r="N78" s="670"/>
      <c r="O78" s="670"/>
      <c r="P78" s="670"/>
      <c r="Q78" s="670">
        <f>-SUM('BG '!H271:I272)/1000000</f>
        <v>0.122644</v>
      </c>
      <c r="R78" s="670"/>
      <c r="S78" s="670"/>
      <c r="T78" s="670"/>
      <c r="U78" s="1426">
        <f>(SUM('BG '!H271:I272)/1000000)</f>
        <v>-0.122644</v>
      </c>
      <c r="V78" s="670"/>
      <c r="W78" s="670"/>
      <c r="X78" s="670"/>
      <c r="Y78" s="670"/>
      <c r="Z78" s="670"/>
      <c r="AA78" s="670"/>
      <c r="AB78" s="670"/>
      <c r="AC78" s="665"/>
      <c r="AD78" s="1276">
        <f t="shared" si="13"/>
        <v>0</v>
      </c>
      <c r="AF78" s="1756">
        <v>0</v>
      </c>
      <c r="AG78" s="1908">
        <f t="shared" si="14"/>
        <v>0</v>
      </c>
    </row>
    <row r="79" spans="1:48" x14ac:dyDescent="0.45">
      <c r="B79" s="667" t="s">
        <v>2303</v>
      </c>
      <c r="C79" s="668" t="s">
        <v>1597</v>
      </c>
      <c r="D79" s="640"/>
      <c r="E79" s="669"/>
      <c r="F79" s="670"/>
      <c r="G79" s="670"/>
      <c r="H79" s="670"/>
      <c r="I79" s="670"/>
      <c r="J79" s="670"/>
      <c r="K79" s="670"/>
      <c r="L79" s="670"/>
      <c r="M79" s="670"/>
      <c r="N79" s="670"/>
      <c r="O79" s="670"/>
      <c r="P79" s="670"/>
      <c r="Q79" s="670"/>
      <c r="R79" s="670"/>
      <c r="S79" s="670"/>
      <c r="T79" s="670"/>
      <c r="U79" s="670">
        <f>-'BG '!J682/1000000</f>
        <v>0</v>
      </c>
      <c r="V79" s="670"/>
      <c r="W79" s="670"/>
      <c r="X79" s="670"/>
      <c r="Y79" s="670"/>
      <c r="Z79" s="670"/>
      <c r="AA79" s="670"/>
      <c r="AB79" s="670"/>
      <c r="AC79" s="665"/>
      <c r="AD79" s="671">
        <f t="shared" si="13"/>
        <v>0</v>
      </c>
      <c r="AF79" s="1756">
        <v>0</v>
      </c>
      <c r="AG79" s="1908">
        <f t="shared" si="14"/>
        <v>0</v>
      </c>
    </row>
    <row r="80" spans="1:48" x14ac:dyDescent="0.45">
      <c r="B80" s="667" t="s">
        <v>2283</v>
      </c>
      <c r="C80" s="668" t="s">
        <v>1599</v>
      </c>
      <c r="D80" s="640"/>
      <c r="E80" s="669"/>
      <c r="F80" s="670"/>
      <c r="G80" s="1546">
        <f>-SUM('BG '!J459,'BG '!K459,'BG '!J460,'BG '!K460,'BG '!J465,'BG '!K465,'BG '!J466,'BG '!K466,'BG '!J467,'BG '!K467,'BG '!J468,'BG '!K468,'BG '!J469,'BG '!K469,'BG '!J470,'BG '!K470,'BG '!J471,'BG '!K471,'BG '!J473,'BG '!K473,'BG '!J474,'BG '!K474,'BG '!J475,'BG '!K475,'BG '!J487,'BG '!K487,'BG '!J488,'BG '!K488,'BG '!J489,'BG '!K489,'BG '!J490,'BG '!K490,'BG '!J491,'BG '!K491,'BG '!J511,'BG '!K511,'BG '!J512,'BG '!K512,'BG '!J514,'BG '!K514,'BG '!J515,'BG '!K515,'BG '!J526,'BG '!K526,'BG '!J527,'BG '!K527,'BG '!J528,'BG '!K528,'BG '!J529,'BG '!K529,'BG '!J530,'BG '!K530,'BG '!J540,'BG '!K540,'BG '!J543,'BG '!K543,'BG '!J544,'BG '!K544,'BG '!J547,'BG '!K547,'BG '!J548,'BG '!K548,'BG '!J552,'BG '!K552,'BG '!J553,'BG '!K553,'BG '!J554,'BG '!K554,'BG '!J555,'BG '!K555,'BG '!J566,'BG '!K566,'BG '!J567,'BG '!K567,'BG '!J569,'BG '!K569,'BG '!J550,'BG '!J551:K551,'BG '!J464)/1000000</f>
        <v>-9774.2623769999991</v>
      </c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1300">
        <f>'Détails des Charges ope'!AH11/1000000+'BG '!J511/1000000-U71-'BG '!K679/10^6-U35-U89</f>
        <v>4591.1521010000006</v>
      </c>
      <c r="V80" s="670"/>
      <c r="W80" s="670"/>
      <c r="X80" s="670"/>
      <c r="Y80" s="1859">
        <f>[157]Feuil9!$G$93/1000000</f>
        <v>-8.2999999999999998E-5</v>
      </c>
      <c r="Z80" s="670"/>
      <c r="AA80" s="670"/>
      <c r="AB80" s="670"/>
      <c r="AC80" s="665"/>
      <c r="AD80" s="1886">
        <f t="shared" si="13"/>
        <v>-5183.1103589999984</v>
      </c>
      <c r="AF80" s="1756">
        <v>-5183.1103589999984</v>
      </c>
      <c r="AG80" s="1908">
        <f t="shared" si="14"/>
        <v>0</v>
      </c>
    </row>
    <row r="81" spans="2:48" s="2" customFormat="1" ht="26.4" customHeight="1" x14ac:dyDescent="0.45">
      <c r="B81" s="673" t="s">
        <v>1600</v>
      </c>
      <c r="C81" s="673" t="s">
        <v>1601</v>
      </c>
      <c r="D81" s="687"/>
      <c r="E81" s="675"/>
      <c r="F81" s="676">
        <f t="shared" ref="F81:AB81" si="15">+SUM(F71:F80)</f>
        <v>0</v>
      </c>
      <c r="G81" s="676">
        <f t="shared" si="15"/>
        <v>-32659.075346999998</v>
      </c>
      <c r="H81" s="676">
        <f t="shared" si="15"/>
        <v>0</v>
      </c>
      <c r="I81" s="676">
        <f t="shared" si="15"/>
        <v>0</v>
      </c>
      <c r="J81" s="676">
        <f t="shared" si="15"/>
        <v>0</v>
      </c>
      <c r="K81" s="676">
        <f t="shared" si="15"/>
        <v>0</v>
      </c>
      <c r="L81" s="676">
        <f t="shared" si="15"/>
        <v>0</v>
      </c>
      <c r="M81" s="676">
        <f t="shared" si="15"/>
        <v>0</v>
      </c>
      <c r="N81" s="676">
        <f t="shared" si="15"/>
        <v>0</v>
      </c>
      <c r="O81" s="676">
        <f t="shared" si="15"/>
        <v>0</v>
      </c>
      <c r="P81" s="676">
        <f t="shared" si="15"/>
        <v>0</v>
      </c>
      <c r="Q81" s="676">
        <f t="shared" si="15"/>
        <v>0.122644</v>
      </c>
      <c r="R81" s="676">
        <f t="shared" si="15"/>
        <v>0</v>
      </c>
      <c r="S81" s="676">
        <f t="shared" si="15"/>
        <v>0</v>
      </c>
      <c r="T81" s="676">
        <f t="shared" si="15"/>
        <v>0</v>
      </c>
      <c r="U81" s="676">
        <f>+SUM(U71:U80)</f>
        <v>-903.40423799999917</v>
      </c>
      <c r="V81" s="676">
        <f t="shared" si="15"/>
        <v>0</v>
      </c>
      <c r="W81" s="676">
        <f>+SUM(W71:W80)</f>
        <v>0</v>
      </c>
      <c r="X81" s="676">
        <f>+SUM(X71:X80)</f>
        <v>980.56181700000002</v>
      </c>
      <c r="Y81" s="676">
        <f>+SUM(Y71:Y80)</f>
        <v>-107.35992800000001</v>
      </c>
      <c r="Z81" s="676">
        <f t="shared" si="15"/>
        <v>0</v>
      </c>
      <c r="AA81" s="676">
        <f t="shared" si="15"/>
        <v>0</v>
      </c>
      <c r="AB81" s="676">
        <f t="shared" si="15"/>
        <v>0</v>
      </c>
      <c r="AC81" s="688"/>
      <c r="AD81" s="679">
        <f>+SUM(AD71:AD80)</f>
        <v>-32689.155052000002</v>
      </c>
      <c r="AE81" s="1563"/>
      <c r="AF81" s="1756">
        <v>-32689.155052000002</v>
      </c>
      <c r="AG81" s="1908">
        <f t="shared" si="14"/>
        <v>0</v>
      </c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</row>
    <row r="82" spans="2:48" ht="9.9" customHeight="1" x14ac:dyDescent="0.45">
      <c r="B82" s="638"/>
      <c r="C82" s="639"/>
      <c r="D82" s="640"/>
      <c r="E82" s="677"/>
      <c r="F82" s="648"/>
      <c r="G82" s="648"/>
      <c r="H82" s="648"/>
      <c r="I82" s="648"/>
      <c r="J82" s="648"/>
      <c r="K82" s="648"/>
      <c r="L82" s="648"/>
      <c r="M82" s="648"/>
      <c r="N82" s="648"/>
      <c r="O82" s="648"/>
      <c r="P82" s="648"/>
      <c r="Q82" s="648"/>
      <c r="R82" s="648"/>
      <c r="S82" s="648"/>
      <c r="T82" s="648"/>
      <c r="U82" s="648"/>
      <c r="V82" s="648"/>
      <c r="W82" s="648"/>
      <c r="X82" s="648"/>
      <c r="Y82" s="678"/>
      <c r="Z82" s="648"/>
      <c r="AA82" s="648"/>
      <c r="AB82" s="678"/>
      <c r="AC82" s="665"/>
      <c r="AD82" s="643"/>
      <c r="AG82" s="1908">
        <f t="shared" si="14"/>
        <v>0</v>
      </c>
    </row>
    <row r="83" spans="2:48" x14ac:dyDescent="0.45">
      <c r="B83" s="667" t="s">
        <v>2297</v>
      </c>
      <c r="C83" s="668" t="s">
        <v>1603</v>
      </c>
      <c r="D83" s="640"/>
      <c r="E83" s="669"/>
      <c r="F83" s="670"/>
      <c r="G83" s="1722">
        <f>-SUM('BG '!J590:J594)/10^6</f>
        <v>-7319.1066730000002</v>
      </c>
      <c r="H83" s="670"/>
      <c r="I83" s="670"/>
      <c r="J83" s="670"/>
      <c r="K83" s="670"/>
      <c r="L83" s="670">
        <f>-+'Cartes SIM'!D21/1000000</f>
        <v>-229.49405514291669</v>
      </c>
      <c r="M83" s="670"/>
      <c r="N83" s="670">
        <f>-SUM('BG '!H29:I29)/1000000</f>
        <v>0</v>
      </c>
      <c r="O83" s="670"/>
      <c r="P83" s="670"/>
      <c r="Q83" s="670"/>
      <c r="R83" s="670"/>
      <c r="S83" s="670"/>
      <c r="T83" s="670"/>
      <c r="U83" s="670"/>
      <c r="V83" s="670"/>
      <c r="W83" s="689">
        <f>Activation!CN239/10^6</f>
        <v>-291.34008113630966</v>
      </c>
      <c r="X83" s="689"/>
      <c r="Y83" s="670"/>
      <c r="Z83" s="670"/>
      <c r="AA83" s="670"/>
      <c r="AB83" s="670"/>
      <c r="AC83" s="665"/>
      <c r="AD83" s="1885">
        <f t="shared" ref="AD83:AD95" si="16">+SUM(E83:AB83)</f>
        <v>-7839.9408092792264</v>
      </c>
      <c r="AF83" s="1756">
        <v>-7845.4796917324884</v>
      </c>
      <c r="AG83" s="1908">
        <f t="shared" si="14"/>
        <v>5.5388824532619765</v>
      </c>
    </row>
    <row r="84" spans="2:48" x14ac:dyDescent="0.45">
      <c r="B84" s="690" t="s">
        <v>1604</v>
      </c>
      <c r="C84" s="1265" t="s">
        <v>1605</v>
      </c>
      <c r="D84" s="640"/>
      <c r="E84" s="669"/>
      <c r="F84" s="670"/>
      <c r="G84" s="672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89"/>
      <c r="X84" s="689">
        <f>'Impacts_IFRS.16-09'!L82</f>
        <v>-805.85368700000004</v>
      </c>
      <c r="Y84" s="670"/>
      <c r="Z84" s="670"/>
      <c r="AA84" s="670"/>
      <c r="AB84" s="670"/>
      <c r="AC84" s="665"/>
      <c r="AD84" s="671">
        <f t="shared" si="16"/>
        <v>-805.85368700000004</v>
      </c>
      <c r="AF84" s="1756">
        <v>-805.85368700000004</v>
      </c>
      <c r="AG84" s="1908">
        <f t="shared" si="14"/>
        <v>0</v>
      </c>
    </row>
    <row r="85" spans="2:48" x14ac:dyDescent="0.45">
      <c r="B85" s="667" t="s">
        <v>2298</v>
      </c>
      <c r="C85" s="668" t="s">
        <v>1607</v>
      </c>
      <c r="D85" s="640"/>
      <c r="E85" s="669"/>
      <c r="F85" s="670"/>
      <c r="G85" s="1722">
        <f>-SUM('BG '!J595:J612,'BG '!J614:J615)/10^6</f>
        <v>-11073.889894</v>
      </c>
      <c r="H85" s="670"/>
      <c r="I85" s="670"/>
      <c r="J85" s="670"/>
      <c r="K85" s="670"/>
      <c r="L85" s="670"/>
      <c r="M85" s="670"/>
      <c r="N85" s="670"/>
      <c r="O85" s="670"/>
      <c r="P85" s="670"/>
      <c r="Q85" s="670"/>
      <c r="R85" s="670"/>
      <c r="S85" s="670"/>
      <c r="T85" s="670"/>
      <c r="U85" s="1435">
        <f>-'BG '!K682/10^6</f>
        <v>1458.8835770000001</v>
      </c>
      <c r="V85" s="670"/>
      <c r="W85" s="670"/>
      <c r="X85" s="670"/>
      <c r="Y85" s="670"/>
      <c r="Z85" s="670"/>
      <c r="AA85" s="670"/>
      <c r="AB85" s="670"/>
      <c r="AC85" s="665"/>
      <c r="AD85" s="1872">
        <f t="shared" si="16"/>
        <v>-9615.0063169999994</v>
      </c>
      <c r="AF85" s="1756">
        <v>-9613.9245809999993</v>
      </c>
      <c r="AG85" s="1908">
        <f t="shared" si="14"/>
        <v>-1.0817360000000917</v>
      </c>
      <c r="AL85">
        <v>-1.0817360000000917</v>
      </c>
    </row>
    <row r="86" spans="2:48" x14ac:dyDescent="0.45">
      <c r="B86" s="667" t="s">
        <v>1608</v>
      </c>
      <c r="C86" s="668" t="s">
        <v>1609</v>
      </c>
      <c r="D86" s="640"/>
      <c r="E86" s="669"/>
      <c r="F86" s="670"/>
      <c r="G86" s="672">
        <f>-SUM('BG '!J572)/10^6</f>
        <v>0</v>
      </c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70"/>
      <c r="AB86" s="670"/>
      <c r="AC86" s="665"/>
      <c r="AD86" s="680">
        <f t="shared" si="16"/>
        <v>0</v>
      </c>
      <c r="AF86" s="1756">
        <v>0</v>
      </c>
      <c r="AG86" s="1908">
        <f t="shared" si="14"/>
        <v>0</v>
      </c>
    </row>
    <row r="87" spans="2:48" x14ac:dyDescent="0.45">
      <c r="B87" s="667" t="s">
        <v>1610</v>
      </c>
      <c r="C87" s="668" t="s">
        <v>1611</v>
      </c>
      <c r="D87" s="640"/>
      <c r="E87" s="669"/>
      <c r="F87" s="670"/>
      <c r="G87" s="1722">
        <f>-SUM('BG '!J613:K613)/1000000</f>
        <v>-138.48867300000001</v>
      </c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>
        <f>PIDR!D11</f>
        <v>38.599999999999994</v>
      </c>
      <c r="T87" s="670"/>
      <c r="U87" s="670">
        <f>-U33</f>
        <v>130.02862300000001</v>
      </c>
      <c r="V87" s="670"/>
      <c r="W87" s="670"/>
      <c r="X87" s="670"/>
      <c r="Y87" s="685">
        <f>[157]Feuil9!$G$163/1000000</f>
        <v>-61.497714999999999</v>
      </c>
      <c r="Z87" s="670"/>
      <c r="AA87" s="670"/>
      <c r="AB87" s="670"/>
      <c r="AC87" s="665"/>
      <c r="AD87" s="680">
        <f t="shared" si="16"/>
        <v>-31.357765000000001</v>
      </c>
      <c r="AF87" s="1756">
        <v>-31.357765000000001</v>
      </c>
      <c r="AG87" s="1908">
        <f t="shared" si="14"/>
        <v>0</v>
      </c>
    </row>
    <row r="88" spans="2:48" x14ac:dyDescent="0.45">
      <c r="B88" s="667" t="s">
        <v>1612</v>
      </c>
      <c r="C88" s="668" t="s">
        <v>1613</v>
      </c>
      <c r="D88" s="640"/>
      <c r="E88" s="669"/>
      <c r="F88" s="670"/>
      <c r="G88" s="672">
        <f>-SUM('BG '!J570:K570)/10^6</f>
        <v>30.528745000000001</v>
      </c>
      <c r="H88" s="670"/>
      <c r="I88" s="670"/>
      <c r="J88" s="670"/>
      <c r="K88" s="670"/>
      <c r="L88" s="670"/>
      <c r="M88" s="670"/>
      <c r="N88" s="670"/>
      <c r="O88" s="670"/>
      <c r="P88" s="670"/>
      <c r="Q88" s="670"/>
      <c r="R88" s="670"/>
      <c r="S88" s="670"/>
      <c r="T88" s="670"/>
      <c r="U88" s="1435">
        <f>-'BG '!K672/1000000</f>
        <v>0</v>
      </c>
      <c r="V88" s="670"/>
      <c r="W88" s="670"/>
      <c r="X88" s="670"/>
      <c r="Y88" s="670"/>
      <c r="Z88" s="670"/>
      <c r="AA88" s="670"/>
      <c r="AB88" s="670"/>
      <c r="AC88" s="665"/>
      <c r="AD88" s="680">
        <f t="shared" si="16"/>
        <v>30.528745000000001</v>
      </c>
      <c r="AF88" s="1756">
        <v>30.528745000000001</v>
      </c>
      <c r="AG88" s="1908">
        <f t="shared" si="14"/>
        <v>0</v>
      </c>
    </row>
    <row r="89" spans="2:48" x14ac:dyDescent="0.45">
      <c r="B89" s="667" t="s">
        <v>1614</v>
      </c>
      <c r="C89" s="668" t="s">
        <v>1615</v>
      </c>
      <c r="D89" s="640"/>
      <c r="E89" s="669"/>
      <c r="F89" s="670"/>
      <c r="G89" s="672">
        <f>-SUM('BG '!J571)/10^6</f>
        <v>-318.57149900000002</v>
      </c>
      <c r="H89" s="670"/>
      <c r="I89" s="670"/>
      <c r="J89" s="670"/>
      <c r="K89" s="670"/>
      <c r="L89" s="670"/>
      <c r="M89" s="670"/>
      <c r="N89" s="670"/>
      <c r="O89" s="670"/>
      <c r="P89" s="670"/>
      <c r="Q89" s="670"/>
      <c r="R89" s="670"/>
      <c r="S89" s="670"/>
      <c r="T89" s="670"/>
      <c r="U89" s="670">
        <f>(-'BG '!K673/1000000)</f>
        <v>1035.7939490000001</v>
      </c>
      <c r="V89" s="670"/>
      <c r="W89" s="670"/>
      <c r="X89" s="670"/>
      <c r="Y89" s="670"/>
      <c r="Z89" s="670"/>
      <c r="AA89" s="670"/>
      <c r="AB89" s="670"/>
      <c r="AC89" s="665"/>
      <c r="AD89" s="1845">
        <f>+SUM(E89:AB89)-1035.793949</f>
        <v>-318.57149900000002</v>
      </c>
      <c r="AF89" s="1756">
        <v>-318.57149900000002</v>
      </c>
      <c r="AG89" s="1908">
        <f t="shared" si="14"/>
        <v>0</v>
      </c>
    </row>
    <row r="90" spans="2:48" x14ac:dyDescent="0.45">
      <c r="B90" s="667" t="s">
        <v>1616</v>
      </c>
      <c r="C90" s="668" t="s">
        <v>1617</v>
      </c>
      <c r="D90" s="640"/>
      <c r="E90" s="669"/>
      <c r="F90" s="670"/>
      <c r="G90" s="670"/>
      <c r="H90" s="670"/>
      <c r="I90" s="670"/>
      <c r="J90" s="670"/>
      <c r="K90" s="670"/>
      <c r="L90" s="670"/>
      <c r="M90" s="670"/>
      <c r="N90" s="670"/>
      <c r="O90" s="670"/>
      <c r="P90" s="670"/>
      <c r="Q90" s="670"/>
      <c r="R90" s="670"/>
      <c r="S90" s="670"/>
      <c r="T90" s="670"/>
      <c r="U90" s="670"/>
      <c r="V90" s="670"/>
      <c r="W90" s="670"/>
      <c r="X90" s="670"/>
      <c r="Y90" s="670"/>
      <c r="Z90" s="670"/>
      <c r="AA90" s="670"/>
      <c r="AB90" s="670"/>
      <c r="AC90" s="665"/>
      <c r="AD90" s="671">
        <f t="shared" si="16"/>
        <v>0</v>
      </c>
      <c r="AF90" s="1756">
        <v>0</v>
      </c>
      <c r="AG90" s="1908">
        <f t="shared" si="14"/>
        <v>0</v>
      </c>
    </row>
    <row r="91" spans="2:48" x14ac:dyDescent="0.45">
      <c r="B91" s="667" t="s">
        <v>1618</v>
      </c>
      <c r="C91" s="668" t="s">
        <v>1619</v>
      </c>
      <c r="D91" s="640"/>
      <c r="E91" s="669"/>
      <c r="F91" s="670"/>
      <c r="G91" s="670"/>
      <c r="H91" s="670"/>
      <c r="I91" s="670"/>
      <c r="J91" s="670"/>
      <c r="K91" s="670"/>
      <c r="L91" s="670"/>
      <c r="M91" s="670"/>
      <c r="N91" s="670"/>
      <c r="O91" s="670"/>
      <c r="P91" s="670"/>
      <c r="Q91" s="670"/>
      <c r="R91" s="670"/>
      <c r="S91" s="670"/>
      <c r="T91" s="670"/>
      <c r="U91" s="670"/>
      <c r="V91" s="670"/>
      <c r="W91" s="670"/>
      <c r="X91" s="670"/>
      <c r="Y91" s="670"/>
      <c r="Z91" s="670"/>
      <c r="AA91" s="670"/>
      <c r="AB91" s="670"/>
      <c r="AC91" s="665"/>
      <c r="AD91" s="671">
        <f t="shared" si="16"/>
        <v>0</v>
      </c>
      <c r="AF91" s="1756">
        <v>0</v>
      </c>
      <c r="AG91" s="1908">
        <f t="shared" si="14"/>
        <v>0</v>
      </c>
    </row>
    <row r="92" spans="2:48" x14ac:dyDescent="0.45">
      <c r="B92" s="667" t="s">
        <v>1620</v>
      </c>
      <c r="C92" s="668" t="s">
        <v>1621</v>
      </c>
      <c r="D92" s="640"/>
      <c r="E92" s="669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70"/>
      <c r="AB92" s="670"/>
      <c r="AC92" s="665"/>
      <c r="AD92" s="671">
        <f t="shared" si="16"/>
        <v>0</v>
      </c>
      <c r="AF92" s="1756">
        <v>0</v>
      </c>
      <c r="AG92" s="1908">
        <f t="shared" si="14"/>
        <v>0</v>
      </c>
    </row>
    <row r="93" spans="2:48" x14ac:dyDescent="0.45">
      <c r="B93" s="667" t="s">
        <v>1622</v>
      </c>
      <c r="C93" s="668" t="s">
        <v>1623</v>
      </c>
      <c r="D93" s="640"/>
      <c r="E93" s="669"/>
      <c r="F93" s="670"/>
      <c r="G93" s="670"/>
      <c r="H93" s="670"/>
      <c r="I93" s="670"/>
      <c r="J93" s="670"/>
      <c r="K93" s="670"/>
      <c r="L93" s="670"/>
      <c r="M93" s="670"/>
      <c r="N93" s="670"/>
      <c r="O93" s="670"/>
      <c r="P93" s="670"/>
      <c r="Q93" s="670"/>
      <c r="R93" s="670"/>
      <c r="S93" s="670"/>
      <c r="T93" s="670"/>
      <c r="U93" s="670"/>
      <c r="V93" s="670"/>
      <c r="W93" s="670"/>
      <c r="X93" s="670"/>
      <c r="Y93" s="670"/>
      <c r="Z93" s="670"/>
      <c r="AA93" s="670"/>
      <c r="AB93" s="670"/>
      <c r="AC93" s="665"/>
      <c r="AD93" s="671">
        <f t="shared" si="16"/>
        <v>0</v>
      </c>
      <c r="AF93" s="1756">
        <v>0</v>
      </c>
      <c r="AG93" s="1908">
        <f t="shared" si="14"/>
        <v>0</v>
      </c>
    </row>
    <row r="94" spans="2:48" x14ac:dyDescent="0.45">
      <c r="B94" s="667" t="s">
        <v>1624</v>
      </c>
      <c r="C94" s="668" t="s">
        <v>1625</v>
      </c>
      <c r="D94" s="640"/>
      <c r="E94" s="669"/>
      <c r="F94" s="670"/>
      <c r="G94" s="670"/>
      <c r="H94" s="670"/>
      <c r="I94" s="670"/>
      <c r="J94" s="670"/>
      <c r="K94" s="670"/>
      <c r="L94" s="670"/>
      <c r="M94" s="670"/>
      <c r="N94" s="670"/>
      <c r="O94" s="670"/>
      <c r="P94" s="670"/>
      <c r="Q94" s="670"/>
      <c r="R94" s="670"/>
      <c r="S94" s="670"/>
      <c r="T94" s="670"/>
      <c r="U94" s="670"/>
      <c r="V94" s="670"/>
      <c r="W94" s="670"/>
      <c r="X94" s="670"/>
      <c r="Y94" s="670"/>
      <c r="Z94" s="670"/>
      <c r="AA94" s="670"/>
      <c r="AB94" s="670"/>
      <c r="AC94" s="665"/>
      <c r="AD94" s="671">
        <f t="shared" si="16"/>
        <v>0</v>
      </c>
      <c r="AF94" s="1756">
        <v>0</v>
      </c>
      <c r="AG94" s="1908">
        <f t="shared" si="14"/>
        <v>0</v>
      </c>
    </row>
    <row r="95" spans="2:48" x14ac:dyDescent="0.45">
      <c r="B95" s="667" t="s">
        <v>1626</v>
      </c>
      <c r="C95" s="668" t="s">
        <v>1627</v>
      </c>
      <c r="D95" s="640"/>
      <c r="E95" s="669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70"/>
      <c r="AB95" s="670"/>
      <c r="AC95" s="665"/>
      <c r="AD95" s="671">
        <f t="shared" si="16"/>
        <v>0</v>
      </c>
      <c r="AF95" s="1756">
        <v>0</v>
      </c>
      <c r="AG95" s="1908">
        <f t="shared" si="14"/>
        <v>0</v>
      </c>
    </row>
    <row r="96" spans="2:48" s="2" customFormat="1" ht="27.9" customHeight="1" x14ac:dyDescent="0.45">
      <c r="B96" s="673" t="s">
        <v>1628</v>
      </c>
      <c r="C96" s="673" t="s">
        <v>947</v>
      </c>
      <c r="D96" s="674"/>
      <c r="E96" s="675"/>
      <c r="F96" s="676">
        <f>+SUM(F83:F95)</f>
        <v>0</v>
      </c>
      <c r="G96" s="676">
        <f>+SUM(G83:G95)</f>
        <v>-18819.527994000004</v>
      </c>
      <c r="H96" s="676">
        <f t="shared" ref="H96:AB96" si="17">+SUM(H83:H95)</f>
        <v>0</v>
      </c>
      <c r="I96" s="676">
        <f t="shared" si="17"/>
        <v>0</v>
      </c>
      <c r="J96" s="676">
        <f t="shared" si="17"/>
        <v>0</v>
      </c>
      <c r="K96" s="676">
        <f t="shared" si="17"/>
        <v>0</v>
      </c>
      <c r="L96" s="676">
        <f t="shared" si="17"/>
        <v>-229.49405514291669</v>
      </c>
      <c r="M96" s="676">
        <f t="shared" si="17"/>
        <v>0</v>
      </c>
      <c r="N96" s="676">
        <f t="shared" si="17"/>
        <v>0</v>
      </c>
      <c r="O96" s="676">
        <f t="shared" si="17"/>
        <v>0</v>
      </c>
      <c r="P96" s="676">
        <f t="shared" si="17"/>
        <v>0</v>
      </c>
      <c r="Q96" s="676">
        <f t="shared" si="17"/>
        <v>0</v>
      </c>
      <c r="R96" s="676">
        <f t="shared" si="17"/>
        <v>0</v>
      </c>
      <c r="S96" s="676">
        <f t="shared" si="17"/>
        <v>38.599999999999994</v>
      </c>
      <c r="T96" s="676">
        <f t="shared" si="17"/>
        <v>0</v>
      </c>
      <c r="U96" s="676">
        <f t="shared" si="17"/>
        <v>2624.7061490000001</v>
      </c>
      <c r="V96" s="676">
        <f t="shared" si="17"/>
        <v>0</v>
      </c>
      <c r="W96" s="676">
        <f>+SUM(W83:W95)</f>
        <v>-291.34008113630966</v>
      </c>
      <c r="X96" s="676">
        <f>+SUM(X83:X95)</f>
        <v>-805.85368700000004</v>
      </c>
      <c r="Y96" s="676">
        <f>+SUM(Y83:Y95)</f>
        <v>-61.497714999999999</v>
      </c>
      <c r="Z96" s="676">
        <f t="shared" si="17"/>
        <v>0</v>
      </c>
      <c r="AA96" s="676">
        <f t="shared" si="17"/>
        <v>0</v>
      </c>
      <c r="AB96" s="676">
        <f t="shared" si="17"/>
        <v>0</v>
      </c>
      <c r="AC96" s="661"/>
      <c r="AD96" s="679">
        <f>+SUM(AD83:AD95)</f>
        <v>-18580.201332279226</v>
      </c>
      <c r="AE96" s="1563"/>
      <c r="AF96" s="1756">
        <v>-18584.65847873249</v>
      </c>
      <c r="AG96" s="1908">
        <f t="shared" si="14"/>
        <v>4.4571464532637037</v>
      </c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</row>
    <row r="97" spans="2:48" ht="9.9" customHeight="1" x14ac:dyDescent="0.45">
      <c r="B97" s="638" t="s">
        <v>1548</v>
      </c>
      <c r="C97" s="639"/>
      <c r="D97" s="640"/>
      <c r="E97" s="663"/>
      <c r="F97" s="664"/>
      <c r="G97" s="664"/>
      <c r="H97" s="664"/>
      <c r="I97" s="664"/>
      <c r="J97" s="664"/>
      <c r="K97" s="664"/>
      <c r="L97" s="664"/>
      <c r="M97" s="664"/>
      <c r="N97" s="664"/>
      <c r="O97" s="664"/>
      <c r="P97" s="664"/>
      <c r="Q97" s="664"/>
      <c r="R97" s="664"/>
      <c r="S97" s="664"/>
      <c r="T97" s="664"/>
      <c r="U97" s="664"/>
      <c r="V97" s="664"/>
      <c r="W97" s="664"/>
      <c r="X97" s="664"/>
      <c r="Y97" s="664"/>
      <c r="Z97" s="664"/>
      <c r="AA97" s="664"/>
      <c r="AB97" s="664"/>
      <c r="AC97" s="665"/>
      <c r="AD97" s="666"/>
      <c r="AG97" s="1908">
        <f t="shared" si="14"/>
        <v>0</v>
      </c>
    </row>
    <row r="98" spans="2:48" s="6" customFormat="1" ht="23.1" customHeight="1" x14ac:dyDescent="0.45">
      <c r="B98" s="692" t="s">
        <v>1629</v>
      </c>
      <c r="C98" s="692" t="s">
        <v>1630</v>
      </c>
      <c r="D98" s="693"/>
      <c r="E98" s="694">
        <f>+SUM(E6:E15)+SUM(E44:E55)</f>
        <v>9129.9811940000072</v>
      </c>
      <c r="F98" s="695">
        <f t="shared" ref="F98:AB98" si="18">+SUM(F6:F15)+F20+F28+F42+SUM(F44:F55)+F60+F65+F69+F81+F96</f>
        <v>-58.697775999993155</v>
      </c>
      <c r="G98" s="696">
        <f>+SUM(G6:G15)+G20+G28+G42+SUM(G44:G55)+G60+G65+G69+G81+G96</f>
        <v>58.69777599999361</v>
      </c>
      <c r="H98" s="695">
        <f t="shared" si="18"/>
        <v>0</v>
      </c>
      <c r="I98" s="695">
        <f t="shared" si="18"/>
        <v>0</v>
      </c>
      <c r="J98" s="695">
        <f t="shared" si="18"/>
        <v>759.49458200000004</v>
      </c>
      <c r="K98" s="695">
        <f t="shared" si="18"/>
        <v>-233.65454600000001</v>
      </c>
      <c r="L98" s="695">
        <f t="shared" si="18"/>
        <v>-229.49405514291669</v>
      </c>
      <c r="M98" s="695">
        <f t="shared" si="18"/>
        <v>0</v>
      </c>
      <c r="N98" s="695">
        <f t="shared" si="18"/>
        <v>0</v>
      </c>
      <c r="O98" s="695">
        <f t="shared" si="18"/>
        <v>0</v>
      </c>
      <c r="P98" s="695">
        <f t="shared" si="18"/>
        <v>0</v>
      </c>
      <c r="Q98" s="695">
        <f t="shared" si="18"/>
        <v>0.122644</v>
      </c>
      <c r="R98" s="695">
        <f t="shared" si="18"/>
        <v>0</v>
      </c>
      <c r="S98" s="695">
        <f t="shared" si="18"/>
        <v>38.599999999999994</v>
      </c>
      <c r="T98" s="695">
        <f t="shared" si="18"/>
        <v>0</v>
      </c>
      <c r="U98" s="695">
        <f>+SUM(U6:U15)+U20+U28+U42+SUM(U44:U55)+U60+U65+U69+U81+U96</f>
        <v>0</v>
      </c>
      <c r="V98" s="695">
        <f t="shared" si="18"/>
        <v>0</v>
      </c>
      <c r="W98" s="695">
        <f t="shared" si="18"/>
        <v>222.4515364386906</v>
      </c>
      <c r="X98" s="695">
        <f t="shared" si="18"/>
        <v>174.70812999999998</v>
      </c>
      <c r="Y98" s="695">
        <f t="shared" si="18"/>
        <v>-138.90971300000001</v>
      </c>
      <c r="Z98" s="695">
        <f t="shared" si="18"/>
        <v>0</v>
      </c>
      <c r="AA98" s="695">
        <f t="shared" si="18"/>
        <v>0</v>
      </c>
      <c r="AB98" s="695">
        <f t="shared" si="18"/>
        <v>0</v>
      </c>
      <c r="AC98" s="697"/>
      <c r="AD98" s="696">
        <f>+SUM(AD6:AD15)+AD20+AD28+AD42+SUM(AD44:AD55)+AD60+AD65+AD69+AD81+AD96</f>
        <v>9723.2997710793279</v>
      </c>
      <c r="AE98" s="1563"/>
      <c r="AF98" s="1756">
        <v>9515.1565631510675</v>
      </c>
      <c r="AG98" s="1908">
        <f t="shared" si="14"/>
        <v>208.14320792826038</v>
      </c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</row>
    <row r="99" spans="2:48" ht="9.9" customHeight="1" outlineLevel="1" x14ac:dyDescent="0.45">
      <c r="B99" s="638"/>
      <c r="C99" s="639"/>
      <c r="D99" s="640"/>
      <c r="E99" s="677"/>
      <c r="F99" s="648"/>
      <c r="G99" s="648"/>
      <c r="H99" s="648"/>
      <c r="I99" s="648"/>
      <c r="J99" s="648"/>
      <c r="K99" s="648"/>
      <c r="L99" s="648"/>
      <c r="M99" s="648"/>
      <c r="N99" s="648"/>
      <c r="O99" s="648"/>
      <c r="P99" s="648"/>
      <c r="Q99" s="648"/>
      <c r="R99" s="648"/>
      <c r="S99" s="648"/>
      <c r="T99" s="648"/>
      <c r="U99" s="648"/>
      <c r="V99" s="648"/>
      <c r="W99" s="648"/>
      <c r="X99" s="648"/>
      <c r="Y99" s="678"/>
      <c r="Z99" s="648"/>
      <c r="AA99" s="678"/>
      <c r="AB99" s="678"/>
      <c r="AC99" s="665"/>
      <c r="AD99" s="643"/>
      <c r="AG99" s="1908">
        <f t="shared" si="14"/>
        <v>0</v>
      </c>
    </row>
    <row r="100" spans="2:48" ht="70.2" outlineLevel="1" x14ac:dyDescent="0.45">
      <c r="B100" s="667" t="s">
        <v>1631</v>
      </c>
      <c r="C100" s="698" t="s">
        <v>1632</v>
      </c>
      <c r="D100" s="640"/>
      <c r="E100" s="669"/>
      <c r="F100" s="670"/>
      <c r="G100" s="670"/>
      <c r="H100" s="670"/>
      <c r="I100" s="670"/>
      <c r="J100" s="670"/>
      <c r="K100" s="670"/>
      <c r="L100" s="670"/>
      <c r="M100" s="670"/>
      <c r="N100" s="670"/>
      <c r="O100" s="670"/>
      <c r="P100" s="670"/>
      <c r="Q100" s="670"/>
      <c r="R100" s="670"/>
      <c r="S100" s="670"/>
      <c r="T100" s="670"/>
      <c r="U100" s="670"/>
      <c r="V100" s="670"/>
      <c r="W100" s="670"/>
      <c r="X100" s="670"/>
      <c r="Y100" s="670"/>
      <c r="Z100" s="670"/>
      <c r="AA100" s="670"/>
      <c r="AB100" s="670"/>
      <c r="AC100" s="665"/>
      <c r="AD100" s="671">
        <f t="shared" ref="AD100:AD106" si="19">+SUM(E100:AB100)</f>
        <v>0</v>
      </c>
      <c r="AF100" s="1756">
        <v>0</v>
      </c>
      <c r="AG100" s="1908">
        <f t="shared" si="14"/>
        <v>0</v>
      </c>
    </row>
    <row r="101" spans="2:48" ht="70.2" outlineLevel="1" x14ac:dyDescent="0.45">
      <c r="B101" s="667" t="s">
        <v>1633</v>
      </c>
      <c r="C101" s="698" t="s">
        <v>1634</v>
      </c>
      <c r="D101" s="640"/>
      <c r="E101" s="669"/>
      <c r="F101" s="670"/>
      <c r="G101" s="670"/>
      <c r="H101" s="670"/>
      <c r="I101" s="670"/>
      <c r="J101" s="670"/>
      <c r="K101" s="670"/>
      <c r="L101" s="670"/>
      <c r="M101" s="670"/>
      <c r="N101" s="670"/>
      <c r="O101" s="670"/>
      <c r="P101" s="670"/>
      <c r="Q101" s="670"/>
      <c r="R101" s="670"/>
      <c r="S101" s="670"/>
      <c r="T101" s="670"/>
      <c r="U101" s="670"/>
      <c r="V101" s="670"/>
      <c r="W101" s="670"/>
      <c r="X101" s="670"/>
      <c r="Y101" s="670"/>
      <c r="Z101" s="670"/>
      <c r="AA101" s="670"/>
      <c r="AB101" s="670"/>
      <c r="AC101" s="665"/>
      <c r="AD101" s="671">
        <f t="shared" si="19"/>
        <v>0</v>
      </c>
      <c r="AF101" s="1756">
        <v>0</v>
      </c>
      <c r="AG101" s="1908">
        <f t="shared" si="14"/>
        <v>0</v>
      </c>
    </row>
    <row r="102" spans="2:48" outlineLevel="1" x14ac:dyDescent="0.45">
      <c r="B102" s="667" t="s">
        <v>1635</v>
      </c>
      <c r="C102" s="668" t="s">
        <v>1636</v>
      </c>
      <c r="D102" s="640"/>
      <c r="E102" s="669"/>
      <c r="F102" s="670"/>
      <c r="G102" s="670"/>
      <c r="H102" s="670"/>
      <c r="I102" s="670"/>
      <c r="J102" s="670"/>
      <c r="K102" s="670"/>
      <c r="L102" s="670"/>
      <c r="M102" s="670"/>
      <c r="N102" s="670"/>
      <c r="O102" s="670"/>
      <c r="P102" s="670"/>
      <c r="Q102" s="670"/>
      <c r="R102" s="670"/>
      <c r="S102" s="670"/>
      <c r="T102" s="670"/>
      <c r="U102" s="670"/>
      <c r="V102" s="670"/>
      <c r="W102" s="670"/>
      <c r="X102" s="670"/>
      <c r="Y102" s="670"/>
      <c r="Z102" s="670"/>
      <c r="AA102" s="670"/>
      <c r="AB102" s="670"/>
      <c r="AC102" s="665"/>
      <c r="AD102" s="671">
        <f t="shared" si="19"/>
        <v>0</v>
      </c>
      <c r="AF102" s="1756">
        <v>0</v>
      </c>
      <c r="AG102" s="1908">
        <f t="shared" si="14"/>
        <v>0</v>
      </c>
    </row>
    <row r="103" spans="2:48" outlineLevel="1" x14ac:dyDescent="0.45">
      <c r="B103" s="667" t="s">
        <v>1637</v>
      </c>
      <c r="C103" s="668" t="s">
        <v>1638</v>
      </c>
      <c r="D103" s="640"/>
      <c r="E103" s="669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70"/>
      <c r="AB103" s="670"/>
      <c r="AC103" s="665"/>
      <c r="AD103" s="671">
        <f t="shared" si="19"/>
        <v>0</v>
      </c>
      <c r="AF103" s="1756">
        <v>0</v>
      </c>
      <c r="AG103" s="1908">
        <f t="shared" si="14"/>
        <v>0</v>
      </c>
    </row>
    <row r="104" spans="2:48" outlineLevel="1" x14ac:dyDescent="0.45">
      <c r="B104" s="667" t="s">
        <v>1639</v>
      </c>
      <c r="C104" s="668" t="s">
        <v>1640</v>
      </c>
      <c r="D104" s="640"/>
      <c r="E104" s="669"/>
      <c r="F104" s="670"/>
      <c r="G104" s="670"/>
      <c r="H104" s="670"/>
      <c r="I104" s="670"/>
      <c r="J104" s="670"/>
      <c r="K104" s="670"/>
      <c r="L104" s="670"/>
      <c r="M104" s="670"/>
      <c r="N104" s="670"/>
      <c r="O104" s="670"/>
      <c r="P104" s="670"/>
      <c r="Q104" s="670"/>
      <c r="R104" s="670"/>
      <c r="S104" s="670"/>
      <c r="T104" s="670"/>
      <c r="U104" s="670"/>
      <c r="V104" s="670"/>
      <c r="W104" s="670"/>
      <c r="X104" s="670"/>
      <c r="Y104" s="670"/>
      <c r="Z104" s="670"/>
      <c r="AA104" s="670"/>
      <c r="AB104" s="670"/>
      <c r="AC104" s="665"/>
      <c r="AD104" s="671">
        <f t="shared" si="19"/>
        <v>0</v>
      </c>
      <c r="AF104" s="1756">
        <v>0</v>
      </c>
      <c r="AG104" s="1908">
        <f t="shared" si="14"/>
        <v>0</v>
      </c>
    </row>
    <row r="105" spans="2:48" outlineLevel="1" x14ac:dyDescent="0.45">
      <c r="B105" s="667" t="s">
        <v>1641</v>
      </c>
      <c r="C105" s="668" t="s">
        <v>1642</v>
      </c>
      <c r="D105" s="640"/>
      <c r="E105" s="669"/>
      <c r="F105" s="670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0"/>
      <c r="S105" s="670"/>
      <c r="T105" s="670"/>
      <c r="U105" s="670"/>
      <c r="V105" s="670"/>
      <c r="W105" s="670"/>
      <c r="X105" s="670"/>
      <c r="Y105" s="670"/>
      <c r="Z105" s="670"/>
      <c r="AA105" s="670"/>
      <c r="AB105" s="670"/>
      <c r="AC105" s="665"/>
      <c r="AD105" s="671">
        <f t="shared" si="19"/>
        <v>0</v>
      </c>
      <c r="AF105" s="1756">
        <v>0</v>
      </c>
      <c r="AG105" s="1908">
        <f t="shared" si="14"/>
        <v>0</v>
      </c>
    </row>
    <row r="106" spans="2:48" outlineLevel="1" x14ac:dyDescent="0.45">
      <c r="B106" s="667" t="s">
        <v>1643</v>
      </c>
      <c r="C106" s="668" t="s">
        <v>1644</v>
      </c>
      <c r="D106" s="640"/>
      <c r="E106" s="669"/>
      <c r="F106" s="670"/>
      <c r="G106" s="670"/>
      <c r="H106" s="670"/>
      <c r="I106" s="670"/>
      <c r="J106" s="670"/>
      <c r="K106" s="670"/>
      <c r="L106" s="670"/>
      <c r="M106" s="670"/>
      <c r="N106" s="670"/>
      <c r="O106" s="670"/>
      <c r="P106" s="670"/>
      <c r="Q106" s="670"/>
      <c r="R106" s="670"/>
      <c r="S106" s="670"/>
      <c r="T106" s="670"/>
      <c r="U106" s="670"/>
      <c r="V106" s="670"/>
      <c r="W106" s="670"/>
      <c r="X106" s="670"/>
      <c r="Y106" s="670"/>
      <c r="Z106" s="670"/>
      <c r="AA106" s="670"/>
      <c r="AB106" s="670"/>
      <c r="AC106" s="665"/>
      <c r="AD106" s="671">
        <f t="shared" si="19"/>
        <v>0</v>
      </c>
      <c r="AF106" s="1756">
        <v>0</v>
      </c>
      <c r="AG106" s="1908">
        <f t="shared" si="14"/>
        <v>0</v>
      </c>
    </row>
    <row r="107" spans="2:48" s="2" customFormat="1" ht="14.25" customHeight="1" outlineLevel="1" x14ac:dyDescent="0.45">
      <c r="B107" s="673" t="s">
        <v>1645</v>
      </c>
      <c r="C107" s="673" t="s">
        <v>1646</v>
      </c>
      <c r="D107" s="659"/>
      <c r="E107" s="675"/>
      <c r="F107" s="676">
        <f t="shared" ref="F107:AB107" si="20">+SUM(F100:F106)</f>
        <v>0</v>
      </c>
      <c r="G107" s="676">
        <f t="shared" si="20"/>
        <v>0</v>
      </c>
      <c r="H107" s="676">
        <f t="shared" si="20"/>
        <v>0</v>
      </c>
      <c r="I107" s="676">
        <f t="shared" si="20"/>
        <v>0</v>
      </c>
      <c r="J107" s="676">
        <f t="shared" si="20"/>
        <v>0</v>
      </c>
      <c r="K107" s="676">
        <f t="shared" si="20"/>
        <v>0</v>
      </c>
      <c r="L107" s="676">
        <f t="shared" si="20"/>
        <v>0</v>
      </c>
      <c r="M107" s="676">
        <f t="shared" si="20"/>
        <v>0</v>
      </c>
      <c r="N107" s="676">
        <f t="shared" si="20"/>
        <v>0</v>
      </c>
      <c r="O107" s="676">
        <f t="shared" si="20"/>
        <v>0</v>
      </c>
      <c r="P107" s="676">
        <f t="shared" si="20"/>
        <v>0</v>
      </c>
      <c r="Q107" s="676">
        <f t="shared" si="20"/>
        <v>0</v>
      </c>
      <c r="R107" s="676">
        <f t="shared" si="20"/>
        <v>0</v>
      </c>
      <c r="S107" s="676">
        <f t="shared" si="20"/>
        <v>0</v>
      </c>
      <c r="T107" s="676">
        <f t="shared" si="20"/>
        <v>0</v>
      </c>
      <c r="U107" s="676">
        <f t="shared" si="20"/>
        <v>0</v>
      </c>
      <c r="V107" s="676">
        <f t="shared" si="20"/>
        <v>0</v>
      </c>
      <c r="W107" s="676">
        <f t="shared" si="20"/>
        <v>0</v>
      </c>
      <c r="X107" s="676">
        <f t="shared" si="20"/>
        <v>0</v>
      </c>
      <c r="Y107" s="676">
        <f>+SUM(Y100:Y106)</f>
        <v>0</v>
      </c>
      <c r="Z107" s="676">
        <f t="shared" si="20"/>
        <v>0</v>
      </c>
      <c r="AA107" s="676">
        <f t="shared" si="20"/>
        <v>0</v>
      </c>
      <c r="AB107" s="676">
        <f t="shared" si="20"/>
        <v>0</v>
      </c>
      <c r="AC107" s="661"/>
      <c r="AD107" s="679">
        <f>+SUM(AD100:AD106)</f>
        <v>0</v>
      </c>
      <c r="AE107" s="1563"/>
      <c r="AF107" s="1756">
        <v>0</v>
      </c>
      <c r="AG107" s="1908">
        <f t="shared" si="14"/>
        <v>0</v>
      </c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</row>
    <row r="108" spans="2:48" ht="9.9" customHeight="1" outlineLevel="1" x14ac:dyDescent="0.45">
      <c r="B108" s="638"/>
      <c r="C108" s="638"/>
      <c r="D108" s="640"/>
      <c r="E108" s="699"/>
      <c r="F108" s="648"/>
      <c r="G108" s="648"/>
      <c r="H108" s="648"/>
      <c r="I108" s="648"/>
      <c r="J108" s="648"/>
      <c r="K108" s="648"/>
      <c r="L108" s="648"/>
      <c r="M108" s="648"/>
      <c r="N108" s="648"/>
      <c r="O108" s="648"/>
      <c r="P108" s="648"/>
      <c r="Q108" s="648"/>
      <c r="R108" s="648"/>
      <c r="S108" s="648"/>
      <c r="T108" s="648"/>
      <c r="U108" s="648"/>
      <c r="V108" s="648"/>
      <c r="W108" s="648"/>
      <c r="X108" s="648"/>
      <c r="Y108" s="678"/>
      <c r="Z108" s="648"/>
      <c r="AA108" s="648"/>
      <c r="AB108" s="678"/>
      <c r="AC108" s="665"/>
      <c r="AD108" s="643"/>
      <c r="AG108" s="1908">
        <f t="shared" si="14"/>
        <v>0</v>
      </c>
    </row>
    <row r="109" spans="2:48" ht="70.2" outlineLevel="1" x14ac:dyDescent="0.45">
      <c r="B109" s="667" t="s">
        <v>1647</v>
      </c>
      <c r="C109" s="698" t="s">
        <v>1648</v>
      </c>
      <c r="D109" s="640"/>
      <c r="E109" s="669"/>
      <c r="F109" s="670"/>
      <c r="G109" s="670"/>
      <c r="H109" s="670"/>
      <c r="I109" s="670"/>
      <c r="J109" s="670"/>
      <c r="K109" s="670"/>
      <c r="L109" s="670"/>
      <c r="M109" s="670"/>
      <c r="N109" s="670"/>
      <c r="O109" s="670"/>
      <c r="P109" s="670"/>
      <c r="Q109" s="670"/>
      <c r="R109" s="670"/>
      <c r="S109" s="670"/>
      <c r="T109" s="670"/>
      <c r="U109" s="670"/>
      <c r="V109" s="670"/>
      <c r="W109" s="670"/>
      <c r="X109" s="670"/>
      <c r="Y109" s="670"/>
      <c r="Z109" s="670"/>
      <c r="AA109" s="670"/>
      <c r="AB109" s="670"/>
      <c r="AC109" s="665"/>
      <c r="AD109" s="671">
        <f t="shared" ref="AD109:AD114" si="21">+SUM(E109:AB109)</f>
        <v>0</v>
      </c>
      <c r="AF109" s="1756">
        <v>0</v>
      </c>
      <c r="AG109" s="1908">
        <f t="shared" si="14"/>
        <v>0</v>
      </c>
    </row>
    <row r="110" spans="2:48" ht="70.2" outlineLevel="1" x14ac:dyDescent="0.45">
      <c r="B110" s="667" t="s">
        <v>1649</v>
      </c>
      <c r="C110" s="698" t="s">
        <v>1650</v>
      </c>
      <c r="D110" s="640"/>
      <c r="E110" s="669"/>
      <c r="F110" s="670"/>
      <c r="G110" s="670"/>
      <c r="H110" s="670"/>
      <c r="I110" s="670"/>
      <c r="J110" s="670"/>
      <c r="K110" s="670"/>
      <c r="L110" s="670"/>
      <c r="M110" s="670"/>
      <c r="N110" s="670"/>
      <c r="O110" s="670"/>
      <c r="P110" s="670"/>
      <c r="Q110" s="670"/>
      <c r="R110" s="670"/>
      <c r="S110" s="670"/>
      <c r="T110" s="670"/>
      <c r="U110" s="670"/>
      <c r="V110" s="670"/>
      <c r="W110" s="670"/>
      <c r="X110" s="670"/>
      <c r="Y110" s="670"/>
      <c r="Z110" s="670"/>
      <c r="AA110" s="670"/>
      <c r="AB110" s="670"/>
      <c r="AC110" s="665"/>
      <c r="AD110" s="671">
        <f t="shared" si="21"/>
        <v>0</v>
      </c>
      <c r="AF110" s="1756">
        <v>0</v>
      </c>
      <c r="AG110" s="1908">
        <f t="shared" si="14"/>
        <v>0</v>
      </c>
    </row>
    <row r="111" spans="2:48" outlineLevel="1" x14ac:dyDescent="0.45">
      <c r="B111" s="667" t="s">
        <v>1651</v>
      </c>
      <c r="C111" s="668" t="s">
        <v>1652</v>
      </c>
      <c r="D111" s="640"/>
      <c r="E111" s="669"/>
      <c r="F111" s="670"/>
      <c r="G111" s="670"/>
      <c r="H111" s="670"/>
      <c r="I111" s="670"/>
      <c r="J111" s="670"/>
      <c r="K111" s="670"/>
      <c r="L111" s="670"/>
      <c r="M111" s="670"/>
      <c r="N111" s="670"/>
      <c r="O111" s="670"/>
      <c r="P111" s="670"/>
      <c r="Q111" s="670"/>
      <c r="R111" s="670"/>
      <c r="S111" s="670"/>
      <c r="T111" s="670"/>
      <c r="U111" s="670"/>
      <c r="V111" s="670"/>
      <c r="W111" s="670"/>
      <c r="X111" s="670"/>
      <c r="Y111" s="670"/>
      <c r="Z111" s="670"/>
      <c r="AA111" s="670"/>
      <c r="AB111" s="670"/>
      <c r="AC111" s="665"/>
      <c r="AD111" s="671">
        <f t="shared" si="21"/>
        <v>0</v>
      </c>
      <c r="AF111" s="1756">
        <v>0</v>
      </c>
      <c r="AG111" s="1908">
        <f t="shared" si="14"/>
        <v>0</v>
      </c>
    </row>
    <row r="112" spans="2:48" outlineLevel="1" x14ac:dyDescent="0.45">
      <c r="B112" s="667" t="s">
        <v>1653</v>
      </c>
      <c r="C112" s="668" t="s">
        <v>1654</v>
      </c>
      <c r="D112" s="640"/>
      <c r="E112" s="669"/>
      <c r="F112" s="670"/>
      <c r="G112" s="670"/>
      <c r="H112" s="670"/>
      <c r="I112" s="670"/>
      <c r="J112" s="670"/>
      <c r="K112" s="670"/>
      <c r="L112" s="670"/>
      <c r="M112" s="670"/>
      <c r="N112" s="670"/>
      <c r="O112" s="670"/>
      <c r="P112" s="670"/>
      <c r="Q112" s="670"/>
      <c r="R112" s="670"/>
      <c r="S112" s="670"/>
      <c r="T112" s="670"/>
      <c r="U112" s="670"/>
      <c r="V112" s="670"/>
      <c r="W112" s="670"/>
      <c r="X112" s="670"/>
      <c r="Y112" s="670"/>
      <c r="Z112" s="670"/>
      <c r="AA112" s="670"/>
      <c r="AB112" s="670"/>
      <c r="AC112" s="665"/>
      <c r="AD112" s="671">
        <f t="shared" si="21"/>
        <v>0</v>
      </c>
      <c r="AF112" s="1756">
        <v>0</v>
      </c>
      <c r="AG112" s="1908">
        <f t="shared" si="14"/>
        <v>0</v>
      </c>
    </row>
    <row r="113" spans="2:48" outlineLevel="1" x14ac:dyDescent="0.45">
      <c r="B113" s="667" t="s">
        <v>1655</v>
      </c>
      <c r="C113" s="668" t="s">
        <v>1656</v>
      </c>
      <c r="D113" s="640"/>
      <c r="E113" s="669"/>
      <c r="F113" s="670"/>
      <c r="G113" s="670"/>
      <c r="H113" s="670"/>
      <c r="I113" s="670"/>
      <c r="J113" s="670"/>
      <c r="K113" s="670"/>
      <c r="L113" s="670"/>
      <c r="M113" s="670"/>
      <c r="N113" s="670"/>
      <c r="O113" s="670"/>
      <c r="P113" s="670"/>
      <c r="Q113" s="670"/>
      <c r="R113" s="670"/>
      <c r="S113" s="670"/>
      <c r="T113" s="670"/>
      <c r="U113" s="670"/>
      <c r="V113" s="670"/>
      <c r="W113" s="670"/>
      <c r="X113" s="670"/>
      <c r="Y113" s="670"/>
      <c r="Z113" s="670"/>
      <c r="AA113" s="670"/>
      <c r="AB113" s="670"/>
      <c r="AC113" s="665"/>
      <c r="AD113" s="671">
        <f t="shared" si="21"/>
        <v>0</v>
      </c>
      <c r="AF113" s="1756">
        <v>0</v>
      </c>
      <c r="AG113" s="1908">
        <f t="shared" si="14"/>
        <v>0</v>
      </c>
    </row>
    <row r="114" spans="2:48" outlineLevel="1" x14ac:dyDescent="0.45">
      <c r="B114" s="667" t="s">
        <v>1657</v>
      </c>
      <c r="C114" s="668" t="s">
        <v>1658</v>
      </c>
      <c r="D114" s="640"/>
      <c r="E114" s="669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70"/>
      <c r="AB114" s="670"/>
      <c r="AC114" s="665"/>
      <c r="AD114" s="671">
        <f t="shared" si="21"/>
        <v>0</v>
      </c>
      <c r="AF114" s="1756">
        <v>0</v>
      </c>
      <c r="AG114" s="1908">
        <f t="shared" si="14"/>
        <v>0</v>
      </c>
    </row>
    <row r="115" spans="2:48" s="2" customFormat="1" ht="14.25" customHeight="1" outlineLevel="1" x14ac:dyDescent="0.45">
      <c r="B115" s="673" t="s">
        <v>1659</v>
      </c>
      <c r="C115" s="673" t="s">
        <v>1660</v>
      </c>
      <c r="D115" s="674"/>
      <c r="E115" s="675"/>
      <c r="F115" s="676">
        <f t="shared" ref="F115:AB115" si="22">+SUM(F109:F114)</f>
        <v>0</v>
      </c>
      <c r="G115" s="676">
        <f t="shared" si="22"/>
        <v>0</v>
      </c>
      <c r="H115" s="676">
        <f t="shared" si="22"/>
        <v>0</v>
      </c>
      <c r="I115" s="676">
        <f t="shared" si="22"/>
        <v>0</v>
      </c>
      <c r="J115" s="676">
        <f t="shared" si="22"/>
        <v>0</v>
      </c>
      <c r="K115" s="676">
        <f t="shared" si="22"/>
        <v>0</v>
      </c>
      <c r="L115" s="676">
        <f t="shared" si="22"/>
        <v>0</v>
      </c>
      <c r="M115" s="676">
        <f t="shared" si="22"/>
        <v>0</v>
      </c>
      <c r="N115" s="676">
        <f t="shared" si="22"/>
        <v>0</v>
      </c>
      <c r="O115" s="676">
        <f t="shared" si="22"/>
        <v>0</v>
      </c>
      <c r="P115" s="676">
        <f t="shared" si="22"/>
        <v>0</v>
      </c>
      <c r="Q115" s="676">
        <f t="shared" si="22"/>
        <v>0</v>
      </c>
      <c r="R115" s="676">
        <f t="shared" si="22"/>
        <v>0</v>
      </c>
      <c r="S115" s="676">
        <f t="shared" si="22"/>
        <v>0</v>
      </c>
      <c r="T115" s="676">
        <f t="shared" si="22"/>
        <v>0</v>
      </c>
      <c r="U115" s="676">
        <f t="shared" si="22"/>
        <v>0</v>
      </c>
      <c r="V115" s="676">
        <f t="shared" si="22"/>
        <v>0</v>
      </c>
      <c r="W115" s="676">
        <f t="shared" si="22"/>
        <v>0</v>
      </c>
      <c r="X115" s="676">
        <f t="shared" si="22"/>
        <v>0</v>
      </c>
      <c r="Y115" s="676">
        <f t="shared" si="22"/>
        <v>0</v>
      </c>
      <c r="Z115" s="676">
        <f t="shared" si="22"/>
        <v>0</v>
      </c>
      <c r="AA115" s="676">
        <f t="shared" si="22"/>
        <v>0</v>
      </c>
      <c r="AB115" s="676">
        <f t="shared" si="22"/>
        <v>0</v>
      </c>
      <c r="AC115" s="661"/>
      <c r="AD115" s="679">
        <f>+SUM(AD109:AD114)</f>
        <v>0</v>
      </c>
      <c r="AE115" s="1563"/>
      <c r="AF115" s="1756">
        <v>0</v>
      </c>
      <c r="AG115" s="1908">
        <f t="shared" si="14"/>
        <v>0</v>
      </c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</row>
    <row r="116" spans="2:48" ht="9.9" customHeight="1" outlineLevel="1" x14ac:dyDescent="0.45">
      <c r="B116" s="638"/>
      <c r="C116" s="639"/>
      <c r="D116" s="640"/>
      <c r="E116" s="677"/>
      <c r="F116" s="648"/>
      <c r="G116" s="648"/>
      <c r="H116" s="648"/>
      <c r="I116" s="648"/>
      <c r="J116" s="648"/>
      <c r="K116" s="648"/>
      <c r="L116" s="648"/>
      <c r="M116" s="648"/>
      <c r="N116" s="648"/>
      <c r="O116" s="648"/>
      <c r="P116" s="648"/>
      <c r="Q116" s="648"/>
      <c r="R116" s="648"/>
      <c r="S116" s="648"/>
      <c r="T116" s="648"/>
      <c r="U116" s="648"/>
      <c r="V116" s="648"/>
      <c r="W116" s="648"/>
      <c r="X116" s="648"/>
      <c r="Y116" s="678"/>
      <c r="Z116" s="648"/>
      <c r="AA116" s="648"/>
      <c r="AB116" s="678"/>
      <c r="AC116" s="665"/>
      <c r="AD116" s="643"/>
      <c r="AG116" s="1908">
        <f t="shared" si="14"/>
        <v>0</v>
      </c>
    </row>
    <row r="117" spans="2:48" s="6" customFormat="1" ht="23.1" customHeight="1" x14ac:dyDescent="0.45">
      <c r="B117" s="692" t="s">
        <v>1661</v>
      </c>
      <c r="C117" s="692" t="s">
        <v>1662</v>
      </c>
      <c r="D117" s="693"/>
      <c r="E117" s="694">
        <f>+E98+E107+E115</f>
        <v>9129.9811940000072</v>
      </c>
      <c r="F117" s="695">
        <f t="shared" ref="F117:AB117" si="23">+F98+F107+F115</f>
        <v>-58.697775999993155</v>
      </c>
      <c r="G117" s="695">
        <f>+G98+G107+G115</f>
        <v>58.69777599999361</v>
      </c>
      <c r="H117" s="695">
        <f t="shared" si="23"/>
        <v>0</v>
      </c>
      <c r="I117" s="695">
        <f t="shared" si="23"/>
        <v>0</v>
      </c>
      <c r="J117" s="695">
        <f t="shared" si="23"/>
        <v>759.49458200000004</v>
      </c>
      <c r="K117" s="695">
        <f t="shared" si="23"/>
        <v>-233.65454600000001</v>
      </c>
      <c r="L117" s="695">
        <f t="shared" si="23"/>
        <v>-229.49405514291669</v>
      </c>
      <c r="M117" s="695">
        <f t="shared" si="23"/>
        <v>0</v>
      </c>
      <c r="N117" s="695">
        <f t="shared" si="23"/>
        <v>0</v>
      </c>
      <c r="O117" s="695">
        <f t="shared" si="23"/>
        <v>0</v>
      </c>
      <c r="P117" s="695">
        <f t="shared" si="23"/>
        <v>0</v>
      </c>
      <c r="Q117" s="695">
        <f t="shared" si="23"/>
        <v>0.122644</v>
      </c>
      <c r="R117" s="695">
        <f t="shared" si="23"/>
        <v>0</v>
      </c>
      <c r="S117" s="695">
        <f t="shared" si="23"/>
        <v>38.599999999999994</v>
      </c>
      <c r="T117" s="695">
        <f t="shared" si="23"/>
        <v>0</v>
      </c>
      <c r="U117" s="1486">
        <f>+U98+U107+U115</f>
        <v>0</v>
      </c>
      <c r="V117" s="695">
        <f t="shared" si="23"/>
        <v>0</v>
      </c>
      <c r="W117" s="695">
        <f t="shared" si="23"/>
        <v>222.4515364386906</v>
      </c>
      <c r="X117" s="695">
        <f t="shared" si="23"/>
        <v>174.70812999999998</v>
      </c>
      <c r="Y117" s="695">
        <f t="shared" si="23"/>
        <v>-138.90971300000001</v>
      </c>
      <c r="Z117" s="695">
        <f t="shared" si="23"/>
        <v>0</v>
      </c>
      <c r="AA117" s="695">
        <f t="shared" si="23"/>
        <v>0</v>
      </c>
      <c r="AB117" s="695">
        <f t="shared" si="23"/>
        <v>0</v>
      </c>
      <c r="AC117" s="697"/>
      <c r="AD117" s="696">
        <f>+AD98+AD107+AD115</f>
        <v>9723.2997710793279</v>
      </c>
      <c r="AE117" s="1563"/>
      <c r="AF117" s="1756">
        <v>9515.1565631510675</v>
      </c>
      <c r="AG117" s="1908">
        <f t="shared" si="14"/>
        <v>208.14320792826038</v>
      </c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</row>
    <row r="118" spans="2:48" ht="9.9" customHeight="1" x14ac:dyDescent="0.45">
      <c r="B118" s="638" t="s">
        <v>1548</v>
      </c>
      <c r="C118" s="639"/>
      <c r="D118" s="640"/>
      <c r="E118" s="663"/>
      <c r="F118" s="664"/>
      <c r="G118" s="664"/>
      <c r="H118" s="664"/>
      <c r="I118" s="664"/>
      <c r="J118" s="664"/>
      <c r="K118" s="664"/>
      <c r="L118" s="664"/>
      <c r="M118" s="664"/>
      <c r="N118" s="664"/>
      <c r="O118" s="664"/>
      <c r="P118" s="664"/>
      <c r="Q118" s="664"/>
      <c r="R118" s="664"/>
      <c r="S118" s="664"/>
      <c r="T118" s="664"/>
      <c r="U118" s="664"/>
      <c r="V118" s="664"/>
      <c r="W118" s="664"/>
      <c r="X118" s="664"/>
      <c r="Y118" s="664"/>
      <c r="Z118" s="664"/>
      <c r="AA118" s="664"/>
      <c r="AB118" s="664"/>
      <c r="AC118" s="665"/>
      <c r="AD118" s="666"/>
      <c r="AG118" s="1908">
        <f t="shared" si="14"/>
        <v>0</v>
      </c>
    </row>
    <row r="119" spans="2:48" s="2" customFormat="1" ht="30.6" customHeight="1" x14ac:dyDescent="0.45">
      <c r="B119" s="638" t="s">
        <v>1548</v>
      </c>
      <c r="C119" s="682" t="s">
        <v>955</v>
      </c>
      <c r="D119" s="700"/>
      <c r="E119" s="660">
        <f>+'Compte de résultat'!H37/10^6</f>
        <v>870.90729899999997</v>
      </c>
      <c r="F119" s="660"/>
      <c r="G119" s="660"/>
      <c r="H119" s="660"/>
      <c r="I119" s="660"/>
      <c r="J119" s="660"/>
      <c r="K119" s="660"/>
      <c r="L119" s="660"/>
      <c r="M119" s="660"/>
      <c r="N119" s="660"/>
      <c r="O119" s="660"/>
      <c r="P119" s="660"/>
      <c r="Q119" s="660"/>
      <c r="R119" s="660"/>
      <c r="S119" s="660"/>
      <c r="T119" s="660"/>
      <c r="U119" s="660">
        <f>-E119</f>
        <v>-870.90729899999997</v>
      </c>
      <c r="V119" s="660"/>
      <c r="W119" s="660"/>
      <c r="X119" s="660"/>
      <c r="Y119" s="660"/>
      <c r="Z119" s="660"/>
      <c r="AA119" s="660"/>
      <c r="AB119" s="660"/>
      <c r="AC119" s="701"/>
      <c r="AD119" s="662">
        <f>+SUM(E119:AB119)</f>
        <v>0</v>
      </c>
      <c r="AE119" s="1563"/>
      <c r="AF119" s="1756">
        <v>0</v>
      </c>
      <c r="AG119" s="1908">
        <f t="shared" si="14"/>
        <v>0</v>
      </c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</row>
    <row r="120" spans="2:48" s="2" customFormat="1" x14ac:dyDescent="0.45">
      <c r="B120" s="638" t="s">
        <v>1548</v>
      </c>
      <c r="C120" s="682" t="s">
        <v>957</v>
      </c>
      <c r="D120" s="700"/>
      <c r="E120" s="660">
        <f>+'Compte de résultat'!H38/10^6</f>
        <v>0</v>
      </c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>
        <f>-E120</f>
        <v>0</v>
      </c>
      <c r="V120" s="660"/>
      <c r="W120" s="660"/>
      <c r="X120" s="660"/>
      <c r="Y120" s="660"/>
      <c r="Z120" s="660"/>
      <c r="AA120" s="660"/>
      <c r="AB120" s="660"/>
      <c r="AC120" s="701"/>
      <c r="AD120" s="662">
        <f>+SUM(E120:AB120)</f>
        <v>0</v>
      </c>
      <c r="AE120" s="1563"/>
      <c r="AF120" s="1756">
        <v>0</v>
      </c>
      <c r="AG120" s="1908">
        <f t="shared" si="14"/>
        <v>0</v>
      </c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</row>
    <row r="121" spans="2:48" s="2" customFormat="1" x14ac:dyDescent="0.45">
      <c r="B121" s="638" t="s">
        <v>1548</v>
      </c>
      <c r="C121" s="682" t="s">
        <v>920</v>
      </c>
      <c r="D121" s="700"/>
      <c r="E121" s="660">
        <f>+'Compte de résultat'!H39/10^6</f>
        <v>0</v>
      </c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>
        <f>-E121</f>
        <v>0</v>
      </c>
      <c r="V121" s="660"/>
      <c r="W121" s="660"/>
      <c r="X121" s="660"/>
      <c r="Y121" s="660"/>
      <c r="Z121" s="660"/>
      <c r="AA121" s="660"/>
      <c r="AB121" s="660"/>
      <c r="AC121" s="701"/>
      <c r="AD121" s="662">
        <f>+SUM(E121:AB121)</f>
        <v>0</v>
      </c>
      <c r="AE121" s="1563"/>
      <c r="AF121" s="1756">
        <v>0</v>
      </c>
      <c r="AG121" s="1908">
        <f t="shared" si="14"/>
        <v>0</v>
      </c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</row>
    <row r="122" spans="2:48" s="2" customFormat="1" x14ac:dyDescent="0.45">
      <c r="B122" s="638" t="s">
        <v>1548</v>
      </c>
      <c r="C122" s="682" t="s">
        <v>922</v>
      </c>
      <c r="D122" s="700"/>
      <c r="E122" s="660">
        <f>+'Compte de résultat'!H40/10^6</f>
        <v>0</v>
      </c>
      <c r="F122" s="660"/>
      <c r="G122" s="660"/>
      <c r="H122" s="660"/>
      <c r="I122" s="660"/>
      <c r="J122" s="660"/>
      <c r="K122" s="660"/>
      <c r="L122" s="660"/>
      <c r="M122" s="660"/>
      <c r="N122" s="660"/>
      <c r="O122" s="660"/>
      <c r="P122" s="660"/>
      <c r="Q122" s="660"/>
      <c r="R122" s="660"/>
      <c r="S122" s="660"/>
      <c r="T122" s="660"/>
      <c r="U122" s="660">
        <f>-E122</f>
        <v>0</v>
      </c>
      <c r="V122" s="660"/>
      <c r="W122" s="660"/>
      <c r="X122" s="660"/>
      <c r="Y122" s="660"/>
      <c r="Z122" s="660"/>
      <c r="AA122" s="660"/>
      <c r="AB122" s="660"/>
      <c r="AC122" s="701"/>
      <c r="AD122" s="662">
        <f>+SUM(E122:AB122)</f>
        <v>0</v>
      </c>
      <c r="AE122" s="1563"/>
      <c r="AF122" s="1756">
        <v>0</v>
      </c>
      <c r="AG122" s="1908">
        <f t="shared" si="14"/>
        <v>0</v>
      </c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2:48" s="2" customFormat="1" ht="9.9" customHeight="1" x14ac:dyDescent="0.45">
      <c r="B123" s="638" t="s">
        <v>1548</v>
      </c>
      <c r="C123" s="639"/>
      <c r="D123" s="659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63"/>
      <c r="AB123" s="663"/>
      <c r="AC123" s="661"/>
      <c r="AD123" s="666"/>
      <c r="AE123" s="1563"/>
      <c r="AF123" s="1756"/>
      <c r="AG123" s="1908">
        <f t="shared" si="14"/>
        <v>0</v>
      </c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2:48" s="2" customFormat="1" ht="28.5" customHeight="1" x14ac:dyDescent="0.45">
      <c r="B124" s="638" t="s">
        <v>1548</v>
      </c>
      <c r="C124" s="682" t="s">
        <v>963</v>
      </c>
      <c r="D124" s="659"/>
      <c r="E124" s="660">
        <f>-'Compte de résultat'!H43/10^6</f>
        <v>-4155.0564789999999</v>
      </c>
      <c r="F124" s="660"/>
      <c r="G124" s="660"/>
      <c r="H124" s="660"/>
      <c r="I124" s="660"/>
      <c r="J124" s="660"/>
      <c r="K124" s="660"/>
      <c r="L124" s="660"/>
      <c r="M124" s="660"/>
      <c r="N124" s="660"/>
      <c r="O124" s="660"/>
      <c r="P124" s="660"/>
      <c r="Q124" s="660"/>
      <c r="R124" s="660"/>
      <c r="S124" s="660"/>
      <c r="T124" s="660"/>
      <c r="U124" s="660">
        <f>-E124</f>
        <v>4155.0564789999999</v>
      </c>
      <c r="V124" s="660"/>
      <c r="W124" s="660"/>
      <c r="X124" s="660"/>
      <c r="Y124" s="660"/>
      <c r="Z124" s="660"/>
      <c r="AA124" s="660"/>
      <c r="AB124" s="660"/>
      <c r="AC124" s="661"/>
      <c r="AD124" s="662">
        <f>+SUM(E124:AB124)</f>
        <v>0</v>
      </c>
      <c r="AE124" s="1563"/>
      <c r="AF124" s="1756">
        <v>0</v>
      </c>
      <c r="AG124" s="1908">
        <f t="shared" si="14"/>
        <v>0</v>
      </c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2:48" s="2" customFormat="1" ht="32.25" customHeight="1" x14ac:dyDescent="0.45">
      <c r="B125" s="638" t="s">
        <v>1548</v>
      </c>
      <c r="C125" s="682" t="s">
        <v>965</v>
      </c>
      <c r="D125" s="659"/>
      <c r="E125" s="660">
        <f>-'Compte de résultat'!H44/10^6</f>
        <v>0</v>
      </c>
      <c r="F125" s="660"/>
      <c r="G125" s="660"/>
      <c r="H125" s="660"/>
      <c r="I125" s="660"/>
      <c r="J125" s="660"/>
      <c r="K125" s="660"/>
      <c r="L125" s="660"/>
      <c r="M125" s="660"/>
      <c r="N125" s="660"/>
      <c r="O125" s="660"/>
      <c r="P125" s="660"/>
      <c r="Q125" s="660"/>
      <c r="R125" s="660"/>
      <c r="S125" s="660"/>
      <c r="T125" s="660"/>
      <c r="U125" s="660">
        <f>-E125</f>
        <v>0</v>
      </c>
      <c r="V125" s="660"/>
      <c r="W125" s="660"/>
      <c r="X125" s="660"/>
      <c r="Y125" s="660"/>
      <c r="Z125" s="660"/>
      <c r="AA125" s="660"/>
      <c r="AB125" s="660"/>
      <c r="AC125" s="661"/>
      <c r="AD125" s="662">
        <f>+SUM(E125:AB125)</f>
        <v>0</v>
      </c>
      <c r="AE125" s="1563"/>
      <c r="AF125" s="1756">
        <v>0</v>
      </c>
      <c r="AG125" s="1908">
        <f t="shared" si="14"/>
        <v>0</v>
      </c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2:48" s="2" customFormat="1" ht="18.75" customHeight="1" x14ac:dyDescent="0.45">
      <c r="B126" s="638" t="s">
        <v>1548</v>
      </c>
      <c r="C126" s="682" t="s">
        <v>967</v>
      </c>
      <c r="D126" s="659"/>
      <c r="E126" s="660">
        <f>-'Compte de résultat'!H45/10^6</f>
        <v>0</v>
      </c>
      <c r="F126" s="660"/>
      <c r="G126" s="660"/>
      <c r="H126" s="660"/>
      <c r="I126" s="660"/>
      <c r="J126" s="660"/>
      <c r="K126" s="660"/>
      <c r="L126" s="660"/>
      <c r="M126" s="660"/>
      <c r="N126" s="660"/>
      <c r="O126" s="660"/>
      <c r="P126" s="660"/>
      <c r="Q126" s="660"/>
      <c r="R126" s="660"/>
      <c r="S126" s="660"/>
      <c r="T126" s="660"/>
      <c r="U126" s="660">
        <f>-E126</f>
        <v>0</v>
      </c>
      <c r="V126" s="660"/>
      <c r="W126" s="660"/>
      <c r="X126" s="660"/>
      <c r="Y126" s="660"/>
      <c r="Z126" s="660"/>
      <c r="AA126" s="660"/>
      <c r="AB126" s="660"/>
      <c r="AC126" s="661"/>
      <c r="AD126" s="662">
        <f>+SUM(E126:AB126)</f>
        <v>0</v>
      </c>
      <c r="AE126" s="1563"/>
      <c r="AF126" s="1756">
        <v>0</v>
      </c>
      <c r="AG126" s="1908">
        <f t="shared" si="14"/>
        <v>0</v>
      </c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2:48" ht="9.9" customHeight="1" x14ac:dyDescent="0.45">
      <c r="B127" s="638" t="s">
        <v>1548</v>
      </c>
      <c r="C127" s="639"/>
      <c r="D127" s="640"/>
      <c r="E127" s="663"/>
      <c r="F127" s="664"/>
      <c r="G127" s="664"/>
      <c r="H127" s="664"/>
      <c r="I127" s="664"/>
      <c r="J127" s="664"/>
      <c r="K127" s="664"/>
      <c r="L127" s="664"/>
      <c r="M127" s="664"/>
      <c r="N127" s="664"/>
      <c r="O127" s="664"/>
      <c r="P127" s="664"/>
      <c r="Q127" s="664"/>
      <c r="R127" s="664"/>
      <c r="S127" s="664"/>
      <c r="T127" s="664"/>
      <c r="U127" s="664"/>
      <c r="V127" s="664"/>
      <c r="W127" s="664"/>
      <c r="X127" s="664"/>
      <c r="Y127" s="664"/>
      <c r="Z127" s="664"/>
      <c r="AA127" s="664"/>
      <c r="AB127" s="664"/>
      <c r="AC127" s="665"/>
      <c r="AD127" s="666"/>
      <c r="AG127" s="1908">
        <f t="shared" si="14"/>
        <v>0</v>
      </c>
    </row>
    <row r="128" spans="2:48" ht="35.1" customHeight="1" x14ac:dyDescent="0.45">
      <c r="B128" s="667" t="s">
        <v>2295</v>
      </c>
      <c r="C128" s="668" t="s">
        <v>1664</v>
      </c>
      <c r="D128" s="640"/>
      <c r="E128" s="669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>
        <f>-SUM('BG '!J584:J586)/1000000</f>
        <v>-4049.1278269999998</v>
      </c>
      <c r="V128" s="670"/>
      <c r="W128" s="670"/>
      <c r="X128" s="670"/>
      <c r="Y128" s="670"/>
      <c r="Z128" s="670"/>
      <c r="AA128" s="670"/>
      <c r="AB128" s="670"/>
      <c r="AC128" s="665"/>
      <c r="AD128" s="671">
        <f>+SUM(E128:AB128)</f>
        <v>-4049.1278269999998</v>
      </c>
      <c r="AF128" s="1756">
        <v>-4049.1278269999998</v>
      </c>
      <c r="AG128" s="1908">
        <f t="shared" si="14"/>
        <v>0</v>
      </c>
    </row>
    <row r="129" spans="2:48" ht="17.25" customHeight="1" x14ac:dyDescent="0.45">
      <c r="B129" s="667" t="s">
        <v>1665</v>
      </c>
      <c r="C129" s="668" t="s">
        <v>1666</v>
      </c>
      <c r="D129" s="640"/>
      <c r="E129" s="669"/>
      <c r="F129" s="670"/>
      <c r="G129" s="670"/>
      <c r="H129" s="670"/>
      <c r="I129" s="670"/>
      <c r="J129" s="670"/>
      <c r="K129" s="670"/>
      <c r="L129" s="670"/>
      <c r="M129" s="670"/>
      <c r="N129" s="670"/>
      <c r="O129" s="670"/>
      <c r="P129" s="670"/>
      <c r="Q129" s="670"/>
      <c r="R129" s="670"/>
      <c r="S129" s="670"/>
      <c r="T129" s="670"/>
      <c r="U129" s="670"/>
      <c r="V129" s="670"/>
      <c r="W129" s="670"/>
      <c r="X129" s="670"/>
      <c r="Y129" s="670"/>
      <c r="Z129" s="670"/>
      <c r="AA129" s="670"/>
      <c r="AB129" s="670"/>
      <c r="AC129" s="665"/>
      <c r="AD129" s="671">
        <f>+SUM(E129:AB129)</f>
        <v>0</v>
      </c>
      <c r="AF129" s="1756">
        <v>0</v>
      </c>
      <c r="AG129" s="1908">
        <f t="shared" si="14"/>
        <v>0</v>
      </c>
    </row>
    <row r="130" spans="2:48" s="2" customFormat="1" ht="29.25" customHeight="1" x14ac:dyDescent="0.45">
      <c r="B130" s="673" t="s">
        <v>1667</v>
      </c>
      <c r="C130" s="673" t="s">
        <v>1668</v>
      </c>
      <c r="D130" s="674"/>
      <c r="E130" s="675"/>
      <c r="F130" s="676">
        <f t="shared" ref="F130:AB130" si="24">+F128+F129</f>
        <v>0</v>
      </c>
      <c r="G130" s="676">
        <f t="shared" si="24"/>
        <v>0</v>
      </c>
      <c r="H130" s="676">
        <f t="shared" si="24"/>
        <v>0</v>
      </c>
      <c r="I130" s="676">
        <f t="shared" si="24"/>
        <v>0</v>
      </c>
      <c r="J130" s="676">
        <f t="shared" si="24"/>
        <v>0</v>
      </c>
      <c r="K130" s="676">
        <f t="shared" si="24"/>
        <v>0</v>
      </c>
      <c r="L130" s="676">
        <f t="shared" si="24"/>
        <v>0</v>
      </c>
      <c r="M130" s="676">
        <f t="shared" si="24"/>
        <v>0</v>
      </c>
      <c r="N130" s="676">
        <f t="shared" si="24"/>
        <v>0</v>
      </c>
      <c r="O130" s="676">
        <f t="shared" si="24"/>
        <v>0</v>
      </c>
      <c r="P130" s="676">
        <f t="shared" si="24"/>
        <v>0</v>
      </c>
      <c r="Q130" s="676">
        <f t="shared" si="24"/>
        <v>0</v>
      </c>
      <c r="R130" s="676">
        <f t="shared" si="24"/>
        <v>0</v>
      </c>
      <c r="S130" s="676">
        <f t="shared" si="24"/>
        <v>0</v>
      </c>
      <c r="T130" s="676">
        <f t="shared" si="24"/>
        <v>0</v>
      </c>
      <c r="U130" s="676">
        <f t="shared" si="24"/>
        <v>-4049.1278269999998</v>
      </c>
      <c r="V130" s="676">
        <f t="shared" si="24"/>
        <v>0</v>
      </c>
      <c r="W130" s="676">
        <f t="shared" si="24"/>
        <v>0</v>
      </c>
      <c r="X130" s="676">
        <f t="shared" si="24"/>
        <v>0</v>
      </c>
      <c r="Y130" s="676">
        <f t="shared" si="24"/>
        <v>0</v>
      </c>
      <c r="Z130" s="676">
        <f t="shared" si="24"/>
        <v>0</v>
      </c>
      <c r="AA130" s="676">
        <f t="shared" si="24"/>
        <v>0</v>
      </c>
      <c r="AB130" s="676">
        <f t="shared" si="24"/>
        <v>0</v>
      </c>
      <c r="AC130" s="661"/>
      <c r="AD130" s="679">
        <f>+AD128+AD129</f>
        <v>-4049.1278269999998</v>
      </c>
      <c r="AE130" s="1563"/>
      <c r="AF130" s="1756">
        <v>-4049.1278269999998</v>
      </c>
      <c r="AG130" s="1908">
        <f t="shared" si="14"/>
        <v>0</v>
      </c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</row>
    <row r="131" spans="2:48" ht="9.9" customHeight="1" x14ac:dyDescent="0.45">
      <c r="B131" s="638" t="s">
        <v>1548</v>
      </c>
      <c r="C131" s="639"/>
      <c r="D131" s="640"/>
      <c r="E131" s="663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4"/>
      <c r="AB131" s="664"/>
      <c r="AC131" s="665"/>
      <c r="AD131" s="666"/>
      <c r="AG131" s="1908">
        <f t="shared" si="14"/>
        <v>0</v>
      </c>
    </row>
    <row r="132" spans="2:48" x14ac:dyDescent="0.45">
      <c r="B132" s="667" t="s">
        <v>1669</v>
      </c>
      <c r="C132" s="668" t="s">
        <v>1670</v>
      </c>
      <c r="D132" s="640"/>
      <c r="E132" s="669"/>
      <c r="F132" s="670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0"/>
      <c r="S132" s="670"/>
      <c r="T132" s="670"/>
      <c r="U132" s="670"/>
      <c r="V132" s="670"/>
      <c r="W132" s="670"/>
      <c r="X132" s="670"/>
      <c r="Y132" s="670"/>
      <c r="Z132" s="670"/>
      <c r="AA132" s="670"/>
      <c r="AB132" s="670"/>
      <c r="AC132" s="665"/>
      <c r="AD132" s="671">
        <f t="shared" ref="AD132:AD144" si="25">+SUM(E132:AB132)</f>
        <v>0</v>
      </c>
      <c r="AF132" s="1756">
        <v>0</v>
      </c>
      <c r="AG132" s="1908">
        <f t="shared" si="14"/>
        <v>0</v>
      </c>
    </row>
    <row r="133" spans="2:48" x14ac:dyDescent="0.45">
      <c r="B133" s="667" t="s">
        <v>1671</v>
      </c>
      <c r="C133" s="668" t="s">
        <v>1672</v>
      </c>
      <c r="D133" s="640"/>
      <c r="E133" s="669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70"/>
      <c r="AB133" s="670"/>
      <c r="AC133" s="665"/>
      <c r="AD133" s="671">
        <f t="shared" si="25"/>
        <v>0</v>
      </c>
      <c r="AF133" s="1756">
        <v>0</v>
      </c>
      <c r="AG133" s="1908">
        <f t="shared" si="14"/>
        <v>0</v>
      </c>
    </row>
    <row r="134" spans="2:48" x14ac:dyDescent="0.45">
      <c r="B134" s="667" t="s">
        <v>1673</v>
      </c>
      <c r="C134" s="668" t="s">
        <v>1674</v>
      </c>
      <c r="D134" s="640"/>
      <c r="E134" s="669"/>
      <c r="F134" s="670"/>
      <c r="G134" s="670"/>
      <c r="H134" s="670"/>
      <c r="I134" s="670"/>
      <c r="J134" s="670"/>
      <c r="K134" s="670"/>
      <c r="L134" s="670"/>
      <c r="M134" s="670"/>
      <c r="N134" s="670"/>
      <c r="O134" s="670"/>
      <c r="P134" s="670"/>
      <c r="Q134" s="670"/>
      <c r="R134" s="670"/>
      <c r="S134" s="670"/>
      <c r="T134" s="670"/>
      <c r="U134" s="672">
        <f>-SUM('BG '!K676:K677)/10^6</f>
        <v>383.38175899999999</v>
      </c>
      <c r="V134" s="670"/>
      <c r="W134" s="670"/>
      <c r="X134" s="670"/>
      <c r="Y134" s="685">
        <f>[157]Feuil9!$G$225/1000000</f>
        <v>0.68834499999999998</v>
      </c>
      <c r="Z134" s="670"/>
      <c r="AA134" s="670"/>
      <c r="AB134" s="670"/>
      <c r="AC134" s="665"/>
      <c r="AD134" s="671">
        <f t="shared" si="25"/>
        <v>384.07010400000001</v>
      </c>
      <c r="AF134" s="1756">
        <v>383.88730400000003</v>
      </c>
      <c r="AG134" s="1908">
        <f t="shared" si="14"/>
        <v>0.18279999999998608</v>
      </c>
      <c r="AL134">
        <v>0.182799999999986</v>
      </c>
    </row>
    <row r="135" spans="2:48" x14ac:dyDescent="0.45">
      <c r="B135" s="667" t="s">
        <v>1675</v>
      </c>
      <c r="C135" s="668" t="s">
        <v>1676</v>
      </c>
      <c r="D135" s="640"/>
      <c r="E135" s="669"/>
      <c r="F135" s="670"/>
      <c r="G135" s="670"/>
      <c r="H135" s="670"/>
      <c r="I135" s="670"/>
      <c r="J135" s="670"/>
      <c r="K135" s="670"/>
      <c r="L135" s="670"/>
      <c r="M135" s="670"/>
      <c r="N135" s="670"/>
      <c r="O135" s="670"/>
      <c r="P135" s="670"/>
      <c r="Q135" s="670"/>
      <c r="R135" s="670"/>
      <c r="S135" s="670"/>
      <c r="T135" s="670"/>
      <c r="U135" s="670"/>
      <c r="V135" s="670"/>
      <c r="W135" s="670"/>
      <c r="X135" s="670"/>
      <c r="Y135" s="670"/>
      <c r="Z135" s="670"/>
      <c r="AA135" s="670"/>
      <c r="AB135" s="670"/>
      <c r="AC135" s="665"/>
      <c r="AD135" s="671">
        <f t="shared" si="25"/>
        <v>0</v>
      </c>
      <c r="AF135" s="1756">
        <v>0</v>
      </c>
      <c r="AG135" s="1908">
        <f t="shared" ref="AG135:AG192" si="26">+AD135-AF135</f>
        <v>0</v>
      </c>
    </row>
    <row r="136" spans="2:48" x14ac:dyDescent="0.45">
      <c r="B136" s="667" t="s">
        <v>1677</v>
      </c>
      <c r="C136" s="668" t="s">
        <v>1678</v>
      </c>
      <c r="D136" s="640"/>
      <c r="E136" s="669"/>
      <c r="F136" s="670"/>
      <c r="G136" s="670"/>
      <c r="H136" s="670"/>
      <c r="I136" s="670"/>
      <c r="J136" s="670"/>
      <c r="K136" s="670"/>
      <c r="L136" s="670"/>
      <c r="M136" s="670"/>
      <c r="N136" s="670"/>
      <c r="O136" s="670"/>
      <c r="P136" s="670"/>
      <c r="Q136" s="670"/>
      <c r="R136" s="670"/>
      <c r="S136" s="670"/>
      <c r="T136" s="670"/>
      <c r="U136" s="670"/>
      <c r="V136" s="670"/>
      <c r="W136" s="670"/>
      <c r="X136" s="670"/>
      <c r="Y136" s="670"/>
      <c r="Z136" s="670"/>
      <c r="AA136" s="670"/>
      <c r="AB136" s="670"/>
      <c r="AC136" s="665"/>
      <c r="AD136" s="671">
        <f t="shared" si="25"/>
        <v>0</v>
      </c>
      <c r="AF136" s="1756">
        <v>0</v>
      </c>
      <c r="AG136" s="1908">
        <f t="shared" si="26"/>
        <v>0</v>
      </c>
    </row>
    <row r="137" spans="2:48" x14ac:dyDescent="0.45">
      <c r="B137" s="667" t="s">
        <v>1679</v>
      </c>
      <c r="C137" s="668" t="s">
        <v>1680</v>
      </c>
      <c r="D137" s="640"/>
      <c r="E137" s="669"/>
      <c r="F137" s="670"/>
      <c r="G137" s="670"/>
      <c r="H137" s="670"/>
      <c r="I137" s="670"/>
      <c r="J137" s="670"/>
      <c r="K137" s="670"/>
      <c r="L137" s="670"/>
      <c r="M137" s="670"/>
      <c r="N137" s="670"/>
      <c r="O137" s="670"/>
      <c r="P137" s="670"/>
      <c r="Q137" s="670"/>
      <c r="R137" s="670"/>
      <c r="S137" s="670"/>
      <c r="T137" s="670"/>
      <c r="U137" s="670"/>
      <c r="V137" s="670"/>
      <c r="W137" s="670"/>
      <c r="X137" s="670"/>
      <c r="Y137" s="670"/>
      <c r="Z137" s="670"/>
      <c r="AA137" s="670"/>
      <c r="AB137" s="670"/>
      <c r="AC137" s="665"/>
      <c r="AD137" s="671">
        <f t="shared" si="25"/>
        <v>0</v>
      </c>
      <c r="AF137" s="1756">
        <v>0</v>
      </c>
      <c r="AG137" s="1908">
        <f t="shared" si="26"/>
        <v>0</v>
      </c>
    </row>
    <row r="138" spans="2:48" x14ac:dyDescent="0.45">
      <c r="B138" s="667" t="s">
        <v>1681</v>
      </c>
      <c r="C138" s="668" t="s">
        <v>1682</v>
      </c>
      <c r="D138" s="640"/>
      <c r="E138" s="669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70"/>
      <c r="AB138" s="670"/>
      <c r="AC138" s="665"/>
      <c r="AD138" s="671">
        <f t="shared" si="25"/>
        <v>0</v>
      </c>
      <c r="AF138" s="1756">
        <v>0</v>
      </c>
      <c r="AG138" s="1908">
        <f t="shared" si="26"/>
        <v>0</v>
      </c>
    </row>
    <row r="139" spans="2:48" x14ac:dyDescent="0.45">
      <c r="B139" s="667" t="s">
        <v>1683</v>
      </c>
      <c r="C139" s="668" t="s">
        <v>1684</v>
      </c>
      <c r="D139" s="640"/>
      <c r="E139" s="669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70"/>
      <c r="AB139" s="670"/>
      <c r="AC139" s="665"/>
      <c r="AD139" s="671">
        <f t="shared" si="25"/>
        <v>0</v>
      </c>
      <c r="AF139" s="1756">
        <v>0</v>
      </c>
      <c r="AG139" s="1908">
        <f t="shared" si="26"/>
        <v>0</v>
      </c>
    </row>
    <row r="140" spans="2:48" x14ac:dyDescent="0.45">
      <c r="B140" s="667" t="s">
        <v>1685</v>
      </c>
      <c r="C140" s="668" t="s">
        <v>1686</v>
      </c>
      <c r="D140" s="640"/>
      <c r="E140" s="669"/>
      <c r="F140" s="670"/>
      <c r="G140" s="670"/>
      <c r="H140" s="670"/>
      <c r="I140" s="670"/>
      <c r="J140" s="670"/>
      <c r="K140" s="670"/>
      <c r="L140" s="670"/>
      <c r="M140" s="670"/>
      <c r="N140" s="670"/>
      <c r="O140" s="670"/>
      <c r="P140" s="670"/>
      <c r="Q140" s="670"/>
      <c r="R140" s="670"/>
      <c r="S140" s="670"/>
      <c r="T140" s="670"/>
      <c r="U140" s="670"/>
      <c r="V140" s="670"/>
      <c r="W140" s="670"/>
      <c r="X140" s="670"/>
      <c r="Y140" s="670"/>
      <c r="Z140" s="670"/>
      <c r="AA140" s="670"/>
      <c r="AB140" s="670"/>
      <c r="AC140" s="665"/>
      <c r="AD140" s="671">
        <f t="shared" si="25"/>
        <v>0</v>
      </c>
      <c r="AF140" s="1756">
        <v>0</v>
      </c>
      <c r="AG140" s="1908">
        <f t="shared" si="26"/>
        <v>0</v>
      </c>
    </row>
    <row r="141" spans="2:48" x14ac:dyDescent="0.45">
      <c r="B141" s="667" t="s">
        <v>1687</v>
      </c>
      <c r="C141" s="668" t="s">
        <v>1688</v>
      </c>
      <c r="D141" s="640"/>
      <c r="E141" s="669"/>
      <c r="F141" s="670"/>
      <c r="G141" s="670"/>
      <c r="H141" s="670"/>
      <c r="I141" s="670"/>
      <c r="J141" s="670"/>
      <c r="K141" s="670"/>
      <c r="L141" s="670"/>
      <c r="M141" s="670"/>
      <c r="N141" s="670"/>
      <c r="O141" s="670"/>
      <c r="P141" s="670"/>
      <c r="Q141" s="670"/>
      <c r="R141" s="670"/>
      <c r="S141" s="670"/>
      <c r="T141" s="670"/>
      <c r="U141" s="670"/>
      <c r="V141" s="670"/>
      <c r="W141" s="670"/>
      <c r="X141" s="670"/>
      <c r="Y141" s="670"/>
      <c r="Z141" s="670"/>
      <c r="AA141" s="670"/>
      <c r="AB141" s="670"/>
      <c r="AC141" s="665"/>
      <c r="AD141" s="671">
        <f t="shared" si="25"/>
        <v>0</v>
      </c>
      <c r="AF141" s="1756">
        <v>0</v>
      </c>
      <c r="AG141" s="1908">
        <f t="shared" si="26"/>
        <v>0</v>
      </c>
    </row>
    <row r="142" spans="2:48" x14ac:dyDescent="0.45">
      <c r="B142" s="667" t="s">
        <v>1689</v>
      </c>
      <c r="C142" s="668" t="s">
        <v>1690</v>
      </c>
      <c r="D142" s="640"/>
      <c r="E142" s="669"/>
      <c r="F142" s="670"/>
      <c r="G142" s="670"/>
      <c r="H142" s="670"/>
      <c r="I142" s="670"/>
      <c r="J142" s="670"/>
      <c r="K142" s="670"/>
      <c r="L142" s="670"/>
      <c r="M142" s="670"/>
      <c r="N142" s="670"/>
      <c r="O142" s="670"/>
      <c r="P142" s="670"/>
      <c r="Q142" s="670"/>
      <c r="R142" s="670"/>
      <c r="S142" s="670"/>
      <c r="T142" s="670"/>
      <c r="U142" s="670"/>
      <c r="V142" s="670"/>
      <c r="W142" s="670"/>
      <c r="X142" s="670"/>
      <c r="Y142" s="670"/>
      <c r="Z142" s="670"/>
      <c r="AA142" s="670"/>
      <c r="AB142" s="670"/>
      <c r="AC142" s="665"/>
      <c r="AD142" s="671">
        <f t="shared" si="25"/>
        <v>0</v>
      </c>
      <c r="AF142" s="1756">
        <v>0</v>
      </c>
      <c r="AG142" s="1908">
        <f t="shared" si="26"/>
        <v>0</v>
      </c>
    </row>
    <row r="143" spans="2:48" x14ac:dyDescent="0.45">
      <c r="B143" s="667" t="s">
        <v>1691</v>
      </c>
      <c r="C143" s="668" t="s">
        <v>1692</v>
      </c>
      <c r="D143" s="640"/>
      <c r="E143" s="669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70"/>
      <c r="AB143" s="670"/>
      <c r="AC143" s="665"/>
      <c r="AD143" s="671">
        <f t="shared" si="25"/>
        <v>0</v>
      </c>
      <c r="AF143" s="1756">
        <v>0</v>
      </c>
      <c r="AG143" s="1908">
        <f t="shared" si="26"/>
        <v>0</v>
      </c>
    </row>
    <row r="144" spans="2:48" x14ac:dyDescent="0.45">
      <c r="B144" s="667" t="s">
        <v>1693</v>
      </c>
      <c r="C144" s="668" t="s">
        <v>1694</v>
      </c>
      <c r="D144" s="640"/>
      <c r="E144" s="669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>
        <f>-'BG '!K675/10^6-SUM('BG '!J587:K589)/10^6*0</f>
        <v>487.52553999999998</v>
      </c>
      <c r="V144" s="670"/>
      <c r="W144" s="670"/>
      <c r="X144" s="670"/>
      <c r="Y144" s="670"/>
      <c r="Z144" s="670"/>
      <c r="AA144" s="670"/>
      <c r="AB144" s="670"/>
      <c r="AC144" s="665"/>
      <c r="AD144" s="671">
        <f t="shared" si="25"/>
        <v>487.52553999999998</v>
      </c>
      <c r="AF144" s="1756">
        <v>487.52553999999998</v>
      </c>
      <c r="AG144" s="1908">
        <f t="shared" si="26"/>
        <v>0</v>
      </c>
    </row>
    <row r="145" spans="2:48" s="2" customFormat="1" ht="25.5" customHeight="1" x14ac:dyDescent="0.45">
      <c r="B145" s="673" t="s">
        <v>1695</v>
      </c>
      <c r="C145" s="673" t="s">
        <v>1696</v>
      </c>
      <c r="D145" s="674"/>
      <c r="E145" s="675"/>
      <c r="F145" s="676">
        <f>+SUM(F132:F144)</f>
        <v>0</v>
      </c>
      <c r="G145" s="676">
        <f>+SUM(G132:G144)</f>
        <v>0</v>
      </c>
      <c r="H145" s="676">
        <f t="shared" ref="H145:AB145" si="27">+SUM(H132:H144)</f>
        <v>0</v>
      </c>
      <c r="I145" s="676">
        <f t="shared" si="27"/>
        <v>0</v>
      </c>
      <c r="J145" s="676">
        <f t="shared" si="27"/>
        <v>0</v>
      </c>
      <c r="K145" s="676">
        <f t="shared" si="27"/>
        <v>0</v>
      </c>
      <c r="L145" s="676">
        <f t="shared" si="27"/>
        <v>0</v>
      </c>
      <c r="M145" s="676">
        <f t="shared" si="27"/>
        <v>0</v>
      </c>
      <c r="N145" s="676">
        <f t="shared" si="27"/>
        <v>0</v>
      </c>
      <c r="O145" s="676">
        <f t="shared" si="27"/>
        <v>0</v>
      </c>
      <c r="P145" s="676">
        <f t="shared" si="27"/>
        <v>0</v>
      </c>
      <c r="Q145" s="676">
        <f t="shared" si="27"/>
        <v>0</v>
      </c>
      <c r="R145" s="676">
        <f t="shared" si="27"/>
        <v>0</v>
      </c>
      <c r="S145" s="676">
        <f t="shared" si="27"/>
        <v>0</v>
      </c>
      <c r="T145" s="676">
        <f t="shared" si="27"/>
        <v>0</v>
      </c>
      <c r="U145" s="676">
        <f t="shared" si="27"/>
        <v>870.90729899999997</v>
      </c>
      <c r="V145" s="676">
        <f t="shared" si="27"/>
        <v>0</v>
      </c>
      <c r="W145" s="676">
        <f>+SUM(W132:W144)</f>
        <v>0</v>
      </c>
      <c r="X145" s="676">
        <f>+SUM(X132:X144)</f>
        <v>0</v>
      </c>
      <c r="Y145" s="676">
        <f>+SUM(Y132:Y144)</f>
        <v>0.68834499999999998</v>
      </c>
      <c r="Z145" s="676">
        <f t="shared" si="27"/>
        <v>0</v>
      </c>
      <c r="AA145" s="676">
        <f t="shared" si="27"/>
        <v>0</v>
      </c>
      <c r="AB145" s="676">
        <f t="shared" si="27"/>
        <v>0</v>
      </c>
      <c r="AC145" s="661"/>
      <c r="AD145" s="679">
        <f>+SUM(AD132:AD144)</f>
        <v>871.59564399999999</v>
      </c>
      <c r="AE145" s="1563"/>
      <c r="AF145" s="1756">
        <v>871.41284399999995</v>
      </c>
      <c r="AG145" s="1908">
        <f t="shared" si="26"/>
        <v>0.18280000000004293</v>
      </c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</row>
    <row r="146" spans="2:48" ht="9.9" customHeight="1" x14ac:dyDescent="0.45">
      <c r="B146" s="638" t="s">
        <v>1548</v>
      </c>
      <c r="C146" s="639"/>
      <c r="D146" s="640"/>
      <c r="E146" s="663"/>
      <c r="F146" s="664"/>
      <c r="G146" s="664"/>
      <c r="H146" s="664"/>
      <c r="I146" s="664"/>
      <c r="J146" s="664"/>
      <c r="K146" s="664"/>
      <c r="L146" s="664"/>
      <c r="M146" s="664"/>
      <c r="N146" s="664"/>
      <c r="O146" s="664"/>
      <c r="P146" s="664"/>
      <c r="Q146" s="664"/>
      <c r="R146" s="664"/>
      <c r="S146" s="664"/>
      <c r="T146" s="664"/>
      <c r="U146" s="664"/>
      <c r="V146" s="664"/>
      <c r="W146" s="664"/>
      <c r="X146" s="664"/>
      <c r="Y146" s="664"/>
      <c r="Z146" s="664"/>
      <c r="AA146" s="664"/>
      <c r="AB146" s="664"/>
      <c r="AC146" s="665"/>
      <c r="AD146" s="666"/>
      <c r="AG146" s="1908">
        <f t="shared" si="26"/>
        <v>0</v>
      </c>
    </row>
    <row r="147" spans="2:48" x14ac:dyDescent="0.45">
      <c r="B147" s="667" t="s">
        <v>1697</v>
      </c>
      <c r="C147" s="668" t="s">
        <v>1698</v>
      </c>
      <c r="D147" s="640"/>
      <c r="E147" s="669"/>
      <c r="F147" s="670"/>
      <c r="G147" s="670"/>
      <c r="H147" s="670"/>
      <c r="I147" s="670"/>
      <c r="J147" s="670"/>
      <c r="K147" s="670"/>
      <c r="L147" s="670"/>
      <c r="M147" s="670"/>
      <c r="N147" s="684">
        <f>-N150</f>
        <v>0</v>
      </c>
      <c r="O147" s="670"/>
      <c r="P147" s="670"/>
      <c r="Q147" s="670"/>
      <c r="R147" s="670"/>
      <c r="S147" s="670"/>
      <c r="T147" s="670"/>
      <c r="U147" s="670">
        <f>-SUM('BG '!J587:K589)/10^6</f>
        <v>-105.928652</v>
      </c>
      <c r="V147" s="670"/>
      <c r="W147" s="670"/>
      <c r="X147" s="670"/>
      <c r="Y147" s="670"/>
      <c r="Z147" s="670"/>
      <c r="AA147" s="670"/>
      <c r="AB147" s="670"/>
      <c r="AC147" s="665"/>
      <c r="AD147" s="671">
        <f t="shared" ref="AD147:AD156" si="28">+SUM(E147:AB147)</f>
        <v>-105.928652</v>
      </c>
      <c r="AF147" s="1756">
        <v>-105.928652</v>
      </c>
      <c r="AG147" s="1908">
        <f t="shared" si="26"/>
        <v>0</v>
      </c>
    </row>
    <row r="148" spans="2:48" x14ac:dyDescent="0.45">
      <c r="B148" s="690" t="s">
        <v>1699</v>
      </c>
      <c r="C148" s="691" t="s">
        <v>1700</v>
      </c>
      <c r="D148" s="640"/>
      <c r="E148" s="669"/>
      <c r="F148" s="670"/>
      <c r="G148" s="670"/>
      <c r="H148" s="670"/>
      <c r="I148" s="670"/>
      <c r="J148" s="670"/>
      <c r="K148" s="670"/>
      <c r="L148" s="670"/>
      <c r="M148" s="670"/>
      <c r="N148" s="684"/>
      <c r="O148" s="670"/>
      <c r="P148" s="670"/>
      <c r="Q148" s="670"/>
      <c r="R148" s="670"/>
      <c r="S148" s="670"/>
      <c r="T148" s="670"/>
      <c r="U148" s="670"/>
      <c r="V148" s="670"/>
      <c r="W148" s="670"/>
      <c r="X148" s="702">
        <f>'Impacts_IFRS.16-09'!L83</f>
        <v>-116.483874</v>
      </c>
      <c r="Y148" s="670"/>
      <c r="Z148" s="670"/>
      <c r="AA148" s="670"/>
      <c r="AB148" s="670"/>
      <c r="AC148" s="665"/>
      <c r="AD148" s="671">
        <f t="shared" si="28"/>
        <v>-116.483874</v>
      </c>
      <c r="AF148" s="1756">
        <v>-116.483874</v>
      </c>
      <c r="AG148" s="1908">
        <f t="shared" si="26"/>
        <v>0</v>
      </c>
    </row>
    <row r="149" spans="2:48" x14ac:dyDescent="0.45">
      <c r="B149" s="667" t="s">
        <v>1701</v>
      </c>
      <c r="C149" s="668" t="s">
        <v>1702</v>
      </c>
      <c r="D149" s="640"/>
      <c r="E149" s="669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>
        <f>-PIDR!D11</f>
        <v>-38.599999999999994</v>
      </c>
      <c r="T149" s="670"/>
      <c r="U149" s="670"/>
      <c r="V149" s="670"/>
      <c r="W149" s="670"/>
      <c r="X149" s="670"/>
      <c r="Y149" s="670"/>
      <c r="Z149" s="670"/>
      <c r="AA149" s="670"/>
      <c r="AB149" s="670"/>
      <c r="AC149" s="665"/>
      <c r="AD149" s="671">
        <f t="shared" si="28"/>
        <v>-38.599999999999994</v>
      </c>
      <c r="AF149" s="1756">
        <v>-38.599999999999994</v>
      </c>
      <c r="AG149" s="1908">
        <f t="shared" si="26"/>
        <v>0</v>
      </c>
    </row>
    <row r="150" spans="2:48" x14ac:dyDescent="0.45">
      <c r="B150" s="667" t="s">
        <v>1703</v>
      </c>
      <c r="C150" s="668" t="s">
        <v>1704</v>
      </c>
      <c r="D150" s="640"/>
      <c r="E150" s="669"/>
      <c r="F150" s="670"/>
      <c r="G150" s="670"/>
      <c r="H150" s="670"/>
      <c r="I150" s="670"/>
      <c r="J150" s="670"/>
      <c r="K150" s="670"/>
      <c r="L150" s="670"/>
      <c r="M150" s="670"/>
      <c r="N150" s="670"/>
      <c r="O150" s="670"/>
      <c r="P150" s="670"/>
      <c r="Q150" s="670"/>
      <c r="R150" s="670"/>
      <c r="S150" s="670"/>
      <c r="T150" s="670"/>
      <c r="U150" s="670"/>
      <c r="V150" s="670"/>
      <c r="W150" s="670"/>
      <c r="X150" s="670"/>
      <c r="Y150" s="670"/>
      <c r="Z150" s="670"/>
      <c r="AA150" s="670"/>
      <c r="AB150" s="670"/>
      <c r="AC150" s="665"/>
      <c r="AD150" s="671">
        <f t="shared" si="28"/>
        <v>0</v>
      </c>
      <c r="AF150" s="1756">
        <v>0</v>
      </c>
      <c r="AG150" s="1908">
        <f t="shared" si="26"/>
        <v>0</v>
      </c>
    </row>
    <row r="151" spans="2:48" x14ac:dyDescent="0.45">
      <c r="B151" s="667" t="s">
        <v>1705</v>
      </c>
      <c r="C151" s="668" t="s">
        <v>1706</v>
      </c>
      <c r="D151" s="640"/>
      <c r="E151" s="669"/>
      <c r="F151" s="670"/>
      <c r="G151" s="670"/>
      <c r="H151" s="670"/>
      <c r="I151" s="670"/>
      <c r="J151" s="670"/>
      <c r="K151" s="670"/>
      <c r="L151" s="670"/>
      <c r="M151" s="670"/>
      <c r="N151" s="670"/>
      <c r="O151" s="670"/>
      <c r="P151" s="670"/>
      <c r="Q151" s="670"/>
      <c r="R151" s="670"/>
      <c r="S151" s="670"/>
      <c r="T151" s="670"/>
      <c r="U151" s="670"/>
      <c r="V151" s="670"/>
      <c r="W151" s="670"/>
      <c r="X151" s="670"/>
      <c r="Y151" s="670"/>
      <c r="Z151" s="670"/>
      <c r="AA151" s="670"/>
      <c r="AB151" s="670"/>
      <c r="AC151" s="665"/>
      <c r="AD151" s="671">
        <f t="shared" si="28"/>
        <v>0</v>
      </c>
      <c r="AF151" s="1756">
        <v>0</v>
      </c>
      <c r="AG151" s="1908">
        <f t="shared" si="26"/>
        <v>0</v>
      </c>
    </row>
    <row r="152" spans="2:48" x14ac:dyDescent="0.45">
      <c r="B152" s="667" t="s">
        <v>1707</v>
      </c>
      <c r="C152" s="668" t="s">
        <v>1708</v>
      </c>
      <c r="D152" s="640"/>
      <c r="E152" s="669"/>
      <c r="F152" s="670"/>
      <c r="G152" s="670"/>
      <c r="H152" s="670"/>
      <c r="I152" s="670"/>
      <c r="J152" s="670"/>
      <c r="K152" s="670"/>
      <c r="L152" s="670"/>
      <c r="M152" s="670"/>
      <c r="N152" s="670"/>
      <c r="O152" s="670"/>
      <c r="P152" s="670"/>
      <c r="Q152" s="670"/>
      <c r="R152" s="670"/>
      <c r="S152" s="670"/>
      <c r="T152" s="670"/>
      <c r="U152" s="670"/>
      <c r="V152" s="670"/>
      <c r="W152" s="670"/>
      <c r="X152" s="670"/>
      <c r="Y152" s="670"/>
      <c r="Z152" s="670"/>
      <c r="AA152" s="670"/>
      <c r="AB152" s="670"/>
      <c r="AC152" s="665"/>
      <c r="AD152" s="671">
        <f t="shared" si="28"/>
        <v>0</v>
      </c>
      <c r="AF152" s="1756">
        <v>0</v>
      </c>
      <c r="AG152" s="1908">
        <f t="shared" si="26"/>
        <v>0</v>
      </c>
    </row>
    <row r="153" spans="2:48" x14ac:dyDescent="0.45">
      <c r="B153" s="667" t="s">
        <v>1709</v>
      </c>
      <c r="C153" s="668" t="s">
        <v>1710</v>
      </c>
      <c r="D153" s="640"/>
      <c r="E153" s="669"/>
      <c r="F153" s="670"/>
      <c r="G153" s="670"/>
      <c r="H153" s="670"/>
      <c r="I153" s="670"/>
      <c r="J153" s="670"/>
      <c r="K153" s="670"/>
      <c r="L153" s="670"/>
      <c r="M153" s="670"/>
      <c r="N153" s="670"/>
      <c r="O153" s="670"/>
      <c r="P153" s="670"/>
      <c r="Q153" s="670"/>
      <c r="R153" s="670"/>
      <c r="S153" s="670"/>
      <c r="T153" s="670"/>
      <c r="U153" s="670"/>
      <c r="V153" s="670"/>
      <c r="W153" s="670"/>
      <c r="X153" s="670"/>
      <c r="Y153" s="670"/>
      <c r="Z153" s="670"/>
      <c r="AA153" s="670"/>
      <c r="AB153" s="670"/>
      <c r="AC153" s="665"/>
      <c r="AD153" s="671">
        <f t="shared" si="28"/>
        <v>0</v>
      </c>
      <c r="AF153" s="1756">
        <v>0</v>
      </c>
      <c r="AG153" s="1908">
        <f t="shared" si="26"/>
        <v>0</v>
      </c>
    </row>
    <row r="154" spans="2:48" x14ac:dyDescent="0.45">
      <c r="B154" s="667" t="s">
        <v>1711</v>
      </c>
      <c r="C154" s="668" t="s">
        <v>1712</v>
      </c>
      <c r="D154" s="640"/>
      <c r="E154" s="669"/>
      <c r="F154" s="670"/>
      <c r="G154" s="670"/>
      <c r="H154" s="670"/>
      <c r="I154" s="670"/>
      <c r="J154" s="670"/>
      <c r="K154" s="670"/>
      <c r="L154" s="670"/>
      <c r="M154" s="670"/>
      <c r="N154" s="670"/>
      <c r="O154" s="670"/>
      <c r="P154" s="670"/>
      <c r="Q154" s="670"/>
      <c r="R154" s="670"/>
      <c r="S154" s="670"/>
      <c r="T154" s="670"/>
      <c r="U154" s="670"/>
      <c r="V154" s="670"/>
      <c r="W154" s="670"/>
      <c r="X154" s="670"/>
      <c r="Y154" s="670"/>
      <c r="Z154" s="670"/>
      <c r="AA154" s="670"/>
      <c r="AB154" s="670"/>
      <c r="AC154" s="665"/>
      <c r="AD154" s="671">
        <f t="shared" si="28"/>
        <v>0</v>
      </c>
      <c r="AF154" s="1756">
        <v>0</v>
      </c>
      <c r="AG154" s="1908">
        <f t="shared" si="26"/>
        <v>0</v>
      </c>
    </row>
    <row r="155" spans="2:48" x14ac:dyDescent="0.45">
      <c r="B155" s="667" t="s">
        <v>1713</v>
      </c>
      <c r="C155" s="668" t="s">
        <v>1714</v>
      </c>
      <c r="D155" s="640"/>
      <c r="E155" s="669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70"/>
      <c r="AB155" s="670"/>
      <c r="AC155" s="665"/>
      <c r="AD155" s="671">
        <f t="shared" si="28"/>
        <v>0</v>
      </c>
      <c r="AF155" s="1756">
        <v>0</v>
      </c>
      <c r="AG155" s="1908">
        <f t="shared" si="26"/>
        <v>0</v>
      </c>
    </row>
    <row r="156" spans="2:48" x14ac:dyDescent="0.45">
      <c r="B156" s="667" t="s">
        <v>1715</v>
      </c>
      <c r="C156" s="668" t="s">
        <v>1716</v>
      </c>
      <c r="D156" s="640"/>
      <c r="E156" s="669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70"/>
      <c r="AB156" s="670"/>
      <c r="AC156" s="665"/>
      <c r="AD156" s="671">
        <f t="shared" si="28"/>
        <v>0</v>
      </c>
      <c r="AF156" s="1756">
        <v>0</v>
      </c>
      <c r="AG156" s="1908">
        <f t="shared" si="26"/>
        <v>0</v>
      </c>
    </row>
    <row r="157" spans="2:48" s="2" customFormat="1" ht="24" customHeight="1" x14ac:dyDescent="0.45">
      <c r="B157" s="673" t="s">
        <v>1717</v>
      </c>
      <c r="C157" s="673" t="s">
        <v>1718</v>
      </c>
      <c r="D157" s="674"/>
      <c r="E157" s="675"/>
      <c r="F157" s="676">
        <f t="shared" ref="F157:AB157" si="29">SUM(F147:F156)</f>
        <v>0</v>
      </c>
      <c r="G157" s="676">
        <f t="shared" si="29"/>
        <v>0</v>
      </c>
      <c r="H157" s="676">
        <f t="shared" si="29"/>
        <v>0</v>
      </c>
      <c r="I157" s="676">
        <f t="shared" si="29"/>
        <v>0</v>
      </c>
      <c r="J157" s="676">
        <f t="shared" si="29"/>
        <v>0</v>
      </c>
      <c r="K157" s="676">
        <f t="shared" si="29"/>
        <v>0</v>
      </c>
      <c r="L157" s="676">
        <f t="shared" si="29"/>
        <v>0</v>
      </c>
      <c r="M157" s="676">
        <f t="shared" si="29"/>
        <v>0</v>
      </c>
      <c r="N157" s="676">
        <f t="shared" si="29"/>
        <v>0</v>
      </c>
      <c r="O157" s="676">
        <f>SUM(O147:O156)</f>
        <v>0</v>
      </c>
      <c r="P157" s="676">
        <f t="shared" si="29"/>
        <v>0</v>
      </c>
      <c r="Q157" s="676">
        <f t="shared" si="29"/>
        <v>0</v>
      </c>
      <c r="R157" s="676">
        <f t="shared" si="29"/>
        <v>0</v>
      </c>
      <c r="S157" s="676">
        <f t="shared" si="29"/>
        <v>-38.599999999999994</v>
      </c>
      <c r="T157" s="676">
        <f t="shared" si="29"/>
        <v>0</v>
      </c>
      <c r="U157" s="676">
        <f t="shared" si="29"/>
        <v>-105.928652</v>
      </c>
      <c r="V157" s="676">
        <f t="shared" si="29"/>
        <v>0</v>
      </c>
      <c r="W157" s="676">
        <f t="shared" si="29"/>
        <v>0</v>
      </c>
      <c r="X157" s="676">
        <f t="shared" si="29"/>
        <v>-116.483874</v>
      </c>
      <c r="Y157" s="676">
        <f t="shared" si="29"/>
        <v>0</v>
      </c>
      <c r="Z157" s="676">
        <f t="shared" si="29"/>
        <v>0</v>
      </c>
      <c r="AA157" s="676">
        <f t="shared" si="29"/>
        <v>0</v>
      </c>
      <c r="AB157" s="676">
        <f t="shared" si="29"/>
        <v>0</v>
      </c>
      <c r="AC157" s="661">
        <f>SUM(AC147:AC156)</f>
        <v>0</v>
      </c>
      <c r="AD157" s="679">
        <f>SUM(AD147:AD156)</f>
        <v>-261.01252599999998</v>
      </c>
      <c r="AE157" s="1563"/>
      <c r="AF157" s="1756">
        <v>-261.01252599999998</v>
      </c>
      <c r="AG157" s="1908">
        <f t="shared" si="26"/>
        <v>0</v>
      </c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</row>
    <row r="158" spans="2:48" ht="9.9" customHeight="1" x14ac:dyDescent="0.45">
      <c r="B158" s="638" t="s">
        <v>1548</v>
      </c>
      <c r="C158" s="639"/>
      <c r="D158" s="640"/>
      <c r="E158" s="663"/>
      <c r="F158" s="664"/>
      <c r="G158" s="664"/>
      <c r="H158" s="664"/>
      <c r="I158" s="664"/>
      <c r="J158" s="664"/>
      <c r="K158" s="664"/>
      <c r="L158" s="664"/>
      <c r="M158" s="664"/>
      <c r="N158" s="664"/>
      <c r="O158" s="664"/>
      <c r="P158" s="664"/>
      <c r="Q158" s="664"/>
      <c r="R158" s="664"/>
      <c r="S158" s="664"/>
      <c r="T158" s="664"/>
      <c r="U158" s="664"/>
      <c r="V158" s="664"/>
      <c r="W158" s="664"/>
      <c r="X158" s="664"/>
      <c r="Y158" s="664"/>
      <c r="Z158" s="664"/>
      <c r="AA158" s="664"/>
      <c r="AB158" s="664"/>
      <c r="AC158" s="665">
        <f>SUM(AC149:AC157)</f>
        <v>0</v>
      </c>
      <c r="AD158" s="666"/>
      <c r="AG158" s="1908">
        <f t="shared" si="26"/>
        <v>0</v>
      </c>
    </row>
    <row r="159" spans="2:48" s="6" customFormat="1" ht="23.1" customHeight="1" x14ac:dyDescent="0.45">
      <c r="B159" s="692" t="s">
        <v>1719</v>
      </c>
      <c r="C159" s="692" t="s">
        <v>1720</v>
      </c>
      <c r="D159" s="693"/>
      <c r="E159" s="694">
        <f>+SUM(E119:E122)+SUM(E124:E126)</f>
        <v>-3284.1491799999999</v>
      </c>
      <c r="F159" s="695">
        <f>+SUM(F119:F122)+SUM(F124:F126)+F130+F145+F157</f>
        <v>0</v>
      </c>
      <c r="G159" s="695">
        <f>+SUM(G119:G122)+SUM(G124:G126)+G130+G145+G157</f>
        <v>0</v>
      </c>
      <c r="H159" s="695">
        <f t="shared" ref="H159:AB159" si="30">+SUM(H119:H122)+SUM(H124:H126)+H130+H145+H157</f>
        <v>0</v>
      </c>
      <c r="I159" s="695">
        <f t="shared" si="30"/>
        <v>0</v>
      </c>
      <c r="J159" s="695">
        <f t="shared" si="30"/>
        <v>0</v>
      </c>
      <c r="K159" s="695">
        <f t="shared" si="30"/>
        <v>0</v>
      </c>
      <c r="L159" s="695">
        <f t="shared" si="30"/>
        <v>0</v>
      </c>
      <c r="M159" s="695">
        <f t="shared" si="30"/>
        <v>0</v>
      </c>
      <c r="N159" s="695">
        <f t="shared" si="30"/>
        <v>0</v>
      </c>
      <c r="O159" s="695">
        <f>+SUM(O119:O122)+SUM(O124:O126)+O130+O145+O157</f>
        <v>0</v>
      </c>
      <c r="P159" s="695">
        <f t="shared" si="30"/>
        <v>0</v>
      </c>
      <c r="Q159" s="695">
        <f t="shared" si="30"/>
        <v>0</v>
      </c>
      <c r="R159" s="695">
        <f t="shared" si="30"/>
        <v>0</v>
      </c>
      <c r="S159" s="695">
        <f t="shared" si="30"/>
        <v>-38.599999999999994</v>
      </c>
      <c r="T159" s="695">
        <f t="shared" si="30"/>
        <v>0</v>
      </c>
      <c r="U159" s="1486">
        <f>+SUM(U119:U122)+SUM(U124:U126)+U130+U145+U157</f>
        <v>0</v>
      </c>
      <c r="V159" s="695">
        <f t="shared" si="30"/>
        <v>0</v>
      </c>
      <c r="W159" s="695">
        <f t="shared" si="30"/>
        <v>0</v>
      </c>
      <c r="X159" s="695">
        <f t="shared" si="30"/>
        <v>-116.483874</v>
      </c>
      <c r="Y159" s="695">
        <f t="shared" si="30"/>
        <v>0.68834499999999998</v>
      </c>
      <c r="Z159" s="695">
        <f t="shared" si="30"/>
        <v>0</v>
      </c>
      <c r="AA159" s="695">
        <f t="shared" si="30"/>
        <v>0</v>
      </c>
      <c r="AB159" s="695">
        <f t="shared" si="30"/>
        <v>0</v>
      </c>
      <c r="AC159" s="697">
        <f>SUM(AC150:AC158)</f>
        <v>0</v>
      </c>
      <c r="AD159" s="696">
        <f>+SUM(AD119:AD122)+SUM(AD124:AD126)+AD130+AD145+AD157</f>
        <v>-3438.5447089999998</v>
      </c>
      <c r="AE159" s="1563"/>
      <c r="AF159" s="1756">
        <v>-3438.7275089999998</v>
      </c>
      <c r="AG159" s="1908">
        <f t="shared" si="26"/>
        <v>0.18280000000004293</v>
      </c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</row>
    <row r="160" spans="2:48" ht="9.9" customHeight="1" x14ac:dyDescent="0.45">
      <c r="B160" s="638" t="s">
        <v>1548</v>
      </c>
      <c r="C160" s="639"/>
      <c r="D160" s="640"/>
      <c r="E160" s="663"/>
      <c r="F160" s="664"/>
      <c r="G160" s="664"/>
      <c r="H160" s="664"/>
      <c r="I160" s="664"/>
      <c r="J160" s="664"/>
      <c r="K160" s="664"/>
      <c r="L160" s="664"/>
      <c r="M160" s="664"/>
      <c r="N160" s="664"/>
      <c r="O160" s="664"/>
      <c r="P160" s="664"/>
      <c r="Q160" s="664"/>
      <c r="R160" s="664"/>
      <c r="S160" s="664"/>
      <c r="T160" s="664"/>
      <c r="U160" s="664"/>
      <c r="V160" s="664"/>
      <c r="W160" s="664"/>
      <c r="X160" s="664"/>
      <c r="Y160" s="664"/>
      <c r="Z160" s="664"/>
      <c r="AA160" s="664"/>
      <c r="AB160" s="664"/>
      <c r="AC160" s="665"/>
      <c r="AD160" s="666"/>
      <c r="AG160" s="1908">
        <f t="shared" si="26"/>
        <v>0</v>
      </c>
    </row>
    <row r="161" spans="2:48" s="2" customFormat="1" x14ac:dyDescent="0.45">
      <c r="B161" s="638" t="s">
        <v>1548</v>
      </c>
      <c r="C161" s="682" t="s">
        <v>976</v>
      </c>
      <c r="D161" s="700"/>
      <c r="E161" s="704">
        <f>'Compte de résultat'!H51/10^6</f>
        <v>0</v>
      </c>
      <c r="F161" s="660"/>
      <c r="G161" s="660"/>
      <c r="H161" s="660"/>
      <c r="I161" s="660"/>
      <c r="J161" s="660"/>
      <c r="K161" s="660"/>
      <c r="L161" s="660"/>
      <c r="M161" s="660"/>
      <c r="N161" s="660"/>
      <c r="O161" s="660"/>
      <c r="P161" s="660"/>
      <c r="Q161" s="660"/>
      <c r="R161" s="660"/>
      <c r="S161" s="660"/>
      <c r="T161" s="660"/>
      <c r="U161" s="660">
        <f>-E161</f>
        <v>0</v>
      </c>
      <c r="V161" s="660"/>
      <c r="W161" s="660"/>
      <c r="X161" s="660"/>
      <c r="Y161" s="660"/>
      <c r="Z161" s="660"/>
      <c r="AA161" s="660"/>
      <c r="AB161" s="660"/>
      <c r="AC161" s="701"/>
      <c r="AD161" s="662">
        <f>+SUM(E161:AB161)</f>
        <v>0</v>
      </c>
      <c r="AE161" s="1563"/>
      <c r="AF161" s="1756">
        <v>0</v>
      </c>
      <c r="AG161" s="1908">
        <f t="shared" si="26"/>
        <v>0</v>
      </c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</row>
    <row r="162" spans="2:48" s="2" customFormat="1" x14ac:dyDescent="0.45">
      <c r="B162" s="638" t="s">
        <v>1548</v>
      </c>
      <c r="C162" s="682" t="s">
        <v>978</v>
      </c>
      <c r="D162" s="700"/>
      <c r="E162" s="704">
        <f>'Compte de résultat'!H52/10^6</f>
        <v>0</v>
      </c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60"/>
      <c r="AB162" s="660"/>
      <c r="AC162" s="701"/>
      <c r="AD162" s="662">
        <f>+SUM(E162:AB162)</f>
        <v>0</v>
      </c>
      <c r="AE162" s="1563"/>
      <c r="AF162" s="1756">
        <v>0</v>
      </c>
      <c r="AG162" s="1908">
        <f t="shared" si="26"/>
        <v>0</v>
      </c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</row>
    <row r="163" spans="2:48" s="2" customFormat="1" x14ac:dyDescent="0.45">
      <c r="B163" s="638" t="s">
        <v>1548</v>
      </c>
      <c r="C163" s="682" t="s">
        <v>980</v>
      </c>
      <c r="D163" s="700"/>
      <c r="E163" s="704">
        <f>'Compte de résultat'!H53/10^6</f>
        <v>0</v>
      </c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0"/>
      <c r="AB163" s="660"/>
      <c r="AC163" s="701"/>
      <c r="AD163" s="662">
        <f>+SUM(E163:AB163)</f>
        <v>0</v>
      </c>
      <c r="AE163" s="1563"/>
      <c r="AF163" s="1756">
        <v>0</v>
      </c>
      <c r="AG163" s="1908">
        <f t="shared" si="26"/>
        <v>0</v>
      </c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</row>
    <row r="164" spans="2:48" s="2" customFormat="1" x14ac:dyDescent="0.45">
      <c r="B164" s="638" t="s">
        <v>1548</v>
      </c>
      <c r="C164" s="682" t="s">
        <v>922</v>
      </c>
      <c r="D164" s="700"/>
      <c r="E164" s="704">
        <f>'Compte de résultat'!H54/10^6</f>
        <v>0</v>
      </c>
      <c r="F164" s="660"/>
      <c r="G164" s="660"/>
      <c r="H164" s="660"/>
      <c r="I164" s="660"/>
      <c r="J164" s="660"/>
      <c r="K164" s="660"/>
      <c r="L164" s="660"/>
      <c r="M164" s="660"/>
      <c r="N164" s="660"/>
      <c r="O164" s="660"/>
      <c r="P164" s="660"/>
      <c r="Q164" s="660"/>
      <c r="R164" s="660"/>
      <c r="S164" s="660"/>
      <c r="T164" s="660"/>
      <c r="U164" s="660"/>
      <c r="V164" s="660"/>
      <c r="W164" s="660"/>
      <c r="X164" s="660"/>
      <c r="Y164" s="660"/>
      <c r="Z164" s="660"/>
      <c r="AA164" s="660"/>
      <c r="AB164" s="660"/>
      <c r="AC164" s="701"/>
      <c r="AD164" s="662">
        <f>+SUM(E164:AB164)</f>
        <v>0</v>
      </c>
      <c r="AE164" s="1563"/>
      <c r="AF164" s="1756">
        <v>0</v>
      </c>
      <c r="AG164" s="1908">
        <f t="shared" si="26"/>
        <v>0</v>
      </c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</row>
    <row r="165" spans="2:48" s="2" customFormat="1" ht="9.9" customHeight="1" x14ac:dyDescent="0.45">
      <c r="B165" s="638" t="s">
        <v>1548</v>
      </c>
      <c r="C165" s="639"/>
      <c r="D165" s="659"/>
      <c r="E165" s="663"/>
      <c r="F165" s="663"/>
      <c r="G165" s="663"/>
      <c r="H165" s="663"/>
      <c r="I165" s="663"/>
      <c r="J165" s="663"/>
      <c r="K165" s="663"/>
      <c r="L165" s="663"/>
      <c r="M165" s="663"/>
      <c r="N165" s="663"/>
      <c r="O165" s="663"/>
      <c r="P165" s="663"/>
      <c r="Q165" s="663"/>
      <c r="R165" s="663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1"/>
      <c r="AD165" s="666"/>
      <c r="AE165" s="1563"/>
      <c r="AF165" s="1756"/>
      <c r="AG165" s="1908">
        <f t="shared" si="26"/>
        <v>0</v>
      </c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</row>
    <row r="166" spans="2:48" s="2" customFormat="1" x14ac:dyDescent="0.45">
      <c r="B166" s="638" t="s">
        <v>1548</v>
      </c>
      <c r="C166" s="682" t="s">
        <v>985</v>
      </c>
      <c r="D166" s="659"/>
      <c r="E166" s="660">
        <f>-'Compte de résultat'!H56/10^6</f>
        <v>0</v>
      </c>
      <c r="F166" s="660"/>
      <c r="G166" s="660"/>
      <c r="H166" s="660"/>
      <c r="I166" s="660"/>
      <c r="J166" s="660"/>
      <c r="K166" s="660"/>
      <c r="L166" s="660"/>
      <c r="M166" s="660"/>
      <c r="N166" s="660"/>
      <c r="O166" s="660"/>
      <c r="P166" s="660"/>
      <c r="Q166" s="660"/>
      <c r="R166" s="660"/>
      <c r="S166" s="660"/>
      <c r="T166" s="660"/>
      <c r="U166" s="660">
        <f>-E166</f>
        <v>0</v>
      </c>
      <c r="V166" s="660"/>
      <c r="W166" s="660"/>
      <c r="X166" s="660"/>
      <c r="Y166" s="660"/>
      <c r="Z166" s="660"/>
      <c r="AA166" s="660"/>
      <c r="AB166" s="660"/>
      <c r="AC166" s="661"/>
      <c r="AD166" s="662">
        <f>+SUM(E166:AB166)</f>
        <v>0</v>
      </c>
      <c r="AE166" s="1563"/>
      <c r="AF166" s="1756">
        <v>0</v>
      </c>
      <c r="AG166" s="1908">
        <f t="shared" si="26"/>
        <v>0</v>
      </c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</row>
    <row r="167" spans="2:48" s="2" customFormat="1" x14ac:dyDescent="0.45">
      <c r="B167" s="638" t="s">
        <v>1548</v>
      </c>
      <c r="C167" s="682" t="s">
        <v>987</v>
      </c>
      <c r="D167" s="659"/>
      <c r="E167" s="660">
        <f>-'Compte de résultat'!H65/10^6</f>
        <v>0</v>
      </c>
      <c r="F167" s="660"/>
      <c r="G167" s="660"/>
      <c r="H167" s="660"/>
      <c r="I167" s="660"/>
      <c r="J167" s="660"/>
      <c r="K167" s="660"/>
      <c r="L167" s="660"/>
      <c r="M167" s="660"/>
      <c r="N167" s="660"/>
      <c r="O167" s="660"/>
      <c r="P167" s="660"/>
      <c r="Q167" s="660"/>
      <c r="R167" s="660"/>
      <c r="S167" s="660"/>
      <c r="T167" s="660"/>
      <c r="U167" s="660"/>
      <c r="V167" s="660"/>
      <c r="W167" s="660"/>
      <c r="X167" s="660"/>
      <c r="Y167" s="660"/>
      <c r="Z167" s="660"/>
      <c r="AA167" s="660"/>
      <c r="AB167" s="660"/>
      <c r="AC167" s="661"/>
      <c r="AD167" s="662">
        <f>+SUM(E167:AB167)</f>
        <v>0</v>
      </c>
      <c r="AE167" s="1563"/>
      <c r="AF167" s="1756">
        <v>0</v>
      </c>
      <c r="AG167" s="1908">
        <f t="shared" si="26"/>
        <v>0</v>
      </c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</row>
    <row r="168" spans="2:48" s="2" customFormat="1" x14ac:dyDescent="0.45">
      <c r="B168" s="638" t="s">
        <v>1548</v>
      </c>
      <c r="C168" s="682" t="s">
        <v>989</v>
      </c>
      <c r="D168" s="659"/>
      <c r="E168" s="660">
        <f>-'Compte de résultat'!H66/10^6</f>
        <v>0</v>
      </c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60"/>
      <c r="AB168" s="660"/>
      <c r="AC168" s="661"/>
      <c r="AD168" s="662">
        <f>+SUM(E168:AB168)</f>
        <v>0</v>
      </c>
      <c r="AE168" s="1563"/>
      <c r="AF168" s="1756">
        <v>0</v>
      </c>
      <c r="AG168" s="1908">
        <f t="shared" si="26"/>
        <v>0</v>
      </c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</row>
    <row r="169" spans="2:48" ht="9.9" customHeight="1" x14ac:dyDescent="0.45">
      <c r="B169" s="638" t="s">
        <v>1548</v>
      </c>
      <c r="C169" s="639"/>
      <c r="D169" s="640"/>
      <c r="E169" s="663"/>
      <c r="F169" s="664"/>
      <c r="G169" s="664"/>
      <c r="H169" s="664"/>
      <c r="I169" s="664"/>
      <c r="J169" s="664"/>
      <c r="K169" s="664"/>
      <c r="L169" s="664"/>
      <c r="M169" s="664"/>
      <c r="N169" s="664"/>
      <c r="O169" s="664"/>
      <c r="P169" s="664"/>
      <c r="Q169" s="664"/>
      <c r="R169" s="664"/>
      <c r="S169" s="664"/>
      <c r="T169" s="664"/>
      <c r="U169" s="664"/>
      <c r="V169" s="664"/>
      <c r="W169" s="664"/>
      <c r="X169" s="664"/>
      <c r="Y169" s="664"/>
      <c r="Z169" s="664"/>
      <c r="AA169" s="664"/>
      <c r="AB169" s="664"/>
      <c r="AC169" s="665"/>
      <c r="AD169" s="666"/>
      <c r="AG169" s="1908">
        <f t="shared" si="26"/>
        <v>0</v>
      </c>
    </row>
    <row r="170" spans="2:48" s="6" customFormat="1" ht="23.1" customHeight="1" x14ac:dyDescent="0.45">
      <c r="B170" s="692" t="s">
        <v>1721</v>
      </c>
      <c r="C170" s="692" t="s">
        <v>1722</v>
      </c>
      <c r="D170" s="693"/>
      <c r="E170" s="694">
        <f>+E117+E159+SUM(E161:E164)+SUM(E166:E168)</f>
        <v>5845.8320140000069</v>
      </c>
      <c r="F170" s="703">
        <f>+F117+F159+SUM(F161:F164)+SUM(F166:F168)</f>
        <v>-58.697775999993155</v>
      </c>
      <c r="G170" s="703">
        <f>+G117+G159+SUM(G161:G164)+SUM(G166:G168)</f>
        <v>58.69777599999361</v>
      </c>
      <c r="H170" s="695">
        <f t="shared" ref="H170:AB170" si="31">+H117+H159+SUM(H161:H164)+SUM(H166:H168)</f>
        <v>0</v>
      </c>
      <c r="I170" s="695">
        <f t="shared" si="31"/>
        <v>0</v>
      </c>
      <c r="J170" s="695">
        <f t="shared" si="31"/>
        <v>759.49458200000004</v>
      </c>
      <c r="K170" s="695">
        <f t="shared" si="31"/>
        <v>-233.65454600000001</v>
      </c>
      <c r="L170" s="695">
        <f t="shared" si="31"/>
        <v>-229.49405514291669</v>
      </c>
      <c r="M170" s="695">
        <f t="shared" si="31"/>
        <v>0</v>
      </c>
      <c r="N170" s="695">
        <f t="shared" si="31"/>
        <v>0</v>
      </c>
      <c r="O170" s="695">
        <f>+O117+O159+SUM(O161:O164)+SUM(O166:O168)</f>
        <v>0</v>
      </c>
      <c r="P170" s="695">
        <f t="shared" si="31"/>
        <v>0</v>
      </c>
      <c r="Q170" s="695">
        <f t="shared" si="31"/>
        <v>0.122644</v>
      </c>
      <c r="R170" s="695">
        <f t="shared" si="31"/>
        <v>0</v>
      </c>
      <c r="S170" s="695">
        <f t="shared" si="31"/>
        <v>0</v>
      </c>
      <c r="T170" s="695">
        <f t="shared" si="31"/>
        <v>0</v>
      </c>
      <c r="U170" s="695">
        <f>+U117+U159+SUM(U161:U164)+SUM(U166:U168)</f>
        <v>0</v>
      </c>
      <c r="V170" s="695">
        <f t="shared" si="31"/>
        <v>0</v>
      </c>
      <c r="W170" s="695">
        <f t="shared" si="31"/>
        <v>222.4515364386906</v>
      </c>
      <c r="X170" s="695">
        <f t="shared" si="31"/>
        <v>58.224255999999983</v>
      </c>
      <c r="Y170" s="695">
        <f t="shared" si="31"/>
        <v>-138.22136800000001</v>
      </c>
      <c r="Z170" s="695">
        <f t="shared" si="31"/>
        <v>0</v>
      </c>
      <c r="AA170" s="695">
        <f t="shared" si="31"/>
        <v>0</v>
      </c>
      <c r="AB170" s="695">
        <f t="shared" si="31"/>
        <v>0</v>
      </c>
      <c r="AC170" s="697"/>
      <c r="AD170" s="696">
        <f>+AD117+AD159+SUM(AD161:AD164)+SUM(AD166:AD168)</f>
        <v>6284.7550620793281</v>
      </c>
      <c r="AE170" s="1563"/>
      <c r="AF170" s="1756">
        <v>6076.4290541510672</v>
      </c>
      <c r="AG170" s="1908">
        <f t="shared" si="26"/>
        <v>208.32600792826088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</row>
    <row r="171" spans="2:48" ht="9.9" customHeight="1" x14ac:dyDescent="0.45">
      <c r="B171" s="638" t="s">
        <v>1548</v>
      </c>
      <c r="C171" s="639"/>
      <c r="D171" s="640"/>
      <c r="E171" s="663"/>
      <c r="F171" s="664"/>
      <c r="G171" s="664"/>
      <c r="H171" s="664"/>
      <c r="I171" s="664"/>
      <c r="J171" s="664"/>
      <c r="K171" s="664"/>
      <c r="L171" s="664"/>
      <c r="M171" s="664"/>
      <c r="N171" s="664"/>
      <c r="O171" s="664"/>
      <c r="P171" s="664"/>
      <c r="Q171" s="664"/>
      <c r="R171" s="664"/>
      <c r="S171" s="664"/>
      <c r="T171" s="664"/>
      <c r="U171" s="664"/>
      <c r="V171" s="664"/>
      <c r="W171" s="664"/>
      <c r="X171" s="664"/>
      <c r="Y171" s="664"/>
      <c r="Z171" s="664"/>
      <c r="AA171" s="664"/>
      <c r="AB171" s="664"/>
      <c r="AC171" s="665"/>
      <c r="AD171" s="666"/>
      <c r="AG171" s="1908">
        <f t="shared" si="26"/>
        <v>0</v>
      </c>
    </row>
    <row r="172" spans="2:48" s="2" customFormat="1" x14ac:dyDescent="0.45">
      <c r="B172" s="638" t="s">
        <v>1548</v>
      </c>
      <c r="C172" s="682" t="s">
        <v>995</v>
      </c>
      <c r="D172" s="659"/>
      <c r="E172" s="660">
        <f>-'Compte de résultat'!H61/10^6</f>
        <v>-1067.4683299999999</v>
      </c>
      <c r="F172" s="660"/>
      <c r="G172" s="660"/>
      <c r="H172" s="660"/>
      <c r="I172" s="660"/>
      <c r="J172" s="660"/>
      <c r="K172" s="660"/>
      <c r="L172" s="660"/>
      <c r="M172" s="660"/>
      <c r="N172" s="660"/>
      <c r="O172" s="660"/>
      <c r="P172" s="660"/>
      <c r="Q172" s="660"/>
      <c r="R172" s="660"/>
      <c r="S172" s="660"/>
      <c r="T172" s="660"/>
      <c r="U172" s="660">
        <f>-+E172</f>
        <v>1067.4683299999999</v>
      </c>
      <c r="V172" s="660"/>
      <c r="W172" s="660"/>
      <c r="X172" s="660"/>
      <c r="Y172" s="660"/>
      <c r="Z172" s="660"/>
      <c r="AA172" s="660"/>
      <c r="AB172" s="660"/>
      <c r="AC172" s="661"/>
      <c r="AD172" s="662">
        <f>+SUM(D172:AB172)</f>
        <v>0</v>
      </c>
      <c r="AE172" s="1563"/>
      <c r="AF172" s="1756">
        <v>0</v>
      </c>
      <c r="AG172" s="1908">
        <f t="shared" si="26"/>
        <v>0</v>
      </c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</row>
    <row r="173" spans="2:48" ht="9.9" customHeight="1" x14ac:dyDescent="0.45">
      <c r="B173" s="638" t="s">
        <v>1548</v>
      </c>
      <c r="C173" s="639"/>
      <c r="D173" s="640"/>
      <c r="E173" s="663"/>
      <c r="F173" s="664"/>
      <c r="G173" s="664"/>
      <c r="H173" s="664"/>
      <c r="I173" s="664"/>
      <c r="J173" s="664"/>
      <c r="K173" s="664"/>
      <c r="L173" s="664"/>
      <c r="M173" s="664"/>
      <c r="N173" s="664"/>
      <c r="O173" s="664"/>
      <c r="P173" s="664"/>
      <c r="Q173" s="664"/>
      <c r="R173" s="664"/>
      <c r="S173" s="664"/>
      <c r="T173" s="664"/>
      <c r="U173" s="664"/>
      <c r="V173" s="664"/>
      <c r="W173" s="664"/>
      <c r="X173" s="664"/>
      <c r="Y173" s="664"/>
      <c r="Z173" s="664"/>
      <c r="AA173" s="664"/>
      <c r="AB173" s="664"/>
      <c r="AC173" s="665"/>
      <c r="AD173" s="666"/>
      <c r="AG173" s="1908">
        <f t="shared" si="26"/>
        <v>0</v>
      </c>
    </row>
    <row r="174" spans="2:48" x14ac:dyDescent="0.45">
      <c r="B174" s="667" t="s">
        <v>1723</v>
      </c>
      <c r="C174" s="668" t="s">
        <v>1724</v>
      </c>
      <c r="D174" s="640"/>
      <c r="E174" s="669"/>
      <c r="F174" s="670"/>
      <c r="G174" s="670"/>
      <c r="H174" s="670"/>
      <c r="I174" s="670"/>
      <c r="J174" s="670"/>
      <c r="K174" s="670"/>
      <c r="L174" s="670"/>
      <c r="M174" s="670"/>
      <c r="N174" s="670"/>
      <c r="O174" s="670"/>
      <c r="P174" s="670"/>
      <c r="Q174" s="670"/>
      <c r="R174" s="670"/>
      <c r="S174" s="670"/>
      <c r="T174" s="670"/>
      <c r="U174" s="670">
        <f>-U172</f>
        <v>-1067.4683299999999</v>
      </c>
      <c r="V174" s="670"/>
      <c r="W174" s="670"/>
      <c r="X174" s="670"/>
      <c r="Y174" s="685">
        <f>[157]Feuil9!$G$233/1000000</f>
        <v>-1.335772</v>
      </c>
      <c r="Z174" s="670"/>
      <c r="AA174" s="670"/>
      <c r="AB174" s="670"/>
      <c r="AC174" s="665"/>
      <c r="AD174" s="671">
        <f t="shared" ref="AD174:AD179" si="32">+SUM(E174:AB174)</f>
        <v>-1068.8041019999998</v>
      </c>
      <c r="AF174" s="1756">
        <v>-1068.8041019999998</v>
      </c>
      <c r="AG174" s="1908">
        <f t="shared" si="26"/>
        <v>0</v>
      </c>
    </row>
    <row r="175" spans="2:48" x14ac:dyDescent="0.45">
      <c r="B175" s="667" t="s">
        <v>1725</v>
      </c>
      <c r="C175" s="668" t="s">
        <v>1726</v>
      </c>
      <c r="D175" s="640"/>
      <c r="E175" s="669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70"/>
      <c r="AB175" s="670"/>
      <c r="AC175" s="665"/>
      <c r="AD175" s="671">
        <f>+SUM(E175:AB175)</f>
        <v>0</v>
      </c>
      <c r="AF175" s="1756">
        <v>0</v>
      </c>
      <c r="AG175" s="1908">
        <f t="shared" si="26"/>
        <v>0</v>
      </c>
    </row>
    <row r="176" spans="2:48" x14ac:dyDescent="0.45">
      <c r="B176" s="667" t="s">
        <v>1727</v>
      </c>
      <c r="C176" s="668" t="s">
        <v>1728</v>
      </c>
      <c r="D176" s="640"/>
      <c r="E176" s="669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70"/>
      <c r="AB176" s="670"/>
      <c r="AC176" s="665"/>
      <c r="AD176" s="671">
        <f t="shared" si="32"/>
        <v>0</v>
      </c>
      <c r="AF176" s="1756">
        <v>0</v>
      </c>
      <c r="AG176" s="1908">
        <f t="shared" si="26"/>
        <v>0</v>
      </c>
    </row>
    <row r="177" spans="2:48" x14ac:dyDescent="0.45">
      <c r="B177" s="667" t="s">
        <v>1729</v>
      </c>
      <c r="C177" s="668" t="s">
        <v>1730</v>
      </c>
      <c r="D177" s="640"/>
      <c r="E177" s="669"/>
      <c r="F177" s="670"/>
      <c r="G177" s="670"/>
      <c r="H177" s="670"/>
      <c r="I177" s="670"/>
      <c r="J177" s="670"/>
      <c r="K177" s="670"/>
      <c r="L177" s="670"/>
      <c r="M177" s="670"/>
      <c r="N177" s="670"/>
      <c r="O177" s="670"/>
      <c r="P177" s="670"/>
      <c r="Q177" s="670"/>
      <c r="R177" s="670"/>
      <c r="S177" s="670"/>
      <c r="T177" s="670"/>
      <c r="U177" s="670"/>
      <c r="V177" s="670"/>
      <c r="W177" s="670"/>
      <c r="X177" s="670"/>
      <c r="Y177" s="670"/>
      <c r="Z177" s="670"/>
      <c r="AA177" s="670"/>
      <c r="AB177" s="670"/>
      <c r="AC177" s="665"/>
      <c r="AD177" s="671">
        <f t="shared" si="32"/>
        <v>0</v>
      </c>
      <c r="AF177" s="1756">
        <v>0</v>
      </c>
      <c r="AG177" s="1908">
        <f t="shared" si="26"/>
        <v>0</v>
      </c>
    </row>
    <row r="178" spans="2:48" x14ac:dyDescent="0.45">
      <c r="B178" s="667" t="s">
        <v>1731</v>
      </c>
      <c r="C178" s="668" t="s">
        <v>1732</v>
      </c>
      <c r="D178" s="640"/>
      <c r="E178" s="669"/>
      <c r="F178" s="670"/>
      <c r="G178" s="670"/>
      <c r="H178" s="670"/>
      <c r="I178" s="670"/>
      <c r="J178" s="670"/>
      <c r="K178" s="670"/>
      <c r="L178" s="670"/>
      <c r="M178" s="670"/>
      <c r="N178" s="670"/>
      <c r="O178" s="670"/>
      <c r="P178" s="670"/>
      <c r="Q178" s="670"/>
      <c r="R178" s="670"/>
      <c r="S178" s="670"/>
      <c r="T178" s="670"/>
      <c r="U178" s="670"/>
      <c r="V178" s="670"/>
      <c r="W178" s="670"/>
      <c r="X178" s="670"/>
      <c r="Y178" s="670"/>
      <c r="Z178" s="670"/>
      <c r="AA178" s="670"/>
      <c r="AB178" s="670"/>
      <c r="AC178" s="665"/>
      <c r="AD178" s="671">
        <f t="shared" si="32"/>
        <v>0</v>
      </c>
      <c r="AF178" s="1756">
        <v>0</v>
      </c>
      <c r="AG178" s="1908">
        <f t="shared" si="26"/>
        <v>0</v>
      </c>
    </row>
    <row r="179" spans="2:48" x14ac:dyDescent="0.45">
      <c r="B179" s="667" t="s">
        <v>1733</v>
      </c>
      <c r="C179" s="668" t="s">
        <v>1734</v>
      </c>
      <c r="D179" s="640"/>
      <c r="E179" s="669"/>
      <c r="F179" s="670"/>
      <c r="G179" s="670"/>
      <c r="H179" s="670"/>
      <c r="I179" s="670"/>
      <c r="J179" s="670"/>
      <c r="K179" s="670"/>
      <c r="L179" s="670"/>
      <c r="M179" s="670"/>
      <c r="N179" s="670"/>
      <c r="O179" s="670"/>
      <c r="P179" s="670"/>
      <c r="Q179" s="670"/>
      <c r="R179" s="670"/>
      <c r="S179" s="670"/>
      <c r="T179" s="670"/>
      <c r="U179" s="670"/>
      <c r="V179" s="670"/>
      <c r="W179" s="670"/>
      <c r="X179" s="670"/>
      <c r="Y179" s="670"/>
      <c r="Z179" s="670"/>
      <c r="AA179" s="670"/>
      <c r="AB179" s="670"/>
      <c r="AC179" s="665"/>
      <c r="AD179" s="671">
        <f t="shared" si="32"/>
        <v>0</v>
      </c>
      <c r="AF179" s="1756">
        <v>0</v>
      </c>
      <c r="AG179" s="1908">
        <f t="shared" si="26"/>
        <v>0</v>
      </c>
    </row>
    <row r="180" spans="2:48" s="2" customFormat="1" ht="25.5" customHeight="1" x14ac:dyDescent="0.45">
      <c r="B180" s="673" t="s">
        <v>1735</v>
      </c>
      <c r="C180" s="673" t="s">
        <v>1736</v>
      </c>
      <c r="D180" s="674"/>
      <c r="E180" s="675"/>
      <c r="F180" s="676">
        <f t="shared" ref="F180:AB180" si="33">+SUM(F174:F179)</f>
        <v>0</v>
      </c>
      <c r="G180" s="676">
        <f t="shared" si="33"/>
        <v>0</v>
      </c>
      <c r="H180" s="676">
        <f t="shared" si="33"/>
        <v>0</v>
      </c>
      <c r="I180" s="676">
        <f t="shared" si="33"/>
        <v>0</v>
      </c>
      <c r="J180" s="676">
        <f t="shared" si="33"/>
        <v>0</v>
      </c>
      <c r="K180" s="676">
        <f t="shared" si="33"/>
        <v>0</v>
      </c>
      <c r="L180" s="676">
        <f t="shared" si="33"/>
        <v>0</v>
      </c>
      <c r="M180" s="676">
        <f t="shared" si="33"/>
        <v>0</v>
      </c>
      <c r="N180" s="676">
        <f t="shared" si="33"/>
        <v>0</v>
      </c>
      <c r="O180" s="676">
        <f t="shared" si="33"/>
        <v>0</v>
      </c>
      <c r="P180" s="676">
        <f t="shared" si="33"/>
        <v>0</v>
      </c>
      <c r="Q180" s="676">
        <f t="shared" si="33"/>
        <v>0</v>
      </c>
      <c r="R180" s="676">
        <f t="shared" si="33"/>
        <v>0</v>
      </c>
      <c r="S180" s="676">
        <f t="shared" si="33"/>
        <v>0</v>
      </c>
      <c r="T180" s="676">
        <f t="shared" si="33"/>
        <v>0</v>
      </c>
      <c r="U180" s="676">
        <f t="shared" si="33"/>
        <v>-1067.4683299999999</v>
      </c>
      <c r="V180" s="676">
        <f t="shared" si="33"/>
        <v>0</v>
      </c>
      <c r="W180" s="676">
        <f t="shared" si="33"/>
        <v>0</v>
      </c>
      <c r="X180" s="676">
        <f t="shared" si="33"/>
        <v>0</v>
      </c>
      <c r="Y180" s="676">
        <f t="shared" si="33"/>
        <v>-1.335772</v>
      </c>
      <c r="Z180" s="676">
        <f t="shared" si="33"/>
        <v>0</v>
      </c>
      <c r="AA180" s="676">
        <f t="shared" si="33"/>
        <v>0</v>
      </c>
      <c r="AB180" s="676">
        <f t="shared" si="33"/>
        <v>0</v>
      </c>
      <c r="AC180" s="661"/>
      <c r="AD180" s="679">
        <f>+SUM(AD174:AD179)</f>
        <v>-1068.8041019999998</v>
      </c>
      <c r="AE180" s="1563"/>
      <c r="AF180" s="1756">
        <v>-1068.8041019999998</v>
      </c>
      <c r="AG180" s="1908">
        <f t="shared" si="26"/>
        <v>0</v>
      </c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</row>
    <row r="181" spans="2:48" ht="18.600000000000001" customHeight="1" x14ac:dyDescent="0.45">
      <c r="B181" s="638" t="s">
        <v>1548</v>
      </c>
      <c r="C181" s="639"/>
      <c r="D181" s="640"/>
      <c r="E181" s="663"/>
      <c r="F181" s="664"/>
      <c r="G181" s="664"/>
      <c r="H181" s="664"/>
      <c r="I181" s="664"/>
      <c r="J181" s="664"/>
      <c r="K181" s="664"/>
      <c r="L181" s="664"/>
      <c r="M181" s="664"/>
      <c r="N181" s="664"/>
      <c r="O181" s="664"/>
      <c r="P181" s="664"/>
      <c r="Q181" s="664"/>
      <c r="R181" s="664"/>
      <c r="S181" s="664"/>
      <c r="T181" s="664"/>
      <c r="U181" s="664"/>
      <c r="V181" s="664"/>
      <c r="W181" s="664"/>
      <c r="X181" s="664"/>
      <c r="Y181" s="664"/>
      <c r="Z181" s="664"/>
      <c r="AA181" s="664"/>
      <c r="AB181" s="664"/>
      <c r="AC181" s="665"/>
      <c r="AD181" s="666"/>
      <c r="AG181" s="1908">
        <f t="shared" si="26"/>
        <v>0</v>
      </c>
    </row>
    <row r="182" spans="2:48" x14ac:dyDescent="0.45">
      <c r="B182" s="667" t="s">
        <v>1737</v>
      </c>
      <c r="C182" s="668" t="s">
        <v>1738</v>
      </c>
      <c r="D182" s="640"/>
      <c r="E182" s="669"/>
      <c r="F182" s="670"/>
      <c r="G182" s="670"/>
      <c r="H182" s="670"/>
      <c r="I182" s="670"/>
      <c r="J182" s="670"/>
      <c r="K182" s="670">
        <f>-K170*30%</f>
        <v>70.096363800000006</v>
      </c>
      <c r="L182" s="670"/>
      <c r="M182" s="670"/>
      <c r="N182" s="670">
        <f>-N170*30%</f>
        <v>0</v>
      </c>
      <c r="O182" s="670"/>
      <c r="P182" s="670"/>
      <c r="Q182" s="686">
        <f>-Q170*30%</f>
        <v>-3.6793199999999998E-2</v>
      </c>
      <c r="R182" s="670"/>
      <c r="S182" s="670"/>
      <c r="T182" s="670"/>
      <c r="U182" s="670"/>
      <c r="V182" s="670"/>
      <c r="W182" s="670">
        <f>-W170*30%</f>
        <v>-66.735460931607179</v>
      </c>
      <c r="X182" s="670"/>
      <c r="Y182" s="670"/>
      <c r="Z182" s="670"/>
      <c r="AA182" s="670"/>
      <c r="AB182" s="670"/>
      <c r="AC182" s="665"/>
      <c r="AD182" s="683">
        <f>+SUM(E182:AB182)</f>
        <v>3.324109668392822</v>
      </c>
      <c r="AF182" s="1756">
        <v>64.429927210892856</v>
      </c>
      <c r="AG182" s="1908">
        <f t="shared" si="26"/>
        <v>-61.105817542500034</v>
      </c>
    </row>
    <row r="183" spans="2:48" x14ac:dyDescent="0.45">
      <c r="B183" s="667" t="s">
        <v>1739</v>
      </c>
      <c r="C183" s="668" t="s">
        <v>1740</v>
      </c>
      <c r="D183" s="640"/>
      <c r="E183" s="669"/>
      <c r="F183" s="670"/>
      <c r="G183" s="670"/>
      <c r="H183" s="670"/>
      <c r="I183" s="670"/>
      <c r="J183" s="670">
        <f>-J170*30%</f>
        <v>-227.8483746</v>
      </c>
      <c r="K183" s="670"/>
      <c r="L183" s="670">
        <f>-L170*30%</f>
        <v>68.848216542875008</v>
      </c>
      <c r="M183" s="670"/>
      <c r="N183" s="670"/>
      <c r="O183" s="670"/>
      <c r="P183" s="670"/>
      <c r="Q183" s="670"/>
      <c r="R183" s="670"/>
      <c r="S183" s="670"/>
      <c r="T183" s="670"/>
      <c r="U183" s="670"/>
      <c r="V183" s="670"/>
      <c r="W183" s="670"/>
      <c r="X183" s="670">
        <f>-X170*30%</f>
        <v>-17.467276799999993</v>
      </c>
      <c r="Y183" s="670"/>
      <c r="Z183" s="670"/>
      <c r="AA183" s="670"/>
      <c r="AB183" s="670"/>
      <c r="AC183" s="665"/>
      <c r="AD183" s="671">
        <f>+SUM(E183:AB183)</f>
        <v>-176.467434857125</v>
      </c>
      <c r="AF183" s="1756">
        <v>-174.80577012114657</v>
      </c>
      <c r="AG183" s="1908">
        <f t="shared" si="26"/>
        <v>-1.6616647359784338</v>
      </c>
      <c r="AL183" s="1199"/>
    </row>
    <row r="184" spans="2:48" x14ac:dyDescent="0.45">
      <c r="B184" s="667" t="s">
        <v>1741</v>
      </c>
      <c r="C184" s="668" t="s">
        <v>1742</v>
      </c>
      <c r="D184" s="640"/>
      <c r="E184" s="669"/>
      <c r="F184" s="670"/>
      <c r="G184" s="670"/>
      <c r="H184" s="670"/>
      <c r="I184" s="670"/>
      <c r="J184" s="670"/>
      <c r="K184" s="670"/>
      <c r="L184" s="670"/>
      <c r="M184" s="670"/>
      <c r="N184" s="670"/>
      <c r="O184" s="670"/>
      <c r="P184" s="670"/>
      <c r="Q184" s="670"/>
      <c r="R184" s="670"/>
      <c r="S184" s="670"/>
      <c r="T184" s="670"/>
      <c r="U184" s="670"/>
      <c r="V184" s="670"/>
      <c r="W184" s="670"/>
      <c r="X184" s="670"/>
      <c r="Y184" s="670"/>
      <c r="Z184" s="670"/>
      <c r="AA184" s="670"/>
      <c r="AB184" s="670"/>
      <c r="AC184" s="665"/>
      <c r="AD184" s="671">
        <f>+SUM(E184:AB184)</f>
        <v>0</v>
      </c>
      <c r="AF184" s="1756">
        <v>0</v>
      </c>
      <c r="AG184" s="1908">
        <f t="shared" si="26"/>
        <v>0</v>
      </c>
    </row>
    <row r="185" spans="2:48" x14ac:dyDescent="0.45">
      <c r="B185" s="667" t="s">
        <v>1743</v>
      </c>
      <c r="C185" s="668" t="s">
        <v>1744</v>
      </c>
      <c r="D185" s="640"/>
      <c r="E185" s="669"/>
      <c r="F185" s="670"/>
      <c r="G185" s="670"/>
      <c r="H185" s="670"/>
      <c r="I185" s="670"/>
      <c r="J185" s="670"/>
      <c r="K185" s="670"/>
      <c r="L185" s="670"/>
      <c r="M185" s="670"/>
      <c r="N185" s="670"/>
      <c r="O185" s="670"/>
      <c r="P185" s="670"/>
      <c r="Q185" s="670"/>
      <c r="R185" s="670"/>
      <c r="S185" s="670"/>
      <c r="T185" s="670"/>
      <c r="U185" s="670"/>
      <c r="V185" s="670"/>
      <c r="W185" s="670"/>
      <c r="X185" s="670"/>
      <c r="Y185" s="670"/>
      <c r="Z185" s="670"/>
      <c r="AA185" s="670"/>
      <c r="AB185" s="670"/>
      <c r="AC185" s="665"/>
      <c r="AD185" s="671">
        <f>+SUM(E185:AB185)</f>
        <v>0</v>
      </c>
      <c r="AF185" s="1756">
        <v>0</v>
      </c>
      <c r="AG185" s="1908">
        <f t="shared" si="26"/>
        <v>0</v>
      </c>
    </row>
    <row r="186" spans="2:48" s="2" customFormat="1" ht="30.6" customHeight="1" x14ac:dyDescent="0.45">
      <c r="B186" s="673" t="s">
        <v>1745</v>
      </c>
      <c r="C186" s="673" t="s">
        <v>1746</v>
      </c>
      <c r="D186" s="674"/>
      <c r="E186" s="675"/>
      <c r="F186" s="676">
        <f t="shared" ref="F186:AB186" si="34">+SUM(F182:F185)</f>
        <v>0</v>
      </c>
      <c r="G186" s="676">
        <f t="shared" si="34"/>
        <v>0</v>
      </c>
      <c r="H186" s="676">
        <f t="shared" si="34"/>
        <v>0</v>
      </c>
      <c r="I186" s="676">
        <f t="shared" si="34"/>
        <v>0</v>
      </c>
      <c r="J186" s="676">
        <f t="shared" si="34"/>
        <v>-227.8483746</v>
      </c>
      <c r="K186" s="676">
        <f t="shared" si="34"/>
        <v>70.096363800000006</v>
      </c>
      <c r="L186" s="676">
        <f t="shared" si="34"/>
        <v>68.848216542875008</v>
      </c>
      <c r="M186" s="676">
        <f t="shared" si="34"/>
        <v>0</v>
      </c>
      <c r="N186" s="676">
        <f t="shared" si="34"/>
        <v>0</v>
      </c>
      <c r="O186" s="676">
        <f t="shared" si="34"/>
        <v>0</v>
      </c>
      <c r="P186" s="676">
        <f t="shared" si="34"/>
        <v>0</v>
      </c>
      <c r="Q186" s="676">
        <f t="shared" si="34"/>
        <v>-3.6793199999999998E-2</v>
      </c>
      <c r="R186" s="676">
        <f t="shared" si="34"/>
        <v>0</v>
      </c>
      <c r="S186" s="676">
        <f t="shared" si="34"/>
        <v>0</v>
      </c>
      <c r="T186" s="676">
        <f t="shared" si="34"/>
        <v>0</v>
      </c>
      <c r="U186" s="676">
        <f t="shared" si="34"/>
        <v>0</v>
      </c>
      <c r="V186" s="676">
        <f t="shared" si="34"/>
        <v>0</v>
      </c>
      <c r="W186" s="676">
        <f t="shared" si="34"/>
        <v>-66.735460931607179</v>
      </c>
      <c r="X186" s="676">
        <f t="shared" si="34"/>
        <v>-17.467276799999993</v>
      </c>
      <c r="Y186" s="676">
        <f t="shared" si="34"/>
        <v>0</v>
      </c>
      <c r="Z186" s="676">
        <f t="shared" si="34"/>
        <v>0</v>
      </c>
      <c r="AA186" s="676">
        <f t="shared" si="34"/>
        <v>0</v>
      </c>
      <c r="AB186" s="676">
        <f t="shared" si="34"/>
        <v>0</v>
      </c>
      <c r="AC186" s="661"/>
      <c r="AD186" s="679">
        <f>+SUM(AD182:AD185)</f>
        <v>-173.14332518873218</v>
      </c>
      <c r="AE186" s="1563"/>
      <c r="AF186" s="1756">
        <v>-110.37584291025371</v>
      </c>
      <c r="AG186" s="1908">
        <f t="shared" si="26"/>
        <v>-62.767482278478468</v>
      </c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</row>
    <row r="187" spans="2:48" ht="9.9" customHeight="1" x14ac:dyDescent="0.45">
      <c r="B187" s="638" t="s">
        <v>1548</v>
      </c>
      <c r="C187" s="639"/>
      <c r="D187" s="640"/>
      <c r="E187" s="663"/>
      <c r="F187" s="664"/>
      <c r="G187" s="664"/>
      <c r="H187" s="664"/>
      <c r="I187" s="664"/>
      <c r="J187" s="664"/>
      <c r="K187" s="664"/>
      <c r="L187" s="664"/>
      <c r="M187" s="664"/>
      <c r="N187" s="664"/>
      <c r="O187" s="664"/>
      <c r="P187" s="664"/>
      <c r="Q187" s="664"/>
      <c r="R187" s="664"/>
      <c r="S187" s="664"/>
      <c r="T187" s="664"/>
      <c r="U187" s="664"/>
      <c r="V187" s="664"/>
      <c r="W187" s="664"/>
      <c r="X187" s="664"/>
      <c r="Y187" s="664"/>
      <c r="Z187" s="664"/>
      <c r="AA187" s="664"/>
      <c r="AB187" s="664"/>
      <c r="AC187" s="665"/>
      <c r="AD187" s="666"/>
      <c r="AG187" s="1908">
        <f t="shared" si="26"/>
        <v>0</v>
      </c>
    </row>
    <row r="188" spans="2:48" x14ac:dyDescent="0.45">
      <c r="B188" s="705" t="s">
        <v>1747</v>
      </c>
      <c r="C188" s="705" t="s">
        <v>1748</v>
      </c>
      <c r="D188" s="640"/>
      <c r="E188" s="675">
        <f>+E172</f>
        <v>-1067.4683299999999</v>
      </c>
      <c r="F188" s="706">
        <f>+F172+F180+F186</f>
        <v>0</v>
      </c>
      <c r="G188" s="706">
        <f t="shared" ref="G188:AB188" si="35">+G172+G180+G186</f>
        <v>0</v>
      </c>
      <c r="H188" s="706">
        <f t="shared" si="35"/>
        <v>0</v>
      </c>
      <c r="I188" s="706">
        <f t="shared" si="35"/>
        <v>0</v>
      </c>
      <c r="J188" s="706">
        <f t="shared" si="35"/>
        <v>-227.8483746</v>
      </c>
      <c r="K188" s="706">
        <f t="shared" si="35"/>
        <v>70.096363800000006</v>
      </c>
      <c r="L188" s="706">
        <f t="shared" si="35"/>
        <v>68.848216542875008</v>
      </c>
      <c r="M188" s="706">
        <f t="shared" si="35"/>
        <v>0</v>
      </c>
      <c r="N188" s="706">
        <f t="shared" si="35"/>
        <v>0</v>
      </c>
      <c r="O188" s="706">
        <f t="shared" si="35"/>
        <v>0</v>
      </c>
      <c r="P188" s="706">
        <f t="shared" si="35"/>
        <v>0</v>
      </c>
      <c r="Q188" s="706">
        <f t="shared" si="35"/>
        <v>-3.6793199999999998E-2</v>
      </c>
      <c r="R188" s="706">
        <f t="shared" si="35"/>
        <v>0</v>
      </c>
      <c r="S188" s="706">
        <f t="shared" si="35"/>
        <v>0</v>
      </c>
      <c r="T188" s="706">
        <f t="shared" si="35"/>
        <v>0</v>
      </c>
      <c r="U188" s="706">
        <f t="shared" si="35"/>
        <v>0</v>
      </c>
      <c r="V188" s="706">
        <f t="shared" si="35"/>
        <v>0</v>
      </c>
      <c r="W188" s="706">
        <f t="shared" si="35"/>
        <v>-66.735460931607179</v>
      </c>
      <c r="X188" s="706">
        <f t="shared" si="35"/>
        <v>-17.467276799999993</v>
      </c>
      <c r="Y188" s="706">
        <f t="shared" si="35"/>
        <v>-1.335772</v>
      </c>
      <c r="Z188" s="706">
        <f t="shared" si="35"/>
        <v>0</v>
      </c>
      <c r="AA188" s="706">
        <f t="shared" si="35"/>
        <v>0</v>
      </c>
      <c r="AB188" s="706">
        <f t="shared" si="35"/>
        <v>0</v>
      </c>
      <c r="AC188" s="665"/>
      <c r="AD188" s="707">
        <f>+AD172+AD180+AD186</f>
        <v>-1241.947427188732</v>
      </c>
      <c r="AF188" s="1756">
        <v>-1179.1799449102537</v>
      </c>
      <c r="AG188" s="1908">
        <f t="shared" si="26"/>
        <v>-62.767482278478383</v>
      </c>
    </row>
    <row r="189" spans="2:48" ht="9.9" customHeight="1" x14ac:dyDescent="0.45">
      <c r="B189" s="638" t="s">
        <v>1548</v>
      </c>
      <c r="C189" s="639"/>
      <c r="D189" s="640"/>
      <c r="E189" s="663"/>
      <c r="F189" s="664"/>
      <c r="G189" s="664"/>
      <c r="H189" s="664"/>
      <c r="I189" s="664"/>
      <c r="J189" s="664"/>
      <c r="K189" s="664"/>
      <c r="L189" s="664"/>
      <c r="M189" s="664"/>
      <c r="N189" s="664"/>
      <c r="O189" s="664"/>
      <c r="P189" s="664"/>
      <c r="Q189" s="664"/>
      <c r="R189" s="664"/>
      <c r="S189" s="664"/>
      <c r="T189" s="664"/>
      <c r="U189" s="664"/>
      <c r="V189" s="664"/>
      <c r="W189" s="664"/>
      <c r="X189" s="664"/>
      <c r="Y189" s="664"/>
      <c r="Z189" s="664"/>
      <c r="AA189" s="664"/>
      <c r="AB189" s="664"/>
      <c r="AC189" s="665"/>
      <c r="AD189" s="666"/>
      <c r="AG189" s="1908">
        <f t="shared" si="26"/>
        <v>0</v>
      </c>
    </row>
    <row r="190" spans="2:48" s="6" customFormat="1" ht="23.1" customHeight="1" x14ac:dyDescent="0.45">
      <c r="B190" s="692" t="s">
        <v>1749</v>
      </c>
      <c r="C190" s="692" t="s">
        <v>1750</v>
      </c>
      <c r="D190" s="693"/>
      <c r="E190" s="708">
        <f>+E170+E188</f>
        <v>4778.3636840000072</v>
      </c>
      <c r="F190" s="695">
        <f>+F170+F188</f>
        <v>-58.697775999993155</v>
      </c>
      <c r="G190" s="695">
        <f>+G170+G188</f>
        <v>58.69777599999361</v>
      </c>
      <c r="H190" s="695">
        <f t="shared" ref="H190:AB190" si="36">+H170+H188</f>
        <v>0</v>
      </c>
      <c r="I190" s="695">
        <f t="shared" si="36"/>
        <v>0</v>
      </c>
      <c r="J190" s="695">
        <f t="shared" si="36"/>
        <v>531.64620740000009</v>
      </c>
      <c r="K190" s="695">
        <f t="shared" si="36"/>
        <v>-163.5581822</v>
      </c>
      <c r="L190" s="695">
        <f t="shared" si="36"/>
        <v>-160.64583860004169</v>
      </c>
      <c r="M190" s="695">
        <f t="shared" si="36"/>
        <v>0</v>
      </c>
      <c r="N190" s="695">
        <f t="shared" si="36"/>
        <v>0</v>
      </c>
      <c r="O190" s="695">
        <f>+O170+O188</f>
        <v>0</v>
      </c>
      <c r="P190" s="695">
        <f t="shared" si="36"/>
        <v>0</v>
      </c>
      <c r="Q190" s="695">
        <f t="shared" si="36"/>
        <v>8.5850800000000005E-2</v>
      </c>
      <c r="R190" s="695">
        <f t="shared" si="36"/>
        <v>0</v>
      </c>
      <c r="S190" s="695">
        <f t="shared" si="36"/>
        <v>0</v>
      </c>
      <c r="T190" s="695">
        <f t="shared" si="36"/>
        <v>0</v>
      </c>
      <c r="U190" s="695">
        <f t="shared" si="36"/>
        <v>0</v>
      </c>
      <c r="V190" s="695">
        <f t="shared" si="36"/>
        <v>0</v>
      </c>
      <c r="W190" s="695">
        <f t="shared" si="36"/>
        <v>155.71607550708342</v>
      </c>
      <c r="X190" s="695">
        <f t="shared" si="36"/>
        <v>40.756979199999989</v>
      </c>
      <c r="Y190" s="1581">
        <f t="shared" si="36"/>
        <v>-139.55714</v>
      </c>
      <c r="Z190" s="695">
        <f t="shared" si="36"/>
        <v>0</v>
      </c>
      <c r="AA190" s="695">
        <f t="shared" si="36"/>
        <v>0</v>
      </c>
      <c r="AB190" s="695">
        <f t="shared" si="36"/>
        <v>0</v>
      </c>
      <c r="AC190" s="697"/>
      <c r="AD190" s="696">
        <f>+AD170+AD188</f>
        <v>5042.8076348905961</v>
      </c>
      <c r="AE190" s="1563"/>
      <c r="AF190" s="1756">
        <v>4897.2491092408136</v>
      </c>
      <c r="AG190" s="1908">
        <f t="shared" si="26"/>
        <v>145.5585256497825</v>
      </c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</row>
    <row r="191" spans="2:48" s="6" customFormat="1" ht="27" customHeight="1" x14ac:dyDescent="0.45">
      <c r="B191" s="667" t="s">
        <v>1751</v>
      </c>
      <c r="C191" s="667" t="s">
        <v>1752</v>
      </c>
      <c r="D191" s="693"/>
      <c r="E191" s="709">
        <f>+E190</f>
        <v>4778.3636840000072</v>
      </c>
      <c r="F191" s="1590">
        <f t="shared" ref="F191:AB191" si="37">+F190</f>
        <v>-58.697775999993155</v>
      </c>
      <c r="G191" s="1590">
        <f>+G190</f>
        <v>58.69777599999361</v>
      </c>
      <c r="H191" s="709">
        <f t="shared" si="37"/>
        <v>0</v>
      </c>
      <c r="I191" s="709">
        <f t="shared" si="37"/>
        <v>0</v>
      </c>
      <c r="J191" s="709">
        <f t="shared" si="37"/>
        <v>531.64620740000009</v>
      </c>
      <c r="K191" s="709">
        <f t="shared" si="37"/>
        <v>-163.5581822</v>
      </c>
      <c r="L191" s="709">
        <f t="shared" si="37"/>
        <v>-160.64583860004169</v>
      </c>
      <c r="M191" s="709">
        <f t="shared" si="37"/>
        <v>0</v>
      </c>
      <c r="N191" s="709">
        <f t="shared" si="37"/>
        <v>0</v>
      </c>
      <c r="O191" s="709">
        <f t="shared" si="37"/>
        <v>0</v>
      </c>
      <c r="P191" s="709">
        <f t="shared" si="37"/>
        <v>0</v>
      </c>
      <c r="Q191" s="709">
        <f t="shared" si="37"/>
        <v>8.5850800000000005E-2</v>
      </c>
      <c r="R191" s="709">
        <f t="shared" si="37"/>
        <v>0</v>
      </c>
      <c r="S191" s="709">
        <f t="shared" si="37"/>
        <v>0</v>
      </c>
      <c r="T191" s="709">
        <f t="shared" si="37"/>
        <v>0</v>
      </c>
      <c r="U191" s="709">
        <f t="shared" si="37"/>
        <v>0</v>
      </c>
      <c r="V191" s="709">
        <f t="shared" si="37"/>
        <v>0</v>
      </c>
      <c r="W191" s="709">
        <f t="shared" si="37"/>
        <v>155.71607550708342</v>
      </c>
      <c r="X191" s="709">
        <f t="shared" si="37"/>
        <v>40.756979199999989</v>
      </c>
      <c r="Y191" s="1579">
        <f t="shared" si="37"/>
        <v>-139.55714</v>
      </c>
      <c r="Z191" s="709">
        <f t="shared" si="37"/>
        <v>0</v>
      </c>
      <c r="AA191" s="709">
        <f t="shared" si="37"/>
        <v>0</v>
      </c>
      <c r="AB191" s="709">
        <f t="shared" si="37"/>
        <v>0</v>
      </c>
      <c r="AC191" s="697"/>
      <c r="AD191" s="711">
        <f>+SUM(E191:AB191)</f>
        <v>5042.8076361070498</v>
      </c>
      <c r="AE191" s="1563"/>
      <c r="AF191" s="1756">
        <v>4897.2491104572673</v>
      </c>
      <c r="AG191" s="1908">
        <f t="shared" si="26"/>
        <v>145.5585256497825</v>
      </c>
      <c r="AH191"/>
      <c r="AI191"/>
      <c r="AJ191"/>
      <c r="AK191"/>
      <c r="AL191"/>
      <c r="AM191" s="1891"/>
      <c r="AN191"/>
      <c r="AO191"/>
      <c r="AP191"/>
      <c r="AQ191"/>
      <c r="AR191"/>
      <c r="AS191"/>
      <c r="AT191"/>
      <c r="AU191"/>
      <c r="AV191"/>
    </row>
    <row r="192" spans="2:48" s="6" customFormat="1" ht="21" customHeight="1" x14ac:dyDescent="0.45">
      <c r="B192" s="667" t="s">
        <v>1753</v>
      </c>
      <c r="C192" s="667" t="s">
        <v>1754</v>
      </c>
      <c r="D192" s="693"/>
      <c r="E192" s="710">
        <f>+E190-E191</f>
        <v>0</v>
      </c>
      <c r="F192" s="709">
        <f t="shared" ref="F192:AB192" si="38">+F190-F191</f>
        <v>0</v>
      </c>
      <c r="G192" s="709">
        <f t="shared" si="38"/>
        <v>0</v>
      </c>
      <c r="H192" s="709">
        <f t="shared" si="38"/>
        <v>0</v>
      </c>
      <c r="I192" s="709">
        <f t="shared" si="38"/>
        <v>0</v>
      </c>
      <c r="J192" s="709">
        <f t="shared" si="38"/>
        <v>0</v>
      </c>
      <c r="K192" s="709">
        <f t="shared" si="38"/>
        <v>0</v>
      </c>
      <c r="L192" s="709">
        <f t="shared" si="38"/>
        <v>0</v>
      </c>
      <c r="M192" s="709">
        <f t="shared" si="38"/>
        <v>0</v>
      </c>
      <c r="N192" s="709">
        <f t="shared" si="38"/>
        <v>0</v>
      </c>
      <c r="O192" s="709">
        <f t="shared" si="38"/>
        <v>0</v>
      </c>
      <c r="P192" s="709">
        <f t="shared" si="38"/>
        <v>0</v>
      </c>
      <c r="Q192" s="709">
        <f t="shared" si="38"/>
        <v>0</v>
      </c>
      <c r="R192" s="709">
        <f t="shared" si="38"/>
        <v>0</v>
      </c>
      <c r="S192" s="709">
        <f t="shared" si="38"/>
        <v>0</v>
      </c>
      <c r="T192" s="709">
        <f t="shared" si="38"/>
        <v>0</v>
      </c>
      <c r="U192" s="709">
        <f t="shared" si="38"/>
        <v>0</v>
      </c>
      <c r="V192" s="709">
        <f t="shared" si="38"/>
        <v>0</v>
      </c>
      <c r="W192" s="709">
        <f t="shared" si="38"/>
        <v>0</v>
      </c>
      <c r="X192" s="709">
        <f t="shared" si="38"/>
        <v>0</v>
      </c>
      <c r="Y192" s="709">
        <f t="shared" si="38"/>
        <v>0</v>
      </c>
      <c r="Z192" s="709">
        <f t="shared" si="38"/>
        <v>0</v>
      </c>
      <c r="AA192" s="709">
        <f t="shared" si="38"/>
        <v>0</v>
      </c>
      <c r="AB192" s="709">
        <f t="shared" si="38"/>
        <v>0</v>
      </c>
      <c r="AC192" s="697"/>
      <c r="AD192" s="711">
        <f>+SUM(E192:AB192)</f>
        <v>0</v>
      </c>
      <c r="AE192" s="1563"/>
      <c r="AF192" s="1756">
        <v>0</v>
      </c>
      <c r="AG192" s="1908">
        <f t="shared" si="26"/>
        <v>0</v>
      </c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</row>
    <row r="193" spans="2:32" x14ac:dyDescent="0.45">
      <c r="B193" s="638"/>
      <c r="C193" s="639"/>
      <c r="D193" s="640"/>
      <c r="E193" s="663"/>
      <c r="F193" s="664"/>
      <c r="G193" s="664"/>
      <c r="H193" s="664"/>
      <c r="I193" s="664"/>
      <c r="J193" s="664"/>
      <c r="K193" s="664"/>
      <c r="L193" s="664"/>
      <c r="M193" s="664"/>
      <c r="N193" s="664"/>
      <c r="O193" s="664"/>
      <c r="P193" s="664"/>
      <c r="Q193" s="664"/>
      <c r="R193" s="664"/>
      <c r="S193" s="664"/>
      <c r="T193" s="664"/>
      <c r="U193" s="664"/>
      <c r="V193" s="664"/>
      <c r="W193" s="664"/>
      <c r="X193" s="664"/>
      <c r="Y193" s="664"/>
      <c r="Z193" s="664"/>
      <c r="AA193" s="664"/>
      <c r="AB193" s="664"/>
      <c r="AC193" s="665"/>
      <c r="AD193" s="666"/>
    </row>
    <row r="194" spans="2:32" x14ac:dyDescent="0.45">
      <c r="B194" s="638"/>
      <c r="C194" s="712" t="s">
        <v>1755</v>
      </c>
      <c r="D194" s="640"/>
      <c r="E194" s="713">
        <f>E190-'Compte de résultat'!H63/10^6</f>
        <v>7.2759576141834259E-12</v>
      </c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4"/>
      <c r="AB194" s="714"/>
      <c r="AC194" s="665"/>
      <c r="AD194" s="1487">
        <f>'Passage P&amp;L-par nature'!AD190-'Passage Passif BC '!BG18-'Passage Passif BC '!BG29</f>
        <v>124.49074876855411</v>
      </c>
      <c r="AF194" s="1757">
        <v>-1.2164455256424844E-6</v>
      </c>
    </row>
    <row r="195" spans="2:32" x14ac:dyDescent="0.45">
      <c r="B195" s="638"/>
      <c r="C195" s="639"/>
      <c r="D195" s="640"/>
      <c r="E195"/>
      <c r="F195"/>
      <c r="G195"/>
      <c r="H195" s="98"/>
      <c r="I195" s="648"/>
      <c r="J195" s="648"/>
      <c r="K195" s="648"/>
      <c r="L195" s="648"/>
      <c r="M195" s="648"/>
      <c r="N195" s="648"/>
      <c r="O195" s="648"/>
      <c r="P195" s="648"/>
      <c r="Q195" s="648"/>
      <c r="R195" s="648"/>
      <c r="S195" s="648"/>
      <c r="T195" s="648"/>
      <c r="U195" s="648"/>
      <c r="V195" s="648"/>
      <c r="W195" s="648"/>
      <c r="X195" s="648"/>
      <c r="Y195" s="1580"/>
      <c r="Z195" s="648"/>
      <c r="AA195" s="648"/>
      <c r="AB195" s="678"/>
      <c r="AC195" s="665"/>
      <c r="AD195" s="643"/>
    </row>
    <row r="196" spans="2:32" x14ac:dyDescent="0.45">
      <c r="E196"/>
      <c r="F196"/>
      <c r="G196"/>
      <c r="H196"/>
      <c r="J196" s="555">
        <f>+J183+K182+L183</f>
        <v>-88.903794257124986</v>
      </c>
      <c r="AD196"/>
    </row>
    <row r="197" spans="2:32" x14ac:dyDescent="0.45">
      <c r="E197"/>
      <c r="F197"/>
      <c r="G197"/>
      <c r="H197"/>
      <c r="K197" s="588"/>
      <c r="L197" s="716"/>
      <c r="AD197"/>
    </row>
    <row r="198" spans="2:32" x14ac:dyDescent="0.45">
      <c r="C198" s="582"/>
      <c r="E198"/>
      <c r="F198" s="584"/>
      <c r="AD198">
        <f>4613887612/1000000</f>
        <v>4613.8876120000004</v>
      </c>
      <c r="AF198" s="1756">
        <v>4613.8876120000004</v>
      </c>
    </row>
    <row r="199" spans="2:32" x14ac:dyDescent="0.45">
      <c r="E199"/>
      <c r="G199" s="1694"/>
      <c r="AD199"/>
    </row>
    <row r="200" spans="2:32" x14ac:dyDescent="0.45">
      <c r="G200" s="1750">
        <f>G191*1000000</f>
        <v>58697775.999993607</v>
      </c>
      <c r="AD200"/>
    </row>
    <row r="201" spans="2:32" x14ac:dyDescent="0.45">
      <c r="AD201" s="98"/>
    </row>
    <row r="202" spans="2:32" x14ac:dyDescent="0.45">
      <c r="AD202"/>
    </row>
    <row r="203" spans="2:32" x14ac:dyDescent="0.45">
      <c r="G203" s="1725">
        <f>+G52+G67</f>
        <v>-6.355453000000125</v>
      </c>
      <c r="AD203" s="1751">
        <f>+AD191-AD198</f>
        <v>428.92002410704936</v>
      </c>
      <c r="AF203" s="1756">
        <v>283.36149845726686</v>
      </c>
    </row>
    <row r="204" spans="2:32" x14ac:dyDescent="0.45">
      <c r="G204" s="1725">
        <f>+G203*1000000</f>
        <v>-6355453.0000001248</v>
      </c>
    </row>
    <row r="206" spans="2:32" x14ac:dyDescent="0.45">
      <c r="AD206" s="715">
        <f>+AD203*1000000</f>
        <v>428920024.10704935</v>
      </c>
      <c r="AF206" s="1756">
        <v>283361498.45726687</v>
      </c>
    </row>
  </sheetData>
  <sheetProtection formatCells="0" formatColumns="0" formatRows="0"/>
  <mergeCells count="5">
    <mergeCell ref="C2:C3"/>
    <mergeCell ref="F2:R2"/>
    <mergeCell ref="S2:T2"/>
    <mergeCell ref="U2:Y2"/>
    <mergeCell ref="Z2:AB2"/>
  </mergeCells>
  <hyperlinks>
    <hyperlink ref="A1" location="Sommaire!F14" display="Sommaire" xr:uid="{00000000-0004-0000-0A00-000000000000}"/>
  </hyperlinks>
  <pageMargins left="0.26" right="0.23" top="0.4" bottom="0.3" header="0.3" footer="0.3"/>
  <pageSetup paperSize="9" scale="26" fitToHeight="0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A1:AS70"/>
  <sheetViews>
    <sheetView showGridLines="0" view="pageBreakPreview" zoomScale="51" zoomScaleNormal="80" zoomScaleSheetLayoutView="51" workbookViewId="0">
      <pane xSplit="5" ySplit="5" topLeftCell="X51" activePane="bottomRight" state="frozen"/>
      <selection activeCell="AT18" sqref="AT18"/>
      <selection pane="topRight" activeCell="AT18" sqref="AT18"/>
      <selection pane="bottomLeft" activeCell="AT18" sqref="AT18"/>
      <selection pane="bottomRight" activeCell="AT18" sqref="AT18"/>
    </sheetView>
  </sheetViews>
  <sheetFormatPr baseColWidth="10" defaultColWidth="11.44140625" defaultRowHeight="25.8" outlineLevelRow="1" outlineLevelCol="1" x14ac:dyDescent="0.5"/>
  <cols>
    <col min="1" max="1" width="0.88671875" style="719" customWidth="1"/>
    <col min="2" max="2" width="24" style="718" customWidth="1"/>
    <col min="3" max="3" width="60.109375" style="719" customWidth="1"/>
    <col min="4" max="4" width="1.44140625" style="720" customWidth="1"/>
    <col min="5" max="5" width="19.44140625" style="719" hidden="1" customWidth="1"/>
    <col min="6" max="6" width="25.109375" style="1758" bestFit="1" customWidth="1" outlineLevel="1"/>
    <col min="7" max="7" width="23.33203125" style="1758" bestFit="1" customWidth="1" outlineLevel="1"/>
    <col min="8" max="8" width="20" style="1758" bestFit="1" customWidth="1" outlineLevel="1"/>
    <col min="9" max="9" width="16.109375" style="1758" bestFit="1" customWidth="1" outlineLevel="1"/>
    <col min="10" max="10" width="18.109375" style="1758" bestFit="1" customWidth="1" outlineLevel="1"/>
    <col min="11" max="11" width="20.5546875" style="1758" bestFit="1" customWidth="1" outlineLevel="1"/>
    <col min="12" max="12" width="25.44140625" style="1758" bestFit="1" customWidth="1" outlineLevel="1"/>
    <col min="13" max="13" width="12.109375" style="1758" bestFit="1" customWidth="1" outlineLevel="1"/>
    <col min="14" max="14" width="26.109375" style="1758" bestFit="1" customWidth="1" outlineLevel="1"/>
    <col min="15" max="15" width="12.109375" style="1758" bestFit="1" customWidth="1" outlineLevel="1"/>
    <col min="16" max="16" width="25.33203125" style="1758" bestFit="1" customWidth="1" outlineLevel="1"/>
    <col min="17" max="17" width="14" style="1758" bestFit="1" customWidth="1" outlineLevel="1"/>
    <col min="18" max="18" width="20.44140625" style="1758" bestFit="1" customWidth="1" outlineLevel="1"/>
    <col min="19" max="19" width="25.109375" style="1758" bestFit="1" customWidth="1" outlineLevel="1"/>
    <col min="20" max="20" width="17.33203125" style="1758" bestFit="1" customWidth="1" outlineLevel="1"/>
    <col min="21" max="21" width="23.44140625" style="1758" bestFit="1" customWidth="1" outlineLevel="1"/>
    <col min="22" max="22" width="13.44140625" style="1758" bestFit="1" customWidth="1" outlineLevel="1"/>
    <col min="23" max="23" width="25.5546875" style="1758" bestFit="1" customWidth="1" outlineLevel="1"/>
    <col min="24" max="24" width="18.109375" style="1758" bestFit="1" customWidth="1" outlineLevel="1"/>
    <col min="25" max="25" width="16" style="1758" bestFit="1" customWidth="1" outlineLevel="1"/>
    <col min="26" max="27" width="12.109375" style="1758" bestFit="1" customWidth="1" outlineLevel="1"/>
    <col min="28" max="28" width="12.109375" style="1759" bestFit="1" customWidth="1" outlineLevel="1"/>
    <col min="29" max="29" width="1.44140625" style="722" customWidth="1"/>
    <col min="30" max="30" width="21.33203125" style="719" customWidth="1"/>
    <col min="31" max="31" width="1.44140625" customWidth="1"/>
    <col min="32" max="32" width="15.88671875" hidden="1" customWidth="1"/>
    <col min="33" max="33" width="1.44140625" hidden="1" customWidth="1"/>
    <col min="34" max="34" width="18.6640625" style="1520" hidden="1" customWidth="1"/>
    <col min="35" max="35" width="23.88671875" hidden="1" customWidth="1"/>
    <col min="36" max="36" width="15" hidden="1" customWidth="1"/>
    <col min="37" max="37" width="150.88671875" hidden="1" customWidth="1"/>
    <col min="38" max="38" width="14.44140625" bestFit="1" customWidth="1"/>
    <col min="39" max="39" width="21.33203125" style="1773" customWidth="1"/>
    <col min="40" max="40" width="21.33203125" style="1895" customWidth="1"/>
    <col min="41" max="41" width="22.5546875" bestFit="1" customWidth="1"/>
    <col min="46" max="16384" width="11.44140625" style="721"/>
  </cols>
  <sheetData>
    <row r="1" spans="1:45" ht="17.25" customHeight="1" x14ac:dyDescent="0.5">
      <c r="A1" s="717" t="s">
        <v>75</v>
      </c>
    </row>
    <row r="2" spans="1:45" s="723" customFormat="1" ht="35.25" customHeight="1" x14ac:dyDescent="0.4">
      <c r="B2" s="724"/>
      <c r="C2" s="1980" t="s">
        <v>1756</v>
      </c>
      <c r="D2" s="725"/>
      <c r="E2" s="718"/>
      <c r="F2" s="1981" t="s">
        <v>1479</v>
      </c>
      <c r="G2" s="1981"/>
      <c r="H2" s="1981"/>
      <c r="I2" s="1981"/>
      <c r="J2" s="1981"/>
      <c r="K2" s="1981"/>
      <c r="L2" s="1981"/>
      <c r="M2" s="1981"/>
      <c r="N2" s="1981"/>
      <c r="O2" s="1981"/>
      <c r="P2" s="1981"/>
      <c r="Q2" s="1981"/>
      <c r="R2" s="1981"/>
      <c r="S2" s="1981" t="s">
        <v>1480</v>
      </c>
      <c r="T2" s="1981"/>
      <c r="U2" s="1981" t="s">
        <v>1481</v>
      </c>
      <c r="V2" s="1981"/>
      <c r="W2" s="1981"/>
      <c r="X2" s="1981"/>
      <c r="Y2" s="1981"/>
      <c r="Z2" s="1981" t="s">
        <v>1757</v>
      </c>
      <c r="AA2" s="1981"/>
      <c r="AB2" s="1981"/>
      <c r="AC2" s="726"/>
      <c r="AD2" s="718"/>
      <c r="AE2"/>
      <c r="AF2"/>
      <c r="AG2"/>
      <c r="AH2" s="1520"/>
      <c r="AI2"/>
      <c r="AJ2"/>
      <c r="AK2"/>
      <c r="AL2"/>
      <c r="AM2" s="1774"/>
      <c r="AN2" s="1896"/>
      <c r="AO2"/>
      <c r="AP2"/>
      <c r="AQ2"/>
      <c r="AR2"/>
      <c r="AS2"/>
    </row>
    <row r="3" spans="1:45" ht="38.25" customHeight="1" x14ac:dyDescent="0.5">
      <c r="A3" s="727"/>
      <c r="B3" s="724"/>
      <c r="C3" s="1980"/>
      <c r="M3" s="1759"/>
      <c r="Y3" s="1759"/>
    </row>
    <row r="4" spans="1:45" s="728" customFormat="1" ht="101.1" customHeight="1" x14ac:dyDescent="0.4">
      <c r="B4" s="718"/>
      <c r="C4" s="729" t="str">
        <f>Cover!Y13</f>
        <v>En millions de FCFA</v>
      </c>
      <c r="D4" s="730"/>
      <c r="E4" s="731" t="s">
        <v>74</v>
      </c>
      <c r="F4" s="1760" t="s">
        <v>1482</v>
      </c>
      <c r="G4" s="1760" t="s">
        <v>1483</v>
      </c>
      <c r="H4" s="1760" t="s">
        <v>1484</v>
      </c>
      <c r="I4" s="1760" t="s">
        <v>1485</v>
      </c>
      <c r="J4" s="1760" t="s">
        <v>1486</v>
      </c>
      <c r="K4" s="1760" t="s">
        <v>1487</v>
      </c>
      <c r="L4" s="1760" t="s">
        <v>1488</v>
      </c>
      <c r="M4" s="1760" t="s">
        <v>1489</v>
      </c>
      <c r="N4" s="1760" t="s">
        <v>1027</v>
      </c>
      <c r="O4" s="1760" t="s">
        <v>1032</v>
      </c>
      <c r="P4" s="1760" t="s">
        <v>1490</v>
      </c>
      <c r="Q4" s="1760" t="s">
        <v>1291</v>
      </c>
      <c r="R4" s="1760" t="s">
        <v>1491</v>
      </c>
      <c r="S4" s="1760" t="s">
        <v>1492</v>
      </c>
      <c r="T4" s="1760" t="s">
        <v>1493</v>
      </c>
      <c r="U4" s="1760" t="s">
        <v>1494</v>
      </c>
      <c r="V4" s="1760" t="s">
        <v>1019</v>
      </c>
      <c r="W4" s="1761" t="s">
        <v>1495</v>
      </c>
      <c r="X4" s="1762" t="s">
        <v>1496</v>
      </c>
      <c r="Y4" s="1761" t="s">
        <v>1497</v>
      </c>
      <c r="Z4" s="1763" t="s">
        <v>1033</v>
      </c>
      <c r="AA4" s="1763" t="s">
        <v>1034</v>
      </c>
      <c r="AB4" s="1764" t="s">
        <v>1035</v>
      </c>
      <c r="AC4" s="730"/>
      <c r="AD4" s="732" t="s">
        <v>78</v>
      </c>
      <c r="AE4"/>
      <c r="AF4"/>
      <c r="AG4"/>
      <c r="AH4" s="1520" t="s">
        <v>78</v>
      </c>
      <c r="AI4"/>
      <c r="AJ4"/>
      <c r="AK4"/>
      <c r="AL4"/>
      <c r="AM4" s="1775" t="s">
        <v>78</v>
      </c>
      <c r="AN4" s="1897"/>
      <c r="AO4"/>
      <c r="AP4"/>
      <c r="AQ4"/>
      <c r="AR4"/>
      <c r="AS4"/>
    </row>
    <row r="5" spans="1:45" ht="9.9" customHeight="1" x14ac:dyDescent="0.5">
      <c r="B5" s="734"/>
    </row>
    <row r="6" spans="1:45" s="719" customFormat="1" x14ac:dyDescent="0.5">
      <c r="B6" s="718"/>
      <c r="C6" s="735" t="s">
        <v>900</v>
      </c>
      <c r="D6" s="720"/>
      <c r="E6" s="736">
        <f>+'Passage P&amp;L-par nature'!E6</f>
        <v>1124.4278670000001</v>
      </c>
      <c r="F6" s="1765">
        <f>-E6</f>
        <v>-1124.4278670000001</v>
      </c>
      <c r="G6" s="1765"/>
      <c r="H6" s="1765"/>
      <c r="I6" s="1765"/>
      <c r="J6" s="1765"/>
      <c r="K6" s="1765"/>
      <c r="L6" s="1765"/>
      <c r="M6" s="1765"/>
      <c r="N6" s="1765"/>
      <c r="O6" s="1765"/>
      <c r="P6" s="1765"/>
      <c r="Q6" s="1765"/>
      <c r="R6" s="1765"/>
      <c r="S6" s="1765"/>
      <c r="T6" s="1765"/>
      <c r="U6" s="1765"/>
      <c r="V6" s="1765"/>
      <c r="W6" s="1765"/>
      <c r="X6" s="1765"/>
      <c r="Y6" s="1765"/>
      <c r="Z6" s="1765"/>
      <c r="AA6" s="1765"/>
      <c r="AB6" s="1765"/>
      <c r="AC6" s="737"/>
      <c r="AD6" s="738">
        <f t="shared" ref="AD6:AD15" si="0">+SUM(E6:AB6)</f>
        <v>0</v>
      </c>
      <c r="AE6"/>
      <c r="AF6"/>
      <c r="AG6"/>
      <c r="AH6" s="1520">
        <v>0</v>
      </c>
      <c r="AI6" s="1586">
        <f>AD6-AH6</f>
        <v>0</v>
      </c>
      <c r="AJ6"/>
      <c r="AK6"/>
      <c r="AL6"/>
      <c r="AM6" s="1776">
        <v>0</v>
      </c>
      <c r="AN6" s="1898">
        <f>+AD6-AM6</f>
        <v>0</v>
      </c>
      <c r="AO6"/>
      <c r="AP6"/>
      <c r="AQ6"/>
      <c r="AR6"/>
      <c r="AS6"/>
    </row>
    <row r="7" spans="1:45" s="719" customFormat="1" x14ac:dyDescent="0.5">
      <c r="B7" s="718"/>
      <c r="C7" s="735" t="s">
        <v>902</v>
      </c>
      <c r="D7" s="720"/>
      <c r="E7" s="736">
        <f>+'Passage P&amp;L-par nature'!E7</f>
        <v>0</v>
      </c>
      <c r="F7" s="1765">
        <f t="shared" ref="F7:F15" si="1">-E7</f>
        <v>0</v>
      </c>
      <c r="G7" s="1765"/>
      <c r="H7" s="1765"/>
      <c r="I7" s="1765"/>
      <c r="J7" s="1765"/>
      <c r="K7" s="1765"/>
      <c r="L7" s="1765"/>
      <c r="M7" s="1765"/>
      <c r="N7" s="1765"/>
      <c r="O7" s="1765"/>
      <c r="P7" s="1765"/>
      <c r="Q7" s="1765"/>
      <c r="R7" s="1765"/>
      <c r="S7" s="1765"/>
      <c r="T7" s="1765"/>
      <c r="U7" s="1765"/>
      <c r="V7" s="1765"/>
      <c r="W7" s="1765"/>
      <c r="X7" s="1765"/>
      <c r="Y7" s="1765"/>
      <c r="Z7" s="1765"/>
      <c r="AA7" s="1765"/>
      <c r="AB7" s="1765"/>
      <c r="AC7" s="737"/>
      <c r="AD7" s="738">
        <f t="shared" si="0"/>
        <v>0</v>
      </c>
      <c r="AE7"/>
      <c r="AF7"/>
      <c r="AG7"/>
      <c r="AH7" s="1520">
        <v>0</v>
      </c>
      <c r="AI7" s="1586">
        <f t="shared" ref="AI7:AI70" si="2">AD7-AH7</f>
        <v>0</v>
      </c>
      <c r="AJ7"/>
      <c r="AK7"/>
      <c r="AL7"/>
      <c r="AM7" s="1776">
        <v>0</v>
      </c>
      <c r="AN7" s="1898">
        <f t="shared" ref="AN7:AN69" si="3">+AD7-AM7</f>
        <v>0</v>
      </c>
      <c r="AO7"/>
      <c r="AP7"/>
      <c r="AQ7"/>
      <c r="AR7"/>
      <c r="AS7"/>
    </row>
    <row r="8" spans="1:45" s="719" customFormat="1" x14ac:dyDescent="0.5">
      <c r="B8" s="718"/>
      <c r="C8" s="735" t="s">
        <v>904</v>
      </c>
      <c r="D8" s="720"/>
      <c r="E8" s="736">
        <f>+'Passage P&amp;L-par nature'!E8</f>
        <v>103941.367167</v>
      </c>
      <c r="F8" s="1765">
        <f t="shared" si="1"/>
        <v>-103941.367167</v>
      </c>
      <c r="G8" s="1765"/>
      <c r="H8" s="1765"/>
      <c r="I8" s="1765"/>
      <c r="J8" s="1765"/>
      <c r="K8" s="1765"/>
      <c r="L8" s="1765"/>
      <c r="M8" s="1765"/>
      <c r="N8" s="1765"/>
      <c r="O8" s="1765"/>
      <c r="P8" s="1765"/>
      <c r="Q8" s="1765"/>
      <c r="R8" s="1765"/>
      <c r="S8" s="1765"/>
      <c r="T8" s="1765"/>
      <c r="U8" s="1765"/>
      <c r="V8" s="1765"/>
      <c r="W8" s="1765"/>
      <c r="X8" s="1765"/>
      <c r="Y8" s="1765"/>
      <c r="Z8" s="1765"/>
      <c r="AA8" s="1765"/>
      <c r="AB8" s="1765"/>
      <c r="AC8" s="737"/>
      <c r="AD8" s="738">
        <f t="shared" si="0"/>
        <v>0</v>
      </c>
      <c r="AE8"/>
      <c r="AF8"/>
      <c r="AG8"/>
      <c r="AH8" s="1520">
        <v>0</v>
      </c>
      <c r="AI8" s="1586">
        <f t="shared" si="2"/>
        <v>0</v>
      </c>
      <c r="AJ8"/>
      <c r="AK8"/>
      <c r="AL8"/>
      <c r="AM8" s="1776">
        <v>0</v>
      </c>
      <c r="AN8" s="1898">
        <f t="shared" si="3"/>
        <v>0</v>
      </c>
      <c r="AO8"/>
      <c r="AP8"/>
      <c r="AQ8"/>
      <c r="AR8"/>
      <c r="AS8"/>
    </row>
    <row r="9" spans="1:45" s="719" customFormat="1" x14ac:dyDescent="0.5">
      <c r="B9" s="718"/>
      <c r="C9" s="735" t="s">
        <v>1499</v>
      </c>
      <c r="D9" s="720"/>
      <c r="E9" s="736">
        <f>+'Passage P&amp;L-par nature'!E9</f>
        <v>0</v>
      </c>
      <c r="F9" s="1765">
        <f t="shared" si="1"/>
        <v>0</v>
      </c>
      <c r="G9" s="1765"/>
      <c r="H9" s="1765"/>
      <c r="I9" s="1765"/>
      <c r="J9" s="1765"/>
      <c r="K9" s="1765"/>
      <c r="L9" s="1765"/>
      <c r="M9" s="1765"/>
      <c r="N9" s="1765"/>
      <c r="O9" s="1765"/>
      <c r="P9" s="1765"/>
      <c r="Q9" s="1765"/>
      <c r="R9" s="1765"/>
      <c r="S9" s="1765"/>
      <c r="T9" s="1765"/>
      <c r="U9" s="1765"/>
      <c r="V9" s="1765"/>
      <c r="W9" s="1765"/>
      <c r="X9" s="1765"/>
      <c r="Y9" s="1765"/>
      <c r="Z9" s="1765"/>
      <c r="AA9" s="1765"/>
      <c r="AB9" s="1765"/>
      <c r="AC9" s="737"/>
      <c r="AD9" s="738">
        <f t="shared" si="0"/>
        <v>0</v>
      </c>
      <c r="AE9"/>
      <c r="AF9"/>
      <c r="AG9"/>
      <c r="AH9" s="1520">
        <v>0</v>
      </c>
      <c r="AI9" s="1586">
        <f t="shared" si="2"/>
        <v>0</v>
      </c>
      <c r="AJ9"/>
      <c r="AK9"/>
      <c r="AL9"/>
      <c r="AM9" s="1776">
        <v>0</v>
      </c>
      <c r="AN9" s="1898">
        <f t="shared" si="3"/>
        <v>0</v>
      </c>
      <c r="AO9"/>
      <c r="AP9"/>
      <c r="AQ9"/>
      <c r="AR9"/>
      <c r="AS9"/>
    </row>
    <row r="10" spans="1:45" s="719" customFormat="1" x14ac:dyDescent="0.5">
      <c r="B10" s="718"/>
      <c r="C10" s="735" t="s">
        <v>908</v>
      </c>
      <c r="D10" s="720"/>
      <c r="E10" s="736">
        <f>+'Passage P&amp;L-par nature'!E10</f>
        <v>0</v>
      </c>
      <c r="F10" s="1765">
        <f t="shared" si="1"/>
        <v>0</v>
      </c>
      <c r="G10" s="1765"/>
      <c r="H10" s="1765"/>
      <c r="I10" s="1765"/>
      <c r="J10" s="1765"/>
      <c r="K10" s="1765"/>
      <c r="L10" s="1765"/>
      <c r="M10" s="1765"/>
      <c r="N10" s="1765"/>
      <c r="O10" s="1765"/>
      <c r="P10" s="1765"/>
      <c r="Q10" s="1765"/>
      <c r="R10" s="1765"/>
      <c r="S10" s="1765"/>
      <c r="T10" s="1765"/>
      <c r="U10" s="1765"/>
      <c r="V10" s="1765"/>
      <c r="W10" s="1765"/>
      <c r="X10" s="1765"/>
      <c r="Y10" s="1765"/>
      <c r="Z10" s="1765"/>
      <c r="AA10" s="1765"/>
      <c r="AB10" s="1765"/>
      <c r="AC10" s="737"/>
      <c r="AD10" s="738">
        <f t="shared" si="0"/>
        <v>0</v>
      </c>
      <c r="AE10"/>
      <c r="AF10"/>
      <c r="AG10"/>
      <c r="AH10" s="1520">
        <v>0</v>
      </c>
      <c r="AI10" s="1586">
        <f t="shared" si="2"/>
        <v>0</v>
      </c>
      <c r="AJ10"/>
      <c r="AK10"/>
      <c r="AL10"/>
      <c r="AM10" s="1776">
        <v>0</v>
      </c>
      <c r="AN10" s="1898">
        <f t="shared" si="3"/>
        <v>0</v>
      </c>
      <c r="AO10"/>
      <c r="AP10"/>
      <c r="AQ10"/>
      <c r="AR10"/>
      <c r="AS10"/>
    </row>
    <row r="11" spans="1:45" s="719" customFormat="1" x14ac:dyDescent="0.5">
      <c r="B11" s="718"/>
      <c r="C11" s="735" t="s">
        <v>910</v>
      </c>
      <c r="D11" s="720"/>
      <c r="E11" s="736">
        <f>+'Passage P&amp;L-par nature'!E11</f>
        <v>1193.512416</v>
      </c>
      <c r="F11" s="1765">
        <f t="shared" si="1"/>
        <v>-1193.512416</v>
      </c>
      <c r="G11" s="1765"/>
      <c r="H11" s="1765"/>
      <c r="I11" s="1765"/>
      <c r="J11" s="1765"/>
      <c r="K11" s="1765"/>
      <c r="L11" s="1765"/>
      <c r="M11" s="1765"/>
      <c r="N11" s="1765"/>
      <c r="O11" s="1765"/>
      <c r="P11" s="1765"/>
      <c r="Q11" s="1765"/>
      <c r="R11" s="1765"/>
      <c r="S11" s="1765"/>
      <c r="T11" s="1765"/>
      <c r="U11" s="1765"/>
      <c r="V11" s="1765"/>
      <c r="W11" s="1765"/>
      <c r="X11" s="1765"/>
      <c r="Y11" s="1765"/>
      <c r="Z11" s="1765"/>
      <c r="AA11" s="1765"/>
      <c r="AB11" s="1765"/>
      <c r="AC11" s="737"/>
      <c r="AD11" s="738">
        <f t="shared" si="0"/>
        <v>0</v>
      </c>
      <c r="AE11"/>
      <c r="AF11"/>
      <c r="AG11"/>
      <c r="AH11" s="1520">
        <v>0</v>
      </c>
      <c r="AI11" s="1586">
        <f t="shared" si="2"/>
        <v>0</v>
      </c>
      <c r="AJ11"/>
      <c r="AK11"/>
      <c r="AL11"/>
      <c r="AM11" s="1776">
        <v>0</v>
      </c>
      <c r="AN11" s="1898">
        <f t="shared" si="3"/>
        <v>0</v>
      </c>
      <c r="AO11"/>
      <c r="AP11"/>
      <c r="AQ11"/>
      <c r="AR11"/>
      <c r="AS11"/>
    </row>
    <row r="12" spans="1:45" s="719" customFormat="1" x14ac:dyDescent="0.5">
      <c r="B12" s="718"/>
      <c r="C12" s="735" t="s">
        <v>916</v>
      </c>
      <c r="D12" s="720"/>
      <c r="E12" s="736">
        <f>+'Passage P&amp;L-par nature'!E12</f>
        <v>0</v>
      </c>
      <c r="F12" s="1765">
        <f t="shared" si="1"/>
        <v>0</v>
      </c>
      <c r="G12" s="1765"/>
      <c r="H12" s="1765"/>
      <c r="I12" s="1765"/>
      <c r="J12" s="1765"/>
      <c r="K12" s="1765"/>
      <c r="L12" s="1765"/>
      <c r="M12" s="1765"/>
      <c r="N12" s="1765"/>
      <c r="O12" s="1765"/>
      <c r="P12" s="1765"/>
      <c r="Q12" s="1765"/>
      <c r="R12" s="1765"/>
      <c r="S12" s="1765"/>
      <c r="T12" s="1765"/>
      <c r="U12" s="1765"/>
      <c r="V12" s="1765"/>
      <c r="W12" s="1765"/>
      <c r="X12" s="1765"/>
      <c r="Y12" s="1765"/>
      <c r="Z12" s="1765"/>
      <c r="AA12" s="1765"/>
      <c r="AB12" s="1765"/>
      <c r="AC12" s="737"/>
      <c r="AD12" s="738">
        <f t="shared" si="0"/>
        <v>0</v>
      </c>
      <c r="AE12"/>
      <c r="AF12"/>
      <c r="AG12"/>
      <c r="AH12" s="1520">
        <v>0</v>
      </c>
      <c r="AI12" s="1586">
        <f t="shared" si="2"/>
        <v>0</v>
      </c>
      <c r="AJ12"/>
      <c r="AK12"/>
      <c r="AL12"/>
      <c r="AM12" s="1776">
        <v>0</v>
      </c>
      <c r="AN12" s="1898">
        <f t="shared" si="3"/>
        <v>0</v>
      </c>
      <c r="AO12"/>
      <c r="AP12"/>
      <c r="AQ12"/>
      <c r="AR12"/>
      <c r="AS12"/>
    </row>
    <row r="13" spans="1:45" s="719" customFormat="1" x14ac:dyDescent="0.5">
      <c r="B13" s="718"/>
      <c r="C13" s="735" t="s">
        <v>918</v>
      </c>
      <c r="D13" s="720"/>
      <c r="E13" s="736">
        <f>+'Passage P&amp;L-par nature'!E13</f>
        <v>1146.703428</v>
      </c>
      <c r="F13" s="1765">
        <f t="shared" si="1"/>
        <v>-1146.703428</v>
      </c>
      <c r="G13" s="1765"/>
      <c r="H13" s="1765"/>
      <c r="I13" s="1765"/>
      <c r="J13" s="1765"/>
      <c r="K13" s="1765"/>
      <c r="L13" s="1765"/>
      <c r="M13" s="1765"/>
      <c r="N13" s="1765"/>
      <c r="O13" s="1765"/>
      <c r="P13" s="1765"/>
      <c r="Q13" s="1765"/>
      <c r="R13" s="1765"/>
      <c r="S13" s="1765"/>
      <c r="T13" s="1765"/>
      <c r="U13" s="1765"/>
      <c r="V13" s="1765"/>
      <c r="W13" s="1765"/>
      <c r="X13" s="1765"/>
      <c r="Y13" s="1765"/>
      <c r="Z13" s="1765"/>
      <c r="AA13" s="1765"/>
      <c r="AB13" s="1765"/>
      <c r="AC13" s="737"/>
      <c r="AD13" s="738">
        <f t="shared" si="0"/>
        <v>0</v>
      </c>
      <c r="AE13"/>
      <c r="AF13"/>
      <c r="AG13"/>
      <c r="AH13" s="1520">
        <v>0</v>
      </c>
      <c r="AI13" s="1586">
        <f t="shared" si="2"/>
        <v>0</v>
      </c>
      <c r="AJ13"/>
      <c r="AK13"/>
      <c r="AL13"/>
      <c r="AM13" s="1776">
        <v>0</v>
      </c>
      <c r="AN13" s="1898">
        <f t="shared" si="3"/>
        <v>0</v>
      </c>
      <c r="AO13"/>
      <c r="AP13"/>
      <c r="AQ13"/>
      <c r="AR13"/>
      <c r="AS13"/>
    </row>
    <row r="14" spans="1:45" s="719" customFormat="1" x14ac:dyDescent="0.5">
      <c r="B14" s="718"/>
      <c r="C14" s="735" t="s">
        <v>920</v>
      </c>
      <c r="D14" s="720"/>
      <c r="E14" s="736">
        <f>+'Passage P&amp;L-par nature'!E14</f>
        <v>1588.9122</v>
      </c>
      <c r="F14" s="1765">
        <f t="shared" si="1"/>
        <v>-1588.9122</v>
      </c>
      <c r="G14" s="1765"/>
      <c r="H14" s="1765"/>
      <c r="I14" s="1765"/>
      <c r="J14" s="1765"/>
      <c r="K14" s="1765"/>
      <c r="L14" s="1765"/>
      <c r="M14" s="1765"/>
      <c r="N14" s="1765"/>
      <c r="O14" s="1765"/>
      <c r="P14" s="1765"/>
      <c r="Q14" s="1765"/>
      <c r="R14" s="1765"/>
      <c r="S14" s="1765"/>
      <c r="T14" s="1765"/>
      <c r="U14" s="1765"/>
      <c r="V14" s="1765"/>
      <c r="W14" s="1765"/>
      <c r="X14" s="1765"/>
      <c r="Y14" s="1765"/>
      <c r="Z14" s="1765"/>
      <c r="AA14" s="1765"/>
      <c r="AB14" s="1765"/>
      <c r="AC14" s="737"/>
      <c r="AD14" s="738">
        <f t="shared" si="0"/>
        <v>0</v>
      </c>
      <c r="AE14"/>
      <c r="AF14"/>
      <c r="AG14"/>
      <c r="AH14" s="1520">
        <v>0</v>
      </c>
      <c r="AI14" s="1586">
        <f t="shared" si="2"/>
        <v>0</v>
      </c>
      <c r="AJ14"/>
      <c r="AK14"/>
      <c r="AL14"/>
      <c r="AM14" s="1776">
        <v>0</v>
      </c>
      <c r="AN14" s="1898">
        <f t="shared" si="3"/>
        <v>0</v>
      </c>
      <c r="AO14"/>
      <c r="AP14"/>
      <c r="AQ14"/>
      <c r="AR14"/>
      <c r="AS14"/>
    </row>
    <row r="15" spans="1:45" s="719" customFormat="1" x14ac:dyDescent="0.5">
      <c r="B15" s="718"/>
      <c r="C15" s="735" t="s">
        <v>922</v>
      </c>
      <c r="D15" s="720"/>
      <c r="E15" s="736">
        <f>+'Passage P&amp;L-par nature'!E15</f>
        <v>202.46258399999999</v>
      </c>
      <c r="F15" s="1765">
        <f t="shared" si="1"/>
        <v>-202.46258399999999</v>
      </c>
      <c r="G15" s="1765"/>
      <c r="H15" s="1765"/>
      <c r="I15" s="1765"/>
      <c r="J15" s="1765"/>
      <c r="K15" s="1765"/>
      <c r="L15" s="1765"/>
      <c r="M15" s="1765"/>
      <c r="N15" s="1765"/>
      <c r="O15" s="1765"/>
      <c r="P15" s="1765"/>
      <c r="Q15" s="1765"/>
      <c r="R15" s="1765"/>
      <c r="S15" s="1765"/>
      <c r="T15" s="1765"/>
      <c r="U15" s="1765"/>
      <c r="V15" s="1765"/>
      <c r="W15" s="1765"/>
      <c r="X15" s="1765"/>
      <c r="Y15" s="1765"/>
      <c r="Z15" s="1765"/>
      <c r="AA15" s="1765"/>
      <c r="AB15" s="1765"/>
      <c r="AC15" s="737"/>
      <c r="AD15" s="738">
        <f t="shared" si="0"/>
        <v>0</v>
      </c>
      <c r="AE15"/>
      <c r="AF15"/>
      <c r="AG15"/>
      <c r="AH15" s="1520">
        <v>0</v>
      </c>
      <c r="AI15" s="1586">
        <f t="shared" si="2"/>
        <v>0</v>
      </c>
      <c r="AJ15"/>
      <c r="AK15"/>
      <c r="AL15"/>
      <c r="AM15" s="1776">
        <v>0</v>
      </c>
      <c r="AN15" s="1898">
        <f t="shared" si="3"/>
        <v>0</v>
      </c>
      <c r="AO15"/>
      <c r="AP15"/>
      <c r="AQ15"/>
      <c r="AR15"/>
      <c r="AS15"/>
    </row>
    <row r="16" spans="1:45" s="719" customFormat="1" ht="9.9" customHeight="1" x14ac:dyDescent="0.5">
      <c r="B16" s="718" t="s">
        <v>1548</v>
      </c>
      <c r="D16" s="720"/>
      <c r="E16" s="739"/>
      <c r="F16" s="1766"/>
      <c r="G16" s="1766"/>
      <c r="H16" s="1766"/>
      <c r="I16" s="1766"/>
      <c r="J16" s="1766"/>
      <c r="K16" s="1766"/>
      <c r="L16" s="1766"/>
      <c r="M16" s="1766"/>
      <c r="N16" s="1766"/>
      <c r="O16" s="1766"/>
      <c r="P16" s="1766"/>
      <c r="Q16" s="1766"/>
      <c r="R16" s="1766"/>
      <c r="S16" s="1766"/>
      <c r="T16" s="1766"/>
      <c r="U16" s="1766"/>
      <c r="V16" s="1766"/>
      <c r="W16" s="1766"/>
      <c r="X16" s="1766"/>
      <c r="Y16" s="1766"/>
      <c r="Z16" s="1766"/>
      <c r="AA16" s="1766"/>
      <c r="AB16" s="1766"/>
      <c r="AC16" s="737"/>
      <c r="AD16" s="739"/>
      <c r="AE16"/>
      <c r="AF16"/>
      <c r="AG16"/>
      <c r="AH16" s="1520"/>
      <c r="AI16" s="1586">
        <f t="shared" si="2"/>
        <v>0</v>
      </c>
      <c r="AJ16"/>
      <c r="AK16"/>
      <c r="AL16"/>
      <c r="AM16" s="1777"/>
      <c r="AN16" s="1899">
        <f t="shared" si="3"/>
        <v>0</v>
      </c>
      <c r="AO16"/>
      <c r="AP16"/>
      <c r="AQ16"/>
      <c r="AR16"/>
      <c r="AS16"/>
    </row>
    <row r="17" spans="2:45" s="719" customFormat="1" x14ac:dyDescent="0.5">
      <c r="B17" s="718" t="s">
        <v>1548</v>
      </c>
      <c r="C17" s="740" t="s">
        <v>1758</v>
      </c>
      <c r="D17" s="720"/>
      <c r="E17" s="736">
        <f>+'Passage P&amp;L-par nature'!E44</f>
        <v>-1878.495285</v>
      </c>
      <c r="F17" s="1765"/>
      <c r="G17" s="1765">
        <f>-E17</f>
        <v>1878.495285</v>
      </c>
      <c r="H17" s="1765"/>
      <c r="I17" s="1765"/>
      <c r="J17" s="1765"/>
      <c r="K17" s="1765"/>
      <c r="L17" s="1765"/>
      <c r="M17" s="1765"/>
      <c r="N17" s="1765"/>
      <c r="O17" s="1765"/>
      <c r="P17" s="1765"/>
      <c r="Q17" s="1765"/>
      <c r="R17" s="1765"/>
      <c r="S17" s="1765"/>
      <c r="T17" s="1765"/>
      <c r="U17" s="1765"/>
      <c r="V17" s="1765"/>
      <c r="W17" s="1765"/>
      <c r="X17" s="1765"/>
      <c r="Y17" s="1765"/>
      <c r="Z17" s="1765"/>
      <c r="AA17" s="1765"/>
      <c r="AB17" s="1765"/>
      <c r="AC17" s="737"/>
      <c r="AD17" s="738">
        <f t="shared" ref="AD17:AD28" si="4">+SUM(E17:AB17)</f>
        <v>0</v>
      </c>
      <c r="AE17"/>
      <c r="AF17"/>
      <c r="AG17"/>
      <c r="AH17" s="1520">
        <v>0</v>
      </c>
      <c r="AI17" s="1586">
        <f t="shared" si="2"/>
        <v>0</v>
      </c>
      <c r="AJ17"/>
      <c r="AK17"/>
      <c r="AL17"/>
      <c r="AM17" s="1776">
        <v>0</v>
      </c>
      <c r="AN17" s="1898">
        <f t="shared" si="3"/>
        <v>0</v>
      </c>
      <c r="AO17"/>
      <c r="AP17"/>
      <c r="AQ17"/>
      <c r="AR17"/>
      <c r="AS17"/>
    </row>
    <row r="18" spans="2:45" s="719" customFormat="1" x14ac:dyDescent="0.5">
      <c r="B18" s="718" t="s">
        <v>1548</v>
      </c>
      <c r="C18" s="741" t="s">
        <v>1759</v>
      </c>
      <c r="D18" s="720"/>
      <c r="E18" s="736">
        <f>+'Passage P&amp;L-par nature'!E45</f>
        <v>-167.058426</v>
      </c>
      <c r="F18" s="1765"/>
      <c r="G18" s="1765">
        <f t="shared" ref="G18:G28" si="5">-E18</f>
        <v>167.058426</v>
      </c>
      <c r="H18" s="1765"/>
      <c r="I18" s="1765"/>
      <c r="J18" s="1765"/>
      <c r="K18" s="1765"/>
      <c r="L18" s="1765"/>
      <c r="M18" s="1765"/>
      <c r="N18" s="1765"/>
      <c r="O18" s="1765"/>
      <c r="P18" s="1765"/>
      <c r="Q18" s="1765"/>
      <c r="R18" s="1765"/>
      <c r="S18" s="1765"/>
      <c r="T18" s="1765"/>
      <c r="U18" s="1765"/>
      <c r="V18" s="1765"/>
      <c r="W18" s="1765"/>
      <c r="X18" s="1765"/>
      <c r="Y18" s="1765"/>
      <c r="Z18" s="1765"/>
      <c r="AA18" s="1765"/>
      <c r="AB18" s="1765"/>
      <c r="AC18" s="737"/>
      <c r="AD18" s="738">
        <f t="shared" si="4"/>
        <v>0</v>
      </c>
      <c r="AE18"/>
      <c r="AF18"/>
      <c r="AG18"/>
      <c r="AH18" s="1520">
        <v>0</v>
      </c>
      <c r="AI18" s="1586">
        <f t="shared" si="2"/>
        <v>0</v>
      </c>
      <c r="AJ18"/>
      <c r="AK18"/>
      <c r="AL18"/>
      <c r="AM18" s="1776">
        <v>0</v>
      </c>
      <c r="AN18" s="1898">
        <f t="shared" si="3"/>
        <v>0</v>
      </c>
      <c r="AO18"/>
      <c r="AP18"/>
      <c r="AQ18"/>
      <c r="AR18"/>
      <c r="AS18"/>
    </row>
    <row r="19" spans="2:45" s="719" customFormat="1" x14ac:dyDescent="0.5">
      <c r="B19" s="718" t="s">
        <v>1548</v>
      </c>
      <c r="C19" s="741" t="s">
        <v>1760</v>
      </c>
      <c r="D19" s="720"/>
      <c r="E19" s="736">
        <f>+'Passage P&amp;L-par nature'!E46</f>
        <v>0</v>
      </c>
      <c r="F19" s="1765"/>
      <c r="G19" s="1765">
        <f t="shared" si="5"/>
        <v>0</v>
      </c>
      <c r="H19" s="1765"/>
      <c r="I19" s="1765"/>
      <c r="J19" s="1765"/>
      <c r="K19" s="1765"/>
      <c r="L19" s="1765"/>
      <c r="M19" s="1765"/>
      <c r="N19" s="1765"/>
      <c r="O19" s="1765"/>
      <c r="P19" s="1765"/>
      <c r="Q19" s="1765"/>
      <c r="R19" s="1765"/>
      <c r="S19" s="1765"/>
      <c r="T19" s="1765"/>
      <c r="U19" s="1765"/>
      <c r="V19" s="1765"/>
      <c r="W19" s="1765"/>
      <c r="X19" s="1765"/>
      <c r="Y19" s="1765"/>
      <c r="Z19" s="1765"/>
      <c r="AA19" s="1765"/>
      <c r="AB19" s="1765"/>
      <c r="AC19" s="737"/>
      <c r="AD19" s="738">
        <f t="shared" si="4"/>
        <v>0</v>
      </c>
      <c r="AE19"/>
      <c r="AF19"/>
      <c r="AG19"/>
      <c r="AH19" s="1520">
        <v>0</v>
      </c>
      <c r="AI19" s="1586">
        <f t="shared" si="2"/>
        <v>0</v>
      </c>
      <c r="AJ19"/>
      <c r="AK19"/>
      <c r="AL19"/>
      <c r="AM19" s="1776">
        <v>0</v>
      </c>
      <c r="AN19" s="1898">
        <f t="shared" si="3"/>
        <v>0</v>
      </c>
      <c r="AO19"/>
      <c r="AP19"/>
      <c r="AQ19"/>
      <c r="AR19"/>
      <c r="AS19"/>
    </row>
    <row r="20" spans="2:45" s="719" customFormat="1" x14ac:dyDescent="0.5">
      <c r="B20" s="718" t="s">
        <v>1548</v>
      </c>
      <c r="C20" s="741" t="s">
        <v>1759</v>
      </c>
      <c r="D20" s="720"/>
      <c r="E20" s="736">
        <f>+'Passage P&amp;L-par nature'!E47</f>
        <v>20.98283</v>
      </c>
      <c r="F20" s="1765"/>
      <c r="G20" s="1765">
        <f t="shared" si="5"/>
        <v>-20.98283</v>
      </c>
      <c r="H20" s="1765"/>
      <c r="I20" s="1765"/>
      <c r="J20" s="1765"/>
      <c r="K20" s="1765"/>
      <c r="L20" s="1765"/>
      <c r="M20" s="1765"/>
      <c r="N20" s="1765"/>
      <c r="O20" s="1765"/>
      <c r="P20" s="1765"/>
      <c r="Q20" s="1765"/>
      <c r="R20" s="1765"/>
      <c r="S20" s="1765"/>
      <c r="T20" s="1765"/>
      <c r="U20" s="1765"/>
      <c r="V20" s="1765"/>
      <c r="W20" s="1765"/>
      <c r="X20" s="1765"/>
      <c r="Y20" s="1765"/>
      <c r="Z20" s="1765"/>
      <c r="AA20" s="1765"/>
      <c r="AB20" s="1765"/>
      <c r="AC20" s="737"/>
      <c r="AD20" s="738">
        <f t="shared" si="4"/>
        <v>0</v>
      </c>
      <c r="AE20"/>
      <c r="AF20"/>
      <c r="AG20"/>
      <c r="AH20" s="1520">
        <v>0</v>
      </c>
      <c r="AI20" s="1586">
        <f t="shared" si="2"/>
        <v>0</v>
      </c>
      <c r="AJ20"/>
      <c r="AK20"/>
      <c r="AL20"/>
      <c r="AM20" s="1776">
        <v>0</v>
      </c>
      <c r="AN20" s="1898">
        <f t="shared" si="3"/>
        <v>0</v>
      </c>
      <c r="AO20"/>
      <c r="AP20"/>
      <c r="AQ20"/>
      <c r="AR20"/>
      <c r="AS20"/>
    </row>
    <row r="21" spans="2:45" s="719" customFormat="1" x14ac:dyDescent="0.5">
      <c r="B21" s="718" t="s">
        <v>1548</v>
      </c>
      <c r="C21" s="741" t="s">
        <v>934</v>
      </c>
      <c r="D21" s="720"/>
      <c r="E21" s="736">
        <f>+'Passage P&amp;L-par nature'!E48</f>
        <v>-13535.561694</v>
      </c>
      <c r="F21" s="1765"/>
      <c r="G21" s="1765">
        <f t="shared" si="5"/>
        <v>13535.561694</v>
      </c>
      <c r="H21" s="1765"/>
      <c r="I21" s="1765"/>
      <c r="J21" s="1765"/>
      <c r="K21" s="1765"/>
      <c r="L21" s="1765"/>
      <c r="M21" s="1765"/>
      <c r="N21" s="1765"/>
      <c r="O21" s="1765"/>
      <c r="P21" s="1765"/>
      <c r="Q21" s="1765"/>
      <c r="R21" s="1765"/>
      <c r="S21" s="1765"/>
      <c r="T21" s="1765"/>
      <c r="U21" s="1765"/>
      <c r="V21" s="1765"/>
      <c r="W21" s="1765"/>
      <c r="X21" s="1765"/>
      <c r="Y21" s="1765"/>
      <c r="Z21" s="1765"/>
      <c r="AA21" s="1765"/>
      <c r="AB21" s="1765"/>
      <c r="AC21" s="737"/>
      <c r="AD21" s="738">
        <f t="shared" si="4"/>
        <v>0</v>
      </c>
      <c r="AE21"/>
      <c r="AF21"/>
      <c r="AG21"/>
      <c r="AH21" s="1520">
        <v>0</v>
      </c>
      <c r="AI21" s="1586">
        <f t="shared" si="2"/>
        <v>0</v>
      </c>
      <c r="AJ21"/>
      <c r="AK21"/>
      <c r="AL21"/>
      <c r="AM21" s="1776">
        <v>0</v>
      </c>
      <c r="AN21" s="1898">
        <f t="shared" si="3"/>
        <v>0</v>
      </c>
      <c r="AO21"/>
      <c r="AP21"/>
      <c r="AQ21"/>
      <c r="AR21"/>
      <c r="AS21"/>
    </row>
    <row r="22" spans="2:45" s="719" customFormat="1" x14ac:dyDescent="0.5">
      <c r="B22" s="718" t="s">
        <v>1548</v>
      </c>
      <c r="C22" s="741" t="s">
        <v>1759</v>
      </c>
      <c r="D22" s="720"/>
      <c r="E22" s="736">
        <f>+'Passage P&amp;L-par nature'!E49</f>
        <v>-70.632568000000006</v>
      </c>
      <c r="F22" s="1765"/>
      <c r="G22" s="1765">
        <f t="shared" si="5"/>
        <v>70.632568000000006</v>
      </c>
      <c r="H22" s="1765"/>
      <c r="I22" s="1765"/>
      <c r="J22" s="1765"/>
      <c r="K22" s="1765"/>
      <c r="L22" s="1765"/>
      <c r="M22" s="1765"/>
      <c r="N22" s="1765"/>
      <c r="O22" s="1765"/>
      <c r="P22" s="1765"/>
      <c r="Q22" s="1765"/>
      <c r="R22" s="1765"/>
      <c r="S22" s="1765"/>
      <c r="T22" s="1765"/>
      <c r="U22" s="1765"/>
      <c r="V22" s="1765"/>
      <c r="W22" s="1765"/>
      <c r="X22" s="1765"/>
      <c r="Y22" s="1765"/>
      <c r="Z22" s="1765"/>
      <c r="AA22" s="1765"/>
      <c r="AB22" s="1765"/>
      <c r="AC22" s="737"/>
      <c r="AD22" s="738">
        <f t="shared" si="4"/>
        <v>0</v>
      </c>
      <c r="AE22"/>
      <c r="AF22"/>
      <c r="AG22"/>
      <c r="AH22" s="1520">
        <v>0</v>
      </c>
      <c r="AI22" s="1586">
        <f t="shared" si="2"/>
        <v>0</v>
      </c>
      <c r="AJ22"/>
      <c r="AK22"/>
      <c r="AL22"/>
      <c r="AM22" s="1776">
        <v>0</v>
      </c>
      <c r="AN22" s="1898">
        <f t="shared" si="3"/>
        <v>0</v>
      </c>
      <c r="AO22"/>
      <c r="AP22"/>
      <c r="AQ22"/>
      <c r="AR22"/>
      <c r="AS22"/>
    </row>
    <row r="23" spans="2:45" s="719" customFormat="1" x14ac:dyDescent="0.5">
      <c r="B23" s="718" t="s">
        <v>1548</v>
      </c>
      <c r="C23" s="741" t="s">
        <v>1761</v>
      </c>
      <c r="D23" s="720"/>
      <c r="E23" s="736">
        <f>+'Passage P&amp;L-par nature'!E50</f>
        <v>-185.10870800000001</v>
      </c>
      <c r="F23" s="1765"/>
      <c r="G23" s="1765">
        <f t="shared" si="5"/>
        <v>185.10870800000001</v>
      </c>
      <c r="H23" s="1765"/>
      <c r="I23" s="1765"/>
      <c r="J23" s="1765"/>
      <c r="K23" s="1765"/>
      <c r="L23" s="1765"/>
      <c r="M23" s="1765"/>
      <c r="N23" s="1765"/>
      <c r="O23" s="1765"/>
      <c r="P23" s="1765"/>
      <c r="Q23" s="1765"/>
      <c r="R23" s="1765"/>
      <c r="S23" s="1765"/>
      <c r="T23" s="1765"/>
      <c r="U23" s="1765"/>
      <c r="V23" s="1765"/>
      <c r="W23" s="1765"/>
      <c r="X23" s="1765"/>
      <c r="Y23" s="1765"/>
      <c r="Z23" s="1765"/>
      <c r="AA23" s="1765"/>
      <c r="AB23" s="1765"/>
      <c r="AC23" s="737"/>
      <c r="AD23" s="738">
        <f t="shared" si="4"/>
        <v>0</v>
      </c>
      <c r="AE23"/>
      <c r="AF23"/>
      <c r="AG23"/>
      <c r="AH23" s="1520">
        <v>0</v>
      </c>
      <c r="AI23" s="1586">
        <f t="shared" si="2"/>
        <v>0</v>
      </c>
      <c r="AJ23"/>
      <c r="AK23"/>
      <c r="AL23"/>
      <c r="AM23" s="1776">
        <v>0</v>
      </c>
      <c r="AN23" s="1898">
        <f t="shared" si="3"/>
        <v>0</v>
      </c>
      <c r="AO23"/>
      <c r="AP23"/>
      <c r="AQ23"/>
      <c r="AR23"/>
      <c r="AS23"/>
    </row>
    <row r="24" spans="2:45" s="719" customFormat="1" x14ac:dyDescent="0.5">
      <c r="B24" s="718" t="s">
        <v>1548</v>
      </c>
      <c r="C24" s="741" t="s">
        <v>1762</v>
      </c>
      <c r="D24" s="720"/>
      <c r="E24" s="736">
        <f>+'Passage P&amp;L-par nature'!E51</f>
        <v>-55972.756449</v>
      </c>
      <c r="F24" s="1765"/>
      <c r="G24" s="1765">
        <f t="shared" si="5"/>
        <v>55972.756449</v>
      </c>
      <c r="H24" s="1765"/>
      <c r="I24" s="1765"/>
      <c r="J24" s="1765"/>
      <c r="K24" s="1765"/>
      <c r="L24" s="1765"/>
      <c r="M24" s="1765"/>
      <c r="N24" s="1765"/>
      <c r="O24" s="1765"/>
      <c r="P24" s="1765"/>
      <c r="Q24" s="1765"/>
      <c r="R24" s="1765"/>
      <c r="S24" s="1765"/>
      <c r="T24" s="1765"/>
      <c r="U24" s="1765"/>
      <c r="V24" s="1765"/>
      <c r="W24" s="1765"/>
      <c r="X24" s="1765"/>
      <c r="Y24" s="1765"/>
      <c r="Z24" s="1765"/>
      <c r="AA24" s="1765"/>
      <c r="AB24" s="1765"/>
      <c r="AC24" s="737"/>
      <c r="AD24" s="738">
        <f t="shared" si="4"/>
        <v>0</v>
      </c>
      <c r="AE24"/>
      <c r="AF24"/>
      <c r="AG24"/>
      <c r="AH24" s="1520">
        <v>0</v>
      </c>
      <c r="AI24" s="1586">
        <f t="shared" si="2"/>
        <v>0</v>
      </c>
      <c r="AJ24"/>
      <c r="AK24"/>
      <c r="AL24"/>
      <c r="AM24" s="1776">
        <v>0</v>
      </c>
      <c r="AN24" s="1898">
        <f t="shared" si="3"/>
        <v>0</v>
      </c>
      <c r="AO24"/>
      <c r="AP24"/>
      <c r="AQ24"/>
      <c r="AR24"/>
      <c r="AS24"/>
    </row>
    <row r="25" spans="2:45" s="719" customFormat="1" x14ac:dyDescent="0.5">
      <c r="B25" s="718" t="s">
        <v>1548</v>
      </c>
      <c r="C25" s="741" t="s">
        <v>1763</v>
      </c>
      <c r="D25" s="720"/>
      <c r="E25" s="736">
        <f>+'Passage P&amp;L-par nature'!E52</f>
        <v>-2756.9669140000001</v>
      </c>
      <c r="F25" s="1765"/>
      <c r="G25" s="1765">
        <f t="shared" si="5"/>
        <v>2756.9669140000001</v>
      </c>
      <c r="H25" s="1765"/>
      <c r="I25" s="1765"/>
      <c r="J25" s="1765"/>
      <c r="K25" s="1765"/>
      <c r="L25" s="1765"/>
      <c r="M25" s="1765"/>
      <c r="N25" s="1765"/>
      <c r="O25" s="1765"/>
      <c r="P25" s="1765"/>
      <c r="Q25" s="1765"/>
      <c r="R25" s="1765"/>
      <c r="S25" s="1765"/>
      <c r="T25" s="1765"/>
      <c r="U25" s="1765"/>
      <c r="V25" s="1765"/>
      <c r="W25" s="1765"/>
      <c r="X25" s="1765"/>
      <c r="Y25" s="1765"/>
      <c r="Z25" s="1765"/>
      <c r="AA25" s="1765"/>
      <c r="AB25" s="1765"/>
      <c r="AC25" s="737"/>
      <c r="AD25" s="738">
        <f t="shared" si="4"/>
        <v>0</v>
      </c>
      <c r="AE25"/>
      <c r="AF25"/>
      <c r="AG25"/>
      <c r="AH25" s="1520">
        <v>0</v>
      </c>
      <c r="AI25" s="1586">
        <f t="shared" si="2"/>
        <v>0</v>
      </c>
      <c r="AJ25"/>
      <c r="AK25"/>
      <c r="AL25"/>
      <c r="AM25" s="1776">
        <v>0</v>
      </c>
      <c r="AN25" s="1898">
        <f t="shared" si="3"/>
        <v>0</v>
      </c>
      <c r="AO25"/>
      <c r="AP25"/>
      <c r="AQ25"/>
      <c r="AR25"/>
      <c r="AS25"/>
    </row>
    <row r="26" spans="2:45" s="719" customFormat="1" x14ac:dyDescent="0.5">
      <c r="B26" s="718" t="s">
        <v>1548</v>
      </c>
      <c r="C26" s="741" t="s">
        <v>1764</v>
      </c>
      <c r="D26" s="720"/>
      <c r="E26" s="736">
        <f>+'Passage P&amp;L-par nature'!E53</f>
        <v>-2130.824161</v>
      </c>
      <c r="F26" s="1765"/>
      <c r="G26" s="1765">
        <f t="shared" si="5"/>
        <v>2130.824161</v>
      </c>
      <c r="H26" s="1765"/>
      <c r="I26" s="1765"/>
      <c r="J26" s="1765"/>
      <c r="K26" s="1765"/>
      <c r="L26" s="1765"/>
      <c r="M26" s="1765"/>
      <c r="N26" s="1765"/>
      <c r="O26" s="1765"/>
      <c r="P26" s="1765"/>
      <c r="Q26" s="1765"/>
      <c r="R26" s="1765"/>
      <c r="S26" s="1765"/>
      <c r="T26" s="1765"/>
      <c r="U26" s="1765"/>
      <c r="V26" s="1765"/>
      <c r="W26" s="1765"/>
      <c r="X26" s="1765"/>
      <c r="Y26" s="1765"/>
      <c r="Z26" s="1765"/>
      <c r="AA26" s="1765"/>
      <c r="AB26" s="1765"/>
      <c r="AC26" s="737"/>
      <c r="AD26" s="738">
        <f t="shared" si="4"/>
        <v>0</v>
      </c>
      <c r="AE26"/>
      <c r="AF26"/>
      <c r="AG26"/>
      <c r="AH26" s="1520">
        <v>0</v>
      </c>
      <c r="AI26" s="1586">
        <f t="shared" si="2"/>
        <v>0</v>
      </c>
      <c r="AJ26"/>
      <c r="AK26"/>
      <c r="AL26"/>
      <c r="AM26" s="1776">
        <v>0</v>
      </c>
      <c r="AN26" s="1898">
        <f t="shared" si="3"/>
        <v>0</v>
      </c>
      <c r="AO26"/>
      <c r="AP26"/>
      <c r="AQ26"/>
      <c r="AR26"/>
      <c r="AS26"/>
    </row>
    <row r="27" spans="2:45" s="719" customFormat="1" x14ac:dyDescent="0.5">
      <c r="B27" s="718"/>
      <c r="C27" s="741" t="s">
        <v>1765</v>
      </c>
      <c r="D27" s="720"/>
      <c r="E27" s="736">
        <f>+'Passage P&amp;L-par nature'!E54</f>
        <v>-4859.4978529999998</v>
      </c>
      <c r="F27" s="1765"/>
      <c r="G27" s="1765">
        <f t="shared" si="5"/>
        <v>4859.4978529999998</v>
      </c>
      <c r="H27" s="1765"/>
      <c r="I27" s="1765"/>
      <c r="J27" s="1765"/>
      <c r="K27" s="1765"/>
      <c r="L27" s="1765"/>
      <c r="M27" s="1765"/>
      <c r="N27" s="1765"/>
      <c r="O27" s="1765"/>
      <c r="P27" s="1765"/>
      <c r="Q27" s="1765"/>
      <c r="R27" s="1765"/>
      <c r="S27" s="1765"/>
      <c r="T27" s="1765"/>
      <c r="U27" s="1765"/>
      <c r="V27" s="1765"/>
      <c r="W27" s="1765"/>
      <c r="X27" s="1765"/>
      <c r="Y27" s="1765"/>
      <c r="Z27" s="1765"/>
      <c r="AA27" s="1765"/>
      <c r="AB27" s="1765"/>
      <c r="AC27" s="737"/>
      <c r="AD27" s="738">
        <f t="shared" si="4"/>
        <v>0</v>
      </c>
      <c r="AE27"/>
      <c r="AF27"/>
      <c r="AG27"/>
      <c r="AH27" s="1520">
        <v>0</v>
      </c>
      <c r="AI27" s="1586">
        <f t="shared" si="2"/>
        <v>0</v>
      </c>
      <c r="AJ27"/>
      <c r="AK27"/>
      <c r="AL27"/>
      <c r="AM27" s="1776">
        <v>0</v>
      </c>
      <c r="AN27" s="1898">
        <f t="shared" si="3"/>
        <v>0</v>
      </c>
      <c r="AO27"/>
      <c r="AP27"/>
      <c r="AQ27"/>
      <c r="AR27"/>
      <c r="AS27"/>
    </row>
    <row r="28" spans="2:45" s="719" customFormat="1" x14ac:dyDescent="0.5">
      <c r="B28" s="718" t="s">
        <v>1548</v>
      </c>
      <c r="C28" s="741" t="s">
        <v>1766</v>
      </c>
      <c r="D28" s="720"/>
      <c r="E28" s="736">
        <f>+'Passage P&amp;L-par nature'!E55</f>
        <v>-18531.485240000002</v>
      </c>
      <c r="F28" s="1765"/>
      <c r="G28" s="1765">
        <f t="shared" si="5"/>
        <v>18531.485240000002</v>
      </c>
      <c r="H28" s="1765"/>
      <c r="I28" s="1765"/>
      <c r="J28" s="1765"/>
      <c r="K28" s="1765"/>
      <c r="L28" s="1765"/>
      <c r="M28" s="1765"/>
      <c r="N28" s="1765"/>
      <c r="O28" s="1765"/>
      <c r="P28" s="1765"/>
      <c r="Q28" s="1765"/>
      <c r="R28" s="1765"/>
      <c r="S28" s="1765"/>
      <c r="T28" s="1765"/>
      <c r="U28" s="1765"/>
      <c r="V28" s="1765"/>
      <c r="W28" s="1765"/>
      <c r="X28" s="1765"/>
      <c r="Y28" s="1765"/>
      <c r="Z28" s="1765"/>
      <c r="AA28" s="1765"/>
      <c r="AB28" s="1765"/>
      <c r="AC28" s="737"/>
      <c r="AD28" s="738">
        <f t="shared" si="4"/>
        <v>0</v>
      </c>
      <c r="AE28"/>
      <c r="AF28"/>
      <c r="AG28"/>
      <c r="AH28" s="1520">
        <v>0</v>
      </c>
      <c r="AI28" s="1586">
        <f t="shared" si="2"/>
        <v>0</v>
      </c>
      <c r="AJ28"/>
      <c r="AK28"/>
      <c r="AL28"/>
      <c r="AM28" s="1776">
        <v>0</v>
      </c>
      <c r="AN28" s="1898">
        <f t="shared" si="3"/>
        <v>0</v>
      </c>
      <c r="AO28"/>
      <c r="AP28"/>
      <c r="AQ28"/>
      <c r="AR28"/>
      <c r="AS28"/>
    </row>
    <row r="29" spans="2:45" ht="9.9" customHeight="1" x14ac:dyDescent="0.5">
      <c r="E29" s="739"/>
      <c r="F29" s="1767"/>
      <c r="G29" s="1767"/>
      <c r="H29" s="1767"/>
      <c r="I29" s="1767"/>
      <c r="J29" s="1767"/>
      <c r="K29" s="1767"/>
      <c r="L29" s="1767"/>
      <c r="M29" s="1767"/>
      <c r="N29" s="1767"/>
      <c r="O29" s="1767"/>
      <c r="P29" s="1767"/>
      <c r="Q29" s="1767"/>
      <c r="R29" s="1767"/>
      <c r="S29" s="1767"/>
      <c r="T29" s="1767"/>
      <c r="U29" s="1767"/>
      <c r="V29" s="1767"/>
      <c r="W29" s="1767"/>
      <c r="X29" s="1767"/>
      <c r="Y29" s="1767"/>
      <c r="Z29" s="1767"/>
      <c r="AA29" s="1767"/>
      <c r="AB29" s="1767"/>
      <c r="AC29" s="742"/>
      <c r="AD29" s="739"/>
      <c r="AI29" s="1586">
        <f t="shared" si="2"/>
        <v>0</v>
      </c>
      <c r="AM29" s="1777"/>
      <c r="AN29" s="1899">
        <f t="shared" si="3"/>
        <v>0</v>
      </c>
    </row>
    <row r="30" spans="2:45" x14ac:dyDescent="0.5">
      <c r="B30" s="743" t="s">
        <v>1500</v>
      </c>
      <c r="C30" s="744" t="s">
        <v>1501</v>
      </c>
      <c r="E30" s="745"/>
      <c r="F30" s="1768">
        <f>+'Passage P&amp;L-par nature'!F17</f>
        <v>1124.4278670000001</v>
      </c>
      <c r="G30" s="1768"/>
      <c r="H30" s="1768"/>
      <c r="I30" s="1768"/>
      <c r="J30" s="1768"/>
      <c r="K30" s="1768"/>
      <c r="L30" s="1768"/>
      <c r="M30" s="1768"/>
      <c r="N30" s="1768"/>
      <c r="O30" s="1768"/>
      <c r="P30" s="1768"/>
      <c r="Q30" s="1768"/>
      <c r="R30" s="1768"/>
      <c r="S30" s="1768"/>
      <c r="T30" s="1768"/>
      <c r="U30" s="1768"/>
      <c r="V30" s="1768"/>
      <c r="W30" s="1768"/>
      <c r="X30" s="1768"/>
      <c r="Y30" s="1768"/>
      <c r="Z30" s="1768"/>
      <c r="AA30" s="1768"/>
      <c r="AB30" s="1768"/>
      <c r="AC30" s="742"/>
      <c r="AD30" s="746">
        <f>+SUM(E30:AB30)</f>
        <v>1124.4278670000001</v>
      </c>
      <c r="AH30" s="1520">
        <v>318.14612299999999</v>
      </c>
      <c r="AI30" s="1586">
        <f t="shared" si="2"/>
        <v>806.28174400000012</v>
      </c>
      <c r="AM30" s="1778">
        <v>1124.4278670000001</v>
      </c>
      <c r="AN30" s="1900">
        <f t="shared" si="3"/>
        <v>0</v>
      </c>
    </row>
    <row r="31" spans="2:45" x14ac:dyDescent="0.5">
      <c r="B31" s="743" t="s">
        <v>1502</v>
      </c>
      <c r="C31" s="744" t="s">
        <v>1503</v>
      </c>
      <c r="E31" s="745"/>
      <c r="F31" s="1768">
        <f>+'Passage P&amp;L-par nature'!F18</f>
        <v>103573.105394</v>
      </c>
      <c r="G31" s="1768"/>
      <c r="H31" s="1768">
        <f>+'Passage P&amp;L-par nature'!H18</f>
        <v>0</v>
      </c>
      <c r="I31" s="1768">
        <f>+'Passage P&amp;L-par nature'!I18</f>
        <v>0</v>
      </c>
      <c r="J31" s="1768">
        <f>+'Passage P&amp;L-par nature'!J18</f>
        <v>0</v>
      </c>
      <c r="K31" s="1768">
        <f>+'Passage P&amp;L-par nature'!K18</f>
        <v>0</v>
      </c>
      <c r="L31" s="1768">
        <f>+'Passage P&amp;L-par nature'!L18</f>
        <v>0</v>
      </c>
      <c r="M31" s="1768">
        <f>+'Passage P&amp;L-par nature'!M18</f>
        <v>0</v>
      </c>
      <c r="N31" s="1768">
        <f>+'Passage P&amp;L-par nature'!N18</f>
        <v>0</v>
      </c>
      <c r="O31" s="1768">
        <f>+'Passage P&amp;L-par nature'!O18</f>
        <v>0</v>
      </c>
      <c r="P31" s="1768">
        <f>+'Passage P&amp;L-par nature'!P18</f>
        <v>0</v>
      </c>
      <c r="Q31" s="1768">
        <f>+'Passage P&amp;L-par nature'!Q18</f>
        <v>0</v>
      </c>
      <c r="R31" s="1768">
        <f>+'Passage P&amp;L-par nature'!R18</f>
        <v>0</v>
      </c>
      <c r="S31" s="1768">
        <f>+'Passage P&amp;L-par nature'!S18</f>
        <v>0</v>
      </c>
      <c r="T31" s="1768">
        <f>+'Passage P&amp;L-par nature'!T18</f>
        <v>0</v>
      </c>
      <c r="U31" s="1768">
        <f>+'Passage P&amp;L-par nature'!U18</f>
        <v>-768.31055000000003</v>
      </c>
      <c r="V31" s="1768">
        <f>+'Passage P&amp;L-par nature'!V18</f>
        <v>0</v>
      </c>
      <c r="W31" s="1768">
        <f>+'Passage P&amp;L-par nature'!W18</f>
        <v>0</v>
      </c>
      <c r="X31" s="1768">
        <f>+'Passage P&amp;L-par nature'!X18</f>
        <v>0</v>
      </c>
      <c r="Y31" s="1768">
        <f>+'Passage P&amp;L-par nature'!Y18</f>
        <v>51.994343999999998</v>
      </c>
      <c r="Z31" s="1768">
        <f>+'Passage P&amp;L-par nature'!Z18</f>
        <v>0</v>
      </c>
      <c r="AA31" s="1768">
        <f>+'Passage P&amp;L-par nature'!AA18</f>
        <v>0</v>
      </c>
      <c r="AB31" s="1768">
        <f>+'Passage P&amp;L-par nature'!AB18</f>
        <v>0</v>
      </c>
      <c r="AC31" s="742"/>
      <c r="AD31" s="746">
        <f>+SUM(E31:AB31)</f>
        <v>102856.78918800001</v>
      </c>
      <c r="AH31" s="1520">
        <v>26105.741631000001</v>
      </c>
      <c r="AI31" s="1586">
        <f t="shared" si="2"/>
        <v>76751.047557000013</v>
      </c>
      <c r="AM31" s="1778">
        <v>102856.78918800001</v>
      </c>
      <c r="AN31" s="1900">
        <f t="shared" si="3"/>
        <v>0</v>
      </c>
    </row>
    <row r="32" spans="2:45" x14ac:dyDescent="0.5">
      <c r="B32" s="743" t="s">
        <v>1504</v>
      </c>
      <c r="C32" s="744" t="s">
        <v>1505</v>
      </c>
      <c r="E32" s="745"/>
      <c r="F32" s="1768">
        <f>+'Passage P&amp;L-par nature'!F19</f>
        <v>1561.774189</v>
      </c>
      <c r="G32" s="1768"/>
      <c r="H32" s="1768"/>
      <c r="I32" s="1768"/>
      <c r="J32" s="1768"/>
      <c r="K32" s="1768"/>
      <c r="L32" s="1768"/>
      <c r="M32" s="1768"/>
      <c r="N32" s="1768"/>
      <c r="O32" s="1768"/>
      <c r="P32" s="1768"/>
      <c r="Q32" s="1768"/>
      <c r="R32" s="1768"/>
      <c r="S32" s="1768"/>
      <c r="T32" s="1768"/>
      <c r="U32" s="1768"/>
      <c r="V32" s="1768"/>
      <c r="W32" s="1768"/>
      <c r="X32" s="1768"/>
      <c r="Y32" s="1768"/>
      <c r="Z32" s="1768"/>
      <c r="AA32" s="1768"/>
      <c r="AB32" s="1768"/>
      <c r="AC32" s="742"/>
      <c r="AD32" s="746">
        <f>+SUM(E32:AB32)</f>
        <v>1561.774189</v>
      </c>
      <c r="AH32" s="1520">
        <v>211.63947400000001</v>
      </c>
      <c r="AI32" s="1586">
        <f t="shared" si="2"/>
        <v>1350.1347149999999</v>
      </c>
      <c r="AM32" s="1778">
        <v>1561.774189</v>
      </c>
      <c r="AN32" s="1900">
        <f t="shared" si="3"/>
        <v>0</v>
      </c>
    </row>
    <row r="33" spans="2:45" s="719" customFormat="1" x14ac:dyDescent="0.5">
      <c r="B33" s="747" t="s">
        <v>1506</v>
      </c>
      <c r="C33" s="747" t="s">
        <v>1507</v>
      </c>
      <c r="D33" s="748"/>
      <c r="E33" s="749"/>
      <c r="F33" s="1769">
        <f t="shared" ref="F33:AB33" si="6">+SUM(F30:F32)</f>
        <v>106259.30745000001</v>
      </c>
      <c r="G33" s="1769">
        <f t="shared" si="6"/>
        <v>0</v>
      </c>
      <c r="H33" s="1769">
        <f t="shared" si="6"/>
        <v>0</v>
      </c>
      <c r="I33" s="1769">
        <f t="shared" si="6"/>
        <v>0</v>
      </c>
      <c r="J33" s="1769">
        <f t="shared" si="6"/>
        <v>0</v>
      </c>
      <c r="K33" s="1769">
        <f t="shared" si="6"/>
        <v>0</v>
      </c>
      <c r="L33" s="1769">
        <f t="shared" si="6"/>
        <v>0</v>
      </c>
      <c r="M33" s="1769">
        <f t="shared" si="6"/>
        <v>0</v>
      </c>
      <c r="N33" s="1769">
        <f t="shared" si="6"/>
        <v>0</v>
      </c>
      <c r="O33" s="1769">
        <f t="shared" si="6"/>
        <v>0</v>
      </c>
      <c r="P33" s="1769">
        <f t="shared" si="6"/>
        <v>0</v>
      </c>
      <c r="Q33" s="1769">
        <f t="shared" si="6"/>
        <v>0</v>
      </c>
      <c r="R33" s="1769">
        <f t="shared" si="6"/>
        <v>0</v>
      </c>
      <c r="S33" s="1769">
        <f t="shared" si="6"/>
        <v>0</v>
      </c>
      <c r="T33" s="1769">
        <f t="shared" si="6"/>
        <v>0</v>
      </c>
      <c r="U33" s="1769">
        <f t="shared" si="6"/>
        <v>-768.31055000000003</v>
      </c>
      <c r="V33" s="1769">
        <f t="shared" si="6"/>
        <v>0</v>
      </c>
      <c r="W33" s="1769">
        <f t="shared" si="6"/>
        <v>0</v>
      </c>
      <c r="X33" s="1769">
        <f t="shared" si="6"/>
        <v>0</v>
      </c>
      <c r="Y33" s="1769">
        <f t="shared" si="6"/>
        <v>51.994343999999998</v>
      </c>
      <c r="Z33" s="1769">
        <f t="shared" si="6"/>
        <v>0</v>
      </c>
      <c r="AA33" s="1769">
        <f t="shared" si="6"/>
        <v>0</v>
      </c>
      <c r="AB33" s="1769">
        <f t="shared" si="6"/>
        <v>0</v>
      </c>
      <c r="AC33" s="737"/>
      <c r="AD33" s="750">
        <f>+SUM(AD30:AD32)</f>
        <v>105542.99124400002</v>
      </c>
      <c r="AE33"/>
      <c r="AF33"/>
      <c r="AG33"/>
      <c r="AH33" s="1520">
        <v>26635.527227999999</v>
      </c>
      <c r="AI33" s="1586">
        <f t="shared" si="2"/>
        <v>78907.464016000013</v>
      </c>
      <c r="AJ33"/>
      <c r="AK33"/>
      <c r="AL33"/>
      <c r="AM33" s="1779">
        <v>105542.99124400002</v>
      </c>
      <c r="AN33" s="1901">
        <f t="shared" si="3"/>
        <v>0</v>
      </c>
      <c r="AO33"/>
      <c r="AP33"/>
      <c r="AQ33"/>
      <c r="AR33"/>
      <c r="AS33"/>
    </row>
    <row r="34" spans="2:45" ht="9.9" customHeight="1" x14ac:dyDescent="0.5">
      <c r="E34" s="751"/>
      <c r="AC34" s="742"/>
      <c r="AD34" s="751"/>
      <c r="AI34" s="1586">
        <f t="shared" si="2"/>
        <v>0</v>
      </c>
      <c r="AN34" s="1895">
        <f t="shared" si="3"/>
        <v>0</v>
      </c>
    </row>
    <row r="35" spans="2:45" x14ac:dyDescent="0.5">
      <c r="B35" s="743" t="s">
        <v>1768</v>
      </c>
      <c r="C35" s="744" t="s">
        <v>1769</v>
      </c>
      <c r="E35" s="745"/>
      <c r="F35" s="1768"/>
      <c r="G35" s="1768">
        <f>'Passage P&amp;L-par nature'!G57+'Passage P&amp;L-par nature'!G88+'Passage P&amp;L-par nature'!F34+'Passage P&amp;L-par nature'!G59</f>
        <v>-2237.5037170000001</v>
      </c>
      <c r="H35" s="1768">
        <f>'Passage P&amp;L-par nature'!H57+'Passage P&amp;L-par nature'!H88+'Passage P&amp;L-par nature'!G34+'Passage P&amp;L-par nature'!H59</f>
        <v>0</v>
      </c>
      <c r="I35" s="1768">
        <f>'Passage P&amp;L-par nature'!I57+'Passage P&amp;L-par nature'!I88+'Passage P&amp;L-par nature'!H34+'Passage P&amp;L-par nature'!I59</f>
        <v>0</v>
      </c>
      <c r="J35" s="1768">
        <f>'Passage P&amp;L-par nature'!J57+'Passage P&amp;L-par nature'!J88+'Passage P&amp;L-par nature'!I34+'Passage P&amp;L-par nature'!J59</f>
        <v>759.49458200000004</v>
      </c>
      <c r="K35" s="1768">
        <f>'Passage P&amp;L-par nature'!K57+'Passage P&amp;L-par nature'!K88+'Passage P&amp;L-par nature'!J34+'Passage P&amp;L-par nature'!K59</f>
        <v>-233.65454600000001</v>
      </c>
      <c r="L35" s="1768">
        <f>'Passage P&amp;L-par nature'!L57+'Passage P&amp;L-par nature'!L88+'Passage P&amp;L-par nature'!K34+'Passage P&amp;L-par nature'!L59</f>
        <v>0</v>
      </c>
      <c r="M35" s="1768">
        <f>'Passage P&amp;L-par nature'!M57+'Passage P&amp;L-par nature'!M88+'Passage P&amp;L-par nature'!L34+'Passage P&amp;L-par nature'!M59</f>
        <v>0</v>
      </c>
      <c r="N35" s="1768">
        <f>'Passage P&amp;L-par nature'!N57+'Passage P&amp;L-par nature'!N88+'Passage P&amp;L-par nature'!M34+'Passage P&amp;L-par nature'!N59</f>
        <v>0</v>
      </c>
      <c r="O35" s="1768">
        <f>'Passage P&amp;L-par nature'!O57+'Passage P&amp;L-par nature'!O88+'Passage P&amp;L-par nature'!N34+'Passage P&amp;L-par nature'!O59</f>
        <v>0</v>
      </c>
      <c r="P35" s="1768">
        <f>'Passage P&amp;L-par nature'!P57+'Passage P&amp;L-par nature'!P88+'Passage P&amp;L-par nature'!O34+'Passage P&amp;L-par nature'!P59</f>
        <v>0</v>
      </c>
      <c r="Q35" s="1768">
        <f>'Passage P&amp;L-par nature'!Q57+'Passage P&amp;L-par nature'!Q88+'Passage P&amp;L-par nature'!P34+'Passage P&amp;L-par nature'!Q59</f>
        <v>0</v>
      </c>
      <c r="R35" s="1768">
        <f>'Passage P&amp;L-par nature'!R57+'Passage P&amp;L-par nature'!R88+'Passage P&amp;L-par nature'!Q34+'Passage P&amp;L-par nature'!R59</f>
        <v>0</v>
      </c>
      <c r="S35" s="1768">
        <f>'Passage P&amp;L-par nature'!S57+'Passage P&amp;L-par nature'!S88+'Passage P&amp;L-par nature'!R34+'Passage P&amp;L-par nature'!S59</f>
        <v>0</v>
      </c>
      <c r="T35" s="1768">
        <f>'Passage P&amp;L-par nature'!T57+'Passage P&amp;L-par nature'!T88+'Passage P&amp;L-par nature'!S34+'Passage P&amp;L-par nature'!T59</f>
        <v>0</v>
      </c>
      <c r="U35" s="1768">
        <f>'Passage P&amp;L-par nature'!U57+'Passage P&amp;L-par nature'!U88+'Passage P&amp;L-par nature'!T34+'Passage P&amp;L-par nature'!U59-'Passage P&amp;L-par nature'!U59</f>
        <v>0</v>
      </c>
      <c r="V35" s="1768">
        <f>'Passage P&amp;L-par nature'!V57+'Passage P&amp;L-par nature'!V88+'Passage P&amp;L-par nature'!U34+'Passage P&amp;L-par nature'!V59</f>
        <v>0</v>
      </c>
      <c r="W35" s="1768">
        <f>'Passage P&amp;L-par nature'!W57+'Passage P&amp;L-par nature'!W88+'Passage P&amp;L-par nature'!V34+'Passage P&amp;L-par nature'!W59</f>
        <v>0</v>
      </c>
      <c r="X35" s="1768">
        <f>'Passage P&amp;L-par nature'!X57+'Passage P&amp;L-par nature'!X88+'Passage P&amp;L-par nature'!W34+'Passage P&amp;L-par nature'!X59</f>
        <v>0</v>
      </c>
      <c r="Y35" s="1768">
        <f>'Passage P&amp;L-par nature'!Y57+'Passage P&amp;L-par nature'!Y88+'Passage P&amp;L-par nature'!X34+'Passage P&amp;L-par nature'!Y59</f>
        <v>0</v>
      </c>
      <c r="Z35" s="1768">
        <f>'Passage P&amp;L-par nature'!Z57+'Passage P&amp;L-par nature'!Z88+'Passage P&amp;L-par nature'!Y34+'Passage P&amp;L-par nature'!Z59</f>
        <v>0</v>
      </c>
      <c r="AA35" s="1768">
        <f>'Passage P&amp;L-par nature'!AA57+'Passage P&amp;L-par nature'!AA88+'Passage P&amp;L-par nature'!Z34+'Passage P&amp;L-par nature'!AA59</f>
        <v>0</v>
      </c>
      <c r="AB35" s="1768">
        <f>'Passage P&amp;L-par nature'!AB57+'Passage P&amp;L-par nature'!AB88+'Passage P&amp;L-par nature'!AA34+'Passage P&amp;L-par nature'!AB59</f>
        <v>0</v>
      </c>
      <c r="AC35" s="742"/>
      <c r="AD35" s="1675">
        <f>+SUM(E35:AB35)</f>
        <v>-1711.663681</v>
      </c>
      <c r="AH35" s="1520">
        <v>-414.08582799999999</v>
      </c>
      <c r="AI35" s="1586">
        <f t="shared" si="2"/>
        <v>-1297.577853</v>
      </c>
      <c r="AM35" s="1778">
        <v>-1711.663681</v>
      </c>
      <c r="AN35" s="1900">
        <f t="shared" si="3"/>
        <v>0</v>
      </c>
    </row>
    <row r="36" spans="2:45" x14ac:dyDescent="0.5">
      <c r="B36" s="743" t="s">
        <v>1770</v>
      </c>
      <c r="C36" s="744" t="s">
        <v>1771</v>
      </c>
      <c r="E36" s="745"/>
      <c r="F36" s="1768"/>
      <c r="G36" s="1768">
        <f>'Passage P&amp;L-par nature'!G58+'Passage P&amp;L-par nature'!G72</f>
        <v>-14099.143577999999</v>
      </c>
      <c r="H36" s="1768">
        <f>'Passage P&amp;L-par nature'!H58+'Passage P&amp;L-par nature'!H72</f>
        <v>0</v>
      </c>
      <c r="I36" s="1768">
        <f>'Passage P&amp;L-par nature'!I58+'Passage P&amp;L-par nature'!I72</f>
        <v>0</v>
      </c>
      <c r="J36" s="1768">
        <f>'Passage P&amp;L-par nature'!J58+'Passage P&amp;L-par nature'!J72</f>
        <v>0</v>
      </c>
      <c r="K36" s="1768">
        <f>'Passage P&amp;L-par nature'!K58+'Passage P&amp;L-par nature'!K72</f>
        <v>0</v>
      </c>
      <c r="L36" s="1768">
        <f>'Passage P&amp;L-par nature'!L58+'Passage P&amp;L-par nature'!L72</f>
        <v>0</v>
      </c>
      <c r="M36" s="1768">
        <f>'Passage P&amp;L-par nature'!M58+'Passage P&amp;L-par nature'!M72</f>
        <v>0</v>
      </c>
      <c r="N36" s="1768">
        <f>'Passage P&amp;L-par nature'!N58+'Passage P&amp;L-par nature'!N72</f>
        <v>0</v>
      </c>
      <c r="O36" s="1768">
        <f>'Passage P&amp;L-par nature'!O58+'Passage P&amp;L-par nature'!O72</f>
        <v>0</v>
      </c>
      <c r="P36" s="1768">
        <f>'Passage P&amp;L-par nature'!P58+'Passage P&amp;L-par nature'!P72</f>
        <v>0</v>
      </c>
      <c r="Q36" s="1768">
        <f>'Passage P&amp;L-par nature'!Q58+'Passage P&amp;L-par nature'!Q72</f>
        <v>0</v>
      </c>
      <c r="R36" s="1768">
        <f>'Passage P&amp;L-par nature'!R58+'Passage P&amp;L-par nature'!R72</f>
        <v>0</v>
      </c>
      <c r="S36" s="1768">
        <f>'Passage P&amp;L-par nature'!S58+'Passage P&amp;L-par nature'!S72</f>
        <v>0</v>
      </c>
      <c r="T36" s="1768">
        <f>'Passage P&amp;L-par nature'!T58+'Passage P&amp;L-par nature'!T72</f>
        <v>0</v>
      </c>
      <c r="U36" s="1768">
        <f>'Passage P&amp;L-par nature'!U58+'Passage P&amp;L-par nature'!U72</f>
        <v>0</v>
      </c>
      <c r="V36" s="1768">
        <f>'Passage P&amp;L-par nature'!V58+'Passage P&amp;L-par nature'!V72</f>
        <v>0</v>
      </c>
      <c r="W36" s="1768">
        <f>'Passage P&amp;L-par nature'!W58+'Passage P&amp;L-par nature'!W72</f>
        <v>0</v>
      </c>
      <c r="X36" s="1768">
        <f>'Passage P&amp;L-par nature'!X58+'Passage P&amp;L-par nature'!X72</f>
        <v>0</v>
      </c>
      <c r="Y36" s="1768">
        <f>'Passage P&amp;L-par nature'!Y58+'Passage P&amp;L-par nature'!Y72</f>
        <v>-84.770488</v>
      </c>
      <c r="Z36" s="1768">
        <f>'Passage P&amp;L-par nature'!Z58+'Passage P&amp;L-par nature'!Z72</f>
        <v>0</v>
      </c>
      <c r="AA36" s="1768">
        <f>'Passage P&amp;L-par nature'!AA58+'Passage P&amp;L-par nature'!AA72</f>
        <v>0</v>
      </c>
      <c r="AB36" s="1768">
        <f>'Passage P&amp;L-par nature'!AB58+'Passage P&amp;L-par nature'!AB72</f>
        <v>0</v>
      </c>
      <c r="AC36" s="742"/>
      <c r="AD36" s="1675">
        <f>+SUM(E36:AB36)</f>
        <v>-14183.914065999999</v>
      </c>
      <c r="AH36" s="1520">
        <v>-3906.8125910000003</v>
      </c>
      <c r="AI36" s="1586">
        <f t="shared" si="2"/>
        <v>-10277.101474999999</v>
      </c>
      <c r="AM36" s="1778">
        <v>-14183.914065999999</v>
      </c>
      <c r="AN36" s="1900">
        <f t="shared" si="3"/>
        <v>0</v>
      </c>
    </row>
    <row r="37" spans="2:45" s="719" customFormat="1" ht="20.399999999999999" customHeight="1" x14ac:dyDescent="0.5">
      <c r="B37" s="747" t="s">
        <v>1772</v>
      </c>
      <c r="C37" s="747" t="s">
        <v>1773</v>
      </c>
      <c r="D37" s="748"/>
      <c r="E37" s="749"/>
      <c r="F37" s="1769">
        <f>+SUM(F35:F36)</f>
        <v>0</v>
      </c>
      <c r="G37" s="1769">
        <f>+SUM(G35:G36)</f>
        <v>-16336.647294999999</v>
      </c>
      <c r="H37" s="1769">
        <f t="shared" ref="H37:AB37" si="7">+SUM(H35:H36)</f>
        <v>0</v>
      </c>
      <c r="I37" s="1769">
        <f t="shared" si="7"/>
        <v>0</v>
      </c>
      <c r="J37" s="1769">
        <f t="shared" si="7"/>
        <v>759.49458200000004</v>
      </c>
      <c r="K37" s="1769">
        <f t="shared" si="7"/>
        <v>-233.65454600000001</v>
      </c>
      <c r="L37" s="1769">
        <f t="shared" si="7"/>
        <v>0</v>
      </c>
      <c r="M37" s="1769">
        <f t="shared" si="7"/>
        <v>0</v>
      </c>
      <c r="N37" s="1769">
        <f t="shared" si="7"/>
        <v>0</v>
      </c>
      <c r="O37" s="1769">
        <f t="shared" si="7"/>
        <v>0</v>
      </c>
      <c r="P37" s="1769">
        <f t="shared" si="7"/>
        <v>0</v>
      </c>
      <c r="Q37" s="1769">
        <f t="shared" si="7"/>
        <v>0</v>
      </c>
      <c r="R37" s="1769">
        <f t="shared" si="7"/>
        <v>0</v>
      </c>
      <c r="S37" s="1769">
        <f t="shared" si="7"/>
        <v>0</v>
      </c>
      <c r="T37" s="1769">
        <f t="shared" si="7"/>
        <v>0</v>
      </c>
      <c r="U37" s="1769">
        <f t="shared" si="7"/>
        <v>0</v>
      </c>
      <c r="V37" s="1769">
        <f t="shared" si="7"/>
        <v>0</v>
      </c>
      <c r="W37" s="1769">
        <f t="shared" si="7"/>
        <v>0</v>
      </c>
      <c r="X37" s="1769">
        <f t="shared" si="7"/>
        <v>0</v>
      </c>
      <c r="Y37" s="1769">
        <f t="shared" si="7"/>
        <v>-84.770488</v>
      </c>
      <c r="Z37" s="1769">
        <f>+SUM(Z35:Z36)</f>
        <v>0</v>
      </c>
      <c r="AA37" s="1769">
        <f t="shared" si="7"/>
        <v>0</v>
      </c>
      <c r="AB37" s="1769">
        <f t="shared" si="7"/>
        <v>0</v>
      </c>
      <c r="AC37" s="737"/>
      <c r="AD37" s="750">
        <f>+SUM(AD35:AD36)</f>
        <v>-15895.577746999999</v>
      </c>
      <c r="AE37"/>
      <c r="AF37"/>
      <c r="AG37"/>
      <c r="AH37" s="1520">
        <v>-4320.8984190000001</v>
      </c>
      <c r="AI37" s="1586">
        <f t="shared" si="2"/>
        <v>-11574.679327999998</v>
      </c>
      <c r="AJ37"/>
      <c r="AK37"/>
      <c r="AL37"/>
      <c r="AM37" s="1779">
        <v>-15895.577746999999</v>
      </c>
      <c r="AN37" s="1901">
        <f t="shared" si="3"/>
        <v>0</v>
      </c>
      <c r="AO37"/>
      <c r="AP37"/>
      <c r="AQ37"/>
      <c r="AR37"/>
      <c r="AS37"/>
    </row>
    <row r="38" spans="2:45" ht="9.9" customHeight="1" x14ac:dyDescent="0.5">
      <c r="E38" s="751"/>
      <c r="AC38" s="742"/>
      <c r="AD38" s="751"/>
      <c r="AI38" s="1586">
        <f t="shared" si="2"/>
        <v>0</v>
      </c>
      <c r="AN38" s="1895">
        <f t="shared" si="3"/>
        <v>0</v>
      </c>
    </row>
    <row r="39" spans="2:45" s="718" customFormat="1" ht="24.9" customHeight="1" x14ac:dyDescent="0.4">
      <c r="B39" s="752" t="s">
        <v>1775</v>
      </c>
      <c r="C39" s="752" t="s">
        <v>1776</v>
      </c>
      <c r="D39" s="753"/>
      <c r="E39" s="754"/>
      <c r="F39" s="1770">
        <f>+F37+F33</f>
        <v>106259.30745000001</v>
      </c>
      <c r="G39" s="1770">
        <f t="shared" ref="G39:AB39" si="8">+G37+G33</f>
        <v>-16336.647294999999</v>
      </c>
      <c r="H39" s="1770">
        <f t="shared" si="8"/>
        <v>0</v>
      </c>
      <c r="I39" s="1770">
        <f t="shared" si="8"/>
        <v>0</v>
      </c>
      <c r="J39" s="1770">
        <f t="shared" si="8"/>
        <v>759.49458200000004</v>
      </c>
      <c r="K39" s="1770">
        <f t="shared" si="8"/>
        <v>-233.65454600000001</v>
      </c>
      <c r="L39" s="1770">
        <f t="shared" si="8"/>
        <v>0</v>
      </c>
      <c r="M39" s="1770">
        <f t="shared" si="8"/>
        <v>0</v>
      </c>
      <c r="N39" s="1770">
        <f t="shared" si="8"/>
        <v>0</v>
      </c>
      <c r="O39" s="1770">
        <f t="shared" si="8"/>
        <v>0</v>
      </c>
      <c r="P39" s="1770">
        <f t="shared" si="8"/>
        <v>0</v>
      </c>
      <c r="Q39" s="1770">
        <f t="shared" si="8"/>
        <v>0</v>
      </c>
      <c r="R39" s="1770">
        <f t="shared" si="8"/>
        <v>0</v>
      </c>
      <c r="S39" s="1770"/>
      <c r="T39" s="1770"/>
      <c r="U39" s="1770"/>
      <c r="V39" s="1770"/>
      <c r="W39" s="1770"/>
      <c r="X39" s="1770"/>
      <c r="Y39" s="1770"/>
      <c r="Z39" s="1770">
        <f t="shared" si="8"/>
        <v>0</v>
      </c>
      <c r="AA39" s="1770">
        <f t="shared" si="8"/>
        <v>0</v>
      </c>
      <c r="AB39" s="1770">
        <f t="shared" si="8"/>
        <v>0</v>
      </c>
      <c r="AC39" s="733"/>
      <c r="AD39" s="754">
        <f>+AD37+AD33</f>
        <v>89647.413497000016</v>
      </c>
      <c r="AE39"/>
      <c r="AF39"/>
      <c r="AG39"/>
      <c r="AH39" s="1520">
        <v>22314.628808999998</v>
      </c>
      <c r="AI39" s="1586">
        <f t="shared" si="2"/>
        <v>67332.784688000014</v>
      </c>
      <c r="AJ39"/>
      <c r="AK39"/>
      <c r="AL39"/>
      <c r="AM39" s="1780">
        <v>89647.413497000016</v>
      </c>
      <c r="AN39" s="1902">
        <f t="shared" si="3"/>
        <v>0</v>
      </c>
      <c r="AO39"/>
      <c r="AP39"/>
      <c r="AQ39"/>
      <c r="AR39"/>
      <c r="AS39"/>
    </row>
    <row r="40" spans="2:45" ht="9.9" customHeight="1" x14ac:dyDescent="0.5">
      <c r="E40" s="751"/>
      <c r="AC40" s="742"/>
      <c r="AD40" s="751"/>
      <c r="AI40" s="1586">
        <f t="shared" si="2"/>
        <v>0</v>
      </c>
      <c r="AN40" s="1895">
        <f t="shared" si="3"/>
        <v>0</v>
      </c>
    </row>
    <row r="41" spans="2:45" s="760" customFormat="1" ht="26.1" customHeight="1" x14ac:dyDescent="0.5">
      <c r="B41" s="755" t="s">
        <v>1778</v>
      </c>
      <c r="C41" s="756" t="s">
        <v>1779</v>
      </c>
      <c r="D41" s="757"/>
      <c r="E41" s="758"/>
      <c r="F41" s="1771">
        <f>'Passage P&amp;L-par nature'!AD28+'Passage P&amp;L-par nature'!AD42-'Passage P&amp;L-par nature'!AD34-'Passage P&amp;L-par nature'!AD26</f>
        <v>1035.9165917835301</v>
      </c>
      <c r="G41" s="1771">
        <f>SUM('Passage P&amp;L-par nature'!G65,'Passage P&amp;L-par nature'!G69,'Passage P&amp;L-par nature'!G81,'Passage P&amp;L-par nature'!G89,'Passage P&amp;L-par nature'!G86,'Passage P&amp;L-par nature'!AD87)-'Passage P&amp;L-par nature'!G72</f>
        <v>-65171.931921999989</v>
      </c>
      <c r="H41" s="1771">
        <f>SUM('Passage P&amp;L-par nature'!H65,'Passage P&amp;L-par nature'!H69,'Passage P&amp;L-par nature'!H81,'Passage P&amp;L-par nature'!H89,'Passage P&amp;L-par nature'!H86)-'Passage P&amp;L-par nature'!H72</f>
        <v>0</v>
      </c>
      <c r="I41" s="1771">
        <f>SUM('Passage P&amp;L-par nature'!I65,'Passage P&amp;L-par nature'!I69,'Passage P&amp;L-par nature'!I81,'Passage P&amp;L-par nature'!I89,'Passage P&amp;L-par nature'!I86)-'Passage P&amp;L-par nature'!I72</f>
        <v>0</v>
      </c>
      <c r="J41" s="1771">
        <f>SUM('Passage P&amp;L-par nature'!J65,'Passage P&amp;L-par nature'!J69,'Passage P&amp;L-par nature'!J81,'Passage P&amp;L-par nature'!J89,'Passage P&amp;L-par nature'!J86)-'Passage P&amp;L-par nature'!J72</f>
        <v>0</v>
      </c>
      <c r="K41" s="1771">
        <f>SUM('Passage P&amp;L-par nature'!K65,'Passage P&amp;L-par nature'!K69,'Passage P&amp;L-par nature'!K81,'Passage P&amp;L-par nature'!K89,'Passage P&amp;L-par nature'!K86)-'Passage P&amp;L-par nature'!K72</f>
        <v>0</v>
      </c>
      <c r="L41" s="1771">
        <f>SUM('Passage P&amp;L-par nature'!L65,'Passage P&amp;L-par nature'!L69,'Passage P&amp;L-par nature'!L81,'Passage P&amp;L-par nature'!L89,'Passage P&amp;L-par nature'!L86)-'Passage P&amp;L-par nature'!L72</f>
        <v>0</v>
      </c>
      <c r="M41" s="1771">
        <f>SUM('Passage P&amp;L-par nature'!M65,'Passage P&amp;L-par nature'!M69,'Passage P&amp;L-par nature'!M81,'Passage P&amp;L-par nature'!M89,'Passage P&amp;L-par nature'!M86)-'Passage P&amp;L-par nature'!M72</f>
        <v>0</v>
      </c>
      <c r="N41" s="1771">
        <f>SUM('Passage P&amp;L-par nature'!N65,'Passage P&amp;L-par nature'!N69,'Passage P&amp;L-par nature'!N81,'Passage P&amp;L-par nature'!N89,'Passage P&amp;L-par nature'!N86)-'Passage P&amp;L-par nature'!N72</f>
        <v>0</v>
      </c>
      <c r="O41" s="1771">
        <f>SUM('Passage P&amp;L-par nature'!O65,'Passage P&amp;L-par nature'!O69,'Passage P&amp;L-par nature'!O81,'Passage P&amp;L-par nature'!O89,'Passage P&amp;L-par nature'!O86)-'Passage P&amp;L-par nature'!O72</f>
        <v>0</v>
      </c>
      <c r="P41" s="1771">
        <f>SUM('Passage P&amp;L-par nature'!P65,'Passage P&amp;L-par nature'!P69,'Passage P&amp;L-par nature'!P81,'Passage P&amp;L-par nature'!P89,'Passage P&amp;L-par nature'!P86)-'Passage P&amp;L-par nature'!P72</f>
        <v>0</v>
      </c>
      <c r="Q41" s="1771">
        <f>SUM('Passage P&amp;L-par nature'!Q65,'Passage P&amp;L-par nature'!Q69,'Passage P&amp;L-par nature'!Q81,'Passage P&amp;L-par nature'!Q89,'Passage P&amp;L-par nature'!Q86)-'Passage P&amp;L-par nature'!Q72</f>
        <v>0.122644</v>
      </c>
      <c r="R41" s="1771">
        <f>SUM('Passage P&amp;L-par nature'!R65,'Passage P&amp;L-par nature'!R69,'Passage P&amp;L-par nature'!R81,'Passage P&amp;L-par nature'!R89,'Passage P&amp;L-par nature'!R86)-'Passage P&amp;L-par nature'!R72</f>
        <v>0</v>
      </c>
      <c r="S41" s="1771">
        <f>SUM('Passage P&amp;L-par nature'!S65,'Passage P&amp;L-par nature'!S69,'Passage P&amp;L-par nature'!S81,'Passage P&amp;L-par nature'!S89,'Passage P&amp;L-par nature'!S86)-'Passage P&amp;L-par nature'!S72</f>
        <v>0</v>
      </c>
      <c r="T41" s="1771">
        <f>SUM('Passage P&amp;L-par nature'!T65,'Passage P&amp;L-par nature'!T69,'Passage P&amp;L-par nature'!T81,'Passage P&amp;L-par nature'!T89,'Passage P&amp;L-par nature'!T86)-'Passage P&amp;L-par nature'!T72</f>
        <v>0</v>
      </c>
      <c r="U41" s="1771">
        <f>SUM('Passage P&amp;L-par nature'!U65,'Passage P&amp;L-par nature'!U69,'Passage P&amp;L-par nature'!U81,'Passage P&amp;L-par nature'!U89,'Passage P&amp;L-par nature'!U86)-'Passage P&amp;L-par nature'!U72-AD49+'Passage P&amp;L-par nature'!U59</f>
        <v>2058.6561419999998</v>
      </c>
      <c r="V41" s="1771">
        <f>SUM('Passage P&amp;L-par nature'!V65,'Passage P&amp;L-par nature'!V69,'Passage P&amp;L-par nature'!V81,'Passage P&amp;L-par nature'!V89,'Passage P&amp;L-par nature'!V86)-'Passage P&amp;L-par nature'!V72</f>
        <v>0</v>
      </c>
      <c r="W41" s="1771">
        <f>SUM('Passage P&amp;L-par nature'!W65,'Passage P&amp;L-par nature'!W69,'Passage P&amp;L-par nature'!W81,'Passage P&amp;L-par nature'!W89,'Passage P&amp;L-par nature'!W86)-'Passage P&amp;L-par nature'!W72</f>
        <v>513.79161757500026</v>
      </c>
      <c r="X41" s="1771">
        <f>SUM('Passage P&amp;L-par nature'!X65,'Passage P&amp;L-par nature'!X69,'Passage P&amp;L-par nature'!X81,'Passage P&amp;L-par nature'!X89,'Passage P&amp;L-par nature'!X86)-'Passage P&amp;L-par nature'!X72</f>
        <v>980.56181700000002</v>
      </c>
      <c r="Y41" s="1771">
        <f>SUM('Passage P&amp;L-par nature'!Y65,'Passage P&amp;L-par nature'!Y69,'Passage P&amp;L-par nature'!Y81,'Passage P&amp;L-par nature'!Y89,'Passage P&amp;L-par nature'!Y86)-'Passage P&amp;L-par nature'!Y72</f>
        <v>-44.635854000000009</v>
      </c>
      <c r="Z41" s="1771">
        <f>SUM('Passage P&amp;L-par nature'!Z65,'Passage P&amp;L-par nature'!Z69,'Passage P&amp;L-par nature'!Z81,'Passage P&amp;L-par nature'!Z89,'Passage P&amp;L-par nature'!Z86)-'Passage P&amp;L-par nature'!Z72</f>
        <v>0</v>
      </c>
      <c r="AA41" s="1771">
        <f>SUM('Passage P&amp;L-par nature'!AA65,'Passage P&amp;L-par nature'!AA69,'Passage P&amp;L-par nature'!AA81,'Passage P&amp;L-par nature'!AA89,'Passage P&amp;L-par nature'!AA86)-'Passage P&amp;L-par nature'!AA72</f>
        <v>0</v>
      </c>
      <c r="AB41" s="1771">
        <f>SUM('Passage P&amp;L-par nature'!AB65,'Passage P&amp;L-par nature'!AB69,'Passage P&amp;L-par nature'!AB81,'Passage P&amp;L-par nature'!AB89,'Passage P&amp;L-par nature'!AB86)-'Passage P&amp;L-par nature'!AB72</f>
        <v>0</v>
      </c>
      <c r="AC41" s="759"/>
      <c r="AD41" s="1676">
        <f>+SUM(E41:AB41)</f>
        <v>-60627.518963641458</v>
      </c>
      <c r="AE41"/>
      <c r="AF41"/>
      <c r="AG41"/>
      <c r="AH41" s="1520">
        <v>-15376.648942225002</v>
      </c>
      <c r="AI41" s="1586">
        <f t="shared" si="2"/>
        <v>-45250.870021416456</v>
      </c>
      <c r="AJ41"/>
      <c r="AK41"/>
      <c r="AL41"/>
      <c r="AM41" s="1781">
        <v>-60831.205025116462</v>
      </c>
      <c r="AN41" s="1903">
        <f t="shared" si="3"/>
        <v>203.68606147500395</v>
      </c>
      <c r="AO41">
        <v>58.363346000027398</v>
      </c>
      <c r="AP41"/>
      <c r="AQ41"/>
      <c r="AR41"/>
      <c r="AS41"/>
    </row>
    <row r="42" spans="2:45" ht="9.9" customHeight="1" x14ac:dyDescent="0.5">
      <c r="E42" s="751"/>
      <c r="AC42" s="742"/>
      <c r="AD42" s="751"/>
      <c r="AI42" s="1586">
        <f t="shared" si="2"/>
        <v>0</v>
      </c>
      <c r="AN42" s="1895">
        <f t="shared" si="3"/>
        <v>0</v>
      </c>
    </row>
    <row r="43" spans="2:45" s="718" customFormat="1" ht="24.9" customHeight="1" x14ac:dyDescent="0.4">
      <c r="B43" s="752" t="s">
        <v>1780</v>
      </c>
      <c r="C43" s="752" t="s">
        <v>1781</v>
      </c>
      <c r="D43" s="753"/>
      <c r="E43" s="754"/>
      <c r="F43" s="1770">
        <f>+F41+F39</f>
        <v>107295.22404178354</v>
      </c>
      <c r="G43" s="1770">
        <f t="shared" ref="G43:AB43" si="9">+G41+G39</f>
        <v>-81508.579216999991</v>
      </c>
      <c r="H43" s="1770">
        <f t="shared" si="9"/>
        <v>0</v>
      </c>
      <c r="I43" s="1770">
        <f t="shared" si="9"/>
        <v>0</v>
      </c>
      <c r="J43" s="1770">
        <f t="shared" si="9"/>
        <v>759.49458200000004</v>
      </c>
      <c r="K43" s="1770">
        <f t="shared" si="9"/>
        <v>-233.65454600000001</v>
      </c>
      <c r="L43" s="1770">
        <f t="shared" si="9"/>
        <v>0</v>
      </c>
      <c r="M43" s="1770">
        <f t="shared" si="9"/>
        <v>0</v>
      </c>
      <c r="N43" s="1770">
        <f t="shared" si="9"/>
        <v>0</v>
      </c>
      <c r="O43" s="1770">
        <f t="shared" si="9"/>
        <v>0</v>
      </c>
      <c r="P43" s="1770">
        <f t="shared" si="9"/>
        <v>0</v>
      </c>
      <c r="Q43" s="1770">
        <f t="shared" si="9"/>
        <v>0.122644</v>
      </c>
      <c r="R43" s="1770">
        <f t="shared" si="9"/>
        <v>0</v>
      </c>
      <c r="S43" s="1770">
        <f t="shared" si="9"/>
        <v>0</v>
      </c>
      <c r="T43" s="1770">
        <f t="shared" si="9"/>
        <v>0</v>
      </c>
      <c r="U43" s="1770">
        <f t="shared" si="9"/>
        <v>2058.6561419999998</v>
      </c>
      <c r="V43" s="1770">
        <f t="shared" si="9"/>
        <v>0</v>
      </c>
      <c r="W43" s="1770">
        <f t="shared" si="9"/>
        <v>513.79161757500026</v>
      </c>
      <c r="X43" s="1770">
        <f t="shared" si="9"/>
        <v>980.56181700000002</v>
      </c>
      <c r="Y43" s="1770">
        <f t="shared" si="9"/>
        <v>-44.635854000000009</v>
      </c>
      <c r="Z43" s="1770">
        <f t="shared" si="9"/>
        <v>0</v>
      </c>
      <c r="AA43" s="1770">
        <f t="shared" si="9"/>
        <v>0</v>
      </c>
      <c r="AB43" s="1770">
        <f t="shared" si="9"/>
        <v>0</v>
      </c>
      <c r="AC43" s="733"/>
      <c r="AD43" s="754">
        <f>+AD41+AD39</f>
        <v>29019.894533358558</v>
      </c>
      <c r="AE43"/>
      <c r="AF43"/>
      <c r="AG43"/>
      <c r="AH43" s="1520">
        <v>6937.9798667749965</v>
      </c>
      <c r="AI43" s="1586">
        <f t="shared" si="2"/>
        <v>22081.914666583561</v>
      </c>
      <c r="AJ43"/>
      <c r="AK43"/>
      <c r="AL43"/>
      <c r="AM43" s="1780">
        <v>28816.208471883554</v>
      </c>
      <c r="AN43" s="1902">
        <f t="shared" si="3"/>
        <v>203.68606147500395</v>
      </c>
      <c r="AO43"/>
      <c r="AP43"/>
      <c r="AQ43"/>
      <c r="AR43"/>
      <c r="AS43"/>
    </row>
    <row r="44" spans="2:45" ht="9.9" customHeight="1" x14ac:dyDescent="0.5">
      <c r="E44" s="751"/>
      <c r="AC44" s="742"/>
      <c r="AD44" s="751"/>
      <c r="AI44" s="1586">
        <f t="shared" si="2"/>
        <v>0</v>
      </c>
      <c r="AN44" s="1895">
        <f t="shared" si="3"/>
        <v>0</v>
      </c>
    </row>
    <row r="45" spans="2:45" x14ac:dyDescent="0.5">
      <c r="B45" s="743" t="s">
        <v>1516</v>
      </c>
      <c r="C45" s="744" t="s">
        <v>1782</v>
      </c>
      <c r="E45" s="745"/>
      <c r="F45" s="1768">
        <f>'Passage P&amp;L-par nature'!F26</f>
        <v>0</v>
      </c>
      <c r="G45" s="1768">
        <f>'Passage P&amp;L-par nature'!G26</f>
        <v>0</v>
      </c>
      <c r="H45" s="1768">
        <f>'Passage P&amp;L-par nature'!H26</f>
        <v>0</v>
      </c>
      <c r="I45" s="1768">
        <f>'Passage P&amp;L-par nature'!I26</f>
        <v>0</v>
      </c>
      <c r="J45" s="1768">
        <f>'Passage P&amp;L-par nature'!J26</f>
        <v>0</v>
      </c>
      <c r="K45" s="1768">
        <f>'Passage P&amp;L-par nature'!K26</f>
        <v>0</v>
      </c>
      <c r="L45" s="1768">
        <f>'Passage P&amp;L-par nature'!L26</f>
        <v>0</v>
      </c>
      <c r="M45" s="1768">
        <f>'Passage P&amp;L-par nature'!M26</f>
        <v>0</v>
      </c>
      <c r="N45" s="1768">
        <f>'Passage P&amp;L-par nature'!N26</f>
        <v>0</v>
      </c>
      <c r="O45" s="1768">
        <f>'Passage P&amp;L-par nature'!O26</f>
        <v>0</v>
      </c>
      <c r="P45" s="1768">
        <f>'Passage P&amp;L-par nature'!P26</f>
        <v>0</v>
      </c>
      <c r="Q45" s="1768">
        <f>'Passage P&amp;L-par nature'!Q26</f>
        <v>0</v>
      </c>
      <c r="R45" s="1768">
        <f>'Passage P&amp;L-par nature'!R26</f>
        <v>0</v>
      </c>
      <c r="S45" s="1768">
        <f>'Passage P&amp;L-par nature'!S26</f>
        <v>0</v>
      </c>
      <c r="T45" s="1768">
        <f>'Passage P&amp;L-par nature'!T26</f>
        <v>0</v>
      </c>
      <c r="U45" s="1768">
        <f>'Passage P&amp;L-par nature'!U26</f>
        <v>0</v>
      </c>
      <c r="V45" s="1768">
        <f>'Passage P&amp;L-par nature'!V26</f>
        <v>0</v>
      </c>
      <c r="W45" s="1768">
        <f>'Passage P&amp;L-par nature'!W26</f>
        <v>0</v>
      </c>
      <c r="X45" s="1768">
        <f>'Passage P&amp;L-par nature'!X26</f>
        <v>0</v>
      </c>
      <c r="Y45" s="1768">
        <f>'Passage P&amp;L-par nature'!Y26</f>
        <v>0</v>
      </c>
      <c r="Z45" s="1768">
        <f>'Passage P&amp;L-par nature'!Z26</f>
        <v>0</v>
      </c>
      <c r="AA45" s="1768">
        <f>'Passage P&amp;L-par nature'!AA26</f>
        <v>0</v>
      </c>
      <c r="AB45" s="1768">
        <f>'Passage P&amp;L-par nature'!AB26</f>
        <v>0</v>
      </c>
      <c r="AC45" s="742"/>
      <c r="AD45" s="746">
        <f>+SUM(E45:AB45)</f>
        <v>0</v>
      </c>
      <c r="AH45" s="1520">
        <v>0</v>
      </c>
      <c r="AI45" s="1586">
        <f t="shared" si="2"/>
        <v>0</v>
      </c>
      <c r="AM45" s="1778">
        <v>0</v>
      </c>
      <c r="AN45" s="1900">
        <f t="shared" si="3"/>
        <v>0</v>
      </c>
    </row>
    <row r="46" spans="2:45" x14ac:dyDescent="0.5">
      <c r="B46" s="743" t="s">
        <v>1518</v>
      </c>
      <c r="C46" s="744" t="s">
        <v>1519</v>
      </c>
      <c r="E46" s="745"/>
      <c r="F46" s="1768"/>
      <c r="G46" s="1768"/>
      <c r="H46" s="1768"/>
      <c r="I46" s="1768"/>
      <c r="J46" s="1768"/>
      <c r="K46" s="1768"/>
      <c r="L46" s="1768"/>
      <c r="M46" s="1768"/>
      <c r="N46" s="1768"/>
      <c r="O46" s="1768"/>
      <c r="P46" s="1768"/>
      <c r="Q46" s="1768"/>
      <c r="R46" s="1768"/>
      <c r="S46" s="1768"/>
      <c r="T46" s="1768"/>
      <c r="U46" s="1768"/>
      <c r="V46" s="1768"/>
      <c r="W46" s="1768"/>
      <c r="X46" s="1768"/>
      <c r="Y46" s="1768"/>
      <c r="Z46" s="1768"/>
      <c r="AA46" s="1768"/>
      <c r="AB46" s="1768"/>
      <c r="AC46" s="742"/>
      <c r="AD46" s="746">
        <f>+SUM(E46:AB46)</f>
        <v>0</v>
      </c>
      <c r="AH46" s="1520">
        <v>0</v>
      </c>
      <c r="AI46" s="1586">
        <f t="shared" si="2"/>
        <v>0</v>
      </c>
      <c r="AM46" s="1778">
        <v>0</v>
      </c>
      <c r="AN46" s="1900">
        <f t="shared" si="3"/>
        <v>0</v>
      </c>
    </row>
    <row r="47" spans="2:45" s="719" customFormat="1" x14ac:dyDescent="0.5">
      <c r="B47" s="747" t="s">
        <v>1520</v>
      </c>
      <c r="C47" s="747" t="s">
        <v>1521</v>
      </c>
      <c r="D47" s="748"/>
      <c r="E47" s="749"/>
      <c r="F47" s="1769">
        <f t="shared" ref="F47:AB47" si="10">+SUM(F45:F46)</f>
        <v>0</v>
      </c>
      <c r="G47" s="1769">
        <f t="shared" si="10"/>
        <v>0</v>
      </c>
      <c r="H47" s="1769">
        <f t="shared" si="10"/>
        <v>0</v>
      </c>
      <c r="I47" s="1769">
        <f t="shared" si="10"/>
        <v>0</v>
      </c>
      <c r="J47" s="1769">
        <f t="shared" si="10"/>
        <v>0</v>
      </c>
      <c r="K47" s="1769">
        <f t="shared" si="10"/>
        <v>0</v>
      </c>
      <c r="L47" s="1769">
        <f t="shared" si="10"/>
        <v>0</v>
      </c>
      <c r="M47" s="1769">
        <f t="shared" si="10"/>
        <v>0</v>
      </c>
      <c r="N47" s="1769">
        <f t="shared" si="10"/>
        <v>0</v>
      </c>
      <c r="O47" s="1769">
        <f t="shared" si="10"/>
        <v>0</v>
      </c>
      <c r="P47" s="1769">
        <f t="shared" si="10"/>
        <v>0</v>
      </c>
      <c r="Q47" s="1769">
        <f t="shared" si="10"/>
        <v>0</v>
      </c>
      <c r="R47" s="1769">
        <f t="shared" si="10"/>
        <v>0</v>
      </c>
      <c r="S47" s="1769">
        <f t="shared" si="10"/>
        <v>0</v>
      </c>
      <c r="T47" s="1769">
        <f t="shared" si="10"/>
        <v>0</v>
      </c>
      <c r="U47" s="1769">
        <f t="shared" si="10"/>
        <v>0</v>
      </c>
      <c r="V47" s="1769">
        <f t="shared" si="10"/>
        <v>0</v>
      </c>
      <c r="W47" s="1769">
        <f t="shared" si="10"/>
        <v>0</v>
      </c>
      <c r="X47" s="1769">
        <f t="shared" si="10"/>
        <v>0</v>
      </c>
      <c r="Y47" s="1769">
        <f t="shared" si="10"/>
        <v>0</v>
      </c>
      <c r="Z47" s="1769">
        <f t="shared" si="10"/>
        <v>0</v>
      </c>
      <c r="AA47" s="1769">
        <f t="shared" si="10"/>
        <v>0</v>
      </c>
      <c r="AB47" s="1769">
        <f t="shared" si="10"/>
        <v>0</v>
      </c>
      <c r="AC47" s="737"/>
      <c r="AD47" s="750">
        <f>+SUM(AD45:AD46)</f>
        <v>0</v>
      </c>
      <c r="AE47"/>
      <c r="AF47"/>
      <c r="AG47"/>
      <c r="AH47" s="1520">
        <v>0</v>
      </c>
      <c r="AI47" s="1586">
        <f t="shared" si="2"/>
        <v>0</v>
      </c>
      <c r="AJ47"/>
      <c r="AK47"/>
      <c r="AL47"/>
      <c r="AM47" s="1779">
        <v>0</v>
      </c>
      <c r="AN47" s="1901">
        <f t="shared" si="3"/>
        <v>0</v>
      </c>
      <c r="AO47"/>
      <c r="AP47"/>
      <c r="AQ47"/>
      <c r="AR47"/>
      <c r="AS47"/>
    </row>
    <row r="48" spans="2:45" ht="9.9" customHeight="1" x14ac:dyDescent="0.5">
      <c r="E48" s="751"/>
      <c r="AC48" s="742"/>
      <c r="AD48" s="751"/>
      <c r="AI48" s="1586">
        <f t="shared" si="2"/>
        <v>0</v>
      </c>
      <c r="AN48" s="1895">
        <f t="shared" si="3"/>
        <v>0</v>
      </c>
    </row>
    <row r="49" spans="2:45" x14ac:dyDescent="0.5">
      <c r="B49" s="743" t="s">
        <v>1596</v>
      </c>
      <c r="C49" s="744" t="s">
        <v>1597</v>
      </c>
      <c r="E49" s="745"/>
      <c r="F49" s="1768"/>
      <c r="G49" s="1768">
        <f>'Passage P&amp;L-par nature'!G79</f>
        <v>0</v>
      </c>
      <c r="H49" s="1768">
        <f>'Passage P&amp;L-par nature'!H79</f>
        <v>0</v>
      </c>
      <c r="I49" s="1768">
        <f>'Passage P&amp;L-par nature'!I79</f>
        <v>0</v>
      </c>
      <c r="J49" s="1768">
        <f>'Passage P&amp;L-par nature'!J79</f>
        <v>0</v>
      </c>
      <c r="K49" s="1768">
        <f>'Passage P&amp;L-par nature'!K79</f>
        <v>0</v>
      </c>
      <c r="L49" s="1768">
        <f>'Passage P&amp;L-par nature'!L79</f>
        <v>0</v>
      </c>
      <c r="M49" s="1768">
        <f>'Passage P&amp;L-par nature'!M79</f>
        <v>0</v>
      </c>
      <c r="N49" s="1768">
        <f>'Passage P&amp;L-par nature'!N79</f>
        <v>0</v>
      </c>
      <c r="O49" s="1768">
        <f>'Passage P&amp;L-par nature'!O79</f>
        <v>0</v>
      </c>
      <c r="P49" s="1768">
        <f>'Passage P&amp;L-par nature'!P79</f>
        <v>0</v>
      </c>
      <c r="Q49" s="1768">
        <f>'Passage P&amp;L-par nature'!Q79</f>
        <v>0</v>
      </c>
      <c r="R49" s="1768">
        <f>'Passage P&amp;L-par nature'!R79</f>
        <v>0</v>
      </c>
      <c r="S49" s="1768">
        <f>'Passage P&amp;L-par nature'!S79</f>
        <v>0</v>
      </c>
      <c r="T49" s="1768">
        <f>'Passage P&amp;L-par nature'!T79</f>
        <v>0</v>
      </c>
      <c r="U49" s="1768">
        <f>'Passage P&amp;L-par nature'!U79</f>
        <v>0</v>
      </c>
      <c r="V49" s="1768">
        <f>'Passage P&amp;L-par nature'!V79</f>
        <v>0</v>
      </c>
      <c r="W49" s="1768">
        <f>'Passage P&amp;L-par nature'!W79</f>
        <v>0</v>
      </c>
      <c r="X49" s="1768">
        <f>'Passage P&amp;L-par nature'!X79</f>
        <v>0</v>
      </c>
      <c r="Y49" s="1768">
        <f>'Passage P&amp;L-par nature'!Y79</f>
        <v>0</v>
      </c>
      <c r="Z49" s="1768">
        <f>'Passage P&amp;L-par nature'!Z79</f>
        <v>0</v>
      </c>
      <c r="AA49" s="1768">
        <f>'Passage P&amp;L-par nature'!AA79</f>
        <v>0</v>
      </c>
      <c r="AB49" s="1768">
        <f>'Passage P&amp;L-par nature'!AB79</f>
        <v>0</v>
      </c>
      <c r="AC49" s="742"/>
      <c r="AD49" s="761">
        <f>+SUM(E49:AB49)</f>
        <v>0</v>
      </c>
      <c r="AH49" s="1520">
        <v>0</v>
      </c>
      <c r="AI49" s="1586">
        <f t="shared" si="2"/>
        <v>0</v>
      </c>
      <c r="AM49" s="1778">
        <v>0</v>
      </c>
      <c r="AN49" s="1900">
        <f t="shared" si="3"/>
        <v>0</v>
      </c>
    </row>
    <row r="50" spans="2:45" x14ac:dyDescent="0.5">
      <c r="B50" s="743" t="s">
        <v>1598</v>
      </c>
      <c r="C50" s="744" t="s">
        <v>1599</v>
      </c>
      <c r="E50" s="745"/>
      <c r="F50" s="1768"/>
      <c r="G50" s="1768"/>
      <c r="H50" s="1768"/>
      <c r="I50" s="1768"/>
      <c r="J50" s="1768"/>
      <c r="K50" s="1768"/>
      <c r="L50" s="1768"/>
      <c r="M50" s="1768"/>
      <c r="N50" s="1768"/>
      <c r="O50" s="1768"/>
      <c r="P50" s="1768"/>
      <c r="Q50" s="1768"/>
      <c r="R50" s="1768"/>
      <c r="S50" s="1768"/>
      <c r="T50" s="1768"/>
      <c r="U50" s="1768"/>
      <c r="V50" s="1768"/>
      <c r="W50" s="1768"/>
      <c r="X50" s="1768"/>
      <c r="Y50" s="1768"/>
      <c r="Z50" s="1768"/>
      <c r="AA50" s="1768"/>
      <c r="AB50" s="1768"/>
      <c r="AC50" s="742"/>
      <c r="AD50" s="762">
        <f>+SUM(E50:AB50)</f>
        <v>0</v>
      </c>
      <c r="AH50" s="1520">
        <v>0</v>
      </c>
      <c r="AI50" s="1586">
        <f t="shared" si="2"/>
        <v>0</v>
      </c>
      <c r="AM50" s="1778">
        <v>0</v>
      </c>
      <c r="AN50" s="1900">
        <f t="shared" si="3"/>
        <v>0</v>
      </c>
    </row>
    <row r="51" spans="2:45" s="719" customFormat="1" ht="14.25" customHeight="1" x14ac:dyDescent="0.5">
      <c r="B51" s="747" t="s">
        <v>1600</v>
      </c>
      <c r="C51" s="747" t="s">
        <v>1601</v>
      </c>
      <c r="D51" s="763"/>
      <c r="E51" s="749"/>
      <c r="F51" s="1769">
        <f t="shared" ref="F51:AB51" si="11">+SUM(F49:F50)</f>
        <v>0</v>
      </c>
      <c r="G51" s="1769">
        <f t="shared" si="11"/>
        <v>0</v>
      </c>
      <c r="H51" s="1769">
        <f t="shared" si="11"/>
        <v>0</v>
      </c>
      <c r="I51" s="1769">
        <f t="shared" si="11"/>
        <v>0</v>
      </c>
      <c r="J51" s="1769">
        <f t="shared" si="11"/>
        <v>0</v>
      </c>
      <c r="K51" s="1769">
        <f t="shared" si="11"/>
        <v>0</v>
      </c>
      <c r="L51" s="1769">
        <f t="shared" si="11"/>
        <v>0</v>
      </c>
      <c r="M51" s="1769">
        <f t="shared" si="11"/>
        <v>0</v>
      </c>
      <c r="N51" s="1769">
        <f t="shared" si="11"/>
        <v>0</v>
      </c>
      <c r="O51" s="1769">
        <f t="shared" si="11"/>
        <v>0</v>
      </c>
      <c r="P51" s="1769">
        <f t="shared" si="11"/>
        <v>0</v>
      </c>
      <c r="Q51" s="1769">
        <f t="shared" si="11"/>
        <v>0</v>
      </c>
      <c r="R51" s="1769">
        <f t="shared" si="11"/>
        <v>0</v>
      </c>
      <c r="S51" s="1769">
        <f t="shared" si="11"/>
        <v>0</v>
      </c>
      <c r="T51" s="1769">
        <f t="shared" si="11"/>
        <v>0</v>
      </c>
      <c r="U51" s="1769">
        <f t="shared" si="11"/>
        <v>0</v>
      </c>
      <c r="V51" s="1769">
        <f t="shared" si="11"/>
        <v>0</v>
      </c>
      <c r="W51" s="1769">
        <f t="shared" si="11"/>
        <v>0</v>
      </c>
      <c r="X51" s="1769">
        <f t="shared" si="11"/>
        <v>0</v>
      </c>
      <c r="Y51" s="1769">
        <f t="shared" si="11"/>
        <v>0</v>
      </c>
      <c r="Z51" s="1769">
        <f t="shared" si="11"/>
        <v>0</v>
      </c>
      <c r="AA51" s="1769">
        <f t="shared" si="11"/>
        <v>0</v>
      </c>
      <c r="AB51" s="1769">
        <f t="shared" si="11"/>
        <v>0</v>
      </c>
      <c r="AC51" s="764"/>
      <c r="AD51" s="750">
        <f>+SUM(AD49:AD50)</f>
        <v>0</v>
      </c>
      <c r="AE51"/>
      <c r="AF51"/>
      <c r="AG51"/>
      <c r="AH51" s="1520">
        <v>0</v>
      </c>
      <c r="AI51" s="1586">
        <f t="shared" si="2"/>
        <v>0</v>
      </c>
      <c r="AJ51"/>
      <c r="AK51"/>
      <c r="AL51"/>
      <c r="AM51" s="1779">
        <v>0</v>
      </c>
      <c r="AN51" s="1901">
        <f t="shared" si="3"/>
        <v>0</v>
      </c>
      <c r="AO51"/>
      <c r="AP51"/>
      <c r="AQ51"/>
      <c r="AR51"/>
      <c r="AS51"/>
    </row>
    <row r="52" spans="2:45" ht="9.9" customHeight="1" x14ac:dyDescent="0.5">
      <c r="E52" s="751"/>
      <c r="AC52" s="742"/>
      <c r="AD52" s="751"/>
      <c r="AI52" s="1586">
        <f t="shared" si="2"/>
        <v>0</v>
      </c>
      <c r="AN52" s="1895">
        <f t="shared" si="3"/>
        <v>0</v>
      </c>
    </row>
    <row r="53" spans="2:45" x14ac:dyDescent="0.5">
      <c r="B53" s="743" t="s">
        <v>1522</v>
      </c>
      <c r="C53" s="744" t="s">
        <v>1786</v>
      </c>
      <c r="E53" s="745"/>
      <c r="F53" s="1768"/>
      <c r="G53" s="1768"/>
      <c r="H53" s="1768"/>
      <c r="I53" s="1768"/>
      <c r="J53" s="1768"/>
      <c r="K53" s="1768"/>
      <c r="L53" s="1768"/>
      <c r="M53" s="1768"/>
      <c r="N53" s="1768"/>
      <c r="O53" s="1768"/>
      <c r="P53" s="1768"/>
      <c r="Q53" s="1768"/>
      <c r="R53" s="1768"/>
      <c r="S53" s="1768"/>
      <c r="T53" s="1768"/>
      <c r="U53" s="1768"/>
      <c r="V53" s="1768"/>
      <c r="W53" s="1768"/>
      <c r="X53" s="1768"/>
      <c r="Y53" s="1768"/>
      <c r="Z53" s="1768"/>
      <c r="AA53" s="1768"/>
      <c r="AB53" s="1768"/>
      <c r="AC53" s="742"/>
      <c r="AD53" s="746">
        <f t="shared" ref="AD53:AD58" si="12">+SUM(E53:AB53)</f>
        <v>0</v>
      </c>
      <c r="AH53" s="1520">
        <v>0</v>
      </c>
      <c r="AI53" s="1586">
        <f t="shared" si="2"/>
        <v>0</v>
      </c>
      <c r="AM53" s="1778">
        <v>0</v>
      </c>
      <c r="AN53" s="1900">
        <f t="shared" si="3"/>
        <v>0</v>
      </c>
    </row>
    <row r="54" spans="2:45" x14ac:dyDescent="0.5">
      <c r="B54" s="743" t="s">
        <v>1524</v>
      </c>
      <c r="C54" s="744" t="s">
        <v>1788</v>
      </c>
      <c r="E54" s="745"/>
      <c r="F54" s="1768">
        <f>'Passage P&amp;L-par nature'!F31*0</f>
        <v>0</v>
      </c>
      <c r="G54" s="1768">
        <f>'Passage P&amp;L-par nature'!G31*0</f>
        <v>0</v>
      </c>
      <c r="H54" s="1768">
        <f>'Passage P&amp;L-par nature'!H31*0</f>
        <v>0</v>
      </c>
      <c r="I54" s="1768">
        <f>'Passage P&amp;L-par nature'!I31*0</f>
        <v>0</v>
      </c>
      <c r="J54" s="1768">
        <f>'Passage P&amp;L-par nature'!J31*0</f>
        <v>0</v>
      </c>
      <c r="K54" s="1768">
        <f>'Passage P&amp;L-par nature'!K31*0</f>
        <v>0</v>
      </c>
      <c r="L54" s="1768">
        <f>'Passage P&amp;L-par nature'!L31*0</f>
        <v>0</v>
      </c>
      <c r="M54" s="1768">
        <f>'Passage P&amp;L-par nature'!M31*0</f>
        <v>0</v>
      </c>
      <c r="N54" s="1768">
        <f>'Passage P&amp;L-par nature'!N31*0</f>
        <v>0</v>
      </c>
      <c r="O54" s="1768">
        <f>'Passage P&amp;L-par nature'!O31*0</f>
        <v>0</v>
      </c>
      <c r="P54" s="1768">
        <f>'Passage P&amp;L-par nature'!P31*0</f>
        <v>0</v>
      </c>
      <c r="Q54" s="1768">
        <f>'Passage P&amp;L-par nature'!Q31*0</f>
        <v>0</v>
      </c>
      <c r="R54" s="1768">
        <f>'Passage P&amp;L-par nature'!R31*0</f>
        <v>0</v>
      </c>
      <c r="S54" s="1768">
        <f>'Passage P&amp;L-par nature'!S31*0</f>
        <v>0</v>
      </c>
      <c r="T54" s="1768">
        <f>'Passage P&amp;L-par nature'!T31*0</f>
        <v>0</v>
      </c>
      <c r="U54" s="1768">
        <f>'Passage P&amp;L-par nature'!U31*0</f>
        <v>0</v>
      </c>
      <c r="V54" s="1768">
        <f>'Passage P&amp;L-par nature'!V31*0</f>
        <v>0</v>
      </c>
      <c r="W54" s="1768">
        <f>'Passage P&amp;L-par nature'!W31*0</f>
        <v>0</v>
      </c>
      <c r="X54" s="1768">
        <f>'Passage P&amp;L-par nature'!X31*0</f>
        <v>0</v>
      </c>
      <c r="Y54" s="1768">
        <f>'Passage P&amp;L-par nature'!Y31*0</f>
        <v>0</v>
      </c>
      <c r="Z54" s="1768">
        <f>'Passage P&amp;L-par nature'!Z31*0</f>
        <v>0</v>
      </c>
      <c r="AA54" s="1768">
        <f>'Passage P&amp;L-par nature'!AA31*0</f>
        <v>0</v>
      </c>
      <c r="AB54" s="1768">
        <f>'Passage P&amp;L-par nature'!AB31*0</f>
        <v>0</v>
      </c>
      <c r="AC54" s="742"/>
      <c r="AD54" s="746">
        <f t="shared" si="12"/>
        <v>0</v>
      </c>
      <c r="AH54" s="1520">
        <v>0</v>
      </c>
      <c r="AI54" s="1586">
        <f t="shared" si="2"/>
        <v>0</v>
      </c>
      <c r="AM54" s="1778">
        <v>0</v>
      </c>
      <c r="AN54" s="1900">
        <f t="shared" si="3"/>
        <v>0</v>
      </c>
    </row>
    <row r="55" spans="2:45" x14ac:dyDescent="0.5">
      <c r="B55" s="743" t="s">
        <v>1790</v>
      </c>
      <c r="C55" s="744" t="s">
        <v>1791</v>
      </c>
      <c r="E55" s="745"/>
      <c r="F55" s="1768"/>
      <c r="G55" s="1768"/>
      <c r="H55" s="1768"/>
      <c r="I55" s="1768"/>
      <c r="J55" s="1768"/>
      <c r="K55" s="1768"/>
      <c r="L55" s="1768"/>
      <c r="M55" s="1768"/>
      <c r="N55" s="1768"/>
      <c r="O55" s="1768"/>
      <c r="P55" s="1768"/>
      <c r="Q55" s="1768"/>
      <c r="R55" s="1768"/>
      <c r="S55" s="1768"/>
      <c r="T55" s="1768"/>
      <c r="U55" s="1768"/>
      <c r="V55" s="1768"/>
      <c r="W55" s="1768"/>
      <c r="X55" s="1768"/>
      <c r="Y55" s="1768"/>
      <c r="Z55" s="1768"/>
      <c r="AA55" s="1768"/>
      <c r="AB55" s="1768"/>
      <c r="AC55" s="742"/>
      <c r="AD55" s="746">
        <f t="shared" si="12"/>
        <v>0</v>
      </c>
      <c r="AH55" s="1520">
        <v>0</v>
      </c>
      <c r="AI55" s="1586">
        <f t="shared" si="2"/>
        <v>0</v>
      </c>
      <c r="AM55" s="1778">
        <v>0</v>
      </c>
      <c r="AN55" s="1900">
        <f t="shared" si="3"/>
        <v>0</v>
      </c>
    </row>
    <row r="56" spans="2:45" x14ac:dyDescent="0.5">
      <c r="B56" s="743" t="s">
        <v>1793</v>
      </c>
      <c r="C56" s="744" t="s">
        <v>1794</v>
      </c>
      <c r="E56" s="745"/>
      <c r="F56" s="1768"/>
      <c r="G56" s="1768"/>
      <c r="H56" s="1768"/>
      <c r="I56" s="1768"/>
      <c r="J56" s="1768"/>
      <c r="K56" s="1768"/>
      <c r="L56" s="1768"/>
      <c r="M56" s="1768"/>
      <c r="N56" s="1768"/>
      <c r="O56" s="1768"/>
      <c r="P56" s="1768"/>
      <c r="Q56" s="1768"/>
      <c r="R56" s="1768"/>
      <c r="S56" s="1768"/>
      <c r="T56" s="1768"/>
      <c r="U56" s="1768"/>
      <c r="V56" s="1768"/>
      <c r="W56" s="1768"/>
      <c r="X56" s="1768"/>
      <c r="Y56" s="1768"/>
      <c r="Z56" s="1768"/>
      <c r="AA56" s="1768"/>
      <c r="AB56" s="1768"/>
      <c r="AC56" s="742"/>
      <c r="AD56" s="746">
        <f t="shared" si="12"/>
        <v>0</v>
      </c>
      <c r="AH56" s="1520">
        <v>0</v>
      </c>
      <c r="AI56" s="1586">
        <f t="shared" si="2"/>
        <v>0</v>
      </c>
      <c r="AM56" s="1778">
        <v>0</v>
      </c>
      <c r="AN56" s="1900">
        <f t="shared" si="3"/>
        <v>0</v>
      </c>
    </row>
    <row r="57" spans="2:45" x14ac:dyDescent="0.5">
      <c r="B57" s="743" t="s">
        <v>1795</v>
      </c>
      <c r="C57" s="744" t="s">
        <v>1796</v>
      </c>
      <c r="E57" s="745"/>
      <c r="F57" s="1768"/>
      <c r="G57" s="1768"/>
      <c r="H57" s="1768"/>
      <c r="I57" s="1768"/>
      <c r="J57" s="1768"/>
      <c r="K57" s="1768"/>
      <c r="L57" s="1768"/>
      <c r="M57" s="1768"/>
      <c r="N57" s="1768"/>
      <c r="O57" s="1768"/>
      <c r="P57" s="1768"/>
      <c r="Q57" s="1768"/>
      <c r="R57" s="1768"/>
      <c r="S57" s="1768"/>
      <c r="T57" s="1768"/>
      <c r="U57" s="1768"/>
      <c r="V57" s="1768"/>
      <c r="W57" s="1768"/>
      <c r="X57" s="1768"/>
      <c r="Y57" s="1768"/>
      <c r="Z57" s="1768"/>
      <c r="AA57" s="1768"/>
      <c r="AB57" s="1768"/>
      <c r="AC57" s="742"/>
      <c r="AD57" s="746">
        <f t="shared" si="12"/>
        <v>0</v>
      </c>
      <c r="AH57" s="1520">
        <v>0</v>
      </c>
      <c r="AI57" s="1586">
        <f t="shared" si="2"/>
        <v>0</v>
      </c>
      <c r="AM57" s="1778">
        <v>0</v>
      </c>
      <c r="AN57" s="1900">
        <f t="shared" si="3"/>
        <v>0</v>
      </c>
    </row>
    <row r="58" spans="2:45" x14ac:dyDescent="0.5">
      <c r="B58" s="743" t="s">
        <v>1798</v>
      </c>
      <c r="C58" s="744" t="s">
        <v>1799</v>
      </c>
      <c r="E58" s="745"/>
      <c r="F58" s="1768"/>
      <c r="G58" s="1768"/>
      <c r="H58" s="1768"/>
      <c r="I58" s="1768"/>
      <c r="J58" s="1768"/>
      <c r="K58" s="1768"/>
      <c r="L58" s="1768"/>
      <c r="M58" s="1768"/>
      <c r="N58" s="1768"/>
      <c r="O58" s="1768"/>
      <c r="P58" s="1768"/>
      <c r="Q58" s="1768"/>
      <c r="R58" s="1768"/>
      <c r="S58" s="1768"/>
      <c r="T58" s="1768"/>
      <c r="U58" s="1768"/>
      <c r="V58" s="1768"/>
      <c r="W58" s="1768"/>
      <c r="X58" s="1768"/>
      <c r="Y58" s="1768"/>
      <c r="Z58" s="1768"/>
      <c r="AA58" s="1768"/>
      <c r="AB58" s="1768"/>
      <c r="AC58" s="742"/>
      <c r="AD58" s="746">
        <f t="shared" si="12"/>
        <v>0</v>
      </c>
      <c r="AH58" s="1520">
        <v>0</v>
      </c>
      <c r="AI58" s="1586">
        <f t="shared" si="2"/>
        <v>0</v>
      </c>
      <c r="AM58" s="1778">
        <v>0</v>
      </c>
      <c r="AN58" s="1900">
        <f t="shared" si="3"/>
        <v>0</v>
      </c>
    </row>
    <row r="59" spans="2:45" s="719" customFormat="1" ht="14.25" customHeight="1" x14ac:dyDescent="0.5">
      <c r="B59" s="747" t="s">
        <v>1546</v>
      </c>
      <c r="C59" s="747" t="s">
        <v>1801</v>
      </c>
      <c r="D59" s="748"/>
      <c r="E59" s="749"/>
      <c r="F59" s="1769">
        <f t="shared" ref="F59:AB59" si="13">+SUM(F53:F58)</f>
        <v>0</v>
      </c>
      <c r="G59" s="1769">
        <f t="shared" si="13"/>
        <v>0</v>
      </c>
      <c r="H59" s="1769">
        <f t="shared" si="13"/>
        <v>0</v>
      </c>
      <c r="I59" s="1769">
        <f t="shared" si="13"/>
        <v>0</v>
      </c>
      <c r="J59" s="1769">
        <f t="shared" si="13"/>
        <v>0</v>
      </c>
      <c r="K59" s="1769">
        <f t="shared" si="13"/>
        <v>0</v>
      </c>
      <c r="L59" s="1769">
        <f t="shared" si="13"/>
        <v>0</v>
      </c>
      <c r="M59" s="1769">
        <f t="shared" si="13"/>
        <v>0</v>
      </c>
      <c r="N59" s="1769">
        <f t="shared" si="13"/>
        <v>0</v>
      </c>
      <c r="O59" s="1769">
        <f t="shared" si="13"/>
        <v>0</v>
      </c>
      <c r="P59" s="1769">
        <f t="shared" si="13"/>
        <v>0</v>
      </c>
      <c r="Q59" s="1769">
        <f t="shared" si="13"/>
        <v>0</v>
      </c>
      <c r="R59" s="1769">
        <f t="shared" si="13"/>
        <v>0</v>
      </c>
      <c r="S59" s="1769">
        <f t="shared" si="13"/>
        <v>0</v>
      </c>
      <c r="T59" s="1769">
        <f t="shared" si="13"/>
        <v>0</v>
      </c>
      <c r="U59" s="1769">
        <f t="shared" si="13"/>
        <v>0</v>
      </c>
      <c r="V59" s="1769">
        <f t="shared" si="13"/>
        <v>0</v>
      </c>
      <c r="W59" s="1769">
        <f t="shared" si="13"/>
        <v>0</v>
      </c>
      <c r="X59" s="1769"/>
      <c r="Y59" s="1769">
        <f t="shared" si="13"/>
        <v>0</v>
      </c>
      <c r="Z59" s="1769">
        <f t="shared" si="13"/>
        <v>0</v>
      </c>
      <c r="AA59" s="1769">
        <f t="shared" si="13"/>
        <v>0</v>
      </c>
      <c r="AB59" s="1769">
        <f t="shared" si="13"/>
        <v>0</v>
      </c>
      <c r="AC59" s="737"/>
      <c r="AD59" s="750">
        <f>+SUM(AD53:AD58)</f>
        <v>0</v>
      </c>
      <c r="AE59"/>
      <c r="AF59"/>
      <c r="AG59"/>
      <c r="AH59" s="1520">
        <v>0</v>
      </c>
      <c r="AI59" s="1586">
        <f t="shared" si="2"/>
        <v>0</v>
      </c>
      <c r="AJ59"/>
      <c r="AK59"/>
      <c r="AL59"/>
      <c r="AM59" s="1779">
        <v>0</v>
      </c>
      <c r="AN59" s="1901">
        <f t="shared" si="3"/>
        <v>0</v>
      </c>
      <c r="AO59"/>
      <c r="AP59"/>
      <c r="AQ59"/>
      <c r="AR59"/>
      <c r="AS59"/>
    </row>
    <row r="60" spans="2:45" ht="9.9" customHeight="1" x14ac:dyDescent="0.5">
      <c r="E60" s="751"/>
      <c r="AC60" s="742"/>
      <c r="AD60" s="751"/>
      <c r="AI60" s="1586">
        <f t="shared" si="2"/>
        <v>0</v>
      </c>
      <c r="AN60" s="1895">
        <f t="shared" si="3"/>
        <v>0</v>
      </c>
    </row>
    <row r="61" spans="2:45" x14ac:dyDescent="0.5">
      <c r="B61" s="743" t="s">
        <v>1602</v>
      </c>
      <c r="C61" s="744" t="s">
        <v>1803</v>
      </c>
      <c r="E61" s="745"/>
      <c r="F61" s="1768"/>
      <c r="G61" s="1768">
        <f>'Passage P&amp;L-par nature'!G83</f>
        <v>-7319.1066730000002</v>
      </c>
      <c r="H61" s="1768"/>
      <c r="I61" s="1768"/>
      <c r="J61" s="1768">
        <f>'Passage P&amp;L-par nature'!J83</f>
        <v>0</v>
      </c>
      <c r="K61" s="1768">
        <f>'Passage P&amp;L-par nature'!K83</f>
        <v>0</v>
      </c>
      <c r="L61" s="1768">
        <f>'Passage P&amp;L-par nature'!L83</f>
        <v>-229.49405514291669</v>
      </c>
      <c r="M61" s="1768">
        <f>'Passage P&amp;L-par nature'!M83</f>
        <v>0</v>
      </c>
      <c r="N61" s="1768">
        <f>'Passage P&amp;L-par nature'!N83</f>
        <v>0</v>
      </c>
      <c r="O61" s="1768">
        <f>'Passage P&amp;L-par nature'!O83</f>
        <v>0</v>
      </c>
      <c r="P61" s="1768">
        <f>'Passage P&amp;L-par nature'!P83</f>
        <v>0</v>
      </c>
      <c r="Q61" s="1768">
        <f>'Passage P&amp;L-par nature'!Q83</f>
        <v>0</v>
      </c>
      <c r="R61" s="1768">
        <f>'Passage P&amp;L-par nature'!R83</f>
        <v>0</v>
      </c>
      <c r="S61" s="1768">
        <f>'Passage P&amp;L-par nature'!S83</f>
        <v>0</v>
      </c>
      <c r="T61" s="1768">
        <f>'Passage P&amp;L-par nature'!T83</f>
        <v>0</v>
      </c>
      <c r="U61" s="1768">
        <f>'Passage P&amp;L-par nature'!U83</f>
        <v>0</v>
      </c>
      <c r="V61" s="1768">
        <f>'Passage P&amp;L-par nature'!V83</f>
        <v>0</v>
      </c>
      <c r="W61" s="1768">
        <f>'Passage P&amp;L-par nature'!W83</f>
        <v>-291.34008113630966</v>
      </c>
      <c r="X61" s="1768">
        <f>'Passage P&amp;L-par nature'!X83</f>
        <v>0</v>
      </c>
      <c r="Y61" s="1768">
        <f>'Passage P&amp;L-par nature'!Y83</f>
        <v>0</v>
      </c>
      <c r="Z61" s="1768">
        <f>'Passage P&amp;L-par nature'!Z83</f>
        <v>0</v>
      </c>
      <c r="AA61" s="1768">
        <f>'Passage P&amp;L-par nature'!AA83</f>
        <v>0</v>
      </c>
      <c r="AB61" s="1768">
        <f>'Passage P&amp;L-par nature'!AB83</f>
        <v>0</v>
      </c>
      <c r="AC61" s="742"/>
      <c r="AD61" s="746">
        <f>+SUM(E61:AB61)</f>
        <v>-7839.9408092792264</v>
      </c>
      <c r="AH61" s="1520">
        <v>-116.06241989273251</v>
      </c>
      <c r="AI61" s="1586">
        <f t="shared" si="2"/>
        <v>-7723.8783893864938</v>
      </c>
      <c r="AM61" s="1778">
        <v>-7845.4796917324884</v>
      </c>
      <c r="AN61" s="1900">
        <f t="shared" si="3"/>
        <v>5.5388824532619765</v>
      </c>
    </row>
    <row r="62" spans="2:45" x14ac:dyDescent="0.5">
      <c r="B62" s="765" t="s">
        <v>1604</v>
      </c>
      <c r="C62" s="766" t="s">
        <v>1605</v>
      </c>
      <c r="E62" s="745"/>
      <c r="F62" s="1768"/>
      <c r="G62" s="1768"/>
      <c r="H62" s="1768"/>
      <c r="I62" s="1768"/>
      <c r="J62" s="1768"/>
      <c r="K62" s="1768"/>
      <c r="L62" s="1768"/>
      <c r="M62" s="1768"/>
      <c r="N62" s="1768"/>
      <c r="O62" s="1768"/>
      <c r="P62" s="1768"/>
      <c r="Q62" s="1768"/>
      <c r="R62" s="1768"/>
      <c r="S62" s="1768"/>
      <c r="T62" s="1768"/>
      <c r="U62" s="1768"/>
      <c r="V62" s="1768"/>
      <c r="W62" s="1768"/>
      <c r="X62" s="1768">
        <f>'Passage P&amp;L-par nature'!X84</f>
        <v>-805.85368700000004</v>
      </c>
      <c r="Y62" s="1768">
        <f>'Passage P&amp;L-par nature'!Y84</f>
        <v>0</v>
      </c>
      <c r="Z62" s="1768"/>
      <c r="AA62" s="1768"/>
      <c r="AB62" s="1768"/>
      <c r="AC62" s="742"/>
      <c r="AD62" s="746">
        <f>+SUM(E62:AB62)</f>
        <v>-805.85368700000004</v>
      </c>
      <c r="AH62" s="1520">
        <v>-192.964744</v>
      </c>
      <c r="AI62" s="1586">
        <f t="shared" si="2"/>
        <v>-612.88894300000004</v>
      </c>
      <c r="AM62" s="1778">
        <v>-805.85368700000004</v>
      </c>
      <c r="AN62" s="1900">
        <f t="shared" si="3"/>
        <v>0</v>
      </c>
    </row>
    <row r="63" spans="2:45" x14ac:dyDescent="0.5">
      <c r="B63" s="743" t="s">
        <v>1606</v>
      </c>
      <c r="C63" s="744" t="s">
        <v>1805</v>
      </c>
      <c r="E63" s="745"/>
      <c r="F63" s="1768"/>
      <c r="G63" s="1768">
        <f>'Passage P&amp;L-par nature'!G85</f>
        <v>-11073.889894</v>
      </c>
      <c r="H63" s="1768">
        <f>'Passage P&amp;L-par nature'!H85</f>
        <v>0</v>
      </c>
      <c r="I63" s="1768">
        <f>'Passage P&amp;L-par nature'!I85</f>
        <v>0</v>
      </c>
      <c r="J63" s="1768">
        <f>'Passage P&amp;L-par nature'!J85</f>
        <v>0</v>
      </c>
      <c r="K63" s="1768">
        <f>'Passage P&amp;L-par nature'!K85</f>
        <v>0</v>
      </c>
      <c r="L63" s="1768">
        <f>'Passage P&amp;L-par nature'!L85</f>
        <v>0</v>
      </c>
      <c r="M63" s="1768">
        <f>'Passage P&amp;L-par nature'!M85</f>
        <v>0</v>
      </c>
      <c r="N63" s="1768">
        <f>'Passage P&amp;L-par nature'!N85</f>
        <v>0</v>
      </c>
      <c r="O63" s="1768">
        <f>'Passage P&amp;L-par nature'!O85</f>
        <v>0</v>
      </c>
      <c r="P63" s="1768">
        <f>'Passage P&amp;L-par nature'!P85</f>
        <v>0</v>
      </c>
      <c r="Q63" s="1768">
        <f>'Passage P&amp;L-par nature'!Q85</f>
        <v>0</v>
      </c>
      <c r="R63" s="1768">
        <f>'Passage P&amp;L-par nature'!R85</f>
        <v>0</v>
      </c>
      <c r="S63" s="1768">
        <f>'Passage P&amp;L-par nature'!S85</f>
        <v>0</v>
      </c>
      <c r="T63" s="1768">
        <f>'Passage P&amp;L-par nature'!T85</f>
        <v>0</v>
      </c>
      <c r="U63" s="1768">
        <f>'Passage P&amp;L-par nature'!U85</f>
        <v>1458.8835770000001</v>
      </c>
      <c r="V63" s="1768">
        <f>'Passage P&amp;L-par nature'!V85</f>
        <v>0</v>
      </c>
      <c r="W63" s="1768">
        <f>'Passage P&amp;L-par nature'!W85</f>
        <v>0</v>
      </c>
      <c r="X63" s="1768">
        <f>'Passage P&amp;L-par nature'!X85</f>
        <v>0</v>
      </c>
      <c r="Y63" s="1768">
        <f>'Passage P&amp;L-par nature'!Y85</f>
        <v>0</v>
      </c>
      <c r="Z63" s="1768"/>
      <c r="AA63" s="1768"/>
      <c r="AB63" s="1768"/>
      <c r="AC63" s="742"/>
      <c r="AD63" s="746">
        <f>+SUM(E63:AB63)</f>
        <v>-9615.0063169999994</v>
      </c>
      <c r="AH63" s="1520">
        <v>-4301.1442239999997</v>
      </c>
      <c r="AI63" s="1586">
        <f t="shared" si="2"/>
        <v>-5313.8620929999997</v>
      </c>
      <c r="AM63" s="1778">
        <v>-9613.9245809999993</v>
      </c>
      <c r="AN63" s="1906">
        <f t="shared" si="3"/>
        <v>-1.0817360000000917</v>
      </c>
      <c r="AO63">
        <v>-1.08173600000009</v>
      </c>
    </row>
    <row r="64" spans="2:45" x14ac:dyDescent="0.5">
      <c r="B64" s="743" t="s">
        <v>1806</v>
      </c>
      <c r="C64" s="744" t="s">
        <v>1807</v>
      </c>
      <c r="E64" s="745"/>
      <c r="F64" s="1768"/>
      <c r="G64" s="1768"/>
      <c r="H64" s="1768"/>
      <c r="I64" s="1768"/>
      <c r="J64" s="1768"/>
      <c r="K64" s="1768"/>
      <c r="L64" s="1768"/>
      <c r="M64" s="1768"/>
      <c r="N64" s="1768"/>
      <c r="O64" s="1768"/>
      <c r="P64" s="1768"/>
      <c r="Q64" s="1768"/>
      <c r="R64" s="1768"/>
      <c r="S64" s="1768"/>
      <c r="T64" s="1768"/>
      <c r="U64" s="1768"/>
      <c r="V64" s="1768"/>
      <c r="W64" s="1768"/>
      <c r="X64" s="1768"/>
      <c r="Y64" s="1768"/>
      <c r="Z64" s="1768"/>
      <c r="AA64" s="1768"/>
      <c r="AB64" s="1768"/>
      <c r="AC64" s="742"/>
      <c r="AD64" s="746">
        <f>+SUM(E64:AB64)</f>
        <v>0</v>
      </c>
      <c r="AH64" s="1520">
        <v>0</v>
      </c>
      <c r="AI64" s="1586">
        <f t="shared" si="2"/>
        <v>0</v>
      </c>
      <c r="AM64" s="1778">
        <v>0</v>
      </c>
      <c r="AN64" s="1900">
        <f t="shared" si="3"/>
        <v>0</v>
      </c>
    </row>
    <row r="65" spans="2:45" x14ac:dyDescent="0.5">
      <c r="B65" s="743" t="s">
        <v>1808</v>
      </c>
      <c r="C65" s="744" t="s">
        <v>1809</v>
      </c>
      <c r="E65" s="745"/>
      <c r="F65" s="1768"/>
      <c r="G65" s="1768"/>
      <c r="H65" s="1768"/>
      <c r="I65" s="1768"/>
      <c r="J65" s="1768"/>
      <c r="K65" s="1768"/>
      <c r="L65" s="1768"/>
      <c r="M65" s="1768"/>
      <c r="N65" s="1768"/>
      <c r="O65" s="1768"/>
      <c r="P65" s="1768"/>
      <c r="Q65" s="1768"/>
      <c r="R65" s="1768"/>
      <c r="S65" s="1768"/>
      <c r="T65" s="1768"/>
      <c r="U65" s="1768"/>
      <c r="V65" s="1768"/>
      <c r="W65" s="1768"/>
      <c r="X65" s="1768"/>
      <c r="Y65" s="1768"/>
      <c r="Z65" s="1768"/>
      <c r="AA65" s="1768"/>
      <c r="AB65" s="1768"/>
      <c r="AC65" s="742"/>
      <c r="AD65" s="746">
        <f>+SUM(E65:AB65)</f>
        <v>0</v>
      </c>
      <c r="AH65" s="1520">
        <v>0</v>
      </c>
      <c r="AI65" s="1586">
        <f t="shared" si="2"/>
        <v>0</v>
      </c>
      <c r="AM65" s="1778">
        <v>0</v>
      </c>
      <c r="AN65" s="1900">
        <f t="shared" si="3"/>
        <v>0</v>
      </c>
    </row>
    <row r="66" spans="2:45" s="719" customFormat="1" ht="24" customHeight="1" x14ac:dyDescent="0.5">
      <c r="B66" s="747" t="s">
        <v>1628</v>
      </c>
      <c r="C66" s="747" t="s">
        <v>947</v>
      </c>
      <c r="D66" s="748"/>
      <c r="E66" s="749"/>
      <c r="F66" s="1769">
        <f t="shared" ref="F66:AB66" si="14">+SUM(F61:F65)</f>
        <v>0</v>
      </c>
      <c r="G66" s="1769">
        <f t="shared" si="14"/>
        <v>-18392.996567000002</v>
      </c>
      <c r="H66" s="1769">
        <f t="shared" si="14"/>
        <v>0</v>
      </c>
      <c r="I66" s="1769">
        <f t="shared" si="14"/>
        <v>0</v>
      </c>
      <c r="J66" s="1769">
        <f t="shared" si="14"/>
        <v>0</v>
      </c>
      <c r="K66" s="1769">
        <f t="shared" si="14"/>
        <v>0</v>
      </c>
      <c r="L66" s="1769">
        <f t="shared" si="14"/>
        <v>-229.49405514291669</v>
      </c>
      <c r="M66" s="1769">
        <f t="shared" si="14"/>
        <v>0</v>
      </c>
      <c r="N66" s="1769">
        <f t="shared" si="14"/>
        <v>0</v>
      </c>
      <c r="O66" s="1769">
        <f t="shared" si="14"/>
        <v>0</v>
      </c>
      <c r="P66" s="1769">
        <f t="shared" si="14"/>
        <v>0</v>
      </c>
      <c r="Q66" s="1769">
        <f t="shared" si="14"/>
        <v>0</v>
      </c>
      <c r="R66" s="1769">
        <f t="shared" si="14"/>
        <v>0</v>
      </c>
      <c r="S66" s="1769">
        <f t="shared" si="14"/>
        <v>0</v>
      </c>
      <c r="T66" s="1769">
        <f t="shared" si="14"/>
        <v>0</v>
      </c>
      <c r="U66" s="1769">
        <f t="shared" si="14"/>
        <v>1458.8835770000001</v>
      </c>
      <c r="V66" s="1769">
        <f t="shared" si="14"/>
        <v>0</v>
      </c>
      <c r="W66" s="1769">
        <f t="shared" si="14"/>
        <v>-291.34008113630966</v>
      </c>
      <c r="X66" s="1769">
        <f t="shared" si="14"/>
        <v>-805.85368700000004</v>
      </c>
      <c r="Y66" s="1769">
        <f t="shared" si="14"/>
        <v>0</v>
      </c>
      <c r="Z66" s="1769">
        <f t="shared" si="14"/>
        <v>0</v>
      </c>
      <c r="AA66" s="1769">
        <f t="shared" si="14"/>
        <v>0</v>
      </c>
      <c r="AB66" s="1769">
        <f t="shared" si="14"/>
        <v>0</v>
      </c>
      <c r="AC66" s="737"/>
      <c r="AD66" s="750">
        <f>+SUM(AD61:AD65)</f>
        <v>-18260.800813279224</v>
      </c>
      <c r="AE66"/>
      <c r="AF66"/>
      <c r="AG66"/>
      <c r="AH66" s="1520">
        <v>-4610.1713878927321</v>
      </c>
      <c r="AI66" s="1586">
        <f t="shared" si="2"/>
        <v>-13650.629425386491</v>
      </c>
      <c r="AJ66"/>
      <c r="AK66"/>
      <c r="AL66"/>
      <c r="AM66" s="1779">
        <v>-18265.257959732488</v>
      </c>
      <c r="AN66" s="1901">
        <f t="shared" si="3"/>
        <v>4.4571464532637037</v>
      </c>
      <c r="AO66"/>
      <c r="AP66"/>
      <c r="AQ66"/>
      <c r="AR66"/>
      <c r="AS66"/>
    </row>
    <row r="67" spans="2:45" ht="15" customHeight="1" x14ac:dyDescent="0.5">
      <c r="B67" s="718" t="s">
        <v>1548</v>
      </c>
      <c r="E67" s="739"/>
      <c r="F67" s="1767"/>
      <c r="G67" s="1767"/>
      <c r="H67" s="1767"/>
      <c r="I67" s="1767"/>
      <c r="J67" s="1767"/>
      <c r="K67" s="1767"/>
      <c r="L67" s="1767"/>
      <c r="M67" s="1767"/>
      <c r="N67" s="1767"/>
      <c r="O67" s="1767"/>
      <c r="P67" s="1767"/>
      <c r="Q67" s="1767"/>
      <c r="R67" s="1767"/>
      <c r="S67" s="1767"/>
      <c r="T67" s="1767"/>
      <c r="U67" s="1767"/>
      <c r="V67" s="1767"/>
      <c r="W67" s="1767"/>
      <c r="X67" s="1767"/>
      <c r="Y67" s="1767"/>
      <c r="Z67" s="1767"/>
      <c r="AA67" s="1767"/>
      <c r="AB67" s="1767"/>
      <c r="AC67" s="742"/>
      <c r="AD67" s="739"/>
      <c r="AI67" s="1586">
        <f t="shared" si="2"/>
        <v>0</v>
      </c>
      <c r="AM67" s="1777"/>
      <c r="AN67" s="1899">
        <f t="shared" si="3"/>
        <v>0</v>
      </c>
    </row>
    <row r="68" spans="2:45" s="718" customFormat="1" ht="27" customHeight="1" x14ac:dyDescent="0.5">
      <c r="B68" s="752" t="s">
        <v>1629</v>
      </c>
      <c r="C68" s="752" t="s">
        <v>1630</v>
      </c>
      <c r="D68" s="725"/>
      <c r="E68" s="754">
        <f>+SUM(E6:E15)+SUM(E17:E28)</f>
        <v>9129.9811940000072</v>
      </c>
      <c r="F68" s="1772">
        <f>+F66+F59+F51+F47+F43+SUM(F19:F28)+SUM(F6:F15)</f>
        <v>-1902.1616202164587</v>
      </c>
      <c r="G68" s="1772">
        <f t="shared" ref="G68:AB68" si="15">+G66+G59+G51+G47+G43+SUM(G19:G28)+SUM(G6:G15)</f>
        <v>-1879.7250269999786</v>
      </c>
      <c r="H68" s="1772">
        <f t="shared" si="15"/>
        <v>0</v>
      </c>
      <c r="I68" s="1772">
        <f t="shared" si="15"/>
        <v>0</v>
      </c>
      <c r="J68" s="1772">
        <f t="shared" si="15"/>
        <v>759.49458200000004</v>
      </c>
      <c r="K68" s="1772">
        <f t="shared" si="15"/>
        <v>-233.65454600000001</v>
      </c>
      <c r="L68" s="1772">
        <f t="shared" si="15"/>
        <v>-229.49405514291669</v>
      </c>
      <c r="M68" s="1772">
        <f t="shared" si="15"/>
        <v>0</v>
      </c>
      <c r="N68" s="1772">
        <f t="shared" si="15"/>
        <v>0</v>
      </c>
      <c r="O68" s="1772">
        <f t="shared" si="15"/>
        <v>0</v>
      </c>
      <c r="P68" s="1772">
        <f t="shared" si="15"/>
        <v>0</v>
      </c>
      <c r="Q68" s="1772">
        <f t="shared" si="15"/>
        <v>0.122644</v>
      </c>
      <c r="R68" s="1772">
        <f t="shared" si="15"/>
        <v>0</v>
      </c>
      <c r="S68" s="1772">
        <f t="shared" si="15"/>
        <v>0</v>
      </c>
      <c r="T68" s="1772">
        <f t="shared" si="15"/>
        <v>0</v>
      </c>
      <c r="U68" s="1772">
        <f t="shared" si="15"/>
        <v>3517.5397189999999</v>
      </c>
      <c r="V68" s="1772">
        <f t="shared" si="15"/>
        <v>0</v>
      </c>
      <c r="W68" s="1772">
        <f t="shared" si="15"/>
        <v>222.4515364386906</v>
      </c>
      <c r="X68" s="1772">
        <f t="shared" si="15"/>
        <v>174.70812999999998</v>
      </c>
      <c r="Y68" s="1772">
        <f t="shared" si="15"/>
        <v>-44.635854000000009</v>
      </c>
      <c r="Z68" s="1772">
        <f t="shared" si="15"/>
        <v>0</v>
      </c>
      <c r="AA68" s="1772">
        <f t="shared" si="15"/>
        <v>0</v>
      </c>
      <c r="AB68" s="1772">
        <f t="shared" si="15"/>
        <v>0</v>
      </c>
      <c r="AC68" s="737"/>
      <c r="AD68" s="767">
        <f>+AD66+AD59+AD51+AD47+AD43+SUM(AD17:AD28)+SUM(AD6:AD15)</f>
        <v>10759.093720079334</v>
      </c>
      <c r="AE68"/>
      <c r="AF68"/>
      <c r="AG68"/>
      <c r="AH68" s="1520">
        <v>2327.8084788822644</v>
      </c>
      <c r="AI68" s="1586">
        <f t="shared" si="2"/>
        <v>8431.2852411970707</v>
      </c>
      <c r="AJ68"/>
      <c r="AK68"/>
      <c r="AL68"/>
      <c r="AM68" s="1782">
        <v>10550.950512151067</v>
      </c>
      <c r="AN68" s="1904">
        <f t="shared" si="3"/>
        <v>208.14320792826766</v>
      </c>
      <c r="AO68"/>
      <c r="AP68"/>
      <c r="AQ68"/>
      <c r="AR68"/>
      <c r="AS68"/>
    </row>
    <row r="69" spans="2:45" ht="9.9" customHeight="1" outlineLevel="1" x14ac:dyDescent="0.5">
      <c r="E69" s="751"/>
      <c r="AC69" s="742"/>
      <c r="AD69" s="751"/>
      <c r="AI69" s="1586">
        <f t="shared" si="2"/>
        <v>0</v>
      </c>
      <c r="AN69" s="1895">
        <f t="shared" si="3"/>
        <v>0</v>
      </c>
    </row>
    <row r="70" spans="2:45" x14ac:dyDescent="0.5">
      <c r="C70" s="768" t="s">
        <v>1811</v>
      </c>
      <c r="AD70" s="1317">
        <f>AD68-'Passage P&amp;L-par nature'!AD98</f>
        <v>1035.7939490000063</v>
      </c>
      <c r="AH70" s="1520">
        <v>0</v>
      </c>
      <c r="AI70" s="1586">
        <f t="shared" si="2"/>
        <v>1035.7939490000063</v>
      </c>
      <c r="AM70" s="1783">
        <v>1035.793948999999</v>
      </c>
      <c r="AN70" s="1905"/>
    </row>
  </sheetData>
  <sheetProtection formatCells="0" formatColumns="0" formatRows="0"/>
  <mergeCells count="5">
    <mergeCell ref="C2:C3"/>
    <mergeCell ref="F2:R2"/>
    <mergeCell ref="S2:T2"/>
    <mergeCell ref="U2:Y2"/>
    <mergeCell ref="Z2:AB2"/>
  </mergeCells>
  <hyperlinks>
    <hyperlink ref="A1" location="Sommaire!F15" display="Sommaire" xr:uid="{00000000-0004-0000-0C00-000000000000}"/>
  </hyperlinks>
  <pageMargins left="0.27559055118110237" right="0.23622047244094491" top="0.78740157480314965" bottom="0.62992125984251968" header="0.31496062992125984" footer="0.31496062992125984"/>
  <pageSetup paperSize="9" scale="26" fitToHeight="13" orientation="landscape" r:id="rId1"/>
  <colBreaks count="1" manualBreakCount="1">
    <brk id="13" max="69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BH278"/>
  <sheetViews>
    <sheetView showGridLines="0" topLeftCell="A4" zoomScale="50" zoomScaleNormal="50" zoomScaleSheetLayoutView="73" workbookViewId="0">
      <pane xSplit="6" ySplit="2" topLeftCell="G250" activePane="bottomRight" state="frozen"/>
      <selection activeCell="AT18" sqref="AT18"/>
      <selection pane="topRight" activeCell="AT18" sqref="AT18"/>
      <selection pane="bottomLeft" activeCell="AT18" sqref="AT18"/>
      <selection pane="bottomRight" activeCell="AT18" sqref="AT18"/>
    </sheetView>
  </sheetViews>
  <sheetFormatPr baseColWidth="10" defaultColWidth="11.44140625" defaultRowHeight="18" x14ac:dyDescent="0.35"/>
  <cols>
    <col min="1" max="1" width="1.109375" style="2" customWidth="1"/>
    <col min="2" max="2" width="14.44140625" style="2" customWidth="1"/>
    <col min="3" max="3" width="53.88671875" style="2" customWidth="1"/>
    <col min="4" max="4" width="2.109375" style="481" customWidth="1"/>
    <col min="5" max="5" width="21" style="1646" customWidth="1"/>
    <col min="6" max="6" width="4.88671875" style="458" customWidth="1"/>
    <col min="7" max="7" width="14.109375" style="458" customWidth="1"/>
    <col min="8" max="8" width="9.5546875" style="458" customWidth="1"/>
    <col min="9" max="9" width="5.5546875" style="458" customWidth="1"/>
    <col min="10" max="10" width="14.109375" style="458" customWidth="1"/>
    <col min="11" max="13" width="14.109375" style="1810" customWidth="1"/>
    <col min="14" max="14" width="17.5546875" style="1810" customWidth="1"/>
    <col min="15" max="15" width="14.109375" style="1810" customWidth="1"/>
    <col min="16" max="16" width="21.44140625" style="1612" bestFit="1" customWidth="1"/>
    <col min="17" max="19" width="14.109375" style="1790" customWidth="1"/>
    <col min="20" max="20" width="4.33203125" style="481" bestFit="1" customWidth="1"/>
    <col min="21" max="21" width="25.109375" style="1655" customWidth="1"/>
    <col min="22" max="22" width="4.88671875" customWidth="1"/>
    <col min="23" max="23" width="19.6640625" style="1551" hidden="1" customWidth="1"/>
    <col min="24" max="24" width="17.88671875" hidden="1" customWidth="1"/>
    <col min="25" max="25" width="11.44140625" hidden="1" customWidth="1"/>
    <col min="26" max="26" width="20.5546875" hidden="1" customWidth="1"/>
    <col min="27" max="29" width="11.44140625" hidden="1" customWidth="1"/>
    <col min="30" max="30" width="11.109375" style="1421" customWidth="1"/>
    <col min="31" max="31" width="16.6640625" style="1892" customWidth="1"/>
    <col min="32" max="32" width="17.44140625" style="75" customWidth="1"/>
    <col min="33" max="33" width="16.6640625" customWidth="1"/>
    <col min="34" max="35" width="11.44140625" customWidth="1"/>
    <col min="38" max="38" width="20.5546875" customWidth="1"/>
    <col min="40" max="40" width="14.88671875" customWidth="1"/>
    <col min="61" max="16384" width="11.44140625" style="72"/>
  </cols>
  <sheetData>
    <row r="1" spans="1:60" ht="115.2" x14ac:dyDescent="0.35">
      <c r="A1" s="456" t="s">
        <v>75</v>
      </c>
      <c r="B1" s="6"/>
      <c r="C1" s="6"/>
      <c r="D1" s="138"/>
      <c r="T1" s="138"/>
    </row>
    <row r="2" spans="1:60" s="461" customFormat="1" x14ac:dyDescent="0.35">
      <c r="B2" s="462"/>
      <c r="C2" s="463"/>
      <c r="E2" s="1647"/>
      <c r="F2" s="464"/>
      <c r="G2" s="464"/>
      <c r="H2" s="464"/>
      <c r="I2" s="464"/>
      <c r="J2" s="464"/>
      <c r="K2" s="1811"/>
      <c r="L2" s="1811"/>
      <c r="M2" s="1811"/>
      <c r="N2" s="1811"/>
      <c r="O2" s="1811"/>
      <c r="P2" s="1613"/>
      <c r="Q2" s="1791"/>
      <c r="R2" s="1791"/>
      <c r="S2" s="1791"/>
      <c r="T2" s="464"/>
      <c r="U2" s="1656"/>
      <c r="V2"/>
      <c r="W2" s="1552"/>
      <c r="X2"/>
      <c r="Y2"/>
      <c r="Z2"/>
      <c r="AA2"/>
      <c r="AB2"/>
      <c r="AC2"/>
      <c r="AD2" s="1421"/>
      <c r="AE2" s="1892"/>
      <c r="AF2" s="75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spans="1:60" ht="38.4" x14ac:dyDescent="0.7">
      <c r="B3" s="465"/>
      <c r="C3" s="770" t="s">
        <v>27</v>
      </c>
    </row>
    <row r="4" spans="1:60" s="475" customFormat="1" ht="28.5" customHeight="1" x14ac:dyDescent="0.35">
      <c r="A4" s="469"/>
      <c r="B4" s="771"/>
      <c r="C4" s="772" t="str">
        <f>Cover!Y13</f>
        <v>En millions de FCFA</v>
      </c>
      <c r="D4" s="773"/>
      <c r="E4" s="1985" t="s">
        <v>1812</v>
      </c>
      <c r="F4" s="774"/>
      <c r="G4" s="1986" t="s">
        <v>1813</v>
      </c>
      <c r="H4" s="1986" t="s">
        <v>1814</v>
      </c>
      <c r="I4" s="1986" t="s">
        <v>1815</v>
      </c>
      <c r="J4" s="1986" t="s">
        <v>1816</v>
      </c>
      <c r="K4" s="1983" t="s">
        <v>1817</v>
      </c>
      <c r="L4" s="1983" t="s">
        <v>1818</v>
      </c>
      <c r="M4" s="1983" t="s">
        <v>1819</v>
      </c>
      <c r="N4" s="1983" t="s">
        <v>1820</v>
      </c>
      <c r="O4" s="1988" t="s">
        <v>1821</v>
      </c>
      <c r="P4" s="1989" t="s">
        <v>1822</v>
      </c>
      <c r="Q4" s="1984" t="s">
        <v>1823</v>
      </c>
      <c r="R4" s="1984" t="s">
        <v>1824</v>
      </c>
      <c r="S4" s="1984" t="s">
        <v>1825</v>
      </c>
      <c r="T4" s="773"/>
      <c r="U4" s="1987" t="s">
        <v>1826</v>
      </c>
      <c r="V4"/>
      <c r="W4" s="1982" t="s">
        <v>1826</v>
      </c>
      <c r="X4"/>
      <c r="Y4"/>
      <c r="Z4"/>
      <c r="AA4"/>
      <c r="AB4"/>
      <c r="AC4"/>
      <c r="AD4" s="1421" t="s">
        <v>1826</v>
      </c>
      <c r="AE4" s="1892"/>
      <c r="AF4" s="75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0" s="475" customFormat="1" x14ac:dyDescent="0.35">
      <c r="A5" s="469"/>
      <c r="B5" s="771"/>
      <c r="C5" s="771"/>
      <c r="D5" s="773"/>
      <c r="E5" s="1985"/>
      <c r="F5" s="774"/>
      <c r="G5" s="1986"/>
      <c r="H5" s="1986"/>
      <c r="I5" s="1986"/>
      <c r="J5" s="1986"/>
      <c r="K5" s="1983"/>
      <c r="L5" s="1983"/>
      <c r="M5" s="1983"/>
      <c r="N5" s="1983"/>
      <c r="O5" s="1988"/>
      <c r="P5" s="1989"/>
      <c r="Q5" s="1984"/>
      <c r="R5" s="1984"/>
      <c r="S5" s="1984"/>
      <c r="T5" s="773"/>
      <c r="U5" s="1987"/>
      <c r="V5"/>
      <c r="W5" s="1982"/>
      <c r="X5"/>
      <c r="Y5"/>
      <c r="Z5"/>
      <c r="AA5"/>
      <c r="AB5"/>
      <c r="AC5"/>
      <c r="AD5" s="1421"/>
      <c r="AE5" s="1892"/>
      <c r="AF5" s="7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0" x14ac:dyDescent="0.35">
      <c r="B6" s="775"/>
      <c r="C6" s="775"/>
      <c r="D6" s="769"/>
      <c r="E6" s="1648"/>
      <c r="F6" s="774"/>
      <c r="G6" s="776"/>
      <c r="H6" s="776"/>
      <c r="I6" s="776"/>
      <c r="J6" s="776"/>
      <c r="K6" s="1812"/>
      <c r="L6" s="1812"/>
      <c r="M6" s="1812"/>
      <c r="N6" s="1812"/>
      <c r="O6" s="1813"/>
      <c r="P6" s="1614"/>
      <c r="Q6" s="1792"/>
      <c r="R6" s="1792"/>
      <c r="S6" s="1793"/>
      <c r="T6" s="769"/>
      <c r="U6" s="1657"/>
      <c r="W6" s="1553"/>
    </row>
    <row r="7" spans="1:60" x14ac:dyDescent="0.35">
      <c r="B7" s="777" t="s">
        <v>1047</v>
      </c>
      <c r="C7" s="778" t="s">
        <v>1827</v>
      </c>
      <c r="D7" s="779"/>
      <c r="E7" s="1611">
        <v>26399</v>
      </c>
      <c r="F7" s="780"/>
      <c r="G7" s="781"/>
      <c r="H7" s="781"/>
      <c r="I7" s="781"/>
      <c r="J7" s="781"/>
      <c r="K7" s="1814"/>
      <c r="L7" s="1814"/>
      <c r="M7" s="1814"/>
      <c r="N7" s="1814"/>
      <c r="O7" s="1815"/>
      <c r="P7" s="1615">
        <f>U7-SUM(Q7:S7)-SUM(E7:O7)</f>
        <v>0</v>
      </c>
      <c r="Q7" s="1794"/>
      <c r="R7" s="1794"/>
      <c r="S7" s="1795"/>
      <c r="T7" s="1521"/>
      <c r="U7" s="1593">
        <f>+'Passage Actif BC '!BH10</f>
        <v>26399</v>
      </c>
      <c r="W7" s="1554">
        <v>26399</v>
      </c>
      <c r="X7" s="101">
        <f>W7-U7</f>
        <v>0</v>
      </c>
      <c r="AD7" s="1421">
        <v>26399</v>
      </c>
      <c r="AE7" s="1892">
        <f>U7-AD7</f>
        <v>0</v>
      </c>
    </row>
    <row r="8" spans="1:60" x14ac:dyDescent="0.35">
      <c r="B8" s="777" t="s">
        <v>1049</v>
      </c>
      <c r="C8" s="778" t="s">
        <v>1828</v>
      </c>
      <c r="D8" s="779"/>
      <c r="E8" s="1611">
        <v>0</v>
      </c>
      <c r="F8" s="780"/>
      <c r="G8" s="781"/>
      <c r="H8" s="781"/>
      <c r="I8" s="781"/>
      <c r="J8" s="781"/>
      <c r="K8" s="1814"/>
      <c r="L8" s="1814"/>
      <c r="M8" s="1814"/>
      <c r="N8" s="1814"/>
      <c r="O8" s="1815"/>
      <c r="P8" s="1615">
        <f>U8-SUM(Q8:S8)-SUM(E8:O8)</f>
        <v>0</v>
      </c>
      <c r="Q8" s="1794"/>
      <c r="R8" s="1796"/>
      <c r="S8" s="1795"/>
      <c r="T8" s="1521"/>
      <c r="U8" s="1593">
        <f>+'Passage Actif BC '!BH11</f>
        <v>0</v>
      </c>
      <c r="W8" s="1554">
        <v>0</v>
      </c>
      <c r="X8" s="101">
        <f t="shared" ref="X8:X71" si="0">W8-U8</f>
        <v>0</v>
      </c>
      <c r="AD8" s="1421">
        <v>0</v>
      </c>
      <c r="AE8" s="1892">
        <f t="shared" ref="AE8:AE71" si="1">U8-AD8</f>
        <v>0</v>
      </c>
    </row>
    <row r="9" spans="1:60" ht="24.9" customHeight="1" thickBot="1" x14ac:dyDescent="0.4">
      <c r="B9" s="783" t="s">
        <v>1051</v>
      </c>
      <c r="C9" s="784" t="s">
        <v>1052</v>
      </c>
      <c r="D9" s="779"/>
      <c r="E9" s="1621">
        <v>26399</v>
      </c>
      <c r="F9" s="780">
        <f>F8+F7</f>
        <v>0</v>
      </c>
      <c r="G9" s="786"/>
      <c r="H9" s="786"/>
      <c r="I9" s="786"/>
      <c r="J9" s="786"/>
      <c r="K9" s="1784">
        <f t="shared" ref="K9:S9" si="2">K8+K7</f>
        <v>0</v>
      </c>
      <c r="L9" s="1784">
        <f t="shared" si="2"/>
        <v>0</v>
      </c>
      <c r="M9" s="1784">
        <f t="shared" si="2"/>
        <v>0</v>
      </c>
      <c r="N9" s="1784">
        <f t="shared" si="2"/>
        <v>0</v>
      </c>
      <c r="O9" s="1785">
        <f t="shared" si="2"/>
        <v>0</v>
      </c>
      <c r="P9" s="1616">
        <f>+SUM(P7:P8)</f>
        <v>0</v>
      </c>
      <c r="Q9" s="1637">
        <f t="shared" si="2"/>
        <v>0</v>
      </c>
      <c r="R9" s="1637">
        <f t="shared" si="2"/>
        <v>0</v>
      </c>
      <c r="S9" s="1638">
        <f t="shared" si="2"/>
        <v>0</v>
      </c>
      <c r="T9" s="1521"/>
      <c r="U9" s="1638">
        <f>SUM(E9:T9)</f>
        <v>26399</v>
      </c>
      <c r="W9" s="1555">
        <v>26399</v>
      </c>
      <c r="X9" s="101">
        <f t="shared" si="0"/>
        <v>0</v>
      </c>
      <c r="AD9" s="1421">
        <v>26399</v>
      </c>
      <c r="AE9" s="1892">
        <f t="shared" si="1"/>
        <v>0</v>
      </c>
    </row>
    <row r="10" spans="1:60" s="481" customFormat="1" ht="6.9" customHeight="1" x14ac:dyDescent="0.35">
      <c r="A10" s="467"/>
      <c r="B10" s="779"/>
      <c r="C10" s="787"/>
      <c r="D10" s="779"/>
      <c r="E10" s="1649"/>
      <c r="F10" s="780"/>
      <c r="G10" s="788"/>
      <c r="H10" s="788"/>
      <c r="I10" s="788"/>
      <c r="J10" s="788"/>
      <c r="K10" s="1816"/>
      <c r="L10" s="1816"/>
      <c r="M10" s="1816"/>
      <c r="N10" s="1816"/>
      <c r="O10" s="1817"/>
      <c r="P10" s="1617"/>
      <c r="Q10" s="1797"/>
      <c r="R10" s="1797"/>
      <c r="S10" s="1807"/>
      <c r="T10" s="1521"/>
      <c r="U10" s="1658"/>
      <c r="V10"/>
      <c r="W10" s="1554"/>
      <c r="X10" s="101">
        <f t="shared" si="0"/>
        <v>0</v>
      </c>
      <c r="Y10"/>
      <c r="Z10"/>
      <c r="AA10"/>
      <c r="AB10"/>
      <c r="AC10"/>
      <c r="AD10" s="1421"/>
      <c r="AE10" s="1892">
        <f t="shared" si="1"/>
        <v>0</v>
      </c>
      <c r="AF10" s="75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pans="1:60" s="481" customFormat="1" x14ac:dyDescent="0.35">
      <c r="A11" s="467"/>
      <c r="B11" s="777" t="s">
        <v>1057</v>
      </c>
      <c r="C11" s="778" t="s">
        <v>1829</v>
      </c>
      <c r="D11" s="779"/>
      <c r="E11" s="1611">
        <v>0</v>
      </c>
      <c r="F11" s="780"/>
      <c r="G11" s="781"/>
      <c r="H11" s="781"/>
      <c r="I11" s="781"/>
      <c r="J11" s="781"/>
      <c r="K11" s="1786"/>
      <c r="L11" s="1814"/>
      <c r="M11" s="1786"/>
      <c r="N11" s="1814"/>
      <c r="O11" s="1815"/>
      <c r="P11" s="1615">
        <f t="shared" ref="P11:P28" si="3">U11-SUM(Q11:S11)-SUM(E11:O11)</f>
        <v>0</v>
      </c>
      <c r="Q11" s="1794"/>
      <c r="R11" s="1794"/>
      <c r="S11" s="1801"/>
      <c r="T11" s="1521"/>
      <c r="U11" s="1593">
        <f>+'Passage Actif BC '!BH19</f>
        <v>0</v>
      </c>
      <c r="V11"/>
      <c r="W11" s="1554">
        <v>0</v>
      </c>
      <c r="X11" s="101">
        <f t="shared" si="0"/>
        <v>0</v>
      </c>
      <c r="Y11"/>
      <c r="Z11"/>
      <c r="AA11"/>
      <c r="AB11"/>
      <c r="AC11"/>
      <c r="AD11" s="1421">
        <v>0</v>
      </c>
      <c r="AE11" s="1892">
        <f t="shared" si="1"/>
        <v>0</v>
      </c>
      <c r="AF11" s="75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pans="1:60" s="481" customFormat="1" x14ac:dyDescent="0.35">
      <c r="A12" s="467"/>
      <c r="B12" s="777" t="s">
        <v>1059</v>
      </c>
      <c r="C12" s="778" t="s">
        <v>1830</v>
      </c>
      <c r="D12" s="779"/>
      <c r="E12" s="1611">
        <v>0</v>
      </c>
      <c r="F12" s="780"/>
      <c r="G12" s="781"/>
      <c r="H12" s="781"/>
      <c r="I12" s="781"/>
      <c r="J12" s="781"/>
      <c r="K12" s="1814"/>
      <c r="L12" s="1786"/>
      <c r="M12" s="1786"/>
      <c r="N12" s="1786"/>
      <c r="O12" s="1815"/>
      <c r="P12" s="1615">
        <f t="shared" si="3"/>
        <v>0</v>
      </c>
      <c r="Q12" s="1794"/>
      <c r="R12" s="1794"/>
      <c r="S12" s="1801"/>
      <c r="T12" s="1521"/>
      <c r="U12" s="1593">
        <f>+'Passage Actif BC '!BH20</f>
        <v>0</v>
      </c>
      <c r="V12"/>
      <c r="W12" s="1554">
        <v>0</v>
      </c>
      <c r="X12" s="101">
        <f t="shared" si="0"/>
        <v>0</v>
      </c>
      <c r="Y12"/>
      <c r="Z12"/>
      <c r="AA12"/>
      <c r="AB12"/>
      <c r="AC12"/>
      <c r="AD12" s="1421">
        <v>0</v>
      </c>
      <c r="AE12" s="1892">
        <f t="shared" si="1"/>
        <v>0</v>
      </c>
      <c r="AF12" s="75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60" s="481" customFormat="1" x14ac:dyDescent="0.35">
      <c r="A13" s="467"/>
      <c r="B13" s="777" t="s">
        <v>117</v>
      </c>
      <c r="C13" s="778" t="s">
        <v>1831</v>
      </c>
      <c r="D13" s="779"/>
      <c r="E13" s="1611">
        <v>5886.4</v>
      </c>
      <c r="F13" s="780"/>
      <c r="G13" s="781"/>
      <c r="H13" s="781"/>
      <c r="I13" s="781"/>
      <c r="J13" s="781"/>
      <c r="K13" s="1786">
        <f>+SUMIFS('BG '!$H$29:$H$71,'BG '!$C$29:$C$71,'Bilan-par flux'!B13)/1000000</f>
        <v>486.59055499999999</v>
      </c>
      <c r="L13" s="1814"/>
      <c r="M13" s="1786"/>
      <c r="N13" s="1814"/>
      <c r="O13" s="1815"/>
      <c r="P13" s="1615">
        <f t="shared" si="3"/>
        <v>3.8394000000153028E-2</v>
      </c>
      <c r="Q13" s="1794"/>
      <c r="R13" s="1794"/>
      <c r="S13" s="1801"/>
      <c r="T13" s="1521"/>
      <c r="U13" s="1593">
        <f>+'Passage Actif BC '!BH21</f>
        <v>6373.0289489999996</v>
      </c>
      <c r="V13"/>
      <c r="W13" s="1554">
        <v>5904.0053950000001</v>
      </c>
      <c r="X13" s="101">
        <f t="shared" si="0"/>
        <v>-469.02355399999942</v>
      </c>
      <c r="Y13"/>
      <c r="Z13"/>
      <c r="AA13"/>
      <c r="AB13"/>
      <c r="AC13"/>
      <c r="AD13" s="1421">
        <v>6373.0289489999996</v>
      </c>
      <c r="AE13" s="1892">
        <f t="shared" si="1"/>
        <v>0</v>
      </c>
      <c r="AF13" s="75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60" s="481" customFormat="1" x14ac:dyDescent="0.35">
      <c r="A14" s="467"/>
      <c r="B14" s="777" t="s">
        <v>170</v>
      </c>
      <c r="C14" s="778" t="s">
        <v>1062</v>
      </c>
      <c r="D14" s="779"/>
      <c r="E14" s="1611">
        <v>-5372.7</v>
      </c>
      <c r="F14" s="780"/>
      <c r="G14" s="781"/>
      <c r="H14" s="781"/>
      <c r="I14" s="781"/>
      <c r="J14" s="781"/>
      <c r="K14" s="1814"/>
      <c r="L14" s="1786">
        <f>'BG '!I73/10^6</f>
        <v>-3558.750994</v>
      </c>
      <c r="M14" s="1786"/>
      <c r="N14" s="1786"/>
      <c r="O14" s="1815"/>
      <c r="P14" s="1615">
        <f>U14-SUM(Q14:S14)-SUM(E14:O14)</f>
        <v>2558.4220449999993</v>
      </c>
      <c r="Q14" s="1794"/>
      <c r="R14" s="1794"/>
      <c r="S14" s="1801"/>
      <c r="T14" s="1521"/>
      <c r="U14" s="1677">
        <f>+'Passage Actif BC '!BH22</f>
        <v>-6373.0289489999996</v>
      </c>
      <c r="V14"/>
      <c r="W14" s="1554">
        <v>-5372.6873329999999</v>
      </c>
      <c r="X14" s="101">
        <f t="shared" si="0"/>
        <v>1000.3416159999997</v>
      </c>
      <c r="Y14"/>
      <c r="Z14"/>
      <c r="AA14"/>
      <c r="AB14"/>
      <c r="AC14"/>
      <c r="AD14" s="1421">
        <v>-6373.0289489999996</v>
      </c>
      <c r="AE14" s="1892">
        <f t="shared" si="1"/>
        <v>0</v>
      </c>
      <c r="AF14" s="75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60" s="481" customFormat="1" x14ac:dyDescent="0.35">
      <c r="A15" s="467"/>
      <c r="B15" s="777" t="s">
        <v>119</v>
      </c>
      <c r="C15" s="778" t="s">
        <v>1063</v>
      </c>
      <c r="D15" s="779"/>
      <c r="E15" s="1611">
        <v>55747.3</v>
      </c>
      <c r="F15" s="780"/>
      <c r="G15" s="781"/>
      <c r="H15" s="781"/>
      <c r="I15" s="781"/>
      <c r="J15" s="781"/>
      <c r="K15" s="1786">
        <f>(+SUMIFS('BG '!$H$29:$H$71,'BG '!$C$29:$C$71,'Bilan-par flux'!B15)+'BG '!I34)/1000000</f>
        <v>4399.8330120000001</v>
      </c>
      <c r="L15" s="1814"/>
      <c r="M15" s="1786"/>
      <c r="N15" s="1814"/>
      <c r="O15" s="1815"/>
      <c r="P15" s="1615">
        <f t="shared" si="3"/>
        <v>1.1614999995799735E-2</v>
      </c>
      <c r="Q15" s="1794"/>
      <c r="R15" s="1794"/>
      <c r="S15" s="1801"/>
      <c r="T15" s="1521"/>
      <c r="U15" s="1593">
        <f>+'Passage Actif BC '!BH23</f>
        <v>60147.144627000001</v>
      </c>
      <c r="V15"/>
      <c r="W15" s="1554">
        <v>55830.690584000004</v>
      </c>
      <c r="X15" s="101">
        <f t="shared" si="0"/>
        <v>-4316.4540429999979</v>
      </c>
      <c r="Y15"/>
      <c r="Z15"/>
      <c r="AA15"/>
      <c r="AB15"/>
      <c r="AC15"/>
      <c r="AD15" s="1421">
        <v>60147.144627000001</v>
      </c>
      <c r="AE15" s="1892">
        <f t="shared" si="1"/>
        <v>0</v>
      </c>
      <c r="AF15" s="7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60" s="481" customFormat="1" x14ac:dyDescent="0.35">
      <c r="A16" s="467"/>
      <c r="B16" s="777" t="s">
        <v>172</v>
      </c>
      <c r="C16" s="778" t="s">
        <v>1064</v>
      </c>
      <c r="D16" s="779"/>
      <c r="E16" s="1611">
        <v>-40753.199999999997</v>
      </c>
      <c r="F16" s="780"/>
      <c r="G16" s="781"/>
      <c r="H16" s="781"/>
      <c r="I16" s="781"/>
      <c r="J16" s="781"/>
      <c r="K16" s="1814"/>
      <c r="L16" s="1786">
        <f>SUM('BG '!H74:I75)/10^6</f>
        <v>-1204.940096</v>
      </c>
      <c r="M16" s="1786"/>
      <c r="N16" s="1786"/>
      <c r="O16" s="1815"/>
      <c r="P16" s="1615">
        <f t="shared" si="3"/>
        <v>-2558.3852899999983</v>
      </c>
      <c r="Q16" s="1794"/>
      <c r="R16" s="1794"/>
      <c r="S16" s="1801"/>
      <c r="T16" s="1521"/>
      <c r="U16" s="1677">
        <f>+'Passage Actif BC '!BH24</f>
        <v>-44516.525385999994</v>
      </c>
      <c r="V16"/>
      <c r="W16" s="1554">
        <v>-40753.175911999999</v>
      </c>
      <c r="X16" s="101">
        <f t="shared" si="0"/>
        <v>3763.3494739999951</v>
      </c>
      <c r="Y16"/>
      <c r="Z16"/>
      <c r="AA16"/>
      <c r="AB16"/>
      <c r="AC16"/>
      <c r="AD16" s="1421">
        <v>-44516.525385999994</v>
      </c>
      <c r="AE16" s="1892">
        <f t="shared" si="1"/>
        <v>0</v>
      </c>
      <c r="AF16" s="75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 s="481" customFormat="1" x14ac:dyDescent="0.35">
      <c r="A17" s="467"/>
      <c r="B17" s="777" t="s">
        <v>115</v>
      </c>
      <c r="C17" s="778" t="s">
        <v>1832</v>
      </c>
      <c r="D17" s="779"/>
      <c r="E17" s="1611">
        <v>80000</v>
      </c>
      <c r="F17" s="780"/>
      <c r="G17" s="781"/>
      <c r="H17" s="781"/>
      <c r="I17" s="781"/>
      <c r="J17" s="781"/>
      <c r="K17" s="1786">
        <f>+SUMIFS('BG '!$H$29:$H$71,'BG '!$C$29:$C$71,'Bilan-par flux'!B17)/1000000</f>
        <v>0</v>
      </c>
      <c r="L17" s="1814"/>
      <c r="M17" s="1786"/>
      <c r="N17" s="1814"/>
      <c r="O17" s="1815"/>
      <c r="P17" s="1615">
        <f t="shared" si="3"/>
        <v>0</v>
      </c>
      <c r="Q17" s="1794"/>
      <c r="R17" s="1794"/>
      <c r="S17" s="1801"/>
      <c r="T17" s="1521"/>
      <c r="U17" s="1593">
        <f>+'Passage Actif BC '!BH25</f>
        <v>80000</v>
      </c>
      <c r="V17"/>
      <c r="W17" s="1554">
        <v>80000</v>
      </c>
      <c r="X17" s="101">
        <f t="shared" si="0"/>
        <v>0</v>
      </c>
      <c r="Y17"/>
      <c r="Z17"/>
      <c r="AA17"/>
      <c r="AB17"/>
      <c r="AC17"/>
      <c r="AD17" s="1421">
        <v>80000</v>
      </c>
      <c r="AE17" s="1892">
        <f t="shared" si="1"/>
        <v>0</v>
      </c>
      <c r="AF17" s="75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s="481" customFormat="1" x14ac:dyDescent="0.35">
      <c r="A18" s="467"/>
      <c r="B18" s="777" t="s">
        <v>168</v>
      </c>
      <c r="C18" s="778" t="s">
        <v>1833</v>
      </c>
      <c r="D18" s="779"/>
      <c r="E18" s="1611">
        <v>-53968.7</v>
      </c>
      <c r="F18" s="780"/>
      <c r="G18" s="781"/>
      <c r="H18" s="781"/>
      <c r="I18" s="781"/>
      <c r="J18" s="781"/>
      <c r="K18" s="1814"/>
      <c r="L18" s="1786">
        <f>SUM('BG '!I72)/10^6</f>
        <v>-2555.415583</v>
      </c>
      <c r="M18" s="1786"/>
      <c r="N18" s="1786"/>
      <c r="O18" s="1815"/>
      <c r="P18" s="1615">
        <f t="shared" si="3"/>
        <v>1.0108000002219342E-2</v>
      </c>
      <c r="Q18" s="1794"/>
      <c r="R18" s="1794"/>
      <c r="S18" s="1801"/>
      <c r="T18" s="1521"/>
      <c r="U18" s="1677">
        <f>+'Passage Actif BC '!BH26</f>
        <v>-56524.105474999997</v>
      </c>
      <c r="V18"/>
      <c r="W18" s="1554">
        <v>-53968.689892000002</v>
      </c>
      <c r="X18" s="101">
        <f t="shared" si="0"/>
        <v>2555.4155829999945</v>
      </c>
      <c r="Y18"/>
      <c r="Z18"/>
      <c r="AA18"/>
      <c r="AB18"/>
      <c r="AC18"/>
      <c r="AD18" s="1421">
        <v>-56524.105474999997</v>
      </c>
      <c r="AE18" s="1892">
        <f t="shared" si="1"/>
        <v>0</v>
      </c>
      <c r="AF18" s="75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481" customFormat="1" x14ac:dyDescent="0.35">
      <c r="A19" s="467"/>
      <c r="B19" s="777" t="s">
        <v>1067</v>
      </c>
      <c r="C19" s="778" t="s">
        <v>1834</v>
      </c>
      <c r="D19" s="779"/>
      <c r="E19" s="1611">
        <v>0</v>
      </c>
      <c r="F19" s="780"/>
      <c r="G19" s="781"/>
      <c r="H19" s="781"/>
      <c r="I19" s="781"/>
      <c r="J19" s="781"/>
      <c r="K19" s="1786">
        <f>+SUMIFS('BG '!$H$29:$H$71,'BG '!$C$29:$C$71,'Bilan-par flux'!B19)/1000000</f>
        <v>0</v>
      </c>
      <c r="L19" s="1814"/>
      <c r="M19" s="1786"/>
      <c r="N19" s="1814"/>
      <c r="O19" s="1815"/>
      <c r="P19" s="1615">
        <f>U19-SUM(Q19:S19)-SUM(E19:O19)</f>
        <v>0</v>
      </c>
      <c r="Q19" s="1794"/>
      <c r="R19" s="1795"/>
      <c r="S19" s="1801"/>
      <c r="T19" s="1521"/>
      <c r="U19" s="1593">
        <f>+'Passage Actif BC '!BH27</f>
        <v>0</v>
      </c>
      <c r="V19"/>
      <c r="W19" s="1554">
        <v>0</v>
      </c>
      <c r="X19" s="101">
        <f t="shared" si="0"/>
        <v>0</v>
      </c>
      <c r="Y19"/>
      <c r="Z19"/>
      <c r="AA19"/>
      <c r="AB19"/>
      <c r="AC19"/>
      <c r="AD19" s="1421">
        <v>0</v>
      </c>
      <c r="AE19" s="1892">
        <f t="shared" si="1"/>
        <v>0</v>
      </c>
      <c r="AF19" s="75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481" customFormat="1" x14ac:dyDescent="0.35">
      <c r="A20" s="467"/>
      <c r="B20" s="777" t="s">
        <v>1069</v>
      </c>
      <c r="C20" s="778" t="s">
        <v>1070</v>
      </c>
      <c r="D20" s="779"/>
      <c r="E20" s="1611">
        <v>0</v>
      </c>
      <c r="F20" s="780"/>
      <c r="G20" s="781"/>
      <c r="H20" s="781"/>
      <c r="I20" s="781"/>
      <c r="J20" s="781"/>
      <c r="K20" s="1814"/>
      <c r="L20" s="1786"/>
      <c r="M20" s="1786"/>
      <c r="N20" s="1786"/>
      <c r="O20" s="1815"/>
      <c r="P20" s="1615">
        <f t="shared" si="3"/>
        <v>0</v>
      </c>
      <c r="Q20" s="1794"/>
      <c r="R20" s="1795"/>
      <c r="S20" s="1801"/>
      <c r="T20" s="1521"/>
      <c r="U20" s="1593">
        <f>+'Passage Actif BC '!BH28</f>
        <v>0</v>
      </c>
      <c r="V20"/>
      <c r="W20" s="1554">
        <v>0</v>
      </c>
      <c r="X20" s="101">
        <f t="shared" si="0"/>
        <v>0</v>
      </c>
      <c r="Y20"/>
      <c r="Z20"/>
      <c r="AA20"/>
      <c r="AB20"/>
      <c r="AC20"/>
      <c r="AD20" s="1421">
        <v>0</v>
      </c>
      <c r="AE20" s="1892">
        <f t="shared" si="1"/>
        <v>0</v>
      </c>
      <c r="AF20" s="75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s="481" customFormat="1" x14ac:dyDescent="0.35">
      <c r="A21" s="467"/>
      <c r="B21" s="777" t="s">
        <v>1071</v>
      </c>
      <c r="C21" s="778" t="s">
        <v>1835</v>
      </c>
      <c r="D21" s="779"/>
      <c r="E21" s="1611">
        <v>3069.3</v>
      </c>
      <c r="F21" s="780"/>
      <c r="G21" s="781"/>
      <c r="H21" s="781"/>
      <c r="I21" s="781"/>
      <c r="J21" s="781"/>
      <c r="K21" s="1786">
        <f>+SUMIFS('BG '!$H$29:$H$71,'BG '!$C$29:$C$71,'Bilan-par flux'!B21)/1000000*0+'BG '!J452/10^6</f>
        <v>759.49458200000004</v>
      </c>
      <c r="L21" s="1814"/>
      <c r="M21" s="1786"/>
      <c r="N21" s="1814"/>
      <c r="O21" s="1815"/>
      <c r="P21" s="1615">
        <f>U21-SUM(Q21:S21)-SUM(E21:O21)</f>
        <v>-8.1570887605266762E-3</v>
      </c>
      <c r="Q21" s="1794"/>
      <c r="R21" s="1794"/>
      <c r="S21" s="1794"/>
      <c r="T21" s="1521"/>
      <c r="U21" s="1593">
        <f>+'Passage Actif BC '!BH29</f>
        <v>3828.7864249112399</v>
      </c>
      <c r="V21"/>
      <c r="W21" s="1554">
        <v>3017.93031691124</v>
      </c>
      <c r="X21" s="101">
        <f t="shared" si="0"/>
        <v>-810.85610799999995</v>
      </c>
      <c r="Y21"/>
      <c r="Z21"/>
      <c r="AA21"/>
      <c r="AB21"/>
      <c r="AC21"/>
      <c r="AD21" s="1421">
        <v>3828.7864249112399</v>
      </c>
      <c r="AE21" s="1892">
        <f t="shared" si="1"/>
        <v>0</v>
      </c>
      <c r="AF21" s="75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481" customFormat="1" x14ac:dyDescent="0.35">
      <c r="A22" s="467"/>
      <c r="B22" s="777" t="s">
        <v>1072</v>
      </c>
      <c r="C22" s="778" t="s">
        <v>1836</v>
      </c>
      <c r="D22" s="779"/>
      <c r="E22" s="1611">
        <v>-2160.8000000000002</v>
      </c>
      <c r="F22" s="780"/>
      <c r="G22" s="781"/>
      <c r="H22" s="781"/>
      <c r="I22" s="781"/>
      <c r="J22" s="781"/>
      <c r="K22" s="1814"/>
      <c r="L22" s="1786">
        <f>-'Cartes SIM'!D21/10^6</f>
        <v>-229.49405514291669</v>
      </c>
      <c r="M22" s="1786"/>
      <c r="N22" s="1786"/>
      <c r="O22" s="1815"/>
      <c r="P22" s="1615">
        <f t="shared" si="3"/>
        <v>1.6865717563177895E-2</v>
      </c>
      <c r="Q22" s="1794"/>
      <c r="R22" s="1794"/>
      <c r="S22" s="1794"/>
      <c r="T22" s="1521"/>
      <c r="U22" s="1593">
        <f>+'Passage Actif BC '!BH30</f>
        <v>-2390.2771894253538</v>
      </c>
      <c r="V22"/>
      <c r="W22" s="1554">
        <v>-2207.8560889394553</v>
      </c>
      <c r="X22" s="101">
        <f t="shared" si="0"/>
        <v>182.42110048589848</v>
      </c>
      <c r="Y22"/>
      <c r="Z22"/>
      <c r="AA22"/>
      <c r="AB22"/>
      <c r="AC22"/>
      <c r="AD22" s="1421">
        <v>-2395.8160718786148</v>
      </c>
      <c r="AE22" s="1892">
        <f t="shared" si="1"/>
        <v>5.538882453261067</v>
      </c>
      <c r="AF22" s="75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s="481" customFormat="1" x14ac:dyDescent="0.35">
      <c r="A23" s="467"/>
      <c r="B23" s="777" t="s">
        <v>1074</v>
      </c>
      <c r="C23" s="778" t="s">
        <v>1075</v>
      </c>
      <c r="D23" s="779"/>
      <c r="E23" s="1611">
        <v>6303.7</v>
      </c>
      <c r="F23" s="780"/>
      <c r="G23" s="781"/>
      <c r="H23" s="781"/>
      <c r="I23" s="781"/>
      <c r="J23" s="781"/>
      <c r="K23" s="1786"/>
      <c r="L23" s="1814"/>
      <c r="M23" s="1786"/>
      <c r="N23" s="1786"/>
      <c r="O23" s="1815"/>
      <c r="P23" s="1618">
        <f>U23-SUM(Q23:S23)-SUM(E23:O23)</f>
        <v>434.42498799999976</v>
      </c>
      <c r="Q23" s="1794"/>
      <c r="R23" s="1794"/>
      <c r="S23" s="1794"/>
      <c r="T23" s="1521"/>
      <c r="U23" s="1593">
        <f>+'Passage Actif BC '!BH31</f>
        <v>6738.1249879999996</v>
      </c>
      <c r="V23"/>
      <c r="W23" s="1554">
        <v>6303.879363</v>
      </c>
      <c r="X23" s="101">
        <f t="shared" si="0"/>
        <v>-434.24562499999956</v>
      </c>
      <c r="Y23"/>
      <c r="Z23"/>
      <c r="AA23"/>
      <c r="AB23"/>
      <c r="AC23"/>
      <c r="AD23" s="1421">
        <v>6738.1249879999996</v>
      </c>
      <c r="AE23" s="1892">
        <f t="shared" si="1"/>
        <v>0</v>
      </c>
      <c r="AF23" s="75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s="481" customFormat="1" x14ac:dyDescent="0.35">
      <c r="A24" s="467"/>
      <c r="B24" s="777" t="s">
        <v>1076</v>
      </c>
      <c r="C24" s="778" t="s">
        <v>1077</v>
      </c>
      <c r="D24" s="779"/>
      <c r="E24" s="1611">
        <v>-4071.8</v>
      </c>
      <c r="F24" s="780"/>
      <c r="G24" s="781"/>
      <c r="H24" s="781"/>
      <c r="I24" s="781"/>
      <c r="J24" s="781"/>
      <c r="K24" s="1814"/>
      <c r="L24" s="1786">
        <f>'Impacts_IFRS.16-09'!G70</f>
        <v>-805.85368700000004</v>
      </c>
      <c r="M24" s="1786"/>
      <c r="N24" s="1786"/>
      <c r="O24" s="1815"/>
      <c r="P24" s="1615">
        <f t="shared" si="3"/>
        <v>3.2365000000027067E-2</v>
      </c>
      <c r="Q24" s="1794"/>
      <c r="R24" s="1794"/>
      <c r="S24" s="1808"/>
      <c r="T24" s="1521"/>
      <c r="U24" s="1593">
        <f>+'Passage Actif BC '!BH32</f>
        <v>-4877.621322</v>
      </c>
      <c r="V24"/>
      <c r="W24" s="1554">
        <v>-4264.732379</v>
      </c>
      <c r="X24" s="101">
        <f t="shared" si="0"/>
        <v>612.88894299999993</v>
      </c>
      <c r="Y24"/>
      <c r="Z24"/>
      <c r="AA24"/>
      <c r="AB24"/>
      <c r="AC24"/>
      <c r="AD24" s="1421">
        <v>-4877.621322</v>
      </c>
      <c r="AE24" s="1892">
        <f t="shared" si="1"/>
        <v>0</v>
      </c>
      <c r="AF24" s="75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s="481" customFormat="1" x14ac:dyDescent="0.35">
      <c r="A25" s="467"/>
      <c r="B25" s="777" t="s">
        <v>1078</v>
      </c>
      <c r="C25" s="778" t="s">
        <v>1837</v>
      </c>
      <c r="D25" s="779"/>
      <c r="E25" s="1611">
        <v>0</v>
      </c>
      <c r="F25" s="780"/>
      <c r="G25" s="781"/>
      <c r="H25" s="781"/>
      <c r="I25" s="781"/>
      <c r="J25" s="781"/>
      <c r="K25" s="1786">
        <f>+SUMIFS('BG '!$H$29:$H$71,'BG '!$C$29:$C$71,'Bilan-par flux'!B25)/1000000+SUM(Activation!$H$176:$H$213)/1000000</f>
        <v>513.79161757500026</v>
      </c>
      <c r="L25" s="1814"/>
      <c r="M25" s="1786"/>
      <c r="N25" s="1814"/>
      <c r="O25" s="1815"/>
      <c r="P25" s="1619">
        <f t="shared" si="3"/>
        <v>-232.57916932499859</v>
      </c>
      <c r="Q25" s="1794"/>
      <c r="R25" s="1794"/>
      <c r="S25" s="1801"/>
      <c r="T25" s="1521"/>
      <c r="U25" s="1593">
        <f>+'Passage Actif BC '!BH33</f>
        <v>281.21244825000167</v>
      </c>
      <c r="V25"/>
      <c r="W25" s="1554">
        <v>0</v>
      </c>
      <c r="X25" s="101">
        <f t="shared" si="0"/>
        <v>-281.21244825000167</v>
      </c>
      <c r="Y25"/>
      <c r="Z25"/>
      <c r="AA25"/>
      <c r="AB25"/>
      <c r="AC25"/>
      <c r="AD25" s="1421">
        <v>77.526389775000553</v>
      </c>
      <c r="AE25" s="1892">
        <f t="shared" si="1"/>
        <v>203.68605847500112</v>
      </c>
      <c r="AF25" s="7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s="481" customFormat="1" x14ac:dyDescent="0.35">
      <c r="A26" s="467"/>
      <c r="B26" s="777" t="s">
        <v>1079</v>
      </c>
      <c r="C26" s="778" t="s">
        <v>1838</v>
      </c>
      <c r="D26" s="779"/>
      <c r="E26" s="1611">
        <v>0</v>
      </c>
      <c r="F26" s="780"/>
      <c r="G26" s="781"/>
      <c r="H26" s="781"/>
      <c r="I26" s="781"/>
      <c r="J26" s="781"/>
      <c r="K26" s="1814"/>
      <c r="L26" s="1786">
        <f>+Activation!$CN$239/1000000</f>
        <v>-291.34008113630966</v>
      </c>
      <c r="M26" s="1786"/>
      <c r="N26" s="1786"/>
      <c r="O26" s="1815"/>
      <c r="P26" s="1620">
        <f t="shared" si="3"/>
        <v>291.34008113630966</v>
      </c>
      <c r="Q26" s="1794"/>
      <c r="R26" s="1794"/>
      <c r="S26" s="1801"/>
      <c r="T26" s="1521"/>
      <c r="U26" s="1593">
        <f>+'Passage Actif BC '!BH34</f>
        <v>0</v>
      </c>
      <c r="V26"/>
      <c r="W26" s="1554">
        <v>0</v>
      </c>
      <c r="X26" s="101">
        <f t="shared" si="0"/>
        <v>0</v>
      </c>
      <c r="Y26"/>
      <c r="Z26"/>
      <c r="AA26"/>
      <c r="AB26"/>
      <c r="AC26"/>
      <c r="AD26" s="1421">
        <v>0</v>
      </c>
      <c r="AE26" s="1892">
        <f t="shared" si="1"/>
        <v>0</v>
      </c>
      <c r="AF26" s="75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x14ac:dyDescent="0.35">
      <c r="B27" s="777" t="s">
        <v>1081</v>
      </c>
      <c r="C27" s="778" t="s">
        <v>1839</v>
      </c>
      <c r="D27" s="779"/>
      <c r="E27" s="1611">
        <v>538.79999999999995</v>
      </c>
      <c r="F27" s="780"/>
      <c r="G27" s="781"/>
      <c r="H27" s="781"/>
      <c r="I27" s="781"/>
      <c r="J27" s="781"/>
      <c r="K27" s="1819">
        <f>+(SUMIFS('BG '!$H$29:$H$71,'BG '!$C$29:$C$71,'Bilan-par flux'!B27)+SUM('BG '!I65))/1000000-58.9098019999999</f>
        <v>-213.99797199999989</v>
      </c>
      <c r="L27" s="1814"/>
      <c r="M27" s="1786"/>
      <c r="N27" s="1814"/>
      <c r="O27" s="1815"/>
      <c r="P27" s="1615">
        <f t="shared" si="3"/>
        <v>0</v>
      </c>
      <c r="Q27" s="1794"/>
      <c r="R27" s="1794"/>
      <c r="S27" s="1794"/>
      <c r="T27" s="1521"/>
      <c r="U27" s="1593">
        <f>+'Passage Actif BC '!BH35</f>
        <v>324.80202800000001</v>
      </c>
      <c r="W27" s="1554">
        <v>601.40582500000005</v>
      </c>
      <c r="X27" s="101">
        <f t="shared" si="0"/>
        <v>276.60379700000004</v>
      </c>
      <c r="AD27" s="1421">
        <v>324.80202800000001</v>
      </c>
      <c r="AE27" s="1892">
        <f t="shared" si="1"/>
        <v>0</v>
      </c>
    </row>
    <row r="28" spans="1:60" x14ac:dyDescent="0.35">
      <c r="B28" s="777" t="s">
        <v>1083</v>
      </c>
      <c r="C28" s="778" t="s">
        <v>1840</v>
      </c>
      <c r="D28" s="779"/>
      <c r="E28" s="1611">
        <v>0</v>
      </c>
      <c r="F28" s="780"/>
      <c r="G28" s="781"/>
      <c r="H28" s="781"/>
      <c r="I28" s="781"/>
      <c r="J28" s="781"/>
      <c r="K28" s="1814"/>
      <c r="L28" s="1786"/>
      <c r="M28" s="1786"/>
      <c r="N28" s="1786"/>
      <c r="O28" s="1815"/>
      <c r="P28" s="1615">
        <f t="shared" si="3"/>
        <v>0</v>
      </c>
      <c r="Q28" s="1794"/>
      <c r="R28" s="1794"/>
      <c r="S28" s="1794"/>
      <c r="T28" s="1521"/>
      <c r="U28" s="1593">
        <f>+'Passage Actif BC '!BH36</f>
        <v>0</v>
      </c>
      <c r="W28" s="1554">
        <v>0</v>
      </c>
      <c r="X28" s="101">
        <f t="shared" si="0"/>
        <v>0</v>
      </c>
      <c r="AD28" s="1421">
        <v>0</v>
      </c>
      <c r="AE28" s="1892">
        <f t="shared" si="1"/>
        <v>0</v>
      </c>
    </row>
    <row r="29" spans="1:60" ht="24.9" customHeight="1" thickBot="1" x14ac:dyDescent="0.4">
      <c r="B29" s="783" t="s">
        <v>1085</v>
      </c>
      <c r="C29" s="784" t="s">
        <v>1086</v>
      </c>
      <c r="D29" s="779"/>
      <c r="E29" s="1621">
        <f>SUM(E11:E28)</f>
        <v>45218.3</v>
      </c>
      <c r="F29" s="780"/>
      <c r="G29" s="785"/>
      <c r="H29" s="785"/>
      <c r="I29" s="785"/>
      <c r="J29" s="785"/>
      <c r="K29" s="1785">
        <f t="shared" ref="K29:S29" si="4">+SUM(K11:K28)</f>
        <v>5945.7117945750006</v>
      </c>
      <c r="L29" s="1785">
        <f t="shared" si="4"/>
        <v>-8645.7944962792262</v>
      </c>
      <c r="M29" s="1785">
        <f t="shared" si="4"/>
        <v>0</v>
      </c>
      <c r="N29" s="1785">
        <f t="shared" si="4"/>
        <v>0</v>
      </c>
      <c r="O29" s="1785">
        <f t="shared" si="4"/>
        <v>0</v>
      </c>
      <c r="P29" s="1621">
        <f t="shared" si="4"/>
        <v>493.32384544011268</v>
      </c>
      <c r="Q29" s="1638">
        <f t="shared" si="4"/>
        <v>0</v>
      </c>
      <c r="R29" s="1638">
        <f t="shared" si="4"/>
        <v>0</v>
      </c>
      <c r="S29" s="1638">
        <f t="shared" si="4"/>
        <v>0</v>
      </c>
      <c r="T29" s="1521"/>
      <c r="U29" s="1638">
        <f>SUM(U11:U28)</f>
        <v>43011.541143735893</v>
      </c>
      <c r="W29" s="1555">
        <v>45090.769878971776</v>
      </c>
      <c r="X29" s="101">
        <f t="shared" si="0"/>
        <v>2079.2287352358835</v>
      </c>
      <c r="AD29" s="1421">
        <v>42802.316202807633</v>
      </c>
      <c r="AE29" s="1892">
        <f t="shared" si="1"/>
        <v>209.22494092825946</v>
      </c>
    </row>
    <row r="30" spans="1:60" ht="6.9" customHeight="1" x14ac:dyDescent="0.35">
      <c r="B30" s="775"/>
      <c r="C30" s="769"/>
      <c r="D30" s="779"/>
      <c r="E30" s="1628"/>
      <c r="F30" s="780"/>
      <c r="G30" s="791"/>
      <c r="H30" s="791"/>
      <c r="I30" s="791"/>
      <c r="J30" s="791"/>
      <c r="K30" s="1820"/>
      <c r="L30" s="1820"/>
      <c r="M30" s="1820"/>
      <c r="N30" s="1820"/>
      <c r="O30" s="1821"/>
      <c r="P30" s="1622"/>
      <c r="Q30" s="1798"/>
      <c r="R30" s="1798"/>
      <c r="S30" s="1640"/>
      <c r="T30" s="1521"/>
      <c r="U30" s="1640"/>
      <c r="W30" s="1554"/>
      <c r="X30" s="101">
        <f t="shared" si="0"/>
        <v>0</v>
      </c>
      <c r="AE30" s="1892">
        <f t="shared" si="1"/>
        <v>0</v>
      </c>
    </row>
    <row r="31" spans="1:60" x14ac:dyDescent="0.35">
      <c r="B31" s="777" t="s">
        <v>124</v>
      </c>
      <c r="C31" s="778" t="s">
        <v>1841</v>
      </c>
      <c r="D31" s="779"/>
      <c r="E31" s="1611">
        <v>2991.8</v>
      </c>
      <c r="F31" s="780"/>
      <c r="G31" s="781"/>
      <c r="H31" s="781"/>
      <c r="I31" s="781"/>
      <c r="J31" s="781"/>
      <c r="K31" s="1786">
        <f>+(SUMIFS('BG '!$H$29:$H$71,'BG '!$C$29:$C$71,'Bilan-par flux'!B31)+SUM('BG '!I35:I37))/1000000</f>
        <v>178.289581</v>
      </c>
      <c r="L31" s="1814"/>
      <c r="M31" s="1786"/>
      <c r="N31" s="1814"/>
      <c r="O31" s="1815"/>
      <c r="P31" s="1615">
        <f t="shared" ref="P31:P46" si="5">U31-SUM(Q31:S31)-SUM(E31:O31)</f>
        <v>2.7479999998831772E-3</v>
      </c>
      <c r="Q31" s="1794"/>
      <c r="R31" s="1794"/>
      <c r="S31" s="1801"/>
      <c r="T31" s="1521"/>
      <c r="U31" s="1593">
        <f>+'Passage Actif BC '!BH46</f>
        <v>3170.0923290000001</v>
      </c>
      <c r="W31" s="1554">
        <v>2994.4277480000001</v>
      </c>
      <c r="X31" s="101">
        <f t="shared" si="0"/>
        <v>-175.664581</v>
      </c>
      <c r="AD31" s="1421">
        <v>3170.0923290000001</v>
      </c>
      <c r="AE31" s="1892">
        <f t="shared" si="1"/>
        <v>0</v>
      </c>
    </row>
    <row r="32" spans="1:60" x14ac:dyDescent="0.35">
      <c r="B32" s="777" t="s">
        <v>1093</v>
      </c>
      <c r="C32" s="778" t="s">
        <v>1842</v>
      </c>
      <c r="D32" s="779"/>
      <c r="E32" s="1611"/>
      <c r="F32" s="780"/>
      <c r="G32" s="781"/>
      <c r="H32" s="781"/>
      <c r="I32" s="781"/>
      <c r="J32" s="781"/>
      <c r="K32" s="1814"/>
      <c r="L32" s="1786"/>
      <c r="M32" s="1786"/>
      <c r="N32" s="1786"/>
      <c r="O32" s="1815"/>
      <c r="P32" s="1615">
        <f t="shared" si="5"/>
        <v>0</v>
      </c>
      <c r="Q32" s="1794"/>
      <c r="R32" s="1796"/>
      <c r="S32" s="1801"/>
      <c r="T32" s="1521"/>
      <c r="U32" s="1593">
        <f>+'Passage Actif BC '!BH47</f>
        <v>0</v>
      </c>
      <c r="W32" s="1554">
        <v>0</v>
      </c>
      <c r="X32" s="101">
        <f t="shared" si="0"/>
        <v>0</v>
      </c>
      <c r="AD32" s="1421">
        <v>0</v>
      </c>
      <c r="AE32" s="1892">
        <f t="shared" si="1"/>
        <v>0</v>
      </c>
    </row>
    <row r="33" spans="2:32" x14ac:dyDescent="0.35">
      <c r="B33" s="777" t="s">
        <v>138</v>
      </c>
      <c r="C33" s="778" t="s">
        <v>1843</v>
      </c>
      <c r="D33" s="779"/>
      <c r="E33" s="1611">
        <v>931.9</v>
      </c>
      <c r="F33" s="780"/>
      <c r="G33" s="781"/>
      <c r="H33" s="781"/>
      <c r="I33" s="781"/>
      <c r="J33" s="781"/>
      <c r="K33" s="1786">
        <f>+SUMIFS('BG '!$H$29:$H$71,'BG '!$C$29:$C$71,'Bilan-par flux'!B33)/1000000+'BG '!I47/1000000</f>
        <v>743.51728500000002</v>
      </c>
      <c r="L33" s="1814"/>
      <c r="M33" s="1786"/>
      <c r="N33" s="1814"/>
      <c r="O33" s="1815"/>
      <c r="P33" s="1615">
        <f t="shared" si="5"/>
        <v>4.1786000000001877E-2</v>
      </c>
      <c r="Q33" s="1794"/>
      <c r="R33" s="1794"/>
      <c r="S33" s="1801"/>
      <c r="T33" s="1521"/>
      <c r="U33" s="1677">
        <f>+'Passage Actif BC '!BH48</f>
        <v>1675.459071</v>
      </c>
      <c r="W33" s="1554">
        <v>1059.4316449999999</v>
      </c>
      <c r="X33" s="101">
        <f t="shared" si="0"/>
        <v>-616.0274260000001</v>
      </c>
      <c r="AD33" s="1421">
        <v>1603.39795</v>
      </c>
      <c r="AE33" s="1892">
        <f t="shared" si="1"/>
        <v>72.061120999999957</v>
      </c>
      <c r="AF33" s="75">
        <v>72.061121</v>
      </c>
    </row>
    <row r="34" spans="2:32" x14ac:dyDescent="0.35">
      <c r="B34" s="777" t="s">
        <v>1096</v>
      </c>
      <c r="C34" s="778" t="s">
        <v>1844</v>
      </c>
      <c r="D34" s="779"/>
      <c r="E34" s="1611">
        <v>-30.7</v>
      </c>
      <c r="F34" s="780"/>
      <c r="G34" s="781"/>
      <c r="H34" s="781"/>
      <c r="I34" s="781"/>
      <c r="J34" s="781"/>
      <c r="K34" s="1814"/>
      <c r="L34" s="1786">
        <f>SUM('BG '!I76)/10^6</f>
        <v>-22.697002999999999</v>
      </c>
      <c r="M34" s="1786"/>
      <c r="N34" s="1786"/>
      <c r="O34" s="1815"/>
      <c r="P34" s="1615">
        <f t="shared" si="5"/>
        <v>4.664799999999758E-2</v>
      </c>
      <c r="Q34" s="1794"/>
      <c r="R34" s="1796"/>
      <c r="S34" s="1801"/>
      <c r="T34" s="1521"/>
      <c r="U34" s="1593">
        <f>+'Passage Actif BC '!BH49</f>
        <v>-53.350355</v>
      </c>
      <c r="W34" s="1554">
        <v>-30.653352000000002</v>
      </c>
      <c r="X34" s="101">
        <f t="shared" si="0"/>
        <v>22.697002999999999</v>
      </c>
      <c r="AD34" s="1421">
        <v>-53.350355</v>
      </c>
      <c r="AE34" s="1892">
        <f t="shared" si="1"/>
        <v>0</v>
      </c>
      <c r="AF34" s="75">
        <v>0</v>
      </c>
    </row>
    <row r="35" spans="2:32" x14ac:dyDescent="0.35">
      <c r="B35" s="777" t="s">
        <v>128</v>
      </c>
      <c r="C35" s="778" t="s">
        <v>1845</v>
      </c>
      <c r="D35" s="779"/>
      <c r="E35" s="1611">
        <v>143185.20000000001</v>
      </c>
      <c r="F35" s="780"/>
      <c r="G35" s="781"/>
      <c r="H35" s="781"/>
      <c r="I35" s="781"/>
      <c r="J35" s="781"/>
      <c r="K35" s="1819">
        <f>+SUM('BG '!H39,'BG '!H40,'BG '!H41,'BG '!H48,'BG '!H49,'BG '!H50,'BG '!H51,'BG '!H52,'BG '!H53,'BG '!H61,'BG '!H64,'BG '!I61,'BG '!I64)/1000000-79.7</f>
        <v>16361.833842</v>
      </c>
      <c r="L35" s="1814"/>
      <c r="M35" s="1822"/>
      <c r="N35" s="1814"/>
      <c r="O35" s="1815"/>
      <c r="P35" s="1619">
        <f>U35-SUM(Q35:S35)-SUM(E35:O35)</f>
        <v>232.57456058799289</v>
      </c>
      <c r="Q35" s="1794"/>
      <c r="R35" s="1794"/>
      <c r="S35" s="1801"/>
      <c r="T35" s="1521"/>
      <c r="U35" s="1593">
        <f>+'Passage Actif BC '!BH50</f>
        <v>159779.608402588</v>
      </c>
      <c r="W35" s="1554">
        <v>144233.883839038</v>
      </c>
      <c r="X35" s="101">
        <f t="shared" si="0"/>
        <v>-15545.72456355</v>
      </c>
      <c r="AD35" s="1421">
        <v>159089.47573758799</v>
      </c>
      <c r="AE35" s="1892">
        <f t="shared" si="1"/>
        <v>690.13266500001191</v>
      </c>
      <c r="AF35" s="75">
        <v>690.13266500001203</v>
      </c>
    </row>
    <row r="36" spans="2:32" x14ac:dyDescent="0.35">
      <c r="B36" s="777" t="s">
        <v>175</v>
      </c>
      <c r="C36" s="778" t="s">
        <v>1846</v>
      </c>
      <c r="D36" s="779"/>
      <c r="E36" s="1611">
        <v>-96591.5</v>
      </c>
      <c r="F36" s="780"/>
      <c r="G36" s="781"/>
      <c r="H36" s="781"/>
      <c r="I36" s="781"/>
      <c r="J36" s="781"/>
      <c r="K36" s="1814"/>
      <c r="L36" s="1786">
        <f>SUM('BG '!H77,'BG '!I77,'BG '!H78,'BG '!I78,'BG '!H79,'BG '!I79,'BG '!H85,'BG '!I85,'BG '!H86,'BG '!I86,'BG '!H87,'BG '!I87,'BG '!H88,'BG '!I88,'BG '!H89,'BG '!I89,'BG '!H98,'BG '!I98,'BG '!K682)/10^6-'BG '!$K$682/1000000</f>
        <v>-8546.778918</v>
      </c>
      <c r="M36" s="1786"/>
      <c r="N36" s="1786"/>
      <c r="O36" s="1815"/>
      <c r="P36" s="1620">
        <f>U36-SUM(Q36:S36)-SUM(E36:O36)</f>
        <v>-291.29890379602148</v>
      </c>
      <c r="Q36" s="1794"/>
      <c r="R36" s="1796"/>
      <c r="S36" s="1801"/>
      <c r="T36" s="1521"/>
      <c r="U36" s="1677">
        <f>+'Passage Actif BC '!BH51</f>
        <v>-105429.57782179602</v>
      </c>
      <c r="W36" s="1554">
        <v>-100961.59251189542</v>
      </c>
      <c r="X36" s="101">
        <f t="shared" si="0"/>
        <v>4467.9853099005995</v>
      </c>
      <c r="AD36" s="1421">
        <v>-105428.49608579601</v>
      </c>
      <c r="AE36" s="1892">
        <f t="shared" si="1"/>
        <v>-1.0817360000073677</v>
      </c>
      <c r="AF36" s="75">
        <v>-1.0817360000073699</v>
      </c>
    </row>
    <row r="37" spans="2:32" x14ac:dyDescent="0.35">
      <c r="B37" s="777" t="s">
        <v>150</v>
      </c>
      <c r="C37" s="778" t="s">
        <v>1847</v>
      </c>
      <c r="D37" s="779"/>
      <c r="E37" s="1611">
        <v>715.9</v>
      </c>
      <c r="F37" s="780"/>
      <c r="G37" s="781"/>
      <c r="H37" s="781"/>
      <c r="I37" s="781"/>
      <c r="J37" s="781"/>
      <c r="K37" s="1786">
        <f>+SUMIFS('BG '!$H$29:$H$71,'BG '!$C$29:$C$71,'Bilan-par flux'!B37)/1000000</f>
        <v>0</v>
      </c>
      <c r="L37" s="1814"/>
      <c r="M37" s="1786">
        <f>SUM('BG '!I58,'BG '!I59)/10^6</f>
        <v>0</v>
      </c>
      <c r="N37" s="1814"/>
      <c r="O37" s="1815"/>
      <c r="P37" s="1615">
        <f t="shared" si="5"/>
        <v>-4.8019999999269203E-3</v>
      </c>
      <c r="Q37" s="1794"/>
      <c r="R37" s="1794"/>
      <c r="S37" s="1801"/>
      <c r="T37" s="1521"/>
      <c r="U37" s="1593">
        <f>+'Passage Actif BC '!BH52</f>
        <v>715.89519800000005</v>
      </c>
      <c r="W37" s="1554">
        <v>715.89519800000005</v>
      </c>
      <c r="X37" s="101">
        <f t="shared" si="0"/>
        <v>0</v>
      </c>
      <c r="AD37" s="1421">
        <v>715.89519800000005</v>
      </c>
      <c r="AE37" s="1892">
        <f t="shared" si="1"/>
        <v>0</v>
      </c>
      <c r="AF37" s="75">
        <v>0</v>
      </c>
    </row>
    <row r="38" spans="2:32" x14ac:dyDescent="0.35">
      <c r="B38" s="777" t="s">
        <v>195</v>
      </c>
      <c r="C38" s="778" t="s">
        <v>1848</v>
      </c>
      <c r="D38" s="779"/>
      <c r="E38" s="1611">
        <v>-714.3</v>
      </c>
      <c r="F38" s="780"/>
      <c r="G38" s="781"/>
      <c r="H38" s="781"/>
      <c r="I38" s="781"/>
      <c r="J38" s="781"/>
      <c r="K38" s="1814"/>
      <c r="L38" s="1786">
        <f>SUM('BG '!H95,'BG '!H96,'BG '!I96,'BG '!I95)/10^6-'[154]RECAP 1'!$K$49</f>
        <v>-1.0074860000000001</v>
      </c>
      <c r="M38" s="1786"/>
      <c r="N38" s="1786"/>
      <c r="O38" s="1815"/>
      <c r="P38" s="1615">
        <f t="shared" si="5"/>
        <v>-2.5119000000017877E-2</v>
      </c>
      <c r="Q38" s="1794"/>
      <c r="R38" s="1796"/>
      <c r="S38" s="1801"/>
      <c r="T38" s="1521"/>
      <c r="U38" s="1593">
        <f>+'Passage Actif BC '!BH53</f>
        <v>-715.33260499999994</v>
      </c>
      <c r="W38" s="1554">
        <v>-714.32511899999997</v>
      </c>
      <c r="X38" s="101">
        <f t="shared" si="0"/>
        <v>1.0074859999999717</v>
      </c>
      <c r="AD38" s="1421">
        <v>-715.33260499999994</v>
      </c>
      <c r="AE38" s="1892">
        <f t="shared" si="1"/>
        <v>0</v>
      </c>
      <c r="AF38" s="75">
        <v>0</v>
      </c>
    </row>
    <row r="39" spans="2:32" x14ac:dyDescent="0.35">
      <c r="B39" s="777" t="s">
        <v>145</v>
      </c>
      <c r="C39" s="778" t="s">
        <v>1849</v>
      </c>
      <c r="D39" s="779"/>
      <c r="E39" s="1611">
        <v>9452.2000000000007</v>
      </c>
      <c r="F39" s="780"/>
      <c r="G39" s="781"/>
      <c r="H39" s="781"/>
      <c r="I39" s="781"/>
      <c r="J39" s="781"/>
      <c r="K39" s="1786">
        <f>+(SUMIFS('BG '!$H$29:$H$71,'BG '!$C$29:$C$71,'Bilan-par flux'!$B$39)+SUM('BG '!I62))/1000000</f>
        <v>4213.8521559999999</v>
      </c>
      <c r="L39" s="1814"/>
      <c r="M39" s="1786">
        <f>SUM('BG '!I55:I56)/10^6*0</f>
        <v>0</v>
      </c>
      <c r="N39" s="1814"/>
      <c r="O39" s="1815"/>
      <c r="P39" s="1615">
        <f t="shared" si="5"/>
        <v>2.480699999796343E-2</v>
      </c>
      <c r="Q39" s="1794"/>
      <c r="R39" s="1794"/>
      <c r="S39" s="1801"/>
      <c r="T39" s="1521"/>
      <c r="U39" s="1593">
        <f>+'Passage Actif BC '!BH54</f>
        <v>13666.076963</v>
      </c>
      <c r="W39" s="1554">
        <v>9838.7955430000002</v>
      </c>
      <c r="X39" s="101">
        <f t="shared" si="0"/>
        <v>-3827.2814199999993</v>
      </c>
      <c r="AD39" s="1421">
        <v>13261.460111</v>
      </c>
      <c r="AE39" s="1892">
        <f t="shared" si="1"/>
        <v>404.6168519999992</v>
      </c>
      <c r="AF39" s="75">
        <v>404.61685199999903</v>
      </c>
    </row>
    <row r="40" spans="2:32" x14ac:dyDescent="0.35">
      <c r="B40" s="777" t="s">
        <v>190</v>
      </c>
      <c r="C40" s="778" t="s">
        <v>1850</v>
      </c>
      <c r="D40" s="779"/>
      <c r="E40" s="1611">
        <v>-5470.6</v>
      </c>
      <c r="F40" s="780"/>
      <c r="G40" s="781"/>
      <c r="H40" s="781"/>
      <c r="I40" s="781"/>
      <c r="J40" s="781"/>
      <c r="K40" s="1814"/>
      <c r="L40" s="1786">
        <f>SUM('BG '!H91:I93)/10^6-'[154]RECAP 1'!$K$48</f>
        <v>-947.25802499999998</v>
      </c>
      <c r="M40" s="1786">
        <f>-SUM('BG '!I55:I56)/10^6*0</f>
        <v>0</v>
      </c>
      <c r="N40" s="1786"/>
      <c r="O40" s="1815"/>
      <c r="P40" s="1615">
        <f t="shared" si="5"/>
        <v>-2.3469999996450497E-3</v>
      </c>
      <c r="Q40" s="1794"/>
      <c r="R40" s="1796"/>
      <c r="S40" s="1801"/>
      <c r="T40" s="1521"/>
      <c r="U40" s="1677">
        <f>+'Passage Actif BC '!BH55</f>
        <v>-6417.8603720000001</v>
      </c>
      <c r="W40" s="1554">
        <v>-5470.602347</v>
      </c>
      <c r="X40" s="101">
        <f t="shared" si="0"/>
        <v>947.25802500000009</v>
      </c>
      <c r="AD40" s="1421">
        <v>-6417.8603720000001</v>
      </c>
      <c r="AE40" s="1892">
        <f t="shared" si="1"/>
        <v>0</v>
      </c>
      <c r="AF40" s="75">
        <v>0</v>
      </c>
    </row>
    <row r="41" spans="2:32" x14ac:dyDescent="0.35">
      <c r="B41" s="777" t="s">
        <v>157</v>
      </c>
      <c r="C41" s="778" t="s">
        <v>1851</v>
      </c>
      <c r="D41" s="779"/>
      <c r="E41" s="1611">
        <v>0</v>
      </c>
      <c r="F41" s="780"/>
      <c r="G41" s="781"/>
      <c r="H41" s="781"/>
      <c r="I41" s="781"/>
      <c r="J41" s="781"/>
      <c r="K41" s="1786"/>
      <c r="L41" s="1814"/>
      <c r="M41" s="1786">
        <f>(SUM('BG '!H65,'BG '!I65)/1000000+110.707727099991)*0</f>
        <v>0</v>
      </c>
      <c r="N41" s="1814"/>
      <c r="O41" s="1815"/>
      <c r="P41" s="1615">
        <f t="shared" si="5"/>
        <v>0</v>
      </c>
      <c r="Q41" s="1794"/>
      <c r="R41" s="1794"/>
      <c r="S41" s="1794"/>
      <c r="T41" s="1521"/>
      <c r="U41" s="1593">
        <f>+'Passage Actif BC '!BH56</f>
        <v>0</v>
      </c>
      <c r="W41" s="1554">
        <v>0</v>
      </c>
      <c r="X41" s="101">
        <f t="shared" si="0"/>
        <v>0</v>
      </c>
      <c r="AD41" s="1421">
        <v>0</v>
      </c>
      <c r="AE41" s="1892">
        <f t="shared" si="1"/>
        <v>0</v>
      </c>
    </row>
    <row r="42" spans="2:32" x14ac:dyDescent="0.35">
      <c r="B42" s="777" t="s">
        <v>1104</v>
      </c>
      <c r="C42" s="778" t="s">
        <v>1852</v>
      </c>
      <c r="D42" s="779"/>
      <c r="E42" s="1611">
        <v>0</v>
      </c>
      <c r="F42" s="780"/>
      <c r="G42" s="781"/>
      <c r="H42" s="781"/>
      <c r="I42" s="781"/>
      <c r="J42" s="781"/>
      <c r="K42" s="1814"/>
      <c r="L42" s="1786"/>
      <c r="M42" s="1786"/>
      <c r="N42" s="1786"/>
      <c r="O42" s="1815"/>
      <c r="P42" s="1615">
        <f t="shared" si="5"/>
        <v>0</v>
      </c>
      <c r="Q42" s="1794"/>
      <c r="R42" s="1794"/>
      <c r="S42" s="1794"/>
      <c r="T42" s="1521"/>
      <c r="U42" s="1593">
        <f>+'Passage Actif BC '!BH57</f>
        <v>0</v>
      </c>
      <c r="W42" s="1554">
        <v>0</v>
      </c>
      <c r="X42" s="101">
        <f t="shared" si="0"/>
        <v>0</v>
      </c>
      <c r="AD42" s="1421">
        <v>0</v>
      </c>
      <c r="AE42" s="1892">
        <f t="shared" si="1"/>
        <v>0</v>
      </c>
    </row>
    <row r="43" spans="2:32" x14ac:dyDescent="0.35">
      <c r="B43" s="777" t="s">
        <v>132</v>
      </c>
      <c r="C43" s="778" t="s">
        <v>1853</v>
      </c>
      <c r="D43" s="779"/>
      <c r="E43" s="1611">
        <v>2661.7</v>
      </c>
      <c r="F43" s="780"/>
      <c r="G43" s="781"/>
      <c r="H43" s="781"/>
      <c r="I43" s="781"/>
      <c r="J43" s="781"/>
      <c r="K43" s="1786">
        <f>+SUMIFS('BG '!$H$29:$H$71,'BG '!$C$29:$C$71,'Bilan-par flux'!B43)/1000000</f>
        <v>180.460838</v>
      </c>
      <c r="L43" s="1814"/>
      <c r="M43" s="1786">
        <f>'BG '!I57/10^6*0</f>
        <v>0</v>
      </c>
      <c r="N43" s="1814"/>
      <c r="O43" s="1815"/>
      <c r="P43" s="1615">
        <f t="shared" si="5"/>
        <v>-4.9340999999913038E-2</v>
      </c>
      <c r="Q43" s="1794"/>
      <c r="R43" s="1794"/>
      <c r="S43" s="1795"/>
      <c r="T43" s="1521"/>
      <c r="U43" s="1593">
        <f>+'Passage Actif BC '!BH58</f>
        <v>2842.1114969999999</v>
      </c>
      <c r="W43" s="1554">
        <v>2673.1112090000001</v>
      </c>
      <c r="X43" s="101">
        <f t="shared" si="0"/>
        <v>-169.00028799999973</v>
      </c>
      <c r="AD43" s="1421">
        <v>2842.1114969999999</v>
      </c>
      <c r="AE43" s="1892">
        <f t="shared" si="1"/>
        <v>0</v>
      </c>
    </row>
    <row r="44" spans="2:32" x14ac:dyDescent="0.35">
      <c r="B44" s="777" t="s">
        <v>179</v>
      </c>
      <c r="C44" s="778" t="s">
        <v>1854</v>
      </c>
      <c r="D44" s="779"/>
      <c r="E44" s="1611">
        <v>-1846.8</v>
      </c>
      <c r="F44" s="780"/>
      <c r="G44" s="781"/>
      <c r="H44" s="781"/>
      <c r="I44" s="781"/>
      <c r="J44" s="781"/>
      <c r="K44" s="1814"/>
      <c r="L44" s="1786">
        <f>SUM('BG '!H80,'BG '!I80,'BG '!H81,'BG '!I81,'BG '!H82,'BG '!I82,'BG '!H83,'BG '!I83,'BG '!H84,'BG '!I84,'BG '!H90,'BG '!I90,'BG '!H94,'BG '!I94,'BG '!H97,'BG '!I97)/10^6-'[154]RECAP 1'!$K$42</f>
        <v>-97.264885000000007</v>
      </c>
      <c r="M44" s="1786">
        <f>-'BG '!I57/10^6*0</f>
        <v>0</v>
      </c>
      <c r="N44" s="1786"/>
      <c r="O44" s="1815"/>
      <c r="P44" s="1615">
        <f t="shared" si="5"/>
        <v>-3.3386999999947875E-2</v>
      </c>
      <c r="Q44" s="1794"/>
      <c r="R44" s="1794"/>
      <c r="S44" s="1795"/>
      <c r="T44" s="1521"/>
      <c r="U44" s="1677">
        <f>+'Passage Actif BC '!BH59</f>
        <v>-1944.098272</v>
      </c>
      <c r="W44" s="1554">
        <v>-1846.8333869999999</v>
      </c>
      <c r="X44" s="101">
        <f t="shared" si="0"/>
        <v>97.264885000000049</v>
      </c>
      <c r="AD44" s="1421">
        <v>-1944.098272</v>
      </c>
      <c r="AE44" s="1892">
        <f t="shared" si="1"/>
        <v>0</v>
      </c>
    </row>
    <row r="45" spans="2:32" x14ac:dyDescent="0.35">
      <c r="B45" s="777" t="s">
        <v>1108</v>
      </c>
      <c r="C45" s="778" t="s">
        <v>1855</v>
      </c>
      <c r="D45" s="779"/>
      <c r="E45" s="1611">
        <v>0</v>
      </c>
      <c r="F45" s="780"/>
      <c r="G45" s="781"/>
      <c r="H45" s="781"/>
      <c r="I45" s="781"/>
      <c r="J45" s="781"/>
      <c r="K45" s="1786">
        <f>+SUMIFS('BG '!$H$29:$H$71,'BG '!$C$29:$C$71,'Bilan-par flux'!B45)/1000000</f>
        <v>0</v>
      </c>
      <c r="L45" s="1814"/>
      <c r="M45" s="1786"/>
      <c r="N45" s="1814"/>
      <c r="O45" s="1815"/>
      <c r="P45" s="1615">
        <f t="shared" si="5"/>
        <v>0</v>
      </c>
      <c r="Q45" s="1794"/>
      <c r="R45" s="1794"/>
      <c r="S45" s="1794"/>
      <c r="T45" s="1521"/>
      <c r="U45" s="1593">
        <f>+'Passage Actif BC '!BH60</f>
        <v>0</v>
      </c>
      <c r="W45" s="1554">
        <v>0</v>
      </c>
      <c r="X45" s="101">
        <f t="shared" si="0"/>
        <v>0</v>
      </c>
      <c r="AD45" s="1421">
        <v>0</v>
      </c>
      <c r="AE45" s="1892">
        <f t="shared" si="1"/>
        <v>0</v>
      </c>
    </row>
    <row r="46" spans="2:32" x14ac:dyDescent="0.35">
      <c r="B46" s="777" t="s">
        <v>1110</v>
      </c>
      <c r="C46" s="778" t="s">
        <v>1856</v>
      </c>
      <c r="D46" s="779"/>
      <c r="E46" s="1611">
        <v>0</v>
      </c>
      <c r="F46" s="780"/>
      <c r="G46" s="781"/>
      <c r="H46" s="781"/>
      <c r="I46" s="781"/>
      <c r="J46" s="781"/>
      <c r="K46" s="1814"/>
      <c r="L46" s="1786"/>
      <c r="M46" s="1786"/>
      <c r="N46" s="1786"/>
      <c r="O46" s="1815"/>
      <c r="P46" s="1615">
        <f t="shared" si="5"/>
        <v>0</v>
      </c>
      <c r="Q46" s="1794"/>
      <c r="R46" s="1794"/>
      <c r="S46" s="1794"/>
      <c r="T46" s="1521"/>
      <c r="U46" s="1593">
        <f>+'Passage Actif BC '!BH61</f>
        <v>0</v>
      </c>
      <c r="W46" s="1554">
        <v>0</v>
      </c>
      <c r="X46" s="101">
        <f t="shared" si="0"/>
        <v>0</v>
      </c>
      <c r="AD46" s="1421">
        <v>0</v>
      </c>
      <c r="AE46" s="1892">
        <f t="shared" si="1"/>
        <v>0</v>
      </c>
    </row>
    <row r="47" spans="2:32" ht="24.9" customHeight="1" thickBot="1" x14ac:dyDescent="0.4">
      <c r="B47" s="783" t="s">
        <v>1112</v>
      </c>
      <c r="C47" s="784" t="s">
        <v>1113</v>
      </c>
      <c r="D47" s="779"/>
      <c r="E47" s="1621">
        <f>SUM(E31:E46)</f>
        <v>55284.80000000001</v>
      </c>
      <c r="F47" s="780"/>
      <c r="G47" s="786"/>
      <c r="H47" s="786"/>
      <c r="I47" s="786"/>
      <c r="J47" s="786"/>
      <c r="K47" s="1784">
        <f t="shared" ref="K47:T47" si="6">SUM(K31:K46)</f>
        <v>21677.953701999999</v>
      </c>
      <c r="L47" s="1784">
        <f t="shared" si="6"/>
        <v>-9615.0063169999994</v>
      </c>
      <c r="M47" s="1784">
        <f t="shared" si="6"/>
        <v>0</v>
      </c>
      <c r="N47" s="1784">
        <f t="shared" si="6"/>
        <v>0</v>
      </c>
      <c r="O47" s="1785">
        <f t="shared" si="6"/>
        <v>0</v>
      </c>
      <c r="P47" s="1616">
        <f>SUM(P31:P46)</f>
        <v>-58.723350208030183</v>
      </c>
      <c r="Q47" s="1637">
        <f t="shared" si="6"/>
        <v>0</v>
      </c>
      <c r="R47" s="1637">
        <f t="shared" si="6"/>
        <v>0</v>
      </c>
      <c r="S47" s="1638">
        <f t="shared" si="6"/>
        <v>0</v>
      </c>
      <c r="T47" s="1521">
        <f t="shared" si="6"/>
        <v>0</v>
      </c>
      <c r="U47" s="1638">
        <f>SUM(U31:U46)</f>
        <v>67289.024034791975</v>
      </c>
      <c r="W47" s="1555">
        <v>52491.538465142577</v>
      </c>
      <c r="X47" s="101">
        <f t="shared" si="0"/>
        <v>-14797.485569649398</v>
      </c>
      <c r="AD47" s="1421">
        <v>66123.295132791958</v>
      </c>
      <c r="AE47" s="1892">
        <f t="shared" si="1"/>
        <v>1165.7289020000171</v>
      </c>
    </row>
    <row r="48" spans="2:32" ht="6.9" customHeight="1" x14ac:dyDescent="0.35">
      <c r="B48" s="775"/>
      <c r="C48" s="769"/>
      <c r="D48" s="779"/>
      <c r="E48" s="1628"/>
      <c r="F48" s="780"/>
      <c r="G48" s="791"/>
      <c r="H48" s="791"/>
      <c r="I48" s="791"/>
      <c r="J48" s="791"/>
      <c r="K48" s="1820"/>
      <c r="L48" s="1820"/>
      <c r="M48" s="1820"/>
      <c r="N48" s="1820"/>
      <c r="O48" s="1821"/>
      <c r="P48" s="1622"/>
      <c r="Q48" s="1798"/>
      <c r="R48" s="1798"/>
      <c r="S48" s="1640"/>
      <c r="T48" s="1521"/>
      <c r="U48" s="1640"/>
      <c r="W48" s="1554"/>
      <c r="X48" s="101">
        <f t="shared" si="0"/>
        <v>0</v>
      </c>
      <c r="AE48" s="1892">
        <f t="shared" si="1"/>
        <v>0</v>
      </c>
    </row>
    <row r="49" spans="2:31" x14ac:dyDescent="0.35">
      <c r="B49" s="777" t="s">
        <v>1116</v>
      </c>
      <c r="C49" s="778" t="s">
        <v>1117</v>
      </c>
      <c r="D49" s="779"/>
      <c r="E49" s="1611">
        <v>0</v>
      </c>
      <c r="F49" s="780"/>
      <c r="G49" s="781"/>
      <c r="H49" s="781"/>
      <c r="I49" s="781"/>
      <c r="J49" s="781"/>
      <c r="K49" s="1786">
        <f>+SUMIFS('BG '!$H$29:$H$71,'BG '!$C$29:$C$71,'Bilan-par flux'!B49)/1000000</f>
        <v>0</v>
      </c>
      <c r="L49" s="1814"/>
      <c r="M49" s="1786"/>
      <c r="N49" s="1814"/>
      <c r="O49" s="1815"/>
      <c r="P49" s="1615">
        <f>U49-SUM(Q49:S49)-SUM(E49:O49)</f>
        <v>0</v>
      </c>
      <c r="Q49" s="1796"/>
      <c r="R49" s="1796"/>
      <c r="S49" s="1794"/>
      <c r="T49" s="1521"/>
      <c r="U49" s="1593">
        <f>+'Passage Actif BC '!BH67</f>
        <v>0</v>
      </c>
      <c r="W49" s="1554">
        <v>0</v>
      </c>
      <c r="X49" s="101">
        <f t="shared" si="0"/>
        <v>0</v>
      </c>
      <c r="AD49" s="1421">
        <v>0</v>
      </c>
      <c r="AE49" s="1892">
        <f t="shared" si="1"/>
        <v>0</v>
      </c>
    </row>
    <row r="50" spans="2:31" x14ac:dyDescent="0.35">
      <c r="B50" s="777" t="s">
        <v>1118</v>
      </c>
      <c r="C50" s="778" t="s">
        <v>1119</v>
      </c>
      <c r="D50" s="779"/>
      <c r="E50" s="1611">
        <v>0</v>
      </c>
      <c r="F50" s="780"/>
      <c r="G50" s="781"/>
      <c r="H50" s="781"/>
      <c r="I50" s="781"/>
      <c r="J50" s="781"/>
      <c r="K50" s="1814"/>
      <c r="L50" s="1786"/>
      <c r="M50" s="1814"/>
      <c r="N50" s="1786"/>
      <c r="O50" s="1815"/>
      <c r="P50" s="1615">
        <f t="shared" ref="P50:P70" si="7">U50-SUM(Q50:S50)-SUM(E50:O50)</f>
        <v>0</v>
      </c>
      <c r="Q50" s="1794"/>
      <c r="R50" s="1794"/>
      <c r="S50" s="1794"/>
      <c r="T50" s="1521"/>
      <c r="U50" s="1593">
        <f>+'Passage Actif BC '!BH68</f>
        <v>0</v>
      </c>
      <c r="W50" s="1554">
        <v>0</v>
      </c>
      <c r="X50" s="101">
        <f t="shared" si="0"/>
        <v>0</v>
      </c>
      <c r="AD50" s="1421">
        <v>0</v>
      </c>
      <c r="AE50" s="1892">
        <f t="shared" si="1"/>
        <v>0</v>
      </c>
    </row>
    <row r="51" spans="2:31" x14ac:dyDescent="0.35">
      <c r="B51" s="777" t="s">
        <v>1120</v>
      </c>
      <c r="C51" s="778" t="s">
        <v>1121</v>
      </c>
      <c r="D51" s="779"/>
      <c r="E51" s="1611">
        <v>0</v>
      </c>
      <c r="F51" s="780"/>
      <c r="G51" s="781"/>
      <c r="H51" s="781"/>
      <c r="I51" s="781"/>
      <c r="J51" s="781"/>
      <c r="K51" s="1786">
        <f>+SUMIFS('BG '!$H$29:$H$71,'BG '!$C$29:$C$71,'Bilan-par flux'!B51)/1000000</f>
        <v>0</v>
      </c>
      <c r="L51" s="1814"/>
      <c r="M51" s="1786"/>
      <c r="N51" s="1814"/>
      <c r="O51" s="1815"/>
      <c r="P51" s="1615">
        <f t="shared" si="7"/>
        <v>0</v>
      </c>
      <c r="Q51" s="1794"/>
      <c r="R51" s="1796"/>
      <c r="S51" s="1794"/>
      <c r="T51" s="1521"/>
      <c r="U51" s="1593">
        <f>+'Passage Actif BC '!BH69</f>
        <v>0</v>
      </c>
      <c r="W51" s="1554">
        <v>0</v>
      </c>
      <c r="X51" s="101">
        <f t="shared" si="0"/>
        <v>0</v>
      </c>
      <c r="AD51" s="1421">
        <v>0</v>
      </c>
      <c r="AE51" s="1892">
        <f t="shared" si="1"/>
        <v>0</v>
      </c>
    </row>
    <row r="52" spans="2:31" x14ac:dyDescent="0.35">
      <c r="B52" s="777" t="s">
        <v>1122</v>
      </c>
      <c r="C52" s="778" t="s">
        <v>1123</v>
      </c>
      <c r="D52" s="779"/>
      <c r="E52" s="1611">
        <v>0</v>
      </c>
      <c r="F52" s="780"/>
      <c r="G52" s="781"/>
      <c r="H52" s="781"/>
      <c r="I52" s="781"/>
      <c r="J52" s="781"/>
      <c r="K52" s="1814"/>
      <c r="L52" s="1786"/>
      <c r="M52" s="1814"/>
      <c r="N52" s="1786"/>
      <c r="O52" s="1815"/>
      <c r="P52" s="1615">
        <f t="shared" si="7"/>
        <v>0</v>
      </c>
      <c r="Q52" s="1794"/>
      <c r="R52" s="1796"/>
      <c r="S52" s="1794"/>
      <c r="T52" s="1521"/>
      <c r="U52" s="1593">
        <f>+'Passage Actif BC '!BH70</f>
        <v>0</v>
      </c>
      <c r="W52" s="1554">
        <v>0</v>
      </c>
      <c r="X52" s="101">
        <f t="shared" si="0"/>
        <v>0</v>
      </c>
      <c r="AD52" s="1421">
        <v>0</v>
      </c>
      <c r="AE52" s="1892">
        <f t="shared" si="1"/>
        <v>0</v>
      </c>
    </row>
    <row r="53" spans="2:31" x14ac:dyDescent="0.35">
      <c r="B53" s="777" t="s">
        <v>1124</v>
      </c>
      <c r="C53" s="778" t="s">
        <v>1125</v>
      </c>
      <c r="D53" s="779"/>
      <c r="E53" s="1611">
        <v>0</v>
      </c>
      <c r="F53" s="780"/>
      <c r="G53" s="781"/>
      <c r="H53" s="781"/>
      <c r="I53" s="781"/>
      <c r="J53" s="781"/>
      <c r="K53" s="1786">
        <f>+SUMIFS('BG '!$H$29:$H$71,'BG '!$C$29:$C$71,'Bilan-par flux'!B53)/1000000</f>
        <v>0</v>
      </c>
      <c r="L53" s="1814"/>
      <c r="M53" s="1786"/>
      <c r="N53" s="1814"/>
      <c r="O53" s="1815"/>
      <c r="P53" s="1615">
        <f t="shared" si="7"/>
        <v>0</v>
      </c>
      <c r="Q53" s="1794"/>
      <c r="R53" s="1796"/>
      <c r="S53" s="1794"/>
      <c r="T53" s="1521"/>
      <c r="U53" s="1593">
        <f>+'Passage Actif BC '!BH71</f>
        <v>0</v>
      </c>
      <c r="W53" s="1554">
        <v>0</v>
      </c>
      <c r="X53" s="101">
        <f t="shared" si="0"/>
        <v>0</v>
      </c>
      <c r="AD53" s="1421">
        <v>0</v>
      </c>
      <c r="AE53" s="1892">
        <f t="shared" si="1"/>
        <v>0</v>
      </c>
    </row>
    <row r="54" spans="2:31" x14ac:dyDescent="0.35">
      <c r="B54" s="777" t="s">
        <v>1126</v>
      </c>
      <c r="C54" s="778" t="s">
        <v>1127</v>
      </c>
      <c r="D54" s="779"/>
      <c r="E54" s="1611">
        <v>0</v>
      </c>
      <c r="F54" s="780"/>
      <c r="G54" s="781"/>
      <c r="H54" s="781"/>
      <c r="I54" s="781"/>
      <c r="J54" s="781"/>
      <c r="K54" s="1814"/>
      <c r="L54" s="1786"/>
      <c r="M54" s="1814"/>
      <c r="N54" s="1786"/>
      <c r="O54" s="1815"/>
      <c r="P54" s="1615">
        <f t="shared" si="7"/>
        <v>0</v>
      </c>
      <c r="Q54" s="1794"/>
      <c r="R54" s="1794"/>
      <c r="S54" s="1794"/>
      <c r="T54" s="1521"/>
      <c r="U54" s="1593">
        <f>+'Passage Actif BC '!BH72</f>
        <v>0</v>
      </c>
      <c r="W54" s="1554">
        <v>0</v>
      </c>
      <c r="X54" s="101">
        <f t="shared" si="0"/>
        <v>0</v>
      </c>
      <c r="AD54" s="1421">
        <v>0</v>
      </c>
      <c r="AE54" s="1892">
        <f t="shared" si="1"/>
        <v>0</v>
      </c>
    </row>
    <row r="55" spans="2:31" x14ac:dyDescent="0.35">
      <c r="B55" s="777" t="s">
        <v>1128</v>
      </c>
      <c r="C55" s="778" t="s">
        <v>1129</v>
      </c>
      <c r="D55" s="779"/>
      <c r="E55" s="1611">
        <v>22100.3</v>
      </c>
      <c r="F55" s="780"/>
      <c r="G55" s="781"/>
      <c r="H55" s="781"/>
      <c r="I55" s="781"/>
      <c r="J55" s="781"/>
      <c r="K55" s="1786">
        <v>2299.2073830000008</v>
      </c>
      <c r="L55" s="1814"/>
      <c r="M55" s="1786"/>
      <c r="N55" s="1814"/>
      <c r="O55" s="1815"/>
      <c r="P55" s="1620">
        <f t="shared" si="7"/>
        <v>0</v>
      </c>
      <c r="Q55" s="1796"/>
      <c r="R55" s="1796"/>
      <c r="S55" s="1794"/>
      <c r="T55" s="1521"/>
      <c r="U55" s="1677">
        <f>+'Passage Actif BC '!BH73</f>
        <v>24399.507383</v>
      </c>
      <c r="W55" s="1554">
        <v>22761.237290000001</v>
      </c>
      <c r="X55" s="101">
        <f t="shared" si="0"/>
        <v>-1638.2700929999992</v>
      </c>
      <c r="AD55" s="1421">
        <v>24399.507383</v>
      </c>
      <c r="AE55" s="1892">
        <f t="shared" si="1"/>
        <v>0</v>
      </c>
    </row>
    <row r="56" spans="2:31" x14ac:dyDescent="0.35">
      <c r="B56" s="777" t="s">
        <v>1130</v>
      </c>
      <c r="C56" s="778" t="s">
        <v>1131</v>
      </c>
      <c r="D56" s="779"/>
      <c r="E56" s="1611">
        <v>0</v>
      </c>
      <c r="F56" s="780"/>
      <c r="G56" s="781"/>
      <c r="H56" s="781"/>
      <c r="I56" s="781"/>
      <c r="J56" s="781"/>
      <c r="K56" s="1814"/>
      <c r="L56" s="1786"/>
      <c r="M56" s="1814"/>
      <c r="N56" s="1786"/>
      <c r="O56" s="1815"/>
      <c r="P56" s="1615">
        <f t="shared" si="7"/>
        <v>0</v>
      </c>
      <c r="Q56" s="1796"/>
      <c r="R56" s="1794"/>
      <c r="S56" s="1794"/>
      <c r="T56" s="1521"/>
      <c r="U56" s="1593">
        <f>+'Passage Actif BC '!BH74</f>
        <v>0</v>
      </c>
      <c r="W56" s="1554">
        <v>0</v>
      </c>
      <c r="X56" s="101">
        <f t="shared" si="0"/>
        <v>0</v>
      </c>
      <c r="AD56" s="1421">
        <v>0</v>
      </c>
      <c r="AE56" s="1892">
        <f t="shared" si="1"/>
        <v>0</v>
      </c>
    </row>
    <row r="57" spans="2:31" x14ac:dyDescent="0.35">
      <c r="B57" s="777" t="s">
        <v>1132</v>
      </c>
      <c r="C57" s="778" t="s">
        <v>1133</v>
      </c>
      <c r="D57" s="779"/>
      <c r="E57" s="1611">
        <v>0</v>
      </c>
      <c r="F57" s="780"/>
      <c r="G57" s="781"/>
      <c r="H57" s="781"/>
      <c r="I57" s="781"/>
      <c r="J57" s="781"/>
      <c r="K57" s="1814"/>
      <c r="L57" s="1786"/>
      <c r="M57" s="1814"/>
      <c r="N57" s="1786"/>
      <c r="O57" s="1815"/>
      <c r="P57" s="1615">
        <f t="shared" si="7"/>
        <v>0</v>
      </c>
      <c r="Q57" s="1796"/>
      <c r="R57" s="1794"/>
      <c r="S57" s="1808"/>
      <c r="T57" s="1521"/>
      <c r="U57" s="1593">
        <f>+'Passage Actif BC '!BH75</f>
        <v>0</v>
      </c>
      <c r="W57" s="1554">
        <v>0</v>
      </c>
      <c r="X57" s="101">
        <f t="shared" si="0"/>
        <v>0</v>
      </c>
      <c r="AD57" s="1421">
        <v>0</v>
      </c>
      <c r="AE57" s="1892">
        <f t="shared" si="1"/>
        <v>0</v>
      </c>
    </row>
    <row r="58" spans="2:31" x14ac:dyDescent="0.35">
      <c r="B58" s="777" t="s">
        <v>1134</v>
      </c>
      <c r="C58" s="778" t="s">
        <v>1857</v>
      </c>
      <c r="D58" s="779"/>
      <c r="E58" s="1611">
        <v>0</v>
      </c>
      <c r="F58" s="780"/>
      <c r="G58" s="781"/>
      <c r="H58" s="781"/>
      <c r="I58" s="781"/>
      <c r="J58" s="781"/>
      <c r="K58" s="1814"/>
      <c r="L58" s="1786"/>
      <c r="M58" s="1814"/>
      <c r="N58" s="1786"/>
      <c r="O58" s="1815"/>
      <c r="P58" s="1615">
        <f t="shared" si="7"/>
        <v>0</v>
      </c>
      <c r="Q58" s="1796"/>
      <c r="R58" s="1794"/>
      <c r="S58" s="1808"/>
      <c r="T58" s="1521"/>
      <c r="U58" s="1593">
        <f>+'Passage Actif BC '!BH76</f>
        <v>0</v>
      </c>
      <c r="W58" s="1554">
        <v>0</v>
      </c>
      <c r="X58" s="101">
        <f t="shared" si="0"/>
        <v>0</v>
      </c>
      <c r="AD58" s="1421">
        <v>0</v>
      </c>
      <c r="AE58" s="1892">
        <f t="shared" si="1"/>
        <v>0</v>
      </c>
    </row>
    <row r="59" spans="2:31" x14ac:dyDescent="0.35">
      <c r="B59" s="777" t="s">
        <v>1136</v>
      </c>
      <c r="C59" s="778" t="s">
        <v>1137</v>
      </c>
      <c r="D59" s="779"/>
      <c r="E59" s="1611">
        <v>0</v>
      </c>
      <c r="F59" s="780"/>
      <c r="G59" s="781"/>
      <c r="H59" s="781"/>
      <c r="I59" s="781"/>
      <c r="J59" s="781"/>
      <c r="K59" s="1814"/>
      <c r="L59" s="1786"/>
      <c r="M59" s="1814"/>
      <c r="N59" s="1786"/>
      <c r="O59" s="1815"/>
      <c r="P59" s="1615">
        <f t="shared" si="7"/>
        <v>0</v>
      </c>
      <c r="Q59" s="1796"/>
      <c r="R59" s="1794"/>
      <c r="S59" s="1808"/>
      <c r="T59" s="1521"/>
      <c r="U59" s="1593">
        <f>+'Passage Actif BC '!BH77</f>
        <v>0</v>
      </c>
      <c r="W59" s="1554">
        <v>0</v>
      </c>
      <c r="X59" s="101">
        <f t="shared" si="0"/>
        <v>0</v>
      </c>
      <c r="AD59" s="1421">
        <v>0</v>
      </c>
      <c r="AE59" s="1892">
        <f t="shared" si="1"/>
        <v>0</v>
      </c>
    </row>
    <row r="60" spans="2:31" x14ac:dyDescent="0.35">
      <c r="B60" s="777" t="s">
        <v>1138</v>
      </c>
      <c r="C60" s="778" t="s">
        <v>1139</v>
      </c>
      <c r="D60" s="779"/>
      <c r="E60" s="1611">
        <v>0</v>
      </c>
      <c r="F60" s="780"/>
      <c r="G60" s="781"/>
      <c r="H60" s="781"/>
      <c r="I60" s="781"/>
      <c r="J60" s="781"/>
      <c r="K60" s="1814"/>
      <c r="L60" s="1786"/>
      <c r="M60" s="1814"/>
      <c r="N60" s="1786"/>
      <c r="O60" s="1815"/>
      <c r="P60" s="1615">
        <f t="shared" si="7"/>
        <v>0</v>
      </c>
      <c r="Q60" s="1796"/>
      <c r="R60" s="1794"/>
      <c r="S60" s="1808"/>
      <c r="T60" s="1521"/>
      <c r="U60" s="1593">
        <f>+'Passage Actif BC '!BH78</f>
        <v>0</v>
      </c>
      <c r="W60" s="1554">
        <v>0</v>
      </c>
      <c r="X60" s="101">
        <f t="shared" si="0"/>
        <v>0</v>
      </c>
      <c r="AD60" s="1421">
        <v>0</v>
      </c>
      <c r="AE60" s="1892">
        <f t="shared" si="1"/>
        <v>0</v>
      </c>
    </row>
    <row r="61" spans="2:31" x14ac:dyDescent="0.35">
      <c r="B61" s="777" t="s">
        <v>166</v>
      </c>
      <c r="C61" s="778" t="s">
        <v>1140</v>
      </c>
      <c r="D61" s="779"/>
      <c r="E61" s="1611">
        <v>179.9</v>
      </c>
      <c r="F61" s="780"/>
      <c r="G61" s="781"/>
      <c r="H61" s="781"/>
      <c r="I61" s="781"/>
      <c r="J61" s="781"/>
      <c r="K61" s="1786">
        <f>+SUMIFS('BG '!$H$29:$H$71,'BG '!$C$29:$C$71,'Bilan-par flux'!B61)/1000000</f>
        <v>19</v>
      </c>
      <c r="L61" s="1814"/>
      <c r="M61" s="1786">
        <f>'BG '!I71/10^6</f>
        <v>0</v>
      </c>
      <c r="N61" s="1814"/>
      <c r="O61" s="1815"/>
      <c r="P61" s="1615">
        <f t="shared" si="7"/>
        <v>-1.2330000000133623E-3</v>
      </c>
      <c r="Q61" s="1796"/>
      <c r="R61" s="1796"/>
      <c r="S61" s="1795"/>
      <c r="T61" s="1521"/>
      <c r="U61" s="1593">
        <f>+'Passage Actif BC '!BH79</f>
        <v>198.89876699999999</v>
      </c>
      <c r="W61" s="1554">
        <v>179.89876699999999</v>
      </c>
      <c r="X61" s="101">
        <f t="shared" si="0"/>
        <v>-19</v>
      </c>
      <c r="AD61" s="1421">
        <v>198.89876699999999</v>
      </c>
      <c r="AE61" s="1892">
        <f t="shared" si="1"/>
        <v>0</v>
      </c>
    </row>
    <row r="62" spans="2:31" x14ac:dyDescent="0.35">
      <c r="B62" s="777" t="s">
        <v>1141</v>
      </c>
      <c r="C62" s="778" t="s">
        <v>1142</v>
      </c>
      <c r="D62" s="779"/>
      <c r="E62" s="1611">
        <v>0</v>
      </c>
      <c r="F62" s="780"/>
      <c r="G62" s="781"/>
      <c r="H62" s="781"/>
      <c r="I62" s="781"/>
      <c r="J62" s="781"/>
      <c r="K62" s="1814"/>
      <c r="L62" s="1786"/>
      <c r="M62" s="1814"/>
      <c r="N62" s="1786"/>
      <c r="O62" s="1815"/>
      <c r="P62" s="1615">
        <f t="shared" si="7"/>
        <v>0</v>
      </c>
      <c r="Q62" s="1796"/>
      <c r="R62" s="1794"/>
      <c r="S62" s="1795"/>
      <c r="T62" s="1521"/>
      <c r="U62" s="1593">
        <f>+'Passage Actif BC '!BH80</f>
        <v>0</v>
      </c>
      <c r="W62" s="1554">
        <v>0</v>
      </c>
      <c r="X62" s="101">
        <f t="shared" si="0"/>
        <v>0</v>
      </c>
      <c r="AD62" s="1421">
        <v>0</v>
      </c>
      <c r="AE62" s="1892">
        <f t="shared" si="1"/>
        <v>0</v>
      </c>
    </row>
    <row r="63" spans="2:31" x14ac:dyDescent="0.35">
      <c r="B63" s="777" t="s">
        <v>159</v>
      </c>
      <c r="C63" s="778" t="s">
        <v>1858</v>
      </c>
      <c r="D63" s="779"/>
      <c r="E63" s="1611">
        <v>0</v>
      </c>
      <c r="F63" s="780"/>
      <c r="G63" s="781"/>
      <c r="H63" s="781"/>
      <c r="I63" s="781"/>
      <c r="J63" s="781"/>
      <c r="K63" s="1786">
        <f>+SUMIFS('BG '!$H$29:$H$71,'BG '!$C$29:$C$71,'Bilan-par flux'!B63)/1000000</f>
        <v>0</v>
      </c>
      <c r="L63" s="1814"/>
      <c r="M63" s="1786"/>
      <c r="N63" s="1814"/>
      <c r="O63" s="1815"/>
      <c r="P63" s="1615">
        <f t="shared" si="7"/>
        <v>0</v>
      </c>
      <c r="Q63" s="1794"/>
      <c r="R63" s="1794"/>
      <c r="S63" s="1801"/>
      <c r="T63" s="1521"/>
      <c r="U63" s="1593">
        <f>+'Passage Actif BC '!BH81</f>
        <v>0</v>
      </c>
      <c r="W63" s="1554">
        <v>0</v>
      </c>
      <c r="X63" s="101">
        <f t="shared" si="0"/>
        <v>0</v>
      </c>
      <c r="AD63" s="1421">
        <v>0</v>
      </c>
      <c r="AE63" s="1892">
        <f t="shared" si="1"/>
        <v>0</v>
      </c>
    </row>
    <row r="64" spans="2:31" x14ac:dyDescent="0.35">
      <c r="B64" s="777" t="s">
        <v>1144</v>
      </c>
      <c r="C64" s="778" t="s">
        <v>1145</v>
      </c>
      <c r="D64" s="779"/>
      <c r="E64" s="1611">
        <v>0</v>
      </c>
      <c r="F64" s="780"/>
      <c r="G64" s="781"/>
      <c r="H64" s="781"/>
      <c r="I64" s="781"/>
      <c r="J64" s="781"/>
      <c r="K64" s="1814"/>
      <c r="L64" s="1786"/>
      <c r="M64" s="1814"/>
      <c r="N64" s="1786"/>
      <c r="O64" s="1815"/>
      <c r="P64" s="1615">
        <f t="shared" si="7"/>
        <v>0</v>
      </c>
      <c r="Q64" s="1794"/>
      <c r="R64" s="1796"/>
      <c r="S64" s="1801"/>
      <c r="T64" s="1521"/>
      <c r="U64" s="1593">
        <f>+'Passage Actif BC '!BH82</f>
        <v>0</v>
      </c>
      <c r="W64" s="1554">
        <v>0</v>
      </c>
      <c r="X64" s="101">
        <f t="shared" si="0"/>
        <v>0</v>
      </c>
      <c r="AD64" s="1421">
        <v>0</v>
      </c>
      <c r="AE64" s="1892">
        <f t="shared" si="1"/>
        <v>0</v>
      </c>
    </row>
    <row r="65" spans="1:60" x14ac:dyDescent="0.35">
      <c r="B65" s="777" t="s">
        <v>1146</v>
      </c>
      <c r="C65" s="778" t="s">
        <v>1859</v>
      </c>
      <c r="D65" s="779"/>
      <c r="E65" s="1611">
        <v>0</v>
      </c>
      <c r="F65" s="780"/>
      <c r="G65" s="781"/>
      <c r="H65" s="781"/>
      <c r="I65" s="781"/>
      <c r="J65" s="781"/>
      <c r="K65" s="1786">
        <f>+SUMIFS('BG '!$H$29:$H$71,'BG '!$C$29:$C$71,'Bilan-par flux'!B65)/1000000</f>
        <v>0</v>
      </c>
      <c r="L65" s="1814"/>
      <c r="M65" s="1786"/>
      <c r="N65" s="1814"/>
      <c r="O65" s="1815"/>
      <c r="P65" s="1615">
        <f t="shared" si="7"/>
        <v>0</v>
      </c>
      <c r="Q65" s="1794"/>
      <c r="R65" s="1794"/>
      <c r="S65" s="1801"/>
      <c r="T65" s="1521"/>
      <c r="U65" s="1593">
        <f>+'Passage Actif BC '!BH83</f>
        <v>0</v>
      </c>
      <c r="W65" s="1554">
        <v>0</v>
      </c>
      <c r="X65" s="101">
        <f t="shared" si="0"/>
        <v>0</v>
      </c>
      <c r="AD65" s="1421">
        <v>0</v>
      </c>
      <c r="AE65" s="1892">
        <f t="shared" si="1"/>
        <v>0</v>
      </c>
    </row>
    <row r="66" spans="1:60" x14ac:dyDescent="0.35">
      <c r="B66" s="777" t="s">
        <v>1148</v>
      </c>
      <c r="C66" s="778" t="s">
        <v>1149</v>
      </c>
      <c r="D66" s="779"/>
      <c r="E66" s="1611">
        <v>0</v>
      </c>
      <c r="F66" s="780"/>
      <c r="G66" s="781"/>
      <c r="H66" s="781"/>
      <c r="I66" s="781"/>
      <c r="J66" s="781"/>
      <c r="K66" s="1814"/>
      <c r="L66" s="1786"/>
      <c r="M66" s="1814"/>
      <c r="N66" s="1786"/>
      <c r="O66" s="1815"/>
      <c r="P66" s="1615">
        <f t="shared" si="7"/>
        <v>0</v>
      </c>
      <c r="Q66" s="1794"/>
      <c r="R66" s="1796"/>
      <c r="S66" s="1801"/>
      <c r="T66" s="1521"/>
      <c r="U66" s="1593">
        <f>+'Passage Actif BC '!BH84</f>
        <v>0</v>
      </c>
      <c r="W66" s="1554">
        <v>0</v>
      </c>
      <c r="X66" s="101">
        <f t="shared" si="0"/>
        <v>0</v>
      </c>
      <c r="AD66" s="1421">
        <v>0</v>
      </c>
      <c r="AE66" s="1892">
        <f t="shared" si="1"/>
        <v>0</v>
      </c>
    </row>
    <row r="67" spans="1:60" x14ac:dyDescent="0.35">
      <c r="B67" s="777" t="s">
        <v>1150</v>
      </c>
      <c r="C67" s="778" t="s">
        <v>1151</v>
      </c>
      <c r="D67" s="779"/>
      <c r="E67" s="1611">
        <v>0</v>
      </c>
      <c r="F67" s="780"/>
      <c r="G67" s="781"/>
      <c r="H67" s="781"/>
      <c r="I67" s="781"/>
      <c r="J67" s="781"/>
      <c r="K67" s="1814"/>
      <c r="L67" s="1786"/>
      <c r="M67" s="1814"/>
      <c r="N67" s="1786"/>
      <c r="O67" s="1815"/>
      <c r="P67" s="1615">
        <f t="shared" si="7"/>
        <v>0</v>
      </c>
      <c r="Q67" s="1794"/>
      <c r="R67" s="1796"/>
      <c r="S67" s="1801"/>
      <c r="T67" s="1521"/>
      <c r="U67" s="1593">
        <f>+'Passage Actif BC '!BH85</f>
        <v>0</v>
      </c>
      <c r="W67" s="1554">
        <v>0</v>
      </c>
      <c r="X67" s="101">
        <f t="shared" si="0"/>
        <v>0</v>
      </c>
      <c r="AD67" s="1421">
        <v>0</v>
      </c>
      <c r="AE67" s="1892">
        <f t="shared" si="1"/>
        <v>0</v>
      </c>
    </row>
    <row r="68" spans="1:60" x14ac:dyDescent="0.35">
      <c r="B68" s="777" t="s">
        <v>1152</v>
      </c>
      <c r="C68" s="778" t="s">
        <v>1153</v>
      </c>
      <c r="D68" s="779"/>
      <c r="E68" s="1611">
        <v>0</v>
      </c>
      <c r="F68" s="780"/>
      <c r="G68" s="781"/>
      <c r="H68" s="781"/>
      <c r="I68" s="781"/>
      <c r="J68" s="781"/>
      <c r="K68" s="1814"/>
      <c r="L68" s="1786"/>
      <c r="M68" s="1814"/>
      <c r="N68" s="1786"/>
      <c r="O68" s="1815"/>
      <c r="P68" s="1615">
        <f t="shared" si="7"/>
        <v>0</v>
      </c>
      <c r="Q68" s="1794"/>
      <c r="R68" s="1796"/>
      <c r="S68" s="1801"/>
      <c r="T68" s="1521"/>
      <c r="U68" s="1593">
        <f>+'Passage Actif BC '!BH86</f>
        <v>0</v>
      </c>
      <c r="W68" s="1554">
        <v>0</v>
      </c>
      <c r="X68" s="101">
        <f t="shared" si="0"/>
        <v>0</v>
      </c>
      <c r="AD68" s="1421">
        <v>0</v>
      </c>
      <c r="AE68" s="1892">
        <f t="shared" si="1"/>
        <v>0</v>
      </c>
    </row>
    <row r="69" spans="1:60" x14ac:dyDescent="0.35">
      <c r="B69" s="777" t="s">
        <v>1154</v>
      </c>
      <c r="C69" s="778" t="s">
        <v>1155</v>
      </c>
      <c r="D69" s="779"/>
      <c r="E69" s="1611">
        <v>0</v>
      </c>
      <c r="F69" s="780"/>
      <c r="G69" s="781"/>
      <c r="H69" s="781"/>
      <c r="I69" s="781"/>
      <c r="J69" s="781"/>
      <c r="K69" s="1814"/>
      <c r="L69" s="1786"/>
      <c r="M69" s="1814"/>
      <c r="N69" s="1786"/>
      <c r="O69" s="1815"/>
      <c r="P69" s="1615">
        <f t="shared" si="7"/>
        <v>0</v>
      </c>
      <c r="Q69" s="1794"/>
      <c r="R69" s="1796"/>
      <c r="S69" s="1801"/>
      <c r="T69" s="1521"/>
      <c r="U69" s="1593">
        <f>+'Passage Actif BC '!BH87</f>
        <v>0</v>
      </c>
      <c r="W69" s="1554">
        <v>0</v>
      </c>
      <c r="X69" s="101">
        <f t="shared" si="0"/>
        <v>0</v>
      </c>
      <c r="AD69" s="1421">
        <v>0</v>
      </c>
      <c r="AE69" s="1892">
        <f t="shared" si="1"/>
        <v>0</v>
      </c>
    </row>
    <row r="70" spans="1:60" x14ac:dyDescent="0.35">
      <c r="B70" s="777" t="s">
        <v>1156</v>
      </c>
      <c r="C70" s="778" t="s">
        <v>1157</v>
      </c>
      <c r="D70" s="779"/>
      <c r="E70" s="1611">
        <v>0</v>
      </c>
      <c r="F70" s="780"/>
      <c r="G70" s="781"/>
      <c r="H70" s="781"/>
      <c r="I70" s="781"/>
      <c r="J70" s="781"/>
      <c r="K70" s="1814"/>
      <c r="L70" s="1786"/>
      <c r="M70" s="1814"/>
      <c r="N70" s="1786"/>
      <c r="O70" s="1815"/>
      <c r="P70" s="1615">
        <f t="shared" si="7"/>
        <v>0</v>
      </c>
      <c r="Q70" s="1794"/>
      <c r="R70" s="1796"/>
      <c r="S70" s="1801"/>
      <c r="T70" s="1521"/>
      <c r="U70" s="1593">
        <f>+'Passage Actif BC '!BH88</f>
        <v>0</v>
      </c>
      <c r="W70" s="1554">
        <v>0</v>
      </c>
      <c r="X70" s="101">
        <f t="shared" si="0"/>
        <v>0</v>
      </c>
      <c r="AD70" s="1421">
        <v>0</v>
      </c>
      <c r="AE70" s="1892">
        <f t="shared" si="1"/>
        <v>0</v>
      </c>
    </row>
    <row r="71" spans="1:60" ht="18.600000000000001" thickBot="1" x14ac:dyDescent="0.4">
      <c r="B71" s="783" t="s">
        <v>1158</v>
      </c>
      <c r="C71" s="784" t="s">
        <v>1159</v>
      </c>
      <c r="D71" s="779"/>
      <c r="E71" s="1621">
        <f>+SUM(E49:E70)</f>
        <v>22280.2</v>
      </c>
      <c r="F71" s="780"/>
      <c r="G71" s="786"/>
      <c r="H71" s="786"/>
      <c r="I71" s="786"/>
      <c r="J71" s="786"/>
      <c r="K71" s="1784">
        <f>+SUM(K49:K70)</f>
        <v>2318.2073830000008</v>
      </c>
      <c r="L71" s="1784">
        <f t="shared" ref="L71:S71" si="8">+SUM(L49:L70)</f>
        <v>0</v>
      </c>
      <c r="M71" s="1784">
        <f t="shared" si="8"/>
        <v>0</v>
      </c>
      <c r="N71" s="1784">
        <f t="shared" si="8"/>
        <v>0</v>
      </c>
      <c r="O71" s="1784">
        <f t="shared" si="8"/>
        <v>0</v>
      </c>
      <c r="P71" s="1616">
        <f t="shared" si="8"/>
        <v>-1.2330000000133623E-3</v>
      </c>
      <c r="Q71" s="1637">
        <f t="shared" si="8"/>
        <v>0</v>
      </c>
      <c r="R71" s="1637">
        <f t="shared" si="8"/>
        <v>0</v>
      </c>
      <c r="S71" s="1637">
        <f t="shared" si="8"/>
        <v>0</v>
      </c>
      <c r="T71" s="1521"/>
      <c r="U71" s="1638">
        <f>+SUM(U49:U70)</f>
        <v>24598.406149999999</v>
      </c>
      <c r="W71" s="1555">
        <v>22941.136057</v>
      </c>
      <c r="X71" s="101">
        <f t="shared" si="0"/>
        <v>-1657.2700929999992</v>
      </c>
      <c r="AD71" s="1421">
        <v>24598.406149999999</v>
      </c>
      <c r="AE71" s="1892">
        <f t="shared" si="1"/>
        <v>0</v>
      </c>
    </row>
    <row r="72" spans="1:60" ht="6.9" customHeight="1" x14ac:dyDescent="0.35">
      <c r="B72" s="775"/>
      <c r="C72" s="769"/>
      <c r="D72" s="779"/>
      <c r="E72" s="1628"/>
      <c r="F72" s="780"/>
      <c r="G72" s="791"/>
      <c r="H72" s="791"/>
      <c r="I72" s="791"/>
      <c r="J72" s="791"/>
      <c r="K72" s="1820"/>
      <c r="L72" s="1820"/>
      <c r="M72" s="1820"/>
      <c r="N72" s="1820"/>
      <c r="O72" s="1821"/>
      <c r="P72" s="1622"/>
      <c r="Q72" s="1798"/>
      <c r="R72" s="1798"/>
      <c r="S72" s="1640"/>
      <c r="T72" s="1521"/>
      <c r="U72" s="1640"/>
      <c r="W72" s="1554"/>
      <c r="X72" s="101">
        <f t="shared" ref="X72:X135" si="9">W72-U72</f>
        <v>0</v>
      </c>
      <c r="AE72" s="1892">
        <f t="shared" ref="AE72:AE135" si="10">U72-AD72</f>
        <v>0</v>
      </c>
    </row>
    <row r="73" spans="1:60" x14ac:dyDescent="0.35">
      <c r="B73" s="777" t="s">
        <v>1160</v>
      </c>
      <c r="C73" s="778" t="s">
        <v>1161</v>
      </c>
      <c r="D73" s="779"/>
      <c r="E73" s="1611">
        <v>2281.9</v>
      </c>
      <c r="F73" s="780"/>
      <c r="G73" s="781"/>
      <c r="H73" s="781"/>
      <c r="I73" s="781"/>
      <c r="J73" s="781"/>
      <c r="K73" s="1786"/>
      <c r="L73" s="1814"/>
      <c r="M73" s="1786">
        <v>-20.258658353129249</v>
      </c>
      <c r="N73" s="1814"/>
      <c r="O73" s="1814"/>
      <c r="P73" s="1615">
        <f>U73-SUM(Q73:S73)-SUM(E73:O73)</f>
        <v>-1.6616647359783201</v>
      </c>
      <c r="Q73" s="1794"/>
      <c r="R73" s="1794"/>
      <c r="S73" s="1801"/>
      <c r="T73" s="1521"/>
      <c r="U73" s="1593">
        <f>+'Passage Actif BC '!BH91</f>
        <v>2259.9796769108925</v>
      </c>
      <c r="W73" s="1554">
        <v>2287.0742427073551</v>
      </c>
      <c r="X73" s="101">
        <f t="shared" si="9"/>
        <v>27.094565796462575</v>
      </c>
      <c r="AD73" s="1421">
        <v>2261.6413416468708</v>
      </c>
      <c r="AE73" s="1892">
        <f t="shared" si="10"/>
        <v>-1.6616647359783201</v>
      </c>
      <c r="AG73" s="101"/>
    </row>
    <row r="74" spans="1:60" x14ac:dyDescent="0.35">
      <c r="B74" s="777" t="s">
        <v>1162</v>
      </c>
      <c r="C74" s="778" t="s">
        <v>1163</v>
      </c>
      <c r="D74" s="779"/>
      <c r="E74" s="1611">
        <v>885.2</v>
      </c>
      <c r="F74" s="780"/>
      <c r="G74" s="781"/>
      <c r="H74" s="781"/>
      <c r="I74" s="781"/>
      <c r="J74" s="781"/>
      <c r="K74" s="1814"/>
      <c r="L74" s="1786"/>
      <c r="M74" s="1814"/>
      <c r="N74" s="1786"/>
      <c r="O74" s="1814"/>
      <c r="P74" s="1615">
        <f>U74-SUM(Q74:S74)-SUM(E74:O74)</f>
        <v>0</v>
      </c>
      <c r="Q74" s="1794"/>
      <c r="R74" s="1794"/>
      <c r="S74" s="1801"/>
      <c r="T74" s="1521"/>
      <c r="U74" s="1593">
        <f>+'Passage Actif BC '!BH92</f>
        <v>885.2</v>
      </c>
      <c r="W74" s="1554">
        <v>885.2</v>
      </c>
      <c r="X74" s="101">
        <f t="shared" si="9"/>
        <v>0</v>
      </c>
      <c r="AD74" s="1421">
        <v>885.2</v>
      </c>
      <c r="AE74" s="1892">
        <f t="shared" si="10"/>
        <v>0</v>
      </c>
      <c r="AG74" s="101"/>
    </row>
    <row r="75" spans="1:60" ht="24.9" customHeight="1" thickBot="1" x14ac:dyDescent="0.4">
      <c r="B75" s="783" t="s">
        <v>1164</v>
      </c>
      <c r="C75" s="784" t="s">
        <v>1165</v>
      </c>
      <c r="D75" s="779"/>
      <c r="E75" s="1621">
        <f>SUM(E73:E74)</f>
        <v>3167.1000000000004</v>
      </c>
      <c r="F75" s="780"/>
      <c r="G75" s="786"/>
      <c r="H75" s="786"/>
      <c r="I75" s="786"/>
      <c r="J75" s="786"/>
      <c r="K75" s="1784">
        <f t="shared" ref="K75:S75" si="11">+K73+K74</f>
        <v>0</v>
      </c>
      <c r="L75" s="1784">
        <f t="shared" si="11"/>
        <v>0</v>
      </c>
      <c r="M75" s="1784">
        <f t="shared" si="11"/>
        <v>-20.258658353129249</v>
      </c>
      <c r="N75" s="1784">
        <f t="shared" si="11"/>
        <v>0</v>
      </c>
      <c r="O75" s="1785">
        <f t="shared" si="11"/>
        <v>0</v>
      </c>
      <c r="P75" s="1616">
        <f t="shared" si="11"/>
        <v>-1.6616647359783201</v>
      </c>
      <c r="Q75" s="1637">
        <f>+Q73+Q74</f>
        <v>0</v>
      </c>
      <c r="R75" s="1637">
        <f>+R73+R74</f>
        <v>0</v>
      </c>
      <c r="S75" s="1638">
        <f t="shared" si="11"/>
        <v>0</v>
      </c>
      <c r="T75" s="1521"/>
      <c r="U75" s="1638">
        <f>SUM(E75:T75)</f>
        <v>3145.1796769108928</v>
      </c>
      <c r="W75" s="1555">
        <v>3172.2742427073554</v>
      </c>
      <c r="X75" s="101">
        <f t="shared" si="9"/>
        <v>27.094565796462575</v>
      </c>
      <c r="AD75" s="1421">
        <v>3146.8413416468711</v>
      </c>
      <c r="AE75" s="1892">
        <f t="shared" si="10"/>
        <v>-1.6616647359783201</v>
      </c>
    </row>
    <row r="76" spans="1:60" ht="6.9" customHeight="1" x14ac:dyDescent="0.35">
      <c r="B76" s="775"/>
      <c r="C76" s="769"/>
      <c r="D76" s="779"/>
      <c r="E76" s="1628"/>
      <c r="F76" s="780"/>
      <c r="G76" s="791"/>
      <c r="H76" s="791"/>
      <c r="I76" s="791"/>
      <c r="J76" s="791"/>
      <c r="K76" s="1820"/>
      <c r="L76" s="1820"/>
      <c r="M76" s="1820"/>
      <c r="N76" s="1820"/>
      <c r="O76" s="1821"/>
      <c r="P76" s="1622"/>
      <c r="Q76" s="1798"/>
      <c r="R76" s="1798"/>
      <c r="S76" s="1640"/>
      <c r="T76" s="1521"/>
      <c r="U76" s="1640"/>
      <c r="W76" s="1554"/>
      <c r="X76" s="101">
        <f t="shared" si="9"/>
        <v>0</v>
      </c>
      <c r="AE76" s="1892">
        <f t="shared" si="10"/>
        <v>0</v>
      </c>
    </row>
    <row r="77" spans="1:60" s="538" customFormat="1" x14ac:dyDescent="0.35">
      <c r="A77" s="532"/>
      <c r="B77" s="792" t="s">
        <v>1166</v>
      </c>
      <c r="C77" s="793" t="s">
        <v>1167</v>
      </c>
      <c r="D77" s="794"/>
      <c r="E77" s="1626">
        <f>+E75+E71+E47+E29+E9</f>
        <v>152349.40000000002</v>
      </c>
      <c r="F77" s="780"/>
      <c r="G77" s="796"/>
      <c r="H77" s="796"/>
      <c r="I77" s="796"/>
      <c r="J77" s="796"/>
      <c r="K77" s="1823">
        <f>+K75+K71+K47+K29+K9</f>
        <v>29941.872879574999</v>
      </c>
      <c r="L77" s="1823">
        <f t="shared" ref="L77:S77" si="12">+L75+L71+L47+L29+L9</f>
        <v>-18260.800813279224</v>
      </c>
      <c r="M77" s="1823">
        <f t="shared" si="12"/>
        <v>-20.258658353129249</v>
      </c>
      <c r="N77" s="1823">
        <f t="shared" si="12"/>
        <v>0</v>
      </c>
      <c r="O77" s="1824">
        <f t="shared" si="12"/>
        <v>0</v>
      </c>
      <c r="P77" s="1623">
        <f>+P75+P71+P47+P29+P9</f>
        <v>432.93759749610416</v>
      </c>
      <c r="Q77" s="1799">
        <f t="shared" si="12"/>
        <v>0</v>
      </c>
      <c r="R77" s="1799">
        <f t="shared" si="12"/>
        <v>0</v>
      </c>
      <c r="S77" s="1639">
        <f t="shared" si="12"/>
        <v>0</v>
      </c>
      <c r="T77" s="1522"/>
      <c r="U77" s="1639">
        <f>+U75+U71+U47+U29+U9</f>
        <v>164443.15100543876</v>
      </c>
      <c r="V77"/>
      <c r="W77" s="1556">
        <v>150094.71864382172</v>
      </c>
      <c r="X77" s="101">
        <f t="shared" si="9"/>
        <v>-14348.432361617044</v>
      </c>
      <c r="Y77"/>
      <c r="Z77"/>
      <c r="AA77"/>
      <c r="AB77"/>
      <c r="AC77"/>
      <c r="AD77" s="1421">
        <v>163069.85882724647</v>
      </c>
      <c r="AE77" s="1892">
        <f t="shared" si="10"/>
        <v>1373.2921781922923</v>
      </c>
      <c r="AF77" s="75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1:60" ht="18.600000000000001" thickBot="1" x14ac:dyDescent="0.4">
      <c r="A78" s="540"/>
      <c r="B78" s="797"/>
      <c r="C78" s="798"/>
      <c r="D78" s="799"/>
      <c r="E78" s="1650"/>
      <c r="F78" s="800"/>
      <c r="G78" s="801"/>
      <c r="H78" s="801"/>
      <c r="I78" s="801"/>
      <c r="J78" s="801"/>
      <c r="K78" s="1825"/>
      <c r="L78" s="1825"/>
      <c r="M78" s="1825"/>
      <c r="N78" s="1825"/>
      <c r="O78" s="1826"/>
      <c r="P78" s="1624"/>
      <c r="Q78" s="1800"/>
      <c r="R78" s="1800"/>
      <c r="S78" s="1659"/>
      <c r="T78" s="1523"/>
      <c r="U78" s="1659"/>
      <c r="W78" s="1557"/>
      <c r="X78" s="101">
        <f t="shared" si="9"/>
        <v>0</v>
      </c>
      <c r="AE78" s="1892">
        <f t="shared" si="10"/>
        <v>0</v>
      </c>
    </row>
    <row r="79" spans="1:60" x14ac:dyDescent="0.35">
      <c r="B79" s="775"/>
      <c r="C79" s="769"/>
      <c r="D79" s="779"/>
      <c r="E79" s="1628"/>
      <c r="F79" s="780"/>
      <c r="G79" s="791"/>
      <c r="H79" s="791"/>
      <c r="I79" s="791"/>
      <c r="J79" s="791"/>
      <c r="K79" s="1820"/>
      <c r="L79" s="1820"/>
      <c r="M79" s="1820"/>
      <c r="N79" s="1820"/>
      <c r="O79" s="1821"/>
      <c r="P79" s="1622"/>
      <c r="Q79" s="1798"/>
      <c r="R79" s="1798"/>
      <c r="S79" s="1640"/>
      <c r="T79" s="1521"/>
      <c r="U79" s="1640"/>
      <c r="W79" s="1554"/>
      <c r="X79" s="101">
        <f t="shared" si="9"/>
        <v>0</v>
      </c>
      <c r="AE79" s="1892">
        <f t="shared" si="10"/>
        <v>0</v>
      </c>
    </row>
    <row r="80" spans="1:60" s="481" customFormat="1" x14ac:dyDescent="0.35">
      <c r="A80" s="467"/>
      <c r="B80" s="777" t="s">
        <v>200</v>
      </c>
      <c r="C80" s="778" t="s">
        <v>1169</v>
      </c>
      <c r="D80" s="779"/>
      <c r="E80" s="1611">
        <v>2970.9</v>
      </c>
      <c r="F80" s="780"/>
      <c r="G80" s="781"/>
      <c r="H80" s="781"/>
      <c r="I80" s="781"/>
      <c r="J80" s="781"/>
      <c r="K80" s="1814"/>
      <c r="L80" s="1814"/>
      <c r="M80" s="1814"/>
      <c r="N80" s="1814"/>
      <c r="O80" s="1827">
        <f>U80-SUM(P80:S80)-SUM(E80:N80)</f>
        <v>-450.32187599999952</v>
      </c>
      <c r="P80" s="1615"/>
      <c r="Q80" s="1794"/>
      <c r="R80" s="1794"/>
      <c r="S80" s="1794"/>
      <c r="T80" s="1521"/>
      <c r="U80" s="1593">
        <f>+'Passage Actif BC '!BH103</f>
        <v>2520.5781240000006</v>
      </c>
      <c r="V80"/>
      <c r="W80" s="1554">
        <v>2669.3927620000004</v>
      </c>
      <c r="X80" s="101">
        <f t="shared" si="9"/>
        <v>148.81463799999983</v>
      </c>
      <c r="Y80"/>
      <c r="Z80"/>
      <c r="AA80"/>
      <c r="AB80"/>
      <c r="AC80"/>
      <c r="AD80" s="1421">
        <v>2520.5781240000006</v>
      </c>
      <c r="AE80" s="1892">
        <f t="shared" si="10"/>
        <v>0</v>
      </c>
      <c r="AF80" s="75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1:60" s="481" customFormat="1" x14ac:dyDescent="0.35">
      <c r="A81" s="467"/>
      <c r="B81" s="777" t="s">
        <v>213</v>
      </c>
      <c r="C81" s="778" t="s">
        <v>1170</v>
      </c>
      <c r="D81" s="779"/>
      <c r="E81" s="1611">
        <v>-493.5</v>
      </c>
      <c r="F81" s="780"/>
      <c r="G81" s="781"/>
      <c r="H81" s="781"/>
      <c r="I81" s="781"/>
      <c r="J81" s="781"/>
      <c r="K81" s="1814"/>
      <c r="L81" s="1786">
        <f>-'BG '!J570/1000000</f>
        <v>0</v>
      </c>
      <c r="M81" s="1814"/>
      <c r="N81" s="1786">
        <f>-'BG '!K672/1000000</f>
        <v>0</v>
      </c>
      <c r="O81" s="1827">
        <f>U81-SUM(P81:S81)-SUM(E81:N81)</f>
        <v>30.479298000000028</v>
      </c>
      <c r="P81" s="1615"/>
      <c r="Q81" s="1794"/>
      <c r="R81" s="1794"/>
      <c r="S81" s="1794"/>
      <c r="T81" s="1521"/>
      <c r="U81" s="1593">
        <f>+'Passage Actif BC '!BH104</f>
        <v>-463.02070199999997</v>
      </c>
      <c r="V81"/>
      <c r="W81" s="1554">
        <v>-559.34972299999993</v>
      </c>
      <c r="X81" s="101">
        <f t="shared" si="9"/>
        <v>-96.329020999999955</v>
      </c>
      <c r="Y81"/>
      <c r="Z81"/>
      <c r="AA81"/>
      <c r="AB81"/>
      <c r="AC81"/>
      <c r="AD81" s="1421">
        <v>-463.02070199999997</v>
      </c>
      <c r="AE81" s="1892">
        <f t="shared" si="10"/>
        <v>0</v>
      </c>
      <c r="AF81" s="75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1:60" ht="24.9" customHeight="1" thickBot="1" x14ac:dyDescent="0.4">
      <c r="B82" s="783" t="s">
        <v>1171</v>
      </c>
      <c r="C82" s="784" t="s">
        <v>1172</v>
      </c>
      <c r="D82" s="779"/>
      <c r="E82" s="1621">
        <f>SUM(E80:E81)</f>
        <v>2477.4</v>
      </c>
      <c r="F82" s="780"/>
      <c r="G82" s="786"/>
      <c r="H82" s="786"/>
      <c r="I82" s="786"/>
      <c r="J82" s="786"/>
      <c r="K82" s="1784">
        <f t="shared" ref="K82:S82" si="13">SUM(K80:K81)</f>
        <v>0</v>
      </c>
      <c r="L82" s="1784">
        <f t="shared" si="13"/>
        <v>0</v>
      </c>
      <c r="M82" s="1784">
        <f t="shared" si="13"/>
        <v>0</v>
      </c>
      <c r="N82" s="1784">
        <f t="shared" si="13"/>
        <v>0</v>
      </c>
      <c r="O82" s="1785">
        <f t="shared" si="13"/>
        <v>-419.84257799999949</v>
      </c>
      <c r="P82" s="1616">
        <f t="shared" si="13"/>
        <v>0</v>
      </c>
      <c r="Q82" s="1637">
        <f t="shared" si="13"/>
        <v>0</v>
      </c>
      <c r="R82" s="1637">
        <f t="shared" si="13"/>
        <v>0</v>
      </c>
      <c r="S82" s="1638">
        <f t="shared" si="13"/>
        <v>0</v>
      </c>
      <c r="T82" s="1521"/>
      <c r="U82" s="1638">
        <f>SUM(E82:T82)</f>
        <v>2057.5574220000008</v>
      </c>
      <c r="W82" s="1555">
        <v>2110.0430390000006</v>
      </c>
      <c r="X82" s="101">
        <f t="shared" si="9"/>
        <v>52.48561699999982</v>
      </c>
      <c r="AD82" s="1421">
        <v>2057.5574220000008</v>
      </c>
      <c r="AE82" s="1892">
        <f t="shared" si="10"/>
        <v>0</v>
      </c>
    </row>
    <row r="83" spans="1:60" ht="6.9" customHeight="1" x14ac:dyDescent="0.35">
      <c r="B83" s="775"/>
      <c r="C83" s="769"/>
      <c r="D83" s="779"/>
      <c r="E83" s="1628"/>
      <c r="F83" s="780"/>
      <c r="G83" s="791"/>
      <c r="H83" s="791"/>
      <c r="I83" s="791"/>
      <c r="J83" s="791"/>
      <c r="K83" s="1820"/>
      <c r="L83" s="1820"/>
      <c r="M83" s="1820"/>
      <c r="N83" s="1820"/>
      <c r="O83" s="1821"/>
      <c r="P83" s="1622"/>
      <c r="Q83" s="1798"/>
      <c r="R83" s="1798"/>
      <c r="S83" s="1640"/>
      <c r="T83" s="1521"/>
      <c r="U83" s="1640"/>
      <c r="W83" s="1554"/>
      <c r="X83" s="101">
        <f t="shared" si="9"/>
        <v>0</v>
      </c>
      <c r="AE83" s="1892">
        <f t="shared" si="10"/>
        <v>0</v>
      </c>
    </row>
    <row r="84" spans="1:60" x14ac:dyDescent="0.35">
      <c r="B84" s="777" t="s">
        <v>326</v>
      </c>
      <c r="C84" s="778" t="s">
        <v>1173</v>
      </c>
      <c r="D84" s="779"/>
      <c r="E84" s="1611">
        <v>0</v>
      </c>
      <c r="F84" s="780"/>
      <c r="G84" s="781"/>
      <c r="H84" s="781"/>
      <c r="I84" s="781"/>
      <c r="J84" s="781"/>
      <c r="K84" s="1814"/>
      <c r="L84" s="1814"/>
      <c r="M84" s="1814"/>
      <c r="N84" s="1814"/>
      <c r="O84" s="1828">
        <f>U84-SUM(P84:S84)-SUM(E84:N84)</f>
        <v>0</v>
      </c>
      <c r="P84" s="1625"/>
      <c r="Q84" s="1794"/>
      <c r="R84" s="1794"/>
      <c r="S84" s="1795"/>
      <c r="T84" s="1521"/>
      <c r="U84" s="1593">
        <f>+'Passage Actif BC '!BH107</f>
        <v>0</v>
      </c>
      <c r="W84" s="1554">
        <v>0</v>
      </c>
      <c r="X84" s="101">
        <f t="shared" si="9"/>
        <v>0</v>
      </c>
      <c r="AD84" s="1421">
        <v>0</v>
      </c>
      <c r="AE84" s="1892">
        <f t="shared" si="10"/>
        <v>0</v>
      </c>
    </row>
    <row r="85" spans="1:60" ht="24.9" customHeight="1" thickBot="1" x14ac:dyDescent="0.4">
      <c r="B85" s="783" t="s">
        <v>1174</v>
      </c>
      <c r="C85" s="784" t="s">
        <v>1175</v>
      </c>
      <c r="D85" s="779"/>
      <c r="E85" s="1621">
        <v>0</v>
      </c>
      <c r="F85" s="780"/>
      <c r="G85" s="786"/>
      <c r="H85" s="786"/>
      <c r="I85" s="786"/>
      <c r="J85" s="786"/>
      <c r="K85" s="1784">
        <f t="shared" ref="K85:S85" si="14">+K84</f>
        <v>0</v>
      </c>
      <c r="L85" s="1784">
        <f t="shared" si="14"/>
        <v>0</v>
      </c>
      <c r="M85" s="1784">
        <f t="shared" si="14"/>
        <v>0</v>
      </c>
      <c r="N85" s="1784">
        <f t="shared" si="14"/>
        <v>0</v>
      </c>
      <c r="O85" s="1785">
        <f t="shared" si="14"/>
        <v>0</v>
      </c>
      <c r="P85" s="1616">
        <f t="shared" si="14"/>
        <v>0</v>
      </c>
      <c r="Q85" s="1637">
        <f t="shared" si="14"/>
        <v>0</v>
      </c>
      <c r="R85" s="1637">
        <f t="shared" si="14"/>
        <v>0</v>
      </c>
      <c r="S85" s="1638">
        <f t="shared" si="14"/>
        <v>0</v>
      </c>
      <c r="T85" s="1521"/>
      <c r="U85" s="1638">
        <f>SUM(E85:T85)</f>
        <v>0</v>
      </c>
      <c r="W85" s="1555">
        <v>0</v>
      </c>
      <c r="X85" s="101">
        <f t="shared" si="9"/>
        <v>0</v>
      </c>
      <c r="AD85" s="1421">
        <v>0</v>
      </c>
      <c r="AE85" s="1892">
        <f t="shared" si="10"/>
        <v>0</v>
      </c>
    </row>
    <row r="86" spans="1:60" ht="6.9" customHeight="1" x14ac:dyDescent="0.35">
      <c r="B86" s="775"/>
      <c r="C86" s="769"/>
      <c r="D86" s="779"/>
      <c r="E86" s="1628"/>
      <c r="F86" s="780"/>
      <c r="G86" s="791"/>
      <c r="H86" s="791"/>
      <c r="I86" s="791"/>
      <c r="J86" s="791"/>
      <c r="K86" s="1820"/>
      <c r="L86" s="1820"/>
      <c r="M86" s="1820"/>
      <c r="N86" s="1820"/>
      <c r="O86" s="1821"/>
      <c r="P86" s="1622"/>
      <c r="Q86" s="1798"/>
      <c r="R86" s="1798"/>
      <c r="S86" s="1640"/>
      <c r="T86" s="1521"/>
      <c r="U86" s="1640"/>
      <c r="W86" s="1554"/>
      <c r="X86" s="101">
        <f t="shared" si="9"/>
        <v>0</v>
      </c>
      <c r="AE86" s="1892">
        <f t="shared" si="10"/>
        <v>0</v>
      </c>
    </row>
    <row r="87" spans="1:60" x14ac:dyDescent="0.35">
      <c r="B87" s="777" t="s">
        <v>256</v>
      </c>
      <c r="C87" s="778" t="s">
        <v>1180</v>
      </c>
      <c r="D87" s="779"/>
      <c r="E87" s="1611">
        <v>3746.8</v>
      </c>
      <c r="F87" s="780"/>
      <c r="G87" s="781"/>
      <c r="H87" s="781"/>
      <c r="I87" s="781"/>
      <c r="J87" s="781"/>
      <c r="K87" s="1814"/>
      <c r="L87" s="1814"/>
      <c r="M87" s="1814"/>
      <c r="N87" s="1814"/>
      <c r="O87" s="1827">
        <f t="shared" ref="O87:O112" si="15">U87-SUM(P87:S87)-SUM(E87:N87)</f>
        <v>-2089.0308000000005</v>
      </c>
      <c r="P87" s="1615"/>
      <c r="Q87" s="1794"/>
      <c r="R87" s="1794"/>
      <c r="S87" s="1794"/>
      <c r="T87" s="1521"/>
      <c r="U87" s="1593">
        <f>+'Passage Actif BC '!BH115</f>
        <v>1657.7692</v>
      </c>
      <c r="W87" s="1554">
        <v>3757.2988319999999</v>
      </c>
      <c r="X87" s="101">
        <f t="shared" si="9"/>
        <v>2099.5296319999998</v>
      </c>
      <c r="AD87" s="1421">
        <v>1657.7692</v>
      </c>
      <c r="AE87" s="1892">
        <f t="shared" si="10"/>
        <v>0</v>
      </c>
    </row>
    <row r="88" spans="1:60" x14ac:dyDescent="0.35">
      <c r="B88" s="777" t="s">
        <v>1181</v>
      </c>
      <c r="C88" s="778" t="s">
        <v>1182</v>
      </c>
      <c r="D88" s="779"/>
      <c r="E88" s="1611">
        <v>0</v>
      </c>
      <c r="F88" s="780"/>
      <c r="G88" s="781"/>
      <c r="H88" s="781"/>
      <c r="I88" s="781"/>
      <c r="J88" s="781"/>
      <c r="K88" s="1814"/>
      <c r="L88" s="1786"/>
      <c r="M88" s="1814"/>
      <c r="N88" s="1786"/>
      <c r="O88" s="1827">
        <f>U88-SUM(P88:S88)-SUM(E88:N88)</f>
        <v>0</v>
      </c>
      <c r="P88" s="1615"/>
      <c r="Q88" s="1794"/>
      <c r="R88" s="1794"/>
      <c r="S88" s="1794"/>
      <c r="T88" s="1521"/>
      <c r="U88" s="1593">
        <f>+'Passage Actif BC '!BH116</f>
        <v>0</v>
      </c>
      <c r="W88" s="1554">
        <v>0</v>
      </c>
      <c r="X88" s="101">
        <f t="shared" si="9"/>
        <v>0</v>
      </c>
      <c r="AD88" s="1421">
        <v>0</v>
      </c>
      <c r="AE88" s="1892">
        <f t="shared" si="10"/>
        <v>0</v>
      </c>
    </row>
    <row r="89" spans="1:60" x14ac:dyDescent="0.35">
      <c r="B89" s="777" t="s">
        <v>258</v>
      </c>
      <c r="C89" s="778" t="s">
        <v>1183</v>
      </c>
      <c r="D89" s="779"/>
      <c r="E89" s="1611">
        <v>27031.3</v>
      </c>
      <c r="F89" s="780"/>
      <c r="G89" s="781"/>
      <c r="H89" s="781"/>
      <c r="I89" s="781"/>
      <c r="J89" s="781"/>
      <c r="K89" s="1814"/>
      <c r="L89" s="1814"/>
      <c r="M89" s="1814"/>
      <c r="N89" s="1814"/>
      <c r="O89" s="1827">
        <f t="shared" si="15"/>
        <v>-2136.8057990000016</v>
      </c>
      <c r="P89" s="1615"/>
      <c r="Q89" s="1794"/>
      <c r="R89" s="1796"/>
      <c r="S89" s="1794"/>
      <c r="T89" s="1521"/>
      <c r="U89" s="1677">
        <f>+'Passage Actif BC '!BH117</f>
        <v>24894.494200999998</v>
      </c>
      <c r="W89" s="1554">
        <v>24747.552921999999</v>
      </c>
      <c r="X89" s="101">
        <f t="shared" si="9"/>
        <v>-146.94127899999876</v>
      </c>
      <c r="AD89" s="1421">
        <v>24894.494200999998</v>
      </c>
      <c r="AE89" s="1892">
        <f t="shared" si="10"/>
        <v>0</v>
      </c>
    </row>
    <row r="90" spans="1:60" x14ac:dyDescent="0.35">
      <c r="B90" s="777" t="s">
        <v>1184</v>
      </c>
      <c r="C90" s="778" t="s">
        <v>1185</v>
      </c>
      <c r="D90" s="779"/>
      <c r="E90" s="1611">
        <v>-4914.7</v>
      </c>
      <c r="F90" s="780"/>
      <c r="G90" s="781"/>
      <c r="H90" s="781"/>
      <c r="I90" s="781"/>
      <c r="J90" s="781"/>
      <c r="K90" s="1814"/>
      <c r="L90" s="1818">
        <v>-318.60804800000005</v>
      </c>
      <c r="M90" s="1814"/>
      <c r="N90" s="1818">
        <v>1035.8</v>
      </c>
      <c r="O90" s="1829">
        <f>U90-SUM(P90:S90)-SUM(E90:N90)</f>
        <v>0</v>
      </c>
      <c r="P90" s="1615"/>
      <c r="Q90" s="1794"/>
      <c r="R90" s="1794"/>
      <c r="S90" s="1794"/>
      <c r="T90" s="1521"/>
      <c r="U90" s="1593">
        <f>+'Passage Actif BC '!BH118</f>
        <v>-4197.5080479999997</v>
      </c>
      <c r="W90" s="1554">
        <v>-4079.8275669999998</v>
      </c>
      <c r="X90" s="101">
        <f t="shared" si="9"/>
        <v>117.68048099999987</v>
      </c>
      <c r="AD90" s="1421">
        <v>-4197.5080479999997</v>
      </c>
      <c r="AE90" s="1892">
        <f t="shared" si="10"/>
        <v>0</v>
      </c>
    </row>
    <row r="91" spans="1:60" x14ac:dyDescent="0.35">
      <c r="B91" s="777" t="s">
        <v>291</v>
      </c>
      <c r="C91" s="778" t="s">
        <v>1186</v>
      </c>
      <c r="D91" s="779"/>
      <c r="E91" s="1611">
        <v>342.8</v>
      </c>
      <c r="F91" s="780"/>
      <c r="G91" s="781"/>
      <c r="H91" s="781"/>
      <c r="I91" s="781"/>
      <c r="J91" s="781"/>
      <c r="K91" s="1814"/>
      <c r="L91" s="1814"/>
      <c r="M91" s="1814"/>
      <c r="N91" s="1814"/>
      <c r="O91" s="1827">
        <f t="shared" si="15"/>
        <v>-187.60272800000001</v>
      </c>
      <c r="P91" s="1615"/>
      <c r="Q91" s="1794"/>
      <c r="R91" s="1794"/>
      <c r="S91" s="1794"/>
      <c r="T91" s="1521"/>
      <c r="U91" s="1593">
        <f>+'Passage Actif BC '!BH119</f>
        <v>155.197272</v>
      </c>
      <c r="W91" s="1554">
        <v>294.23193700000002</v>
      </c>
      <c r="X91" s="101">
        <f t="shared" si="9"/>
        <v>139.03466500000002</v>
      </c>
      <c r="AD91" s="1421">
        <v>155.197272</v>
      </c>
      <c r="AE91" s="1892">
        <f t="shared" si="10"/>
        <v>0</v>
      </c>
    </row>
    <row r="92" spans="1:60" x14ac:dyDescent="0.35">
      <c r="B92" s="777" t="s">
        <v>1187</v>
      </c>
      <c r="C92" s="778" t="s">
        <v>1188</v>
      </c>
      <c r="D92" s="779"/>
      <c r="E92" s="1611">
        <v>0</v>
      </c>
      <c r="F92" s="780"/>
      <c r="G92" s="781"/>
      <c r="H92" s="781"/>
      <c r="I92" s="781"/>
      <c r="J92" s="781"/>
      <c r="K92" s="1814"/>
      <c r="L92" s="1786"/>
      <c r="M92" s="1814"/>
      <c r="N92" s="1786"/>
      <c r="O92" s="1827">
        <f t="shared" si="15"/>
        <v>0</v>
      </c>
      <c r="P92" s="1615"/>
      <c r="Q92" s="1794"/>
      <c r="R92" s="1794"/>
      <c r="S92" s="1794"/>
      <c r="T92" s="1521"/>
      <c r="U92" s="1593">
        <f>+'Passage Actif BC '!BH120</f>
        <v>0</v>
      </c>
      <c r="W92" s="1554">
        <v>0</v>
      </c>
      <c r="X92" s="101">
        <f t="shared" si="9"/>
        <v>0</v>
      </c>
      <c r="AD92" s="1421">
        <v>0</v>
      </c>
      <c r="AE92" s="1892">
        <f t="shared" si="10"/>
        <v>0</v>
      </c>
    </row>
    <row r="93" spans="1:60" x14ac:dyDescent="0.35">
      <c r="B93" s="777" t="s">
        <v>161</v>
      </c>
      <c r="C93" s="778" t="s">
        <v>1860</v>
      </c>
      <c r="D93" s="779"/>
      <c r="E93" s="1611">
        <v>495.4</v>
      </c>
      <c r="F93" s="780"/>
      <c r="G93" s="781"/>
      <c r="H93" s="781"/>
      <c r="I93" s="781"/>
      <c r="J93" s="781"/>
      <c r="K93" s="1814"/>
      <c r="L93" s="1814"/>
      <c r="M93" s="1814"/>
      <c r="N93" s="1814"/>
      <c r="O93" s="1827">
        <f t="shared" si="15"/>
        <v>37.777863000000025</v>
      </c>
      <c r="P93" s="1615"/>
      <c r="Q93" s="1794"/>
      <c r="R93" s="1794"/>
      <c r="S93" s="1794"/>
      <c r="T93" s="1521"/>
      <c r="U93" s="1593">
        <f>+'Passage Actif BC '!BH121</f>
        <v>533.177863</v>
      </c>
      <c r="W93" s="1554">
        <v>501.867863</v>
      </c>
      <c r="X93" s="101">
        <f t="shared" si="9"/>
        <v>-31.310000000000002</v>
      </c>
      <c r="AD93" s="1421">
        <v>533.177863</v>
      </c>
      <c r="AE93" s="1892">
        <f t="shared" si="10"/>
        <v>0</v>
      </c>
    </row>
    <row r="94" spans="1:60" x14ac:dyDescent="0.35">
      <c r="B94" s="777" t="s">
        <v>1190</v>
      </c>
      <c r="C94" s="778" t="s">
        <v>1861</v>
      </c>
      <c r="D94" s="779"/>
      <c r="E94" s="1611">
        <v>0</v>
      </c>
      <c r="F94" s="780"/>
      <c r="G94" s="781"/>
      <c r="H94" s="781"/>
      <c r="I94" s="781"/>
      <c r="J94" s="781"/>
      <c r="K94" s="1814"/>
      <c r="L94" s="1786"/>
      <c r="M94" s="1814"/>
      <c r="N94" s="1786"/>
      <c r="O94" s="1827">
        <f t="shared" si="15"/>
        <v>0</v>
      </c>
      <c r="P94" s="1615"/>
      <c r="Q94" s="1794"/>
      <c r="R94" s="1794"/>
      <c r="S94" s="1794"/>
      <c r="T94" s="1521"/>
      <c r="U94" s="1593">
        <f>+'Passage Actif BC '!BH122</f>
        <v>0</v>
      </c>
      <c r="W94" s="1554">
        <v>0</v>
      </c>
      <c r="X94" s="101">
        <f t="shared" si="9"/>
        <v>0</v>
      </c>
      <c r="AD94" s="1421">
        <v>0</v>
      </c>
      <c r="AE94" s="1892">
        <f t="shared" si="10"/>
        <v>0</v>
      </c>
    </row>
    <row r="95" spans="1:60" s="1870" customFormat="1" x14ac:dyDescent="0.35">
      <c r="A95" s="1863"/>
      <c r="B95" s="1864" t="s">
        <v>313</v>
      </c>
      <c r="C95" s="1865" t="s">
        <v>1862</v>
      </c>
      <c r="D95" s="1866"/>
      <c r="E95" s="1867">
        <v>2196.6999999999998</v>
      </c>
      <c r="F95" s="1868"/>
      <c r="G95" s="1420"/>
      <c r="H95" s="1420"/>
      <c r="I95" s="1420"/>
      <c r="J95" s="1420"/>
      <c r="K95" s="1814"/>
      <c r="L95" s="1814"/>
      <c r="M95" s="1814"/>
      <c r="N95" s="1814"/>
      <c r="O95" s="1827">
        <f t="shared" si="15"/>
        <v>1488.5467040000003</v>
      </c>
      <c r="P95" s="1786"/>
      <c r="Q95" s="1814"/>
      <c r="R95" s="1814"/>
      <c r="S95" s="1814"/>
      <c r="T95" s="1866"/>
      <c r="U95" s="1867">
        <f>+'Passage Actif BC '!BH123</f>
        <v>3685.2467040000001</v>
      </c>
      <c r="V95" s="1421"/>
      <c r="W95" s="1869">
        <v>3091.0319949999998</v>
      </c>
      <c r="X95" s="1421">
        <f t="shared" si="9"/>
        <v>-594.21470900000031</v>
      </c>
      <c r="Y95" s="1421"/>
      <c r="Z95" s="1421"/>
      <c r="AA95" s="1421"/>
      <c r="AB95" s="1421"/>
      <c r="AC95" s="1421"/>
      <c r="AD95" s="1421">
        <v>3577.8406679999998</v>
      </c>
      <c r="AE95" s="1892">
        <f t="shared" si="10"/>
        <v>107.40603600000031</v>
      </c>
      <c r="AF95" s="1841">
        <v>107.406036</v>
      </c>
      <c r="AG95" s="1421"/>
      <c r="AH95" s="1421"/>
      <c r="AI95" s="1421"/>
      <c r="AJ95" s="1421"/>
      <c r="AK95" s="1421"/>
      <c r="AL95" s="1421"/>
      <c r="AM95" s="1421"/>
      <c r="AN95" s="1421"/>
      <c r="AO95" s="1421"/>
      <c r="AP95" s="1421"/>
      <c r="AQ95" s="1421"/>
      <c r="AR95" s="1421"/>
      <c r="AS95" s="1421"/>
      <c r="AT95" s="1421"/>
      <c r="AU95" s="1421"/>
      <c r="AV95" s="1421"/>
      <c r="AW95" s="1421"/>
      <c r="AX95" s="1421"/>
      <c r="AY95" s="1421"/>
      <c r="AZ95" s="1421"/>
      <c r="BA95" s="1421"/>
      <c r="BB95" s="1421"/>
      <c r="BC95" s="1421"/>
      <c r="BD95" s="1421"/>
      <c r="BE95" s="1421"/>
      <c r="BF95" s="1421"/>
      <c r="BG95" s="1421"/>
      <c r="BH95" s="1421"/>
    </row>
    <row r="96" spans="1:60" x14ac:dyDescent="0.35">
      <c r="B96" s="777" t="s">
        <v>1193</v>
      </c>
      <c r="C96" s="778" t="s">
        <v>1863</v>
      </c>
      <c r="D96" s="779"/>
      <c r="E96" s="1611">
        <v>2705</v>
      </c>
      <c r="F96" s="780"/>
      <c r="G96" s="781"/>
      <c r="H96" s="781"/>
      <c r="I96" s="781"/>
      <c r="J96" s="781"/>
      <c r="K96" s="1814"/>
      <c r="L96" s="1814"/>
      <c r="M96" s="1814"/>
      <c r="N96" s="1814"/>
      <c r="O96" s="1827">
        <f t="shared" si="15"/>
        <v>3.0120769999998629</v>
      </c>
      <c r="P96" s="1615"/>
      <c r="Q96" s="1794"/>
      <c r="R96" s="1794"/>
      <c r="S96" s="1794"/>
      <c r="T96" s="1521"/>
      <c r="U96" s="1677">
        <f>+'Passage Actif BC '!BH124</f>
        <v>2708.0120769999999</v>
      </c>
      <c r="W96" s="1554">
        <v>2929.6876940000002</v>
      </c>
      <c r="X96" s="101">
        <f t="shared" si="9"/>
        <v>221.67561700000033</v>
      </c>
      <c r="AD96" s="1421">
        <v>2708.0120769999999</v>
      </c>
      <c r="AE96" s="1892">
        <f t="shared" si="10"/>
        <v>0</v>
      </c>
    </row>
    <row r="97" spans="2:32" x14ac:dyDescent="0.35">
      <c r="B97" s="777" t="s">
        <v>1195</v>
      </c>
      <c r="C97" s="778" t="s">
        <v>1864</v>
      </c>
      <c r="D97" s="779"/>
      <c r="E97" s="1611">
        <v>0</v>
      </c>
      <c r="F97" s="780"/>
      <c r="G97" s="781"/>
      <c r="H97" s="781"/>
      <c r="I97" s="781"/>
      <c r="J97" s="781"/>
      <c r="K97" s="1814"/>
      <c r="L97" s="1830"/>
      <c r="M97" s="1814"/>
      <c r="N97" s="1786"/>
      <c r="O97" s="1827">
        <f t="shared" si="15"/>
        <v>0</v>
      </c>
      <c r="P97" s="1615"/>
      <c r="Q97" s="1794"/>
      <c r="R97" s="1794"/>
      <c r="S97" s="1794"/>
      <c r="T97" s="1521"/>
      <c r="U97" s="1593">
        <f>+'Passage Actif BC '!BH125</f>
        <v>0</v>
      </c>
      <c r="W97" s="1554">
        <v>0</v>
      </c>
      <c r="X97" s="101">
        <f t="shared" si="9"/>
        <v>0</v>
      </c>
      <c r="AD97" s="1421">
        <v>0</v>
      </c>
      <c r="AE97" s="1892">
        <f t="shared" si="10"/>
        <v>0</v>
      </c>
    </row>
    <row r="98" spans="2:32" x14ac:dyDescent="0.35">
      <c r="B98" s="777" t="s">
        <v>1197</v>
      </c>
      <c r="C98" s="778" t="s">
        <v>1865</v>
      </c>
      <c r="D98" s="779"/>
      <c r="E98" s="1611">
        <v>0</v>
      </c>
      <c r="F98" s="780"/>
      <c r="G98" s="781"/>
      <c r="H98" s="781"/>
      <c r="I98" s="781"/>
      <c r="J98" s="803"/>
      <c r="K98" s="1814"/>
      <c r="L98" s="1814"/>
      <c r="M98" s="1814"/>
      <c r="N98" s="1814"/>
      <c r="O98" s="1827">
        <f t="shared" si="15"/>
        <v>0</v>
      </c>
      <c r="P98" s="1615"/>
      <c r="Q98" s="1794"/>
      <c r="R98" s="1794"/>
      <c r="S98" s="1794"/>
      <c r="T98" s="1521"/>
      <c r="U98" s="1593">
        <f>+'Passage Actif BC '!BH126</f>
        <v>0</v>
      </c>
      <c r="W98" s="1554">
        <v>0</v>
      </c>
      <c r="X98" s="101">
        <f t="shared" si="9"/>
        <v>0</v>
      </c>
      <c r="AD98" s="1421">
        <v>0</v>
      </c>
      <c r="AE98" s="1892">
        <f t="shared" si="10"/>
        <v>0</v>
      </c>
    </row>
    <row r="99" spans="2:32" x14ac:dyDescent="0.35">
      <c r="B99" s="777" t="s">
        <v>1199</v>
      </c>
      <c r="C99" s="778" t="s">
        <v>1866</v>
      </c>
      <c r="D99" s="779"/>
      <c r="E99" s="1611">
        <v>0</v>
      </c>
      <c r="F99" s="780"/>
      <c r="G99" s="781"/>
      <c r="H99" s="781"/>
      <c r="I99" s="781"/>
      <c r="J99" s="803"/>
      <c r="K99" s="1814"/>
      <c r="L99" s="1814"/>
      <c r="M99" s="1814"/>
      <c r="N99" s="1814"/>
      <c r="O99" s="1827">
        <f t="shared" si="15"/>
        <v>0</v>
      </c>
      <c r="P99" s="1615"/>
      <c r="Q99" s="1794"/>
      <c r="R99" s="1794"/>
      <c r="S99" s="1794"/>
      <c r="T99" s="1521"/>
      <c r="U99" s="1593">
        <f>+'Passage Actif BC '!BH127</f>
        <v>0</v>
      </c>
      <c r="W99" s="1554">
        <v>0</v>
      </c>
      <c r="X99" s="101">
        <f t="shared" si="9"/>
        <v>0</v>
      </c>
      <c r="AD99" s="1421">
        <v>0</v>
      </c>
      <c r="AE99" s="1892">
        <f t="shared" si="10"/>
        <v>0</v>
      </c>
    </row>
    <row r="100" spans="2:32" x14ac:dyDescent="0.35">
      <c r="B100" s="777" t="s">
        <v>1201</v>
      </c>
      <c r="C100" s="778" t="s">
        <v>1867</v>
      </c>
      <c r="D100" s="779"/>
      <c r="E100" s="1611">
        <v>0</v>
      </c>
      <c r="F100" s="780"/>
      <c r="G100" s="781"/>
      <c r="H100" s="781"/>
      <c r="I100" s="781"/>
      <c r="J100" s="781"/>
      <c r="K100" s="1814"/>
      <c r="L100" s="1786"/>
      <c r="M100" s="1814"/>
      <c r="N100" s="1786"/>
      <c r="O100" s="1827">
        <f t="shared" si="15"/>
        <v>0</v>
      </c>
      <c r="P100" s="1615"/>
      <c r="Q100" s="1794"/>
      <c r="R100" s="1794"/>
      <c r="S100" s="1794"/>
      <c r="T100" s="1521"/>
      <c r="U100" s="1593">
        <f>+'Passage Actif BC '!BH128</f>
        <v>0</v>
      </c>
      <c r="W100" s="1554">
        <v>0</v>
      </c>
      <c r="X100" s="101">
        <f t="shared" si="9"/>
        <v>0</v>
      </c>
      <c r="AD100" s="1421">
        <v>0</v>
      </c>
      <c r="AE100" s="1892">
        <f t="shared" si="10"/>
        <v>0</v>
      </c>
    </row>
    <row r="101" spans="2:32" x14ac:dyDescent="0.35">
      <c r="B101" s="777" t="s">
        <v>1203</v>
      </c>
      <c r="C101" s="778" t="s">
        <v>1868</v>
      </c>
      <c r="D101" s="779"/>
      <c r="E101" s="1611">
        <v>0</v>
      </c>
      <c r="F101" s="780"/>
      <c r="G101" s="781"/>
      <c r="H101" s="781"/>
      <c r="I101" s="781"/>
      <c r="J101" s="781"/>
      <c r="K101" s="1814"/>
      <c r="L101" s="1786"/>
      <c r="M101" s="1814"/>
      <c r="N101" s="1786"/>
      <c r="O101" s="1827">
        <f t="shared" si="15"/>
        <v>0</v>
      </c>
      <c r="P101" s="1615"/>
      <c r="Q101" s="1794"/>
      <c r="R101" s="1794"/>
      <c r="S101" s="1794"/>
      <c r="T101" s="1521"/>
      <c r="U101" s="1593">
        <f>+'Passage Actif BC '!BH129</f>
        <v>0</v>
      </c>
      <c r="W101" s="1554">
        <v>0</v>
      </c>
      <c r="X101" s="101">
        <f t="shared" si="9"/>
        <v>0</v>
      </c>
      <c r="AD101" s="1421">
        <v>0</v>
      </c>
      <c r="AE101" s="1892">
        <f t="shared" si="10"/>
        <v>0</v>
      </c>
    </row>
    <row r="102" spans="2:32" x14ac:dyDescent="0.35">
      <c r="B102" s="777" t="s">
        <v>1205</v>
      </c>
      <c r="C102" s="778" t="s">
        <v>1869</v>
      </c>
      <c r="D102" s="779"/>
      <c r="E102" s="1611">
        <v>0</v>
      </c>
      <c r="F102" s="780"/>
      <c r="G102" s="781"/>
      <c r="H102" s="781"/>
      <c r="I102" s="781"/>
      <c r="J102" s="781"/>
      <c r="K102" s="1814"/>
      <c r="L102" s="1814"/>
      <c r="M102" s="1814"/>
      <c r="N102" s="1814"/>
      <c r="O102" s="1827">
        <f t="shared" si="15"/>
        <v>0</v>
      </c>
      <c r="P102" s="1615"/>
      <c r="Q102" s="1794"/>
      <c r="R102" s="1794"/>
      <c r="S102" s="1794"/>
      <c r="T102" s="1521"/>
      <c r="U102" s="1593">
        <f>+'Passage Actif BC '!BH130</f>
        <v>0</v>
      </c>
      <c r="W102" s="1554">
        <v>0</v>
      </c>
      <c r="X102" s="101">
        <f t="shared" si="9"/>
        <v>0</v>
      </c>
      <c r="AD102" s="1421">
        <v>0</v>
      </c>
      <c r="AE102" s="1892">
        <f t="shared" si="10"/>
        <v>0</v>
      </c>
    </row>
    <row r="103" spans="2:32" x14ac:dyDescent="0.35">
      <c r="B103" s="777" t="s">
        <v>1207</v>
      </c>
      <c r="C103" s="778" t="s">
        <v>1870</v>
      </c>
      <c r="D103" s="779"/>
      <c r="E103" s="1611">
        <v>0</v>
      </c>
      <c r="F103" s="780"/>
      <c r="G103" s="781"/>
      <c r="H103" s="781"/>
      <c r="I103" s="781"/>
      <c r="J103" s="781"/>
      <c r="K103" s="1814"/>
      <c r="L103" s="1786"/>
      <c r="M103" s="1814"/>
      <c r="N103" s="1786"/>
      <c r="O103" s="1827">
        <f t="shared" si="15"/>
        <v>0</v>
      </c>
      <c r="P103" s="1615"/>
      <c r="Q103" s="1794"/>
      <c r="R103" s="1794"/>
      <c r="S103" s="1794"/>
      <c r="T103" s="1521"/>
      <c r="U103" s="1593">
        <f>+'Passage Actif BC '!BH131</f>
        <v>0</v>
      </c>
      <c r="W103" s="1554">
        <v>0</v>
      </c>
      <c r="X103" s="101">
        <f t="shared" si="9"/>
        <v>0</v>
      </c>
      <c r="AD103" s="1421">
        <v>0</v>
      </c>
      <c r="AE103" s="1892">
        <f t="shared" si="10"/>
        <v>0</v>
      </c>
    </row>
    <row r="104" spans="2:32" x14ac:dyDescent="0.35">
      <c r="B104" s="777" t="s">
        <v>1209</v>
      </c>
      <c r="C104" s="778" t="s">
        <v>1871</v>
      </c>
      <c r="D104" s="779"/>
      <c r="E104" s="1611">
        <v>0</v>
      </c>
      <c r="F104" s="780"/>
      <c r="G104" s="781"/>
      <c r="H104" s="781"/>
      <c r="I104" s="781"/>
      <c r="J104" s="781"/>
      <c r="K104" s="1814"/>
      <c r="L104" s="1814"/>
      <c r="M104" s="1814"/>
      <c r="N104" s="1814"/>
      <c r="O104" s="1827">
        <f t="shared" si="15"/>
        <v>0</v>
      </c>
      <c r="P104" s="1615"/>
      <c r="Q104" s="1794"/>
      <c r="R104" s="1794"/>
      <c r="S104" s="1794"/>
      <c r="T104" s="1521"/>
      <c r="U104" s="1593">
        <f>+'Passage Actif BC '!BH132</f>
        <v>0</v>
      </c>
      <c r="W104" s="1554">
        <v>0</v>
      </c>
      <c r="X104" s="101">
        <f t="shared" si="9"/>
        <v>0</v>
      </c>
      <c r="AD104" s="1421">
        <v>0</v>
      </c>
      <c r="AE104" s="1892">
        <f t="shared" si="10"/>
        <v>0</v>
      </c>
    </row>
    <row r="105" spans="2:32" x14ac:dyDescent="0.35">
      <c r="B105" s="777" t="s">
        <v>1211</v>
      </c>
      <c r="C105" s="778" t="s">
        <v>1872</v>
      </c>
      <c r="D105" s="779"/>
      <c r="E105" s="1611">
        <v>0</v>
      </c>
      <c r="F105" s="780"/>
      <c r="G105" s="781"/>
      <c r="H105" s="781"/>
      <c r="I105" s="781"/>
      <c r="J105" s="781"/>
      <c r="K105" s="1814"/>
      <c r="L105" s="1786"/>
      <c r="M105" s="1814"/>
      <c r="N105" s="1786"/>
      <c r="O105" s="1827">
        <f t="shared" si="15"/>
        <v>0</v>
      </c>
      <c r="P105" s="1615"/>
      <c r="Q105" s="1794"/>
      <c r="R105" s="1794"/>
      <c r="S105" s="1794"/>
      <c r="T105" s="1521"/>
      <c r="U105" s="1593">
        <f>+'Passage Actif BC '!BH133</f>
        <v>0</v>
      </c>
      <c r="W105" s="1554">
        <v>0</v>
      </c>
      <c r="X105" s="101">
        <f t="shared" si="9"/>
        <v>0</v>
      </c>
      <c r="AD105" s="1421">
        <v>0</v>
      </c>
      <c r="AE105" s="1892">
        <f t="shared" si="10"/>
        <v>0</v>
      </c>
    </row>
    <row r="106" spans="2:32" x14ac:dyDescent="0.35">
      <c r="B106" s="777" t="s">
        <v>1213</v>
      </c>
      <c r="C106" s="778" t="s">
        <v>1214</v>
      </c>
      <c r="D106" s="779"/>
      <c r="E106" s="1611">
        <v>0</v>
      </c>
      <c r="F106" s="780"/>
      <c r="G106" s="781"/>
      <c r="H106" s="781"/>
      <c r="I106" s="781"/>
      <c r="J106" s="781"/>
      <c r="K106" s="1814"/>
      <c r="L106" s="1814"/>
      <c r="M106" s="1814"/>
      <c r="N106" s="1814"/>
      <c r="O106" s="1827">
        <f t="shared" si="15"/>
        <v>0</v>
      </c>
      <c r="P106" s="1615"/>
      <c r="Q106" s="1794"/>
      <c r="R106" s="1794"/>
      <c r="S106" s="1794"/>
      <c r="T106" s="1521"/>
      <c r="U106" s="1593">
        <f>+'Passage Actif BC '!BH134</f>
        <v>0</v>
      </c>
      <c r="W106" s="1554">
        <v>0</v>
      </c>
      <c r="X106" s="101">
        <f t="shared" si="9"/>
        <v>0</v>
      </c>
      <c r="AD106" s="1421">
        <v>0</v>
      </c>
      <c r="AE106" s="1892">
        <f t="shared" si="10"/>
        <v>0</v>
      </c>
    </row>
    <row r="107" spans="2:32" x14ac:dyDescent="0.35">
      <c r="B107" s="777" t="s">
        <v>1215</v>
      </c>
      <c r="C107" s="778" t="s">
        <v>1216</v>
      </c>
      <c r="D107" s="779"/>
      <c r="E107" s="1611">
        <v>0</v>
      </c>
      <c r="F107" s="780"/>
      <c r="G107" s="781"/>
      <c r="H107" s="781"/>
      <c r="I107" s="781"/>
      <c r="J107" s="781"/>
      <c r="K107" s="1814"/>
      <c r="L107" s="1786"/>
      <c r="M107" s="1814"/>
      <c r="N107" s="1786"/>
      <c r="O107" s="1827">
        <f t="shared" si="15"/>
        <v>0</v>
      </c>
      <c r="P107" s="1615"/>
      <c r="Q107" s="1794"/>
      <c r="R107" s="1794"/>
      <c r="S107" s="1794"/>
      <c r="T107" s="1521"/>
      <c r="U107" s="1593">
        <f>+'Passage Actif BC '!BH135</f>
        <v>0</v>
      </c>
      <c r="W107" s="1554">
        <v>0</v>
      </c>
      <c r="X107" s="101">
        <f t="shared" si="9"/>
        <v>0</v>
      </c>
      <c r="AD107" s="1421">
        <v>0</v>
      </c>
      <c r="AE107" s="1892">
        <f t="shared" si="10"/>
        <v>0</v>
      </c>
    </row>
    <row r="108" spans="2:32" x14ac:dyDescent="0.35">
      <c r="B108" s="777" t="s">
        <v>1217</v>
      </c>
      <c r="C108" s="778" t="s">
        <v>1218</v>
      </c>
      <c r="D108" s="779"/>
      <c r="E108" s="1611">
        <v>0</v>
      </c>
      <c r="F108" s="780"/>
      <c r="G108" s="781"/>
      <c r="H108" s="781"/>
      <c r="I108" s="781"/>
      <c r="J108" s="781"/>
      <c r="K108" s="1814"/>
      <c r="L108" s="1814"/>
      <c r="M108" s="1814"/>
      <c r="N108" s="1814"/>
      <c r="O108" s="1827">
        <f t="shared" si="15"/>
        <v>0</v>
      </c>
      <c r="P108" s="1615"/>
      <c r="Q108" s="1794"/>
      <c r="R108" s="1794"/>
      <c r="S108" s="1794"/>
      <c r="T108" s="1521"/>
      <c r="U108" s="1593">
        <f>+'Passage Actif BC '!BH136</f>
        <v>0</v>
      </c>
      <c r="W108" s="1554">
        <v>0</v>
      </c>
      <c r="X108" s="101">
        <f t="shared" si="9"/>
        <v>0</v>
      </c>
      <c r="AD108" s="1421">
        <v>0</v>
      </c>
      <c r="AE108" s="1892">
        <f t="shared" si="10"/>
        <v>0</v>
      </c>
    </row>
    <row r="109" spans="2:32" x14ac:dyDescent="0.35">
      <c r="B109" s="777" t="s">
        <v>1219</v>
      </c>
      <c r="C109" s="778" t="s">
        <v>1220</v>
      </c>
      <c r="D109" s="779"/>
      <c r="E109" s="1611">
        <v>0</v>
      </c>
      <c r="F109" s="780"/>
      <c r="G109" s="781"/>
      <c r="H109" s="781"/>
      <c r="I109" s="781"/>
      <c r="J109" s="781"/>
      <c r="K109" s="1814"/>
      <c r="L109" s="1786"/>
      <c r="M109" s="1814"/>
      <c r="N109" s="1786"/>
      <c r="O109" s="1827">
        <f t="shared" si="15"/>
        <v>0</v>
      </c>
      <c r="P109" s="1615"/>
      <c r="Q109" s="1794"/>
      <c r="R109" s="1794"/>
      <c r="S109" s="1794"/>
      <c r="T109" s="1521"/>
      <c r="U109" s="1593">
        <f>+'Passage Actif BC '!BH137</f>
        <v>0</v>
      </c>
      <c r="W109" s="1554">
        <v>0</v>
      </c>
      <c r="X109" s="101">
        <f t="shared" si="9"/>
        <v>0</v>
      </c>
      <c r="AD109" s="1421">
        <v>0</v>
      </c>
      <c r="AE109" s="1892">
        <f t="shared" si="10"/>
        <v>0</v>
      </c>
    </row>
    <row r="110" spans="2:32" x14ac:dyDescent="0.35">
      <c r="B110" s="777" t="s">
        <v>375</v>
      </c>
      <c r="C110" s="778" t="s">
        <v>1221</v>
      </c>
      <c r="D110" s="779"/>
      <c r="E110" s="1611">
        <v>9829.9</v>
      </c>
      <c r="F110" s="780"/>
      <c r="G110" s="781"/>
      <c r="H110" s="781"/>
      <c r="I110" s="781"/>
      <c r="J110" s="781"/>
      <c r="K110" s="1814"/>
      <c r="L110" s="1814"/>
      <c r="M110" s="1814"/>
      <c r="N110" s="1814"/>
      <c r="O110" s="1827">
        <f t="shared" si="15"/>
        <v>65.803796000000148</v>
      </c>
      <c r="P110" s="1615"/>
      <c r="Q110" s="1794"/>
      <c r="R110" s="1796"/>
      <c r="S110" s="1794"/>
      <c r="T110" s="1521"/>
      <c r="U110" s="1677">
        <f>+'Passage Actif BC '!BH138</f>
        <v>9895.7037959999998</v>
      </c>
      <c r="W110" s="1554">
        <v>12776.399810000001</v>
      </c>
      <c r="X110" s="101">
        <f t="shared" si="9"/>
        <v>2880.696014000001</v>
      </c>
      <c r="AD110" s="1421">
        <v>10256.353505999999</v>
      </c>
      <c r="AE110" s="1892">
        <f t="shared" si="10"/>
        <v>-360.64970999999969</v>
      </c>
      <c r="AF110" s="75">
        <v>-360.64971000000003</v>
      </c>
    </row>
    <row r="111" spans="2:32" x14ac:dyDescent="0.35">
      <c r="B111" s="777" t="s">
        <v>379</v>
      </c>
      <c r="C111" s="778" t="s">
        <v>1873</v>
      </c>
      <c r="D111" s="779"/>
      <c r="E111" s="1611">
        <v>0</v>
      </c>
      <c r="F111" s="780"/>
      <c r="G111" s="781"/>
      <c r="H111" s="781"/>
      <c r="I111" s="781"/>
      <c r="J111" s="781"/>
      <c r="K111" s="1814"/>
      <c r="L111" s="1786"/>
      <c r="M111" s="1814"/>
      <c r="N111" s="1786"/>
      <c r="O111" s="1827">
        <f t="shared" si="15"/>
        <v>0</v>
      </c>
      <c r="P111" s="1615"/>
      <c r="Q111" s="1794"/>
      <c r="R111" s="1794"/>
      <c r="S111" s="1794"/>
      <c r="T111" s="1521"/>
      <c r="U111" s="1593">
        <f>+'Passage Actif BC '!BH139</f>
        <v>0</v>
      </c>
      <c r="W111" s="1554">
        <v>0</v>
      </c>
      <c r="X111" s="101">
        <f t="shared" si="9"/>
        <v>0</v>
      </c>
      <c r="AD111" s="1421">
        <v>0</v>
      </c>
      <c r="AE111" s="1892">
        <f t="shared" si="10"/>
        <v>0</v>
      </c>
    </row>
    <row r="112" spans="2:32" x14ac:dyDescent="0.35">
      <c r="B112" s="777" t="s">
        <v>356</v>
      </c>
      <c r="C112" s="778" t="s">
        <v>1874</v>
      </c>
      <c r="D112" s="779"/>
      <c r="E112" s="1611">
        <v>104.5</v>
      </c>
      <c r="F112" s="780"/>
      <c r="G112" s="781"/>
      <c r="H112" s="781"/>
      <c r="I112" s="781"/>
      <c r="J112" s="781"/>
      <c r="K112" s="1814"/>
      <c r="L112" s="1814"/>
      <c r="M112" s="1814"/>
      <c r="N112" s="1814"/>
      <c r="O112" s="1827">
        <f t="shared" si="15"/>
        <v>-104.5</v>
      </c>
      <c r="P112" s="1615"/>
      <c r="Q112" s="1794"/>
      <c r="R112" s="1794"/>
      <c r="S112" s="1794"/>
      <c r="T112" s="1521"/>
      <c r="U112" s="1593">
        <f>+'Passage Actif BC '!BH140</f>
        <v>0</v>
      </c>
      <c r="W112" s="1554">
        <v>0.22279399999999999</v>
      </c>
      <c r="X112" s="101">
        <f t="shared" si="9"/>
        <v>0.22279399999999999</v>
      </c>
      <c r="AD112" s="1421">
        <v>0</v>
      </c>
      <c r="AE112" s="1892">
        <f t="shared" si="10"/>
        <v>0</v>
      </c>
    </row>
    <row r="113" spans="1:60" ht="24.9" customHeight="1" thickBot="1" x14ac:dyDescent="0.4">
      <c r="B113" s="783" t="s">
        <v>1224</v>
      </c>
      <c r="C113" s="784" t="s">
        <v>1225</v>
      </c>
      <c r="D113" s="779"/>
      <c r="E113" s="1621">
        <f>SUM(E87:E112)</f>
        <v>41537.699999999997</v>
      </c>
      <c r="F113" s="780"/>
      <c r="G113" s="786"/>
      <c r="H113" s="786"/>
      <c r="I113" s="786"/>
      <c r="J113" s="786">
        <f t="shared" ref="J113:S113" si="16">SUM(J87:J112)</f>
        <v>0</v>
      </c>
      <c r="K113" s="1784">
        <f t="shared" si="16"/>
        <v>0</v>
      </c>
      <c r="L113" s="1784">
        <f t="shared" si="16"/>
        <v>-318.60804800000005</v>
      </c>
      <c r="M113" s="1784">
        <f t="shared" si="16"/>
        <v>0</v>
      </c>
      <c r="N113" s="1784">
        <f t="shared" si="16"/>
        <v>1035.8</v>
      </c>
      <c r="O113" s="1785">
        <f>SUM(O87:O112)</f>
        <v>-2922.7988870000013</v>
      </c>
      <c r="P113" s="1616">
        <f t="shared" si="16"/>
        <v>0</v>
      </c>
      <c r="Q113" s="1637">
        <f t="shared" si="16"/>
        <v>0</v>
      </c>
      <c r="R113" s="1637">
        <f t="shared" si="16"/>
        <v>0</v>
      </c>
      <c r="S113" s="1638">
        <f t="shared" si="16"/>
        <v>0</v>
      </c>
      <c r="T113" s="1521"/>
      <c r="U113" s="1638">
        <f>SUM(E113:T113)</f>
        <v>39332.093064999994</v>
      </c>
      <c r="W113" s="1555">
        <v>44018.466280000001</v>
      </c>
      <c r="X113" s="101">
        <f t="shared" si="9"/>
        <v>4686.3732150000069</v>
      </c>
      <c r="AD113" s="1421">
        <v>39585.336738999998</v>
      </c>
      <c r="AE113" s="1892">
        <f t="shared" si="10"/>
        <v>-253.24367400000483</v>
      </c>
    </row>
    <row r="114" spans="1:60" s="481" customFormat="1" ht="6.9" customHeight="1" x14ac:dyDescent="0.35">
      <c r="A114" s="467"/>
      <c r="B114" s="779"/>
      <c r="C114" s="787"/>
      <c r="D114" s="779"/>
      <c r="E114" s="1649"/>
      <c r="F114" s="780"/>
      <c r="G114" s="788"/>
      <c r="H114" s="788"/>
      <c r="I114" s="788"/>
      <c r="J114" s="788"/>
      <c r="K114" s="1816"/>
      <c r="L114" s="1816"/>
      <c r="M114" s="1816"/>
      <c r="N114" s="1816"/>
      <c r="O114" s="1817"/>
      <c r="P114" s="1617"/>
      <c r="Q114" s="1797"/>
      <c r="R114" s="1797"/>
      <c r="S114" s="1658"/>
      <c r="T114" s="1521"/>
      <c r="U114" s="1658"/>
      <c r="V114"/>
      <c r="W114" s="1554"/>
      <c r="X114" s="101">
        <f t="shared" si="9"/>
        <v>0</v>
      </c>
      <c r="Y114"/>
      <c r="Z114"/>
      <c r="AA114"/>
      <c r="AB114"/>
      <c r="AC114"/>
      <c r="AD114" s="1421"/>
      <c r="AE114" s="1892">
        <f t="shared" si="10"/>
        <v>0</v>
      </c>
      <c r="AF114" s="75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1:60" s="481" customFormat="1" x14ac:dyDescent="0.35">
      <c r="A115" s="467"/>
      <c r="B115" s="777" t="s">
        <v>338</v>
      </c>
      <c r="C115" s="778" t="s">
        <v>1226</v>
      </c>
      <c r="D115" s="779"/>
      <c r="E115" s="1611">
        <v>0</v>
      </c>
      <c r="F115" s="780"/>
      <c r="G115" s="781"/>
      <c r="H115" s="781"/>
      <c r="I115" s="781"/>
      <c r="J115" s="781"/>
      <c r="K115" s="1786"/>
      <c r="L115" s="1814"/>
      <c r="M115" s="1786"/>
      <c r="N115" s="1814"/>
      <c r="O115" s="1814"/>
      <c r="P115" s="1615">
        <f t="shared" ref="P115:P129" si="17">U115-SUM(Q115:S115)-SUM(E115:O115)</f>
        <v>0</v>
      </c>
      <c r="Q115" s="1796"/>
      <c r="R115" s="1796"/>
      <c r="S115" s="1794"/>
      <c r="T115" s="1521"/>
      <c r="U115" s="1593">
        <f>+'Passage Actif BC '!BH143</f>
        <v>0</v>
      </c>
      <c r="V115"/>
      <c r="W115" s="1554">
        <v>0</v>
      </c>
      <c r="X115" s="101">
        <f t="shared" si="9"/>
        <v>0</v>
      </c>
      <c r="Y115"/>
      <c r="Z115"/>
      <c r="AA115"/>
      <c r="AB115"/>
      <c r="AC115"/>
      <c r="AD115" s="1421">
        <v>0</v>
      </c>
      <c r="AE115" s="1892">
        <f t="shared" si="10"/>
        <v>0</v>
      </c>
      <c r="AF115" s="7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pans="1:60" s="481" customFormat="1" x14ac:dyDescent="0.35">
      <c r="A116" s="467"/>
      <c r="B116" s="777" t="s">
        <v>1227</v>
      </c>
      <c r="C116" s="778" t="s">
        <v>1228</v>
      </c>
      <c r="D116" s="779"/>
      <c r="E116" s="1611">
        <v>0</v>
      </c>
      <c r="F116" s="780"/>
      <c r="G116" s="781"/>
      <c r="H116" s="781"/>
      <c r="I116" s="781"/>
      <c r="J116" s="781"/>
      <c r="K116" s="1814"/>
      <c r="L116" s="1786"/>
      <c r="M116" s="1814"/>
      <c r="N116" s="1786"/>
      <c r="O116" s="1814"/>
      <c r="P116" s="1615">
        <f t="shared" si="17"/>
        <v>0</v>
      </c>
      <c r="Q116" s="1794"/>
      <c r="R116" s="1794"/>
      <c r="S116" s="1794"/>
      <c r="T116" s="1521"/>
      <c r="U116" s="1593">
        <f>+'Passage Actif BC '!BH144</f>
        <v>0</v>
      </c>
      <c r="V116"/>
      <c r="W116" s="1554">
        <v>0</v>
      </c>
      <c r="X116" s="101">
        <f t="shared" si="9"/>
        <v>0</v>
      </c>
      <c r="Y116"/>
      <c r="Z116"/>
      <c r="AA116"/>
      <c r="AB116"/>
      <c r="AC116"/>
      <c r="AD116" s="1421">
        <v>0</v>
      </c>
      <c r="AE116" s="1892">
        <f t="shared" si="10"/>
        <v>0</v>
      </c>
      <c r="AF116" s="75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pans="1:60" s="481" customFormat="1" x14ac:dyDescent="0.35">
      <c r="A117" s="467"/>
      <c r="B117" s="777" t="s">
        <v>1229</v>
      </c>
      <c r="C117" s="778" t="s">
        <v>1230</v>
      </c>
      <c r="D117" s="779"/>
      <c r="E117" s="1611">
        <v>0</v>
      </c>
      <c r="F117" s="780"/>
      <c r="G117" s="781"/>
      <c r="H117" s="781"/>
      <c r="I117" s="781"/>
      <c r="J117" s="781"/>
      <c r="K117" s="1786"/>
      <c r="L117" s="1814"/>
      <c r="M117" s="1786"/>
      <c r="N117" s="1814"/>
      <c r="O117" s="1814"/>
      <c r="P117" s="1615">
        <f t="shared" si="17"/>
        <v>0</v>
      </c>
      <c r="Q117" s="1796"/>
      <c r="R117" s="1796"/>
      <c r="S117" s="1794"/>
      <c r="T117" s="1521"/>
      <c r="U117" s="1593">
        <f>+'Passage Actif BC '!BH145</f>
        <v>0</v>
      </c>
      <c r="V117"/>
      <c r="W117" s="1554">
        <v>0</v>
      </c>
      <c r="X117" s="101">
        <f t="shared" si="9"/>
        <v>0</v>
      </c>
      <c r="Y117"/>
      <c r="Z117"/>
      <c r="AA117"/>
      <c r="AB117"/>
      <c r="AC117"/>
      <c r="AD117" s="1421">
        <v>0</v>
      </c>
      <c r="AE117" s="1892">
        <f t="shared" si="10"/>
        <v>0</v>
      </c>
      <c r="AF117" s="75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pans="1:60" s="481" customFormat="1" x14ac:dyDescent="0.35">
      <c r="A118" s="467"/>
      <c r="B118" s="777" t="s">
        <v>1231</v>
      </c>
      <c r="C118" s="778" t="s">
        <v>1232</v>
      </c>
      <c r="D118" s="779"/>
      <c r="E118" s="1611">
        <v>0</v>
      </c>
      <c r="F118" s="780"/>
      <c r="G118" s="781"/>
      <c r="H118" s="781"/>
      <c r="I118" s="781"/>
      <c r="J118" s="781"/>
      <c r="K118" s="1814"/>
      <c r="L118" s="1786"/>
      <c r="M118" s="1814"/>
      <c r="N118" s="1786"/>
      <c r="O118" s="1814"/>
      <c r="P118" s="1615">
        <f t="shared" si="17"/>
        <v>0</v>
      </c>
      <c r="Q118" s="1794"/>
      <c r="R118" s="1794"/>
      <c r="S118" s="1794"/>
      <c r="T118" s="1521"/>
      <c r="U118" s="1593">
        <f>+'Passage Actif BC '!BH146</f>
        <v>0</v>
      </c>
      <c r="V118"/>
      <c r="W118" s="1554">
        <v>0</v>
      </c>
      <c r="X118" s="101">
        <f t="shared" si="9"/>
        <v>0</v>
      </c>
      <c r="Y118"/>
      <c r="Z118"/>
      <c r="AA118"/>
      <c r="AB118"/>
      <c r="AC118"/>
      <c r="AD118" s="1421">
        <v>0</v>
      </c>
      <c r="AE118" s="1892">
        <f t="shared" si="10"/>
        <v>0</v>
      </c>
      <c r="AF118" s="75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pans="1:60" s="481" customFormat="1" x14ac:dyDescent="0.35">
      <c r="A119" s="467"/>
      <c r="B119" s="777" t="s">
        <v>1233</v>
      </c>
      <c r="C119" s="778" t="s">
        <v>1234</v>
      </c>
      <c r="D119" s="779"/>
      <c r="E119" s="1611">
        <v>0</v>
      </c>
      <c r="F119" s="780"/>
      <c r="G119" s="781"/>
      <c r="H119" s="781"/>
      <c r="I119" s="781"/>
      <c r="J119" s="781"/>
      <c r="K119" s="1786"/>
      <c r="L119" s="1814"/>
      <c r="M119" s="1786"/>
      <c r="N119" s="1814"/>
      <c r="O119" s="1814"/>
      <c r="P119" s="1615">
        <f t="shared" si="17"/>
        <v>0</v>
      </c>
      <c r="Q119" s="1794"/>
      <c r="R119" s="1796"/>
      <c r="S119" s="1794"/>
      <c r="T119" s="1521"/>
      <c r="U119" s="1593">
        <f>+'Passage Actif BC '!BH147</f>
        <v>0</v>
      </c>
      <c r="V119"/>
      <c r="W119" s="1554">
        <v>0</v>
      </c>
      <c r="X119" s="101">
        <f t="shared" si="9"/>
        <v>0</v>
      </c>
      <c r="Y119"/>
      <c r="Z119"/>
      <c r="AA119"/>
      <c r="AB119"/>
      <c r="AC119"/>
      <c r="AD119" s="1421">
        <v>0</v>
      </c>
      <c r="AE119" s="1892">
        <f t="shared" si="10"/>
        <v>0</v>
      </c>
      <c r="AF119" s="75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pans="1:60" s="481" customFormat="1" x14ac:dyDescent="0.35">
      <c r="A120" s="467"/>
      <c r="B120" s="777" t="s">
        <v>1235</v>
      </c>
      <c r="C120" s="778" t="s">
        <v>1236</v>
      </c>
      <c r="D120" s="779"/>
      <c r="E120" s="1611">
        <v>0</v>
      </c>
      <c r="F120" s="780"/>
      <c r="G120" s="781"/>
      <c r="H120" s="781"/>
      <c r="I120" s="781"/>
      <c r="J120" s="781"/>
      <c r="K120" s="1814"/>
      <c r="L120" s="1786"/>
      <c r="M120" s="1814"/>
      <c r="N120" s="1786"/>
      <c r="O120" s="1814"/>
      <c r="P120" s="1615">
        <f t="shared" si="17"/>
        <v>0</v>
      </c>
      <c r="Q120" s="1794"/>
      <c r="R120" s="1794"/>
      <c r="S120" s="1794"/>
      <c r="T120" s="1521"/>
      <c r="U120" s="1593">
        <f>+'Passage Actif BC '!BH148</f>
        <v>0</v>
      </c>
      <c r="V120"/>
      <c r="W120" s="1554">
        <v>0</v>
      </c>
      <c r="X120" s="101">
        <f t="shared" si="9"/>
        <v>0</v>
      </c>
      <c r="Y120"/>
      <c r="Z120"/>
      <c r="AA120"/>
      <c r="AB120"/>
      <c r="AC120"/>
      <c r="AD120" s="1421">
        <v>0</v>
      </c>
      <c r="AE120" s="1892">
        <f t="shared" si="10"/>
        <v>0</v>
      </c>
      <c r="AF120" s="75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1:60" s="481" customFormat="1" x14ac:dyDescent="0.35">
      <c r="A121" s="467"/>
      <c r="B121" s="777" t="s">
        <v>1237</v>
      </c>
      <c r="C121" s="778" t="s">
        <v>1238</v>
      </c>
      <c r="D121" s="779"/>
      <c r="E121" s="1611">
        <v>0</v>
      </c>
      <c r="F121" s="780"/>
      <c r="G121" s="781"/>
      <c r="H121" s="781"/>
      <c r="I121" s="781"/>
      <c r="J121" s="781"/>
      <c r="K121" s="1786"/>
      <c r="L121" s="1814"/>
      <c r="M121" s="1786"/>
      <c r="N121" s="1814"/>
      <c r="O121" s="1814"/>
      <c r="P121" s="1615">
        <f t="shared" si="17"/>
        <v>0</v>
      </c>
      <c r="Q121" s="1794"/>
      <c r="R121" s="1796"/>
      <c r="S121" s="1794"/>
      <c r="T121" s="1521"/>
      <c r="U121" s="1593">
        <f>+'Passage Actif BC '!BH149</f>
        <v>0</v>
      </c>
      <c r="V121"/>
      <c r="W121" s="1554">
        <v>0</v>
      </c>
      <c r="X121" s="101">
        <f t="shared" si="9"/>
        <v>0</v>
      </c>
      <c r="Y121"/>
      <c r="Z121"/>
      <c r="AA121"/>
      <c r="AB121"/>
      <c r="AC121"/>
      <c r="AD121" s="1421">
        <v>0</v>
      </c>
      <c r="AE121" s="1892">
        <f t="shared" si="10"/>
        <v>0</v>
      </c>
      <c r="AF121" s="75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1:60" s="481" customFormat="1" x14ac:dyDescent="0.35">
      <c r="A122" s="467"/>
      <c r="B122" s="777" t="s">
        <v>1239</v>
      </c>
      <c r="C122" s="778" t="s">
        <v>1240</v>
      </c>
      <c r="D122" s="779"/>
      <c r="E122" s="1611">
        <v>0</v>
      </c>
      <c r="F122" s="780"/>
      <c r="G122" s="781"/>
      <c r="H122" s="781"/>
      <c r="I122" s="781"/>
      <c r="J122" s="781"/>
      <c r="K122" s="1786"/>
      <c r="L122" s="1814"/>
      <c r="M122" s="1786"/>
      <c r="N122" s="1814"/>
      <c r="O122" s="1814"/>
      <c r="P122" s="1615">
        <f t="shared" si="17"/>
        <v>0</v>
      </c>
      <c r="Q122" s="1794"/>
      <c r="R122" s="1796"/>
      <c r="S122" s="1794"/>
      <c r="T122" s="1521"/>
      <c r="U122" s="1593">
        <f>+'Passage Actif BC '!BH150</f>
        <v>0</v>
      </c>
      <c r="V122"/>
      <c r="W122" s="1554">
        <v>0</v>
      </c>
      <c r="X122" s="101">
        <f t="shared" si="9"/>
        <v>0</v>
      </c>
      <c r="Y122"/>
      <c r="Z122"/>
      <c r="AA122"/>
      <c r="AB122"/>
      <c r="AC122"/>
      <c r="AD122" s="1421">
        <v>0</v>
      </c>
      <c r="AE122" s="1892">
        <f t="shared" si="10"/>
        <v>0</v>
      </c>
      <c r="AF122" s="75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1:60" s="481" customFormat="1" x14ac:dyDescent="0.35">
      <c r="A123" s="467"/>
      <c r="B123" s="777" t="s">
        <v>1241</v>
      </c>
      <c r="C123" s="778" t="s">
        <v>1242</v>
      </c>
      <c r="D123" s="779"/>
      <c r="E123" s="1611">
        <v>0</v>
      </c>
      <c r="F123" s="780"/>
      <c r="G123" s="781"/>
      <c r="H123" s="781"/>
      <c r="I123" s="781"/>
      <c r="J123" s="781"/>
      <c r="K123" s="1786"/>
      <c r="L123" s="1814"/>
      <c r="M123" s="1786"/>
      <c r="N123" s="1814"/>
      <c r="O123" s="1814"/>
      <c r="P123" s="1615">
        <f t="shared" si="17"/>
        <v>0</v>
      </c>
      <c r="Q123" s="1794"/>
      <c r="R123" s="1796"/>
      <c r="S123" s="1794"/>
      <c r="T123" s="1521"/>
      <c r="U123" s="1593">
        <f>+'Passage Actif BC '!BH151</f>
        <v>0</v>
      </c>
      <c r="V123"/>
      <c r="W123" s="1554">
        <v>0</v>
      </c>
      <c r="X123" s="101">
        <f t="shared" si="9"/>
        <v>0</v>
      </c>
      <c r="Y123"/>
      <c r="Z123"/>
      <c r="AA123"/>
      <c r="AB123"/>
      <c r="AC123"/>
      <c r="AD123" s="1421">
        <v>0</v>
      </c>
      <c r="AE123" s="1892">
        <f t="shared" si="10"/>
        <v>0</v>
      </c>
      <c r="AF123" s="75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1:60" s="481" customFormat="1" x14ac:dyDescent="0.35">
      <c r="A124" s="467"/>
      <c r="B124" s="777" t="s">
        <v>1243</v>
      </c>
      <c r="C124" s="778" t="s">
        <v>1244</v>
      </c>
      <c r="D124" s="779"/>
      <c r="E124" s="1611">
        <v>0</v>
      </c>
      <c r="F124" s="780"/>
      <c r="G124" s="781"/>
      <c r="H124" s="781"/>
      <c r="I124" s="781"/>
      <c r="J124" s="781"/>
      <c r="K124" s="1786"/>
      <c r="L124" s="1814"/>
      <c r="M124" s="1786"/>
      <c r="N124" s="1814"/>
      <c r="O124" s="1814"/>
      <c r="P124" s="1615">
        <f t="shared" si="17"/>
        <v>0</v>
      </c>
      <c r="Q124" s="1794"/>
      <c r="R124" s="1796"/>
      <c r="S124" s="1794"/>
      <c r="T124" s="1521"/>
      <c r="U124" s="1593">
        <f>+'Passage Actif BC '!BH152</f>
        <v>0</v>
      </c>
      <c r="V124"/>
      <c r="W124" s="1554">
        <v>0</v>
      </c>
      <c r="X124" s="101">
        <f t="shared" si="9"/>
        <v>0</v>
      </c>
      <c r="Y124"/>
      <c r="Z124"/>
      <c r="AA124"/>
      <c r="AB124"/>
      <c r="AC124"/>
      <c r="AD124" s="1421">
        <v>0</v>
      </c>
      <c r="AE124" s="1892">
        <f t="shared" si="10"/>
        <v>0</v>
      </c>
      <c r="AF124" s="75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1:60" s="481" customFormat="1" x14ac:dyDescent="0.35">
      <c r="A125" s="467"/>
      <c r="B125" s="777" t="s">
        <v>1245</v>
      </c>
      <c r="C125" s="778" t="s">
        <v>1246</v>
      </c>
      <c r="D125" s="779"/>
      <c r="E125" s="1611">
        <v>0</v>
      </c>
      <c r="F125" s="780"/>
      <c r="G125" s="781"/>
      <c r="H125" s="781"/>
      <c r="I125" s="781"/>
      <c r="J125" s="781"/>
      <c r="K125" s="1786"/>
      <c r="L125" s="1814"/>
      <c r="M125" s="1786"/>
      <c r="N125" s="1814"/>
      <c r="O125" s="1814"/>
      <c r="P125" s="1615">
        <f t="shared" si="17"/>
        <v>0</v>
      </c>
      <c r="Q125" s="1794"/>
      <c r="R125" s="1796"/>
      <c r="S125" s="1794"/>
      <c r="T125" s="1521"/>
      <c r="U125" s="1593">
        <f>+'Passage Actif BC '!BH153</f>
        <v>0</v>
      </c>
      <c r="V125"/>
      <c r="W125" s="1554">
        <v>0</v>
      </c>
      <c r="X125" s="101">
        <f t="shared" si="9"/>
        <v>0</v>
      </c>
      <c r="Y125"/>
      <c r="Z125"/>
      <c r="AA125"/>
      <c r="AB125"/>
      <c r="AC125"/>
      <c r="AD125" s="1421">
        <v>0</v>
      </c>
      <c r="AE125" s="1892">
        <f t="shared" si="10"/>
        <v>0</v>
      </c>
      <c r="AF125" s="7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1:60" s="481" customFormat="1" x14ac:dyDescent="0.35">
      <c r="A126" s="467"/>
      <c r="B126" s="777" t="s">
        <v>1247</v>
      </c>
      <c r="C126" s="778" t="s">
        <v>1248</v>
      </c>
      <c r="D126" s="779"/>
      <c r="E126" s="1611">
        <v>0</v>
      </c>
      <c r="F126" s="780"/>
      <c r="G126" s="781"/>
      <c r="H126" s="781"/>
      <c r="I126" s="781"/>
      <c r="J126" s="781"/>
      <c r="K126" s="1786"/>
      <c r="L126" s="1814"/>
      <c r="M126" s="1786"/>
      <c r="N126" s="1814"/>
      <c r="O126" s="1814"/>
      <c r="P126" s="1615">
        <f t="shared" si="17"/>
        <v>0</v>
      </c>
      <c r="Q126" s="1794"/>
      <c r="R126" s="1796"/>
      <c r="S126" s="1794"/>
      <c r="T126" s="1521"/>
      <c r="U126" s="1593">
        <f>+'Passage Actif BC '!BH154</f>
        <v>0</v>
      </c>
      <c r="V126"/>
      <c r="W126" s="1554">
        <v>0</v>
      </c>
      <c r="X126" s="101">
        <f t="shared" si="9"/>
        <v>0</v>
      </c>
      <c r="Y126"/>
      <c r="Z126"/>
      <c r="AA126"/>
      <c r="AB126"/>
      <c r="AC126"/>
      <c r="AD126" s="1421">
        <v>0</v>
      </c>
      <c r="AE126" s="1892">
        <f t="shared" si="10"/>
        <v>0</v>
      </c>
      <c r="AF126" s="75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1:60" s="481" customFormat="1" x14ac:dyDescent="0.35">
      <c r="A127" s="467"/>
      <c r="B127" s="777" t="s">
        <v>1249</v>
      </c>
      <c r="C127" s="778" t="s">
        <v>1250</v>
      </c>
      <c r="D127" s="779"/>
      <c r="E127" s="1611">
        <v>0</v>
      </c>
      <c r="F127" s="780"/>
      <c r="G127" s="781"/>
      <c r="H127" s="781"/>
      <c r="I127" s="781"/>
      <c r="J127" s="781"/>
      <c r="K127" s="1814"/>
      <c r="L127" s="1786"/>
      <c r="M127" s="1814"/>
      <c r="N127" s="1786"/>
      <c r="O127" s="1814"/>
      <c r="P127" s="1615">
        <f t="shared" si="17"/>
        <v>0</v>
      </c>
      <c r="Q127" s="1794"/>
      <c r="R127" s="1794"/>
      <c r="S127" s="1794"/>
      <c r="T127" s="1521"/>
      <c r="U127" s="1593">
        <f>+'Passage Actif BC '!BH155</f>
        <v>0</v>
      </c>
      <c r="V127"/>
      <c r="W127" s="1554">
        <v>0</v>
      </c>
      <c r="X127" s="101">
        <f t="shared" si="9"/>
        <v>0</v>
      </c>
      <c r="Y127"/>
      <c r="Z127"/>
      <c r="AA127"/>
      <c r="AB127"/>
      <c r="AC127"/>
      <c r="AD127" s="1421">
        <v>0</v>
      </c>
      <c r="AE127" s="1892">
        <f t="shared" si="10"/>
        <v>0</v>
      </c>
      <c r="AF127" s="75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1:60" s="481" customFormat="1" ht="14.25" hidden="1" customHeight="1" x14ac:dyDescent="0.35">
      <c r="A128" s="467"/>
      <c r="B128" s="777" t="s">
        <v>1875</v>
      </c>
      <c r="C128" s="778" t="s">
        <v>1876</v>
      </c>
      <c r="D128" s="779"/>
      <c r="E128" s="1611">
        <v>0</v>
      </c>
      <c r="F128" s="780"/>
      <c r="G128" s="804"/>
      <c r="H128" s="804"/>
      <c r="I128" s="804"/>
      <c r="J128" s="804"/>
      <c r="K128" s="1787"/>
      <c r="L128" s="1787"/>
      <c r="M128" s="1787"/>
      <c r="N128" s="1787"/>
      <c r="O128" s="1828"/>
      <c r="P128" s="1615">
        <f t="shared" si="17"/>
        <v>0</v>
      </c>
      <c r="Q128" s="1794"/>
      <c r="R128" s="1802"/>
      <c r="S128" s="1794"/>
      <c r="T128" s="1521"/>
      <c r="U128" s="1593">
        <f>+'Passage Actif BC '!BH151</f>
        <v>0</v>
      </c>
      <c r="V128"/>
      <c r="W128" s="1554">
        <v>0</v>
      </c>
      <c r="X128" s="101">
        <f t="shared" si="9"/>
        <v>0</v>
      </c>
      <c r="Y128"/>
      <c r="Z128"/>
      <c r="AA128"/>
      <c r="AB128"/>
      <c r="AC128"/>
      <c r="AD128" s="1421">
        <v>0</v>
      </c>
      <c r="AE128" s="1892">
        <f t="shared" si="10"/>
        <v>0</v>
      </c>
      <c r="AF128" s="75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1:60" s="481" customFormat="1" hidden="1" x14ac:dyDescent="0.35">
      <c r="A129" s="467"/>
      <c r="B129" s="777" t="s">
        <v>1243</v>
      </c>
      <c r="C129" s="778" t="s">
        <v>1877</v>
      </c>
      <c r="D129" s="779"/>
      <c r="E129" s="1611">
        <v>0</v>
      </c>
      <c r="F129" s="780"/>
      <c r="G129" s="804"/>
      <c r="H129" s="804"/>
      <c r="I129" s="804"/>
      <c r="J129" s="804"/>
      <c r="K129" s="1787"/>
      <c r="L129" s="1787"/>
      <c r="M129" s="1787"/>
      <c r="N129" s="1787"/>
      <c r="O129" s="1828"/>
      <c r="P129" s="1615">
        <f t="shared" si="17"/>
        <v>0</v>
      </c>
      <c r="Q129" s="1794"/>
      <c r="R129" s="1802"/>
      <c r="S129" s="1794"/>
      <c r="T129" s="1521"/>
      <c r="U129" s="1593">
        <f>+'Passage Actif BC '!BH152</f>
        <v>0</v>
      </c>
      <c r="V129"/>
      <c r="W129" s="1554">
        <v>0</v>
      </c>
      <c r="X129" s="101">
        <f t="shared" si="9"/>
        <v>0</v>
      </c>
      <c r="Y129"/>
      <c r="Z129"/>
      <c r="AA129"/>
      <c r="AB129"/>
      <c r="AC129"/>
      <c r="AD129" s="1421">
        <v>0</v>
      </c>
      <c r="AE129" s="1892">
        <f t="shared" si="10"/>
        <v>0</v>
      </c>
      <c r="AF129" s="75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1:60" ht="24.9" customHeight="1" thickBot="1" x14ac:dyDescent="0.4">
      <c r="B130" s="783" t="s">
        <v>1251</v>
      </c>
      <c r="C130" s="784" t="s">
        <v>37</v>
      </c>
      <c r="D130" s="779"/>
      <c r="E130" s="1621">
        <f>SUM(E115:E129)</f>
        <v>0</v>
      </c>
      <c r="F130" s="780"/>
      <c r="G130" s="786"/>
      <c r="H130" s="786"/>
      <c r="I130" s="786"/>
      <c r="J130" s="786"/>
      <c r="K130" s="1784">
        <f t="shared" ref="K130:P130" si="18">+SUM(K115:K129)</f>
        <v>0</v>
      </c>
      <c r="L130" s="1784">
        <f t="shared" si="18"/>
        <v>0</v>
      </c>
      <c r="M130" s="1784">
        <f t="shared" si="18"/>
        <v>0</v>
      </c>
      <c r="N130" s="1784">
        <f t="shared" si="18"/>
        <v>0</v>
      </c>
      <c r="O130" s="1785">
        <f t="shared" si="18"/>
        <v>0</v>
      </c>
      <c r="P130" s="1616">
        <f t="shared" si="18"/>
        <v>0</v>
      </c>
      <c r="Q130" s="1637">
        <f>+SUM(Q115:Q129)</f>
        <v>0</v>
      </c>
      <c r="R130" s="1637">
        <f>+SUM(R115:R129)</f>
        <v>0</v>
      </c>
      <c r="S130" s="1638">
        <f>+SUM(S115:S129)</f>
        <v>0</v>
      </c>
      <c r="T130" s="1521"/>
      <c r="U130" s="1638">
        <f>SUM(E130:T130)</f>
        <v>0</v>
      </c>
      <c r="W130" s="1555">
        <v>0</v>
      </c>
      <c r="X130" s="101">
        <f t="shared" si="9"/>
        <v>0</v>
      </c>
      <c r="AD130" s="1421">
        <v>0</v>
      </c>
      <c r="AE130" s="1892">
        <f t="shared" si="10"/>
        <v>0</v>
      </c>
    </row>
    <row r="131" spans="1:60" s="481" customFormat="1" ht="6.9" customHeight="1" x14ac:dyDescent="0.35">
      <c r="A131" s="467"/>
      <c r="B131" s="779"/>
      <c r="C131" s="787"/>
      <c r="D131" s="779"/>
      <c r="E131" s="1649"/>
      <c r="F131" s="780"/>
      <c r="G131" s="788"/>
      <c r="H131" s="788"/>
      <c r="I131" s="788"/>
      <c r="J131" s="788"/>
      <c r="K131" s="1816"/>
      <c r="L131" s="1816"/>
      <c r="M131" s="1816"/>
      <c r="N131" s="1816"/>
      <c r="O131" s="1817"/>
      <c r="P131" s="1617"/>
      <c r="Q131" s="1797"/>
      <c r="R131" s="1797"/>
      <c r="S131" s="1658"/>
      <c r="T131" s="1521"/>
      <c r="U131" s="1658"/>
      <c r="V131"/>
      <c r="W131" s="1554"/>
      <c r="X131" s="101">
        <f t="shared" si="9"/>
        <v>0</v>
      </c>
      <c r="Y131"/>
      <c r="Z131"/>
      <c r="AA131"/>
      <c r="AB131"/>
      <c r="AC131"/>
      <c r="AD131" s="1421"/>
      <c r="AE131" s="1892">
        <f t="shared" si="10"/>
        <v>0</v>
      </c>
      <c r="AF131" s="75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1:60" s="481" customFormat="1" x14ac:dyDescent="0.35">
      <c r="A132" s="467"/>
      <c r="B132" s="777" t="s">
        <v>1255</v>
      </c>
      <c r="C132" s="778" t="s">
        <v>1256</v>
      </c>
      <c r="D132" s="779"/>
      <c r="E132" s="1611">
        <v>0</v>
      </c>
      <c r="F132" s="780"/>
      <c r="G132" s="781"/>
      <c r="H132" s="781"/>
      <c r="I132" s="781"/>
      <c r="J132" s="781"/>
      <c r="K132" s="1814"/>
      <c r="L132" s="1814"/>
      <c r="M132" s="1814"/>
      <c r="N132" s="1814"/>
      <c r="O132" s="1827">
        <f>U132-SUM(P132:S132)-SUM(E132:N132)</f>
        <v>0</v>
      </c>
      <c r="P132" s="1615"/>
      <c r="Q132" s="1794"/>
      <c r="R132" s="1794"/>
      <c r="S132" s="1794"/>
      <c r="T132" s="1521"/>
      <c r="U132" s="1593">
        <f>+'Passage Actif BC '!BH162</f>
        <v>0</v>
      </c>
      <c r="V132"/>
      <c r="W132" s="1554">
        <v>0</v>
      </c>
      <c r="X132" s="101">
        <f t="shared" si="9"/>
        <v>0</v>
      </c>
      <c r="Y132"/>
      <c r="Z132"/>
      <c r="AA132"/>
      <c r="AB132"/>
      <c r="AC132"/>
      <c r="AD132" s="1421">
        <v>0</v>
      </c>
      <c r="AE132" s="1892">
        <f t="shared" si="10"/>
        <v>0</v>
      </c>
      <c r="AF132" s="75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1:60" s="481" customFormat="1" x14ac:dyDescent="0.35">
      <c r="A133" s="467"/>
      <c r="B133" s="777" t="s">
        <v>385</v>
      </c>
      <c r="C133" s="778" t="s">
        <v>1257</v>
      </c>
      <c r="D133" s="779"/>
      <c r="E133" s="1611">
        <v>10393.4</v>
      </c>
      <c r="F133" s="780"/>
      <c r="G133" s="781"/>
      <c r="H133" s="781"/>
      <c r="I133" s="781"/>
      <c r="J133" s="781"/>
      <c r="K133" s="1814"/>
      <c r="L133" s="1814"/>
      <c r="M133" s="1814"/>
      <c r="N133" s="1814"/>
      <c r="O133" s="1861">
        <v>-1774.2992469999972</v>
      </c>
      <c r="P133" s="1620">
        <f>U133-SUM(Q133:S133)-SUM(E133:O133)</f>
        <v>1.0000003385357559E-6</v>
      </c>
      <c r="Q133" s="1794"/>
      <c r="R133" s="1794"/>
      <c r="S133" s="1794"/>
      <c r="T133" s="1521"/>
      <c r="U133" s="1677">
        <f>+'Passage Actif BC '!BH163</f>
        <v>8619.1007540000028</v>
      </c>
      <c r="V133"/>
      <c r="W133" s="1554">
        <v>11398.632355999998</v>
      </c>
      <c r="X133" s="101">
        <f t="shared" si="9"/>
        <v>2779.5316019999955</v>
      </c>
      <c r="Y133">
        <v>660.93729000000167</v>
      </c>
      <c r="Z133"/>
      <c r="AA133"/>
      <c r="AB133"/>
      <c r="AC133"/>
      <c r="AD133" s="1421">
        <v>8619.1007540000028</v>
      </c>
      <c r="AE133" s="1892">
        <f t="shared" si="10"/>
        <v>0</v>
      </c>
      <c r="AF133" s="75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1:60" s="481" customFormat="1" x14ac:dyDescent="0.35">
      <c r="A134" s="467"/>
      <c r="B134" s="777" t="s">
        <v>486</v>
      </c>
      <c r="C134" s="778" t="s">
        <v>1258</v>
      </c>
      <c r="D134" s="779"/>
      <c r="E134" s="1611">
        <v>0</v>
      </c>
      <c r="F134" s="780"/>
      <c r="G134" s="781"/>
      <c r="H134" s="781"/>
      <c r="I134" s="781"/>
      <c r="J134" s="781"/>
      <c r="K134" s="1814"/>
      <c r="L134" s="1814"/>
      <c r="M134" s="1814"/>
      <c r="N134" s="1814"/>
      <c r="O134" s="1814"/>
      <c r="P134" s="1615">
        <f>U134-SUM(Q134:S134)-SUM(E134:O134)</f>
        <v>0</v>
      </c>
      <c r="Q134" s="1794"/>
      <c r="R134" s="1796"/>
      <c r="S134" s="1794"/>
      <c r="T134" s="1521"/>
      <c r="U134" s="1593">
        <f>+'Passage Actif BC '!BH164</f>
        <v>0</v>
      </c>
      <c r="V134"/>
      <c r="W134" s="1554">
        <v>0</v>
      </c>
      <c r="X134" s="101">
        <f t="shared" si="9"/>
        <v>0</v>
      </c>
      <c r="Y134"/>
      <c r="Z134"/>
      <c r="AA134"/>
      <c r="AB134"/>
      <c r="AC134"/>
      <c r="AD134" s="1421">
        <v>0</v>
      </c>
      <c r="AE134" s="1892">
        <f t="shared" si="10"/>
        <v>0</v>
      </c>
      <c r="AF134" s="75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1:60" s="481" customFormat="1" x14ac:dyDescent="0.35">
      <c r="A135" s="467"/>
      <c r="B135" s="777" t="s">
        <v>1259</v>
      </c>
      <c r="C135" s="778" t="s">
        <v>1260</v>
      </c>
      <c r="D135" s="779"/>
      <c r="E135" s="1611">
        <v>0</v>
      </c>
      <c r="F135" s="780"/>
      <c r="G135" s="781"/>
      <c r="H135" s="781"/>
      <c r="I135" s="781"/>
      <c r="J135" s="781"/>
      <c r="K135" s="1814"/>
      <c r="L135" s="1814"/>
      <c r="M135" s="1814"/>
      <c r="N135" s="1814"/>
      <c r="O135" s="1814"/>
      <c r="P135" s="1615">
        <f>U135-SUM(Q135:S135)-SUM(E135:O135)</f>
        <v>0</v>
      </c>
      <c r="Q135" s="1794"/>
      <c r="R135" s="1796"/>
      <c r="S135" s="1794"/>
      <c r="T135" s="1521"/>
      <c r="U135" s="1593">
        <f>+'Passage Actif BC '!BH165</f>
        <v>0</v>
      </c>
      <c r="V135"/>
      <c r="W135" s="1554">
        <v>0</v>
      </c>
      <c r="X135" s="101">
        <f t="shared" si="9"/>
        <v>0</v>
      </c>
      <c r="Y135"/>
      <c r="Z135"/>
      <c r="AA135"/>
      <c r="AB135"/>
      <c r="AC135"/>
      <c r="AD135" s="1421">
        <v>0</v>
      </c>
      <c r="AE135" s="1892">
        <f t="shared" si="10"/>
        <v>0</v>
      </c>
      <c r="AF135" s="7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1:60" ht="24.9" customHeight="1" thickBot="1" x14ac:dyDescent="0.4">
      <c r="B136" s="783" t="s">
        <v>1261</v>
      </c>
      <c r="C136" s="784" t="s">
        <v>1262</v>
      </c>
      <c r="D136" s="779"/>
      <c r="E136" s="1621">
        <f>SUM(E132:E135)</f>
        <v>10393.4</v>
      </c>
      <c r="F136" s="780"/>
      <c r="G136" s="786"/>
      <c r="H136" s="786"/>
      <c r="I136" s="786"/>
      <c r="J136" s="786"/>
      <c r="K136" s="1784">
        <f t="shared" ref="K136:S136" si="19">SUM(K132:K135)</f>
        <v>0</v>
      </c>
      <c r="L136" s="1784">
        <f t="shared" si="19"/>
        <v>0</v>
      </c>
      <c r="M136" s="1784">
        <f t="shared" si="19"/>
        <v>0</v>
      </c>
      <c r="N136" s="1784">
        <f t="shared" si="19"/>
        <v>0</v>
      </c>
      <c r="O136" s="1785">
        <f t="shared" si="19"/>
        <v>-1774.2992469999972</v>
      </c>
      <c r="P136" s="1616">
        <f t="shared" si="19"/>
        <v>1.0000003385357559E-6</v>
      </c>
      <c r="Q136" s="1637">
        <f t="shared" si="19"/>
        <v>0</v>
      </c>
      <c r="R136" s="1637">
        <f t="shared" si="19"/>
        <v>0</v>
      </c>
      <c r="S136" s="1638">
        <f t="shared" si="19"/>
        <v>0</v>
      </c>
      <c r="T136" s="1521"/>
      <c r="U136" s="1638">
        <f>SUM(E136:T136)</f>
        <v>8619.1007540000028</v>
      </c>
      <c r="W136" s="1555">
        <v>11398.632355999998</v>
      </c>
      <c r="X136" s="101">
        <f t="shared" ref="X136:X147" si="20">W136-U136</f>
        <v>2779.5316019999955</v>
      </c>
      <c r="AD136" s="1421">
        <v>8619.1007540000028</v>
      </c>
      <c r="AE136" s="1892">
        <f t="shared" ref="AE136:AE199" si="21">U136-AD136</f>
        <v>0</v>
      </c>
    </row>
    <row r="137" spans="1:60" ht="6.9" customHeight="1" x14ac:dyDescent="0.35">
      <c r="B137" s="775"/>
      <c r="C137" s="769"/>
      <c r="D137" s="779"/>
      <c r="E137" s="1628"/>
      <c r="F137" s="780"/>
      <c r="G137" s="791"/>
      <c r="H137" s="791"/>
      <c r="I137" s="791"/>
      <c r="J137" s="791"/>
      <c r="K137" s="1820"/>
      <c r="L137" s="1820"/>
      <c r="M137" s="1820"/>
      <c r="N137" s="1820"/>
      <c r="O137" s="1821"/>
      <c r="P137" s="1622"/>
      <c r="Q137" s="1798"/>
      <c r="R137" s="1809"/>
      <c r="S137" s="1640"/>
      <c r="T137" s="1521"/>
      <c r="U137" s="1640"/>
      <c r="W137" s="1554"/>
      <c r="X137" s="101">
        <f t="shared" si="20"/>
        <v>0</v>
      </c>
      <c r="AE137" s="1892">
        <f t="shared" si="21"/>
        <v>0</v>
      </c>
    </row>
    <row r="138" spans="1:60" x14ac:dyDescent="0.35">
      <c r="B138" s="777" t="s">
        <v>1264</v>
      </c>
      <c r="C138" s="778" t="s">
        <v>1265</v>
      </c>
      <c r="D138" s="779"/>
      <c r="E138" s="1611">
        <v>0</v>
      </c>
      <c r="F138" s="780"/>
      <c r="G138" s="781"/>
      <c r="H138" s="781"/>
      <c r="I138" s="781"/>
      <c r="J138" s="781"/>
      <c r="K138" s="1814"/>
      <c r="L138" s="1814"/>
      <c r="M138" s="1814"/>
      <c r="N138" s="1814"/>
      <c r="O138" s="1814"/>
      <c r="P138" s="1615">
        <f>U138-SUM(Q138:S138)-SUM(E138:O138)</f>
        <v>0</v>
      </c>
      <c r="Q138" s="1794"/>
      <c r="R138" s="1796"/>
      <c r="S138" s="1801"/>
      <c r="T138" s="1521"/>
      <c r="U138" s="1593">
        <f>+'Passage Actif BC '!BH170</f>
        <v>0</v>
      </c>
      <c r="W138" s="1554">
        <v>0</v>
      </c>
      <c r="X138" s="101">
        <f t="shared" si="20"/>
        <v>0</v>
      </c>
      <c r="AD138" s="1421">
        <v>0</v>
      </c>
      <c r="AE138" s="1892">
        <f t="shared" si="21"/>
        <v>0</v>
      </c>
    </row>
    <row r="139" spans="1:60" ht="24.9" customHeight="1" thickBot="1" x14ac:dyDescent="0.4">
      <c r="B139" s="783" t="s">
        <v>1266</v>
      </c>
      <c r="C139" s="784" t="s">
        <v>1267</v>
      </c>
      <c r="D139" s="779"/>
      <c r="E139" s="1621">
        <f>SUM(E138)</f>
        <v>0</v>
      </c>
      <c r="F139" s="780"/>
      <c r="G139" s="786"/>
      <c r="H139" s="786"/>
      <c r="I139" s="786"/>
      <c r="J139" s="786"/>
      <c r="K139" s="1784">
        <f t="shared" ref="K139:S139" si="22">+K138</f>
        <v>0</v>
      </c>
      <c r="L139" s="1784">
        <f t="shared" si="22"/>
        <v>0</v>
      </c>
      <c r="M139" s="1784">
        <f t="shared" si="22"/>
        <v>0</v>
      </c>
      <c r="N139" s="1784">
        <f t="shared" si="22"/>
        <v>0</v>
      </c>
      <c r="O139" s="1785">
        <f t="shared" si="22"/>
        <v>0</v>
      </c>
      <c r="P139" s="1616">
        <f t="shared" si="22"/>
        <v>0</v>
      </c>
      <c r="Q139" s="1637">
        <f t="shared" si="22"/>
        <v>0</v>
      </c>
      <c r="R139" s="1637">
        <f t="shared" si="22"/>
        <v>0</v>
      </c>
      <c r="S139" s="1638">
        <f t="shared" si="22"/>
        <v>0</v>
      </c>
      <c r="T139" s="1521"/>
      <c r="U139" s="1638">
        <f>SUM(E139:T139)</f>
        <v>0</v>
      </c>
      <c r="W139" s="1555">
        <v>0</v>
      </c>
      <c r="X139" s="101">
        <f t="shared" si="20"/>
        <v>0</v>
      </c>
      <c r="AD139" s="1421">
        <v>0</v>
      </c>
      <c r="AE139" s="1892">
        <f t="shared" si="21"/>
        <v>0</v>
      </c>
    </row>
    <row r="140" spans="1:60" ht="6.9" customHeight="1" x14ac:dyDescent="0.35">
      <c r="B140" s="775"/>
      <c r="C140" s="769"/>
      <c r="D140" s="779"/>
      <c r="E140" s="1628"/>
      <c r="F140" s="780"/>
      <c r="G140" s="791"/>
      <c r="H140" s="791"/>
      <c r="I140" s="791"/>
      <c r="J140" s="791"/>
      <c r="K140" s="1820"/>
      <c r="L140" s="1820"/>
      <c r="M140" s="1820"/>
      <c r="N140" s="1820"/>
      <c r="O140" s="1821"/>
      <c r="P140" s="1622"/>
      <c r="Q140" s="1798"/>
      <c r="R140" s="1798"/>
      <c r="S140" s="1640"/>
      <c r="T140" s="1521"/>
      <c r="U140" s="1640"/>
      <c r="W140" s="1554"/>
      <c r="X140" s="101">
        <f t="shared" si="20"/>
        <v>0</v>
      </c>
      <c r="AE140" s="1892">
        <f t="shared" si="21"/>
        <v>0</v>
      </c>
    </row>
    <row r="141" spans="1:60" s="538" customFormat="1" ht="26.25" customHeight="1" x14ac:dyDescent="0.35">
      <c r="A141" s="532"/>
      <c r="B141" s="792" t="s">
        <v>1268</v>
      </c>
      <c r="C141" s="793" t="s">
        <v>1269</v>
      </c>
      <c r="D141" s="794"/>
      <c r="E141" s="1626">
        <f>E139+E136+E130+E113+E85+E82</f>
        <v>54408.5</v>
      </c>
      <c r="F141" s="780"/>
      <c r="G141" s="795"/>
      <c r="H141" s="795"/>
      <c r="I141" s="795"/>
      <c r="J141" s="795"/>
      <c r="K141" s="1824">
        <f t="shared" ref="K141:S141" si="23">+K139+K136+K130+K113+K85+K82</f>
        <v>0</v>
      </c>
      <c r="L141" s="1824">
        <f t="shared" si="23"/>
        <v>-318.60804800000005</v>
      </c>
      <c r="M141" s="1824">
        <f t="shared" si="23"/>
        <v>0</v>
      </c>
      <c r="N141" s="1824">
        <f t="shared" si="23"/>
        <v>1035.8</v>
      </c>
      <c r="O141" s="1824">
        <f t="shared" si="23"/>
        <v>-5116.9407119999978</v>
      </c>
      <c r="P141" s="1626">
        <f t="shared" si="23"/>
        <v>1.0000003385357559E-6</v>
      </c>
      <c r="Q141" s="1639">
        <f t="shared" si="23"/>
        <v>0</v>
      </c>
      <c r="R141" s="1639">
        <f t="shared" si="23"/>
        <v>0</v>
      </c>
      <c r="S141" s="1639">
        <f t="shared" si="23"/>
        <v>0</v>
      </c>
      <c r="T141" s="1522"/>
      <c r="U141" s="1639">
        <f>SUM(E141:T141)</f>
        <v>50008.751241000005</v>
      </c>
      <c r="V141"/>
      <c r="W141" s="1556">
        <v>57527.141675000006</v>
      </c>
      <c r="X141" s="101">
        <f t="shared" si="20"/>
        <v>7518.3904340000008</v>
      </c>
      <c r="Y141"/>
      <c r="Z141"/>
      <c r="AA141"/>
      <c r="AB141"/>
      <c r="AC141"/>
      <c r="AD141" s="1421">
        <v>50261.994915000003</v>
      </c>
      <c r="AE141" s="1892">
        <f t="shared" si="21"/>
        <v>-253.24367399999755</v>
      </c>
      <c r="AF141" s="75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1:60" ht="6.9" customHeight="1" thickBot="1" x14ac:dyDescent="0.4">
      <c r="A142" s="540"/>
      <c r="B142" s="797"/>
      <c r="C142" s="798"/>
      <c r="D142" s="799"/>
      <c r="E142" s="1650"/>
      <c r="F142" s="800"/>
      <c r="G142" s="801"/>
      <c r="H142" s="801"/>
      <c r="I142" s="801"/>
      <c r="J142" s="801"/>
      <c r="K142" s="1825"/>
      <c r="L142" s="1825"/>
      <c r="M142" s="1825"/>
      <c r="N142" s="1825"/>
      <c r="O142" s="1826"/>
      <c r="P142" s="1624"/>
      <c r="Q142" s="1800"/>
      <c r="R142" s="1800"/>
      <c r="S142" s="1659"/>
      <c r="T142" s="1523"/>
      <c r="U142" s="1659"/>
      <c r="W142" s="1557"/>
      <c r="X142" s="101">
        <f t="shared" si="20"/>
        <v>0</v>
      </c>
      <c r="AE142" s="1892">
        <f t="shared" si="21"/>
        <v>0</v>
      </c>
    </row>
    <row r="143" spans="1:60" ht="6.9" customHeight="1" x14ac:dyDescent="0.35">
      <c r="B143" s="775"/>
      <c r="C143" s="769"/>
      <c r="D143" s="779"/>
      <c r="E143" s="1651"/>
      <c r="F143" s="780"/>
      <c r="G143" s="791"/>
      <c r="H143" s="791"/>
      <c r="I143" s="791"/>
      <c r="J143" s="791"/>
      <c r="K143" s="1820"/>
      <c r="L143" s="1820"/>
      <c r="M143" s="1820"/>
      <c r="N143" s="1820"/>
      <c r="O143" s="1831"/>
      <c r="P143" s="1622"/>
      <c r="Q143" s="1798"/>
      <c r="R143" s="1798"/>
      <c r="S143" s="1660"/>
      <c r="T143" s="1521"/>
      <c r="U143" s="1660"/>
      <c r="W143" s="1558"/>
      <c r="X143" s="101">
        <f t="shared" si="20"/>
        <v>0</v>
      </c>
      <c r="AE143" s="1892">
        <f t="shared" si="21"/>
        <v>0</v>
      </c>
    </row>
    <row r="144" spans="1:60" s="138" customFormat="1" ht="34.5" customHeight="1" x14ac:dyDescent="0.35">
      <c r="A144" s="6"/>
      <c r="B144" s="805" t="s">
        <v>1270</v>
      </c>
      <c r="C144" s="806" t="s">
        <v>1878</v>
      </c>
      <c r="D144" s="807"/>
      <c r="E144" s="1652">
        <f>E141+E77</f>
        <v>206757.90000000002</v>
      </c>
      <c r="F144" s="780"/>
      <c r="G144" s="808"/>
      <c r="H144" s="808"/>
      <c r="I144" s="808"/>
      <c r="J144" s="808"/>
      <c r="K144" s="1832">
        <f t="shared" ref="K144:S144" si="24">+K141+K77</f>
        <v>29941.872879574999</v>
      </c>
      <c r="L144" s="1832">
        <f t="shared" si="24"/>
        <v>-18579.408861279226</v>
      </c>
      <c r="M144" s="1832">
        <f t="shared" si="24"/>
        <v>-20.258658353129249</v>
      </c>
      <c r="N144" s="1832">
        <f t="shared" si="24"/>
        <v>1035.8</v>
      </c>
      <c r="O144" s="1833">
        <f>+O141+O77</f>
        <v>-5116.9407119999978</v>
      </c>
      <c r="P144" s="1627">
        <f>+P141+P77</f>
        <v>432.9375984961045</v>
      </c>
      <c r="Q144" s="1803">
        <f t="shared" si="24"/>
        <v>0</v>
      </c>
      <c r="R144" s="1803">
        <f t="shared" si="24"/>
        <v>0</v>
      </c>
      <c r="S144" s="1661">
        <f t="shared" si="24"/>
        <v>0</v>
      </c>
      <c r="T144" s="1522"/>
      <c r="U144" s="1661">
        <f>SUM(E144:T144)</f>
        <v>214451.90224643875</v>
      </c>
      <c r="V144"/>
      <c r="W144" s="1556">
        <v>207621.86031882171</v>
      </c>
      <c r="X144" s="101">
        <f t="shared" si="20"/>
        <v>-6830.0419276170433</v>
      </c>
      <c r="Y144"/>
      <c r="Z144"/>
      <c r="AA144"/>
      <c r="AB144"/>
      <c r="AC144"/>
      <c r="AD144" s="1421">
        <v>213331.85374224643</v>
      </c>
      <c r="AE144" s="1892">
        <f t="shared" si="21"/>
        <v>1120.0485041923239</v>
      </c>
      <c r="AF144" s="75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1:60" x14ac:dyDescent="0.35">
      <c r="B145" s="775"/>
      <c r="C145" s="769"/>
      <c r="D145" s="779"/>
      <c r="E145" s="1628"/>
      <c r="F145" s="780"/>
      <c r="G145" s="790"/>
      <c r="H145" s="790"/>
      <c r="I145" s="790"/>
      <c r="J145" s="790"/>
      <c r="K145" s="1821"/>
      <c r="L145" s="1821"/>
      <c r="M145" s="1821"/>
      <c r="N145" s="1821"/>
      <c r="O145" s="1821">
        <v>2670.6</v>
      </c>
      <c r="P145" s="1628"/>
      <c r="Q145" s="1640"/>
      <c r="R145" s="1640"/>
      <c r="S145" s="1640"/>
      <c r="T145" s="1521"/>
      <c r="U145" s="1871">
        <f>213172.2
-U144</f>
        <v>-1279.702246438741</v>
      </c>
      <c r="W145" s="1554"/>
      <c r="X145" s="101">
        <f t="shared" si="20"/>
        <v>1279.702246438741</v>
      </c>
      <c r="AD145" s="1421">
        <v>-159.6537422464171</v>
      </c>
      <c r="AE145" s="1892">
        <f t="shared" si="21"/>
        <v>-1120.0485041923239</v>
      </c>
    </row>
    <row r="146" spans="1:60" s="813" customFormat="1" x14ac:dyDescent="0.35">
      <c r="A146" s="809"/>
      <c r="B146" s="810"/>
      <c r="C146" s="811"/>
      <c r="D146" s="810"/>
      <c r="E146" s="1629">
        <v>0</v>
      </c>
      <c r="F146" s="812"/>
      <c r="G146" s="812"/>
      <c r="H146" s="812"/>
      <c r="I146" s="812"/>
      <c r="J146" s="812"/>
      <c r="K146" s="1834"/>
      <c r="L146" s="1834"/>
      <c r="M146" s="1834"/>
      <c r="N146" s="1834"/>
      <c r="O146" s="1834"/>
      <c r="P146" s="1629"/>
      <c r="Q146" s="1641"/>
      <c r="R146" s="1641"/>
      <c r="S146" s="1641"/>
      <c r="T146" s="1524"/>
      <c r="U146" s="1641">
        <f>+U144-'Passage Actif BC '!BH176</f>
        <v>0</v>
      </c>
      <c r="V146"/>
      <c r="W146" s="1549">
        <v>0</v>
      </c>
      <c r="X146" s="101">
        <f t="shared" si="20"/>
        <v>0</v>
      </c>
      <c r="Y146"/>
      <c r="Z146"/>
      <c r="AA146"/>
      <c r="AB146"/>
      <c r="AC146"/>
      <c r="AD146" s="1421">
        <v>0</v>
      </c>
      <c r="AE146" s="1892">
        <f t="shared" si="21"/>
        <v>0</v>
      </c>
      <c r="AF146" s="75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1:60" x14ac:dyDescent="0.35">
      <c r="B147" s="775"/>
      <c r="C147" s="769"/>
      <c r="D147" s="779"/>
      <c r="E147" s="1630"/>
      <c r="F147" s="790"/>
      <c r="G147" s="814"/>
      <c r="H147" s="814"/>
      <c r="I147" s="814"/>
      <c r="J147" s="814"/>
      <c r="K147" s="1835"/>
      <c r="L147" s="1835"/>
      <c r="M147" s="1835"/>
      <c r="N147" s="1835"/>
      <c r="O147" s="1835"/>
      <c r="P147" s="1630"/>
      <c r="Q147" s="1642"/>
      <c r="R147" s="1642"/>
      <c r="S147" s="1642"/>
      <c r="T147" s="1521"/>
      <c r="U147" s="1642"/>
      <c r="W147" s="1549"/>
      <c r="X147" s="101">
        <f t="shared" si="20"/>
        <v>0</v>
      </c>
      <c r="AE147" s="1892">
        <f t="shared" si="21"/>
        <v>0</v>
      </c>
    </row>
    <row r="148" spans="1:60" x14ac:dyDescent="0.35">
      <c r="B148" s="777" t="s">
        <v>82</v>
      </c>
      <c r="C148" s="778" t="s">
        <v>1303</v>
      </c>
      <c r="D148" s="779"/>
      <c r="E148" s="1611">
        <v>36110.272014377217</v>
      </c>
      <c r="F148" s="780"/>
      <c r="G148" s="781"/>
      <c r="H148" s="782">
        <f>-H149</f>
        <v>4266.4125760974521</v>
      </c>
      <c r="I148" s="782"/>
      <c r="J148" s="782"/>
      <c r="K148" s="1786"/>
      <c r="L148" s="1814"/>
      <c r="M148" s="1814"/>
      <c r="N148" s="1814"/>
      <c r="O148" s="1814"/>
      <c r="P148" s="1636">
        <f t="shared" ref="P148:P156" si="25">U148-SUM(Q148:S148)-SUM(E148:O148)</f>
        <v>-5.4216926626395434E-2</v>
      </c>
      <c r="Q148" s="1794"/>
      <c r="R148" s="1794"/>
      <c r="S148" s="1801"/>
      <c r="T148" s="1521"/>
      <c r="U148" s="1677">
        <f>+'Passage Passif BC '!BG17</f>
        <v>40376.63037354804</v>
      </c>
      <c r="W148" s="1554">
        <v>40376.584593474669</v>
      </c>
      <c r="X148" s="101">
        <f t="shared" ref="X148:X179" si="26">W148-U148</f>
        <v>-4.5780073371133767E-2</v>
      </c>
      <c r="AD148" s="1421">
        <v>40376.63037354804</v>
      </c>
      <c r="AE148" s="1892">
        <f t="shared" si="21"/>
        <v>0</v>
      </c>
    </row>
    <row r="149" spans="1:60" x14ac:dyDescent="0.35">
      <c r="B149" s="777" t="s">
        <v>87</v>
      </c>
      <c r="C149" s="778" t="s">
        <v>1304</v>
      </c>
      <c r="D149" s="779"/>
      <c r="E149" s="1611">
        <v>4266.4125760974521</v>
      </c>
      <c r="F149" s="780"/>
      <c r="G149" s="782">
        <f>'Passage P&amp;L-par nature'!AD191</f>
        <v>5042.8076361070498</v>
      </c>
      <c r="H149" s="782">
        <f>-E149</f>
        <v>-4266.4125760974521</v>
      </c>
      <c r="I149" s="781"/>
      <c r="J149" s="781"/>
      <c r="K149" s="1814"/>
      <c r="L149" s="1814"/>
      <c r="M149" s="1814"/>
      <c r="N149" s="1814"/>
      <c r="O149" s="1814"/>
      <c r="P149" s="1615">
        <f t="shared" si="25"/>
        <v>-124.49074998500782</v>
      </c>
      <c r="Q149" s="1794"/>
      <c r="R149" s="1794"/>
      <c r="S149" s="1794"/>
      <c r="T149" s="1521"/>
      <c r="U149" s="1677">
        <f>+'Passage Passif BC '!BG18</f>
        <v>4918.316886122042</v>
      </c>
      <c r="W149" s="1554">
        <v>1257.9222447175875</v>
      </c>
      <c r="X149" s="101">
        <f t="shared" si="26"/>
        <v>-3660.3946414044544</v>
      </c>
      <c r="AD149" s="1421">
        <v>4897.2491104572591</v>
      </c>
      <c r="AE149" s="1892">
        <f t="shared" si="21"/>
        <v>21.067775664782857</v>
      </c>
      <c r="AF149" s="75">
        <v>-0.898933000000397</v>
      </c>
    </row>
    <row r="150" spans="1:60" x14ac:dyDescent="0.35">
      <c r="B150" s="777" t="s">
        <v>1305</v>
      </c>
      <c r="C150" s="778" t="s">
        <v>1306</v>
      </c>
      <c r="D150" s="779"/>
      <c r="E150" s="1611">
        <v>0</v>
      </c>
      <c r="F150" s="780"/>
      <c r="G150" s="781"/>
      <c r="H150" s="781"/>
      <c r="I150" s="781"/>
      <c r="J150" s="781"/>
      <c r="K150" s="1786"/>
      <c r="L150" s="1814"/>
      <c r="M150" s="1786"/>
      <c r="N150" s="1814"/>
      <c r="O150" s="1814"/>
      <c r="P150" s="1615">
        <f t="shared" si="25"/>
        <v>0</v>
      </c>
      <c r="Q150" s="1794"/>
      <c r="R150" s="1794"/>
      <c r="S150" s="1794"/>
      <c r="T150" s="1521"/>
      <c r="U150" s="1593">
        <f>+'Passage Passif BC '!BG19</f>
        <v>0</v>
      </c>
      <c r="W150" s="1554">
        <v>0</v>
      </c>
      <c r="X150" s="101">
        <f t="shared" si="26"/>
        <v>0</v>
      </c>
      <c r="AD150" s="1421">
        <v>0</v>
      </c>
      <c r="AE150" s="1892">
        <f t="shared" si="21"/>
        <v>0</v>
      </c>
    </row>
    <row r="151" spans="1:60" x14ac:dyDescent="0.35">
      <c r="B151" s="777" t="s">
        <v>1307</v>
      </c>
      <c r="C151" s="778" t="s">
        <v>1308</v>
      </c>
      <c r="D151" s="779"/>
      <c r="E151" s="1611">
        <v>0</v>
      </c>
      <c r="F151" s="780"/>
      <c r="G151" s="782"/>
      <c r="H151" s="781"/>
      <c r="I151" s="781"/>
      <c r="J151" s="782"/>
      <c r="K151" s="1814"/>
      <c r="L151" s="1814"/>
      <c r="M151" s="1814"/>
      <c r="N151" s="1814"/>
      <c r="O151" s="1814"/>
      <c r="P151" s="1615">
        <f t="shared" si="25"/>
        <v>0</v>
      </c>
      <c r="Q151" s="1794"/>
      <c r="R151" s="1796"/>
      <c r="S151" s="1801"/>
      <c r="T151" s="1521"/>
      <c r="U151" s="1593">
        <f>+'Passage Passif BC '!BG20</f>
        <v>0</v>
      </c>
      <c r="W151" s="1554">
        <v>0</v>
      </c>
      <c r="X151" s="101">
        <f t="shared" si="26"/>
        <v>0</v>
      </c>
      <c r="AD151" s="1421">
        <v>0</v>
      </c>
      <c r="AE151" s="1892">
        <f t="shared" si="21"/>
        <v>0</v>
      </c>
    </row>
    <row r="152" spans="1:60" x14ac:dyDescent="0.35">
      <c r="B152" s="777" t="s">
        <v>1309</v>
      </c>
      <c r="C152" s="778" t="s">
        <v>1310</v>
      </c>
      <c r="D152" s="779"/>
      <c r="E152" s="1611">
        <v>0</v>
      </c>
      <c r="F152" s="780"/>
      <c r="G152" s="781"/>
      <c r="H152" s="781"/>
      <c r="I152" s="781"/>
      <c r="J152" s="781"/>
      <c r="K152" s="1814"/>
      <c r="L152" s="1814"/>
      <c r="M152" s="1814"/>
      <c r="N152" s="1814"/>
      <c r="O152" s="1814"/>
      <c r="P152" s="1615">
        <f t="shared" si="25"/>
        <v>0</v>
      </c>
      <c r="Q152" s="1794"/>
      <c r="R152" s="1796"/>
      <c r="S152" s="1801"/>
      <c r="T152" s="1521"/>
      <c r="U152" s="1593">
        <f>+'Passage Passif BC '!BG21</f>
        <v>0</v>
      </c>
      <c r="W152" s="1554">
        <v>0</v>
      </c>
      <c r="X152" s="101">
        <f t="shared" si="26"/>
        <v>0</v>
      </c>
      <c r="AD152" s="1421">
        <v>0</v>
      </c>
      <c r="AE152" s="1892">
        <f t="shared" si="21"/>
        <v>0</v>
      </c>
    </row>
    <row r="153" spans="1:60" x14ac:dyDescent="0.35">
      <c r="B153" s="777" t="s">
        <v>1311</v>
      </c>
      <c r="C153" s="778" t="s">
        <v>1312</v>
      </c>
      <c r="D153" s="779"/>
      <c r="E153" s="1611">
        <v>75.459404474371013</v>
      </c>
      <c r="F153" s="780"/>
      <c r="G153" s="781"/>
      <c r="H153" s="781"/>
      <c r="I153" s="781"/>
      <c r="J153" s="781"/>
      <c r="K153" s="1814"/>
      <c r="L153" s="1814"/>
      <c r="M153" s="1814"/>
      <c r="N153" s="1814"/>
      <c r="O153" s="1814"/>
      <c r="P153" s="1615">
        <f t="shared" si="25"/>
        <v>0</v>
      </c>
      <c r="Q153" s="1794"/>
      <c r="R153" s="1794"/>
      <c r="S153" s="1801">
        <f>-PIDR!D13</f>
        <v>110.2</v>
      </c>
      <c r="T153" s="1521"/>
      <c r="U153" s="1593">
        <f>+'Passage Passif BC '!BG22</f>
        <v>185.659404474371</v>
      </c>
      <c r="W153" s="1554">
        <v>75.459404474370984</v>
      </c>
      <c r="X153" s="101">
        <f t="shared" si="26"/>
        <v>-110.20000000000002</v>
      </c>
      <c r="AD153" s="1421">
        <v>185.659404474371</v>
      </c>
      <c r="AE153" s="1892">
        <f t="shared" si="21"/>
        <v>0</v>
      </c>
    </row>
    <row r="154" spans="1:60" x14ac:dyDescent="0.35">
      <c r="B154" s="777" t="s">
        <v>1313</v>
      </c>
      <c r="C154" s="778" t="s">
        <v>1314</v>
      </c>
      <c r="D154" s="779"/>
      <c r="E154" s="1611">
        <v>-22.637821342311302</v>
      </c>
      <c r="F154" s="780"/>
      <c r="G154" s="781"/>
      <c r="H154" s="781"/>
      <c r="I154" s="781"/>
      <c r="J154" s="781"/>
      <c r="K154" s="1814"/>
      <c r="L154" s="1814"/>
      <c r="M154" s="1814"/>
      <c r="N154" s="1814"/>
      <c r="O154" s="1814"/>
      <c r="P154" s="1615">
        <f t="shared" si="25"/>
        <v>0</v>
      </c>
      <c r="Q154" s="1794"/>
      <c r="R154" s="1796"/>
      <c r="S154" s="1788">
        <f>-S153*30%</f>
        <v>-33.06</v>
      </c>
      <c r="T154" s="1521"/>
      <c r="U154" s="1593">
        <f>+'Passage Passif BC '!BG23</f>
        <v>-55.697821342311308</v>
      </c>
      <c r="W154" s="1554">
        <v>-22.637821342311305</v>
      </c>
      <c r="X154" s="101">
        <f t="shared" si="26"/>
        <v>33.06</v>
      </c>
      <c r="AD154" s="1421">
        <v>-55.697821342311308</v>
      </c>
      <c r="AE154" s="1892">
        <f t="shared" si="21"/>
        <v>0</v>
      </c>
    </row>
    <row r="155" spans="1:60" x14ac:dyDescent="0.35">
      <c r="B155" s="777" t="s">
        <v>1315</v>
      </c>
      <c r="C155" s="778" t="s">
        <v>1316</v>
      </c>
      <c r="D155" s="779"/>
      <c r="E155" s="1611">
        <v>0</v>
      </c>
      <c r="F155" s="780"/>
      <c r="G155" s="781"/>
      <c r="H155" s="781"/>
      <c r="I155" s="781"/>
      <c r="J155" s="782"/>
      <c r="K155" s="1814"/>
      <c r="L155" s="1814"/>
      <c r="M155" s="1814"/>
      <c r="N155" s="1814"/>
      <c r="O155" s="1814"/>
      <c r="P155" s="1615">
        <f t="shared" si="25"/>
        <v>0</v>
      </c>
      <c r="Q155" s="1794"/>
      <c r="R155" s="1796"/>
      <c r="S155" s="1801"/>
      <c r="T155" s="1521"/>
      <c r="U155" s="1593">
        <f>+'Passage Passif BC '!BG24</f>
        <v>0</v>
      </c>
      <c r="W155" s="1554">
        <v>0</v>
      </c>
      <c r="X155" s="101">
        <f t="shared" si="26"/>
        <v>0</v>
      </c>
      <c r="AD155" s="1421">
        <v>0</v>
      </c>
      <c r="AE155" s="1892">
        <f t="shared" si="21"/>
        <v>0</v>
      </c>
    </row>
    <row r="156" spans="1:60" x14ac:dyDescent="0.35">
      <c r="B156" s="777" t="s">
        <v>1317</v>
      </c>
      <c r="C156" s="778" t="s">
        <v>1318</v>
      </c>
      <c r="D156" s="779"/>
      <c r="E156" s="1611">
        <v>0</v>
      </c>
      <c r="F156" s="780"/>
      <c r="G156" s="781"/>
      <c r="H156" s="781"/>
      <c r="I156" s="781"/>
      <c r="J156" s="781"/>
      <c r="K156" s="1814"/>
      <c r="L156" s="1814"/>
      <c r="M156" s="1814"/>
      <c r="N156" s="1814"/>
      <c r="O156" s="1814"/>
      <c r="P156" s="1615">
        <f t="shared" si="25"/>
        <v>0</v>
      </c>
      <c r="Q156" s="1794"/>
      <c r="R156" s="1796"/>
      <c r="S156" s="1801"/>
      <c r="T156" s="1521"/>
      <c r="U156" s="1593">
        <f>+'Passage Passif BC '!BG25</f>
        <v>0</v>
      </c>
      <c r="W156" s="1554">
        <v>0</v>
      </c>
      <c r="X156" s="101">
        <f t="shared" si="26"/>
        <v>0</v>
      </c>
      <c r="AD156" s="1421">
        <v>0</v>
      </c>
      <c r="AE156" s="1892">
        <f t="shared" si="21"/>
        <v>0</v>
      </c>
    </row>
    <row r="157" spans="1:60" ht="18.600000000000001" thickBot="1" x14ac:dyDescent="0.4">
      <c r="B157" s="783" t="s">
        <v>1319</v>
      </c>
      <c r="C157" s="784" t="s">
        <v>1320</v>
      </c>
      <c r="D157" s="779"/>
      <c r="E157" s="1621">
        <f>SUM(E148:E156)</f>
        <v>40429.506173606729</v>
      </c>
      <c r="F157" s="780"/>
      <c r="G157" s="786">
        <f>+SUM(G148:G156)</f>
        <v>5042.8076361070498</v>
      </c>
      <c r="H157" s="786">
        <f>+SUM(H148:H156)</f>
        <v>0</v>
      </c>
      <c r="I157" s="786">
        <f>+SUM(I148:I156)</f>
        <v>0</v>
      </c>
      <c r="J157" s="786">
        <f>+SUM(J148:J156)</f>
        <v>0</v>
      </c>
      <c r="K157" s="1784">
        <f t="shared" ref="K157:S157" si="27">+SUM(K148:K156)</f>
        <v>0</v>
      </c>
      <c r="L157" s="1784">
        <f t="shared" si="27"/>
        <v>0</v>
      </c>
      <c r="M157" s="1784">
        <f t="shared" si="27"/>
        <v>0</v>
      </c>
      <c r="N157" s="1784">
        <f t="shared" si="27"/>
        <v>0</v>
      </c>
      <c r="O157" s="1785">
        <f t="shared" si="27"/>
        <v>0</v>
      </c>
      <c r="P157" s="1616">
        <f t="shared" si="27"/>
        <v>-124.54496691163422</v>
      </c>
      <c r="Q157" s="1637">
        <f t="shared" si="27"/>
        <v>0</v>
      </c>
      <c r="R157" s="1637">
        <f t="shared" si="27"/>
        <v>0</v>
      </c>
      <c r="S157" s="1638">
        <f t="shared" si="27"/>
        <v>77.14</v>
      </c>
      <c r="T157" s="1521"/>
      <c r="U157" s="1638">
        <f>+SUM(U148:U156)</f>
        <v>45424.908842802135</v>
      </c>
      <c r="W157" s="1555">
        <v>41687.328421324317</v>
      </c>
      <c r="X157" s="101">
        <f t="shared" si="26"/>
        <v>-3737.5804214778182</v>
      </c>
      <c r="AD157" s="1421">
        <v>45403.841067137357</v>
      </c>
      <c r="AE157" s="1892">
        <f t="shared" si="21"/>
        <v>21.06777566477831</v>
      </c>
    </row>
    <row r="158" spans="1:60" x14ac:dyDescent="0.35">
      <c r="B158" s="775"/>
      <c r="C158" s="769"/>
      <c r="D158" s="779"/>
      <c r="E158" s="1649"/>
      <c r="F158" s="780"/>
      <c r="G158" s="788"/>
      <c r="H158" s="788"/>
      <c r="I158" s="788"/>
      <c r="J158" s="788"/>
      <c r="K158" s="1816"/>
      <c r="L158" s="1816"/>
      <c r="M158" s="1816"/>
      <c r="N158" s="1816"/>
      <c r="O158" s="1817"/>
      <c r="P158" s="1617"/>
      <c r="Q158" s="1797"/>
      <c r="R158" s="1797"/>
      <c r="S158" s="1658"/>
      <c r="T158" s="1521"/>
      <c r="U158" s="1658"/>
      <c r="W158" s="1554"/>
      <c r="X158" s="101">
        <f t="shared" si="26"/>
        <v>0</v>
      </c>
      <c r="AE158" s="1892">
        <f t="shared" si="21"/>
        <v>0</v>
      </c>
    </row>
    <row r="159" spans="1:60" x14ac:dyDescent="0.35">
      <c r="B159" s="777" t="s">
        <v>1321</v>
      </c>
      <c r="C159" s="778" t="s">
        <v>1322</v>
      </c>
      <c r="D159" s="779"/>
      <c r="E159" s="1611">
        <v>0</v>
      </c>
      <c r="F159" s="780"/>
      <c r="G159" s="781"/>
      <c r="H159" s="782">
        <f>-H160</f>
        <v>0</v>
      </c>
      <c r="I159" s="782"/>
      <c r="J159" s="782"/>
      <c r="K159" s="1814"/>
      <c r="L159" s="1814"/>
      <c r="M159" s="1814"/>
      <c r="N159" s="1814"/>
      <c r="O159" s="1814"/>
      <c r="P159" s="1615">
        <f t="shared" ref="P159:P166" si="28">U159-SUM(Q159:S159)-SUM(E159:O159)</f>
        <v>0</v>
      </c>
      <c r="Q159" s="1794"/>
      <c r="R159" s="1794"/>
      <c r="S159" s="1801"/>
      <c r="T159" s="1521"/>
      <c r="U159" s="1593">
        <f>+'Passage Passif BC '!BG28</f>
        <v>0</v>
      </c>
      <c r="W159" s="1554">
        <v>0</v>
      </c>
      <c r="X159" s="101">
        <f t="shared" si="26"/>
        <v>0</v>
      </c>
      <c r="AD159" s="1421">
        <v>0</v>
      </c>
      <c r="AE159" s="1892">
        <f t="shared" si="21"/>
        <v>0</v>
      </c>
    </row>
    <row r="160" spans="1:60" x14ac:dyDescent="0.35">
      <c r="B160" s="777" t="s">
        <v>1323</v>
      </c>
      <c r="C160" s="778" t="s">
        <v>1324</v>
      </c>
      <c r="D160" s="779"/>
      <c r="E160" s="1611">
        <v>0</v>
      </c>
      <c r="F160" s="780"/>
      <c r="G160" s="782">
        <f>'Passage P&amp;L-par nature'!AD192</f>
        <v>0</v>
      </c>
      <c r="H160" s="782">
        <f>-E160</f>
        <v>0</v>
      </c>
      <c r="I160" s="781"/>
      <c r="J160" s="781"/>
      <c r="K160" s="1814"/>
      <c r="L160" s="1814"/>
      <c r="M160" s="1814"/>
      <c r="N160" s="1814"/>
      <c r="O160" s="1814"/>
      <c r="P160" s="1615">
        <f t="shared" si="28"/>
        <v>0</v>
      </c>
      <c r="Q160" s="1794"/>
      <c r="R160" s="1794"/>
      <c r="S160" s="1794"/>
      <c r="T160" s="1521"/>
      <c r="U160" s="1593">
        <f>+'Passage Passif BC '!BG29</f>
        <v>0</v>
      </c>
      <c r="W160" s="1554">
        <v>0</v>
      </c>
      <c r="X160" s="101">
        <f t="shared" si="26"/>
        <v>0</v>
      </c>
      <c r="AD160" s="1421">
        <v>0</v>
      </c>
      <c r="AE160" s="1892">
        <f t="shared" si="21"/>
        <v>0</v>
      </c>
    </row>
    <row r="161" spans="1:60" x14ac:dyDescent="0.35">
      <c r="B161" s="777" t="s">
        <v>1325</v>
      </c>
      <c r="C161" s="778" t="s">
        <v>1326</v>
      </c>
      <c r="D161" s="779"/>
      <c r="E161" s="1611">
        <v>0</v>
      </c>
      <c r="F161" s="780"/>
      <c r="G161" s="782"/>
      <c r="H161" s="781"/>
      <c r="I161" s="781"/>
      <c r="J161" s="782"/>
      <c r="K161" s="1814"/>
      <c r="L161" s="1814"/>
      <c r="M161" s="1814"/>
      <c r="N161" s="1814"/>
      <c r="O161" s="1814"/>
      <c r="P161" s="1615">
        <f t="shared" si="28"/>
        <v>0</v>
      </c>
      <c r="Q161" s="1794"/>
      <c r="R161" s="1796"/>
      <c r="S161" s="1796"/>
      <c r="T161" s="1521"/>
      <c r="U161" s="1593">
        <f>+'Passage Passif BC '!BG30</f>
        <v>0</v>
      </c>
      <c r="W161" s="1554">
        <v>0</v>
      </c>
      <c r="X161" s="101">
        <f t="shared" si="26"/>
        <v>0</v>
      </c>
      <c r="AD161" s="1421">
        <v>0</v>
      </c>
      <c r="AE161" s="1892">
        <f t="shared" si="21"/>
        <v>0</v>
      </c>
    </row>
    <row r="162" spans="1:60" x14ac:dyDescent="0.35">
      <c r="B162" s="777" t="s">
        <v>1327</v>
      </c>
      <c r="C162" s="778" t="s">
        <v>1310</v>
      </c>
      <c r="D162" s="779"/>
      <c r="E162" s="1611">
        <v>0</v>
      </c>
      <c r="F162" s="780"/>
      <c r="G162" s="781"/>
      <c r="H162" s="781"/>
      <c r="I162" s="781"/>
      <c r="J162" s="781"/>
      <c r="K162" s="1814"/>
      <c r="L162" s="1814"/>
      <c r="M162" s="1814"/>
      <c r="N162" s="1814"/>
      <c r="O162" s="1814"/>
      <c r="P162" s="1615">
        <f t="shared" si="28"/>
        <v>0</v>
      </c>
      <c r="Q162" s="1794"/>
      <c r="R162" s="1796"/>
      <c r="S162" s="1796"/>
      <c r="T162" s="1521"/>
      <c r="U162" s="1593">
        <f>+'Passage Passif BC '!BG31</f>
        <v>0</v>
      </c>
      <c r="W162" s="1554">
        <v>0</v>
      </c>
      <c r="X162" s="101">
        <f t="shared" si="26"/>
        <v>0</v>
      </c>
      <c r="AD162" s="1421">
        <v>0</v>
      </c>
      <c r="AE162" s="1892">
        <f t="shared" si="21"/>
        <v>0</v>
      </c>
    </row>
    <row r="163" spans="1:60" x14ac:dyDescent="0.35">
      <c r="B163" s="777" t="s">
        <v>1328</v>
      </c>
      <c r="C163" s="778" t="s">
        <v>1312</v>
      </c>
      <c r="D163" s="779"/>
      <c r="E163" s="1611">
        <v>0</v>
      </c>
      <c r="F163" s="780"/>
      <c r="G163" s="781"/>
      <c r="H163" s="781"/>
      <c r="I163" s="781"/>
      <c r="J163" s="781"/>
      <c r="K163" s="1814"/>
      <c r="L163" s="1814"/>
      <c r="M163" s="1814"/>
      <c r="N163" s="1814"/>
      <c r="O163" s="1814"/>
      <c r="P163" s="1615">
        <f t="shared" si="28"/>
        <v>0</v>
      </c>
      <c r="Q163" s="1794"/>
      <c r="R163" s="1794"/>
      <c r="S163" s="1801"/>
      <c r="T163" s="1521"/>
      <c r="U163" s="1593">
        <f>+'Passage Passif BC '!BG32</f>
        <v>0</v>
      </c>
      <c r="W163" s="1554">
        <v>0</v>
      </c>
      <c r="X163" s="101">
        <f t="shared" si="26"/>
        <v>0</v>
      </c>
      <c r="AD163" s="1421">
        <v>0</v>
      </c>
      <c r="AE163" s="1892">
        <f t="shared" si="21"/>
        <v>0</v>
      </c>
    </row>
    <row r="164" spans="1:60" x14ac:dyDescent="0.35">
      <c r="B164" s="777" t="s">
        <v>1329</v>
      </c>
      <c r="C164" s="778" t="s">
        <v>1314</v>
      </c>
      <c r="D164" s="779"/>
      <c r="E164" s="1611">
        <v>0</v>
      </c>
      <c r="F164" s="780"/>
      <c r="G164" s="781"/>
      <c r="H164" s="781"/>
      <c r="I164" s="781"/>
      <c r="J164" s="781"/>
      <c r="K164" s="1814"/>
      <c r="L164" s="1814"/>
      <c r="M164" s="1814"/>
      <c r="N164" s="1814"/>
      <c r="O164" s="1814"/>
      <c r="P164" s="1615">
        <f t="shared" si="28"/>
        <v>0</v>
      </c>
      <c r="Q164" s="1794"/>
      <c r="R164" s="1796"/>
      <c r="S164" s="1801"/>
      <c r="T164" s="1521"/>
      <c r="U164" s="1593">
        <f>+'Passage Passif BC '!BG33</f>
        <v>0</v>
      </c>
      <c r="W164" s="1554">
        <v>0</v>
      </c>
      <c r="X164" s="101">
        <f t="shared" si="26"/>
        <v>0</v>
      </c>
      <c r="AD164" s="1421">
        <v>0</v>
      </c>
      <c r="AE164" s="1892">
        <f t="shared" si="21"/>
        <v>0</v>
      </c>
    </row>
    <row r="165" spans="1:60" x14ac:dyDescent="0.35">
      <c r="B165" s="777" t="s">
        <v>1330</v>
      </c>
      <c r="C165" s="778" t="s">
        <v>1316</v>
      </c>
      <c r="D165" s="779"/>
      <c r="E165" s="1611">
        <v>0</v>
      </c>
      <c r="F165" s="780"/>
      <c r="G165" s="781"/>
      <c r="H165" s="781"/>
      <c r="I165" s="781"/>
      <c r="J165" s="782"/>
      <c r="K165" s="1814"/>
      <c r="L165" s="1814"/>
      <c r="M165" s="1814"/>
      <c r="N165" s="1814"/>
      <c r="O165" s="1814"/>
      <c r="P165" s="1615">
        <f t="shared" si="28"/>
        <v>0</v>
      </c>
      <c r="Q165" s="1794"/>
      <c r="R165" s="1796"/>
      <c r="S165" s="1801"/>
      <c r="T165" s="1521"/>
      <c r="U165" s="1593">
        <f>+'Passage Passif BC '!BG34</f>
        <v>0</v>
      </c>
      <c r="W165" s="1554">
        <v>0</v>
      </c>
      <c r="X165" s="101">
        <f t="shared" si="26"/>
        <v>0</v>
      </c>
      <c r="AD165" s="1421">
        <v>0</v>
      </c>
      <c r="AE165" s="1892">
        <f t="shared" si="21"/>
        <v>0</v>
      </c>
    </row>
    <row r="166" spans="1:60" x14ac:dyDescent="0.35">
      <c r="B166" s="777" t="s">
        <v>1331</v>
      </c>
      <c r="C166" s="778" t="s">
        <v>1318</v>
      </c>
      <c r="D166" s="779"/>
      <c r="E166" s="1611">
        <v>0</v>
      </c>
      <c r="F166" s="780"/>
      <c r="G166" s="781"/>
      <c r="H166" s="781"/>
      <c r="I166" s="781"/>
      <c r="J166" s="781"/>
      <c r="K166" s="1814"/>
      <c r="L166" s="1814"/>
      <c r="M166" s="1814"/>
      <c r="N166" s="1814"/>
      <c r="O166" s="1814"/>
      <c r="P166" s="1615">
        <f t="shared" si="28"/>
        <v>0</v>
      </c>
      <c r="Q166" s="1794"/>
      <c r="R166" s="1796"/>
      <c r="S166" s="1801"/>
      <c r="T166" s="1521"/>
      <c r="U166" s="1593">
        <f>+'Passage Passif BC '!BG35</f>
        <v>0</v>
      </c>
      <c r="W166" s="1554">
        <v>0</v>
      </c>
      <c r="X166" s="101">
        <f t="shared" si="26"/>
        <v>0</v>
      </c>
      <c r="AD166" s="1421">
        <v>0</v>
      </c>
      <c r="AE166" s="1892">
        <f t="shared" si="21"/>
        <v>0</v>
      </c>
    </row>
    <row r="167" spans="1:60" ht="18.600000000000001" thickBot="1" x14ac:dyDescent="0.4">
      <c r="B167" s="783" t="s">
        <v>1332</v>
      </c>
      <c r="C167" s="784" t="s">
        <v>1333</v>
      </c>
      <c r="D167" s="779"/>
      <c r="E167" s="1621">
        <v>0</v>
      </c>
      <c r="F167" s="780"/>
      <c r="G167" s="785">
        <f t="shared" ref="G167:S167" si="29">+SUM(G159:G166)</f>
        <v>0</v>
      </c>
      <c r="H167" s="785">
        <f t="shared" si="29"/>
        <v>0</v>
      </c>
      <c r="I167" s="785">
        <f t="shared" si="29"/>
        <v>0</v>
      </c>
      <c r="J167" s="785">
        <f t="shared" si="29"/>
        <v>0</v>
      </c>
      <c r="K167" s="1785">
        <f t="shared" si="29"/>
        <v>0</v>
      </c>
      <c r="L167" s="1785">
        <f t="shared" si="29"/>
        <v>0</v>
      </c>
      <c r="M167" s="1785">
        <f t="shared" si="29"/>
        <v>0</v>
      </c>
      <c r="N167" s="1785">
        <f t="shared" si="29"/>
        <v>0</v>
      </c>
      <c r="O167" s="1785">
        <f t="shared" si="29"/>
        <v>0</v>
      </c>
      <c r="P167" s="1621">
        <f t="shared" si="29"/>
        <v>0</v>
      </c>
      <c r="Q167" s="1638">
        <f t="shared" si="29"/>
        <v>0</v>
      </c>
      <c r="R167" s="1638">
        <f t="shared" si="29"/>
        <v>0</v>
      </c>
      <c r="S167" s="1638">
        <f t="shared" si="29"/>
        <v>0</v>
      </c>
      <c r="T167" s="1521">
        <f>+SUM(T159:T166)</f>
        <v>0</v>
      </c>
      <c r="U167" s="1638">
        <f>+SUM(U159:U166)</f>
        <v>0</v>
      </c>
      <c r="W167" s="1555">
        <v>0</v>
      </c>
      <c r="X167" s="101">
        <f t="shared" si="26"/>
        <v>0</v>
      </c>
      <c r="AD167" s="1421">
        <v>0</v>
      </c>
      <c r="AE167" s="1892">
        <f t="shared" si="21"/>
        <v>0</v>
      </c>
    </row>
    <row r="168" spans="1:60" x14ac:dyDescent="0.35">
      <c r="B168" s="775"/>
      <c r="C168" s="769"/>
      <c r="D168" s="779"/>
      <c r="E168" s="1628"/>
      <c r="F168" s="790"/>
      <c r="G168" s="790"/>
      <c r="H168" s="790"/>
      <c r="I168" s="790"/>
      <c r="J168" s="790"/>
      <c r="K168" s="1821"/>
      <c r="L168" s="1821"/>
      <c r="M168" s="1821"/>
      <c r="N168" s="1821"/>
      <c r="O168" s="1821"/>
      <c r="P168" s="1628"/>
      <c r="Q168" s="1640"/>
      <c r="R168" s="1640"/>
      <c r="S168" s="1640"/>
      <c r="T168" s="1521"/>
      <c r="U168" s="1640"/>
      <c r="W168" s="1554"/>
      <c r="X168" s="101">
        <f t="shared" si="26"/>
        <v>0</v>
      </c>
      <c r="AE168" s="1892">
        <f t="shared" si="21"/>
        <v>0</v>
      </c>
    </row>
    <row r="169" spans="1:60" s="538" customFormat="1" ht="26.25" customHeight="1" x14ac:dyDescent="0.35">
      <c r="A169" s="532"/>
      <c r="B169" s="792" t="s">
        <v>1334</v>
      </c>
      <c r="C169" s="793" t="s">
        <v>1335</v>
      </c>
      <c r="D169" s="794"/>
      <c r="E169" s="1626">
        <f>E157+E167</f>
        <v>40429.506173606729</v>
      </c>
      <c r="F169" s="780"/>
      <c r="G169" s="796"/>
      <c r="H169" s="796"/>
      <c r="I169" s="796"/>
      <c r="J169" s="796"/>
      <c r="K169" s="1823">
        <f>+K167+K157</f>
        <v>0</v>
      </c>
      <c r="L169" s="1823">
        <f t="shared" ref="L169:S169" si="30">+L167+L157</f>
        <v>0</v>
      </c>
      <c r="M169" s="1823">
        <f t="shared" si="30"/>
        <v>0</v>
      </c>
      <c r="N169" s="1823">
        <f t="shared" si="30"/>
        <v>0</v>
      </c>
      <c r="O169" s="1824">
        <f t="shared" si="30"/>
        <v>0</v>
      </c>
      <c r="P169" s="1623">
        <f t="shared" si="30"/>
        <v>-124.54496691163422</v>
      </c>
      <c r="Q169" s="1799">
        <f t="shared" si="30"/>
        <v>0</v>
      </c>
      <c r="R169" s="1799">
        <f t="shared" si="30"/>
        <v>0</v>
      </c>
      <c r="S169" s="1639">
        <f t="shared" si="30"/>
        <v>77.14</v>
      </c>
      <c r="T169" s="1522"/>
      <c r="U169" s="1639">
        <f>+U167+U157</f>
        <v>45424.908842802135</v>
      </c>
      <c r="V169"/>
      <c r="W169" s="1556">
        <v>41687.328421324317</v>
      </c>
      <c r="X169" s="101">
        <f t="shared" si="26"/>
        <v>-3737.5804214778182</v>
      </c>
      <c r="Y169"/>
      <c r="Z169"/>
      <c r="AA169"/>
      <c r="AB169"/>
      <c r="AC169"/>
      <c r="AD169" s="1421">
        <v>45403.841067137357</v>
      </c>
      <c r="AE169" s="1892">
        <f t="shared" si="21"/>
        <v>21.06777566477831</v>
      </c>
      <c r="AF169" s="75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1:60" ht="18.600000000000001" thickBot="1" x14ac:dyDescent="0.4">
      <c r="B170" s="797"/>
      <c r="C170" s="798"/>
      <c r="D170" s="779"/>
      <c r="E170" s="1628"/>
      <c r="F170" s="790"/>
      <c r="G170" s="790"/>
      <c r="H170" s="790"/>
      <c r="I170" s="790"/>
      <c r="J170" s="790"/>
      <c r="K170" s="1821"/>
      <c r="L170" s="1821"/>
      <c r="M170" s="1821"/>
      <c r="N170" s="1821"/>
      <c r="O170" s="1821"/>
      <c r="P170" s="1631"/>
      <c r="Q170" s="1804"/>
      <c r="R170" s="1640"/>
      <c r="S170" s="1640"/>
      <c r="T170" s="1521"/>
      <c r="U170" s="1640"/>
      <c r="W170" s="1554"/>
      <c r="X170" s="101">
        <f t="shared" si="26"/>
        <v>0</v>
      </c>
      <c r="AE170" s="1892">
        <f t="shared" si="21"/>
        <v>0</v>
      </c>
    </row>
    <row r="171" spans="1:60" x14ac:dyDescent="0.35">
      <c r="B171" s="777" t="s">
        <v>92</v>
      </c>
      <c r="C171" s="778" t="s">
        <v>1340</v>
      </c>
      <c r="D171" s="779"/>
      <c r="E171" s="1611">
        <v>37603.077061394244</v>
      </c>
      <c r="F171" s="780"/>
      <c r="G171" s="781"/>
      <c r="H171" s="781"/>
      <c r="I171" s="781"/>
      <c r="J171" s="781"/>
      <c r="K171" s="1786">
        <f>-'BG '!K12/1000000-'BG '!I17/1000000-'BG '!$I$16/10^6</f>
        <v>7216.5402990000002</v>
      </c>
      <c r="L171" s="1814"/>
      <c r="M171" s="1814"/>
      <c r="N171" s="1814"/>
      <c r="O171" s="1814"/>
      <c r="P171" s="1632">
        <f t="shared" ref="P171:P176" si="31">U171-SUM(Q171:S171)-SUM(E171:O171)</f>
        <v>-14520.790043000005</v>
      </c>
      <c r="Q171" s="1796"/>
      <c r="R171" s="1796"/>
      <c r="S171" s="1794"/>
      <c r="T171" s="1521"/>
      <c r="U171" s="1593">
        <f>+'Passage Passif BC '!BG45</f>
        <v>30298.82731739424</v>
      </c>
      <c r="W171" s="1554">
        <v>32517.946485394241</v>
      </c>
      <c r="X171" s="101">
        <f t="shared" si="26"/>
        <v>2219.1191680000011</v>
      </c>
      <c r="AD171" s="1421">
        <v>30298.82731739424</v>
      </c>
      <c r="AE171" s="1892">
        <f t="shared" si="21"/>
        <v>0</v>
      </c>
    </row>
    <row r="172" spans="1:60" x14ac:dyDescent="0.35">
      <c r="B172" s="777" t="s">
        <v>94</v>
      </c>
      <c r="C172" s="778" t="s">
        <v>1341</v>
      </c>
      <c r="D172" s="779"/>
      <c r="E172" s="1611">
        <v>0</v>
      </c>
      <c r="F172" s="780"/>
      <c r="G172" s="781"/>
      <c r="H172" s="781"/>
      <c r="I172" s="781"/>
      <c r="J172" s="781"/>
      <c r="K172" s="1786">
        <f>-SUM('BG '!I15,'BG '!I24)/1000000</f>
        <v>0</v>
      </c>
      <c r="L172" s="1814"/>
      <c r="M172" s="1814">
        <f>-SUM('BG '!H15,'BG '!H24)/1000000</f>
        <v>0</v>
      </c>
      <c r="N172" s="1814"/>
      <c r="O172" s="1814"/>
      <c r="P172" s="1615">
        <f t="shared" si="31"/>
        <v>0</v>
      </c>
      <c r="Q172" s="1796"/>
      <c r="R172" s="1796"/>
      <c r="S172" s="1794"/>
      <c r="T172" s="1521"/>
      <c r="U172" s="1593">
        <f>+'Passage Passif BC '!BG46</f>
        <v>0</v>
      </c>
      <c r="W172" s="1554">
        <v>0</v>
      </c>
      <c r="X172" s="101">
        <f t="shared" si="26"/>
        <v>0</v>
      </c>
      <c r="AD172" s="1421">
        <v>0</v>
      </c>
      <c r="AE172" s="1892">
        <f t="shared" si="21"/>
        <v>0</v>
      </c>
    </row>
    <row r="173" spans="1:60" x14ac:dyDescent="0.35">
      <c r="B173" s="777" t="s">
        <v>1342</v>
      </c>
      <c r="C173" s="778" t="s">
        <v>1343</v>
      </c>
      <c r="D173" s="779"/>
      <c r="E173" s="1611">
        <v>0</v>
      </c>
      <c r="F173" s="780"/>
      <c r="G173" s="781"/>
      <c r="H173" s="781"/>
      <c r="I173" s="781"/>
      <c r="J173" s="781"/>
      <c r="K173" s="1786"/>
      <c r="L173" s="1814"/>
      <c r="M173" s="1814"/>
      <c r="N173" s="1814"/>
      <c r="O173" s="1814"/>
      <c r="P173" s="1615">
        <f t="shared" si="31"/>
        <v>0</v>
      </c>
      <c r="Q173" s="1796"/>
      <c r="R173" s="1796"/>
      <c r="S173" s="1794"/>
      <c r="T173" s="1521"/>
      <c r="U173" s="1593">
        <f>+'Passage Passif BC '!BG47</f>
        <v>0</v>
      </c>
      <c r="W173" s="1554">
        <v>0</v>
      </c>
      <c r="X173" s="101">
        <f t="shared" si="26"/>
        <v>0</v>
      </c>
      <c r="AD173" s="1421">
        <v>0</v>
      </c>
      <c r="AE173" s="1892">
        <f t="shared" si="21"/>
        <v>0</v>
      </c>
    </row>
    <row r="174" spans="1:60" x14ac:dyDescent="0.35">
      <c r="B174" s="777" t="s">
        <v>1344</v>
      </c>
      <c r="C174" s="778" t="s">
        <v>1345</v>
      </c>
      <c r="D174" s="779"/>
      <c r="E174" s="1611">
        <v>816.11766399999965</v>
      </c>
      <c r="F174" s="780"/>
      <c r="G174" s="781"/>
      <c r="H174" s="781"/>
      <c r="I174" s="781"/>
      <c r="J174" s="781"/>
      <c r="K174" s="1786"/>
      <c r="L174" s="1814"/>
      <c r="M174" s="1814"/>
      <c r="N174" s="1814"/>
      <c r="O174" s="1814"/>
      <c r="P174" s="1618">
        <f t="shared" si="31"/>
        <v>655.36524099999974</v>
      </c>
      <c r="Q174" s="1796"/>
      <c r="R174" s="1796"/>
      <c r="S174" s="1794"/>
      <c r="T174" s="1521"/>
      <c r="U174" s="1677">
        <f>+'Passage Passif BC '!BG48-U235</f>
        <v>1471.4829049999994</v>
      </c>
      <c r="W174" s="1554">
        <v>1561.4318849999995</v>
      </c>
      <c r="X174" s="101">
        <f t="shared" si="26"/>
        <v>89.94898000000012</v>
      </c>
      <c r="AD174" s="1421">
        <v>1471.4829049999994</v>
      </c>
      <c r="AE174" s="1893">
        <f t="shared" si="21"/>
        <v>0</v>
      </c>
    </row>
    <row r="175" spans="1:60" x14ac:dyDescent="0.35">
      <c r="B175" s="777" t="s">
        <v>90</v>
      </c>
      <c r="C175" s="778" t="s">
        <v>1879</v>
      </c>
      <c r="D175" s="779"/>
      <c r="E175" s="1611">
        <v>0</v>
      </c>
      <c r="F175" s="780"/>
      <c r="G175" s="781"/>
      <c r="H175" s="781"/>
      <c r="I175" s="781"/>
      <c r="J175" s="781"/>
      <c r="K175" s="1786"/>
      <c r="L175" s="1814"/>
      <c r="M175" s="1814"/>
      <c r="N175" s="1814"/>
      <c r="O175" s="1814"/>
      <c r="P175" s="1615">
        <f t="shared" si="31"/>
        <v>0</v>
      </c>
      <c r="Q175" s="1796"/>
      <c r="R175" s="1796"/>
      <c r="S175" s="1794"/>
      <c r="T175" s="1521"/>
      <c r="U175" s="1593">
        <f>+'Passage Passif BC '!BG49</f>
        <v>0</v>
      </c>
      <c r="W175" s="1554">
        <v>0</v>
      </c>
      <c r="X175" s="101">
        <f t="shared" si="26"/>
        <v>0</v>
      </c>
      <c r="AD175" s="1421">
        <v>0</v>
      </c>
      <c r="AE175" s="1892">
        <f t="shared" si="21"/>
        <v>0</v>
      </c>
    </row>
    <row r="176" spans="1:60" x14ac:dyDescent="0.35">
      <c r="B176" s="777" t="s">
        <v>1347</v>
      </c>
      <c r="C176" s="778" t="s">
        <v>1348</v>
      </c>
      <c r="D176" s="779"/>
      <c r="E176" s="1611">
        <v>376.51574599999998</v>
      </c>
      <c r="F176" s="780"/>
      <c r="G176" s="781"/>
      <c r="H176" s="781"/>
      <c r="I176" s="781"/>
      <c r="J176" s="781"/>
      <c r="K176" s="1786"/>
      <c r="L176" s="1814"/>
      <c r="M176" s="1814"/>
      <c r="N176" s="1814"/>
      <c r="O176" s="1814"/>
      <c r="P176" s="1632">
        <f t="shared" si="31"/>
        <v>-188.25787299999999</v>
      </c>
      <c r="Q176" s="1796"/>
      <c r="R176" s="1796"/>
      <c r="S176" s="1794"/>
      <c r="T176" s="1521"/>
      <c r="U176" s="1593">
        <f>+'Passage Passif BC '!BG50</f>
        <v>188.25787299999999</v>
      </c>
      <c r="W176" s="1554">
        <v>376.51574599999998</v>
      </c>
      <c r="X176" s="101">
        <f t="shared" si="26"/>
        <v>188.25787299999999</v>
      </c>
      <c r="AD176" s="1421">
        <v>188.25787299999999</v>
      </c>
      <c r="AE176" s="1892">
        <f t="shared" si="21"/>
        <v>0</v>
      </c>
    </row>
    <row r="177" spans="2:33" ht="18.600000000000001" thickBot="1" x14ac:dyDescent="0.4">
      <c r="B177" s="783" t="s">
        <v>1349</v>
      </c>
      <c r="C177" s="784" t="s">
        <v>1350</v>
      </c>
      <c r="D177" s="779"/>
      <c r="E177" s="1621">
        <f>SUM(E171:E176)</f>
        <v>38795.710471394239</v>
      </c>
      <c r="F177" s="780"/>
      <c r="G177" s="786"/>
      <c r="H177" s="786"/>
      <c r="I177" s="786"/>
      <c r="J177" s="786"/>
      <c r="K177" s="1784">
        <f t="shared" ref="K177:S177" si="32">SUM(K171:K176)</f>
        <v>7216.5402990000002</v>
      </c>
      <c r="L177" s="1784">
        <f t="shared" si="32"/>
        <v>0</v>
      </c>
      <c r="M177" s="1784">
        <f t="shared" si="32"/>
        <v>0</v>
      </c>
      <c r="N177" s="1784">
        <f t="shared" si="32"/>
        <v>0</v>
      </c>
      <c r="O177" s="1785">
        <f t="shared" si="32"/>
        <v>0</v>
      </c>
      <c r="P177" s="1616">
        <f t="shared" si="32"/>
        <v>-14053.682675000005</v>
      </c>
      <c r="Q177" s="1637">
        <f t="shared" si="32"/>
        <v>0</v>
      </c>
      <c r="R177" s="1637">
        <f t="shared" si="32"/>
        <v>0</v>
      </c>
      <c r="S177" s="1638">
        <f t="shared" si="32"/>
        <v>0</v>
      </c>
      <c r="T177" s="1521">
        <f>SUM(T171:T176)</f>
        <v>0</v>
      </c>
      <c r="U177" s="1638">
        <f>SUM(U171:U176)</f>
        <v>31958.568095394239</v>
      </c>
      <c r="W177" s="1555">
        <v>34455.894116394236</v>
      </c>
      <c r="X177" s="101">
        <f t="shared" si="26"/>
        <v>2497.3260209999971</v>
      </c>
      <c r="AD177" s="1421">
        <v>31958.568095394239</v>
      </c>
      <c r="AE177" s="1892">
        <f t="shared" si="21"/>
        <v>0</v>
      </c>
    </row>
    <row r="178" spans="2:33" x14ac:dyDescent="0.35">
      <c r="B178" s="815"/>
      <c r="C178" s="816"/>
      <c r="D178" s="779"/>
      <c r="E178" s="1628"/>
      <c r="F178" s="790"/>
      <c r="G178" s="790"/>
      <c r="H178" s="790"/>
      <c r="I178" s="790"/>
      <c r="J178" s="790"/>
      <c r="K178" s="1821"/>
      <c r="L178" s="1821"/>
      <c r="M178" s="1821"/>
      <c r="N178" s="1821"/>
      <c r="O178" s="1821"/>
      <c r="P178" s="1628"/>
      <c r="Q178" s="1640"/>
      <c r="R178" s="1640"/>
      <c r="S178" s="1640"/>
      <c r="T178" s="1521"/>
      <c r="U178" s="1640"/>
      <c r="W178" s="1554"/>
      <c r="X178" s="101">
        <f t="shared" si="26"/>
        <v>0</v>
      </c>
      <c r="AE178" s="1892">
        <f t="shared" si="21"/>
        <v>0</v>
      </c>
    </row>
    <row r="179" spans="2:33" x14ac:dyDescent="0.35">
      <c r="B179" s="777" t="s">
        <v>1351</v>
      </c>
      <c r="C179" s="778" t="s">
        <v>1352</v>
      </c>
      <c r="D179" s="779"/>
      <c r="E179" s="1611">
        <v>0</v>
      </c>
      <c r="F179" s="780"/>
      <c r="G179" s="781"/>
      <c r="H179" s="781"/>
      <c r="I179" s="781"/>
      <c r="J179" s="781"/>
      <c r="K179" s="1814"/>
      <c r="L179" s="1786">
        <v>18.740740999999801</v>
      </c>
      <c r="M179" s="1814"/>
      <c r="N179" s="1786"/>
      <c r="O179" s="1814"/>
      <c r="P179" s="1615">
        <f>U179-SUM(Q179:S179)-SUM(E179:O179)</f>
        <v>0</v>
      </c>
      <c r="Q179" s="1794"/>
      <c r="R179" s="1794"/>
      <c r="S179" s="1794"/>
      <c r="T179" s="1521"/>
      <c r="U179" s="1593">
        <v>18.740740999999801</v>
      </c>
      <c r="W179" s="1554">
        <v>0</v>
      </c>
      <c r="X179" s="101">
        <f t="shared" si="26"/>
        <v>-18.740740999999801</v>
      </c>
      <c r="AD179" s="1421">
        <v>18.740740999999801</v>
      </c>
      <c r="AE179" s="1892">
        <f t="shared" si="21"/>
        <v>0</v>
      </c>
    </row>
    <row r="180" spans="2:33" x14ac:dyDescent="0.35">
      <c r="B180" s="777" t="s">
        <v>1353</v>
      </c>
      <c r="C180" s="778" t="s">
        <v>1354</v>
      </c>
      <c r="D180" s="779"/>
      <c r="E180" s="1611">
        <v>474.35851000000002</v>
      </c>
      <c r="F180" s="780"/>
      <c r="G180" s="781"/>
      <c r="H180" s="781"/>
      <c r="I180" s="781"/>
      <c r="J180" s="781"/>
      <c r="K180" s="1814"/>
      <c r="L180" s="1786"/>
      <c r="M180" s="1814"/>
      <c r="N180" s="1890">
        <v>-59.982976000000008</v>
      </c>
      <c r="O180" s="1814"/>
      <c r="P180" s="1615">
        <f>U180-SUM(Q180:S180)-SUM(E180:O180)</f>
        <v>0</v>
      </c>
      <c r="Q180" s="1794"/>
      <c r="R180" s="1794"/>
      <c r="S180" s="1794"/>
      <c r="T180" s="1521"/>
      <c r="U180" s="1593">
        <f>+'Passage Passif BC '!BG54</f>
        <v>414.37553400000002</v>
      </c>
      <c r="W180" s="1554">
        <v>448.01931100000002</v>
      </c>
      <c r="X180" s="101">
        <f t="shared" ref="X180:X211" si="33">W180-U180</f>
        <v>33.643777</v>
      </c>
      <c r="AD180" s="1421">
        <v>414.37553400000002</v>
      </c>
      <c r="AE180" s="1892">
        <f t="shared" si="21"/>
        <v>0</v>
      </c>
    </row>
    <row r="181" spans="2:33" x14ac:dyDescent="0.35">
      <c r="B181" s="777" t="s">
        <v>1355</v>
      </c>
      <c r="C181" s="778" t="s">
        <v>1356</v>
      </c>
      <c r="D181" s="779"/>
      <c r="E181" s="1611">
        <v>0</v>
      </c>
      <c r="F181" s="780"/>
      <c r="G181" s="781"/>
      <c r="H181" s="781"/>
      <c r="I181" s="781"/>
      <c r="J181" s="781"/>
      <c r="K181" s="1814"/>
      <c r="L181" s="1786"/>
      <c r="M181" s="1814"/>
      <c r="N181" s="1786"/>
      <c r="O181" s="1814"/>
      <c r="P181" s="1615">
        <f>U181-SUM(Q181:S181)-SUM(E181:O181)</f>
        <v>0</v>
      </c>
      <c r="Q181" s="1794"/>
      <c r="R181" s="1794"/>
      <c r="S181" s="1794"/>
      <c r="T181" s="1521"/>
      <c r="U181" s="1593">
        <f>+'Passage Passif BC '!BG55</f>
        <v>0</v>
      </c>
      <c r="W181" s="1554">
        <v>0</v>
      </c>
      <c r="X181" s="101">
        <f t="shared" si="33"/>
        <v>0</v>
      </c>
      <c r="AD181" s="1421">
        <v>0</v>
      </c>
      <c r="AE181" s="1892">
        <f t="shared" si="21"/>
        <v>0</v>
      </c>
    </row>
    <row r="182" spans="2:33" x14ac:dyDescent="0.35">
      <c r="B182" s="777" t="s">
        <v>1357</v>
      </c>
      <c r="C182" s="778" t="s">
        <v>1880</v>
      </c>
      <c r="D182" s="779"/>
      <c r="E182" s="1611">
        <v>593.75095421023912</v>
      </c>
      <c r="F182" s="780"/>
      <c r="G182" s="781"/>
      <c r="H182" s="781"/>
      <c r="I182" s="781"/>
      <c r="J182" s="781"/>
      <c r="K182" s="1814"/>
      <c r="L182" s="1819">
        <f>PIDR!D8</f>
        <v>72.599999999999994</v>
      </c>
      <c r="M182" s="1814"/>
      <c r="N182" s="1786"/>
      <c r="O182" s="1814"/>
      <c r="P182" s="1615">
        <f>U182-SUM(Q182:S182)-SUM(E182:O182)</f>
        <v>0</v>
      </c>
      <c r="Q182" s="1796">
        <f>+PIDR!D11</f>
        <v>38.599999999999994</v>
      </c>
      <c r="R182" s="1796"/>
      <c r="S182" s="1796">
        <f>PIDR!D13</f>
        <v>-110.2</v>
      </c>
      <c r="T182" s="1521"/>
      <c r="U182" s="1683">
        <f>+'Passage Passif BC '!BG56-18.7407409999998</f>
        <v>594.75095421023912</v>
      </c>
      <c r="W182" s="1554">
        <v>680.66654721023906</v>
      </c>
      <c r="X182" s="101">
        <f t="shared" si="33"/>
        <v>85.915592999999944</v>
      </c>
      <c r="Y182">
        <v>84.553124249999883</v>
      </c>
      <c r="AD182" s="1421">
        <v>594.75095421023912</v>
      </c>
      <c r="AE182" s="1892">
        <f t="shared" si="21"/>
        <v>0</v>
      </c>
      <c r="AG182" s="1753"/>
    </row>
    <row r="183" spans="2:33" x14ac:dyDescent="0.35">
      <c r="B183" s="777" t="s">
        <v>1359</v>
      </c>
      <c r="C183" s="778" t="s">
        <v>1360</v>
      </c>
      <c r="D183" s="779"/>
      <c r="E183" s="1611">
        <v>0</v>
      </c>
      <c r="F183" s="780"/>
      <c r="G183" s="781"/>
      <c r="H183" s="781"/>
      <c r="I183" s="781"/>
      <c r="J183" s="781"/>
      <c r="K183" s="1814"/>
      <c r="L183" s="1786"/>
      <c r="M183" s="1814"/>
      <c r="N183" s="1786"/>
      <c r="O183" s="1814"/>
      <c r="P183" s="1615">
        <f>U183-SUM(Q183:S183)-SUM(E183:O183)</f>
        <v>0</v>
      </c>
      <c r="Q183" s="1794"/>
      <c r="R183" s="1794"/>
      <c r="S183" s="1794"/>
      <c r="T183" s="1521"/>
      <c r="U183" s="1593">
        <f>+'Passage Passif BC '!BG57</f>
        <v>0</v>
      </c>
      <c r="W183" s="1554">
        <v>0</v>
      </c>
      <c r="X183" s="101">
        <f t="shared" si="33"/>
        <v>0</v>
      </c>
      <c r="AD183" s="1421">
        <v>0</v>
      </c>
      <c r="AE183" s="1892">
        <f t="shared" si="21"/>
        <v>0</v>
      </c>
    </row>
    <row r="184" spans="2:33" ht="18.600000000000001" thickBot="1" x14ac:dyDescent="0.4">
      <c r="B184" s="783" t="s">
        <v>1361</v>
      </c>
      <c r="C184" s="784" t="s">
        <v>1362</v>
      </c>
      <c r="D184" s="779"/>
      <c r="E184" s="1621">
        <f>SUM(E179:E183)</f>
        <v>1068.1094642102391</v>
      </c>
      <c r="F184" s="780"/>
      <c r="G184" s="786"/>
      <c r="H184" s="786"/>
      <c r="I184" s="786"/>
      <c r="J184" s="786"/>
      <c r="K184" s="1784">
        <f t="shared" ref="K184:U184" si="34">SUM(K179:K183)</f>
        <v>0</v>
      </c>
      <c r="L184" s="1784">
        <f t="shared" si="34"/>
        <v>91.340740999999795</v>
      </c>
      <c r="M184" s="1784">
        <f t="shared" si="34"/>
        <v>0</v>
      </c>
      <c r="N184" s="1784">
        <f t="shared" si="34"/>
        <v>-59.982976000000008</v>
      </c>
      <c r="O184" s="1785">
        <f t="shared" si="34"/>
        <v>0</v>
      </c>
      <c r="P184" s="1616">
        <f t="shared" si="34"/>
        <v>0</v>
      </c>
      <c r="Q184" s="1637">
        <f t="shared" si="34"/>
        <v>38.599999999999994</v>
      </c>
      <c r="R184" s="1637">
        <f t="shared" si="34"/>
        <v>0</v>
      </c>
      <c r="S184" s="1638">
        <f t="shared" si="34"/>
        <v>-110.2</v>
      </c>
      <c r="T184" s="1521">
        <f t="shared" si="34"/>
        <v>0</v>
      </c>
      <c r="U184" s="1638">
        <f t="shared" si="34"/>
        <v>1027.867229210239</v>
      </c>
      <c r="W184" s="1555">
        <v>1128.6858582102391</v>
      </c>
      <c r="X184" s="101">
        <f t="shared" si="33"/>
        <v>100.8186290000001</v>
      </c>
      <c r="AD184" s="1421">
        <v>1027.867229210239</v>
      </c>
      <c r="AE184" s="1892">
        <f t="shared" si="21"/>
        <v>0</v>
      </c>
    </row>
    <row r="185" spans="2:33" x14ac:dyDescent="0.35">
      <c r="B185" s="775"/>
      <c r="C185" s="769"/>
      <c r="D185" s="779"/>
      <c r="E185" s="1628"/>
      <c r="F185" s="790"/>
      <c r="G185" s="790"/>
      <c r="H185" s="790"/>
      <c r="I185" s="790"/>
      <c r="J185" s="790"/>
      <c r="K185" s="1821" t="s">
        <v>1476</v>
      </c>
      <c r="L185" s="1821"/>
      <c r="M185" s="1821"/>
      <c r="N185" s="1821"/>
      <c r="O185" s="1821"/>
      <c r="P185" s="1628"/>
      <c r="Q185" s="1640"/>
      <c r="R185" s="1640"/>
      <c r="S185" s="1640"/>
      <c r="T185" s="1521"/>
      <c r="U185" s="1640"/>
      <c r="W185" s="1554"/>
      <c r="X185" s="101">
        <f t="shared" si="33"/>
        <v>0</v>
      </c>
      <c r="AE185" s="1892">
        <f t="shared" si="21"/>
        <v>0</v>
      </c>
    </row>
    <row r="186" spans="2:33" x14ac:dyDescent="0.35">
      <c r="B186" s="777" t="s">
        <v>1363</v>
      </c>
      <c r="C186" s="778" t="s">
        <v>1364</v>
      </c>
      <c r="D186" s="779"/>
      <c r="E186" s="1611">
        <v>0</v>
      </c>
      <c r="F186" s="780"/>
      <c r="G186" s="781"/>
      <c r="H186" s="781"/>
      <c r="I186" s="781"/>
      <c r="J186" s="781"/>
      <c r="K186" s="1786"/>
      <c r="L186" s="1814"/>
      <c r="M186" s="1814"/>
      <c r="N186" s="1814"/>
      <c r="O186" s="1814"/>
      <c r="P186" s="1615">
        <f>U186-SUM(Q186:S186)-SUM(E186:O186)</f>
        <v>0</v>
      </c>
      <c r="Q186" s="1794"/>
      <c r="R186" s="1796"/>
      <c r="S186" s="1794"/>
      <c r="T186" s="1521"/>
      <c r="U186" s="1593">
        <f>+'Passage Passif BC '!BG60</f>
        <v>0</v>
      </c>
      <c r="W186" s="1554">
        <v>0</v>
      </c>
      <c r="X186" s="101">
        <f t="shared" si="33"/>
        <v>0</v>
      </c>
      <c r="AD186" s="1421">
        <v>0</v>
      </c>
      <c r="AE186" s="1892">
        <f t="shared" si="21"/>
        <v>0</v>
      </c>
    </row>
    <row r="187" spans="2:33" ht="36.6" thickBot="1" x14ac:dyDescent="0.4">
      <c r="B187" s="783" t="s">
        <v>1365</v>
      </c>
      <c r="C187" s="784" t="s">
        <v>1366</v>
      </c>
      <c r="D187" s="779"/>
      <c r="E187" s="1621">
        <v>0</v>
      </c>
      <c r="F187" s="780"/>
      <c r="G187" s="786"/>
      <c r="H187" s="786"/>
      <c r="I187" s="786"/>
      <c r="J187" s="786"/>
      <c r="K187" s="1784">
        <f>+K186</f>
        <v>0</v>
      </c>
      <c r="L187" s="1784">
        <f t="shared" ref="L187:S187" si="35">+L186</f>
        <v>0</v>
      </c>
      <c r="M187" s="1784">
        <f t="shared" si="35"/>
        <v>0</v>
      </c>
      <c r="N187" s="1784">
        <f t="shared" si="35"/>
        <v>0</v>
      </c>
      <c r="O187" s="1784">
        <f t="shared" si="35"/>
        <v>0</v>
      </c>
      <c r="P187" s="1616">
        <f t="shared" si="35"/>
        <v>0</v>
      </c>
      <c r="Q187" s="1637">
        <f t="shared" si="35"/>
        <v>0</v>
      </c>
      <c r="R187" s="1637">
        <f t="shared" si="35"/>
        <v>0</v>
      </c>
      <c r="S187" s="1637">
        <f t="shared" si="35"/>
        <v>0</v>
      </c>
      <c r="T187" s="1521"/>
      <c r="U187" s="1638">
        <f>+U186</f>
        <v>0</v>
      </c>
      <c r="W187" s="1555">
        <v>0</v>
      </c>
      <c r="X187" s="101">
        <f t="shared" si="33"/>
        <v>0</v>
      </c>
      <c r="AD187" s="1421">
        <v>0</v>
      </c>
      <c r="AE187" s="1892">
        <f t="shared" si="21"/>
        <v>0</v>
      </c>
    </row>
    <row r="188" spans="2:33" x14ac:dyDescent="0.35">
      <c r="B188" s="775"/>
      <c r="C188" s="769"/>
      <c r="D188" s="779"/>
      <c r="E188" s="1628"/>
      <c r="F188" s="790"/>
      <c r="G188" s="790"/>
      <c r="H188" s="790"/>
      <c r="I188" s="790"/>
      <c r="J188" s="790"/>
      <c r="K188" s="1821"/>
      <c r="L188" s="1821"/>
      <c r="M188" s="1821"/>
      <c r="N188" s="1821"/>
      <c r="O188" s="1821"/>
      <c r="P188" s="1628"/>
      <c r="Q188" s="1640"/>
      <c r="R188" s="1640"/>
      <c r="S188" s="1640"/>
      <c r="T188" s="1521"/>
      <c r="U188" s="1640"/>
      <c r="W188" s="1554"/>
      <c r="X188" s="101">
        <f t="shared" si="33"/>
        <v>0</v>
      </c>
      <c r="AE188" s="1892">
        <f t="shared" si="21"/>
        <v>0</v>
      </c>
    </row>
    <row r="189" spans="2:33" x14ac:dyDescent="0.35">
      <c r="B189" s="777" t="s">
        <v>1367</v>
      </c>
      <c r="C189" s="778" t="s">
        <v>1368</v>
      </c>
      <c r="D189" s="779"/>
      <c r="E189" s="1611">
        <v>0</v>
      </c>
      <c r="F189" s="780"/>
      <c r="G189" s="781"/>
      <c r="H189" s="781"/>
      <c r="I189" s="781"/>
      <c r="J189" s="781"/>
      <c r="K189" s="1836">
        <f>123.249400575089-S189</f>
        <v>90.189400575088996</v>
      </c>
      <c r="L189" s="1814"/>
      <c r="M189" s="1786"/>
      <c r="N189" s="1814"/>
      <c r="O189" s="1814"/>
      <c r="P189" s="1615">
        <f>U189-SUM(Q189:S189)-SUM(E189:O189)</f>
        <v>7.7526389775003395</v>
      </c>
      <c r="Q189" s="1794"/>
      <c r="R189" s="1794"/>
      <c r="S189" s="1801">
        <f>-S154</f>
        <v>33.06</v>
      </c>
      <c r="T189" s="1521"/>
      <c r="U189" s="1593">
        <f>+'Passage Passif BC '!BG63</f>
        <v>131.00203955258934</v>
      </c>
      <c r="W189" s="1554">
        <v>0</v>
      </c>
      <c r="X189" s="101">
        <f t="shared" si="33"/>
        <v>-131.00203955258934</v>
      </c>
      <c r="AD189" s="1421">
        <v>123.24940057508933</v>
      </c>
      <c r="AE189" s="1892">
        <f t="shared" si="21"/>
        <v>7.7526389775000126</v>
      </c>
    </row>
    <row r="190" spans="2:33" ht="18.600000000000001" thickBot="1" x14ac:dyDescent="0.4">
      <c r="B190" s="783" t="s">
        <v>1369</v>
      </c>
      <c r="C190" s="784" t="s">
        <v>1368</v>
      </c>
      <c r="D190" s="779"/>
      <c r="E190" s="1621">
        <v>0</v>
      </c>
      <c r="F190" s="780"/>
      <c r="G190" s="786"/>
      <c r="H190" s="786"/>
      <c r="I190" s="786"/>
      <c r="J190" s="786"/>
      <c r="K190" s="1784">
        <f>+K189</f>
        <v>90.189400575088996</v>
      </c>
      <c r="L190" s="1784">
        <f t="shared" ref="L190:S190" si="36">+L189</f>
        <v>0</v>
      </c>
      <c r="M190" s="1784">
        <f t="shared" si="36"/>
        <v>0</v>
      </c>
      <c r="N190" s="1784">
        <f t="shared" si="36"/>
        <v>0</v>
      </c>
      <c r="O190" s="1784">
        <f t="shared" si="36"/>
        <v>0</v>
      </c>
      <c r="P190" s="1616">
        <f t="shared" si="36"/>
        <v>7.7526389775003395</v>
      </c>
      <c r="Q190" s="1637">
        <f t="shared" si="36"/>
        <v>0</v>
      </c>
      <c r="R190" s="1637">
        <f t="shared" si="36"/>
        <v>0</v>
      </c>
      <c r="S190" s="1637">
        <f t="shared" si="36"/>
        <v>33.06</v>
      </c>
      <c r="T190" s="1521"/>
      <c r="U190" s="1638">
        <f>+U189</f>
        <v>131.00203955258934</v>
      </c>
      <c r="W190" s="1555">
        <v>0</v>
      </c>
      <c r="X190" s="101">
        <f t="shared" si="33"/>
        <v>-131.00203955258934</v>
      </c>
      <c r="AD190" s="1421">
        <v>123.24940057508933</v>
      </c>
      <c r="AE190" s="1892">
        <f t="shared" si="21"/>
        <v>7.7526389775000126</v>
      </c>
    </row>
    <row r="191" spans="2:33" x14ac:dyDescent="0.35">
      <c r="B191" s="775"/>
      <c r="C191" s="769"/>
      <c r="D191" s="779"/>
      <c r="E191" s="1628"/>
      <c r="F191" s="790"/>
      <c r="G191" s="790"/>
      <c r="H191" s="790"/>
      <c r="I191" s="790"/>
      <c r="J191" s="790"/>
      <c r="K191" s="1821"/>
      <c r="L191" s="1786"/>
      <c r="M191" s="1821"/>
      <c r="N191" s="1821"/>
      <c r="O191" s="1821"/>
      <c r="P191" s="1628"/>
      <c r="Q191" s="1640"/>
      <c r="R191" s="1640"/>
      <c r="S191" s="1640"/>
      <c r="T191" s="1521"/>
      <c r="U191" s="1640"/>
      <c r="W191" s="1554"/>
      <c r="X191" s="101">
        <f t="shared" si="33"/>
        <v>0</v>
      </c>
      <c r="AE191" s="1892">
        <f t="shared" si="21"/>
        <v>0</v>
      </c>
    </row>
    <row r="192" spans="2:33" x14ac:dyDescent="0.35">
      <c r="B192" s="777" t="s">
        <v>1370</v>
      </c>
      <c r="C192" s="778" t="s">
        <v>1371</v>
      </c>
      <c r="D192" s="779"/>
      <c r="E192" s="1611">
        <v>0</v>
      </c>
      <c r="F192" s="780"/>
      <c r="G192" s="781"/>
      <c r="H192" s="781"/>
      <c r="I192" s="781"/>
      <c r="J192" s="781"/>
      <c r="K192" s="1786"/>
      <c r="L192" s="1814"/>
      <c r="M192" s="1786"/>
      <c r="N192" s="1814"/>
      <c r="O192" s="1814"/>
      <c r="P192" s="1615">
        <f>U192-SUM(Q192:S192)-SUM(E192:O192)</f>
        <v>0</v>
      </c>
      <c r="Q192" s="1794"/>
      <c r="R192" s="1794"/>
      <c r="S192" s="1795"/>
      <c r="T192" s="1521"/>
      <c r="U192" s="1593">
        <f>+'Passage Passif BC '!BG66</f>
        <v>0</v>
      </c>
      <c r="W192" s="1554">
        <v>0</v>
      </c>
      <c r="X192" s="101">
        <f t="shared" si="33"/>
        <v>0</v>
      </c>
      <c r="AD192" s="1421">
        <v>0</v>
      </c>
      <c r="AE192" s="1892">
        <f t="shared" si="21"/>
        <v>0</v>
      </c>
    </row>
    <row r="193" spans="1:60" ht="18.600000000000001" thickBot="1" x14ac:dyDescent="0.4">
      <c r="B193" s="783" t="s">
        <v>1372</v>
      </c>
      <c r="C193" s="784" t="s">
        <v>1373</v>
      </c>
      <c r="D193" s="779"/>
      <c r="E193" s="1621">
        <v>0</v>
      </c>
      <c r="F193" s="780"/>
      <c r="G193" s="786"/>
      <c r="H193" s="786"/>
      <c r="I193" s="786"/>
      <c r="J193" s="786"/>
      <c r="K193" s="1784">
        <f>+K192</f>
        <v>0</v>
      </c>
      <c r="L193" s="1784">
        <f t="shared" ref="L193:S193" si="37">+L192</f>
        <v>0</v>
      </c>
      <c r="M193" s="1784">
        <f t="shared" si="37"/>
        <v>0</v>
      </c>
      <c r="N193" s="1784">
        <f t="shared" si="37"/>
        <v>0</v>
      </c>
      <c r="O193" s="1784">
        <f t="shared" si="37"/>
        <v>0</v>
      </c>
      <c r="P193" s="1616">
        <f t="shared" si="37"/>
        <v>0</v>
      </c>
      <c r="Q193" s="1637">
        <f t="shared" si="37"/>
        <v>0</v>
      </c>
      <c r="R193" s="1637">
        <f t="shared" si="37"/>
        <v>0</v>
      </c>
      <c r="S193" s="1637">
        <f t="shared" si="37"/>
        <v>0</v>
      </c>
      <c r="T193" s="1521"/>
      <c r="U193" s="1638">
        <f>+U192</f>
        <v>0</v>
      </c>
      <c r="W193" s="1555">
        <v>0</v>
      </c>
      <c r="X193" s="101">
        <f t="shared" si="33"/>
        <v>0</v>
      </c>
      <c r="AD193" s="1421">
        <v>0</v>
      </c>
      <c r="AE193" s="1892">
        <f t="shared" si="21"/>
        <v>0</v>
      </c>
    </row>
    <row r="194" spans="1:60" x14ac:dyDescent="0.35">
      <c r="B194" s="775"/>
      <c r="C194" s="769"/>
      <c r="D194" s="779"/>
      <c r="E194" s="1628"/>
      <c r="F194" s="790"/>
      <c r="G194" s="790"/>
      <c r="H194" s="790"/>
      <c r="I194" s="790"/>
      <c r="J194" s="790"/>
      <c r="K194" s="1821"/>
      <c r="L194" s="1821"/>
      <c r="M194" s="1821"/>
      <c r="N194" s="1821"/>
      <c r="O194" s="1821"/>
      <c r="P194" s="1628"/>
      <c r="Q194" s="1640"/>
      <c r="R194" s="1640"/>
      <c r="S194" s="1640"/>
      <c r="T194" s="1521"/>
      <c r="U194" s="1640"/>
      <c r="W194" s="1554"/>
      <c r="X194" s="101">
        <f t="shared" si="33"/>
        <v>0</v>
      </c>
      <c r="AE194" s="1892">
        <f t="shared" si="21"/>
        <v>0</v>
      </c>
    </row>
    <row r="195" spans="1:60" s="538" customFormat="1" ht="26.25" customHeight="1" x14ac:dyDescent="0.35">
      <c r="A195" s="532"/>
      <c r="B195" s="792" t="s">
        <v>1374</v>
      </c>
      <c r="C195" s="793" t="s">
        <v>1881</v>
      </c>
      <c r="D195" s="794"/>
      <c r="E195" s="1626">
        <f>+E193+E190+E187+E184+E177</f>
        <v>39863.819935604479</v>
      </c>
      <c r="F195" s="780"/>
      <c r="G195" s="796"/>
      <c r="H195" s="796"/>
      <c r="I195" s="796"/>
      <c r="J195" s="796"/>
      <c r="K195" s="1823">
        <f t="shared" ref="K195:S195" si="38">+K193+K190+K187+K184+K177</f>
        <v>7306.7296995750894</v>
      </c>
      <c r="L195" s="1823">
        <f t="shared" si="38"/>
        <v>91.340740999999795</v>
      </c>
      <c r="M195" s="1823">
        <f t="shared" si="38"/>
        <v>0</v>
      </c>
      <c r="N195" s="1823">
        <f t="shared" si="38"/>
        <v>-59.982976000000008</v>
      </c>
      <c r="O195" s="1824">
        <f t="shared" si="38"/>
        <v>0</v>
      </c>
      <c r="P195" s="1623">
        <f t="shared" si="38"/>
        <v>-14045.930036022504</v>
      </c>
      <c r="Q195" s="1799">
        <f t="shared" si="38"/>
        <v>38.599999999999994</v>
      </c>
      <c r="R195" s="1799">
        <f t="shared" si="38"/>
        <v>0</v>
      </c>
      <c r="S195" s="1639">
        <f t="shared" si="38"/>
        <v>-77.14</v>
      </c>
      <c r="T195" s="1522"/>
      <c r="U195" s="1639">
        <f>+U193+U190+U187+U184+U177</f>
        <v>33117.437364157071</v>
      </c>
      <c r="V195"/>
      <c r="W195" s="1556">
        <v>35584.579974604472</v>
      </c>
      <c r="X195" s="101">
        <f t="shared" si="33"/>
        <v>2467.1426104474012</v>
      </c>
      <c r="Y195"/>
      <c r="Z195"/>
      <c r="AA195"/>
      <c r="AB195"/>
      <c r="AC195"/>
      <c r="AD195" s="1421">
        <v>33109.68472517957</v>
      </c>
      <c r="AE195" s="1892">
        <f t="shared" si="21"/>
        <v>7.7526389775011921</v>
      </c>
      <c r="AF195" s="7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1:60" ht="18.600000000000001" thickBot="1" x14ac:dyDescent="0.4">
      <c r="B196" s="797"/>
      <c r="C196" s="798"/>
      <c r="D196" s="779"/>
      <c r="E196" s="1628"/>
      <c r="F196" s="790"/>
      <c r="G196" s="790"/>
      <c r="H196" s="790"/>
      <c r="I196" s="790"/>
      <c r="J196" s="790"/>
      <c r="K196" s="1821"/>
      <c r="L196" s="1821"/>
      <c r="M196" s="1821"/>
      <c r="N196" s="1821"/>
      <c r="O196" s="1821"/>
      <c r="P196" s="1628"/>
      <c r="Q196" s="1640"/>
      <c r="R196" s="1640"/>
      <c r="S196" s="1640"/>
      <c r="T196" s="1521"/>
      <c r="U196" s="1640"/>
      <c r="W196" s="1554"/>
      <c r="X196" s="101">
        <f t="shared" si="33"/>
        <v>0</v>
      </c>
      <c r="AE196" s="1892">
        <f t="shared" si="21"/>
        <v>0</v>
      </c>
    </row>
    <row r="197" spans="1:60" x14ac:dyDescent="0.35">
      <c r="B197" s="775"/>
      <c r="C197" s="769"/>
      <c r="D197" s="779"/>
      <c r="E197" s="1628"/>
      <c r="F197" s="790"/>
      <c r="G197" s="790"/>
      <c r="H197" s="790"/>
      <c r="I197" s="790"/>
      <c r="J197" s="790"/>
      <c r="K197" s="1821"/>
      <c r="L197" s="1821"/>
      <c r="M197" s="1821"/>
      <c r="N197" s="1821"/>
      <c r="O197" s="1821"/>
      <c r="P197" s="1628"/>
      <c r="Q197" s="1640"/>
      <c r="R197" s="1640"/>
      <c r="S197" s="1640"/>
      <c r="T197" s="1521"/>
      <c r="U197" s="1640"/>
      <c r="W197" s="1554"/>
      <c r="X197" s="101">
        <f t="shared" si="33"/>
        <v>0</v>
      </c>
      <c r="AE197" s="1892">
        <f t="shared" si="21"/>
        <v>0</v>
      </c>
    </row>
    <row r="198" spans="1:60" x14ac:dyDescent="0.35">
      <c r="B198" s="777" t="s">
        <v>288</v>
      </c>
      <c r="C198" s="778" t="s">
        <v>1386</v>
      </c>
      <c r="D198" s="779"/>
      <c r="E198" s="1611">
        <v>197</v>
      </c>
      <c r="F198" s="790"/>
      <c r="G198" s="781"/>
      <c r="H198" s="781"/>
      <c r="I198" s="781"/>
      <c r="J198" s="781"/>
      <c r="K198" s="1814"/>
      <c r="L198" s="1814"/>
      <c r="M198" s="1814"/>
      <c r="N198" s="1814"/>
      <c r="O198" s="1827">
        <f t="shared" ref="O198:O216" si="39">U198-SUM(P198:S198)-SUM(E198:N198)</f>
        <v>1069.2503959999999</v>
      </c>
      <c r="P198" s="1615"/>
      <c r="Q198" s="1794"/>
      <c r="R198" s="1794"/>
      <c r="S198" s="1794"/>
      <c r="T198" s="1521"/>
      <c r="U198" s="1867">
        <f>+'Passage Passif BC '!BG82</f>
        <v>1266.2503959999999</v>
      </c>
      <c r="W198" s="1554">
        <v>182.88570100000001</v>
      </c>
      <c r="X198" s="101">
        <f t="shared" si="33"/>
        <v>-1083.364695</v>
      </c>
      <c r="Z198">
        <v>182.88570100000001</v>
      </c>
      <c r="AD198" s="1421">
        <v>1266.2503959999999</v>
      </c>
      <c r="AE198" s="1892">
        <f t="shared" si="21"/>
        <v>0</v>
      </c>
      <c r="AH198" s="1421"/>
    </row>
    <row r="199" spans="1:60" x14ac:dyDescent="0.35">
      <c r="B199" s="777" t="s">
        <v>219</v>
      </c>
      <c r="C199" s="778" t="s">
        <v>1387</v>
      </c>
      <c r="D199" s="779"/>
      <c r="E199" s="1611">
        <v>40721.599999999999</v>
      </c>
      <c r="F199" s="790"/>
      <c r="G199" s="781"/>
      <c r="H199" s="781"/>
      <c r="I199" s="781"/>
      <c r="J199" s="781"/>
      <c r="K199" s="1814"/>
      <c r="L199" s="1814"/>
      <c r="M199" s="1814"/>
      <c r="N199" s="1814"/>
      <c r="O199" s="1827">
        <f t="shared" si="39"/>
        <v>197.80580800000462</v>
      </c>
      <c r="P199" s="1615"/>
      <c r="Q199" s="1794"/>
      <c r="R199" s="1794"/>
      <c r="S199" s="1794"/>
      <c r="T199" s="1521"/>
      <c r="U199" s="1867">
        <f>+'Passage Passif BC '!BG83</f>
        <v>40919.405808000003</v>
      </c>
      <c r="W199" s="1554">
        <v>42538.318135000001</v>
      </c>
      <c r="X199" s="101">
        <f t="shared" si="33"/>
        <v>1618.9123269999982</v>
      </c>
      <c r="AD199" s="1421">
        <v>40945.462585000001</v>
      </c>
      <c r="AE199" s="1892">
        <f t="shared" si="21"/>
        <v>-26.056776999997965</v>
      </c>
      <c r="AF199" s="75">
        <v>-26.056776999997965</v>
      </c>
      <c r="AH199" s="1421"/>
    </row>
    <row r="200" spans="1:60" x14ac:dyDescent="0.35">
      <c r="B200" s="777" t="s">
        <v>294</v>
      </c>
      <c r="C200" s="778" t="s">
        <v>1388</v>
      </c>
      <c r="D200" s="779"/>
      <c r="E200" s="1611">
        <v>1136.4000000000001</v>
      </c>
      <c r="F200" s="790"/>
      <c r="G200" s="781"/>
      <c r="H200" s="781"/>
      <c r="I200" s="781"/>
      <c r="J200" s="781"/>
      <c r="K200" s="1814"/>
      <c r="L200" s="1814"/>
      <c r="M200" s="1814"/>
      <c r="N200" s="1814"/>
      <c r="O200" s="1827">
        <f t="shared" si="39"/>
        <v>-72.477577999999994</v>
      </c>
      <c r="P200" s="1615"/>
      <c r="Q200" s="1794"/>
      <c r="R200" s="1794"/>
      <c r="S200" s="1794"/>
      <c r="T200" s="1521"/>
      <c r="U200" s="1867">
        <f>+'Passage Passif BC '!BG84</f>
        <v>1063.9224220000001</v>
      </c>
      <c r="W200" s="1554">
        <v>1198.0268000000001</v>
      </c>
      <c r="X200" s="101">
        <f t="shared" si="33"/>
        <v>134.104378</v>
      </c>
      <c r="AD200" s="1421">
        <v>1063.9224220000001</v>
      </c>
      <c r="AE200" s="1892">
        <f t="shared" ref="AE200:AE256" si="40">U200-AD200</f>
        <v>0</v>
      </c>
      <c r="AH200" s="1421"/>
    </row>
    <row r="201" spans="1:60" x14ac:dyDescent="0.35">
      <c r="B201" s="777" t="s">
        <v>298</v>
      </c>
      <c r="C201" s="778" t="s">
        <v>1389</v>
      </c>
      <c r="D201" s="779"/>
      <c r="E201" s="1611">
        <v>353.4</v>
      </c>
      <c r="F201" s="790"/>
      <c r="G201" s="781"/>
      <c r="H201" s="781"/>
      <c r="I201" s="781"/>
      <c r="J201" s="781"/>
      <c r="K201" s="1814"/>
      <c r="L201" s="1814"/>
      <c r="M201" s="1814"/>
      <c r="N201" s="1814"/>
      <c r="O201" s="1827">
        <f t="shared" si="39"/>
        <v>-10.773440999999991</v>
      </c>
      <c r="P201" s="1615"/>
      <c r="Q201" s="1794"/>
      <c r="R201" s="1794"/>
      <c r="S201" s="1794"/>
      <c r="T201" s="1521"/>
      <c r="U201" s="1867">
        <f>+'Passage Passif BC '!BG85</f>
        <v>342.62655899999999</v>
      </c>
      <c r="W201" s="1554">
        <v>363.10925500000002</v>
      </c>
      <c r="X201" s="101">
        <f t="shared" si="33"/>
        <v>20.482696000000033</v>
      </c>
      <c r="AD201" s="1421">
        <v>342.62655899999999</v>
      </c>
      <c r="AE201" s="1892">
        <f t="shared" si="40"/>
        <v>0</v>
      </c>
      <c r="AH201" s="1421"/>
    </row>
    <row r="202" spans="1:60" x14ac:dyDescent="0.35">
      <c r="B202" s="777" t="s">
        <v>306</v>
      </c>
      <c r="C202" s="778" t="s">
        <v>1390</v>
      </c>
      <c r="D202" s="779"/>
      <c r="E202" s="1611">
        <v>1182.0999999999999</v>
      </c>
      <c r="F202" s="790"/>
      <c r="G202" s="781"/>
      <c r="H202" s="781"/>
      <c r="I202" s="781"/>
      <c r="J202" s="781"/>
      <c r="K202" s="1814"/>
      <c r="L202" s="1814"/>
      <c r="M202" s="1814"/>
      <c r="N202" s="1814"/>
      <c r="O202" s="1827">
        <f t="shared" si="39"/>
        <v>1125.3653250000002</v>
      </c>
      <c r="P202" s="1615"/>
      <c r="Q202" s="1794"/>
      <c r="R202" s="1794"/>
      <c r="S202" s="1794"/>
      <c r="T202" s="1521"/>
      <c r="U202" s="1867">
        <f>+'Passage Passif BC '!BG86</f>
        <v>2307.4653250000001</v>
      </c>
      <c r="W202" s="1554">
        <v>1269.8940990000001</v>
      </c>
      <c r="X202" s="101">
        <f t="shared" si="33"/>
        <v>-1037.571226</v>
      </c>
      <c r="AD202" s="1421">
        <v>2307.4653250000001</v>
      </c>
      <c r="AE202" s="1892">
        <f t="shared" si="40"/>
        <v>0</v>
      </c>
      <c r="AH202" s="1421"/>
    </row>
    <row r="203" spans="1:60" x14ac:dyDescent="0.35">
      <c r="B203" s="777" t="s">
        <v>310</v>
      </c>
      <c r="C203" s="778" t="s">
        <v>1391</v>
      </c>
      <c r="D203" s="779"/>
      <c r="E203" s="1611">
        <v>1832.1</v>
      </c>
      <c r="F203" s="790"/>
      <c r="G203" s="781"/>
      <c r="H203" s="781"/>
      <c r="I203" s="781"/>
      <c r="J203" s="781"/>
      <c r="K203" s="1814"/>
      <c r="L203" s="1814"/>
      <c r="M203" s="1814"/>
      <c r="N203" s="1814"/>
      <c r="O203" s="1827">
        <f t="shared" si="39"/>
        <v>1165.7512280000001</v>
      </c>
      <c r="P203" s="1615"/>
      <c r="Q203" s="1794"/>
      <c r="R203" s="1794"/>
      <c r="S203" s="1794"/>
      <c r="T203" s="1521"/>
      <c r="U203" s="1867">
        <f>+'Passage Passif BC '!BG87</f>
        <v>2997.851228</v>
      </c>
      <c r="W203" s="1554">
        <v>2098.6849560000001</v>
      </c>
      <c r="X203" s="101">
        <f t="shared" si="33"/>
        <v>-899.16627199999994</v>
      </c>
      <c r="AD203" s="1421">
        <v>2997.851228</v>
      </c>
      <c r="AE203" s="1892">
        <f t="shared" si="40"/>
        <v>0</v>
      </c>
    </row>
    <row r="204" spans="1:60" x14ac:dyDescent="0.35">
      <c r="B204" s="777" t="s">
        <v>1392</v>
      </c>
      <c r="C204" s="778" t="s">
        <v>1393</v>
      </c>
      <c r="D204" s="779"/>
      <c r="E204" s="1611">
        <v>0</v>
      </c>
      <c r="F204" s="790"/>
      <c r="G204" s="781"/>
      <c r="H204" s="781"/>
      <c r="I204" s="781"/>
      <c r="J204" s="789"/>
      <c r="K204" s="1814"/>
      <c r="L204" s="1814"/>
      <c r="M204" s="1814"/>
      <c r="N204" s="1814"/>
      <c r="O204" s="1827">
        <f t="shared" si="39"/>
        <v>0</v>
      </c>
      <c r="P204" s="1615"/>
      <c r="Q204" s="1794"/>
      <c r="R204" s="1794"/>
      <c r="S204" s="1794"/>
      <c r="T204" s="1521"/>
      <c r="U204" s="1662">
        <f>+'Passage Passif BC '!BG88</f>
        <v>0</v>
      </c>
      <c r="W204" s="1554">
        <v>0</v>
      </c>
      <c r="X204" s="101">
        <f t="shared" si="33"/>
        <v>0</v>
      </c>
      <c r="AD204" s="1421">
        <v>0</v>
      </c>
      <c r="AE204" s="1892">
        <f t="shared" si="40"/>
        <v>0</v>
      </c>
    </row>
    <row r="205" spans="1:60" x14ac:dyDescent="0.35">
      <c r="B205" s="777" t="s">
        <v>1394</v>
      </c>
      <c r="C205" s="778" t="s">
        <v>1395</v>
      </c>
      <c r="D205" s="779"/>
      <c r="E205" s="1611">
        <v>0</v>
      </c>
      <c r="F205" s="790"/>
      <c r="G205" s="781"/>
      <c r="H205" s="781"/>
      <c r="I205" s="781"/>
      <c r="J205" s="789"/>
      <c r="K205" s="1814"/>
      <c r="L205" s="1814"/>
      <c r="M205" s="1814"/>
      <c r="N205" s="1814"/>
      <c r="O205" s="1827">
        <f t="shared" si="39"/>
        <v>0</v>
      </c>
      <c r="P205" s="1615"/>
      <c r="Q205" s="1794"/>
      <c r="R205" s="1794"/>
      <c r="S205" s="1794"/>
      <c r="T205" s="1521"/>
      <c r="U205" s="1593">
        <f>+'Passage Passif BC '!BG89</f>
        <v>0</v>
      </c>
      <c r="W205" s="1554">
        <v>0</v>
      </c>
      <c r="X205" s="101">
        <f t="shared" si="33"/>
        <v>0</v>
      </c>
      <c r="AD205" s="1421">
        <v>0</v>
      </c>
      <c r="AE205" s="1892">
        <f t="shared" si="40"/>
        <v>0</v>
      </c>
    </row>
    <row r="206" spans="1:60" x14ac:dyDescent="0.35">
      <c r="B206" s="777" t="s">
        <v>1396</v>
      </c>
      <c r="C206" s="778" t="s">
        <v>1397</v>
      </c>
      <c r="D206" s="779"/>
      <c r="E206" s="1611">
        <v>0</v>
      </c>
      <c r="F206" s="790"/>
      <c r="G206" s="781"/>
      <c r="H206" s="781"/>
      <c r="I206" s="781"/>
      <c r="J206" s="781"/>
      <c r="K206" s="1814"/>
      <c r="L206" s="1814"/>
      <c r="M206" s="1814"/>
      <c r="N206" s="1814"/>
      <c r="O206" s="1827">
        <f t="shared" si="39"/>
        <v>0</v>
      </c>
      <c r="P206" s="1615"/>
      <c r="Q206" s="1794"/>
      <c r="R206" s="1794"/>
      <c r="S206" s="1794"/>
      <c r="T206" s="1521"/>
      <c r="U206" s="1593">
        <f>+'Passage Passif BC '!BG90</f>
        <v>0</v>
      </c>
      <c r="W206" s="1554">
        <v>0</v>
      </c>
      <c r="X206" s="101">
        <f t="shared" si="33"/>
        <v>0</v>
      </c>
      <c r="AD206" s="1421">
        <v>0</v>
      </c>
      <c r="AE206" s="1892">
        <f t="shared" si="40"/>
        <v>0</v>
      </c>
    </row>
    <row r="207" spans="1:60" x14ac:dyDescent="0.35">
      <c r="B207" s="777" t="s">
        <v>1398</v>
      </c>
      <c r="C207" s="778" t="s">
        <v>1399</v>
      </c>
      <c r="D207" s="779"/>
      <c r="E207" s="1611">
        <v>0</v>
      </c>
      <c r="F207" s="790"/>
      <c r="G207" s="781"/>
      <c r="H207" s="781"/>
      <c r="I207" s="781"/>
      <c r="J207" s="781"/>
      <c r="K207" s="1814"/>
      <c r="L207" s="1814"/>
      <c r="M207" s="1814"/>
      <c r="N207" s="1814"/>
      <c r="O207" s="1827">
        <f t="shared" si="39"/>
        <v>0</v>
      </c>
      <c r="P207" s="1615"/>
      <c r="Q207" s="1794"/>
      <c r="R207" s="1794"/>
      <c r="S207" s="1794"/>
      <c r="T207" s="1521"/>
      <c r="U207" s="1593">
        <f>+'Passage Passif BC '!BG91</f>
        <v>0</v>
      </c>
      <c r="W207" s="1554">
        <v>0</v>
      </c>
      <c r="X207" s="101">
        <f t="shared" si="33"/>
        <v>0</v>
      </c>
      <c r="AD207" s="1421">
        <v>0</v>
      </c>
      <c r="AE207" s="1892">
        <f t="shared" si="40"/>
        <v>0</v>
      </c>
    </row>
    <row r="208" spans="1:60" x14ac:dyDescent="0.35">
      <c r="B208" s="777" t="s">
        <v>1400</v>
      </c>
      <c r="C208" s="778" t="s">
        <v>1401</v>
      </c>
      <c r="D208" s="779"/>
      <c r="E208" s="1611">
        <v>0</v>
      </c>
      <c r="F208" s="790"/>
      <c r="G208" s="781"/>
      <c r="H208" s="781"/>
      <c r="I208" s="781"/>
      <c r="J208" s="781"/>
      <c r="K208" s="1814"/>
      <c r="L208" s="1814"/>
      <c r="M208" s="1814"/>
      <c r="N208" s="1814"/>
      <c r="O208" s="1827">
        <f t="shared" si="39"/>
        <v>0</v>
      </c>
      <c r="P208" s="1615"/>
      <c r="Q208" s="1794"/>
      <c r="R208" s="1794"/>
      <c r="S208" s="1794"/>
      <c r="T208" s="1521"/>
      <c r="U208" s="1593">
        <f>+'Passage Passif BC '!BG92</f>
        <v>0</v>
      </c>
      <c r="W208" s="1554">
        <v>0</v>
      </c>
      <c r="X208" s="101">
        <f t="shared" si="33"/>
        <v>0</v>
      </c>
      <c r="AD208" s="1421">
        <v>0</v>
      </c>
      <c r="AE208" s="1892">
        <f t="shared" si="40"/>
        <v>0</v>
      </c>
    </row>
    <row r="209" spans="2:33" x14ac:dyDescent="0.35">
      <c r="B209" s="777" t="s">
        <v>1402</v>
      </c>
      <c r="C209" s="778" t="s">
        <v>1403</v>
      </c>
      <c r="D209" s="779"/>
      <c r="E209" s="1611">
        <v>0</v>
      </c>
      <c r="F209" s="790"/>
      <c r="G209" s="781"/>
      <c r="H209" s="781"/>
      <c r="I209" s="781"/>
      <c r="J209" s="781"/>
      <c r="K209" s="1814"/>
      <c r="L209" s="1814"/>
      <c r="M209" s="1814"/>
      <c r="N209" s="1814"/>
      <c r="O209" s="1827">
        <f t="shared" si="39"/>
        <v>0</v>
      </c>
      <c r="P209" s="1615"/>
      <c r="Q209" s="1794"/>
      <c r="R209" s="1794"/>
      <c r="S209" s="1794"/>
      <c r="T209" s="1521"/>
      <c r="U209" s="1593">
        <f>+'Passage Passif BC '!BG93</f>
        <v>0</v>
      </c>
      <c r="W209" s="1554">
        <v>0</v>
      </c>
      <c r="X209" s="101">
        <f t="shared" si="33"/>
        <v>0</v>
      </c>
      <c r="AD209" s="1421">
        <v>0</v>
      </c>
      <c r="AE209" s="1892">
        <f t="shared" si="40"/>
        <v>0</v>
      </c>
    </row>
    <row r="210" spans="2:33" x14ac:dyDescent="0.35">
      <c r="B210" s="777" t="s">
        <v>366</v>
      </c>
      <c r="C210" s="778" t="s">
        <v>1404</v>
      </c>
      <c r="D210" s="779"/>
      <c r="E210" s="1611">
        <v>17826.2</v>
      </c>
      <c r="F210" s="790"/>
      <c r="G210" s="781"/>
      <c r="H210" s="781"/>
      <c r="I210" s="781"/>
      <c r="J210" s="781"/>
      <c r="K210" s="1814"/>
      <c r="L210" s="1814"/>
      <c r="M210" s="1814"/>
      <c r="N210" s="1814"/>
      <c r="O210" s="1827">
        <f t="shared" si="39"/>
        <v>2347.5657519999986</v>
      </c>
      <c r="P210" s="1615"/>
      <c r="Q210" s="1794"/>
      <c r="R210" s="1794"/>
      <c r="S210" s="1794"/>
      <c r="T210" s="1521"/>
      <c r="U210" s="1677">
        <f>+'Passage Passif BC '!BG94</f>
        <v>20173.765751999999</v>
      </c>
      <c r="W210" s="1554">
        <v>15732.701972999999</v>
      </c>
      <c r="X210" s="101">
        <f t="shared" si="33"/>
        <v>-4441.0637790000001</v>
      </c>
      <c r="AD210" s="1421">
        <v>19234.324814</v>
      </c>
      <c r="AE210" s="1892">
        <f t="shared" si="40"/>
        <v>939.44093799999973</v>
      </c>
      <c r="AF210" s="75">
        <v>939.44093799999996</v>
      </c>
      <c r="AG210" s="96"/>
    </row>
    <row r="211" spans="2:33" x14ac:dyDescent="0.35">
      <c r="B211" s="777" t="s">
        <v>371</v>
      </c>
      <c r="C211" s="778" t="s">
        <v>1405</v>
      </c>
      <c r="D211" s="779"/>
      <c r="E211" s="1611">
        <v>0</v>
      </c>
      <c r="F211" s="790"/>
      <c r="G211" s="781"/>
      <c r="H211" s="781"/>
      <c r="I211" s="781"/>
      <c r="J211" s="781"/>
      <c r="K211" s="1814"/>
      <c r="L211" s="1814"/>
      <c r="M211" s="1814"/>
      <c r="N211" s="1814"/>
      <c r="O211" s="1827">
        <f t="shared" si="39"/>
        <v>0</v>
      </c>
      <c r="P211" s="1615"/>
      <c r="Q211" s="1794"/>
      <c r="R211" s="1794"/>
      <c r="S211" s="1794"/>
      <c r="T211" s="1521"/>
      <c r="U211" s="1593">
        <f>+'Passage Passif BC '!BG95</f>
        <v>0</v>
      </c>
      <c r="W211" s="1554">
        <v>0</v>
      </c>
      <c r="X211" s="101">
        <f t="shared" si="33"/>
        <v>0</v>
      </c>
      <c r="AD211" s="1421">
        <v>0</v>
      </c>
      <c r="AE211" s="1892">
        <f t="shared" si="40"/>
        <v>0</v>
      </c>
    </row>
    <row r="212" spans="2:33" x14ac:dyDescent="0.35">
      <c r="B212" s="777" t="s">
        <v>342</v>
      </c>
      <c r="C212" s="778" t="s">
        <v>1406</v>
      </c>
      <c r="D212" s="779"/>
      <c r="E212" s="1611">
        <v>16056.4</v>
      </c>
      <c r="F212" s="790"/>
      <c r="G212" s="781"/>
      <c r="H212" s="781"/>
      <c r="I212" s="781"/>
      <c r="J212" s="781"/>
      <c r="K212" s="1814"/>
      <c r="L212" s="1814"/>
      <c r="M212" s="1814"/>
      <c r="N212" s="1814"/>
      <c r="O212" s="1827">
        <f t="shared" si="39"/>
        <v>-6350.5034999999989</v>
      </c>
      <c r="P212" s="1615"/>
      <c r="Q212" s="1794"/>
      <c r="R212" s="1794"/>
      <c r="S212" s="1794"/>
      <c r="T212" s="1521"/>
      <c r="U212" s="1662">
        <f>+'Passage Passif BC '!BG96</f>
        <v>9705.8965000000007</v>
      </c>
      <c r="W212" s="1554">
        <v>14305.452211</v>
      </c>
      <c r="X212" s="101">
        <f t="shared" ref="X212:X243" si="41">W212-U212</f>
        <v>4599.5557109999991</v>
      </c>
      <c r="AD212" s="1421">
        <v>9705.8965000000007</v>
      </c>
      <c r="AE212" s="1892">
        <f t="shared" si="40"/>
        <v>0</v>
      </c>
    </row>
    <row r="213" spans="2:33" x14ac:dyDescent="0.35">
      <c r="B213" s="777" t="s">
        <v>358</v>
      </c>
      <c r="C213" s="778" t="s">
        <v>1407</v>
      </c>
      <c r="D213" s="779"/>
      <c r="E213" s="1611"/>
      <c r="F213" s="790"/>
      <c r="G213" s="781"/>
      <c r="H213" s="781"/>
      <c r="I213" s="781"/>
      <c r="J213" s="781"/>
      <c r="K213" s="1814"/>
      <c r="L213" s="1814"/>
      <c r="M213" s="1814"/>
      <c r="N213" s="1814"/>
      <c r="O213" s="1827">
        <f t="shared" si="39"/>
        <v>-106.450439</v>
      </c>
      <c r="P213" s="1615"/>
      <c r="Q213" s="1794"/>
      <c r="R213" s="1794"/>
      <c r="S213" s="1794"/>
      <c r="T213" s="1521"/>
      <c r="U213" s="1593">
        <f>+'Passage Passif BC '!BG97</f>
        <v>-106.450439</v>
      </c>
      <c r="W213" s="1554">
        <v>-70.559813000000005</v>
      </c>
      <c r="X213" s="101">
        <f t="shared" si="41"/>
        <v>35.890625999999997</v>
      </c>
      <c r="AD213" s="1421">
        <v>-106.450439</v>
      </c>
      <c r="AE213" s="1892">
        <f t="shared" si="40"/>
        <v>0</v>
      </c>
    </row>
    <row r="214" spans="2:33" x14ac:dyDescent="0.35">
      <c r="B214" s="777" t="s">
        <v>1408</v>
      </c>
      <c r="C214" s="778" t="s">
        <v>1882</v>
      </c>
      <c r="D214" s="779"/>
      <c r="E214" s="1611">
        <v>0</v>
      </c>
      <c r="F214" s="790"/>
      <c r="G214" s="781"/>
      <c r="H214" s="781"/>
      <c r="I214" s="781"/>
      <c r="J214" s="781"/>
      <c r="K214" s="1814"/>
      <c r="L214" s="1814"/>
      <c r="M214" s="1814"/>
      <c r="N214" s="1814"/>
      <c r="O214" s="1827">
        <f t="shared" si="39"/>
        <v>0</v>
      </c>
      <c r="P214" s="1615"/>
      <c r="Q214" s="1794"/>
      <c r="R214" s="1794"/>
      <c r="S214" s="1794"/>
      <c r="T214" s="1521"/>
      <c r="U214" s="1593">
        <f>+'Passage Passif BC '!BG98</f>
        <v>0</v>
      </c>
      <c r="W214" s="1554">
        <v>0</v>
      </c>
      <c r="X214" s="101">
        <f t="shared" si="41"/>
        <v>0</v>
      </c>
      <c r="AD214" s="1421">
        <v>0</v>
      </c>
      <c r="AE214" s="1892">
        <f t="shared" si="40"/>
        <v>0</v>
      </c>
    </row>
    <row r="215" spans="2:33" x14ac:dyDescent="0.35">
      <c r="B215" s="777" t="s">
        <v>1410</v>
      </c>
      <c r="C215" s="778" t="s">
        <v>1883</v>
      </c>
      <c r="D215" s="779"/>
      <c r="E215" s="1611">
        <v>0</v>
      </c>
      <c r="F215" s="790"/>
      <c r="G215" s="781"/>
      <c r="H215" s="781"/>
      <c r="I215" s="781"/>
      <c r="J215" s="781"/>
      <c r="K215" s="1814"/>
      <c r="L215" s="1814"/>
      <c r="M215" s="1814"/>
      <c r="N215" s="1814"/>
      <c r="O215" s="1827">
        <f t="shared" si="39"/>
        <v>0</v>
      </c>
      <c r="P215" s="1615"/>
      <c r="Q215" s="1794"/>
      <c r="R215" s="1794"/>
      <c r="S215" s="1794"/>
      <c r="T215" s="1521"/>
      <c r="U215" s="1593">
        <f>+'Passage Passif BC '!BG99</f>
        <v>0</v>
      </c>
      <c r="W215" s="1554">
        <v>0</v>
      </c>
      <c r="X215" s="101">
        <f t="shared" si="41"/>
        <v>0</v>
      </c>
      <c r="AD215" s="1421">
        <v>0</v>
      </c>
      <c r="AE215" s="1892">
        <f t="shared" si="40"/>
        <v>0</v>
      </c>
    </row>
    <row r="216" spans="2:33" x14ac:dyDescent="0.35">
      <c r="B216" s="777" t="s">
        <v>1412</v>
      </c>
      <c r="C216" s="778" t="s">
        <v>1413</v>
      </c>
      <c r="D216" s="779"/>
      <c r="E216" s="1611">
        <v>22409.4</v>
      </c>
      <c r="F216" s="790"/>
      <c r="G216" s="781"/>
      <c r="H216" s="781"/>
      <c r="I216" s="781"/>
      <c r="J216" s="781"/>
      <c r="K216" s="1814"/>
      <c r="L216" s="1814"/>
      <c r="M216" s="1814"/>
      <c r="N216" s="1814"/>
      <c r="O216" s="1827">
        <f t="shared" si="39"/>
        <v>2309.2679749999988</v>
      </c>
      <c r="P216" s="1615"/>
      <c r="Q216" s="1794"/>
      <c r="R216" s="1794"/>
      <c r="S216" s="1794"/>
      <c r="T216" s="1521"/>
      <c r="U216" s="1593">
        <f>+'Passage Passif BC '!BG100</f>
        <v>24718.667975</v>
      </c>
      <c r="W216" s="1554">
        <v>23074.405569000002</v>
      </c>
      <c r="X216" s="101">
        <f t="shared" si="41"/>
        <v>-1644.262405999998</v>
      </c>
      <c r="AD216" s="1421">
        <v>24718.667975</v>
      </c>
      <c r="AE216" s="1892">
        <f t="shared" si="40"/>
        <v>0</v>
      </c>
    </row>
    <row r="217" spans="2:33" ht="18.600000000000001" thickBot="1" x14ac:dyDescent="0.4">
      <c r="B217" s="783" t="s">
        <v>1414</v>
      </c>
      <c r="C217" s="784" t="s">
        <v>1415</v>
      </c>
      <c r="D217" s="779"/>
      <c r="E217" s="1616">
        <f>SUM(E198:E216)</f>
        <v>101714.6</v>
      </c>
      <c r="F217" s="790"/>
      <c r="G217" s="786"/>
      <c r="H217" s="786"/>
      <c r="I217" s="786"/>
      <c r="J217" s="786">
        <f>SUM(J198:J216)</f>
        <v>0</v>
      </c>
      <c r="K217" s="1784">
        <f>SUM(K198:K216)</f>
        <v>0</v>
      </c>
      <c r="L217" s="1784">
        <f t="shared" ref="L217:S217" si="42">SUM(L198:L216)</f>
        <v>0</v>
      </c>
      <c r="M217" s="1784">
        <f t="shared" si="42"/>
        <v>0</v>
      </c>
      <c r="N217" s="1784">
        <f t="shared" si="42"/>
        <v>0</v>
      </c>
      <c r="O217" s="1784">
        <f t="shared" si="42"/>
        <v>1674.8015260000032</v>
      </c>
      <c r="P217" s="1616">
        <f t="shared" si="42"/>
        <v>0</v>
      </c>
      <c r="Q217" s="1637">
        <f t="shared" si="42"/>
        <v>0</v>
      </c>
      <c r="R217" s="1637">
        <f t="shared" si="42"/>
        <v>0</v>
      </c>
      <c r="S217" s="1637">
        <f t="shared" si="42"/>
        <v>0</v>
      </c>
      <c r="T217" s="1521"/>
      <c r="U217" s="1637">
        <f>SUM(U198:U216)</f>
        <v>103389.40152600002</v>
      </c>
      <c r="W217" s="1559">
        <v>100692.918886</v>
      </c>
      <c r="X217" s="101">
        <f t="shared" si="41"/>
        <v>-2696.4826400000165</v>
      </c>
      <c r="AD217" s="1421">
        <v>102476.01736500001</v>
      </c>
      <c r="AE217" s="1892">
        <f t="shared" si="40"/>
        <v>913.38416100000904</v>
      </c>
    </row>
    <row r="218" spans="2:33" x14ac:dyDescent="0.35">
      <c r="B218" s="775"/>
      <c r="C218" s="769"/>
      <c r="D218" s="779"/>
      <c r="E218" s="1628"/>
      <c r="F218" s="790"/>
      <c r="G218" s="790"/>
      <c r="H218" s="790"/>
      <c r="I218" s="790"/>
      <c r="J218" s="790"/>
      <c r="K218" s="1821"/>
      <c r="L218" s="1821"/>
      <c r="M218" s="1821"/>
      <c r="N218" s="1821"/>
      <c r="O218" s="1821"/>
      <c r="P218" s="1628"/>
      <c r="Q218" s="1640"/>
      <c r="R218" s="1640"/>
      <c r="S218" s="1640"/>
      <c r="T218" s="1521"/>
      <c r="U218" s="1640"/>
      <c r="W218" s="1554"/>
      <c r="X218" s="101">
        <f t="shared" si="41"/>
        <v>0</v>
      </c>
      <c r="AE218" s="1892">
        <f t="shared" si="40"/>
        <v>0</v>
      </c>
    </row>
    <row r="219" spans="2:33" x14ac:dyDescent="0.35">
      <c r="B219" s="777" t="s">
        <v>1416</v>
      </c>
      <c r="C219" s="778" t="s">
        <v>1417</v>
      </c>
      <c r="D219" s="779"/>
      <c r="E219" s="1611">
        <v>0</v>
      </c>
      <c r="F219" s="780"/>
      <c r="G219" s="781"/>
      <c r="H219" s="781"/>
      <c r="I219" s="781"/>
      <c r="J219" s="781"/>
      <c r="K219" s="1814"/>
      <c r="L219" s="1814"/>
      <c r="M219" s="1814"/>
      <c r="N219" s="1814"/>
      <c r="O219" s="1827">
        <f>U219-SUM(P219:S219)-SUM(E219:N219)</f>
        <v>0</v>
      </c>
      <c r="P219" s="1615"/>
      <c r="Q219" s="1794"/>
      <c r="R219" s="1794"/>
      <c r="S219" s="1796"/>
      <c r="T219" s="1521"/>
      <c r="U219" s="1593">
        <f>+'Passage Passif BC '!BG103</f>
        <v>0</v>
      </c>
      <c r="W219" s="1554">
        <v>0</v>
      </c>
      <c r="X219" s="101">
        <f t="shared" si="41"/>
        <v>0</v>
      </c>
      <c r="AD219" s="1421">
        <v>0</v>
      </c>
      <c r="AE219" s="1892">
        <f t="shared" si="40"/>
        <v>0</v>
      </c>
    </row>
    <row r="220" spans="2:33" ht="18.600000000000001" thickBot="1" x14ac:dyDescent="0.4">
      <c r="B220" s="783" t="s">
        <v>1418</v>
      </c>
      <c r="C220" s="784" t="s">
        <v>1884</v>
      </c>
      <c r="D220" s="779"/>
      <c r="E220" s="1621">
        <v>0</v>
      </c>
      <c r="F220" s="780"/>
      <c r="G220" s="786"/>
      <c r="H220" s="786"/>
      <c r="I220" s="786"/>
      <c r="J220" s="786"/>
      <c r="K220" s="1784">
        <f>+K219</f>
        <v>0</v>
      </c>
      <c r="L220" s="1784">
        <f t="shared" ref="L220:S220" si="43">+L219</f>
        <v>0</v>
      </c>
      <c r="M220" s="1784">
        <f t="shared" si="43"/>
        <v>0</v>
      </c>
      <c r="N220" s="1784">
        <f t="shared" si="43"/>
        <v>0</v>
      </c>
      <c r="O220" s="1784">
        <f t="shared" si="43"/>
        <v>0</v>
      </c>
      <c r="P220" s="1616">
        <f t="shared" si="43"/>
        <v>0</v>
      </c>
      <c r="Q220" s="1637">
        <f t="shared" si="43"/>
        <v>0</v>
      </c>
      <c r="R220" s="1637">
        <f t="shared" si="43"/>
        <v>0</v>
      </c>
      <c r="S220" s="1637">
        <f t="shared" si="43"/>
        <v>0</v>
      </c>
      <c r="T220" s="1521"/>
      <c r="U220" s="1638">
        <f>+U219</f>
        <v>0</v>
      </c>
      <c r="W220" s="1555">
        <v>0</v>
      </c>
      <c r="X220" s="101">
        <f t="shared" si="41"/>
        <v>0</v>
      </c>
      <c r="AD220" s="1421">
        <v>0</v>
      </c>
      <c r="AE220" s="1892">
        <f t="shared" si="40"/>
        <v>0</v>
      </c>
    </row>
    <row r="221" spans="2:33" x14ac:dyDescent="0.35">
      <c r="B221" s="775"/>
      <c r="C221" s="769"/>
      <c r="D221" s="779"/>
      <c r="E221" s="1628"/>
      <c r="F221" s="790"/>
      <c r="G221" s="790"/>
      <c r="H221" s="790"/>
      <c r="I221" s="790"/>
      <c r="J221" s="790"/>
      <c r="K221" s="1821"/>
      <c r="L221" s="1821"/>
      <c r="M221" s="1821"/>
      <c r="N221" s="1821"/>
      <c r="O221" s="1821"/>
      <c r="P221" s="1628"/>
      <c r="Q221" s="1640"/>
      <c r="R221" s="1640"/>
      <c r="S221" s="1640"/>
      <c r="T221" s="1521"/>
      <c r="U221" s="1640"/>
      <c r="W221" s="1554"/>
      <c r="X221" s="101">
        <f t="shared" si="41"/>
        <v>0</v>
      </c>
      <c r="AE221" s="1892">
        <f t="shared" si="40"/>
        <v>0</v>
      </c>
    </row>
    <row r="222" spans="2:33" x14ac:dyDescent="0.35">
      <c r="B222" s="777" t="s">
        <v>1420</v>
      </c>
      <c r="C222" s="778" t="s">
        <v>1421</v>
      </c>
      <c r="D222" s="779"/>
      <c r="E222" s="1611">
        <v>87</v>
      </c>
      <c r="F222" s="780"/>
      <c r="G222" s="781"/>
      <c r="H222" s="781"/>
      <c r="I222" s="781"/>
      <c r="J222" s="781"/>
      <c r="K222" s="1814"/>
      <c r="L222" s="1786"/>
      <c r="M222" s="1814"/>
      <c r="N222" s="1786"/>
      <c r="O222" s="1814"/>
      <c r="P222" s="1615">
        <f>U222-SUM(Q222:S222)-SUM(E222:O222)</f>
        <v>-3.7993000000113852E-2</v>
      </c>
      <c r="Q222" s="1794"/>
      <c r="R222" s="1794"/>
      <c r="S222" s="1794"/>
      <c r="T222" s="1521"/>
      <c r="U222" s="1593">
        <f>+'Passage Passif BC '!BG106</f>
        <v>86.962006999999886</v>
      </c>
      <c r="W222" s="1554">
        <v>86.962006999999886</v>
      </c>
      <c r="X222" s="101">
        <f t="shared" si="41"/>
        <v>0</v>
      </c>
      <c r="AD222" s="1421">
        <v>86.962006999999886</v>
      </c>
      <c r="AE222" s="1892">
        <f t="shared" si="40"/>
        <v>0</v>
      </c>
    </row>
    <row r="223" spans="2:33" x14ac:dyDescent="0.35">
      <c r="B223" s="777" t="s">
        <v>1422</v>
      </c>
      <c r="C223" s="778" t="s">
        <v>1423</v>
      </c>
      <c r="D223" s="779"/>
      <c r="E223" s="1611">
        <v>0</v>
      </c>
      <c r="F223" s="780"/>
      <c r="G223" s="781"/>
      <c r="H223" s="781"/>
      <c r="I223" s="781"/>
      <c r="J223" s="781"/>
      <c r="K223" s="1814"/>
      <c r="L223" s="1786"/>
      <c r="M223" s="1814"/>
      <c r="N223" s="1786"/>
      <c r="O223" s="1814"/>
      <c r="P223" s="1615">
        <f>U223-SUM(Q223:S223)-SUM(E223:O223)</f>
        <v>0</v>
      </c>
      <c r="Q223" s="1794"/>
      <c r="R223" s="1794"/>
      <c r="S223" s="1794"/>
      <c r="T223" s="1521"/>
      <c r="U223" s="1593">
        <f>+'Passage Passif BC '!BG107</f>
        <v>0</v>
      </c>
      <c r="W223" s="1554">
        <v>0</v>
      </c>
      <c r="X223" s="101">
        <f t="shared" si="41"/>
        <v>0</v>
      </c>
      <c r="AD223" s="1421">
        <v>0</v>
      </c>
      <c r="AE223" s="1892">
        <f t="shared" si="40"/>
        <v>0</v>
      </c>
    </row>
    <row r="224" spans="2:33" x14ac:dyDescent="0.35">
      <c r="B224" s="777" t="s">
        <v>1424</v>
      </c>
      <c r="C224" s="778" t="s">
        <v>1425</v>
      </c>
      <c r="D224" s="779"/>
      <c r="E224" s="1611">
        <v>0</v>
      </c>
      <c r="F224" s="780"/>
      <c r="G224" s="781"/>
      <c r="H224" s="781"/>
      <c r="I224" s="781"/>
      <c r="J224" s="781"/>
      <c r="K224" s="1814"/>
      <c r="L224" s="1786"/>
      <c r="M224" s="1814"/>
      <c r="N224" s="1786"/>
      <c r="O224" s="1814"/>
      <c r="P224" s="1615">
        <f>U224-SUM(Q224:S224)-SUM(E224:O224)</f>
        <v>0</v>
      </c>
      <c r="Q224" s="1794"/>
      <c r="R224" s="1794"/>
      <c r="S224" s="1794"/>
      <c r="T224" s="1521"/>
      <c r="U224" s="1593">
        <f>+'Passage Passif BC '!BG108</f>
        <v>0</v>
      </c>
      <c r="W224" s="1554">
        <v>0</v>
      </c>
      <c r="X224" s="101">
        <f t="shared" si="41"/>
        <v>0</v>
      </c>
      <c r="AD224" s="1421">
        <v>0</v>
      </c>
      <c r="AE224" s="1892">
        <f t="shared" si="40"/>
        <v>0</v>
      </c>
    </row>
    <row r="225" spans="2:31" x14ac:dyDescent="0.35">
      <c r="B225" s="777" t="s">
        <v>1426</v>
      </c>
      <c r="C225" s="778" t="s">
        <v>1427</v>
      </c>
      <c r="D225" s="779"/>
      <c r="E225" s="1611">
        <v>0</v>
      </c>
      <c r="F225" s="780"/>
      <c r="G225" s="781"/>
      <c r="H225" s="781"/>
      <c r="I225" s="781"/>
      <c r="J225" s="781"/>
      <c r="K225" s="1814"/>
      <c r="L225" s="1786"/>
      <c r="M225" s="1814"/>
      <c r="N225" s="1786"/>
      <c r="O225" s="1814"/>
      <c r="P225" s="1615">
        <f>U225-SUM(Q225:S225)-SUM(E225:O225)</f>
        <v>0</v>
      </c>
      <c r="Q225" s="1796"/>
      <c r="R225" s="1796"/>
      <c r="S225" s="1801"/>
      <c r="T225" s="1521"/>
      <c r="U225" s="1593">
        <f>+'Passage Passif BC '!BG109</f>
        <v>0</v>
      </c>
      <c r="W225" s="1554">
        <v>0</v>
      </c>
      <c r="X225" s="101">
        <f t="shared" si="41"/>
        <v>0</v>
      </c>
      <c r="AD225" s="1421">
        <v>0</v>
      </c>
      <c r="AE225" s="1892">
        <f t="shared" si="40"/>
        <v>0</v>
      </c>
    </row>
    <row r="226" spans="2:31" x14ac:dyDescent="0.35">
      <c r="B226" s="777" t="s">
        <v>1428</v>
      </c>
      <c r="C226" s="778" t="s">
        <v>1429</v>
      </c>
      <c r="D226" s="779"/>
      <c r="E226" s="1611">
        <v>0</v>
      </c>
      <c r="F226" s="780"/>
      <c r="G226" s="781"/>
      <c r="H226" s="781"/>
      <c r="I226" s="781"/>
      <c r="J226" s="781"/>
      <c r="K226" s="1814"/>
      <c r="L226" s="1786"/>
      <c r="M226" s="1814"/>
      <c r="N226" s="1786"/>
      <c r="O226" s="1814"/>
      <c r="P226" s="1615">
        <f>U226-SUM(Q226:S226)-SUM(E226:O226)</f>
        <v>0</v>
      </c>
      <c r="Q226" s="1794"/>
      <c r="R226" s="1794"/>
      <c r="S226" s="1794"/>
      <c r="T226" s="1521"/>
      <c r="U226" s="1593">
        <f>+'Passage Passif BC '!BG110</f>
        <v>0</v>
      </c>
      <c r="W226" s="1554">
        <v>0</v>
      </c>
      <c r="X226" s="101">
        <f t="shared" si="41"/>
        <v>0</v>
      </c>
      <c r="AD226" s="1421">
        <v>0</v>
      </c>
      <c r="AE226" s="1892">
        <f t="shared" si="40"/>
        <v>0</v>
      </c>
    </row>
    <row r="227" spans="2:31" ht="18.600000000000001" thickBot="1" x14ac:dyDescent="0.4">
      <c r="B227" s="783" t="s">
        <v>1430</v>
      </c>
      <c r="C227" s="784" t="s">
        <v>1431</v>
      </c>
      <c r="D227" s="779"/>
      <c r="E227" s="1621">
        <f>SUM(E222:E226)</f>
        <v>87</v>
      </c>
      <c r="F227" s="780"/>
      <c r="G227" s="786"/>
      <c r="H227" s="786"/>
      <c r="I227" s="786"/>
      <c r="J227" s="786"/>
      <c r="K227" s="1784">
        <f t="shared" ref="K227:U227" si="44">SUM(K222:K226)</f>
        <v>0</v>
      </c>
      <c r="L227" s="1784">
        <f t="shared" si="44"/>
        <v>0</v>
      </c>
      <c r="M227" s="1784">
        <f t="shared" si="44"/>
        <v>0</v>
      </c>
      <c r="N227" s="1784">
        <f t="shared" si="44"/>
        <v>0</v>
      </c>
      <c r="O227" s="1785">
        <f t="shared" si="44"/>
        <v>0</v>
      </c>
      <c r="P227" s="1616">
        <f t="shared" si="44"/>
        <v>-3.7993000000113852E-2</v>
      </c>
      <c r="Q227" s="1637">
        <f t="shared" si="44"/>
        <v>0</v>
      </c>
      <c r="R227" s="1637">
        <f t="shared" si="44"/>
        <v>0</v>
      </c>
      <c r="S227" s="1638">
        <f t="shared" si="44"/>
        <v>0</v>
      </c>
      <c r="T227" s="1521">
        <f t="shared" si="44"/>
        <v>0</v>
      </c>
      <c r="U227" s="1638">
        <f t="shared" si="44"/>
        <v>86.962006999999886</v>
      </c>
      <c r="W227" s="1555">
        <v>86.962006999999886</v>
      </c>
      <c r="X227" s="101">
        <f t="shared" si="41"/>
        <v>0</v>
      </c>
      <c r="AD227" s="1421">
        <v>86.962006999999886</v>
      </c>
      <c r="AE227" s="1892">
        <f t="shared" si="40"/>
        <v>0</v>
      </c>
    </row>
    <row r="228" spans="2:31" x14ac:dyDescent="0.35">
      <c r="B228" s="775"/>
      <c r="C228" s="769"/>
      <c r="D228" s="779"/>
      <c r="E228" s="1628"/>
      <c r="F228" s="790"/>
      <c r="G228" s="790"/>
      <c r="H228" s="790"/>
      <c r="I228" s="790"/>
      <c r="J228" s="790"/>
      <c r="K228" s="1821"/>
      <c r="L228" s="1821"/>
      <c r="M228" s="1821"/>
      <c r="N228" s="1821"/>
      <c r="O228" s="1821"/>
      <c r="P228" s="1628"/>
      <c r="Q228" s="1640"/>
      <c r="R228" s="1640"/>
      <c r="S228" s="1640"/>
      <c r="T228" s="1521"/>
      <c r="U228" s="1640"/>
      <c r="W228" s="1554"/>
      <c r="X228" s="101">
        <f t="shared" si="41"/>
        <v>0</v>
      </c>
      <c r="AE228" s="1892">
        <f t="shared" si="40"/>
        <v>0</v>
      </c>
    </row>
    <row r="229" spans="2:31" ht="21" x14ac:dyDescent="0.4">
      <c r="B229" s="777" t="s">
        <v>1432</v>
      </c>
      <c r="C229" s="778" t="s">
        <v>1433</v>
      </c>
      <c r="D229" s="779"/>
      <c r="E229" s="1611">
        <v>8675.7999999999993</v>
      </c>
      <c r="F229" s="780"/>
      <c r="G229" s="1420"/>
      <c r="H229" s="1420"/>
      <c r="I229" s="1420"/>
      <c r="J229" s="1420"/>
      <c r="K229" s="1842">
        <f>-'BG '!$I$16/10^6*0</f>
        <v>0</v>
      </c>
      <c r="L229" s="1814"/>
      <c r="M229" s="1837">
        <f>-(+'BG '!H16+'BG '!H17)/10^6-'BG '!H18/1000000-677.049232</f>
        <v>-8696.568467000001</v>
      </c>
      <c r="N229" s="1814"/>
      <c r="O229" s="1814"/>
      <c r="P229" s="1632">
        <f t="shared" ref="P229:P243" si="45">U229-SUM(Q229:S229)-SUM(E229:O229)</f>
        <v>14520.790067278387</v>
      </c>
      <c r="Q229" s="1796"/>
      <c r="R229" s="1796"/>
      <c r="S229" s="1794"/>
      <c r="T229" s="1521"/>
      <c r="U229" s="1593">
        <f>+'Passage Passif BC '!BG113</f>
        <v>14500.021600278385</v>
      </c>
      <c r="W229" s="1560">
        <v>12771.428953278386</v>
      </c>
      <c r="X229" s="101">
        <f t="shared" si="41"/>
        <v>-1728.5926469999995</v>
      </c>
      <c r="AD229" s="1421">
        <v>14500.021600278385</v>
      </c>
      <c r="AE229" s="1892">
        <f t="shared" si="40"/>
        <v>0</v>
      </c>
    </row>
    <row r="230" spans="2:31" x14ac:dyDescent="0.35">
      <c r="B230" s="777" t="s">
        <v>102</v>
      </c>
      <c r="C230" s="778" t="s">
        <v>1434</v>
      </c>
      <c r="D230" s="779"/>
      <c r="E230" s="1611">
        <v>1028.5999999999999</v>
      </c>
      <c r="F230" s="780"/>
      <c r="G230" s="1420"/>
      <c r="H230" s="1420"/>
      <c r="I230" s="1420"/>
      <c r="J230" s="1420"/>
      <c r="K230" s="1786">
        <f>-SUM('BG '!H21:I22)/10^6</f>
        <v>-217.82984200000001</v>
      </c>
      <c r="L230" s="1814"/>
      <c r="M230" s="1786">
        <f>-SUM('BG '!H21:I22)/10^6*0+-118.086831</f>
        <v>-118.086831</v>
      </c>
      <c r="N230" s="1814"/>
      <c r="O230" s="1814"/>
      <c r="P230" s="1633">
        <f t="shared" si="45"/>
        <v>1.0162000000036642E-2</v>
      </c>
      <c r="Q230" s="1794"/>
      <c r="R230" s="1794"/>
      <c r="S230" s="1794"/>
      <c r="T230" s="1521"/>
      <c r="U230" s="1593">
        <f>+'Passage Passif BC '!BG114</f>
        <v>692.693489</v>
      </c>
      <c r="W230" s="1554">
        <v>0</v>
      </c>
      <c r="X230" s="101">
        <f t="shared" si="41"/>
        <v>-692.693489</v>
      </c>
      <c r="AD230" s="1664">
        <v>692.693489</v>
      </c>
      <c r="AE230" s="1892">
        <f t="shared" si="40"/>
        <v>0</v>
      </c>
    </row>
    <row r="231" spans="2:31" x14ac:dyDescent="0.35">
      <c r="B231" s="777" t="s">
        <v>1435</v>
      </c>
      <c r="C231" s="778" t="s">
        <v>1436</v>
      </c>
      <c r="D231" s="779"/>
      <c r="E231" s="1611">
        <v>0</v>
      </c>
      <c r="F231" s="780"/>
      <c r="G231" s="1420"/>
      <c r="H231" s="1420"/>
      <c r="I231" s="1420"/>
      <c r="J231" s="1420"/>
      <c r="K231" s="1814"/>
      <c r="L231" s="1814"/>
      <c r="M231" s="1814"/>
      <c r="N231" s="1814"/>
      <c r="O231" s="1814"/>
      <c r="P231" s="1615">
        <f t="shared" si="45"/>
        <v>0</v>
      </c>
      <c r="Q231" s="1796"/>
      <c r="R231" s="1796"/>
      <c r="S231" s="1794"/>
      <c r="T231" s="1521"/>
      <c r="U231" s="1593">
        <f>+'Passage Passif BC '!BG115</f>
        <v>0</v>
      </c>
      <c r="W231" s="1554">
        <v>0</v>
      </c>
      <c r="X231" s="101">
        <f t="shared" si="41"/>
        <v>0</v>
      </c>
      <c r="AD231" s="1421">
        <v>0</v>
      </c>
      <c r="AE231" s="1892">
        <f t="shared" si="40"/>
        <v>0</v>
      </c>
    </row>
    <row r="232" spans="2:31" x14ac:dyDescent="0.35">
      <c r="B232" s="777" t="s">
        <v>105</v>
      </c>
      <c r="C232" s="778" t="s">
        <v>1437</v>
      </c>
      <c r="D232" s="779"/>
      <c r="E232" s="1611">
        <v>0</v>
      </c>
      <c r="F232" s="780"/>
      <c r="G232" s="1420"/>
      <c r="H232" s="1420"/>
      <c r="I232" s="1420"/>
      <c r="J232" s="1420"/>
      <c r="K232" s="1786"/>
      <c r="L232" s="1814"/>
      <c r="M232" s="1786"/>
      <c r="N232" s="1814"/>
      <c r="O232" s="1814"/>
      <c r="P232" s="1615">
        <f t="shared" si="45"/>
        <v>0</v>
      </c>
      <c r="Q232" s="1794"/>
      <c r="R232" s="1794"/>
      <c r="S232" s="1794"/>
      <c r="T232" s="1521"/>
      <c r="U232" s="1593">
        <f>+'Passage Passif BC '!BG116</f>
        <v>0</v>
      </c>
      <c r="W232" s="1554">
        <v>0</v>
      </c>
      <c r="X232" s="101">
        <f t="shared" si="41"/>
        <v>0</v>
      </c>
      <c r="AD232" s="1421">
        <v>0</v>
      </c>
      <c r="AE232" s="1892">
        <f t="shared" si="40"/>
        <v>0</v>
      </c>
    </row>
    <row r="233" spans="2:31" x14ac:dyDescent="0.35">
      <c r="B233" s="777" t="s">
        <v>1438</v>
      </c>
      <c r="C233" s="778" t="s">
        <v>1439</v>
      </c>
      <c r="D233" s="779"/>
      <c r="E233" s="1611">
        <v>0</v>
      </c>
      <c r="F233" s="780"/>
      <c r="G233" s="1420"/>
      <c r="H233" s="1420"/>
      <c r="I233" s="1420"/>
      <c r="J233" s="1420"/>
      <c r="K233" s="1814"/>
      <c r="L233" s="1814"/>
      <c r="M233" s="1814"/>
      <c r="N233" s="1814"/>
      <c r="O233" s="1814"/>
      <c r="P233" s="1615">
        <f t="shared" si="45"/>
        <v>0</v>
      </c>
      <c r="Q233" s="1796"/>
      <c r="R233" s="1796"/>
      <c r="S233" s="1794"/>
      <c r="T233" s="1521"/>
      <c r="U233" s="1593">
        <f>+'Passage Passif BC '!BG117</f>
        <v>0</v>
      </c>
      <c r="W233" s="1554">
        <v>0</v>
      </c>
      <c r="X233" s="101">
        <f t="shared" si="41"/>
        <v>0</v>
      </c>
      <c r="AD233" s="1421">
        <v>0</v>
      </c>
      <c r="AE233" s="1892">
        <f t="shared" si="40"/>
        <v>0</v>
      </c>
    </row>
    <row r="234" spans="2:31" x14ac:dyDescent="0.35">
      <c r="B234" s="777" t="s">
        <v>1440</v>
      </c>
      <c r="C234" s="778" t="s">
        <v>1441</v>
      </c>
      <c r="D234" s="779"/>
      <c r="E234" s="1611">
        <v>0</v>
      </c>
      <c r="F234" s="780"/>
      <c r="G234" s="1420"/>
      <c r="H234" s="1420"/>
      <c r="I234" s="1420"/>
      <c r="J234" s="1420"/>
      <c r="K234" s="1786"/>
      <c r="L234" s="1814"/>
      <c r="M234" s="1786"/>
      <c r="N234" s="1814"/>
      <c r="O234" s="1814"/>
      <c r="P234" s="1615">
        <f t="shared" si="45"/>
        <v>0</v>
      </c>
      <c r="Q234" s="1794"/>
      <c r="R234" s="1794"/>
      <c r="S234" s="1794"/>
      <c r="T234" s="1521"/>
      <c r="U234" s="1593">
        <f>+'Passage Passif BC '!BG118</f>
        <v>0</v>
      </c>
      <c r="W234" s="1554">
        <v>0</v>
      </c>
      <c r="X234" s="101">
        <f t="shared" si="41"/>
        <v>0</v>
      </c>
      <c r="AD234" s="1421">
        <v>0</v>
      </c>
      <c r="AE234" s="1892">
        <f t="shared" si="40"/>
        <v>0</v>
      </c>
    </row>
    <row r="235" spans="2:31" x14ac:dyDescent="0.35">
      <c r="B235" s="777" t="s">
        <v>1442</v>
      </c>
      <c r="C235" s="778" t="s">
        <v>1443</v>
      </c>
      <c r="D235" s="779"/>
      <c r="E235" s="1611">
        <v>1860.2</v>
      </c>
      <c r="F235" s="780"/>
      <c r="G235" s="1420"/>
      <c r="H235" s="1420"/>
      <c r="I235" s="1420"/>
      <c r="J235" s="1420"/>
      <c r="K235" s="1786">
        <f>'Impacts_IFRS.16-09'!$F$76</f>
        <v>116.483874</v>
      </c>
      <c r="L235" s="1814"/>
      <c r="M235" s="1786">
        <f>'Impacts_IFRS.16-09'!$H$76</f>
        <v>-978.37933599999997</v>
      </c>
      <c r="N235" s="1814"/>
      <c r="O235" s="1814"/>
      <c r="P235" s="1618">
        <f t="shared" si="45"/>
        <v>-220.92829100000006</v>
      </c>
      <c r="Q235" s="1794"/>
      <c r="R235" s="1794"/>
      <c r="S235" s="1794"/>
      <c r="T235" s="1521"/>
      <c r="U235" s="1593">
        <f>'Impacts_IFRS.16-09'!L76</f>
        <v>777.37624700000003</v>
      </c>
      <c r="W235" s="1554">
        <v>886.12767299999996</v>
      </c>
      <c r="X235" s="101">
        <f t="shared" si="41"/>
        <v>108.75142599999992</v>
      </c>
      <c r="AD235" s="1421">
        <v>777.37624700000003</v>
      </c>
      <c r="AE235" s="1893">
        <f t="shared" si="40"/>
        <v>0</v>
      </c>
    </row>
    <row r="236" spans="2:31" x14ac:dyDescent="0.35">
      <c r="B236" s="777" t="s">
        <v>100</v>
      </c>
      <c r="C236" s="778" t="s">
        <v>1885</v>
      </c>
      <c r="D236" s="779"/>
      <c r="E236" s="1611">
        <v>0</v>
      </c>
      <c r="F236" s="780"/>
      <c r="G236" s="1420"/>
      <c r="H236" s="1420"/>
      <c r="I236" s="1420"/>
      <c r="J236" s="1420"/>
      <c r="K236" s="1814"/>
      <c r="L236" s="1814"/>
      <c r="M236" s="1814"/>
      <c r="N236" s="1814"/>
      <c r="O236" s="1814"/>
      <c r="P236" s="1615">
        <f t="shared" si="45"/>
        <v>0</v>
      </c>
      <c r="Q236" s="1796"/>
      <c r="R236" s="1796"/>
      <c r="S236" s="1794"/>
      <c r="T236" s="1521"/>
      <c r="U236" s="1593">
        <f>+'Passage Passif BC '!BG120</f>
        <v>0</v>
      </c>
      <c r="W236" s="1554">
        <v>0</v>
      </c>
      <c r="X236" s="101">
        <f t="shared" si="41"/>
        <v>0</v>
      </c>
      <c r="AD236" s="1421">
        <v>0</v>
      </c>
      <c r="AE236" s="1892">
        <f t="shared" si="40"/>
        <v>0</v>
      </c>
    </row>
    <row r="237" spans="2:31" x14ac:dyDescent="0.35">
      <c r="B237" s="777" t="s">
        <v>1445</v>
      </c>
      <c r="C237" s="778" t="s">
        <v>1446</v>
      </c>
      <c r="D237" s="779"/>
      <c r="E237" s="1611">
        <v>0</v>
      </c>
      <c r="F237" s="780"/>
      <c r="G237" s="1420"/>
      <c r="H237" s="1420"/>
      <c r="I237" s="1420"/>
      <c r="J237" s="1420"/>
      <c r="K237" s="1786"/>
      <c r="L237" s="1814"/>
      <c r="M237" s="1786"/>
      <c r="N237" s="1814"/>
      <c r="O237" s="1814"/>
      <c r="P237" s="1615">
        <f t="shared" si="45"/>
        <v>0</v>
      </c>
      <c r="Q237" s="1794"/>
      <c r="R237" s="1794"/>
      <c r="S237" s="1794"/>
      <c r="T237" s="1521"/>
      <c r="U237" s="1593">
        <f>+'Passage Passif BC '!BG121</f>
        <v>0</v>
      </c>
      <c r="W237" s="1554">
        <v>0</v>
      </c>
      <c r="X237" s="101">
        <f t="shared" si="41"/>
        <v>0</v>
      </c>
      <c r="AD237" s="1421">
        <v>0</v>
      </c>
      <c r="AE237" s="1892">
        <f t="shared" si="40"/>
        <v>0</v>
      </c>
    </row>
    <row r="238" spans="2:31" x14ac:dyDescent="0.35">
      <c r="B238" s="777" t="s">
        <v>1447</v>
      </c>
      <c r="C238" s="778" t="s">
        <v>1448</v>
      </c>
      <c r="D238" s="779"/>
      <c r="E238" s="1611">
        <v>188.3</v>
      </c>
      <c r="F238" s="780"/>
      <c r="G238" s="1420"/>
      <c r="H238" s="1420"/>
      <c r="I238" s="1420"/>
      <c r="J238" s="1420"/>
      <c r="K238" s="1814"/>
      <c r="L238" s="1814"/>
      <c r="M238" s="1814">
        <f>-'BG '!H13/1000000</f>
        <v>-188.25787399999999</v>
      </c>
      <c r="N238" s="1814"/>
      <c r="O238" s="1814"/>
      <c r="P238" s="1632">
        <f t="shared" si="45"/>
        <v>188.21574699999996</v>
      </c>
      <c r="Q238" s="1796"/>
      <c r="R238" s="1796"/>
      <c r="S238" s="1794"/>
      <c r="T238" s="1521"/>
      <c r="U238" s="1593">
        <f>+'Passage Passif BC '!BG122</f>
        <v>188.25787299999999</v>
      </c>
      <c r="W238" s="1554">
        <v>188.25787299999999</v>
      </c>
      <c r="X238" s="101">
        <f t="shared" si="41"/>
        <v>0</v>
      </c>
      <c r="AD238" s="1421">
        <v>188.25787299999999</v>
      </c>
      <c r="AE238" s="1892">
        <f t="shared" si="40"/>
        <v>0</v>
      </c>
    </row>
    <row r="239" spans="2:31" x14ac:dyDescent="0.35">
      <c r="B239" s="777" t="s">
        <v>1449</v>
      </c>
      <c r="C239" s="778" t="s">
        <v>1450</v>
      </c>
      <c r="D239" s="779"/>
      <c r="E239" s="1611"/>
      <c r="F239" s="780"/>
      <c r="G239" s="1420"/>
      <c r="H239" s="1420"/>
      <c r="I239" s="1420"/>
      <c r="J239" s="1420"/>
      <c r="K239" s="1786">
        <f>-SUM('BG '!$H$21:$I$22)/10^6*0</f>
        <v>0</v>
      </c>
      <c r="L239" s="1814"/>
      <c r="M239" s="1787"/>
      <c r="N239" s="1814"/>
      <c r="O239" s="1814"/>
      <c r="P239" s="1633">
        <f t="shared" si="45"/>
        <v>0</v>
      </c>
      <c r="Q239" s="1794"/>
      <c r="R239" s="1794"/>
      <c r="S239" s="1794"/>
      <c r="T239" s="1521"/>
      <c r="U239" s="1593">
        <f>+'Passage Passif BC '!BG123</f>
        <v>0</v>
      </c>
      <c r="W239" s="1554">
        <v>747.83131200000003</v>
      </c>
      <c r="X239" s="101">
        <f t="shared" si="41"/>
        <v>747.83131200000003</v>
      </c>
      <c r="AD239" s="1664">
        <v>0</v>
      </c>
      <c r="AE239" s="1892">
        <f t="shared" si="40"/>
        <v>0</v>
      </c>
    </row>
    <row r="240" spans="2:31" x14ac:dyDescent="0.35">
      <c r="B240" s="777" t="s">
        <v>1451</v>
      </c>
      <c r="C240" s="778" t="s">
        <v>1452</v>
      </c>
      <c r="D240" s="779"/>
      <c r="E240" s="1611">
        <v>0</v>
      </c>
      <c r="F240" s="780"/>
      <c r="G240" s="1420"/>
      <c r="H240" s="1420"/>
      <c r="I240" s="1420"/>
      <c r="J240" s="1420"/>
      <c r="K240" s="1814"/>
      <c r="L240" s="1814"/>
      <c r="M240" s="1814"/>
      <c r="N240" s="1814"/>
      <c r="O240" s="1814"/>
      <c r="P240" s="1615">
        <f t="shared" si="45"/>
        <v>0</v>
      </c>
      <c r="Q240" s="1796"/>
      <c r="R240" s="1796"/>
      <c r="S240" s="1794"/>
      <c r="T240" s="1521"/>
      <c r="U240" s="1593">
        <f>+'Passage Passif BC '!BG124</f>
        <v>0</v>
      </c>
      <c r="W240" s="1554">
        <v>0</v>
      </c>
      <c r="X240" s="101">
        <f t="shared" si="41"/>
        <v>0</v>
      </c>
      <c r="AD240" s="1421">
        <v>0</v>
      </c>
      <c r="AE240" s="1892">
        <f t="shared" si="40"/>
        <v>0</v>
      </c>
    </row>
    <row r="241" spans="1:60" x14ac:dyDescent="0.35">
      <c r="B241" s="777" t="s">
        <v>1453</v>
      </c>
      <c r="C241" s="778" t="s">
        <v>1454</v>
      </c>
      <c r="D241" s="779"/>
      <c r="E241" s="1611">
        <v>0</v>
      </c>
      <c r="F241" s="780"/>
      <c r="G241" s="1420"/>
      <c r="H241" s="1420"/>
      <c r="I241" s="1420"/>
      <c r="J241" s="1420"/>
      <c r="K241" s="1786"/>
      <c r="L241" s="1814"/>
      <c r="M241" s="1787"/>
      <c r="N241" s="1814"/>
      <c r="O241" s="1814"/>
      <c r="P241" s="1615">
        <f t="shared" si="45"/>
        <v>0</v>
      </c>
      <c r="Q241" s="1794"/>
      <c r="R241" s="1794"/>
      <c r="S241" s="1794"/>
      <c r="T241" s="1521"/>
      <c r="U241" s="1593">
        <f>+'Passage Passif BC '!BG125</f>
        <v>0</v>
      </c>
      <c r="W241" s="1554">
        <v>0</v>
      </c>
      <c r="X241" s="101">
        <f t="shared" si="41"/>
        <v>0</v>
      </c>
      <c r="AD241" s="1421">
        <v>0</v>
      </c>
      <c r="AE241" s="1892">
        <f t="shared" si="40"/>
        <v>0</v>
      </c>
    </row>
    <row r="242" spans="1:60" x14ac:dyDescent="0.35">
      <c r="B242" s="777" t="s">
        <v>1455</v>
      </c>
      <c r="C242" s="778" t="s">
        <v>1456</v>
      </c>
      <c r="D242" s="779"/>
      <c r="E242" s="1611">
        <v>12910.1</v>
      </c>
      <c r="F242" s="780"/>
      <c r="G242" s="1420"/>
      <c r="H242" s="1420"/>
      <c r="I242" s="1420"/>
      <c r="J242" s="1420"/>
      <c r="K242" s="1860">
        <v>3186.8991729999998</v>
      </c>
      <c r="L242" s="1814"/>
      <c r="M242" s="1814"/>
      <c r="N242" s="1814"/>
      <c r="O242" s="1814"/>
      <c r="P242" s="1615">
        <f t="shared" si="45"/>
        <v>0</v>
      </c>
      <c r="Q242" s="1796"/>
      <c r="R242" s="1796"/>
      <c r="S242" s="1794"/>
      <c r="T242" s="1521"/>
      <c r="U242" s="1677">
        <f>+'Passage Passif BC '!BG126</f>
        <v>16096.999173</v>
      </c>
      <c r="W242" s="1554">
        <v>14976.044647000001</v>
      </c>
      <c r="X242" s="101">
        <f t="shared" si="41"/>
        <v>-1120.9545259999995</v>
      </c>
      <c r="AD242" s="1421">
        <v>16096.999173</v>
      </c>
      <c r="AE242" s="1892">
        <f t="shared" si="40"/>
        <v>0</v>
      </c>
    </row>
    <row r="243" spans="1:60" x14ac:dyDescent="0.35">
      <c r="B243" s="777" t="s">
        <v>1457</v>
      </c>
      <c r="C243" s="778" t="s">
        <v>1458</v>
      </c>
      <c r="D243" s="779"/>
      <c r="E243" s="1611">
        <v>0</v>
      </c>
      <c r="F243" s="780"/>
      <c r="G243" s="1420"/>
      <c r="H243" s="1420"/>
      <c r="I243" s="1420"/>
      <c r="J243" s="1420"/>
      <c r="K243" s="1786"/>
      <c r="L243" s="1814"/>
      <c r="M243" s="1787"/>
      <c r="N243" s="1814"/>
      <c r="O243" s="1814"/>
      <c r="P243" s="1615">
        <f t="shared" si="45"/>
        <v>0</v>
      </c>
      <c r="Q243" s="1794"/>
      <c r="R243" s="1794"/>
      <c r="S243" s="1794"/>
      <c r="T243" s="1521"/>
      <c r="U243" s="1593">
        <f>+'Passage Passif BC '!BG127</f>
        <v>0</v>
      </c>
      <c r="W243" s="1554">
        <v>0</v>
      </c>
      <c r="X243" s="101">
        <f t="shared" si="41"/>
        <v>0</v>
      </c>
      <c r="AD243" s="1421">
        <v>0</v>
      </c>
      <c r="AE243" s="1892">
        <f t="shared" si="40"/>
        <v>0</v>
      </c>
    </row>
    <row r="244" spans="1:60" ht="18.600000000000001" thickBot="1" x14ac:dyDescent="0.4">
      <c r="B244" s="783" t="s">
        <v>1459</v>
      </c>
      <c r="C244" s="784" t="s">
        <v>1460</v>
      </c>
      <c r="D244" s="779"/>
      <c r="E244" s="1616">
        <f>SUM(E229:E243)</f>
        <v>24663</v>
      </c>
      <c r="F244" s="780"/>
      <c r="G244" s="786"/>
      <c r="H244" s="786"/>
      <c r="I244" s="786"/>
      <c r="J244" s="786"/>
      <c r="K244" s="1784">
        <f>SUM(K229:K243)</f>
        <v>3085.5532049999997</v>
      </c>
      <c r="L244" s="1784">
        <f t="shared" ref="L244:S244" si="46">SUM(L229:L243)</f>
        <v>0</v>
      </c>
      <c r="M244" s="1784">
        <f t="shared" si="46"/>
        <v>-9981.2925080000023</v>
      </c>
      <c r="N244" s="1784">
        <f t="shared" si="46"/>
        <v>0</v>
      </c>
      <c r="O244" s="1784">
        <f t="shared" si="46"/>
        <v>0</v>
      </c>
      <c r="P244" s="1616">
        <f t="shared" si="46"/>
        <v>14488.087685278388</v>
      </c>
      <c r="Q244" s="1637">
        <f t="shared" si="46"/>
        <v>0</v>
      </c>
      <c r="R244" s="1637">
        <f t="shared" si="46"/>
        <v>0</v>
      </c>
      <c r="S244" s="1637">
        <f t="shared" si="46"/>
        <v>0</v>
      </c>
      <c r="T244" s="1521">
        <f>SUM(T229:T233)</f>
        <v>0</v>
      </c>
      <c r="U244" s="1637">
        <f>SUM(U229:U243)</f>
        <v>32255.348382278386</v>
      </c>
      <c r="W244" s="1559">
        <v>29569.69045827839</v>
      </c>
      <c r="X244" s="101">
        <f t="shared" ref="X244:X254" si="47">W244-U244</f>
        <v>-2685.6579239999955</v>
      </c>
      <c r="AD244" s="1421">
        <v>32255.348382278386</v>
      </c>
      <c r="AE244" s="1892">
        <f t="shared" si="40"/>
        <v>0</v>
      </c>
    </row>
    <row r="245" spans="1:60" x14ac:dyDescent="0.35">
      <c r="B245" s="775"/>
      <c r="C245" s="769"/>
      <c r="D245" s="779"/>
      <c r="E245" s="1628"/>
      <c r="F245" s="790"/>
      <c r="G245" s="790"/>
      <c r="H245" s="790"/>
      <c r="I245" s="790"/>
      <c r="J245" s="790"/>
      <c r="K245" s="1821"/>
      <c r="L245" s="1821"/>
      <c r="M245" s="1821"/>
      <c r="N245" s="1821"/>
      <c r="O245" s="1821"/>
      <c r="P245" s="1628"/>
      <c r="Q245" s="1640"/>
      <c r="R245" s="1640"/>
      <c r="S245" s="1640"/>
      <c r="T245" s="1521"/>
      <c r="U245" s="1640"/>
      <c r="W245" s="1554"/>
      <c r="X245" s="101">
        <f t="shared" si="47"/>
        <v>0</v>
      </c>
      <c r="AE245" s="1892">
        <f t="shared" si="40"/>
        <v>0</v>
      </c>
    </row>
    <row r="246" spans="1:60" x14ac:dyDescent="0.35">
      <c r="B246" s="777" t="s">
        <v>1461</v>
      </c>
      <c r="C246" s="778" t="s">
        <v>1462</v>
      </c>
      <c r="D246" s="779"/>
      <c r="E246" s="1611">
        <v>0</v>
      </c>
      <c r="F246" s="780"/>
      <c r="G246" s="781"/>
      <c r="H246" s="781"/>
      <c r="I246" s="781"/>
      <c r="J246" s="781"/>
      <c r="K246" s="1814"/>
      <c r="L246" s="1814"/>
      <c r="M246" s="1786"/>
      <c r="N246" s="1814"/>
      <c r="O246" s="1814"/>
      <c r="P246" s="1615">
        <f>U246-SUM(Q246:S246)-SUM(E246:O246)</f>
        <v>0</v>
      </c>
      <c r="Q246" s="1794"/>
      <c r="R246" s="1796"/>
      <c r="S246" s="1794"/>
      <c r="T246" s="1521"/>
      <c r="U246" s="1593">
        <f>+'Passage Passif BC '!BG130</f>
        <v>0</v>
      </c>
      <c r="W246" s="1554">
        <v>0</v>
      </c>
      <c r="X246" s="101">
        <f t="shared" si="47"/>
        <v>0</v>
      </c>
      <c r="AD246" s="1421">
        <v>0</v>
      </c>
      <c r="AE246" s="1892">
        <f t="shared" si="40"/>
        <v>0</v>
      </c>
    </row>
    <row r="247" spans="1:60" ht="18.600000000000001" thickBot="1" x14ac:dyDescent="0.4">
      <c r="B247" s="783" t="s">
        <v>1463</v>
      </c>
      <c r="C247" s="784" t="s">
        <v>1464</v>
      </c>
      <c r="D247" s="779"/>
      <c r="E247" s="1621">
        <v>0</v>
      </c>
      <c r="F247" s="780"/>
      <c r="G247" s="786"/>
      <c r="H247" s="786"/>
      <c r="I247" s="786"/>
      <c r="J247" s="786"/>
      <c r="K247" s="1784">
        <f>+K246</f>
        <v>0</v>
      </c>
      <c r="L247" s="1784">
        <f t="shared" ref="L247:S247" si="48">+L246</f>
        <v>0</v>
      </c>
      <c r="M247" s="1784">
        <f t="shared" si="48"/>
        <v>0</v>
      </c>
      <c r="N247" s="1784">
        <f t="shared" si="48"/>
        <v>0</v>
      </c>
      <c r="O247" s="1784">
        <f t="shared" si="48"/>
        <v>0</v>
      </c>
      <c r="P247" s="1616">
        <f t="shared" si="48"/>
        <v>0</v>
      </c>
      <c r="Q247" s="1637">
        <f t="shared" si="48"/>
        <v>0</v>
      </c>
      <c r="R247" s="1637">
        <f t="shared" si="48"/>
        <v>0</v>
      </c>
      <c r="S247" s="1637">
        <f t="shared" si="48"/>
        <v>0</v>
      </c>
      <c r="T247" s="1521"/>
      <c r="U247" s="1638">
        <f>+U246</f>
        <v>0</v>
      </c>
      <c r="W247" s="1555">
        <v>0</v>
      </c>
      <c r="X247" s="101">
        <f t="shared" si="47"/>
        <v>0</v>
      </c>
      <c r="AD247" s="1421">
        <v>0</v>
      </c>
      <c r="AE247" s="1892">
        <f t="shared" si="40"/>
        <v>0</v>
      </c>
    </row>
    <row r="248" spans="1:60" x14ac:dyDescent="0.35">
      <c r="B248" s="775"/>
      <c r="C248" s="769"/>
      <c r="D248" s="779"/>
      <c r="E248" s="1628"/>
      <c r="F248" s="790"/>
      <c r="G248" s="790"/>
      <c r="H248" s="790"/>
      <c r="I248" s="790"/>
      <c r="J248" s="790"/>
      <c r="K248" s="1821"/>
      <c r="L248" s="1821"/>
      <c r="M248" s="1821"/>
      <c r="N248" s="1821"/>
      <c r="O248" s="1821"/>
      <c r="P248" s="1628"/>
      <c r="Q248" s="1640"/>
      <c r="R248" s="1640"/>
      <c r="S248" s="1640"/>
      <c r="T248" s="1521"/>
      <c r="U248" s="1640"/>
      <c r="W248" s="1554"/>
      <c r="X248" s="101">
        <f t="shared" si="47"/>
        <v>0</v>
      </c>
      <c r="AE248" s="1892">
        <f t="shared" si="40"/>
        <v>0</v>
      </c>
    </row>
    <row r="249" spans="1:60" x14ac:dyDescent="0.35">
      <c r="B249" s="777" t="s">
        <v>1466</v>
      </c>
      <c r="C249" s="778" t="s">
        <v>1467</v>
      </c>
      <c r="D249" s="779"/>
      <c r="E249" s="1611">
        <v>0</v>
      </c>
      <c r="F249" s="780"/>
      <c r="G249" s="781"/>
      <c r="H249" s="781"/>
      <c r="I249" s="781"/>
      <c r="J249" s="781"/>
      <c r="K249" s="1814"/>
      <c r="L249" s="1814"/>
      <c r="M249" s="1786"/>
      <c r="N249" s="1814"/>
      <c r="O249" s="1814"/>
      <c r="P249" s="1615">
        <f>U249-SUM(Q249:S249)-SUM(E249:O249)</f>
        <v>0</v>
      </c>
      <c r="Q249" s="1794"/>
      <c r="R249" s="1796"/>
      <c r="S249" s="1796"/>
      <c r="T249" s="1521"/>
      <c r="U249" s="1593">
        <f>+'Passage Passif BC '!BG135</f>
        <v>0</v>
      </c>
      <c r="W249" s="1554">
        <v>0</v>
      </c>
      <c r="X249" s="101">
        <f t="shared" si="47"/>
        <v>0</v>
      </c>
      <c r="AD249" s="1421">
        <v>0</v>
      </c>
      <c r="AE249" s="1892">
        <f t="shared" si="40"/>
        <v>0</v>
      </c>
    </row>
    <row r="250" spans="1:60" ht="18.600000000000001" thickBot="1" x14ac:dyDescent="0.4">
      <c r="B250" s="783" t="s">
        <v>1468</v>
      </c>
      <c r="C250" s="784" t="s">
        <v>1469</v>
      </c>
      <c r="D250" s="779"/>
      <c r="E250" s="1621">
        <v>0</v>
      </c>
      <c r="F250" s="780"/>
      <c r="G250" s="786"/>
      <c r="H250" s="786"/>
      <c r="I250" s="786"/>
      <c r="J250" s="786"/>
      <c r="K250" s="1784">
        <f>+K249</f>
        <v>0</v>
      </c>
      <c r="L250" s="1784">
        <f t="shared" ref="L250:S250" si="49">+L249</f>
        <v>0</v>
      </c>
      <c r="M250" s="1784">
        <f t="shared" si="49"/>
        <v>0</v>
      </c>
      <c r="N250" s="1784">
        <f t="shared" si="49"/>
        <v>0</v>
      </c>
      <c r="O250" s="1784">
        <f t="shared" si="49"/>
        <v>0</v>
      </c>
      <c r="P250" s="1616">
        <f t="shared" si="49"/>
        <v>0</v>
      </c>
      <c r="Q250" s="1637">
        <f t="shared" si="49"/>
        <v>0</v>
      </c>
      <c r="R250" s="1637">
        <f t="shared" si="49"/>
        <v>0</v>
      </c>
      <c r="S250" s="1637">
        <f t="shared" si="49"/>
        <v>0</v>
      </c>
      <c r="T250" s="1521"/>
      <c r="U250" s="1638">
        <f>+U249</f>
        <v>0</v>
      </c>
      <c r="W250" s="1555">
        <v>0</v>
      </c>
      <c r="X250" s="101">
        <f t="shared" si="47"/>
        <v>0</v>
      </c>
      <c r="AD250" s="1421">
        <v>0</v>
      </c>
      <c r="AE250" s="1892">
        <f t="shared" si="40"/>
        <v>0</v>
      </c>
    </row>
    <row r="251" spans="1:60" x14ac:dyDescent="0.35">
      <c r="B251" s="775"/>
      <c r="C251" s="769"/>
      <c r="D251" s="779"/>
      <c r="E251" s="1628"/>
      <c r="F251" s="790"/>
      <c r="G251" s="790"/>
      <c r="H251" s="790"/>
      <c r="I251" s="790"/>
      <c r="J251" s="790"/>
      <c r="K251" s="1821"/>
      <c r="L251" s="1821"/>
      <c r="M251" s="1821"/>
      <c r="N251" s="1821"/>
      <c r="O251" s="1821"/>
      <c r="P251" s="1628"/>
      <c r="Q251" s="1640"/>
      <c r="R251" s="1640"/>
      <c r="S251" s="1640"/>
      <c r="T251" s="1521"/>
      <c r="U251" s="1640"/>
      <c r="W251" s="1554"/>
      <c r="X251" s="101">
        <f t="shared" si="47"/>
        <v>0</v>
      </c>
      <c r="AE251" s="1892">
        <f t="shared" si="40"/>
        <v>0</v>
      </c>
    </row>
    <row r="252" spans="1:60" s="538" customFormat="1" ht="26.25" customHeight="1" x14ac:dyDescent="0.35">
      <c r="A252" s="532"/>
      <c r="B252" s="792" t="s">
        <v>1470</v>
      </c>
      <c r="C252" s="793" t="s">
        <v>1886</v>
      </c>
      <c r="D252" s="794"/>
      <c r="E252" s="1626">
        <f>+E250+E247+E244+E227+E220+E217</f>
        <v>126464.6</v>
      </c>
      <c r="F252" s="780"/>
      <c r="G252" s="796"/>
      <c r="H252" s="796"/>
      <c r="I252" s="796"/>
      <c r="J252" s="796"/>
      <c r="K252" s="1823">
        <f>+K250+K247+K244+K227+K220+K217</f>
        <v>3085.5532049999997</v>
      </c>
      <c r="L252" s="1823">
        <f t="shared" ref="L252:S252" si="50">+L250+L247+L244+L227+L220+L217</f>
        <v>0</v>
      </c>
      <c r="M252" s="1823">
        <f t="shared" si="50"/>
        <v>-9981.2925080000023</v>
      </c>
      <c r="N252" s="1823">
        <f t="shared" si="50"/>
        <v>0</v>
      </c>
      <c r="O252" s="1824">
        <f t="shared" si="50"/>
        <v>1674.8015260000032</v>
      </c>
      <c r="P252" s="1623">
        <f>+P250+P247+P244+P227+P220+P217</f>
        <v>14488.049692278388</v>
      </c>
      <c r="Q252" s="1799">
        <f t="shared" si="50"/>
        <v>0</v>
      </c>
      <c r="R252" s="1799">
        <f t="shared" si="50"/>
        <v>0</v>
      </c>
      <c r="S252" s="1639">
        <f t="shared" si="50"/>
        <v>0</v>
      </c>
      <c r="T252" s="1522"/>
      <c r="U252" s="1639">
        <f>+U250+U247+U244+U227+U220+U217</f>
        <v>135731.7119152784</v>
      </c>
      <c r="V252"/>
      <c r="W252" s="1556">
        <v>130349.57135127838</v>
      </c>
      <c r="X252" s="101">
        <f t="shared" si="47"/>
        <v>-5382.1405640000157</v>
      </c>
      <c r="Y252"/>
      <c r="Z252"/>
      <c r="AA252"/>
      <c r="AB252"/>
      <c r="AC252"/>
      <c r="AD252" s="1421">
        <v>134818.32775427838</v>
      </c>
      <c r="AE252" s="1892">
        <f t="shared" si="40"/>
        <v>913.3841610000236</v>
      </c>
      <c r="AF252" s="75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1:60" ht="18.600000000000001" thickBot="1" x14ac:dyDescent="0.4">
      <c r="B253" s="775"/>
      <c r="C253" s="769"/>
      <c r="D253" s="779"/>
      <c r="E253" s="1628"/>
      <c r="F253" s="790"/>
      <c r="G253" s="790"/>
      <c r="H253" s="790"/>
      <c r="I253" s="790"/>
      <c r="J253" s="790"/>
      <c r="K253" s="1821"/>
      <c r="L253" s="1821"/>
      <c r="M253" s="1821"/>
      <c r="N253" s="1821"/>
      <c r="O253" s="1821"/>
      <c r="P253" s="1628"/>
      <c r="Q253" s="1640"/>
      <c r="R253" s="1640"/>
      <c r="S253" s="1640"/>
      <c r="T253" s="1521"/>
      <c r="U253" s="1640"/>
      <c r="W253" s="1554"/>
      <c r="X253" s="101">
        <f t="shared" si="47"/>
        <v>0</v>
      </c>
      <c r="AE253" s="1892">
        <f t="shared" si="40"/>
        <v>0</v>
      </c>
    </row>
    <row r="254" spans="1:60" ht="30.75" customHeight="1" thickBot="1" x14ac:dyDescent="0.4">
      <c r="B254" s="817" t="s">
        <v>1472</v>
      </c>
      <c r="C254" s="818" t="s">
        <v>1473</v>
      </c>
      <c r="D254" s="779"/>
      <c r="E254" s="1634">
        <f>+E252+E195+E169</f>
        <v>206757.92610921123</v>
      </c>
      <c r="F254" s="790"/>
      <c r="G254" s="819"/>
      <c r="H254" s="819"/>
      <c r="I254" s="819"/>
      <c r="J254" s="819"/>
      <c r="K254" s="1838">
        <f>+K252+K195+K169</f>
        <v>10392.28290457509</v>
      </c>
      <c r="L254" s="1838">
        <f t="shared" ref="L254:S254" si="51">+L252+L195+L169</f>
        <v>91.340740999999795</v>
      </c>
      <c r="M254" s="1838">
        <f t="shared" si="51"/>
        <v>-9981.2925080000023</v>
      </c>
      <c r="N254" s="1838">
        <f t="shared" si="51"/>
        <v>-59.982976000000008</v>
      </c>
      <c r="O254" s="1838">
        <f t="shared" si="51"/>
        <v>1674.8015260000032</v>
      </c>
      <c r="P254" s="1634">
        <f>+P252+P195+P169</f>
        <v>317.57468934424924</v>
      </c>
      <c r="Q254" s="1643">
        <f t="shared" si="51"/>
        <v>38.599999999999994</v>
      </c>
      <c r="R254" s="1643">
        <f t="shared" si="51"/>
        <v>0</v>
      </c>
      <c r="S254" s="1643">
        <f t="shared" si="51"/>
        <v>0</v>
      </c>
      <c r="T254" s="1521"/>
      <c r="U254" s="1643">
        <f>+U252+U195+U169</f>
        <v>214274.05812223759</v>
      </c>
      <c r="W254" s="1561">
        <v>207621.47974720717</v>
      </c>
      <c r="X254" s="101">
        <f t="shared" si="47"/>
        <v>-6652.5783750304254</v>
      </c>
      <c r="AD254" s="1421">
        <v>213331.85354659532</v>
      </c>
      <c r="AE254" s="1892">
        <f t="shared" si="40"/>
        <v>942.20457564227399</v>
      </c>
    </row>
    <row r="255" spans="1:60" x14ac:dyDescent="0.35">
      <c r="B255" s="775"/>
      <c r="C255" s="775"/>
      <c r="D255" s="787"/>
      <c r="E255" s="1653"/>
      <c r="F255" s="802"/>
      <c r="G255" s="802"/>
      <c r="H255" s="802"/>
      <c r="I255" s="802"/>
      <c r="J255" s="802"/>
      <c r="K255" s="1839"/>
      <c r="L255" s="1839"/>
      <c r="M255" s="1839"/>
      <c r="N255" s="1839"/>
      <c r="O255" s="1839"/>
      <c r="P255" s="1635"/>
      <c r="Q255" s="1805"/>
      <c r="R255" s="1805"/>
      <c r="S255" s="1805"/>
      <c r="T255" s="787"/>
      <c r="U255" s="1663"/>
      <c r="W255" s="1553"/>
      <c r="AE255" s="1892">
        <f t="shared" si="40"/>
        <v>0</v>
      </c>
    </row>
    <row r="256" spans="1:60" s="824" customFormat="1" ht="21" x14ac:dyDescent="0.4">
      <c r="A256" s="820"/>
      <c r="B256" s="820"/>
      <c r="C256" s="821" t="s">
        <v>1498</v>
      </c>
      <c r="D256" s="822"/>
      <c r="E256" s="1654">
        <f>+E254-E144</f>
        <v>2.6109211205039173E-2</v>
      </c>
      <c r="F256" s="823"/>
      <c r="G256" s="823"/>
      <c r="H256" s="823"/>
      <c r="I256" s="823"/>
      <c r="J256" s="823"/>
      <c r="K256" s="1840"/>
      <c r="L256" s="1840"/>
      <c r="M256" s="1840"/>
      <c r="N256" s="1840"/>
      <c r="O256" s="1840"/>
      <c r="P256" s="1862">
        <f>+P254-P144</f>
        <v>-115.36290915185526</v>
      </c>
      <c r="Q256" s="1806"/>
      <c r="R256" s="1806"/>
      <c r="S256" s="1806"/>
      <c r="T256" s="822"/>
      <c r="U256" s="1894">
        <f>+U254-U144</f>
        <v>-177.84412420116132</v>
      </c>
      <c r="V256"/>
      <c r="W256" s="1550"/>
      <c r="X256"/>
      <c r="Y256"/>
      <c r="Z256"/>
      <c r="AA256"/>
      <c r="AB256"/>
      <c r="AC256"/>
      <c r="AD256" s="1755">
        <v>-1.9565111142583191E-4</v>
      </c>
      <c r="AE256" s="1892">
        <f t="shared" si="40"/>
        <v>-177.8439285500499</v>
      </c>
      <c r="AF256" s="75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5:32" customFormat="1" x14ac:dyDescent="0.35">
      <c r="E257" s="98"/>
      <c r="K257" s="1841"/>
      <c r="L257" s="1841"/>
      <c r="M257" s="1841"/>
      <c r="N257" s="1841"/>
      <c r="O257" s="1841"/>
      <c r="P257" s="98"/>
      <c r="Q257" s="1563"/>
      <c r="R257" s="1563"/>
      <c r="S257" s="1563"/>
      <c r="U257" s="1563"/>
      <c r="W257" s="1562"/>
      <c r="AD257" s="1421"/>
      <c r="AE257" s="1892"/>
      <c r="AF257" s="75"/>
    </row>
    <row r="258" spans="5:32" customFormat="1" x14ac:dyDescent="0.35">
      <c r="E258" s="98"/>
      <c r="K258" s="1841"/>
      <c r="L258" s="1841"/>
      <c r="M258" s="1841"/>
      <c r="N258" s="1841"/>
      <c r="O258" s="1841"/>
      <c r="P258" s="98"/>
      <c r="Q258" s="1563"/>
      <c r="R258" s="1563"/>
      <c r="S258" s="1563"/>
      <c r="U258" s="1563"/>
      <c r="W258" s="1562"/>
      <c r="AD258" s="1421"/>
      <c r="AE258" s="1892"/>
      <c r="AF258" s="75"/>
    </row>
    <row r="259" spans="5:32" customFormat="1" x14ac:dyDescent="0.35">
      <c r="E259" s="98"/>
      <c r="K259" s="1841"/>
      <c r="L259" s="1841"/>
      <c r="M259" s="1841"/>
      <c r="N259" s="1841"/>
      <c r="O259" s="1841"/>
      <c r="P259" s="98"/>
      <c r="Q259" s="1563"/>
      <c r="R259" s="1563"/>
      <c r="S259" s="1563"/>
      <c r="U259" s="1563"/>
      <c r="W259" s="1562"/>
      <c r="AD259" s="1421"/>
      <c r="AE259" s="1892"/>
      <c r="AF259" s="75"/>
    </row>
    <row r="260" spans="5:32" customFormat="1" ht="21" x14ac:dyDescent="0.4">
      <c r="E260" s="1789"/>
      <c r="K260" s="1841"/>
      <c r="L260" s="1841"/>
      <c r="M260" s="1841"/>
      <c r="N260" s="1841"/>
      <c r="O260" s="1841"/>
      <c r="P260" s="1789">
        <f>+P256*1000000</f>
        <v>-115362909.15185526</v>
      </c>
      <c r="Q260" s="1563"/>
      <c r="R260" s="1563"/>
      <c r="S260" s="1563"/>
      <c r="U260" s="1563"/>
      <c r="W260" s="1562"/>
      <c r="AD260" s="1421"/>
      <c r="AE260" s="1892"/>
      <c r="AF260" s="75"/>
    </row>
    <row r="261" spans="5:32" customFormat="1" x14ac:dyDescent="0.35">
      <c r="E261" s="98"/>
      <c r="K261" s="1841"/>
      <c r="L261" s="1841"/>
      <c r="M261" s="1841"/>
      <c r="N261" s="1841"/>
      <c r="O261" s="1841"/>
      <c r="P261" s="98"/>
      <c r="Q261" s="1563"/>
      <c r="R261" s="1563"/>
      <c r="S261" s="1563"/>
      <c r="U261" s="1563"/>
      <c r="W261" s="1562"/>
      <c r="AD261" s="1421"/>
      <c r="AE261" s="1892"/>
      <c r="AF261" s="75"/>
    </row>
    <row r="262" spans="5:32" customFormat="1" x14ac:dyDescent="0.35">
      <c r="E262" s="98"/>
      <c r="K262" s="1841"/>
      <c r="L262" s="1841"/>
      <c r="M262" s="1841"/>
      <c r="N262" s="1841"/>
      <c r="O262" s="1841"/>
      <c r="P262" s="98">
        <f>P242*1000000</f>
        <v>0</v>
      </c>
      <c r="Q262" s="1563"/>
      <c r="R262" s="1563"/>
      <c r="S262" s="1563"/>
      <c r="U262" s="1563"/>
      <c r="W262" s="1562"/>
      <c r="AD262" s="1421"/>
      <c r="AE262" s="1892"/>
      <c r="AF262" s="75"/>
    </row>
    <row r="263" spans="5:32" customFormat="1" x14ac:dyDescent="0.35">
      <c r="E263" s="98"/>
      <c r="K263" s="1841"/>
      <c r="L263" s="1841"/>
      <c r="M263" s="1841"/>
      <c r="N263" s="1841"/>
      <c r="O263" s="1841"/>
      <c r="P263" s="98"/>
      <c r="Q263" s="1563"/>
      <c r="R263" s="1563"/>
      <c r="S263" s="1563"/>
      <c r="U263" s="1563"/>
      <c r="W263" s="1562"/>
      <c r="AD263" s="1421"/>
      <c r="AE263" s="1892"/>
      <c r="AF263" s="75"/>
    </row>
    <row r="264" spans="5:32" customFormat="1" x14ac:dyDescent="0.35">
      <c r="E264" s="98"/>
      <c r="K264" s="1841"/>
      <c r="L264" s="1841"/>
      <c r="M264" s="1841"/>
      <c r="N264" s="1841"/>
      <c r="O264" s="1841"/>
      <c r="P264" s="98"/>
      <c r="Q264" s="1563"/>
      <c r="R264" s="1563"/>
      <c r="S264" s="1563"/>
      <c r="U264" s="1563"/>
      <c r="W264" s="1562"/>
      <c r="AD264" s="1421"/>
      <c r="AE264" s="1892"/>
      <c r="AF264" s="75"/>
    </row>
    <row r="265" spans="5:32" customFormat="1" x14ac:dyDescent="0.35">
      <c r="E265" s="98"/>
      <c r="K265" s="1841"/>
      <c r="L265" s="1841"/>
      <c r="M265" s="1841"/>
      <c r="N265" s="1841"/>
      <c r="O265" s="1841"/>
      <c r="P265" s="98"/>
      <c r="Q265" s="1563"/>
      <c r="R265" s="1563"/>
      <c r="S265" s="1563"/>
      <c r="U265" s="1563"/>
      <c r="W265" s="1562"/>
      <c r="AD265" s="1421"/>
      <c r="AE265" s="1892"/>
      <c r="AF265" s="75"/>
    </row>
    <row r="266" spans="5:32" customFormat="1" x14ac:dyDescent="0.35">
      <c r="E266" s="98"/>
      <c r="K266" s="1841"/>
      <c r="L266" s="1841"/>
      <c r="M266" s="1841"/>
      <c r="N266" s="1841"/>
      <c r="O266" s="1841"/>
      <c r="P266" s="98"/>
      <c r="Q266" s="1563"/>
      <c r="R266" s="1563"/>
      <c r="S266" s="1563"/>
      <c r="U266" s="1563"/>
      <c r="W266" s="1562"/>
      <c r="AD266" s="1421"/>
      <c r="AE266" s="1892"/>
      <c r="AF266" s="75"/>
    </row>
    <row r="267" spans="5:32" customFormat="1" x14ac:dyDescent="0.35">
      <c r="E267" s="98"/>
      <c r="K267" s="1841"/>
      <c r="L267" s="1841"/>
      <c r="M267" s="1841"/>
      <c r="N267" s="1841"/>
      <c r="O267" s="1841"/>
      <c r="P267" s="98"/>
      <c r="Q267" s="1563"/>
      <c r="R267" s="1563"/>
      <c r="S267" s="1563"/>
      <c r="U267" s="1563"/>
      <c r="W267" s="1562"/>
      <c r="AD267" s="1421"/>
      <c r="AE267" s="1892"/>
      <c r="AF267" s="75"/>
    </row>
    <row r="268" spans="5:32" customFormat="1" x14ac:dyDescent="0.35">
      <c r="E268" s="98"/>
      <c r="K268" s="1841"/>
      <c r="L268" s="1841"/>
      <c r="M268" s="1841"/>
      <c r="N268" s="1841"/>
      <c r="O268" s="1841"/>
      <c r="P268" s="98"/>
      <c r="Q268" s="1563"/>
      <c r="R268" s="1563"/>
      <c r="S268" s="1563"/>
      <c r="U268" s="1563"/>
      <c r="W268" s="1562"/>
      <c r="AD268" s="1421"/>
      <c r="AE268" s="1892"/>
      <c r="AF268" s="75"/>
    </row>
    <row r="269" spans="5:32" customFormat="1" x14ac:dyDescent="0.35">
      <c r="E269" s="98"/>
      <c r="K269" s="1841"/>
      <c r="L269" s="1841"/>
      <c r="M269" s="1841"/>
      <c r="N269" s="1841"/>
      <c r="O269" s="1841"/>
      <c r="P269" s="98"/>
      <c r="Q269" s="1563"/>
      <c r="R269" s="1563"/>
      <c r="S269" s="1563"/>
      <c r="U269" s="1563"/>
      <c r="W269" s="1562"/>
      <c r="AD269" s="1421"/>
      <c r="AE269" s="1892"/>
      <c r="AF269" s="75"/>
    </row>
    <row r="270" spans="5:32" customFormat="1" x14ac:dyDescent="0.35">
      <c r="E270" s="98"/>
      <c r="K270" s="1841"/>
      <c r="L270" s="1841"/>
      <c r="M270" s="1841"/>
      <c r="N270" s="1841"/>
      <c r="O270" s="1841"/>
      <c r="P270" s="98"/>
      <c r="Q270" s="1563"/>
      <c r="R270" s="1563"/>
      <c r="S270" s="1563"/>
      <c r="U270" s="1563"/>
      <c r="W270" s="1562"/>
      <c r="AD270" s="1421"/>
      <c r="AE270" s="1892"/>
      <c r="AF270" s="75"/>
    </row>
    <row r="271" spans="5:32" customFormat="1" x14ac:dyDescent="0.35">
      <c r="E271" s="98"/>
      <c r="K271" s="1754"/>
      <c r="L271" s="1754"/>
      <c r="M271" s="1754"/>
      <c r="N271" s="1754"/>
      <c r="O271" s="1754"/>
      <c r="P271" s="1846"/>
      <c r="Q271" s="1847"/>
      <c r="R271" s="1847"/>
      <c r="S271" s="1847"/>
      <c r="T271" s="1848"/>
      <c r="U271" s="1847"/>
      <c r="V271" s="1848"/>
      <c r="W271" s="1849"/>
      <c r="X271" s="1848"/>
      <c r="Y271" s="1848"/>
      <c r="Z271" s="1848"/>
      <c r="AA271" s="1848"/>
      <c r="AB271" s="1848"/>
      <c r="AC271" s="1848"/>
      <c r="AD271" s="1850"/>
      <c r="AE271" s="1892"/>
      <c r="AF271" s="75"/>
    </row>
    <row r="272" spans="5:32" customFormat="1" x14ac:dyDescent="0.35">
      <c r="E272" s="98"/>
      <c r="K272" s="1754"/>
      <c r="L272" s="1754"/>
      <c r="M272" s="1754"/>
      <c r="N272" s="1846"/>
      <c r="O272" s="1754"/>
      <c r="P272" s="1846"/>
      <c r="Q272" s="1847"/>
      <c r="R272" s="1847"/>
      <c r="S272" s="1847"/>
      <c r="T272" s="1848"/>
      <c r="U272" s="1847"/>
      <c r="V272" s="1848"/>
      <c r="W272" s="1849"/>
      <c r="X272" s="1848"/>
      <c r="Y272" s="1848"/>
      <c r="Z272" s="1848"/>
      <c r="AA272" s="1848"/>
      <c r="AB272" s="1848"/>
      <c r="AC272" s="1848"/>
      <c r="AD272" s="1850"/>
      <c r="AE272" s="1892"/>
      <c r="AF272" s="75"/>
    </row>
    <row r="273" spans="11:30" x14ac:dyDescent="0.35">
      <c r="K273" s="1851"/>
      <c r="L273" s="1851"/>
      <c r="M273" s="1851"/>
      <c r="N273" s="1846"/>
      <c r="O273" s="1851"/>
      <c r="P273" s="1852"/>
      <c r="Q273" s="1853"/>
      <c r="R273" s="1853"/>
      <c r="S273" s="1853"/>
      <c r="T273" s="1854"/>
      <c r="U273" s="1855"/>
      <c r="V273" s="1848"/>
      <c r="W273" s="1856"/>
      <c r="X273" s="1848"/>
      <c r="Y273" s="1848"/>
      <c r="Z273" s="1848"/>
      <c r="AA273" s="1848"/>
      <c r="AB273" s="1848"/>
      <c r="AC273" s="1848"/>
      <c r="AD273" s="1850"/>
    </row>
    <row r="274" spans="11:30" x14ac:dyDescent="0.35">
      <c r="K274" s="1851"/>
      <c r="L274" s="1851"/>
      <c r="M274" s="1851"/>
      <c r="N274" s="1846"/>
      <c r="O274" s="1851"/>
      <c r="P274" s="1852"/>
      <c r="Q274" s="1853"/>
      <c r="R274" s="1853"/>
      <c r="S274" s="1853"/>
      <c r="T274" s="1854"/>
      <c r="U274" s="1855"/>
      <c r="V274" s="1848"/>
      <c r="W274" s="1856"/>
      <c r="X274" s="1848"/>
      <c r="Y274" s="1848"/>
      <c r="Z274" s="1848"/>
      <c r="AA274" s="1848"/>
      <c r="AB274" s="1848"/>
      <c r="AC274" s="1848"/>
      <c r="AD274" s="1850"/>
    </row>
    <row r="275" spans="11:30" x14ac:dyDescent="0.35">
      <c r="K275" s="1851"/>
      <c r="L275" s="1851"/>
      <c r="M275" s="1851"/>
      <c r="N275" s="1852"/>
      <c r="O275" s="1851"/>
      <c r="P275" s="1852"/>
      <c r="Q275" s="1853"/>
      <c r="R275" s="1853"/>
      <c r="S275" s="1853"/>
      <c r="T275" s="1854"/>
      <c r="U275" s="1855"/>
      <c r="V275" s="1848"/>
      <c r="W275" s="1856"/>
      <c r="X275" s="1848"/>
      <c r="Y275" s="1848"/>
      <c r="Z275" s="1848"/>
      <c r="AA275" s="1848"/>
      <c r="AB275" s="1848"/>
      <c r="AC275" s="1848"/>
      <c r="AD275" s="1850"/>
    </row>
    <row r="276" spans="11:30" x14ac:dyDescent="0.35">
      <c r="K276" s="1851"/>
      <c r="L276" s="1851"/>
      <c r="M276" s="1851"/>
      <c r="N276" s="1852"/>
      <c r="O276" s="1851"/>
      <c r="P276" s="1852"/>
      <c r="Q276" s="1853"/>
      <c r="R276" s="1853"/>
      <c r="S276" s="1853"/>
      <c r="T276" s="1854"/>
      <c r="U276" s="1855"/>
      <c r="V276" s="1848"/>
      <c r="W276" s="1856"/>
      <c r="X276" s="1848"/>
      <c r="Y276" s="1848"/>
      <c r="Z276" s="1848"/>
      <c r="AA276" s="1848"/>
      <c r="AB276" s="1848"/>
      <c r="AC276" s="1848"/>
      <c r="AD276" s="1850"/>
    </row>
    <row r="277" spans="11:30" x14ac:dyDescent="0.35">
      <c r="K277" s="1851"/>
      <c r="L277" s="1851"/>
      <c r="M277" s="1851"/>
      <c r="N277" s="1851"/>
      <c r="O277" s="1851"/>
      <c r="P277" s="1852"/>
      <c r="Q277" s="1853"/>
      <c r="R277" s="1853"/>
      <c r="S277" s="1853"/>
      <c r="T277" s="1854"/>
      <c r="U277" s="1855"/>
      <c r="V277" s="1848"/>
      <c r="W277" s="1856"/>
      <c r="X277" s="1848"/>
      <c r="Y277" s="1848"/>
      <c r="Z277" s="1848"/>
      <c r="AA277" s="1848"/>
      <c r="AB277" s="1848"/>
      <c r="AC277" s="1848"/>
      <c r="AD277" s="1850"/>
    </row>
    <row r="278" spans="11:30" x14ac:dyDescent="0.35">
      <c r="K278" s="1851"/>
      <c r="L278" s="1851"/>
      <c r="M278" s="1851"/>
      <c r="N278" s="1851"/>
      <c r="O278" s="1851"/>
      <c r="P278" s="1852"/>
      <c r="Q278" s="1853"/>
      <c r="R278" s="1853"/>
      <c r="S278" s="1853"/>
      <c r="T278" s="1854"/>
      <c r="U278" s="1855"/>
      <c r="V278" s="1848"/>
      <c r="W278" s="1856"/>
      <c r="X278" s="1848"/>
      <c r="Y278" s="1848"/>
      <c r="Z278" s="1848"/>
      <c r="AA278" s="1848"/>
      <c r="AB278" s="1848"/>
      <c r="AC278" s="1848"/>
      <c r="AD278" s="1850"/>
    </row>
  </sheetData>
  <sheetProtection formatCells="0" formatColumns="0" formatRows="0"/>
  <autoFilter ref="A6:BH6" xr:uid="{00000000-0009-0000-0000-00000D000000}"/>
  <mergeCells count="16">
    <mergeCell ref="W4:W5"/>
    <mergeCell ref="K4:K5"/>
    <mergeCell ref="R4:R5"/>
    <mergeCell ref="E4:E5"/>
    <mergeCell ref="G4:G5"/>
    <mergeCell ref="H4:H5"/>
    <mergeCell ref="I4:I5"/>
    <mergeCell ref="J4:J5"/>
    <mergeCell ref="S4:S5"/>
    <mergeCell ref="U4:U5"/>
    <mergeCell ref="L4:L5"/>
    <mergeCell ref="M4:M5"/>
    <mergeCell ref="N4:N5"/>
    <mergeCell ref="O4:O5"/>
    <mergeCell ref="P4:P5"/>
    <mergeCell ref="Q4:Q5"/>
  </mergeCells>
  <hyperlinks>
    <hyperlink ref="A1" location="Sommaire!F16" display="Sommaire" xr:uid="{00000000-0004-0000-0D00-000000000000}"/>
  </hyperlinks>
  <printOptions horizontalCentered="1"/>
  <pageMargins left="0" right="7.874015748031496E-2" top="0.15748031496062992" bottom="0.15748031496062992" header="0.31496062992125984" footer="0.31496062992125984"/>
  <pageSetup paperSize="9" scale="75" fitToHeight="12" orientation="landscape" r:id="rId1"/>
  <rowBreaks count="2" manualBreakCount="2">
    <brk id="78" max="16383" man="1"/>
    <brk id="147" max="16383" man="1"/>
  </row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2:AH60"/>
  <sheetViews>
    <sheetView showGridLines="0" view="pageBreakPreview" topLeftCell="A3" zoomScale="60" zoomScaleNormal="55" workbookViewId="0">
      <selection activeCell="Y19" sqref="Y19"/>
    </sheetView>
  </sheetViews>
  <sheetFormatPr baseColWidth="10" defaultColWidth="11.44140625" defaultRowHeight="14.4" x14ac:dyDescent="0.3"/>
  <cols>
    <col min="1" max="1" width="3.5546875" style="1" customWidth="1"/>
    <col min="2" max="2" width="3.109375" style="1" customWidth="1"/>
    <col min="3" max="3" width="3.109375" style="2" customWidth="1"/>
    <col min="4" max="13" width="12.5546875" style="1" customWidth="1"/>
    <col min="14" max="16" width="11.44140625" style="1"/>
    <col min="17" max="17" width="3.109375" style="1" customWidth="1"/>
    <col min="18" max="18" width="3.109375" style="2" customWidth="1"/>
    <col min="19" max="19" width="3.5546875" style="1" customWidth="1"/>
    <col min="20" max="20" width="1.109375" style="1" customWidth="1"/>
    <col min="21" max="44" width="11.44140625" style="1"/>
    <col min="45" max="45" width="9.44140625" style="1" customWidth="1"/>
    <col min="46" max="16384" width="11.44140625" style="1"/>
  </cols>
  <sheetData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/>
      <c r="B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s="4"/>
    </row>
    <row r="4" spans="1:19" x14ac:dyDescent="0.3">
      <c r="A4" s="4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4"/>
    </row>
    <row r="5" spans="1:19" x14ac:dyDescent="0.3">
      <c r="A5" s="4"/>
      <c r="B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4"/>
    </row>
    <row r="6" spans="1:19" x14ac:dyDescent="0.3">
      <c r="A6" s="4"/>
      <c r="B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4"/>
    </row>
    <row r="7" spans="1:19" x14ac:dyDescent="0.3">
      <c r="A7" s="4"/>
      <c r="B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4"/>
    </row>
    <row r="8" spans="1:19" x14ac:dyDescent="0.3">
      <c r="A8" s="4"/>
      <c r="B8" s="2"/>
      <c r="Q8" s="2"/>
      <c r="S8" s="4"/>
    </row>
    <row r="9" spans="1:19" x14ac:dyDescent="0.3">
      <c r="A9" s="4"/>
      <c r="B9" s="2"/>
      <c r="Q9" s="2"/>
      <c r="S9" s="4"/>
    </row>
    <row r="10" spans="1:19" x14ac:dyDescent="0.3">
      <c r="A10" s="4"/>
      <c r="B10" s="2"/>
      <c r="Q10" s="2"/>
      <c r="S10" s="4"/>
    </row>
    <row r="11" spans="1:19" x14ac:dyDescent="0.3">
      <c r="A11" s="4"/>
      <c r="B11" s="2"/>
      <c r="Q11" s="2"/>
      <c r="S11" s="4"/>
    </row>
    <row r="12" spans="1:19" s="7" customFormat="1" x14ac:dyDescent="0.3">
      <c r="A12" s="5"/>
      <c r="B12" s="6"/>
      <c r="C12" s="6"/>
      <c r="D12" s="1915"/>
      <c r="E12" s="1915"/>
      <c r="F12" s="1915"/>
      <c r="G12" s="1915"/>
      <c r="H12" s="1915"/>
      <c r="I12" s="1915"/>
      <c r="J12" s="1915"/>
      <c r="K12" s="1915"/>
      <c r="L12" s="1915"/>
      <c r="M12" s="1915"/>
      <c r="N12" s="1915"/>
      <c r="Q12" s="6"/>
      <c r="R12" s="6"/>
      <c r="S12" s="5"/>
    </row>
    <row r="13" spans="1:19" s="7" customFormat="1" ht="15" customHeight="1" x14ac:dyDescent="0.3">
      <c r="A13" s="5"/>
      <c r="B13" s="6"/>
      <c r="C13" s="6"/>
      <c r="Q13" s="6"/>
      <c r="R13" s="6"/>
      <c r="S13" s="5"/>
    </row>
    <row r="14" spans="1:19" s="7" customFormat="1" ht="15.75" customHeight="1" thickBot="1" x14ac:dyDescent="0.35">
      <c r="A14" s="5"/>
      <c r="B14" s="6"/>
      <c r="C14" s="6"/>
      <c r="Q14" s="6"/>
      <c r="R14" s="6"/>
      <c r="S14" s="5"/>
    </row>
    <row r="15" spans="1:19" s="7" customFormat="1" x14ac:dyDescent="0.3">
      <c r="A15" s="5"/>
      <c r="B15" s="6"/>
      <c r="C15" s="6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6"/>
      <c r="R15" s="6"/>
      <c r="S15" s="5"/>
    </row>
    <row r="16" spans="1:19" s="7" customFormat="1" ht="46.2" x14ac:dyDescent="0.3">
      <c r="A16" s="5"/>
      <c r="B16" s="6"/>
      <c r="C16" s="6"/>
      <c r="D16" s="14"/>
      <c r="E16" s="1920" t="s">
        <v>1887</v>
      </c>
      <c r="F16" s="1920"/>
      <c r="G16" s="1920"/>
      <c r="H16" s="1920"/>
      <c r="I16" s="1920"/>
      <c r="J16" s="1920"/>
      <c r="K16" s="1920"/>
      <c r="L16" s="1920"/>
      <c r="M16" s="1920"/>
      <c r="N16" s="1920"/>
      <c r="O16" s="1920"/>
      <c r="P16" s="15"/>
      <c r="Q16" s="6"/>
      <c r="R16" s="6"/>
      <c r="S16" s="5"/>
    </row>
    <row r="17" spans="1:19" ht="34.200000000000003" thickBot="1" x14ac:dyDescent="0.7">
      <c r="A17" s="4"/>
      <c r="B17" s="2"/>
      <c r="D17" s="2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"/>
      <c r="S17" s="4"/>
    </row>
    <row r="18" spans="1:19" ht="31.2" x14ac:dyDescent="0.6">
      <c r="A18" s="4"/>
      <c r="B18" s="2"/>
      <c r="D18" s="30"/>
      <c r="E18" s="2"/>
      <c r="F18" s="2"/>
      <c r="G18" s="2"/>
      <c r="H18" s="2"/>
      <c r="I18" s="2"/>
      <c r="J18" s="2"/>
      <c r="K18" s="2"/>
      <c r="L18" s="2"/>
      <c r="M18" s="2"/>
      <c r="N18" s="2"/>
      <c r="O18" s="31"/>
      <c r="P18" s="31"/>
      <c r="Q18" s="2"/>
      <c r="S18" s="4"/>
    </row>
    <row r="19" spans="1:19" ht="31.2" x14ac:dyDescent="0.6">
      <c r="A19" s="4"/>
      <c r="B19" s="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Q19" s="2"/>
      <c r="S19" s="4"/>
    </row>
    <row r="20" spans="1:19" x14ac:dyDescent="0.3">
      <c r="A20" s="4"/>
      <c r="B20" s="2"/>
      <c r="Q20" s="2"/>
      <c r="S20" s="4"/>
    </row>
    <row r="21" spans="1:19" x14ac:dyDescent="0.3">
      <c r="A21" s="4"/>
      <c r="B21" s="2"/>
      <c r="Q21" s="2"/>
      <c r="S21" s="4"/>
    </row>
    <row r="22" spans="1:19" x14ac:dyDescent="0.3">
      <c r="A22" s="4"/>
      <c r="B22" s="2"/>
      <c r="Q22" s="2"/>
      <c r="S22" s="4"/>
    </row>
    <row r="23" spans="1:19" x14ac:dyDescent="0.3">
      <c r="A23" s="4"/>
      <c r="B23" s="2"/>
      <c r="Q23" s="2"/>
      <c r="S23" s="4"/>
    </row>
    <row r="24" spans="1:19" x14ac:dyDescent="0.3">
      <c r="A24" s="4"/>
      <c r="B24" s="2"/>
      <c r="Q24" s="2"/>
      <c r="S24" s="4"/>
    </row>
    <row r="25" spans="1:19" x14ac:dyDescent="0.3">
      <c r="A25" s="4"/>
      <c r="B25" s="2"/>
      <c r="G25" s="1" t="s">
        <v>13</v>
      </c>
      <c r="Q25" s="2"/>
      <c r="S25" s="4"/>
    </row>
    <row r="26" spans="1:19" x14ac:dyDescent="0.3">
      <c r="A26" s="4"/>
      <c r="B26" s="2"/>
      <c r="Q26" s="2"/>
      <c r="S26" s="4"/>
    </row>
    <row r="27" spans="1:19" x14ac:dyDescent="0.3">
      <c r="A27" s="4"/>
      <c r="B27" s="2"/>
      <c r="Q27" s="2"/>
      <c r="S27" s="4"/>
    </row>
    <row r="28" spans="1:19" x14ac:dyDescent="0.3">
      <c r="A28" s="4"/>
      <c r="B28" s="2"/>
      <c r="E28" s="34"/>
      <c r="Q28" s="2"/>
      <c r="S28" s="4"/>
    </row>
    <row r="29" spans="1:19" x14ac:dyDescent="0.3">
      <c r="A29" s="4"/>
      <c r="B29" s="2"/>
      <c r="Q29" s="2"/>
      <c r="S29" s="4"/>
    </row>
    <row r="30" spans="1:19" x14ac:dyDescent="0.3">
      <c r="A30" s="4"/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4"/>
    </row>
    <row r="31" spans="1:19" x14ac:dyDescent="0.3">
      <c r="A31" s="4"/>
      <c r="B31" s="2"/>
      <c r="D31" s="3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4"/>
    </row>
    <row r="32" spans="1:19" x14ac:dyDescent="0.3">
      <c r="A32" s="4"/>
      <c r="B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</row>
    <row r="33" spans="1:34" x14ac:dyDescent="0.3">
      <c r="A33" s="4"/>
      <c r="B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4"/>
    </row>
    <row r="34" spans="1:34" x14ac:dyDescent="0.3">
      <c r="A34" s="4"/>
      <c r="B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4"/>
      <c r="AH34" s="36"/>
    </row>
    <row r="35" spans="1:3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60" spans="3:33" x14ac:dyDescent="0.3">
      <c r="C60" s="1"/>
      <c r="R60" s="1"/>
      <c r="AG60" s="70"/>
    </row>
  </sheetData>
  <mergeCells count="2">
    <mergeCell ref="D12:N12"/>
    <mergeCell ref="E16:O16"/>
  </mergeCells>
  <pageMargins left="0.7" right="0.7" top="0.75" bottom="0.75" header="0.3" footer="0.3"/>
  <pageSetup paperSize="9" scale="3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H45"/>
  <sheetViews>
    <sheetView showGridLines="0" view="pageBreakPreview" zoomScale="80" zoomScaleNormal="80" zoomScaleSheetLayoutView="80" workbookViewId="0">
      <pane xSplit="4" ySplit="5" topLeftCell="E30" activePane="bottomRight" state="frozen"/>
      <selection activeCell="Y19" sqref="Y19"/>
      <selection pane="topRight" activeCell="Y19" sqref="Y19"/>
      <selection pane="bottomLeft" activeCell="Y19" sqref="Y19"/>
      <selection pane="bottomRight" activeCell="Y19" sqref="Y19"/>
    </sheetView>
  </sheetViews>
  <sheetFormatPr baseColWidth="10" defaultColWidth="11.44140625" defaultRowHeight="14.4" x14ac:dyDescent="0.3"/>
  <cols>
    <col min="1" max="1" width="17.88671875" style="2" customWidth="1"/>
    <col min="2" max="2" width="59.5546875" style="2" customWidth="1"/>
    <col min="3" max="3" width="1.44140625" style="467" customWidth="1"/>
    <col min="4" max="4" width="20.5546875" style="459" customWidth="1"/>
    <col min="5" max="5" width="1.44140625" style="467" customWidth="1"/>
    <col min="6" max="6" width="20.5546875" style="459" customWidth="1"/>
    <col min="7" max="7" width="2.88671875" style="2" customWidth="1"/>
    <col min="8" max="8" width="21.88671875" style="468" customWidth="1"/>
    <col min="9" max="16384" width="11.44140625" style="2"/>
  </cols>
  <sheetData>
    <row r="1" spans="1:8" ht="24" customHeight="1" x14ac:dyDescent="0.3">
      <c r="A1" s="825" t="s">
        <v>75</v>
      </c>
      <c r="B1" s="6"/>
      <c r="C1" s="6"/>
      <c r="E1" s="6"/>
    </row>
    <row r="2" spans="1:8" s="52" customFormat="1" x14ac:dyDescent="0.3">
      <c r="B2" s="463"/>
      <c r="D2" s="826"/>
      <c r="E2" s="826"/>
      <c r="F2" s="826"/>
    </row>
    <row r="3" spans="1:8" ht="38.4" x14ac:dyDescent="0.7">
      <c r="B3" s="770" t="s">
        <v>1888</v>
      </c>
    </row>
    <row r="4" spans="1:8" s="469" customFormat="1" ht="28.5" customHeight="1" x14ac:dyDescent="0.3">
      <c r="B4" s="470" t="str">
        <f>Cover!Y13</f>
        <v>En millions de FCFA</v>
      </c>
      <c r="C4" s="471"/>
      <c r="D4" s="1958" t="s">
        <v>1812</v>
      </c>
      <c r="E4" s="471"/>
      <c r="F4" s="1958" t="s">
        <v>1826</v>
      </c>
      <c r="H4" s="473"/>
    </row>
    <row r="5" spans="1:8" s="469" customFormat="1" x14ac:dyDescent="0.3">
      <c r="C5" s="471"/>
      <c r="D5" s="1958"/>
      <c r="E5" s="471"/>
      <c r="F5" s="1958"/>
      <c r="H5" s="473"/>
    </row>
    <row r="6" spans="1:8" x14ac:dyDescent="0.3">
      <c r="C6" s="2"/>
      <c r="E6" s="2"/>
      <c r="H6" s="827"/>
    </row>
    <row r="7" spans="1:8" s="6" customFormat="1" ht="20.100000000000001" customHeight="1" x14ac:dyDescent="0.3">
      <c r="B7" s="828" t="s">
        <v>1052</v>
      </c>
      <c r="C7" s="829"/>
      <c r="D7" s="830">
        <f>+'Bilan-par flux'!E9</f>
        <v>26399</v>
      </c>
      <c r="E7" s="829"/>
      <c r="F7" s="830">
        <f>+'Passage Actif BC '!BH12</f>
        <v>26399</v>
      </c>
      <c r="H7" s="528"/>
    </row>
    <row r="8" spans="1:8" s="6" customFormat="1" ht="20.100000000000001" customHeight="1" x14ac:dyDescent="0.3">
      <c r="B8" s="828" t="s">
        <v>1086</v>
      </c>
      <c r="C8" s="829"/>
      <c r="D8" s="830">
        <f>+'Bilan-par flux'!E29</f>
        <v>45218.3</v>
      </c>
      <c r="E8" s="829"/>
      <c r="F8" s="830">
        <f>+'Passage Actif BC '!BH37</f>
        <v>43011.541143735893</v>
      </c>
      <c r="H8" s="528"/>
    </row>
    <row r="9" spans="1:8" s="6" customFormat="1" ht="20.100000000000001" customHeight="1" x14ac:dyDescent="0.3">
      <c r="B9" s="828" t="s">
        <v>1113</v>
      </c>
      <c r="C9" s="829"/>
      <c r="D9" s="830">
        <f>+'Bilan-par flux'!E47</f>
        <v>55284.80000000001</v>
      </c>
      <c r="E9" s="829"/>
      <c r="F9" s="830">
        <f>+'Passage Actif BC '!BH62</f>
        <v>67289.024034791975</v>
      </c>
      <c r="H9" s="528"/>
    </row>
    <row r="10" spans="1:8" s="6" customFormat="1" ht="20.100000000000001" customHeight="1" x14ac:dyDescent="0.3">
      <c r="B10" s="828" t="s">
        <v>1159</v>
      </c>
      <c r="C10" s="829"/>
      <c r="D10" s="830">
        <f>+'Bilan-par flux'!E71</f>
        <v>22280.2</v>
      </c>
      <c r="E10" s="829"/>
      <c r="F10" s="830">
        <f>+'Passage Actif BC '!BH89</f>
        <v>24598.406149999999</v>
      </c>
      <c r="H10" s="528"/>
    </row>
    <row r="11" spans="1:8" s="6" customFormat="1" ht="20.100000000000001" customHeight="1" x14ac:dyDescent="0.3">
      <c r="B11" s="828" t="s">
        <v>1165</v>
      </c>
      <c r="C11" s="829"/>
      <c r="D11" s="830">
        <f>+'Bilan-par flux'!E75</f>
        <v>3167.1000000000004</v>
      </c>
      <c r="E11" s="829"/>
      <c r="F11" s="830">
        <f>+'Passage Actif BC '!BH93</f>
        <v>3145.1796769108923</v>
      </c>
      <c r="H11" s="528"/>
    </row>
    <row r="12" spans="1:8" s="532" customFormat="1" ht="26.25" customHeight="1" x14ac:dyDescent="0.3">
      <c r="B12" s="831" t="s">
        <v>1167</v>
      </c>
      <c r="C12" s="573"/>
      <c r="D12" s="832">
        <f>+D11+D10+D9+D8+D7</f>
        <v>152349.40000000002</v>
      </c>
      <c r="E12" s="573"/>
      <c r="F12" s="832">
        <f>+F11+F10+F9+F8+F7</f>
        <v>164443.15100543876</v>
      </c>
      <c r="H12" s="574"/>
    </row>
    <row r="13" spans="1:8" s="6" customFormat="1" ht="20.100000000000001" customHeight="1" x14ac:dyDescent="0.3">
      <c r="B13" s="833" t="s">
        <v>1172</v>
      </c>
      <c r="C13" s="829"/>
      <c r="D13" s="834">
        <f>+'Bilan-par flux'!E82</f>
        <v>2477.4</v>
      </c>
      <c r="E13" s="829"/>
      <c r="F13" s="834">
        <f>+'Passage Actif BC '!BH105</f>
        <v>2057.5574220000008</v>
      </c>
      <c r="H13" s="528"/>
    </row>
    <row r="14" spans="1:8" s="6" customFormat="1" ht="20.100000000000001" customHeight="1" x14ac:dyDescent="0.3">
      <c r="B14" s="833" t="s">
        <v>1175</v>
      </c>
      <c r="C14" s="829"/>
      <c r="D14" s="834">
        <f>+'Bilan-par flux'!E85</f>
        <v>0</v>
      </c>
      <c r="E14" s="829"/>
      <c r="F14" s="834">
        <f>+'Passage Actif BC '!BH108</f>
        <v>0</v>
      </c>
      <c r="H14" s="528"/>
    </row>
    <row r="15" spans="1:8" s="6" customFormat="1" ht="20.100000000000001" customHeight="1" x14ac:dyDescent="0.3">
      <c r="B15" s="833" t="s">
        <v>1225</v>
      </c>
      <c r="C15" s="829"/>
      <c r="D15" s="834">
        <f>+'Bilan-par flux'!E113</f>
        <v>41537.699999999997</v>
      </c>
      <c r="E15" s="829"/>
      <c r="F15" s="834">
        <f>+'Passage Actif BC '!BH141</f>
        <v>39332.093065000001</v>
      </c>
      <c r="H15" s="528"/>
    </row>
    <row r="16" spans="1:8" s="6" customFormat="1" ht="20.100000000000001" customHeight="1" x14ac:dyDescent="0.3">
      <c r="B16" s="833" t="s">
        <v>37</v>
      </c>
      <c r="C16" s="829"/>
      <c r="D16" s="834">
        <f>+'Bilan-par flux'!E130</f>
        <v>0</v>
      </c>
      <c r="E16" s="829"/>
      <c r="F16" s="834">
        <f>+'Passage Actif BC '!BH156</f>
        <v>0</v>
      </c>
      <c r="H16" s="528"/>
    </row>
    <row r="17" spans="2:8" s="6" customFormat="1" ht="20.100000000000001" customHeight="1" x14ac:dyDescent="0.3">
      <c r="B17" s="833" t="s">
        <v>1262</v>
      </c>
      <c r="C17" s="829"/>
      <c r="D17" s="834">
        <f>+'Bilan-par flux'!E136</f>
        <v>10393.4</v>
      </c>
      <c r="E17" s="829"/>
      <c r="F17" s="834">
        <f>+'Passage Actif BC '!BH166</f>
        <v>8619.1007540000028</v>
      </c>
      <c r="H17" s="528"/>
    </row>
    <row r="18" spans="2:8" s="6" customFormat="1" ht="20.100000000000001" customHeight="1" x14ac:dyDescent="0.3">
      <c r="B18" s="833" t="s">
        <v>1267</v>
      </c>
      <c r="C18" s="829"/>
      <c r="D18" s="834">
        <f>+'Bilan-par flux'!E139</f>
        <v>0</v>
      </c>
      <c r="E18" s="829"/>
      <c r="F18" s="834">
        <f>+'Passage Actif BC '!BH171</f>
        <v>0</v>
      </c>
      <c r="H18" s="528"/>
    </row>
    <row r="19" spans="2:8" s="532" customFormat="1" ht="26.25" customHeight="1" x14ac:dyDescent="0.3">
      <c r="B19" s="831" t="s">
        <v>1269</v>
      </c>
      <c r="C19" s="573"/>
      <c r="D19" s="832">
        <f>+D13+D14+D15+D16+D17+D18</f>
        <v>54408.5</v>
      </c>
      <c r="E19" s="573"/>
      <c r="F19" s="832">
        <f>+F13+F14+F15+F16+F17+F18</f>
        <v>50008.751241000005</v>
      </c>
      <c r="H19" s="574"/>
    </row>
    <row r="20" spans="2:8" ht="6.9" customHeight="1" thickBot="1" x14ac:dyDescent="0.35">
      <c r="D20" s="490"/>
      <c r="F20" s="490"/>
      <c r="H20" s="516"/>
    </row>
    <row r="21" spans="2:8" s="835" customFormat="1" ht="30.75" customHeight="1" thickBot="1" x14ac:dyDescent="0.35">
      <c r="B21" s="836" t="s">
        <v>1878</v>
      </c>
      <c r="C21" s="837"/>
      <c r="D21" s="838">
        <f>+D19+D12</f>
        <v>206757.90000000002</v>
      </c>
      <c r="E21" s="837"/>
      <c r="F21" s="838">
        <f>+F19+F12</f>
        <v>214451.90224643878</v>
      </c>
      <c r="H21" s="839"/>
    </row>
    <row r="22" spans="2:8" x14ac:dyDescent="0.3">
      <c r="D22" s="581"/>
      <c r="F22" s="581"/>
    </row>
    <row r="23" spans="2:8" s="6" customFormat="1" ht="20.100000000000001" customHeight="1" x14ac:dyDescent="0.3">
      <c r="B23" s="833" t="s">
        <v>1303</v>
      </c>
      <c r="C23" s="833"/>
      <c r="D23" s="834">
        <f>+'Bilan-par flux'!E157-D24</f>
        <v>36163.09359750928</v>
      </c>
      <c r="E23" s="833"/>
      <c r="F23" s="834">
        <f>+'Passage Passif BC '!BG26-F24</f>
        <v>40506.591956680095</v>
      </c>
      <c r="H23" s="840"/>
    </row>
    <row r="24" spans="2:8" s="6" customFormat="1" ht="20.100000000000001" customHeight="1" x14ac:dyDescent="0.3">
      <c r="B24" s="833" t="s">
        <v>1304</v>
      </c>
      <c r="C24" s="833"/>
      <c r="D24" s="834">
        <f>+'Bilan-par flux'!E149</f>
        <v>4266.4125760974521</v>
      </c>
      <c r="E24" s="833"/>
      <c r="F24" s="834">
        <f>+'Passage Passif BC '!BG18</f>
        <v>4918.316886122042</v>
      </c>
      <c r="H24" s="840"/>
    </row>
    <row r="25" spans="2:8" s="6" customFormat="1" ht="23.1" customHeight="1" thickBot="1" x14ac:dyDescent="0.35">
      <c r="B25" s="841" t="s">
        <v>1320</v>
      </c>
      <c r="C25" s="842"/>
      <c r="D25" s="843">
        <f>+SUM(D23:D24)</f>
        <v>40429.506173606729</v>
      </c>
      <c r="E25" s="842"/>
      <c r="F25" s="843">
        <f>+SUM(F23:F24)</f>
        <v>45424.908842802135</v>
      </c>
      <c r="H25" s="840"/>
    </row>
    <row r="26" spans="2:8" s="6" customFormat="1" ht="20.100000000000001" customHeight="1" x14ac:dyDescent="0.3">
      <c r="B26" s="833" t="s">
        <v>1322</v>
      </c>
      <c r="C26" s="833"/>
      <c r="D26" s="834">
        <f>+'Bilan-par flux'!E167-D27</f>
        <v>0</v>
      </c>
      <c r="E26" s="833"/>
      <c r="F26" s="834">
        <f>+'Passage Passif BC '!BG36-F27</f>
        <v>0</v>
      </c>
      <c r="H26" s="840"/>
    </row>
    <row r="27" spans="2:8" s="6" customFormat="1" ht="20.100000000000001" customHeight="1" x14ac:dyDescent="0.3">
      <c r="B27" s="833" t="s">
        <v>1324</v>
      </c>
      <c r="C27" s="833"/>
      <c r="D27" s="834">
        <f>+'Bilan-par flux'!E160</f>
        <v>0</v>
      </c>
      <c r="E27" s="833"/>
      <c r="F27" s="834">
        <f>+'Passage Passif BC '!BG29</f>
        <v>0</v>
      </c>
      <c r="H27" s="840"/>
    </row>
    <row r="28" spans="2:8" s="6" customFormat="1" ht="23.1" customHeight="1" thickBot="1" x14ac:dyDescent="0.35">
      <c r="B28" s="841" t="s">
        <v>1333</v>
      </c>
      <c r="C28" s="842"/>
      <c r="D28" s="843">
        <f>+SUM(D26:D27)</f>
        <v>0</v>
      </c>
      <c r="E28" s="842">
        <f>+SUM(E26:E27)</f>
        <v>0</v>
      </c>
      <c r="F28" s="843">
        <f>+SUM(F26:F27)</f>
        <v>0</v>
      </c>
      <c r="H28" s="840"/>
    </row>
    <row r="29" spans="2:8" s="532" customFormat="1" ht="26.25" customHeight="1" x14ac:dyDescent="0.3">
      <c r="B29" s="831" t="s">
        <v>1335</v>
      </c>
      <c r="C29" s="573"/>
      <c r="D29" s="832">
        <f>+D28+D25</f>
        <v>40429.506173606729</v>
      </c>
      <c r="E29" s="573"/>
      <c r="F29" s="832">
        <f>+F28+F25</f>
        <v>45424.908842802135</v>
      </c>
      <c r="H29" s="574"/>
    </row>
    <row r="30" spans="2:8" s="6" customFormat="1" ht="20.100000000000001" customHeight="1" x14ac:dyDescent="0.3">
      <c r="B30" s="828" t="s">
        <v>1350</v>
      </c>
      <c r="C30" s="829"/>
      <c r="D30" s="830">
        <f>+'Bilan-par flux'!E177</f>
        <v>38795.710471394239</v>
      </c>
      <c r="E30" s="829"/>
      <c r="F30" s="830">
        <f>+'Passage Passif BC '!BG51</f>
        <v>32735.944342394239</v>
      </c>
      <c r="H30" s="840"/>
    </row>
    <row r="31" spans="2:8" s="6" customFormat="1" ht="20.100000000000001" customHeight="1" x14ac:dyDescent="0.3">
      <c r="B31" s="828" t="s">
        <v>1362</v>
      </c>
      <c r="C31" s="829"/>
      <c r="D31" s="830">
        <f>+'Bilan-par flux'!E184</f>
        <v>1068.1094642102391</v>
      </c>
      <c r="E31" s="829"/>
      <c r="F31" s="830">
        <f>+'Passage Passif BC '!BG58</f>
        <v>1027.867229210239</v>
      </c>
      <c r="H31" s="840"/>
    </row>
    <row r="32" spans="2:8" s="6" customFormat="1" ht="20.100000000000001" customHeight="1" x14ac:dyDescent="0.3">
      <c r="B32" s="828" t="s">
        <v>1366</v>
      </c>
      <c r="C32" s="829"/>
      <c r="D32" s="830">
        <f>+'Bilan-par flux'!E187</f>
        <v>0</v>
      </c>
      <c r="E32" s="829"/>
      <c r="F32" s="830">
        <f>+'Passage Passif BC '!BG61</f>
        <v>0</v>
      </c>
      <c r="H32" s="840"/>
    </row>
    <row r="33" spans="2:8" s="6" customFormat="1" ht="20.100000000000001" customHeight="1" x14ac:dyDescent="0.3">
      <c r="B33" s="828" t="s">
        <v>1368</v>
      </c>
      <c r="C33" s="829"/>
      <c r="D33" s="830">
        <f>+'Bilan-par flux'!E190</f>
        <v>0</v>
      </c>
      <c r="E33" s="829"/>
      <c r="F33" s="830">
        <f>+'Passage Passif BC '!BG64</f>
        <v>131.00203955258934</v>
      </c>
      <c r="H33" s="840"/>
    </row>
    <row r="34" spans="2:8" s="6" customFormat="1" ht="20.100000000000001" customHeight="1" x14ac:dyDescent="0.3">
      <c r="B34" s="828" t="s">
        <v>1889</v>
      </c>
      <c r="C34" s="829"/>
      <c r="D34" s="830">
        <f>+'Bilan-par flux'!E193</f>
        <v>0</v>
      </c>
      <c r="E34" s="829"/>
      <c r="F34" s="830">
        <f>+'Passage Passif BC '!BG67</f>
        <v>0</v>
      </c>
      <c r="H34" s="840"/>
    </row>
    <row r="35" spans="2:8" s="532" customFormat="1" ht="26.25" customHeight="1" x14ac:dyDescent="0.3">
      <c r="B35" s="831" t="s">
        <v>1375</v>
      </c>
      <c r="C35" s="573"/>
      <c r="D35" s="832">
        <f>+D34+D33+D32+D31+D30</f>
        <v>39863.819935604479</v>
      </c>
      <c r="E35" s="573"/>
      <c r="F35" s="832">
        <f>+F34+F33+F32+F31+F30</f>
        <v>33894.813611157071</v>
      </c>
      <c r="H35" s="574"/>
    </row>
    <row r="36" spans="2:8" s="6" customFormat="1" ht="20.100000000000001" customHeight="1" x14ac:dyDescent="0.3">
      <c r="B36" s="828" t="s">
        <v>1415</v>
      </c>
      <c r="C36" s="829"/>
      <c r="D36" s="830">
        <f>+'Bilan-par flux'!E217</f>
        <v>101714.6</v>
      </c>
      <c r="E36" s="829"/>
      <c r="F36" s="830">
        <f>+'Passage Passif BC '!BG101</f>
        <v>103389.40152600002</v>
      </c>
      <c r="H36" s="840"/>
    </row>
    <row r="37" spans="2:8" s="6" customFormat="1" ht="20.100000000000001" customHeight="1" x14ac:dyDescent="0.3">
      <c r="B37" s="828" t="s">
        <v>1884</v>
      </c>
      <c r="C37" s="829"/>
      <c r="D37" s="830">
        <f>+'Bilan-par flux'!E220</f>
        <v>0</v>
      </c>
      <c r="E37" s="829"/>
      <c r="F37" s="830">
        <f>+'Passage Passif BC '!BG104</f>
        <v>0</v>
      </c>
      <c r="H37" s="840"/>
    </row>
    <row r="38" spans="2:8" s="6" customFormat="1" ht="20.100000000000001" customHeight="1" x14ac:dyDescent="0.3">
      <c r="B38" s="828" t="s">
        <v>1431</v>
      </c>
      <c r="C38" s="829"/>
      <c r="D38" s="830">
        <f>+'Bilan-par flux'!E227</f>
        <v>87</v>
      </c>
      <c r="E38" s="829"/>
      <c r="F38" s="830">
        <f>+'Passage Passif BC '!BG111</f>
        <v>86.962006999999886</v>
      </c>
      <c r="H38" s="840"/>
    </row>
    <row r="39" spans="2:8" s="6" customFormat="1" ht="20.100000000000001" customHeight="1" x14ac:dyDescent="0.3">
      <c r="B39" s="828" t="s">
        <v>1460</v>
      </c>
      <c r="C39" s="829"/>
      <c r="D39" s="830">
        <f>+'Bilan-par flux'!E244</f>
        <v>24663</v>
      </c>
      <c r="E39" s="829"/>
      <c r="F39" s="830">
        <f>+'Passage Passif BC '!BG128</f>
        <v>31477.972135278385</v>
      </c>
      <c r="H39" s="840"/>
    </row>
    <row r="40" spans="2:8" s="6" customFormat="1" ht="20.100000000000001" customHeight="1" x14ac:dyDescent="0.3">
      <c r="B40" s="828" t="s">
        <v>1464</v>
      </c>
      <c r="C40" s="829"/>
      <c r="D40" s="830">
        <f>+'Bilan-par flux'!E247</f>
        <v>0</v>
      </c>
      <c r="E40" s="829"/>
      <c r="F40" s="830">
        <f>+'Passage Passif BC '!BG131</f>
        <v>0</v>
      </c>
      <c r="H40" s="840"/>
    </row>
    <row r="41" spans="2:8" s="6" customFormat="1" ht="20.100000000000001" customHeight="1" x14ac:dyDescent="0.3">
      <c r="B41" s="828" t="s">
        <v>1469</v>
      </c>
      <c r="C41" s="829"/>
      <c r="D41" s="830">
        <f>+'Bilan-par flux'!E250</f>
        <v>0</v>
      </c>
      <c r="E41" s="829"/>
      <c r="F41" s="830">
        <f>+'Passage Passif BC '!BG136</f>
        <v>0</v>
      </c>
      <c r="H41" s="840"/>
    </row>
    <row r="42" spans="2:8" s="532" customFormat="1" ht="26.25" customHeight="1" thickBot="1" x14ac:dyDescent="0.35">
      <c r="B42" s="831" t="s">
        <v>1886</v>
      </c>
      <c r="C42" s="573"/>
      <c r="D42" s="832">
        <f>+D41+D40+D39+D38+D37+D36</f>
        <v>126464.6</v>
      </c>
      <c r="E42" s="573"/>
      <c r="F42" s="832">
        <f>+F41+F40+F39+F38+F37+F36</f>
        <v>134954.33566827839</v>
      </c>
      <c r="H42" s="574"/>
    </row>
    <row r="43" spans="2:8" s="835" customFormat="1" ht="30.75" customHeight="1" thickBot="1" x14ac:dyDescent="0.35">
      <c r="B43" s="836" t="s">
        <v>1473</v>
      </c>
      <c r="C43" s="837"/>
      <c r="D43" s="838">
        <f>+D42+D35+D29</f>
        <v>206757.92610921123</v>
      </c>
      <c r="E43" s="837"/>
      <c r="F43" s="838">
        <f>+F42+F35+F29</f>
        <v>214274.05812223759</v>
      </c>
      <c r="H43" s="839"/>
    </row>
    <row r="45" spans="2:8" x14ac:dyDescent="0.3">
      <c r="B45" s="844" t="s">
        <v>1890</v>
      </c>
      <c r="D45" s="845">
        <f>D21-D43</f>
        <v>-2.6109211205039173E-2</v>
      </c>
      <c r="F45" s="845">
        <f>F21-F43</f>
        <v>177.84412420119043</v>
      </c>
    </row>
  </sheetData>
  <mergeCells count="2">
    <mergeCell ref="D4:D5"/>
    <mergeCell ref="F4:F5"/>
  </mergeCells>
  <hyperlinks>
    <hyperlink ref="A1" location="Sommaire!F19" display="Sommaire" xr:uid="{00000000-0004-0000-0F00-000000000000}"/>
  </hyperlinks>
  <pageMargins left="0.32" right="0.46" top="0.37" bottom="0.34" header="0.3" footer="0.3"/>
  <pageSetup paperSize="9" scale="76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A1:J156"/>
  <sheetViews>
    <sheetView showGridLines="0" view="pageBreakPreview" topLeftCell="A79" zoomScale="87" zoomScaleNormal="80" zoomScaleSheetLayoutView="87" workbookViewId="0">
      <selection activeCell="Y19" sqref="Y19"/>
    </sheetView>
  </sheetViews>
  <sheetFormatPr baseColWidth="10" defaultColWidth="11.44140625" defaultRowHeight="14.4" outlineLevelRow="1" x14ac:dyDescent="0.3"/>
  <cols>
    <col min="1" max="1" width="14.5546875" style="2" customWidth="1"/>
    <col min="2" max="2" width="12" style="6" customWidth="1"/>
    <col min="3" max="3" width="58.44140625" style="2" customWidth="1"/>
    <col min="4" max="4" width="17.5546875" style="467" hidden="1" customWidth="1"/>
    <col min="5" max="5" width="8.5546875" style="467" customWidth="1"/>
    <col min="6" max="6" width="19.88671875" style="2" customWidth="1"/>
    <col min="7" max="7" width="7.44140625" style="467" customWidth="1"/>
    <col min="8" max="8" width="11.44140625" style="2"/>
    <col min="9" max="10" width="0" style="2" hidden="1" customWidth="1"/>
    <col min="11" max="16384" width="11.44140625" style="2"/>
  </cols>
  <sheetData>
    <row r="1" spans="1:10" x14ac:dyDescent="0.3">
      <c r="A1" s="456" t="s">
        <v>75</v>
      </c>
    </row>
    <row r="2" spans="1:10" s="6" customFormat="1" ht="27.75" customHeight="1" x14ac:dyDescent="0.3">
      <c r="B2" s="846"/>
      <c r="C2" s="1990" t="s">
        <v>30</v>
      </c>
      <c r="D2" s="527"/>
      <c r="E2" s="527"/>
      <c r="G2" s="527"/>
    </row>
    <row r="3" spans="1:10" ht="21.75" customHeight="1" x14ac:dyDescent="0.3">
      <c r="A3" s="647"/>
      <c r="B3" s="846"/>
      <c r="C3" s="1990"/>
    </row>
    <row r="4" spans="1:10" s="469" customFormat="1" ht="30" customHeight="1" x14ac:dyDescent="0.3">
      <c r="B4" s="6"/>
      <c r="C4" s="847" t="str">
        <f>Cover!Y13</f>
        <v>En millions de FCFA</v>
      </c>
      <c r="D4" s="471"/>
      <c r="E4" s="471"/>
      <c r="F4" s="848" t="s">
        <v>78</v>
      </c>
      <c r="G4" s="471"/>
    </row>
    <row r="5" spans="1:10" s="599" customFormat="1" ht="18" customHeight="1" x14ac:dyDescent="0.3">
      <c r="B5" s="849"/>
      <c r="D5" s="850"/>
      <c r="E5" s="850"/>
      <c r="F5" s="851">
        <f>+Cover!Y18</f>
        <v>44926</v>
      </c>
      <c r="G5" s="850"/>
    </row>
    <row r="6" spans="1:10" ht="9.9" customHeight="1" x14ac:dyDescent="0.3">
      <c r="B6" s="852"/>
    </row>
    <row r="7" spans="1:10" x14ac:dyDescent="0.3">
      <c r="B7" s="833" t="s">
        <v>1500</v>
      </c>
      <c r="C7" s="828" t="s">
        <v>1501</v>
      </c>
      <c r="E7" s="853"/>
      <c r="F7" s="506">
        <f>+'Passage P&amp;L-par nature'!AD17</f>
        <v>1124.4278670000001</v>
      </c>
      <c r="G7" s="853"/>
      <c r="I7" s="2" t="str">
        <f>LEFT(B7,7)</f>
        <v>RP7111</v>
      </c>
      <c r="J7" s="498" t="s">
        <v>668</v>
      </c>
    </row>
    <row r="8" spans="1:10" x14ac:dyDescent="0.3">
      <c r="B8" s="833" t="s">
        <v>1502</v>
      </c>
      <c r="C8" s="828" t="s">
        <v>1503</v>
      </c>
      <c r="E8" s="853"/>
      <c r="F8" s="506">
        <f>+'Passage P&amp;L-par nature'!AD18</f>
        <v>102856.78918800001</v>
      </c>
      <c r="G8" s="853"/>
      <c r="I8" s="2" t="str">
        <f>LEFT(B8,7)</f>
        <v xml:space="preserve">RP7112 </v>
      </c>
      <c r="J8" s="498" t="s">
        <v>680</v>
      </c>
    </row>
    <row r="9" spans="1:10" x14ac:dyDescent="0.3">
      <c r="B9" s="833" t="s">
        <v>1504</v>
      </c>
      <c r="C9" s="828" t="s">
        <v>1505</v>
      </c>
      <c r="E9" s="853"/>
      <c r="F9" s="506">
        <f>+'Passage P&amp;L-par nature'!AD19</f>
        <v>1561.774189</v>
      </c>
      <c r="G9" s="853"/>
      <c r="I9" s="2" t="str">
        <f>LEFT(B9,7)</f>
        <v xml:space="preserve">RP7113 </v>
      </c>
      <c r="J9" s="498" t="s">
        <v>712</v>
      </c>
    </row>
    <row r="10" spans="1:10" x14ac:dyDescent="0.3">
      <c r="B10" s="854" t="s">
        <v>1506</v>
      </c>
      <c r="C10" s="855" t="s">
        <v>1507</v>
      </c>
      <c r="D10" s="856"/>
      <c r="E10" s="853"/>
      <c r="F10" s="857">
        <f>+SUM(F7:F9)</f>
        <v>105542.99124400002</v>
      </c>
      <c r="G10" s="853"/>
      <c r="I10" s="2" t="str">
        <f>LEFT(B10,7)</f>
        <v>RP711 C</v>
      </c>
      <c r="J10" s="858" t="s">
        <v>1767</v>
      </c>
    </row>
    <row r="11" spans="1:10" ht="9.9" customHeight="1" x14ac:dyDescent="0.3">
      <c r="C11" s="859"/>
      <c r="E11" s="853"/>
      <c r="F11" s="605"/>
      <c r="G11" s="853"/>
    </row>
    <row r="12" spans="1:10" x14ac:dyDescent="0.3">
      <c r="B12" s="833" t="s">
        <v>1508</v>
      </c>
      <c r="C12" s="828" t="s">
        <v>1509</v>
      </c>
      <c r="E12" s="853"/>
      <c r="F12" s="506">
        <f>+'Passage P&amp;L-par nature'!AD22</f>
        <v>0</v>
      </c>
      <c r="G12" s="853"/>
      <c r="I12" s="2" t="str">
        <f t="shared" ref="I12:I18" si="0">LEFT(B12,7)</f>
        <v xml:space="preserve">RP7141 </v>
      </c>
      <c r="J12" s="498" t="s">
        <v>1891</v>
      </c>
    </row>
    <row r="13" spans="1:10" x14ac:dyDescent="0.3">
      <c r="B13" s="833" t="s">
        <v>1510</v>
      </c>
      <c r="C13" s="828" t="s">
        <v>1511</v>
      </c>
      <c r="E13" s="853"/>
      <c r="F13" s="506">
        <f>+'Passage P&amp;L-par nature'!AD23</f>
        <v>0</v>
      </c>
      <c r="G13" s="853"/>
      <c r="I13" s="2" t="str">
        <f t="shared" si="0"/>
        <v xml:space="preserve">RP7142 </v>
      </c>
      <c r="J13" s="498" t="s">
        <v>1892</v>
      </c>
    </row>
    <row r="14" spans="1:10" x14ac:dyDescent="0.3">
      <c r="B14" s="833" t="s">
        <v>1512</v>
      </c>
      <c r="C14" s="828" t="s">
        <v>1513</v>
      </c>
      <c r="E14" s="853"/>
      <c r="F14" s="506">
        <f>+'Passage P&amp;L-par nature'!AD24</f>
        <v>0</v>
      </c>
      <c r="G14" s="853"/>
      <c r="I14" s="2" t="str">
        <f t="shared" si="0"/>
        <v xml:space="preserve">RP7143 </v>
      </c>
      <c r="J14" s="498" t="s">
        <v>729</v>
      </c>
    </row>
    <row r="15" spans="1:10" x14ac:dyDescent="0.3">
      <c r="B15" s="833" t="s">
        <v>1514</v>
      </c>
      <c r="C15" s="828" t="s">
        <v>1515</v>
      </c>
      <c r="E15" s="853"/>
      <c r="F15" s="506">
        <f>+'Passage P&amp;L-par nature'!AD25</f>
        <v>0.122644</v>
      </c>
      <c r="G15" s="853"/>
      <c r="I15" s="2" t="str">
        <f t="shared" si="0"/>
        <v xml:space="preserve">RP7147 </v>
      </c>
      <c r="J15" s="498" t="s">
        <v>1893</v>
      </c>
    </row>
    <row r="16" spans="1:10" x14ac:dyDescent="0.3">
      <c r="B16" s="833" t="s">
        <v>1516</v>
      </c>
      <c r="C16" s="828" t="s">
        <v>1517</v>
      </c>
      <c r="E16" s="853"/>
      <c r="F16" s="506">
        <f>+'Passage P&amp;L-par nature'!AD26</f>
        <v>0</v>
      </c>
      <c r="G16" s="853"/>
      <c r="I16" s="2" t="str">
        <f t="shared" si="0"/>
        <v xml:space="preserve">RP7148 </v>
      </c>
      <c r="J16" s="498" t="s">
        <v>1783</v>
      </c>
    </row>
    <row r="17" spans="2:10" x14ac:dyDescent="0.3">
      <c r="B17" s="833" t="s">
        <v>1518</v>
      </c>
      <c r="C17" s="828" t="s">
        <v>1519</v>
      </c>
      <c r="E17" s="853"/>
      <c r="F17" s="506">
        <f>+'Passage P&amp;L-par nature'!AD27</f>
        <v>0</v>
      </c>
      <c r="G17" s="853"/>
      <c r="I17" s="2" t="str">
        <f t="shared" si="0"/>
        <v xml:space="preserve">RP7149 </v>
      </c>
      <c r="J17" s="498" t="s">
        <v>714</v>
      </c>
    </row>
    <row r="18" spans="2:10" x14ac:dyDescent="0.3">
      <c r="B18" s="854" t="s">
        <v>1520</v>
      </c>
      <c r="C18" s="855" t="s">
        <v>1521</v>
      </c>
      <c r="D18" s="856"/>
      <c r="E18" s="853"/>
      <c r="F18" s="857">
        <f>+SUM(F12:F17)</f>
        <v>0.122644</v>
      </c>
      <c r="G18" s="853"/>
      <c r="I18" s="2" t="str">
        <f t="shared" si="0"/>
        <v xml:space="preserve">RP714 </v>
      </c>
      <c r="J18" s="858" t="s">
        <v>1784</v>
      </c>
    </row>
    <row r="19" spans="2:10" ht="9.9" customHeight="1" x14ac:dyDescent="0.3">
      <c r="C19" s="859"/>
      <c r="E19" s="853"/>
      <c r="F19" s="605"/>
      <c r="G19" s="853"/>
    </row>
    <row r="20" spans="2:10" ht="28.8" x14ac:dyDescent="0.3">
      <c r="B20" s="833" t="s">
        <v>1522</v>
      </c>
      <c r="C20" s="828" t="s">
        <v>1894</v>
      </c>
      <c r="E20" s="853"/>
      <c r="F20" s="506">
        <f>+'Passage P&amp;L-par nature'!AD30</f>
        <v>0</v>
      </c>
      <c r="G20" s="853"/>
      <c r="I20" s="2" t="str">
        <f t="shared" ref="I20:I38" si="1">LEFT(B20,7)</f>
        <v xml:space="preserve">RP7152 </v>
      </c>
      <c r="J20" s="498" t="s">
        <v>1787</v>
      </c>
    </row>
    <row r="21" spans="2:10" ht="28.8" x14ac:dyDescent="0.3">
      <c r="B21" s="833" t="s">
        <v>1524</v>
      </c>
      <c r="C21" s="828" t="s">
        <v>1895</v>
      </c>
      <c r="E21" s="853"/>
      <c r="F21" s="506">
        <f>+'Passage P&amp;L-par nature'!AD31</f>
        <v>0</v>
      </c>
      <c r="G21" s="853"/>
      <c r="I21" s="2" t="str">
        <f t="shared" si="1"/>
        <v xml:space="preserve">RP7153 </v>
      </c>
      <c r="J21" s="498" t="s">
        <v>1789</v>
      </c>
    </row>
    <row r="22" spans="2:10" ht="28.8" x14ac:dyDescent="0.3">
      <c r="B22" s="833" t="s">
        <v>1526</v>
      </c>
      <c r="C22" s="828" t="s">
        <v>1527</v>
      </c>
      <c r="E22" s="853"/>
      <c r="F22" s="506">
        <f>+'Passage P&amp;L-par nature'!AD32</f>
        <v>0</v>
      </c>
      <c r="G22" s="853"/>
      <c r="I22" s="2" t="str">
        <f t="shared" si="1"/>
        <v>RP71551</v>
      </c>
      <c r="J22" s="498" t="s">
        <v>1797</v>
      </c>
    </row>
    <row r="23" spans="2:10" ht="28.8" x14ac:dyDescent="0.3">
      <c r="B23" s="833" t="s">
        <v>1528</v>
      </c>
      <c r="C23" s="828" t="s">
        <v>1529</v>
      </c>
      <c r="E23" s="853"/>
      <c r="F23" s="506">
        <f>+'Passage P&amp;L-par nature'!AD33</f>
        <v>0</v>
      </c>
      <c r="G23" s="853"/>
      <c r="I23" s="2" t="str">
        <f t="shared" si="1"/>
        <v>RP71552</v>
      </c>
      <c r="J23" s="498" t="s">
        <v>1800</v>
      </c>
    </row>
    <row r="24" spans="2:10" x14ac:dyDescent="0.3">
      <c r="B24" s="833" t="s">
        <v>1530</v>
      </c>
      <c r="C24" s="828" t="s">
        <v>1531</v>
      </c>
      <c r="E24" s="853"/>
      <c r="F24" s="506">
        <f>+'Passage P&amp;L-par nature'!AD34</f>
        <v>0</v>
      </c>
      <c r="G24" s="853"/>
      <c r="I24" s="2" t="str">
        <f t="shared" si="1"/>
        <v>RP71560</v>
      </c>
      <c r="J24" s="498" t="s">
        <v>718</v>
      </c>
    </row>
    <row r="25" spans="2:10" ht="28.8" x14ac:dyDescent="0.3">
      <c r="B25" s="833" t="s">
        <v>1532</v>
      </c>
      <c r="C25" s="828" t="s">
        <v>1533</v>
      </c>
      <c r="E25" s="853"/>
      <c r="F25" s="506">
        <f>+'Passage P&amp;L-par nature'!AD35</f>
        <v>1035.79394778353</v>
      </c>
      <c r="G25" s="853"/>
      <c r="I25" s="2" t="str">
        <f t="shared" si="1"/>
        <v>RP71561</v>
      </c>
      <c r="J25" s="498" t="s">
        <v>720</v>
      </c>
    </row>
    <row r="26" spans="2:10" ht="28.8" x14ac:dyDescent="0.3">
      <c r="B26" s="833" t="s">
        <v>1534</v>
      </c>
      <c r="C26" s="828" t="s">
        <v>1535</v>
      </c>
      <c r="E26" s="853"/>
      <c r="F26" s="506">
        <f>+'Passage P&amp;L-par nature'!AD36</f>
        <v>0</v>
      </c>
      <c r="G26" s="853"/>
      <c r="I26" s="2" t="str">
        <f t="shared" si="1"/>
        <v>RP71562</v>
      </c>
      <c r="J26" s="498" t="s">
        <v>1896</v>
      </c>
    </row>
    <row r="27" spans="2:10" x14ac:dyDescent="0.3">
      <c r="B27" s="833" t="s">
        <v>1536</v>
      </c>
      <c r="C27" s="828" t="s">
        <v>1537</v>
      </c>
      <c r="E27" s="853"/>
      <c r="F27" s="506">
        <f>+'Passage P&amp;L-par nature'!AD37</f>
        <v>0</v>
      </c>
      <c r="G27" s="853"/>
      <c r="I27" s="2" t="str">
        <f t="shared" si="1"/>
        <v>RP71563</v>
      </c>
      <c r="J27" s="498" t="s">
        <v>1897</v>
      </c>
    </row>
    <row r="28" spans="2:10" ht="28.8" x14ac:dyDescent="0.3">
      <c r="B28" s="833" t="s">
        <v>1538</v>
      </c>
      <c r="C28" s="828" t="s">
        <v>1539</v>
      </c>
      <c r="E28" s="853"/>
      <c r="F28" s="506">
        <f>+'Passage P&amp;L-par nature'!AD38</f>
        <v>0</v>
      </c>
      <c r="G28" s="853"/>
      <c r="I28" s="2" t="str">
        <f t="shared" si="1"/>
        <v>RC71564</v>
      </c>
      <c r="J28" s="498" t="s">
        <v>1898</v>
      </c>
    </row>
    <row r="29" spans="2:10" x14ac:dyDescent="0.3">
      <c r="B29" s="833" t="s">
        <v>1540</v>
      </c>
      <c r="C29" s="828" t="s">
        <v>1541</v>
      </c>
      <c r="E29" s="853"/>
      <c r="F29" s="506">
        <f>+'Passage P&amp;L-par nature'!AD39</f>
        <v>0</v>
      </c>
      <c r="G29" s="853"/>
      <c r="I29" s="2" t="str">
        <f t="shared" si="1"/>
        <v>RP71565</v>
      </c>
      <c r="J29" s="498" t="s">
        <v>1899</v>
      </c>
    </row>
    <row r="30" spans="2:10" x14ac:dyDescent="0.3">
      <c r="B30" s="833" t="s">
        <v>1542</v>
      </c>
      <c r="C30" s="828" t="s">
        <v>1543</v>
      </c>
      <c r="E30" s="853"/>
      <c r="F30" s="506">
        <f>+'Passage P&amp;L-par nature'!AD40</f>
        <v>0</v>
      </c>
      <c r="G30" s="853"/>
      <c r="I30" s="2" t="str">
        <f t="shared" si="1"/>
        <v>RP71566</v>
      </c>
      <c r="J30" s="498" t="s">
        <v>1900</v>
      </c>
    </row>
    <row r="31" spans="2:10" ht="28.8" x14ac:dyDescent="0.3">
      <c r="B31" s="833" t="s">
        <v>1544</v>
      </c>
      <c r="C31" s="828" t="s">
        <v>1901</v>
      </c>
      <c r="E31" s="853"/>
      <c r="F31" s="506">
        <f>+'Passage P&amp;L-par nature'!AD41</f>
        <v>0</v>
      </c>
      <c r="G31" s="853"/>
      <c r="I31" s="2" t="str">
        <f t="shared" si="1"/>
        <v>RC71567</v>
      </c>
      <c r="J31" s="498" t="s">
        <v>1902</v>
      </c>
    </row>
    <row r="32" spans="2:10" ht="14.25" customHeight="1" x14ac:dyDescent="0.3">
      <c r="B32" s="854" t="s">
        <v>1546</v>
      </c>
      <c r="C32" s="855" t="s">
        <v>1801</v>
      </c>
      <c r="D32" s="856"/>
      <c r="E32" s="853"/>
      <c r="F32" s="857">
        <f>+SUM(F20:F31)</f>
        <v>1035.79394778353</v>
      </c>
      <c r="G32" s="853"/>
      <c r="I32" s="2" t="str">
        <f t="shared" si="1"/>
        <v xml:space="preserve">RP715 </v>
      </c>
      <c r="J32" s="858" t="s">
        <v>1802</v>
      </c>
    </row>
    <row r="33" spans="2:10" ht="9.9" customHeight="1" x14ac:dyDescent="0.3">
      <c r="B33" s="6" t="s">
        <v>1548</v>
      </c>
      <c r="C33" s="859"/>
      <c r="E33" s="853"/>
      <c r="F33" s="490"/>
      <c r="G33" s="853"/>
      <c r="I33" s="2" t="str">
        <f t="shared" si="1"/>
        <v/>
      </c>
    </row>
    <row r="34" spans="2:10" ht="9.9" customHeight="1" x14ac:dyDescent="0.3">
      <c r="B34" s="6" t="s">
        <v>1548</v>
      </c>
      <c r="C34" s="859"/>
      <c r="E34" s="853"/>
      <c r="F34" s="490"/>
      <c r="G34" s="853"/>
      <c r="I34" s="2" t="str">
        <f t="shared" si="1"/>
        <v/>
      </c>
    </row>
    <row r="35" spans="2:10" x14ac:dyDescent="0.3">
      <c r="B35" s="833" t="s">
        <v>1558</v>
      </c>
      <c r="C35" s="828" t="s">
        <v>1559</v>
      </c>
      <c r="E35" s="853"/>
      <c r="F35" s="506">
        <f>+'Passage P&amp;L-par nature'!AD57</f>
        <v>-1519.152857</v>
      </c>
      <c r="G35" s="853"/>
      <c r="I35" s="2" t="str">
        <f t="shared" si="1"/>
        <v xml:space="preserve">RC6111 </v>
      </c>
      <c r="J35" s="498" t="s">
        <v>488</v>
      </c>
    </row>
    <row r="36" spans="2:10" x14ac:dyDescent="0.3">
      <c r="B36" s="833" t="s">
        <v>1560</v>
      </c>
      <c r="C36" s="828" t="s">
        <v>1561</v>
      </c>
      <c r="E36" s="853"/>
      <c r="F36" s="506">
        <f>+'Passage P&amp;L-par nature'!AD58</f>
        <v>-2835.0018700000001</v>
      </c>
      <c r="G36" s="853"/>
      <c r="I36" s="2" t="str">
        <f t="shared" si="1"/>
        <v xml:space="preserve">RC6112 </v>
      </c>
      <c r="J36" s="498" t="s">
        <v>513</v>
      </c>
    </row>
    <row r="37" spans="2:10" ht="17.25" customHeight="1" x14ac:dyDescent="0.3">
      <c r="B37" s="833" t="s">
        <v>1562</v>
      </c>
      <c r="C37" s="828" t="s">
        <v>1563</v>
      </c>
      <c r="E37" s="853"/>
      <c r="F37" s="506">
        <f>+'Passage P&amp;L-par nature'!AD59</f>
        <v>-4667.9695959999999</v>
      </c>
      <c r="G37" s="853"/>
      <c r="I37" s="2" t="str">
        <f t="shared" si="1"/>
        <v xml:space="preserve">RC6113 </v>
      </c>
      <c r="J37" s="498" t="s">
        <v>492</v>
      </c>
    </row>
    <row r="38" spans="2:10" ht="14.25" customHeight="1" x14ac:dyDescent="0.3">
      <c r="B38" s="854" t="s">
        <v>1564</v>
      </c>
      <c r="C38" s="855" t="s">
        <v>1565</v>
      </c>
      <c r="D38" s="856"/>
      <c r="E38" s="853"/>
      <c r="F38" s="857">
        <f>+SUM(F35:F37)</f>
        <v>-9022.124323</v>
      </c>
      <c r="G38" s="853"/>
      <c r="I38" s="2" t="str">
        <f t="shared" si="1"/>
        <v xml:space="preserve">RC611 </v>
      </c>
      <c r="J38" s="858" t="s">
        <v>1774</v>
      </c>
    </row>
    <row r="39" spans="2:10" ht="9.9" customHeight="1" x14ac:dyDescent="0.3">
      <c r="C39" s="859"/>
      <c r="E39" s="853"/>
      <c r="F39" s="605"/>
      <c r="G39" s="853"/>
    </row>
    <row r="40" spans="2:10" x14ac:dyDescent="0.3">
      <c r="B40" s="833" t="s">
        <v>1566</v>
      </c>
      <c r="C40" s="828" t="s">
        <v>1567</v>
      </c>
      <c r="E40" s="853"/>
      <c r="F40" s="506">
        <f>+'Passage P&amp;L-par nature'!AD62</f>
        <v>-3587.2261524250002</v>
      </c>
      <c r="G40" s="853"/>
      <c r="I40" s="2" t="str">
        <f>LEFT(B40,7)</f>
        <v xml:space="preserve">RC6121 </v>
      </c>
      <c r="J40" s="498" t="s">
        <v>594</v>
      </c>
    </row>
    <row r="41" spans="2:10" x14ac:dyDescent="0.3">
      <c r="B41" s="833" t="s">
        <v>1568</v>
      </c>
      <c r="C41" s="828" t="s">
        <v>1569</v>
      </c>
      <c r="E41" s="853"/>
      <c r="F41" s="506">
        <f>+'Passage P&amp;L-par nature'!AD63</f>
        <v>-970.41569400000003</v>
      </c>
      <c r="G41" s="853"/>
      <c r="I41" s="2" t="str">
        <f>LEFT(B41,7)</f>
        <v xml:space="preserve">RC6122 </v>
      </c>
      <c r="J41" s="498" t="s">
        <v>552</v>
      </c>
    </row>
    <row r="42" spans="2:10" x14ac:dyDescent="0.3">
      <c r="B42" s="833" t="s">
        <v>1570</v>
      </c>
      <c r="C42" s="828" t="s">
        <v>1571</v>
      </c>
      <c r="E42" s="853"/>
      <c r="F42" s="506">
        <f>+'Passage P&amp;L-par nature'!AD64</f>
        <v>0</v>
      </c>
      <c r="G42" s="853"/>
      <c r="I42" s="2" t="str">
        <f>LEFT(B42,7)</f>
        <v xml:space="preserve">RC6123 </v>
      </c>
      <c r="J42" s="498" t="s">
        <v>1903</v>
      </c>
    </row>
    <row r="43" spans="2:10" ht="14.25" customHeight="1" x14ac:dyDescent="0.3">
      <c r="B43" s="854" t="s">
        <v>1572</v>
      </c>
      <c r="C43" s="855" t="s">
        <v>1573</v>
      </c>
      <c r="D43" s="856"/>
      <c r="E43" s="853"/>
      <c r="F43" s="857">
        <f>+SUM(F40:F42)</f>
        <v>-4557.641846425</v>
      </c>
      <c r="G43" s="853"/>
      <c r="I43" s="2" t="str">
        <f>LEFT(B43,7)</f>
        <v xml:space="preserve">RC612 </v>
      </c>
      <c r="J43" s="858" t="s">
        <v>1904</v>
      </c>
    </row>
    <row r="44" spans="2:10" ht="9.9" customHeight="1" x14ac:dyDescent="0.3">
      <c r="C44" s="859"/>
      <c r="E44" s="853"/>
      <c r="F44" s="605"/>
      <c r="G44" s="853"/>
    </row>
    <row r="45" spans="2:10" x14ac:dyDescent="0.3">
      <c r="B45" s="833" t="s">
        <v>1574</v>
      </c>
      <c r="C45" s="828" t="s">
        <v>1575</v>
      </c>
      <c r="E45" s="853"/>
      <c r="F45" s="506">
        <f>+'Passage P&amp;L-par nature'!AD67</f>
        <v>-1866.3319390000001</v>
      </c>
      <c r="G45" s="853"/>
      <c r="I45" s="2" t="str">
        <f>LEFT(B45,7)</f>
        <v xml:space="preserve">RC6131 </v>
      </c>
      <c r="J45" s="498" t="s">
        <v>602</v>
      </c>
    </row>
    <row r="46" spans="2:10" x14ac:dyDescent="0.3">
      <c r="B46" s="833" t="s">
        <v>1576</v>
      </c>
      <c r="C46" s="828" t="s">
        <v>1577</v>
      </c>
      <c r="E46" s="853"/>
      <c r="F46" s="506">
        <f>+'Passage P&amp;L-par nature'!AD68</f>
        <v>-30140.153571999999</v>
      </c>
      <c r="G46" s="853"/>
      <c r="I46" s="2" t="str">
        <f>LEFT(B46,7)</f>
        <v xml:space="preserve">RC6132 </v>
      </c>
      <c r="J46" s="498" t="s">
        <v>589</v>
      </c>
    </row>
    <row r="47" spans="2:10" ht="14.25" customHeight="1" x14ac:dyDescent="0.3">
      <c r="B47" s="854" t="s">
        <v>1578</v>
      </c>
      <c r="C47" s="855" t="s">
        <v>1579</v>
      </c>
      <c r="D47" s="856"/>
      <c r="E47" s="853"/>
      <c r="F47" s="857">
        <f>+F45+F46</f>
        <v>-32006.485510999999</v>
      </c>
      <c r="G47" s="853"/>
      <c r="I47" s="2" t="str">
        <f>LEFT(B47,7)</f>
        <v xml:space="preserve">RC613 </v>
      </c>
      <c r="J47" s="858" t="s">
        <v>1777</v>
      </c>
    </row>
    <row r="48" spans="2:10" ht="9.9" customHeight="1" x14ac:dyDescent="0.3">
      <c r="C48" s="859"/>
      <c r="E48" s="853"/>
      <c r="F48" s="605"/>
      <c r="G48" s="853"/>
    </row>
    <row r="49" spans="2:10" x14ac:dyDescent="0.3">
      <c r="B49" s="833" t="s">
        <v>1580</v>
      </c>
      <c r="C49" s="828" t="s">
        <v>1581</v>
      </c>
      <c r="E49" s="853"/>
      <c r="F49" s="506">
        <f>+'Passage P&amp;L-par nature'!AD71</f>
        <v>-3337.2172209999999</v>
      </c>
      <c r="G49" s="853"/>
      <c r="I49" s="2" t="str">
        <f t="shared" ref="I49:I59" si="2">LEFT(B49,7)</f>
        <v xml:space="preserve">RC6140 </v>
      </c>
      <c r="J49" s="498" t="s">
        <v>556</v>
      </c>
    </row>
    <row r="50" spans="2:10" x14ac:dyDescent="0.3">
      <c r="B50" s="833" t="s">
        <v>1582</v>
      </c>
      <c r="C50" s="828" t="s">
        <v>1583</v>
      </c>
      <c r="E50" s="853"/>
      <c r="F50" s="506">
        <f>+'Passage P&amp;L-par nature'!AD72</f>
        <v>-11348.912195999999</v>
      </c>
      <c r="G50" s="853"/>
      <c r="I50" s="2" t="str">
        <f t="shared" si="2"/>
        <v xml:space="preserve">RC6141 </v>
      </c>
      <c r="J50" s="498" t="s">
        <v>576</v>
      </c>
    </row>
    <row r="51" spans="2:10" x14ac:dyDescent="0.3">
      <c r="B51" s="833" t="s">
        <v>1584</v>
      </c>
      <c r="C51" s="828" t="s">
        <v>1585</v>
      </c>
      <c r="E51" s="853"/>
      <c r="F51" s="506">
        <f>+'Passage P&amp;L-par nature'!AD73</f>
        <v>-3982.5469979999998</v>
      </c>
      <c r="G51" s="853"/>
      <c r="I51" s="2" t="str">
        <f t="shared" si="2"/>
        <v xml:space="preserve">RC6142 </v>
      </c>
      <c r="J51" s="498" t="s">
        <v>529</v>
      </c>
    </row>
    <row r="52" spans="2:10" x14ac:dyDescent="0.3">
      <c r="B52" s="833" t="s">
        <v>1586</v>
      </c>
      <c r="C52" s="828" t="s">
        <v>1587</v>
      </c>
      <c r="E52" s="853"/>
      <c r="F52" s="506">
        <f>+'Passage P&amp;L-par nature'!AD74</f>
        <v>-4255.7388369999999</v>
      </c>
      <c r="G52" s="853"/>
      <c r="I52" s="2" t="str">
        <f t="shared" si="2"/>
        <v xml:space="preserve">RC6143 </v>
      </c>
      <c r="J52" s="498" t="s">
        <v>540</v>
      </c>
    </row>
    <row r="53" spans="2:10" x14ac:dyDescent="0.3">
      <c r="B53" s="833" t="s">
        <v>1588</v>
      </c>
      <c r="C53" s="828" t="s">
        <v>1589</v>
      </c>
      <c r="E53" s="853"/>
      <c r="F53" s="506">
        <f>+'Passage P&amp;L-par nature'!AD75</f>
        <v>-4292.3719510000001</v>
      </c>
      <c r="G53" s="853"/>
      <c r="I53" s="2" t="str">
        <f t="shared" si="2"/>
        <v xml:space="preserve">RC6144 </v>
      </c>
      <c r="J53" s="498" t="s">
        <v>578</v>
      </c>
    </row>
    <row r="54" spans="2:10" x14ac:dyDescent="0.3">
      <c r="B54" s="833" t="s">
        <v>1590</v>
      </c>
      <c r="C54" s="828" t="s">
        <v>1591</v>
      </c>
      <c r="E54" s="853"/>
      <c r="F54" s="506">
        <f>+'Passage P&amp;L-par nature'!AD76</f>
        <v>-289.25749000000002</v>
      </c>
      <c r="G54" s="853"/>
      <c r="I54" s="2" t="str">
        <f t="shared" si="2"/>
        <v xml:space="preserve">RC6145 </v>
      </c>
      <c r="J54" s="498" t="s">
        <v>572</v>
      </c>
    </row>
    <row r="55" spans="2:10" x14ac:dyDescent="0.3">
      <c r="B55" s="833" t="s">
        <v>1592</v>
      </c>
      <c r="C55" s="828" t="s">
        <v>1905</v>
      </c>
      <c r="E55" s="853"/>
      <c r="F55" s="506">
        <f>+'Passage P&amp;L-par nature'!AD77</f>
        <v>0</v>
      </c>
      <c r="G55" s="853"/>
      <c r="I55" s="2" t="str">
        <f t="shared" si="2"/>
        <v xml:space="preserve">RC6146 </v>
      </c>
      <c r="J55" s="498" t="s">
        <v>1906</v>
      </c>
    </row>
    <row r="56" spans="2:10" x14ac:dyDescent="0.3">
      <c r="B56" s="833" t="s">
        <v>1594</v>
      </c>
      <c r="C56" s="828" t="s">
        <v>1595</v>
      </c>
      <c r="E56" s="853"/>
      <c r="F56" s="506">
        <f>+'Passage P&amp;L-par nature'!AD78</f>
        <v>0</v>
      </c>
      <c r="G56" s="853"/>
      <c r="I56" s="2" t="str">
        <f t="shared" si="2"/>
        <v xml:space="preserve">RC6147 </v>
      </c>
      <c r="J56" s="498" t="s">
        <v>633</v>
      </c>
    </row>
    <row r="57" spans="2:10" ht="28.8" x14ac:dyDescent="0.3">
      <c r="B57" s="833" t="s">
        <v>1596</v>
      </c>
      <c r="C57" s="828" t="s">
        <v>1597</v>
      </c>
      <c r="E57" s="853"/>
      <c r="F57" s="506">
        <f>+'Passage P&amp;L-par nature'!AD79</f>
        <v>0</v>
      </c>
      <c r="G57" s="853"/>
      <c r="I57" s="2" t="str">
        <f t="shared" si="2"/>
        <v xml:space="preserve">RC6148 </v>
      </c>
      <c r="J57" s="498" t="s">
        <v>735</v>
      </c>
    </row>
    <row r="58" spans="2:10" x14ac:dyDescent="0.3">
      <c r="B58" s="833" t="s">
        <v>1598</v>
      </c>
      <c r="C58" s="828" t="s">
        <v>1599</v>
      </c>
      <c r="E58" s="853"/>
      <c r="F58" s="506">
        <f>+'Passage P&amp;L-par nature'!AD80</f>
        <v>-5183.1103589999984</v>
      </c>
      <c r="G58" s="853"/>
      <c r="I58" s="2" t="str">
        <f t="shared" si="2"/>
        <v xml:space="preserve">RC6149 </v>
      </c>
      <c r="J58" s="498" t="s">
        <v>500</v>
      </c>
    </row>
    <row r="59" spans="2:10" ht="14.25" customHeight="1" x14ac:dyDescent="0.3">
      <c r="B59" s="854" t="s">
        <v>1600</v>
      </c>
      <c r="C59" s="855" t="s">
        <v>1601</v>
      </c>
      <c r="D59" s="860"/>
      <c r="E59" s="861"/>
      <c r="F59" s="857">
        <f>+SUM(F49:F58)</f>
        <v>-32689.155052000002</v>
      </c>
      <c r="G59" s="861"/>
      <c r="I59" s="2" t="str">
        <f t="shared" si="2"/>
        <v xml:space="preserve">RC614 </v>
      </c>
      <c r="J59" s="858" t="s">
        <v>1785</v>
      </c>
    </row>
    <row r="60" spans="2:10" ht="9.9" customHeight="1" x14ac:dyDescent="0.3">
      <c r="C60" s="859"/>
      <c r="E60" s="853"/>
      <c r="F60" s="605"/>
      <c r="G60" s="853"/>
    </row>
    <row r="61" spans="2:10" ht="28.8" x14ac:dyDescent="0.3">
      <c r="B61" s="833" t="s">
        <v>1602</v>
      </c>
      <c r="C61" s="828" t="s">
        <v>1603</v>
      </c>
      <c r="E61" s="853"/>
      <c r="F61" s="506">
        <f>+'Passage P&amp;L-par nature'!AD83</f>
        <v>-7839.9408092792264</v>
      </c>
      <c r="G61" s="853"/>
      <c r="I61" s="2" t="str">
        <f t="shared" ref="I61:I75" si="3">LEFT(B61,7)</f>
        <v xml:space="preserve">RC6152 </v>
      </c>
      <c r="J61" s="498" t="s">
        <v>1804</v>
      </c>
    </row>
    <row r="62" spans="2:10" ht="28.8" x14ac:dyDescent="0.3">
      <c r="B62" s="833" t="s">
        <v>1606</v>
      </c>
      <c r="C62" s="828" t="s">
        <v>1607</v>
      </c>
      <c r="E62" s="853"/>
      <c r="F62" s="506">
        <f>+'Passage P&amp;L-par nature'!AD85</f>
        <v>-9615.0063169999994</v>
      </c>
      <c r="G62" s="853"/>
      <c r="I62" s="2" t="str">
        <f t="shared" si="3"/>
        <v xml:space="preserve">RC6153 </v>
      </c>
      <c r="J62" s="498" t="s">
        <v>645</v>
      </c>
    </row>
    <row r="63" spans="2:10" ht="28.8" x14ac:dyDescent="0.3">
      <c r="B63" s="833" t="s">
        <v>1608</v>
      </c>
      <c r="C63" s="828" t="s">
        <v>1609</v>
      </c>
      <c r="E63" s="853"/>
      <c r="F63" s="506">
        <f>+'Passage P&amp;L-par nature'!AD86</f>
        <v>0</v>
      </c>
      <c r="G63" s="853"/>
      <c r="I63" s="2" t="str">
        <f t="shared" si="3"/>
        <v>RC61551</v>
      </c>
      <c r="J63" s="498" t="s">
        <v>620</v>
      </c>
    </row>
    <row r="64" spans="2:10" ht="28.8" x14ac:dyDescent="0.3">
      <c r="B64" s="833" t="s">
        <v>1610</v>
      </c>
      <c r="C64" s="828" t="s">
        <v>1611</v>
      </c>
      <c r="E64" s="853"/>
      <c r="F64" s="506">
        <f>+'Passage P&amp;L-par nature'!AD87</f>
        <v>-31.357765000000001</v>
      </c>
      <c r="G64" s="853"/>
      <c r="I64" s="2" t="str">
        <f t="shared" si="3"/>
        <v>RC61552</v>
      </c>
      <c r="J64" s="498" t="s">
        <v>664</v>
      </c>
    </row>
    <row r="65" spans="2:10" x14ac:dyDescent="0.3">
      <c r="B65" s="833" t="s">
        <v>1612</v>
      </c>
      <c r="C65" s="828" t="s">
        <v>1613</v>
      </c>
      <c r="E65" s="853"/>
      <c r="F65" s="506">
        <f>+'Passage P&amp;L-par nature'!AD88</f>
        <v>30.528745000000001</v>
      </c>
      <c r="G65" s="853"/>
      <c r="I65" s="2" t="str">
        <f t="shared" si="3"/>
        <v>RC61560</v>
      </c>
      <c r="J65" s="498" t="s">
        <v>616</v>
      </c>
    </row>
    <row r="66" spans="2:10" ht="28.8" x14ac:dyDescent="0.3">
      <c r="B66" s="833" t="s">
        <v>1614</v>
      </c>
      <c r="C66" s="828" t="s">
        <v>1615</v>
      </c>
      <c r="E66" s="853"/>
      <c r="F66" s="506">
        <f>+'Passage P&amp;L-par nature'!AD89</f>
        <v>-318.57149900000002</v>
      </c>
      <c r="G66" s="853"/>
      <c r="I66" s="2" t="str">
        <f t="shared" si="3"/>
        <v>RC61561</v>
      </c>
      <c r="J66" s="498" t="s">
        <v>618</v>
      </c>
    </row>
    <row r="67" spans="2:10" ht="28.8" x14ac:dyDescent="0.3">
      <c r="B67" s="833" t="s">
        <v>1616</v>
      </c>
      <c r="C67" s="828" t="s">
        <v>1617</v>
      </c>
      <c r="E67" s="853"/>
      <c r="F67" s="506">
        <f>+'Passage P&amp;L-par nature'!AD90</f>
        <v>0</v>
      </c>
      <c r="G67" s="853"/>
      <c r="I67" s="2" t="str">
        <f t="shared" si="3"/>
        <v>RC61562</v>
      </c>
      <c r="J67" s="498" t="s">
        <v>1907</v>
      </c>
    </row>
    <row r="68" spans="2:10" x14ac:dyDescent="0.3">
      <c r="B68" s="833" t="s">
        <v>1618</v>
      </c>
      <c r="C68" s="828" t="s">
        <v>1619</v>
      </c>
      <c r="E68" s="853"/>
      <c r="F68" s="506">
        <f>+'Passage P&amp;L-par nature'!AD91</f>
        <v>0</v>
      </c>
      <c r="G68" s="853"/>
      <c r="I68" s="2" t="str">
        <f t="shared" si="3"/>
        <v>RC61563</v>
      </c>
      <c r="J68" s="498" t="s">
        <v>1908</v>
      </c>
    </row>
    <row r="69" spans="2:10" ht="28.8" x14ac:dyDescent="0.3">
      <c r="B69" s="833" t="s">
        <v>1620</v>
      </c>
      <c r="C69" s="828" t="s">
        <v>1621</v>
      </c>
      <c r="E69" s="853"/>
      <c r="F69" s="506">
        <f>+'Passage P&amp;L-par nature'!AD92</f>
        <v>0</v>
      </c>
      <c r="G69" s="853"/>
      <c r="I69" s="2" t="str">
        <f t="shared" si="3"/>
        <v>RC61564</v>
      </c>
      <c r="J69" s="498" t="s">
        <v>1909</v>
      </c>
    </row>
    <row r="70" spans="2:10" x14ac:dyDescent="0.3">
      <c r="B70" s="833" t="s">
        <v>1622</v>
      </c>
      <c r="C70" s="828" t="s">
        <v>1623</v>
      </c>
      <c r="E70" s="853"/>
      <c r="F70" s="506">
        <f>+'Passage P&amp;L-par nature'!AD93</f>
        <v>0</v>
      </c>
      <c r="G70" s="853"/>
      <c r="I70" s="2" t="str">
        <f t="shared" si="3"/>
        <v>RC61565</v>
      </c>
      <c r="J70" s="498" t="s">
        <v>1910</v>
      </c>
    </row>
    <row r="71" spans="2:10" x14ac:dyDescent="0.3">
      <c r="B71" s="833" t="s">
        <v>1624</v>
      </c>
      <c r="C71" s="828" t="s">
        <v>1625</v>
      </c>
      <c r="E71" s="853"/>
      <c r="F71" s="506">
        <f>+'Passage P&amp;L-par nature'!AD94</f>
        <v>0</v>
      </c>
      <c r="G71" s="853"/>
      <c r="I71" s="2" t="str">
        <f t="shared" si="3"/>
        <v>RC61566</v>
      </c>
      <c r="J71" s="498" t="s">
        <v>1911</v>
      </c>
    </row>
    <row r="72" spans="2:10" ht="28.8" x14ac:dyDescent="0.3">
      <c r="B72" s="833" t="s">
        <v>1626</v>
      </c>
      <c r="C72" s="828" t="s">
        <v>1627</v>
      </c>
      <c r="E72" s="853"/>
      <c r="F72" s="506">
        <f>+'Passage P&amp;L-par nature'!AD95</f>
        <v>0</v>
      </c>
      <c r="G72" s="853"/>
      <c r="I72" s="2" t="str">
        <f t="shared" si="3"/>
        <v>RC61567</v>
      </c>
      <c r="J72" s="498" t="s">
        <v>1912</v>
      </c>
    </row>
    <row r="73" spans="2:10" ht="14.25" customHeight="1" x14ac:dyDescent="0.3">
      <c r="B73" s="854" t="s">
        <v>1628</v>
      </c>
      <c r="C73" s="855" t="s">
        <v>947</v>
      </c>
      <c r="D73" s="856"/>
      <c r="E73" s="853"/>
      <c r="F73" s="857">
        <f>+SUM(F61:F72)</f>
        <v>-17774.347645279227</v>
      </c>
      <c r="G73" s="853"/>
      <c r="I73" s="2" t="str">
        <f t="shared" si="3"/>
        <v xml:space="preserve">RC615 </v>
      </c>
      <c r="J73" s="858" t="s">
        <v>1810</v>
      </c>
    </row>
    <row r="74" spans="2:10" ht="9.9" customHeight="1" x14ac:dyDescent="0.3">
      <c r="B74" s="6" t="s">
        <v>1548</v>
      </c>
      <c r="C74" s="859"/>
      <c r="E74" s="853"/>
      <c r="F74" s="490"/>
      <c r="G74" s="853"/>
      <c r="I74" s="2" t="str">
        <f t="shared" si="3"/>
        <v/>
      </c>
    </row>
    <row r="75" spans="2:10" s="6" customFormat="1" ht="23.1" customHeight="1" x14ac:dyDescent="0.3">
      <c r="B75" s="862" t="s">
        <v>1629</v>
      </c>
      <c r="C75" s="863" t="s">
        <v>1630</v>
      </c>
      <c r="D75" s="527"/>
      <c r="E75" s="656"/>
      <c r="F75" s="864">
        <f>+F73+F59+F47+F43+F38+F32+F18+F10</f>
        <v>10529.153458079338</v>
      </c>
      <c r="G75" s="656"/>
      <c r="I75" s="6" t="str">
        <f t="shared" si="3"/>
        <v xml:space="preserve">R.100 </v>
      </c>
      <c r="J75" s="865" t="s">
        <v>1629</v>
      </c>
    </row>
    <row r="76" spans="2:10" ht="9.9" customHeight="1" outlineLevel="1" x14ac:dyDescent="0.3">
      <c r="C76" s="859"/>
      <c r="E76" s="853"/>
      <c r="F76" s="605"/>
      <c r="G76" s="853"/>
    </row>
    <row r="77" spans="2:10" ht="43.2" outlineLevel="1" x14ac:dyDescent="0.3">
      <c r="B77" s="833" t="s">
        <v>1631</v>
      </c>
      <c r="C77" s="828" t="s">
        <v>1632</v>
      </c>
      <c r="E77" s="853"/>
      <c r="F77" s="506">
        <f>+'Passage P&amp;L-par nature'!AD100</f>
        <v>0</v>
      </c>
      <c r="G77" s="853"/>
      <c r="I77" s="2" t="str">
        <f t="shared" ref="I77:I84" si="4">LEFT(B77,7)</f>
        <v xml:space="preserve">RC6211 </v>
      </c>
      <c r="J77" s="498" t="s">
        <v>1913</v>
      </c>
    </row>
    <row r="78" spans="2:10" ht="43.2" outlineLevel="1" x14ac:dyDescent="0.3">
      <c r="B78" s="833" t="s">
        <v>1633</v>
      </c>
      <c r="C78" s="828" t="s">
        <v>1634</v>
      </c>
      <c r="E78" s="853"/>
      <c r="F78" s="506">
        <f>+'Passage P&amp;L-par nature'!AD101</f>
        <v>0</v>
      </c>
      <c r="G78" s="853"/>
      <c r="I78" s="2" t="str">
        <f t="shared" si="4"/>
        <v xml:space="preserve">RC6212 </v>
      </c>
      <c r="J78" s="498" t="s">
        <v>1914</v>
      </c>
    </row>
    <row r="79" spans="2:10" outlineLevel="1" x14ac:dyDescent="0.3">
      <c r="B79" s="833" t="s">
        <v>1635</v>
      </c>
      <c r="C79" s="828" t="s">
        <v>1636</v>
      </c>
      <c r="E79" s="853"/>
      <c r="F79" s="506">
        <f>+'Passage P&amp;L-par nature'!AD102</f>
        <v>0</v>
      </c>
      <c r="G79" s="853"/>
      <c r="I79" s="2" t="str">
        <f t="shared" si="4"/>
        <v xml:space="preserve">RC6220 </v>
      </c>
      <c r="J79" s="498" t="s">
        <v>1915</v>
      </c>
    </row>
    <row r="80" spans="2:10" outlineLevel="1" x14ac:dyDescent="0.3">
      <c r="B80" s="833" t="s">
        <v>1637</v>
      </c>
      <c r="C80" s="828" t="s">
        <v>1638</v>
      </c>
      <c r="E80" s="853"/>
      <c r="F80" s="506">
        <f>+'Passage P&amp;L-par nature'!AD103</f>
        <v>0</v>
      </c>
      <c r="G80" s="853"/>
      <c r="I80" s="2" t="str">
        <f t="shared" si="4"/>
        <v xml:space="preserve">RC6230 </v>
      </c>
      <c r="J80" s="498" t="s">
        <v>1916</v>
      </c>
    </row>
    <row r="81" spans="2:10" ht="28.8" outlineLevel="1" x14ac:dyDescent="0.3">
      <c r="B81" s="833" t="s">
        <v>1639</v>
      </c>
      <c r="C81" s="828" t="s">
        <v>1640</v>
      </c>
      <c r="E81" s="853"/>
      <c r="F81" s="506">
        <f>+'Passage P&amp;L-par nature'!AD104</f>
        <v>0</v>
      </c>
      <c r="G81" s="853"/>
      <c r="I81" s="2" t="str">
        <f t="shared" si="4"/>
        <v xml:space="preserve">RC6241 </v>
      </c>
      <c r="J81" s="498" t="s">
        <v>1917</v>
      </c>
    </row>
    <row r="82" spans="2:10" ht="28.8" outlineLevel="1" x14ac:dyDescent="0.3">
      <c r="B82" s="833" t="s">
        <v>1641</v>
      </c>
      <c r="C82" s="828" t="s">
        <v>1642</v>
      </c>
      <c r="E82" s="853"/>
      <c r="F82" s="506">
        <f>+'Passage P&amp;L-par nature'!AD105</f>
        <v>0</v>
      </c>
      <c r="G82" s="853"/>
      <c r="I82" s="2" t="str">
        <f t="shared" si="4"/>
        <v xml:space="preserve">RC6242 </v>
      </c>
      <c r="J82" s="498" t="s">
        <v>1918</v>
      </c>
    </row>
    <row r="83" spans="2:10" outlineLevel="1" x14ac:dyDescent="0.3">
      <c r="B83" s="833" t="s">
        <v>1643</v>
      </c>
      <c r="C83" s="828" t="s">
        <v>1644</v>
      </c>
      <c r="E83" s="853"/>
      <c r="F83" s="506">
        <f>+'Passage P&amp;L-par nature'!AD106</f>
        <v>0</v>
      </c>
      <c r="G83" s="853"/>
      <c r="I83" s="2" t="str">
        <f t="shared" si="4"/>
        <v xml:space="preserve">RC6288 </v>
      </c>
      <c r="J83" s="498" t="s">
        <v>1919</v>
      </c>
    </row>
    <row r="84" spans="2:10" ht="14.25" customHeight="1" outlineLevel="1" x14ac:dyDescent="0.3">
      <c r="B84" s="854" t="s">
        <v>1645</v>
      </c>
      <c r="C84" s="855" t="s">
        <v>1646</v>
      </c>
      <c r="E84" s="853"/>
      <c r="F84" s="857">
        <f>+SUM(F77:F83)</f>
        <v>0</v>
      </c>
      <c r="G84" s="853"/>
      <c r="I84" s="2" t="str">
        <f t="shared" si="4"/>
        <v xml:space="preserve">RC62 </v>
      </c>
      <c r="J84" s="858" t="s">
        <v>1920</v>
      </c>
    </row>
    <row r="85" spans="2:10" ht="9.9" customHeight="1" outlineLevel="1" x14ac:dyDescent="0.3">
      <c r="C85" s="866"/>
      <c r="E85" s="853"/>
      <c r="F85" s="605"/>
      <c r="G85" s="853"/>
    </row>
    <row r="86" spans="2:10" ht="28.8" outlineLevel="1" x14ac:dyDescent="0.3">
      <c r="B86" s="833" t="s">
        <v>1647</v>
      </c>
      <c r="C86" s="828" t="s">
        <v>1648</v>
      </c>
      <c r="E86" s="853"/>
      <c r="F86" s="506">
        <f>+'Passage P&amp;L-par nature'!AD109</f>
        <v>0</v>
      </c>
      <c r="G86" s="853"/>
      <c r="I86" s="2" t="str">
        <f t="shared" ref="I86:I92" si="5">LEFT(B86,7)</f>
        <v xml:space="preserve">RP7211 </v>
      </c>
      <c r="J86" s="498" t="s">
        <v>1921</v>
      </c>
    </row>
    <row r="87" spans="2:10" ht="43.2" outlineLevel="1" x14ac:dyDescent="0.3">
      <c r="B87" s="833" t="s">
        <v>1649</v>
      </c>
      <c r="C87" s="828" t="s">
        <v>1650</v>
      </c>
      <c r="E87" s="853"/>
      <c r="F87" s="506">
        <f>+'Passage P&amp;L-par nature'!AD110</f>
        <v>0</v>
      </c>
      <c r="G87" s="853"/>
      <c r="I87" s="2" t="str">
        <f t="shared" si="5"/>
        <v xml:space="preserve">RP7212 </v>
      </c>
      <c r="J87" s="498" t="s">
        <v>1922</v>
      </c>
    </row>
    <row r="88" spans="2:10" outlineLevel="1" x14ac:dyDescent="0.3">
      <c r="B88" s="833" t="s">
        <v>1651</v>
      </c>
      <c r="C88" s="828" t="s">
        <v>1652</v>
      </c>
      <c r="E88" s="853"/>
      <c r="F88" s="506">
        <f>+'Passage P&amp;L-par nature'!AD111</f>
        <v>0</v>
      </c>
      <c r="G88" s="853"/>
      <c r="I88" s="2" t="str">
        <f t="shared" si="5"/>
        <v xml:space="preserve">RP7220 </v>
      </c>
      <c r="J88" s="498" t="s">
        <v>1923</v>
      </c>
    </row>
    <row r="89" spans="2:10" outlineLevel="1" x14ac:dyDescent="0.3">
      <c r="B89" s="833" t="s">
        <v>1653</v>
      </c>
      <c r="C89" s="828" t="s">
        <v>1654</v>
      </c>
      <c r="E89" s="853"/>
      <c r="F89" s="506">
        <f>+'Passage P&amp;L-par nature'!AD112</f>
        <v>0</v>
      </c>
      <c r="G89" s="853"/>
      <c r="I89" s="2" t="str">
        <f t="shared" si="5"/>
        <v xml:space="preserve">RP7241 </v>
      </c>
      <c r="J89" s="498" t="s">
        <v>1924</v>
      </c>
    </row>
    <row r="90" spans="2:10" outlineLevel="1" x14ac:dyDescent="0.3">
      <c r="B90" s="833" t="s">
        <v>1655</v>
      </c>
      <c r="C90" s="828" t="s">
        <v>1656</v>
      </c>
      <c r="E90" s="853"/>
      <c r="F90" s="506">
        <f>+'Passage P&amp;L-par nature'!AD113</f>
        <v>0</v>
      </c>
      <c r="G90" s="853"/>
      <c r="I90" s="2" t="str">
        <f t="shared" si="5"/>
        <v xml:space="preserve">RP7242 </v>
      </c>
      <c r="J90" s="498" t="s">
        <v>1925</v>
      </c>
    </row>
    <row r="91" spans="2:10" outlineLevel="1" x14ac:dyDescent="0.3">
      <c r="B91" s="833" t="s">
        <v>1657</v>
      </c>
      <c r="C91" s="828" t="s">
        <v>1658</v>
      </c>
      <c r="E91" s="853"/>
      <c r="F91" s="506">
        <f>+'Passage P&amp;L-par nature'!AD114</f>
        <v>0</v>
      </c>
      <c r="G91" s="853"/>
      <c r="I91" s="2" t="str">
        <f t="shared" si="5"/>
        <v xml:space="preserve">RP7288 </v>
      </c>
      <c r="J91" s="498" t="s">
        <v>1926</v>
      </c>
    </row>
    <row r="92" spans="2:10" ht="14.25" customHeight="1" outlineLevel="1" x14ac:dyDescent="0.3">
      <c r="B92" s="854" t="s">
        <v>1659</v>
      </c>
      <c r="C92" s="855" t="s">
        <v>1660</v>
      </c>
      <c r="D92" s="856"/>
      <c r="E92" s="853"/>
      <c r="F92" s="857">
        <f>+SUM(F86:F91)</f>
        <v>0</v>
      </c>
      <c r="G92" s="853"/>
      <c r="I92" s="2" t="str">
        <f t="shared" si="5"/>
        <v xml:space="preserve">RP728 </v>
      </c>
      <c r="J92" s="858" t="s">
        <v>1927</v>
      </c>
    </row>
    <row r="93" spans="2:10" ht="9.9" customHeight="1" outlineLevel="1" x14ac:dyDescent="0.3">
      <c r="C93" s="859"/>
      <c r="E93" s="853"/>
      <c r="F93" s="605"/>
      <c r="G93" s="853"/>
    </row>
    <row r="94" spans="2:10" s="6" customFormat="1" ht="23.1" customHeight="1" x14ac:dyDescent="0.3">
      <c r="B94" s="862" t="s">
        <v>1661</v>
      </c>
      <c r="C94" s="863" t="s">
        <v>1662</v>
      </c>
      <c r="D94" s="527"/>
      <c r="E94" s="656"/>
      <c r="F94" s="864">
        <f>+F75+F84+F92</f>
        <v>10529.153458079338</v>
      </c>
      <c r="G94" s="656"/>
      <c r="I94" s="6" t="str">
        <f t="shared" ref="I94:I148" si="6">LEFT(B94,7)</f>
        <v xml:space="preserve">R.200 </v>
      </c>
      <c r="J94" s="865" t="s">
        <v>1661</v>
      </c>
    </row>
    <row r="95" spans="2:10" ht="9.9" customHeight="1" x14ac:dyDescent="0.3">
      <c r="B95" s="6" t="s">
        <v>1548</v>
      </c>
      <c r="C95" s="859"/>
      <c r="E95" s="853"/>
      <c r="F95" s="490"/>
      <c r="G95" s="853"/>
      <c r="I95" s="2" t="str">
        <f t="shared" si="6"/>
        <v/>
      </c>
    </row>
    <row r="96" spans="2:10" ht="17.25" customHeight="1" x14ac:dyDescent="0.3">
      <c r="B96" s="833" t="s">
        <v>1663</v>
      </c>
      <c r="C96" s="828" t="s">
        <v>1664</v>
      </c>
      <c r="E96" s="853"/>
      <c r="F96" s="506">
        <f>+'Passage P&amp;L-par nature'!AD128</f>
        <v>-4049.1278269999998</v>
      </c>
      <c r="G96" s="853"/>
      <c r="I96" s="2" t="str">
        <f t="shared" si="6"/>
        <v xml:space="preserve">RC6310 </v>
      </c>
      <c r="J96" s="498" t="s">
        <v>629</v>
      </c>
    </row>
    <row r="97" spans="2:10" ht="17.25" customHeight="1" x14ac:dyDescent="0.3">
      <c r="B97" s="833" t="s">
        <v>1665</v>
      </c>
      <c r="C97" s="828" t="s">
        <v>1666</v>
      </c>
      <c r="E97" s="853"/>
      <c r="F97" s="506">
        <f>+'Passage P&amp;L-par nature'!AD129</f>
        <v>0</v>
      </c>
      <c r="G97" s="853"/>
      <c r="I97" s="2" t="str">
        <f t="shared" si="6"/>
        <v>RP73101</v>
      </c>
      <c r="J97" s="498" t="s">
        <v>1928</v>
      </c>
    </row>
    <row r="98" spans="2:10" ht="14.25" customHeight="1" x14ac:dyDescent="0.3">
      <c r="B98" s="854" t="s">
        <v>1667</v>
      </c>
      <c r="C98" s="855" t="s">
        <v>1668</v>
      </c>
      <c r="D98" s="856"/>
      <c r="E98" s="853"/>
      <c r="F98" s="857">
        <f>+F96+F97</f>
        <v>-4049.1278269999998</v>
      </c>
      <c r="G98" s="853"/>
      <c r="I98" s="2" t="str">
        <f t="shared" si="6"/>
        <v>R.73-63</v>
      </c>
      <c r="J98" s="858" t="s">
        <v>1929</v>
      </c>
    </row>
    <row r="99" spans="2:10" ht="9.9" customHeight="1" x14ac:dyDescent="0.3">
      <c r="B99" s="6" t="s">
        <v>1548</v>
      </c>
      <c r="C99" s="859"/>
      <c r="E99" s="853"/>
      <c r="F99" s="490"/>
      <c r="G99" s="853"/>
      <c r="I99" s="2" t="str">
        <f t="shared" si="6"/>
        <v/>
      </c>
    </row>
    <row r="100" spans="2:10" x14ac:dyDescent="0.3">
      <c r="B100" s="833" t="s">
        <v>1669</v>
      </c>
      <c r="C100" s="828" t="s">
        <v>1670</v>
      </c>
      <c r="E100" s="853"/>
      <c r="F100" s="506">
        <f>+'Passage P&amp;L-par nature'!AD132</f>
        <v>0</v>
      </c>
      <c r="G100" s="853"/>
      <c r="I100" s="2" t="str">
        <f t="shared" si="6"/>
        <v>RP73102</v>
      </c>
      <c r="J100" s="498" t="s">
        <v>724</v>
      </c>
    </row>
    <row r="101" spans="2:10" x14ac:dyDescent="0.3">
      <c r="B101" s="833" t="s">
        <v>1671</v>
      </c>
      <c r="C101" s="828" t="s">
        <v>1672</v>
      </c>
      <c r="E101" s="853"/>
      <c r="F101" s="506">
        <f>+'Passage P&amp;L-par nature'!AD133</f>
        <v>0</v>
      </c>
      <c r="G101" s="853"/>
      <c r="I101" s="2" t="str">
        <f t="shared" si="6"/>
        <v>RP73103</v>
      </c>
      <c r="J101" s="498" t="s">
        <v>1930</v>
      </c>
    </row>
    <row r="102" spans="2:10" x14ac:dyDescent="0.3">
      <c r="B102" s="833" t="s">
        <v>1673</v>
      </c>
      <c r="C102" s="828" t="s">
        <v>1674</v>
      </c>
      <c r="E102" s="853"/>
      <c r="F102" s="506">
        <f>+'Passage P&amp;L-par nature'!AD134</f>
        <v>384.07010400000001</v>
      </c>
      <c r="G102" s="853"/>
      <c r="I102" s="2" t="str">
        <f t="shared" si="6"/>
        <v xml:space="preserve">RP7320 </v>
      </c>
      <c r="J102" s="498" t="s">
        <v>726</v>
      </c>
    </row>
    <row r="103" spans="2:10" x14ac:dyDescent="0.3">
      <c r="B103" s="833" t="s">
        <v>1675</v>
      </c>
      <c r="C103" s="828" t="s">
        <v>1676</v>
      </c>
      <c r="E103" s="853"/>
      <c r="F103" s="506">
        <f>+'Passage P&amp;L-par nature'!AD135</f>
        <v>0</v>
      </c>
      <c r="G103" s="853"/>
      <c r="I103" s="2" t="str">
        <f t="shared" si="6"/>
        <v xml:space="preserve">RP7330 </v>
      </c>
      <c r="J103" s="498" t="s">
        <v>1931</v>
      </c>
    </row>
    <row r="104" spans="2:10" x14ac:dyDescent="0.3">
      <c r="B104" s="833" t="s">
        <v>1677</v>
      </c>
      <c r="C104" s="828" t="s">
        <v>1678</v>
      </c>
      <c r="E104" s="853"/>
      <c r="F104" s="506">
        <f>+'Passage P&amp;L-par nature'!AD136</f>
        <v>0</v>
      </c>
      <c r="G104" s="853"/>
      <c r="I104" s="2" t="str">
        <f t="shared" si="6"/>
        <v xml:space="preserve">RP7341 </v>
      </c>
      <c r="J104" s="498" t="s">
        <v>1932</v>
      </c>
    </row>
    <row r="105" spans="2:10" x14ac:dyDescent="0.3">
      <c r="B105" s="833" t="s">
        <v>1679</v>
      </c>
      <c r="C105" s="828" t="s">
        <v>1680</v>
      </c>
      <c r="E105" s="853"/>
      <c r="F105" s="506">
        <f>+'Passage P&amp;L-par nature'!AD137</f>
        <v>0</v>
      </c>
      <c r="G105" s="853"/>
      <c r="I105" s="2" t="str">
        <f t="shared" si="6"/>
        <v xml:space="preserve">RP7351 </v>
      </c>
      <c r="J105" s="498" t="s">
        <v>1933</v>
      </c>
    </row>
    <row r="106" spans="2:10" x14ac:dyDescent="0.3">
      <c r="B106" s="833" t="s">
        <v>1681</v>
      </c>
      <c r="C106" s="828" t="s">
        <v>1682</v>
      </c>
      <c r="E106" s="853"/>
      <c r="F106" s="506">
        <f>+'Passage P&amp;L-par nature'!AD138</f>
        <v>0</v>
      </c>
      <c r="G106" s="853"/>
      <c r="I106" s="2" t="str">
        <f t="shared" si="6"/>
        <v xml:space="preserve">RP7352 </v>
      </c>
      <c r="J106" s="498" t="s">
        <v>1934</v>
      </c>
    </row>
    <row r="107" spans="2:10" x14ac:dyDescent="0.3">
      <c r="B107" s="833" t="s">
        <v>1683</v>
      </c>
      <c r="C107" s="828" t="s">
        <v>1684</v>
      </c>
      <c r="E107" s="853"/>
      <c r="F107" s="506">
        <f>+'Passage P&amp;L-par nature'!AD139</f>
        <v>0</v>
      </c>
      <c r="G107" s="853"/>
      <c r="I107" s="2" t="str">
        <f t="shared" si="6"/>
        <v xml:space="preserve">RP7353 </v>
      </c>
      <c r="J107" s="498" t="s">
        <v>1935</v>
      </c>
    </row>
    <row r="108" spans="2:10" x14ac:dyDescent="0.3">
      <c r="B108" s="833" t="s">
        <v>1685</v>
      </c>
      <c r="C108" s="828" t="s">
        <v>1686</v>
      </c>
      <c r="E108" s="853"/>
      <c r="F108" s="506">
        <f>+'Passage P&amp;L-par nature'!AD140</f>
        <v>0</v>
      </c>
      <c r="G108" s="853"/>
      <c r="I108" s="2" t="str">
        <f t="shared" si="6"/>
        <v xml:space="preserve">RP7361 </v>
      </c>
      <c r="J108" s="498" t="s">
        <v>1936</v>
      </c>
    </row>
    <row r="109" spans="2:10" x14ac:dyDescent="0.3">
      <c r="B109" s="833" t="s">
        <v>1687</v>
      </c>
      <c r="C109" s="828" t="s">
        <v>1937</v>
      </c>
      <c r="E109" s="853"/>
      <c r="F109" s="506">
        <f>+'Passage P&amp;L-par nature'!AD141</f>
        <v>0</v>
      </c>
      <c r="G109" s="853"/>
      <c r="I109" s="2" t="str">
        <f t="shared" si="6"/>
        <v xml:space="preserve">RP7362 </v>
      </c>
      <c r="J109" s="498" t="s">
        <v>1938</v>
      </c>
    </row>
    <row r="110" spans="2:10" x14ac:dyDescent="0.3">
      <c r="B110" s="833" t="s">
        <v>1689</v>
      </c>
      <c r="C110" s="828" t="s">
        <v>1690</v>
      </c>
      <c r="E110" s="853"/>
      <c r="F110" s="506">
        <f>+'Passage P&amp;L-par nature'!AD142</f>
        <v>0</v>
      </c>
      <c r="G110" s="853"/>
      <c r="I110" s="2" t="str">
        <f t="shared" si="6"/>
        <v xml:space="preserve">RP7363 </v>
      </c>
      <c r="J110" s="498" t="s">
        <v>1939</v>
      </c>
    </row>
    <row r="111" spans="2:10" x14ac:dyDescent="0.3">
      <c r="B111" s="833" t="s">
        <v>1691</v>
      </c>
      <c r="C111" s="828" t="s">
        <v>1692</v>
      </c>
      <c r="E111" s="853"/>
      <c r="F111" s="506">
        <f>+'Passage P&amp;L-par nature'!AD143</f>
        <v>0</v>
      </c>
      <c r="G111" s="853"/>
      <c r="I111" s="2" t="str">
        <f t="shared" si="6"/>
        <v xml:space="preserve">RP7370 </v>
      </c>
      <c r="J111" s="498" t="s">
        <v>1940</v>
      </c>
    </row>
    <row r="112" spans="2:10" x14ac:dyDescent="0.3">
      <c r="B112" s="833" t="s">
        <v>1693</v>
      </c>
      <c r="C112" s="828" t="s">
        <v>1694</v>
      </c>
      <c r="E112" s="853"/>
      <c r="F112" s="506">
        <f>+'Passage P&amp;L-par nature'!AD144</f>
        <v>487.52553999999998</v>
      </c>
      <c r="G112" s="853"/>
      <c r="I112" s="2" t="str">
        <f t="shared" si="6"/>
        <v xml:space="preserve">RP7388 </v>
      </c>
      <c r="J112" s="498" t="s">
        <v>1941</v>
      </c>
    </row>
    <row r="113" spans="2:10" ht="14.25" customHeight="1" x14ac:dyDescent="0.3">
      <c r="B113" s="854" t="s">
        <v>1695</v>
      </c>
      <c r="C113" s="855" t="s">
        <v>1696</v>
      </c>
      <c r="D113" s="856"/>
      <c r="E113" s="853"/>
      <c r="F113" s="857">
        <f>+SUM(F100:F112)</f>
        <v>871.59564399999999</v>
      </c>
      <c r="G113" s="853"/>
      <c r="I113" s="2" t="str">
        <f t="shared" si="6"/>
        <v xml:space="preserve">RP73 </v>
      </c>
      <c r="J113" s="858" t="s">
        <v>1695</v>
      </c>
    </row>
    <row r="114" spans="2:10" ht="9.9" customHeight="1" x14ac:dyDescent="0.3">
      <c r="B114" s="6" t="s">
        <v>1548</v>
      </c>
      <c r="C114" s="859"/>
      <c r="E114" s="853"/>
      <c r="F114" s="490"/>
      <c r="G114" s="853"/>
      <c r="I114" s="2" t="str">
        <f t="shared" si="6"/>
        <v/>
      </c>
    </row>
    <row r="115" spans="2:10" x14ac:dyDescent="0.3">
      <c r="B115" s="833" t="s">
        <v>1697</v>
      </c>
      <c r="C115" s="828" t="s">
        <v>1698</v>
      </c>
      <c r="E115" s="853"/>
      <c r="F115" s="506">
        <f>+'Passage P&amp;L-par nature'!AD147</f>
        <v>-105.928652</v>
      </c>
      <c r="G115" s="853"/>
      <c r="I115" s="2" t="str">
        <f t="shared" si="6"/>
        <v xml:space="preserve">RC6320 </v>
      </c>
      <c r="J115" s="498" t="s">
        <v>636</v>
      </c>
    </row>
    <row r="116" spans="2:10" x14ac:dyDescent="0.3">
      <c r="B116" s="833" t="s">
        <v>1701</v>
      </c>
      <c r="C116" s="828" t="s">
        <v>1702</v>
      </c>
      <c r="E116" s="853"/>
      <c r="F116" s="506">
        <f>+'Passage P&amp;L-par nature'!AD149</f>
        <v>-38.599999999999994</v>
      </c>
      <c r="G116" s="853"/>
      <c r="I116" s="2" t="str">
        <f t="shared" si="6"/>
        <v xml:space="preserve">RC6330 </v>
      </c>
      <c r="J116" s="498" t="s">
        <v>1942</v>
      </c>
    </row>
    <row r="117" spans="2:10" x14ac:dyDescent="0.3">
      <c r="B117" s="833" t="s">
        <v>1703</v>
      </c>
      <c r="C117" s="828" t="s">
        <v>1704</v>
      </c>
      <c r="E117" s="853"/>
      <c r="F117" s="506">
        <f>+'Passage P&amp;L-par nature'!AD150</f>
        <v>0</v>
      </c>
      <c r="G117" s="853"/>
      <c r="I117" s="2" t="str">
        <f t="shared" si="6"/>
        <v xml:space="preserve">RC6341 </v>
      </c>
      <c r="J117" s="498" t="s">
        <v>1943</v>
      </c>
    </row>
    <row r="118" spans="2:10" x14ac:dyDescent="0.3">
      <c r="B118" s="833" t="s">
        <v>1705</v>
      </c>
      <c r="C118" s="828" t="s">
        <v>1706</v>
      </c>
      <c r="E118" s="853"/>
      <c r="F118" s="506">
        <f>+'Passage P&amp;L-par nature'!AD151</f>
        <v>0</v>
      </c>
      <c r="G118" s="853"/>
      <c r="I118" s="2" t="str">
        <f t="shared" si="6"/>
        <v xml:space="preserve">RC6361 </v>
      </c>
      <c r="J118" s="498" t="s">
        <v>1944</v>
      </c>
    </row>
    <row r="119" spans="2:10" x14ac:dyDescent="0.3">
      <c r="B119" s="833" t="s">
        <v>1707</v>
      </c>
      <c r="C119" s="828" t="s">
        <v>1708</v>
      </c>
      <c r="E119" s="853"/>
      <c r="F119" s="506">
        <f>+'Passage P&amp;L-par nature'!AD152</f>
        <v>0</v>
      </c>
      <c r="G119" s="853"/>
      <c r="I119" s="2" t="str">
        <f t="shared" si="6"/>
        <v xml:space="preserve">RC6362 </v>
      </c>
      <c r="J119" s="498" t="s">
        <v>1945</v>
      </c>
    </row>
    <row r="120" spans="2:10" x14ac:dyDescent="0.3">
      <c r="B120" s="833" t="s">
        <v>1709</v>
      </c>
      <c r="C120" s="828" t="s">
        <v>1710</v>
      </c>
      <c r="E120" s="853"/>
      <c r="F120" s="506">
        <f>+'Passage P&amp;L-par nature'!AD153</f>
        <v>0</v>
      </c>
      <c r="G120" s="853"/>
      <c r="I120" s="2" t="str">
        <f t="shared" si="6"/>
        <v xml:space="preserve">RC6363 </v>
      </c>
      <c r="J120" s="498" t="s">
        <v>1946</v>
      </c>
    </row>
    <row r="121" spans="2:10" x14ac:dyDescent="0.3">
      <c r="B121" s="833" t="s">
        <v>1711</v>
      </c>
      <c r="C121" s="828" t="s">
        <v>1712</v>
      </c>
      <c r="E121" s="853"/>
      <c r="F121" s="506">
        <f>+'Passage P&amp;L-par nature'!AD154</f>
        <v>0</v>
      </c>
      <c r="G121" s="853"/>
      <c r="I121" s="2" t="str">
        <f t="shared" si="6"/>
        <v xml:space="preserve">RC6370 </v>
      </c>
      <c r="J121" s="498" t="s">
        <v>1947</v>
      </c>
    </row>
    <row r="122" spans="2:10" x14ac:dyDescent="0.3">
      <c r="B122" s="833" t="s">
        <v>1713</v>
      </c>
      <c r="C122" s="828" t="s">
        <v>1714</v>
      </c>
      <c r="E122" s="853"/>
      <c r="F122" s="506">
        <f>+'Passage P&amp;L-par nature'!AD155</f>
        <v>0</v>
      </c>
      <c r="G122" s="853"/>
      <c r="I122" s="2" t="str">
        <f t="shared" si="6"/>
        <v xml:space="preserve">RC6381 </v>
      </c>
      <c r="J122" s="498" t="s">
        <v>1948</v>
      </c>
    </row>
    <row r="123" spans="2:10" x14ac:dyDescent="0.3">
      <c r="B123" s="833" t="s">
        <v>1715</v>
      </c>
      <c r="C123" s="828" t="s">
        <v>1716</v>
      </c>
      <c r="E123" s="853"/>
      <c r="F123" s="506">
        <f>+'Passage P&amp;L-par nature'!AD156</f>
        <v>0</v>
      </c>
      <c r="G123" s="853"/>
      <c r="I123" s="2" t="str">
        <f t="shared" si="6"/>
        <v xml:space="preserve">RC6388 </v>
      </c>
      <c r="J123" s="498" t="s">
        <v>1949</v>
      </c>
    </row>
    <row r="124" spans="2:10" ht="14.25" customHeight="1" x14ac:dyDescent="0.3">
      <c r="B124" s="854" t="s">
        <v>1717</v>
      </c>
      <c r="C124" s="855" t="s">
        <v>1718</v>
      </c>
      <c r="D124" s="856"/>
      <c r="E124" s="853"/>
      <c r="F124" s="857">
        <f>SUM(F115:F123)</f>
        <v>-144.52865199999999</v>
      </c>
      <c r="G124" s="853"/>
      <c r="I124" s="2" t="str">
        <f t="shared" si="6"/>
        <v xml:space="preserve">RC63 </v>
      </c>
      <c r="J124" s="858" t="s">
        <v>1950</v>
      </c>
    </row>
    <row r="125" spans="2:10" ht="9.9" customHeight="1" x14ac:dyDescent="0.3">
      <c r="B125" s="6" t="s">
        <v>1548</v>
      </c>
      <c r="C125" s="859"/>
      <c r="E125" s="853"/>
      <c r="F125" s="490"/>
      <c r="G125" s="853"/>
      <c r="I125" s="2" t="str">
        <f t="shared" si="6"/>
        <v/>
      </c>
    </row>
    <row r="126" spans="2:10" s="6" customFormat="1" ht="23.1" customHeight="1" x14ac:dyDescent="0.3">
      <c r="B126" s="862" t="s">
        <v>1719</v>
      </c>
      <c r="C126" s="863" t="s">
        <v>1720</v>
      </c>
      <c r="D126" s="527"/>
      <c r="E126" s="656"/>
      <c r="F126" s="864">
        <f>+F124+F113+F98</f>
        <v>-3322.0608349999998</v>
      </c>
      <c r="G126" s="656"/>
      <c r="I126" s="6" t="str">
        <f t="shared" si="6"/>
        <v>R.300</v>
      </c>
      <c r="J126" s="865"/>
    </row>
    <row r="127" spans="2:10" ht="9.9" customHeight="1" x14ac:dyDescent="0.3">
      <c r="B127" s="6" t="s">
        <v>1548</v>
      </c>
      <c r="C127" s="859"/>
      <c r="E127" s="853"/>
      <c r="F127" s="490"/>
      <c r="G127" s="853"/>
      <c r="I127" s="2" t="str">
        <f t="shared" si="6"/>
        <v/>
      </c>
    </row>
    <row r="128" spans="2:10" s="6" customFormat="1" ht="23.1" customHeight="1" x14ac:dyDescent="0.3">
      <c r="B128" s="862" t="s">
        <v>1721</v>
      </c>
      <c r="C128" s="863" t="s">
        <v>1722</v>
      </c>
      <c r="D128" s="527"/>
      <c r="E128" s="656"/>
      <c r="F128" s="864">
        <f>+F126+F94</f>
        <v>7207.0926230793375</v>
      </c>
      <c r="G128" s="656"/>
      <c r="I128" s="6" t="str">
        <f t="shared" si="6"/>
        <v>R.400</v>
      </c>
      <c r="J128" s="865" t="s">
        <v>1721</v>
      </c>
    </row>
    <row r="129" spans="2:10" ht="9.9" customHeight="1" x14ac:dyDescent="0.3">
      <c r="B129" s="6" t="s">
        <v>1548</v>
      </c>
      <c r="C129" s="859"/>
      <c r="E129" s="853"/>
      <c r="F129" s="490"/>
      <c r="G129" s="853"/>
      <c r="I129" s="2" t="str">
        <f t="shared" si="6"/>
        <v/>
      </c>
    </row>
    <row r="130" spans="2:10" x14ac:dyDescent="0.3">
      <c r="B130" s="833" t="s">
        <v>1723</v>
      </c>
      <c r="C130" s="828" t="s">
        <v>1724</v>
      </c>
      <c r="E130" s="853"/>
      <c r="F130" s="506">
        <f>+'Passage P&amp;L-par nature'!AD174</f>
        <v>-1068.8041019999998</v>
      </c>
      <c r="G130" s="853"/>
      <c r="I130" s="2" t="str">
        <f t="shared" si="6"/>
        <v xml:space="preserve">RC6711 </v>
      </c>
      <c r="J130" s="498" t="s">
        <v>737</v>
      </c>
    </row>
    <row r="131" spans="2:10" x14ac:dyDescent="0.3">
      <c r="B131" s="833" t="s">
        <v>1725</v>
      </c>
      <c r="C131" s="828" t="s">
        <v>1726</v>
      </c>
      <c r="E131" s="853"/>
      <c r="F131" s="506">
        <f>+'Passage P&amp;L-par nature'!AD175</f>
        <v>0</v>
      </c>
      <c r="G131" s="853"/>
      <c r="I131" s="2" t="str">
        <f t="shared" si="6"/>
        <v xml:space="preserve">RC6712 </v>
      </c>
      <c r="J131" s="498" t="s">
        <v>1951</v>
      </c>
    </row>
    <row r="132" spans="2:10" x14ac:dyDescent="0.3">
      <c r="B132" s="833" t="s">
        <v>1727</v>
      </c>
      <c r="C132" s="828" t="s">
        <v>1728</v>
      </c>
      <c r="E132" s="853"/>
      <c r="F132" s="506">
        <f>+'Passage P&amp;L-par nature'!AD176</f>
        <v>0</v>
      </c>
      <c r="G132" s="853"/>
      <c r="I132" s="2" t="str">
        <f t="shared" si="6"/>
        <v xml:space="preserve">RC6713 </v>
      </c>
      <c r="J132" s="498" t="s">
        <v>1952</v>
      </c>
    </row>
    <row r="133" spans="2:10" x14ac:dyDescent="0.3">
      <c r="B133" s="833" t="s">
        <v>1729</v>
      </c>
      <c r="C133" s="828" t="s">
        <v>1730</v>
      </c>
      <c r="E133" s="853"/>
      <c r="F133" s="506">
        <f>+'Passage P&amp;L-par nature'!AD177</f>
        <v>0</v>
      </c>
      <c r="G133" s="853"/>
      <c r="I133" s="2" t="str">
        <f t="shared" si="6"/>
        <v xml:space="preserve">RC6718 </v>
      </c>
      <c r="J133" s="498" t="s">
        <v>1953</v>
      </c>
    </row>
    <row r="134" spans="2:10" x14ac:dyDescent="0.3">
      <c r="B134" s="833" t="s">
        <v>1731</v>
      </c>
      <c r="C134" s="828" t="s">
        <v>1732</v>
      </c>
      <c r="E134" s="853"/>
      <c r="F134" s="506">
        <f>+'Passage P&amp;L-par nature'!AD178</f>
        <v>0</v>
      </c>
      <c r="G134" s="853"/>
      <c r="I134" s="2" t="str">
        <f t="shared" si="6"/>
        <v xml:space="preserve">RC6750 </v>
      </c>
      <c r="J134" s="498" t="s">
        <v>1954</v>
      </c>
    </row>
    <row r="135" spans="2:10" x14ac:dyDescent="0.3">
      <c r="B135" s="833" t="s">
        <v>1733</v>
      </c>
      <c r="C135" s="828" t="s">
        <v>1734</v>
      </c>
      <c r="E135" s="853"/>
      <c r="F135" s="506">
        <f>+'Passage P&amp;L-par nature'!AD179</f>
        <v>0</v>
      </c>
      <c r="G135" s="853"/>
      <c r="I135" s="2" t="str">
        <f t="shared" si="6"/>
        <v xml:space="preserve">RP7750 </v>
      </c>
      <c r="J135" s="498" t="s">
        <v>1955</v>
      </c>
    </row>
    <row r="136" spans="2:10" ht="14.25" customHeight="1" x14ac:dyDescent="0.3">
      <c r="B136" s="854" t="s">
        <v>1735</v>
      </c>
      <c r="C136" s="855" t="s">
        <v>1736</v>
      </c>
      <c r="D136" s="856"/>
      <c r="E136" s="853"/>
      <c r="F136" s="857">
        <f>+SUM(F130:F135)</f>
        <v>-1068.8041019999998</v>
      </c>
      <c r="G136" s="853"/>
      <c r="I136" s="2" t="str">
        <f t="shared" si="6"/>
        <v>R.671-7</v>
      </c>
      <c r="J136" s="858" t="s">
        <v>1735</v>
      </c>
    </row>
    <row r="137" spans="2:10" ht="9.9" customHeight="1" x14ac:dyDescent="0.3">
      <c r="B137" s="6" t="s">
        <v>1548</v>
      </c>
      <c r="C137" s="859"/>
      <c r="E137" s="853"/>
      <c r="F137" s="490"/>
      <c r="G137" s="853"/>
      <c r="I137" s="2" t="str">
        <f t="shared" si="6"/>
        <v/>
      </c>
    </row>
    <row r="138" spans="2:10" x14ac:dyDescent="0.3">
      <c r="B138" s="833" t="s">
        <v>1737</v>
      </c>
      <c r="C138" s="828" t="s">
        <v>1738</v>
      </c>
      <c r="E138" s="853"/>
      <c r="F138" s="506">
        <f>+'Passage P&amp;L-par nature'!AD182</f>
        <v>3.324109668392822</v>
      </c>
      <c r="G138" s="853"/>
      <c r="I138" s="2" t="str">
        <f t="shared" si="6"/>
        <v xml:space="preserve">RC6721 </v>
      </c>
      <c r="J138" s="498" t="s">
        <v>1956</v>
      </c>
    </row>
    <row r="139" spans="2:10" x14ac:dyDescent="0.3">
      <c r="B139" s="833" t="s">
        <v>1739</v>
      </c>
      <c r="C139" s="828" t="s">
        <v>1740</v>
      </c>
      <c r="E139" s="853"/>
      <c r="F139" s="506">
        <f>+'Passage P&amp;L-par nature'!AD183</f>
        <v>-176.467434857125</v>
      </c>
      <c r="G139" s="853"/>
      <c r="I139" s="2" t="str">
        <f t="shared" si="6"/>
        <v xml:space="preserve">RC6722 </v>
      </c>
      <c r="J139" s="498" t="s">
        <v>1957</v>
      </c>
    </row>
    <row r="140" spans="2:10" x14ac:dyDescent="0.3">
      <c r="B140" s="833" t="s">
        <v>1741</v>
      </c>
      <c r="C140" s="828" t="s">
        <v>1958</v>
      </c>
      <c r="E140" s="853"/>
      <c r="F140" s="506">
        <f>+'Passage P&amp;L-par nature'!AD184</f>
        <v>0</v>
      </c>
      <c r="G140" s="853"/>
      <c r="I140" s="2" t="str">
        <f t="shared" si="6"/>
        <v xml:space="preserve">RC6770 </v>
      </c>
      <c r="J140" s="498" t="s">
        <v>1959</v>
      </c>
    </row>
    <row r="141" spans="2:10" x14ac:dyDescent="0.3">
      <c r="B141" s="833" t="s">
        <v>1743</v>
      </c>
      <c r="C141" s="828" t="s">
        <v>1744</v>
      </c>
      <c r="E141" s="853"/>
      <c r="F141" s="506">
        <f>+'Passage P&amp;L-par nature'!AD185</f>
        <v>0</v>
      </c>
      <c r="G141" s="853"/>
      <c r="I141" s="2" t="str">
        <f t="shared" si="6"/>
        <v xml:space="preserve">RP7770 </v>
      </c>
      <c r="J141" s="498" t="s">
        <v>1960</v>
      </c>
    </row>
    <row r="142" spans="2:10" ht="14.25" customHeight="1" x14ac:dyDescent="0.3">
      <c r="B142" s="854" t="s">
        <v>1745</v>
      </c>
      <c r="C142" s="855" t="s">
        <v>1746</v>
      </c>
      <c r="D142" s="856"/>
      <c r="E142" s="853"/>
      <c r="F142" s="857">
        <f>+SUM(F138:F141)</f>
        <v>-173.14332518873218</v>
      </c>
      <c r="G142" s="853"/>
      <c r="I142" s="2" t="str">
        <f t="shared" si="6"/>
        <v>R.672-7</v>
      </c>
      <c r="J142" s="858" t="s">
        <v>1745</v>
      </c>
    </row>
    <row r="143" spans="2:10" ht="9.9" customHeight="1" x14ac:dyDescent="0.3">
      <c r="B143" s="6" t="s">
        <v>1548</v>
      </c>
      <c r="C143" s="859"/>
      <c r="E143" s="853"/>
      <c r="F143" s="490"/>
      <c r="G143" s="853"/>
      <c r="I143" s="2" t="str">
        <f t="shared" si="6"/>
        <v/>
      </c>
    </row>
    <row r="144" spans="2:10" x14ac:dyDescent="0.3">
      <c r="B144" s="867" t="s">
        <v>1747</v>
      </c>
      <c r="C144" s="868" t="s">
        <v>1748</v>
      </c>
      <c r="E144" s="853"/>
      <c r="F144" s="869">
        <f>+F142+F136</f>
        <v>-1241.947427188732</v>
      </c>
      <c r="G144" s="853"/>
      <c r="I144" s="2" t="str">
        <f t="shared" si="6"/>
        <v xml:space="preserve">R.700 </v>
      </c>
      <c r="J144" s="865" t="s">
        <v>1747</v>
      </c>
    </row>
    <row r="145" spans="2:10" ht="9.9" customHeight="1" x14ac:dyDescent="0.3">
      <c r="B145" s="6" t="s">
        <v>1548</v>
      </c>
      <c r="C145" s="859"/>
      <c r="E145" s="853"/>
      <c r="F145" s="490"/>
      <c r="G145" s="853"/>
      <c r="I145" s="2" t="str">
        <f t="shared" si="6"/>
        <v/>
      </c>
    </row>
    <row r="146" spans="2:10" s="6" customFormat="1" ht="23.1" customHeight="1" x14ac:dyDescent="0.3">
      <c r="B146" s="862" t="s">
        <v>1749</v>
      </c>
      <c r="C146" s="863" t="s">
        <v>1750</v>
      </c>
      <c r="D146" s="527"/>
      <c r="E146" s="656"/>
      <c r="F146" s="864">
        <f>+F144+F128</f>
        <v>5965.1451958906055</v>
      </c>
      <c r="G146" s="656"/>
      <c r="I146" s="6" t="str">
        <f t="shared" si="6"/>
        <v>R.900</v>
      </c>
      <c r="J146" s="865" t="s">
        <v>1749</v>
      </c>
    </row>
    <row r="147" spans="2:10" s="6" customFormat="1" ht="21" customHeight="1" x14ac:dyDescent="0.3">
      <c r="B147" s="833" t="s">
        <v>1751</v>
      </c>
      <c r="C147" s="828" t="s">
        <v>1752</v>
      </c>
      <c r="D147" s="527"/>
      <c r="E147" s="656"/>
      <c r="F147" s="870">
        <f>+'Passage P&amp;L-par nature'!AD191</f>
        <v>5042.8076361070498</v>
      </c>
      <c r="G147" s="656"/>
      <c r="I147" s="6" t="str">
        <f t="shared" si="6"/>
        <v>R.901</v>
      </c>
      <c r="J147" s="871" t="s">
        <v>1961</v>
      </c>
    </row>
    <row r="148" spans="2:10" s="6" customFormat="1" ht="21" customHeight="1" x14ac:dyDescent="0.3">
      <c r="B148" s="833" t="s">
        <v>1753</v>
      </c>
      <c r="C148" s="828" t="s">
        <v>1754</v>
      </c>
      <c r="D148" s="527"/>
      <c r="E148" s="656"/>
      <c r="F148" s="870">
        <f>+'Passage P&amp;L-par nature'!AD192</f>
        <v>0</v>
      </c>
      <c r="G148" s="656"/>
      <c r="I148" s="6" t="str">
        <f t="shared" si="6"/>
        <v xml:space="preserve">R.902 </v>
      </c>
      <c r="J148" s="871" t="s">
        <v>1753</v>
      </c>
    </row>
    <row r="149" spans="2:10" x14ac:dyDescent="0.3">
      <c r="C149" s="859"/>
      <c r="E149" s="853"/>
      <c r="F149" s="490"/>
      <c r="G149" s="853"/>
    </row>
    <row r="150" spans="2:10" x14ac:dyDescent="0.3">
      <c r="C150" s="844" t="s">
        <v>1962</v>
      </c>
      <c r="E150" s="853"/>
      <c r="F150" s="635">
        <f>F146-'Bilan (restit)'!F24-'Bilan (restit)'!F27</f>
        <v>1046.8283097685635</v>
      </c>
      <c r="G150" s="853"/>
    </row>
    <row r="151" spans="2:10" x14ac:dyDescent="0.3">
      <c r="E151" s="853"/>
      <c r="F151" s="872"/>
      <c r="G151" s="853"/>
    </row>
    <row r="152" spans="2:10" x14ac:dyDescent="0.3">
      <c r="F152" s="873"/>
    </row>
    <row r="153" spans="2:10" x14ac:dyDescent="0.3">
      <c r="F153" s="141"/>
    </row>
    <row r="154" spans="2:10" x14ac:dyDescent="0.3">
      <c r="C154" s="582"/>
    </row>
    <row r="156" spans="2:10" x14ac:dyDescent="0.3">
      <c r="F156" s="589"/>
    </row>
  </sheetData>
  <sheetProtection formatCells="0" formatColumns="0" formatRows="0"/>
  <mergeCells count="1">
    <mergeCell ref="C2:C3"/>
  </mergeCells>
  <hyperlinks>
    <hyperlink ref="A1" location="Sommaire!F20" display="Sommaire" xr:uid="{00000000-0004-0000-1000-000000000000}"/>
  </hyperlinks>
  <pageMargins left="0.27559055118110237" right="0.23622047244094491" top="0.39370078740157483" bottom="0.31496062992125984" header="0.31496062992125984" footer="0.31496062992125984"/>
  <pageSetup paperSize="9" scale="81" fitToHeight="3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J47"/>
  <sheetViews>
    <sheetView showGridLines="0" view="pageBreakPreview" zoomScale="80" zoomScaleNormal="80" zoomScaleSheetLayoutView="80" workbookViewId="0">
      <pane xSplit="3" ySplit="4" topLeftCell="D39" activePane="bottomRight" state="frozen"/>
      <selection activeCell="Y19" sqref="Y19"/>
      <selection pane="topRight" activeCell="Y19" sqref="Y19"/>
      <selection pane="bottomLeft" activeCell="Y19" sqref="Y19"/>
      <selection pane="bottomRight" activeCell="Y19" sqref="Y19"/>
    </sheetView>
  </sheetViews>
  <sheetFormatPr baseColWidth="10" defaultColWidth="11.44140625" defaultRowHeight="14.4" outlineLevelRow="1" x14ac:dyDescent="0.3"/>
  <cols>
    <col min="1" max="1" width="16.44140625" style="2" customWidth="1"/>
    <col min="2" max="2" width="9.44140625" style="6" customWidth="1"/>
    <col min="3" max="3" width="97.109375" style="2" customWidth="1"/>
    <col min="4" max="5" width="1.44140625" style="467" customWidth="1"/>
    <col min="6" max="6" width="21.88671875" style="2" bestFit="1" customWidth="1"/>
    <col min="7" max="7" width="1.44140625" style="467" customWidth="1"/>
    <col min="8" max="8" width="11.44140625" style="2"/>
    <col min="9" max="10" width="0" style="2" hidden="1" customWidth="1"/>
    <col min="11" max="16384" width="11.44140625" style="2"/>
  </cols>
  <sheetData>
    <row r="1" spans="1:10" x14ac:dyDescent="0.3">
      <c r="A1" s="456" t="s">
        <v>75</v>
      </c>
    </row>
    <row r="2" spans="1:10" s="6" customFormat="1" ht="27.75" customHeight="1" x14ac:dyDescent="0.3">
      <c r="B2" s="846"/>
      <c r="C2" s="1991" t="s">
        <v>32</v>
      </c>
      <c r="D2" s="527"/>
      <c r="E2" s="527"/>
      <c r="G2" s="527"/>
    </row>
    <row r="3" spans="1:10" ht="21.75" customHeight="1" x14ac:dyDescent="0.3">
      <c r="A3" s="647"/>
      <c r="B3" s="846"/>
      <c r="C3" s="1991"/>
    </row>
    <row r="4" spans="1:10" s="469" customFormat="1" ht="30" customHeight="1" x14ac:dyDescent="0.3">
      <c r="B4" s="6"/>
      <c r="C4" s="847" t="str">
        <f>Cover!Y13</f>
        <v>En millions de FCFA</v>
      </c>
      <c r="D4" s="471"/>
      <c r="E4" s="471"/>
      <c r="F4" s="848" t="s">
        <v>78</v>
      </c>
      <c r="G4" s="471"/>
    </row>
    <row r="5" spans="1:10" s="599" customFormat="1" ht="18" customHeight="1" x14ac:dyDescent="0.3">
      <c r="B5" s="849"/>
      <c r="D5" s="850"/>
      <c r="E5" s="850"/>
      <c r="F5" s="851">
        <f>+Cover!E18</f>
        <v>44926</v>
      </c>
      <c r="G5" s="850"/>
    </row>
    <row r="6" spans="1:10" s="471" customFormat="1" ht="15" customHeight="1" x14ac:dyDescent="0.3">
      <c r="B6" s="527"/>
      <c r="F6" s="874"/>
    </row>
    <row r="7" spans="1:10" x14ac:dyDescent="0.3">
      <c r="B7" s="833" t="s">
        <v>1500</v>
      </c>
      <c r="C7" s="833" t="s">
        <v>1501</v>
      </c>
      <c r="E7" s="853"/>
      <c r="F7" s="506">
        <f>+'Passage P&amp;L-par fonction'!AD30</f>
        <v>1124.4278670000001</v>
      </c>
      <c r="G7" s="853"/>
      <c r="I7" s="2" t="str">
        <f>LEFT(B7,7)</f>
        <v>RP7111</v>
      </c>
      <c r="J7" s="498" t="s">
        <v>668</v>
      </c>
    </row>
    <row r="8" spans="1:10" x14ac:dyDescent="0.3">
      <c r="B8" s="833" t="s">
        <v>1502</v>
      </c>
      <c r="C8" s="833" t="s">
        <v>1503</v>
      </c>
      <c r="E8" s="853"/>
      <c r="F8" s="506">
        <f>+'Passage P&amp;L-par fonction'!AD31</f>
        <v>102856.78918800001</v>
      </c>
      <c r="G8" s="853"/>
      <c r="I8" s="2" t="str">
        <f>LEFT(B8,7)</f>
        <v xml:space="preserve">RP7112 </v>
      </c>
      <c r="J8" s="498" t="s">
        <v>680</v>
      </c>
    </row>
    <row r="9" spans="1:10" x14ac:dyDescent="0.3">
      <c r="B9" s="833" t="s">
        <v>1504</v>
      </c>
      <c r="C9" s="833" t="s">
        <v>1505</v>
      </c>
      <c r="E9" s="853"/>
      <c r="F9" s="506">
        <f>+'Passage P&amp;L-par fonction'!AD32</f>
        <v>1561.774189</v>
      </c>
      <c r="G9" s="853"/>
      <c r="I9" s="2" t="str">
        <f>LEFT(B9,7)</f>
        <v xml:space="preserve">RP7113 </v>
      </c>
      <c r="J9" s="498" t="s">
        <v>712</v>
      </c>
    </row>
    <row r="10" spans="1:10" x14ac:dyDescent="0.3">
      <c r="B10" s="875" t="s">
        <v>1506</v>
      </c>
      <c r="C10" s="875" t="s">
        <v>1507</v>
      </c>
      <c r="D10" s="856"/>
      <c r="E10" s="853"/>
      <c r="F10" s="857">
        <f>+SUM(F7:F9)</f>
        <v>105542.99124400002</v>
      </c>
      <c r="G10" s="853"/>
      <c r="I10" s="2" t="str">
        <f>LEFT(B10,7)</f>
        <v>RP711 C</v>
      </c>
      <c r="J10" s="858" t="s">
        <v>1767</v>
      </c>
    </row>
    <row r="11" spans="1:10" ht="9.9" customHeight="1" x14ac:dyDescent="0.3">
      <c r="E11" s="853"/>
      <c r="F11" s="605"/>
      <c r="G11" s="853"/>
    </row>
    <row r="12" spans="1:10" x14ac:dyDescent="0.3">
      <c r="B12" s="833" t="s">
        <v>1768</v>
      </c>
      <c r="C12" s="833" t="s">
        <v>1769</v>
      </c>
      <c r="E12" s="853"/>
      <c r="F12" s="506">
        <f>+'Passage P&amp;L-par fonction'!AD35</f>
        <v>-1711.663681</v>
      </c>
      <c r="G12" s="853"/>
      <c r="I12" s="2" t="str">
        <f>LEFT(B12,7)</f>
        <v>RC6410</v>
      </c>
      <c r="J12" s="498" t="s">
        <v>488</v>
      </c>
    </row>
    <row r="13" spans="1:10" x14ac:dyDescent="0.3">
      <c r="B13" s="833" t="s">
        <v>1770</v>
      </c>
      <c r="C13" s="833" t="s">
        <v>1771</v>
      </c>
      <c r="E13" s="853"/>
      <c r="F13" s="506">
        <f>+'Passage P&amp;L-par fonction'!AD36</f>
        <v>-14183.914065999999</v>
      </c>
      <c r="G13" s="853"/>
      <c r="I13" s="2" t="str">
        <f>LEFT(B13,7)</f>
        <v>RC6420</v>
      </c>
      <c r="J13" s="498" t="s">
        <v>513</v>
      </c>
    </row>
    <row r="14" spans="1:10" ht="14.25" customHeight="1" x14ac:dyDescent="0.3">
      <c r="B14" s="875" t="s">
        <v>1772</v>
      </c>
      <c r="C14" s="875" t="s">
        <v>1773</v>
      </c>
      <c r="D14" s="856"/>
      <c r="E14" s="853"/>
      <c r="F14" s="857">
        <f>+SUM(F12:F13)</f>
        <v>-15895.577746999999</v>
      </c>
      <c r="G14" s="853"/>
      <c r="I14" s="2" t="str">
        <f>LEFT(B14,7)</f>
        <v>RC640</v>
      </c>
      <c r="J14" s="858" t="s">
        <v>1774</v>
      </c>
    </row>
    <row r="15" spans="1:10" ht="9.9" customHeight="1" x14ac:dyDescent="0.3">
      <c r="E15" s="853"/>
      <c r="F15" s="605"/>
      <c r="G15" s="853"/>
    </row>
    <row r="16" spans="1:10" s="6" customFormat="1" ht="24.9" customHeight="1" x14ac:dyDescent="0.3">
      <c r="B16" s="876" t="s">
        <v>1775</v>
      </c>
      <c r="C16" s="876" t="s">
        <v>1776</v>
      </c>
      <c r="D16" s="877"/>
      <c r="E16" s="656"/>
      <c r="F16" s="878">
        <f>+F14+F10</f>
        <v>89647.413497000016</v>
      </c>
      <c r="G16" s="656"/>
      <c r="I16" s="6" t="str">
        <f>LEFT(B16,7)</f>
        <v>R.80</v>
      </c>
      <c r="J16" s="858" t="s">
        <v>1777</v>
      </c>
    </row>
    <row r="17" spans="2:10" ht="9.9" customHeight="1" x14ac:dyDescent="0.3">
      <c r="E17" s="853"/>
      <c r="F17" s="605"/>
      <c r="G17" s="853"/>
    </row>
    <row r="18" spans="2:10" s="884" customFormat="1" ht="12" customHeight="1" x14ac:dyDescent="0.3">
      <c r="B18" s="879" t="s">
        <v>1778</v>
      </c>
      <c r="C18" s="880" t="s">
        <v>1779</v>
      </c>
      <c r="D18" s="881"/>
      <c r="E18" s="882"/>
      <c r="F18" s="883">
        <f>+'Passage P&amp;L-par fonction'!AD41</f>
        <v>-60627.518963641458</v>
      </c>
      <c r="G18" s="882"/>
      <c r="I18" s="884" t="str">
        <f>LEFT(B18,7)</f>
        <v>RC6430</v>
      </c>
      <c r="J18" s="880" t="s">
        <v>594</v>
      </c>
    </row>
    <row r="19" spans="2:10" ht="9.9" customHeight="1" x14ac:dyDescent="0.3">
      <c r="E19" s="853"/>
      <c r="F19" s="605"/>
      <c r="G19" s="853"/>
    </row>
    <row r="20" spans="2:10" s="6" customFormat="1" ht="24.9" customHeight="1" x14ac:dyDescent="0.3">
      <c r="B20" s="876" t="s">
        <v>1780</v>
      </c>
      <c r="C20" s="876" t="s">
        <v>1781</v>
      </c>
      <c r="D20" s="877"/>
      <c r="E20" s="656"/>
      <c r="F20" s="878">
        <f>+F18+F16</f>
        <v>29019.894533358558</v>
      </c>
      <c r="G20" s="656"/>
      <c r="I20" s="6" t="str">
        <f>LEFT(B20,7)</f>
        <v>R.90</v>
      </c>
      <c r="J20" s="858" t="s">
        <v>1777</v>
      </c>
    </row>
    <row r="21" spans="2:10" ht="9.9" customHeight="1" x14ac:dyDescent="0.3">
      <c r="E21" s="853"/>
      <c r="F21" s="605"/>
      <c r="G21" s="853"/>
    </row>
    <row r="22" spans="2:10" x14ac:dyDescent="0.3">
      <c r="B22" s="833" t="s">
        <v>1516</v>
      </c>
      <c r="C22" s="833" t="s">
        <v>1782</v>
      </c>
      <c r="E22" s="853"/>
      <c r="F22" s="506">
        <f>+'Passage P&amp;L-par fonction'!AD45</f>
        <v>0</v>
      </c>
      <c r="G22" s="853"/>
      <c r="I22" s="2" t="str">
        <f>LEFT(B22,7)</f>
        <v xml:space="preserve">RP7148 </v>
      </c>
      <c r="J22" s="498" t="s">
        <v>1783</v>
      </c>
    </row>
    <row r="23" spans="2:10" x14ac:dyDescent="0.3">
      <c r="B23" s="833" t="s">
        <v>1518</v>
      </c>
      <c r="C23" s="833" t="s">
        <v>1519</v>
      </c>
      <c r="E23" s="853"/>
      <c r="F23" s="506">
        <f>+'Passage P&amp;L-par fonction'!AD46</f>
        <v>0</v>
      </c>
      <c r="G23" s="853"/>
      <c r="I23" s="2" t="str">
        <f>LEFT(B23,7)</f>
        <v xml:space="preserve">RP7149 </v>
      </c>
      <c r="J23" s="498" t="s">
        <v>714</v>
      </c>
    </row>
    <row r="24" spans="2:10" x14ac:dyDescent="0.3">
      <c r="B24" s="875" t="s">
        <v>1520</v>
      </c>
      <c r="C24" s="875" t="s">
        <v>1521</v>
      </c>
      <c r="D24" s="856"/>
      <c r="E24" s="853"/>
      <c r="F24" s="857">
        <f>+SUM(F22:F23)</f>
        <v>0</v>
      </c>
      <c r="G24" s="853"/>
      <c r="I24" s="2" t="str">
        <f>LEFT(B24,7)</f>
        <v xml:space="preserve">RP714 </v>
      </c>
      <c r="J24" s="858" t="s">
        <v>1784</v>
      </c>
    </row>
    <row r="25" spans="2:10" ht="9.9" customHeight="1" x14ac:dyDescent="0.3">
      <c r="E25" s="853"/>
      <c r="F25" s="605"/>
      <c r="G25" s="853"/>
    </row>
    <row r="26" spans="2:10" x14ac:dyDescent="0.3">
      <c r="B26" s="833" t="s">
        <v>1596</v>
      </c>
      <c r="C26" s="833" t="s">
        <v>1597</v>
      </c>
      <c r="E26" s="853"/>
      <c r="F26" s="506">
        <f>+'Passage P&amp;L-par fonction'!AD49</f>
        <v>0</v>
      </c>
      <c r="G26" s="853"/>
      <c r="I26" s="2" t="str">
        <f>LEFT(B26,7)</f>
        <v xml:space="preserve">RC6148 </v>
      </c>
      <c r="J26" s="498" t="s">
        <v>735</v>
      </c>
    </row>
    <row r="27" spans="2:10" x14ac:dyDescent="0.3">
      <c r="B27" s="833" t="s">
        <v>1598</v>
      </c>
      <c r="C27" s="833" t="s">
        <v>1599</v>
      </c>
      <c r="E27" s="853"/>
      <c r="F27" s="506">
        <f>+'Passage P&amp;L-par fonction'!AD50</f>
        <v>0</v>
      </c>
      <c r="G27" s="853"/>
      <c r="I27" s="2" t="str">
        <f>LEFT(B27,7)</f>
        <v xml:space="preserve">RC6149 </v>
      </c>
      <c r="J27" s="498" t="s">
        <v>500</v>
      </c>
    </row>
    <row r="28" spans="2:10" ht="14.25" customHeight="1" x14ac:dyDescent="0.3">
      <c r="B28" s="875" t="s">
        <v>1600</v>
      </c>
      <c r="C28" s="875" t="s">
        <v>1601</v>
      </c>
      <c r="D28" s="860"/>
      <c r="E28" s="861"/>
      <c r="F28" s="857">
        <f>+SUM(F26:F27)</f>
        <v>0</v>
      </c>
      <c r="G28" s="861"/>
      <c r="I28" s="2" t="str">
        <f>LEFT(B28,7)</f>
        <v xml:space="preserve">RC614 </v>
      </c>
      <c r="J28" s="858" t="s">
        <v>1785</v>
      </c>
    </row>
    <row r="29" spans="2:10" ht="9.9" customHeight="1" x14ac:dyDescent="0.3">
      <c r="E29" s="853"/>
      <c r="F29" s="605"/>
      <c r="G29" s="853"/>
    </row>
    <row r="30" spans="2:10" x14ac:dyDescent="0.3">
      <c r="B30" s="833" t="s">
        <v>1522</v>
      </c>
      <c r="C30" s="833" t="s">
        <v>1963</v>
      </c>
      <c r="E30" s="853"/>
      <c r="F30" s="506">
        <f>+'Passage P&amp;L-par fonction'!AD53</f>
        <v>0</v>
      </c>
      <c r="G30" s="853"/>
      <c r="I30" s="2" t="str">
        <f t="shared" ref="I30:I36" si="0">LEFT(B30,7)</f>
        <v xml:space="preserve">RP7152 </v>
      </c>
      <c r="J30" s="498" t="s">
        <v>1787</v>
      </c>
    </row>
    <row r="31" spans="2:10" x14ac:dyDescent="0.3">
      <c r="B31" s="833" t="s">
        <v>1524</v>
      </c>
      <c r="C31" s="833" t="s">
        <v>1964</v>
      </c>
      <c r="E31" s="853"/>
      <c r="F31" s="506">
        <f>+'Passage P&amp;L-par fonction'!AD54</f>
        <v>0</v>
      </c>
      <c r="G31" s="853"/>
      <c r="I31" s="2" t="str">
        <f t="shared" si="0"/>
        <v xml:space="preserve">RP7153 </v>
      </c>
      <c r="J31" s="498" t="s">
        <v>1789</v>
      </c>
    </row>
    <row r="32" spans="2:10" x14ac:dyDescent="0.3">
      <c r="B32" s="833" t="s">
        <v>1790</v>
      </c>
      <c r="C32" s="833" t="s">
        <v>1791</v>
      </c>
      <c r="E32" s="853"/>
      <c r="F32" s="506">
        <f>+'Passage P&amp;L-par fonction'!AD55</f>
        <v>0</v>
      </c>
      <c r="G32" s="853"/>
      <c r="I32" s="2" t="str">
        <f t="shared" si="0"/>
        <v>RP71541</v>
      </c>
      <c r="J32" s="498" t="s">
        <v>1792</v>
      </c>
    </row>
    <row r="33" spans="2:10" x14ac:dyDescent="0.3">
      <c r="B33" s="833" t="s">
        <v>1793</v>
      </c>
      <c r="C33" s="833" t="s">
        <v>1794</v>
      </c>
      <c r="E33" s="853"/>
      <c r="F33" s="506">
        <f>+'Passage P&amp;L-par fonction'!AD56</f>
        <v>0</v>
      </c>
      <c r="G33" s="853"/>
      <c r="I33" s="2" t="str">
        <f t="shared" si="0"/>
        <v>RP71542</v>
      </c>
      <c r="J33" s="498" t="s">
        <v>733</v>
      </c>
    </row>
    <row r="34" spans="2:10" x14ac:dyDescent="0.3">
      <c r="B34" s="833" t="s">
        <v>1795</v>
      </c>
      <c r="C34" s="833" t="s">
        <v>1965</v>
      </c>
      <c r="E34" s="853"/>
      <c r="F34" s="506">
        <f>+'Passage P&amp;L-par fonction'!AD57</f>
        <v>0</v>
      </c>
      <c r="G34" s="853"/>
      <c r="I34" s="2" t="str">
        <f t="shared" si="0"/>
        <v>YRP7155</v>
      </c>
      <c r="J34" s="498" t="s">
        <v>1797</v>
      </c>
    </row>
    <row r="35" spans="2:10" x14ac:dyDescent="0.3">
      <c r="B35" s="833" t="s">
        <v>1798</v>
      </c>
      <c r="C35" s="833" t="s">
        <v>1966</v>
      </c>
      <c r="E35" s="853"/>
      <c r="F35" s="506">
        <f>+'Passage P&amp;L-par fonction'!AD58</f>
        <v>0</v>
      </c>
      <c r="G35" s="853"/>
      <c r="I35" s="2" t="str">
        <f t="shared" si="0"/>
        <v>YRP7155</v>
      </c>
      <c r="J35" s="498" t="s">
        <v>1800</v>
      </c>
    </row>
    <row r="36" spans="2:10" ht="14.25" customHeight="1" x14ac:dyDescent="0.3">
      <c r="B36" s="875" t="s">
        <v>1546</v>
      </c>
      <c r="C36" s="875" t="s">
        <v>1967</v>
      </c>
      <c r="D36" s="856"/>
      <c r="E36" s="853"/>
      <c r="F36" s="857">
        <f>+SUM(F30:F35)</f>
        <v>0</v>
      </c>
      <c r="G36" s="853"/>
      <c r="I36" s="2" t="str">
        <f t="shared" si="0"/>
        <v xml:space="preserve">RP715 </v>
      </c>
      <c r="J36" s="858" t="s">
        <v>1802</v>
      </c>
    </row>
    <row r="37" spans="2:10" ht="9.9" customHeight="1" x14ac:dyDescent="0.3">
      <c r="E37" s="853"/>
      <c r="F37" s="605"/>
      <c r="G37" s="853"/>
    </row>
    <row r="38" spans="2:10" x14ac:dyDescent="0.3">
      <c r="B38" s="833" t="s">
        <v>1602</v>
      </c>
      <c r="C38" s="833" t="s">
        <v>1803</v>
      </c>
      <c r="E38" s="853"/>
      <c r="F38" s="506">
        <f>+'Passage P&amp;L-par fonction'!AD61</f>
        <v>-7839.9408092792264</v>
      </c>
      <c r="G38" s="853"/>
      <c r="I38" s="2" t="str">
        <f t="shared" ref="I38:I44" si="1">LEFT(B38,7)</f>
        <v xml:space="preserve">RC6152 </v>
      </c>
      <c r="J38" s="498" t="s">
        <v>1804</v>
      </c>
    </row>
    <row r="39" spans="2:10" x14ac:dyDescent="0.3">
      <c r="B39" s="833" t="s">
        <v>1606</v>
      </c>
      <c r="C39" s="833" t="s">
        <v>1805</v>
      </c>
      <c r="E39" s="853"/>
      <c r="F39" s="506">
        <f>+'Passage P&amp;L-par fonction'!AD63</f>
        <v>-9615.0063169999994</v>
      </c>
      <c r="G39" s="853"/>
      <c r="I39" s="2" t="str">
        <f t="shared" si="1"/>
        <v xml:space="preserve">RC6153 </v>
      </c>
      <c r="J39" s="498" t="s">
        <v>645</v>
      </c>
    </row>
    <row r="40" spans="2:10" x14ac:dyDescent="0.3">
      <c r="B40" s="833" t="s">
        <v>1806</v>
      </c>
      <c r="C40" s="833" t="s">
        <v>1968</v>
      </c>
      <c r="E40" s="853"/>
      <c r="F40" s="506">
        <f>+'Passage P&amp;L-par fonction'!AD64</f>
        <v>0</v>
      </c>
      <c r="G40" s="853"/>
      <c r="I40" s="2" t="str">
        <f t="shared" si="1"/>
        <v>YRC6155</v>
      </c>
      <c r="J40" s="498" t="s">
        <v>620</v>
      </c>
    </row>
    <row r="41" spans="2:10" x14ac:dyDescent="0.3">
      <c r="B41" s="833" t="s">
        <v>1808</v>
      </c>
      <c r="C41" s="833" t="s">
        <v>1969</v>
      </c>
      <c r="E41" s="853"/>
      <c r="F41" s="506">
        <f>+'Passage P&amp;L-par fonction'!AD65</f>
        <v>0</v>
      </c>
      <c r="G41" s="853"/>
      <c r="I41" s="2" t="str">
        <f t="shared" si="1"/>
        <v>YRC6155</v>
      </c>
      <c r="J41" s="498" t="s">
        <v>664</v>
      </c>
    </row>
    <row r="42" spans="2:10" ht="14.25" customHeight="1" x14ac:dyDescent="0.3">
      <c r="B42" s="875" t="s">
        <v>1628</v>
      </c>
      <c r="C42" s="875" t="s">
        <v>947</v>
      </c>
      <c r="D42" s="856"/>
      <c r="E42" s="853"/>
      <c r="F42" s="857">
        <f>+SUM(F38:F41)</f>
        <v>-17454.947126279225</v>
      </c>
      <c r="G42" s="853"/>
      <c r="I42" s="2" t="str">
        <f t="shared" si="1"/>
        <v xml:space="preserve">RC615 </v>
      </c>
      <c r="J42" s="858" t="s">
        <v>1810</v>
      </c>
    </row>
    <row r="43" spans="2:10" ht="9.9" customHeight="1" x14ac:dyDescent="0.3">
      <c r="B43" s="6" t="s">
        <v>1548</v>
      </c>
      <c r="E43" s="853"/>
      <c r="F43" s="490"/>
      <c r="G43" s="853"/>
      <c r="I43" s="2" t="str">
        <f t="shared" si="1"/>
        <v/>
      </c>
    </row>
    <row r="44" spans="2:10" s="6" customFormat="1" ht="27" customHeight="1" x14ac:dyDescent="0.3">
      <c r="B44" s="876" t="s">
        <v>1629</v>
      </c>
      <c r="C44" s="876" t="s">
        <v>1630</v>
      </c>
      <c r="D44" s="527"/>
      <c r="E44" s="853"/>
      <c r="F44" s="864">
        <f>+F42+F36+F28+F24+F20</f>
        <v>11564.947407079333</v>
      </c>
      <c r="G44" s="656"/>
      <c r="I44" s="6" t="str">
        <f t="shared" si="1"/>
        <v xml:space="preserve">R.100 </v>
      </c>
      <c r="J44" s="865" t="s">
        <v>1629</v>
      </c>
    </row>
    <row r="45" spans="2:10" ht="9.9" customHeight="1" outlineLevel="1" x14ac:dyDescent="0.3">
      <c r="E45" s="853"/>
      <c r="F45" s="605"/>
      <c r="G45" s="853"/>
    </row>
    <row r="47" spans="2:10" x14ac:dyDescent="0.3">
      <c r="C47" s="844" t="s">
        <v>1970</v>
      </c>
      <c r="F47" s="885">
        <f>F44-'P&amp;L-par nature (restit)'!F75</f>
        <v>1035.7939489999953</v>
      </c>
    </row>
  </sheetData>
  <mergeCells count="1">
    <mergeCell ref="C2:C3"/>
  </mergeCells>
  <hyperlinks>
    <hyperlink ref="A1" location="Sommaire!F21" display="Sommaire" xr:uid="{00000000-0004-0000-1100-000000000000}"/>
  </hyperlinks>
  <pageMargins left="0.26" right="0.23" top="0.4" bottom="0.3" header="0.3" footer="0.3"/>
  <pageSetup paperSize="9" scale="66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C0099"/>
    <pageSetUpPr fitToPage="1"/>
  </sheetPr>
  <dimension ref="A2:AH60"/>
  <sheetViews>
    <sheetView showGridLines="0" view="pageBreakPreview" zoomScale="60" zoomScaleNormal="57" workbookViewId="0">
      <selection activeCell="AT18" sqref="AT18"/>
    </sheetView>
  </sheetViews>
  <sheetFormatPr baseColWidth="10" defaultColWidth="11.44140625" defaultRowHeight="14.4" x14ac:dyDescent="0.3"/>
  <cols>
    <col min="1" max="1" width="3.5546875" style="1" customWidth="1"/>
    <col min="2" max="2" width="3.109375" style="1" customWidth="1"/>
    <col min="3" max="3" width="3.109375" style="2" customWidth="1"/>
    <col min="4" max="13" width="12.5546875" style="1" customWidth="1"/>
    <col min="14" max="16" width="11.44140625" style="1"/>
    <col min="17" max="17" width="3.109375" style="1" customWidth="1"/>
    <col min="18" max="18" width="3.109375" style="2" customWidth="1"/>
    <col min="19" max="19" width="3.5546875" style="1" customWidth="1"/>
    <col min="20" max="20" width="1.109375" style="1" customWidth="1"/>
    <col min="21" max="44" width="11.44140625" style="1"/>
    <col min="45" max="45" width="9.44140625" style="1" customWidth="1"/>
    <col min="46" max="16384" width="11.44140625" style="1"/>
  </cols>
  <sheetData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/>
      <c r="B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s="4"/>
    </row>
    <row r="4" spans="1:19" x14ac:dyDescent="0.3">
      <c r="A4" s="4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4"/>
    </row>
    <row r="5" spans="1:19" x14ac:dyDescent="0.3">
      <c r="A5" s="4"/>
      <c r="B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4"/>
    </row>
    <row r="6" spans="1:19" x14ac:dyDescent="0.3">
      <c r="A6" s="4"/>
      <c r="B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4"/>
    </row>
    <row r="7" spans="1:19" x14ac:dyDescent="0.3">
      <c r="A7" s="4"/>
      <c r="B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4"/>
    </row>
    <row r="8" spans="1:19" x14ac:dyDescent="0.3">
      <c r="A8" s="4"/>
      <c r="B8" s="2"/>
      <c r="Q8" s="2"/>
      <c r="S8" s="4"/>
    </row>
    <row r="9" spans="1:19" x14ac:dyDescent="0.3">
      <c r="A9" s="4"/>
      <c r="B9" s="2"/>
      <c r="Q9" s="2"/>
      <c r="S9" s="4"/>
    </row>
    <row r="10" spans="1:19" x14ac:dyDescent="0.3">
      <c r="A10" s="4"/>
      <c r="B10" s="2"/>
      <c r="Q10" s="2"/>
      <c r="S10" s="4"/>
    </row>
    <row r="11" spans="1:19" x14ac:dyDescent="0.3">
      <c r="A11" s="4"/>
      <c r="B11" s="2"/>
      <c r="Q11" s="2"/>
      <c r="S11" s="4"/>
    </row>
    <row r="12" spans="1:19" s="7" customFormat="1" x14ac:dyDescent="0.3">
      <c r="A12" s="5"/>
      <c r="B12" s="6"/>
      <c r="C12" s="6"/>
      <c r="D12" s="1915"/>
      <c r="E12" s="1915"/>
      <c r="F12" s="1915"/>
      <c r="G12" s="1915"/>
      <c r="H12" s="1915"/>
      <c r="I12" s="1915"/>
      <c r="J12" s="1915"/>
      <c r="K12" s="1915"/>
      <c r="L12" s="1915"/>
      <c r="M12" s="1915"/>
      <c r="N12" s="1915"/>
      <c r="Q12" s="6"/>
      <c r="R12" s="6"/>
      <c r="S12" s="5"/>
    </row>
    <row r="13" spans="1:19" s="7" customFormat="1" ht="15" customHeight="1" x14ac:dyDescent="0.3">
      <c r="A13" s="5"/>
      <c r="B13" s="6"/>
      <c r="C13" s="6"/>
      <c r="Q13" s="6"/>
      <c r="R13" s="6"/>
      <c r="S13" s="5"/>
    </row>
    <row r="14" spans="1:19" s="7" customFormat="1" ht="15.75" customHeight="1" thickBot="1" x14ac:dyDescent="0.35">
      <c r="A14" s="5"/>
      <c r="B14" s="6"/>
      <c r="C14" s="6"/>
      <c r="Q14" s="6"/>
      <c r="R14" s="6"/>
      <c r="S14" s="5"/>
    </row>
    <row r="15" spans="1:19" s="7" customFormat="1" x14ac:dyDescent="0.3">
      <c r="A15" s="5"/>
      <c r="B15" s="6"/>
      <c r="C15" s="6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6"/>
      <c r="R15" s="6"/>
      <c r="S15" s="5"/>
    </row>
    <row r="16" spans="1:19" s="7" customFormat="1" ht="46.2" x14ac:dyDescent="0.3">
      <c r="A16" s="5"/>
      <c r="B16" s="6"/>
      <c r="C16" s="6"/>
      <c r="D16" s="14"/>
      <c r="E16" s="1920" t="s">
        <v>1971</v>
      </c>
      <c r="F16" s="1920"/>
      <c r="G16" s="1920"/>
      <c r="H16" s="1920"/>
      <c r="I16" s="1920"/>
      <c r="J16" s="1920"/>
      <c r="K16" s="1920"/>
      <c r="L16" s="1920"/>
      <c r="M16" s="1920"/>
      <c r="N16" s="1920"/>
      <c r="O16" s="1920"/>
      <c r="P16" s="15"/>
      <c r="Q16" s="6"/>
      <c r="R16" s="6"/>
      <c r="S16" s="5"/>
    </row>
    <row r="17" spans="1:19" ht="34.200000000000003" thickBot="1" x14ac:dyDescent="0.7">
      <c r="A17" s="4"/>
      <c r="B17" s="2"/>
      <c r="D17" s="2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"/>
      <c r="S17" s="4"/>
    </row>
    <row r="18" spans="1:19" ht="31.2" x14ac:dyDescent="0.6">
      <c r="A18" s="4"/>
      <c r="B18" s="2"/>
      <c r="D18" s="30"/>
      <c r="E18" s="2"/>
      <c r="F18" s="2"/>
      <c r="G18" s="2"/>
      <c r="H18" s="2"/>
      <c r="I18" s="2"/>
      <c r="J18" s="2"/>
      <c r="K18" s="2"/>
      <c r="L18" s="2"/>
      <c r="M18" s="2"/>
      <c r="N18" s="2"/>
      <c r="O18" s="31"/>
      <c r="P18" s="31"/>
      <c r="Q18" s="2"/>
      <c r="S18" s="4"/>
    </row>
    <row r="19" spans="1:19" ht="31.2" x14ac:dyDescent="0.6">
      <c r="A19" s="4"/>
      <c r="B19" s="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Q19" s="2"/>
      <c r="S19" s="4"/>
    </row>
    <row r="20" spans="1:19" x14ac:dyDescent="0.3">
      <c r="A20" s="4"/>
      <c r="B20" s="2"/>
      <c r="Q20" s="2"/>
      <c r="S20" s="4"/>
    </row>
    <row r="21" spans="1:19" x14ac:dyDescent="0.3">
      <c r="A21" s="4"/>
      <c r="B21" s="2"/>
      <c r="Q21" s="2"/>
      <c r="S21" s="4"/>
    </row>
    <row r="22" spans="1:19" x14ac:dyDescent="0.3">
      <c r="A22" s="4"/>
      <c r="B22" s="2"/>
      <c r="Q22" s="2"/>
      <c r="S22" s="4"/>
    </row>
    <row r="23" spans="1:19" x14ac:dyDescent="0.3">
      <c r="A23" s="4"/>
      <c r="B23" s="2"/>
      <c r="Q23" s="2"/>
      <c r="S23" s="4"/>
    </row>
    <row r="24" spans="1:19" x14ac:dyDescent="0.3">
      <c r="A24" s="4"/>
      <c r="B24" s="2"/>
      <c r="Q24" s="2"/>
      <c r="S24" s="4"/>
    </row>
    <row r="25" spans="1:19" x14ac:dyDescent="0.3">
      <c r="A25" s="4"/>
      <c r="B25" s="2"/>
      <c r="G25" s="1" t="s">
        <v>13</v>
      </c>
      <c r="Q25" s="2"/>
      <c r="S25" s="4"/>
    </row>
    <row r="26" spans="1:19" x14ac:dyDescent="0.3">
      <c r="A26" s="4"/>
      <c r="B26" s="2"/>
      <c r="Q26" s="2"/>
      <c r="S26" s="4"/>
    </row>
    <row r="27" spans="1:19" x14ac:dyDescent="0.3">
      <c r="A27" s="4"/>
      <c r="B27" s="2"/>
      <c r="Q27" s="2"/>
      <c r="S27" s="4"/>
    </row>
    <row r="28" spans="1:19" x14ac:dyDescent="0.3">
      <c r="A28" s="4"/>
      <c r="B28" s="2"/>
      <c r="E28" s="34"/>
      <c r="Q28" s="2"/>
      <c r="S28" s="4"/>
    </row>
    <row r="29" spans="1:19" x14ac:dyDescent="0.3">
      <c r="A29" s="4"/>
      <c r="B29" s="2"/>
      <c r="Q29" s="2"/>
      <c r="S29" s="4"/>
    </row>
    <row r="30" spans="1:19" x14ac:dyDescent="0.3">
      <c r="A30" s="4"/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4"/>
    </row>
    <row r="31" spans="1:19" x14ac:dyDescent="0.3">
      <c r="A31" s="4"/>
      <c r="B31" s="2"/>
      <c r="D31" s="3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4"/>
    </row>
    <row r="32" spans="1:19" x14ac:dyDescent="0.3">
      <c r="A32" s="4"/>
      <c r="B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</row>
    <row r="33" spans="1:34" x14ac:dyDescent="0.3">
      <c r="A33" s="4"/>
      <c r="B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4"/>
    </row>
    <row r="34" spans="1:34" x14ac:dyDescent="0.3">
      <c r="A34" s="4"/>
      <c r="B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4"/>
      <c r="AH34" s="36"/>
    </row>
    <row r="35" spans="1:3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60" spans="3:33" x14ac:dyDescent="0.3">
      <c r="C60" s="1"/>
      <c r="R60" s="1"/>
      <c r="AG60" s="70"/>
    </row>
  </sheetData>
  <mergeCells count="2">
    <mergeCell ref="D12:N12"/>
    <mergeCell ref="E16:O16"/>
  </mergeCells>
  <pageMargins left="0.7" right="0.7" top="0.75" bottom="0.75" header="0.3" footer="0.3"/>
  <pageSetup paperSize="9" scale="72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C0099"/>
  </sheetPr>
  <dimension ref="A1:DX164"/>
  <sheetViews>
    <sheetView showGridLines="0" tabSelected="1" view="pageBreakPreview" topLeftCell="C40" zoomScaleNormal="100" zoomScaleSheetLayoutView="100" workbookViewId="0">
      <selection activeCell="DX152" sqref="DX152"/>
    </sheetView>
  </sheetViews>
  <sheetFormatPr baseColWidth="10" defaultColWidth="11.44140625" defaultRowHeight="14.4" x14ac:dyDescent="0.3"/>
  <cols>
    <col min="1" max="1" width="12.88671875" style="2" bestFit="1" customWidth="1"/>
    <col min="2" max="2" width="25.5546875" style="2" customWidth="1"/>
    <col min="3" max="3" width="18.109375" style="2" bestFit="1" customWidth="1"/>
    <col min="4" max="4" width="14.44140625" style="2" bestFit="1" customWidth="1"/>
    <col min="5" max="5" width="15.88671875" style="2" bestFit="1" customWidth="1"/>
    <col min="6" max="6" width="16.44140625" style="2" bestFit="1" customWidth="1"/>
    <col min="7" max="8" width="11.44140625" style="2"/>
    <col min="9" max="9" width="10" style="2" bestFit="1" customWidth="1"/>
    <col min="10" max="10" width="15.88671875" style="2" customWidth="1"/>
    <col min="11" max="30" width="11.44140625" style="2"/>
    <col min="31" max="40" width="11.44140625" style="2" customWidth="1"/>
    <col min="41" max="41" width="10.44140625" style="2" bestFit="1" customWidth="1"/>
    <col min="42" max="42" width="10.5546875" style="2" bestFit="1" customWidth="1"/>
    <col min="43" max="45" width="10.44140625" style="2" bestFit="1" customWidth="1"/>
    <col min="46" max="46" width="10.44140625" bestFit="1" customWidth="1"/>
    <col min="47" max="51" width="11.44140625" style="2"/>
    <col min="52" max="52" width="11.5546875" style="2" customWidth="1"/>
    <col min="53" max="56" width="11.44140625" style="2"/>
    <col min="57" max="57" width="11.44140625" style="2" customWidth="1"/>
    <col min="58" max="112" width="11.44140625" style="2"/>
    <col min="113" max="113" width="10.33203125" style="2" bestFit="1" customWidth="1"/>
    <col min="114" max="16384" width="11.44140625" style="2"/>
  </cols>
  <sheetData>
    <row r="1" spans="1:12" x14ac:dyDescent="0.3">
      <c r="A1" s="71" t="s">
        <v>75</v>
      </c>
    </row>
    <row r="2" spans="1:12" ht="19.8" x14ac:dyDescent="0.3">
      <c r="A2" s="1992" t="s">
        <v>1972</v>
      </c>
      <c r="B2" s="1992"/>
      <c r="C2" s="1992"/>
      <c r="D2" s="1992"/>
      <c r="E2" s="1992"/>
      <c r="F2" s="1992"/>
      <c r="G2" s="1992"/>
    </row>
    <row r="3" spans="1:12" x14ac:dyDescent="0.3">
      <c r="A3" s="886" t="s">
        <v>1973</v>
      </c>
      <c r="B3" s="1993">
        <f>+Cover!Y18</f>
        <v>44926</v>
      </c>
      <c r="C3" s="1993"/>
      <c r="D3" s="1993"/>
      <c r="E3" s="1993"/>
      <c r="F3" s="1993"/>
      <c r="G3" s="1993"/>
      <c r="I3" s="459"/>
    </row>
    <row r="4" spans="1:12" x14ac:dyDescent="0.3">
      <c r="B4" s="887"/>
      <c r="C4" s="887"/>
      <c r="D4" s="888"/>
      <c r="E4" s="888"/>
      <c r="F4" s="887"/>
      <c r="G4" s="887"/>
      <c r="I4" s="459"/>
    </row>
    <row r="5" spans="1:12" x14ac:dyDescent="0.3">
      <c r="B5" s="889"/>
      <c r="C5" s="887"/>
      <c r="D5" s="888"/>
      <c r="E5" s="888"/>
      <c r="F5" s="887"/>
      <c r="G5" s="887"/>
      <c r="I5" s="459"/>
    </row>
    <row r="6" spans="1:12" x14ac:dyDescent="0.3">
      <c r="C6" s="890" t="s">
        <v>1974</v>
      </c>
      <c r="D6" s="891" t="s">
        <v>1975</v>
      </c>
      <c r="E6" s="891" t="s">
        <v>1976</v>
      </c>
      <c r="F6" s="890" t="s">
        <v>1977</v>
      </c>
      <c r="G6" s="892"/>
      <c r="I6" s="459"/>
    </row>
    <row r="7" spans="1:12" x14ac:dyDescent="0.3">
      <c r="B7" s="892"/>
      <c r="C7" s="893">
        <f>SUM('BG '!F101:F103)</f>
        <v>232661522</v>
      </c>
      <c r="D7" s="893">
        <f>SUM('BG '!J452,'BG '!K452)</f>
        <v>759494582</v>
      </c>
      <c r="E7" s="893">
        <f>-(+C7+D7-F7)</f>
        <v>-525840036</v>
      </c>
      <c r="F7" s="893">
        <f>SUM('BG '!J101:J103)</f>
        <v>466316068</v>
      </c>
      <c r="G7" s="892"/>
    </row>
    <row r="8" spans="1:12" x14ac:dyDescent="0.3">
      <c r="B8" s="892"/>
      <c r="C8" s="892"/>
      <c r="D8" s="892"/>
      <c r="E8" s="892"/>
      <c r="F8" s="894"/>
      <c r="G8" s="892"/>
    </row>
    <row r="9" spans="1:12" x14ac:dyDescent="0.3">
      <c r="B9" s="895" t="s">
        <v>1978</v>
      </c>
      <c r="C9" s="896" t="s">
        <v>1979</v>
      </c>
      <c r="D9" s="892"/>
      <c r="E9" s="892"/>
      <c r="F9" s="894"/>
      <c r="G9" s="892"/>
      <c r="I9" s="895"/>
      <c r="J9" s="896"/>
    </row>
    <row r="10" spans="1:12" x14ac:dyDescent="0.3">
      <c r="B10" s="895" t="s">
        <v>1980</v>
      </c>
      <c r="C10" s="896" t="s">
        <v>1981</v>
      </c>
      <c r="D10" s="892"/>
      <c r="E10" s="892"/>
      <c r="F10" s="894"/>
      <c r="G10" s="892"/>
      <c r="I10" s="895"/>
      <c r="J10" s="896"/>
    </row>
    <row r="11" spans="1:12" x14ac:dyDescent="0.3">
      <c r="B11" s="889" t="s">
        <v>1982</v>
      </c>
      <c r="C11" s="897"/>
      <c r="D11" s="897"/>
      <c r="E11" s="897"/>
      <c r="F11" s="894"/>
      <c r="G11" s="897"/>
      <c r="I11" s="459"/>
    </row>
    <row r="12" spans="1:12" x14ac:dyDescent="0.3">
      <c r="B12" s="897"/>
      <c r="C12" s="897"/>
      <c r="D12" s="897"/>
      <c r="E12" s="897"/>
      <c r="F12" s="897"/>
      <c r="G12" s="897"/>
      <c r="I12" s="459"/>
    </row>
    <row r="13" spans="1:12" x14ac:dyDescent="0.3">
      <c r="B13" s="897"/>
      <c r="C13" s="898" t="s">
        <v>1037</v>
      </c>
      <c r="D13" s="899" t="s">
        <v>1983</v>
      </c>
      <c r="E13" s="899" t="s">
        <v>1984</v>
      </c>
      <c r="F13" s="899" t="s">
        <v>1985</v>
      </c>
      <c r="G13" s="899" t="s">
        <v>1986</v>
      </c>
      <c r="I13" s="459"/>
      <c r="J13"/>
      <c r="K13"/>
    </row>
    <row r="14" spans="1:12" x14ac:dyDescent="0.3">
      <c r="B14" s="900" t="s">
        <v>1987</v>
      </c>
      <c r="C14" s="901"/>
      <c r="D14" s="902"/>
      <c r="E14" s="902"/>
      <c r="F14" s="903">
        <f>-F15</f>
        <v>525840036</v>
      </c>
      <c r="G14" s="903">
        <f>SUM(C14:F14)</f>
        <v>525840036</v>
      </c>
      <c r="H14" s="904"/>
      <c r="I14" s="459"/>
      <c r="J14"/>
      <c r="K14"/>
    </row>
    <row r="15" spans="1:12" x14ac:dyDescent="0.3">
      <c r="B15" s="897" t="s">
        <v>1988</v>
      </c>
      <c r="C15" s="905">
        <f>C7</f>
        <v>232661522</v>
      </c>
      <c r="D15" s="906">
        <f>D7</f>
        <v>759494582</v>
      </c>
      <c r="E15" s="906"/>
      <c r="F15" s="906">
        <f>E7</f>
        <v>-525840036</v>
      </c>
      <c r="G15" s="906">
        <f>SUM(C15:F15)</f>
        <v>466316068</v>
      </c>
      <c r="H15" s="605"/>
      <c r="I15" s="459"/>
      <c r="J15"/>
      <c r="K15"/>
      <c r="L15" s="141"/>
    </row>
    <row r="16" spans="1:12" x14ac:dyDescent="0.3">
      <c r="B16" s="907" t="s">
        <v>1989</v>
      </c>
      <c r="C16" s="908">
        <f>SUM(C14:C15)</f>
        <v>232661522</v>
      </c>
      <c r="D16" s="909">
        <f>SUM(D14:D15)</f>
        <v>759494582</v>
      </c>
      <c r="E16" s="909">
        <f>SUM(E14:E15)</f>
        <v>0</v>
      </c>
      <c r="F16" s="909">
        <f>SUM(F14:F15)</f>
        <v>0</v>
      </c>
      <c r="G16" s="909">
        <f>SUM(G14:G15)</f>
        <v>992156104</v>
      </c>
      <c r="I16" s="459"/>
      <c r="J16"/>
      <c r="K16"/>
    </row>
    <row r="17" spans="1:128" s="467" customFormat="1" x14ac:dyDescent="0.3">
      <c r="B17" s="910"/>
      <c r="C17" s="911"/>
      <c r="D17" s="911"/>
      <c r="E17" s="911"/>
      <c r="F17" s="911"/>
      <c r="G17" s="911"/>
      <c r="I17" s="912"/>
      <c r="J17"/>
      <c r="K17"/>
      <c r="AT17"/>
    </row>
    <row r="18" spans="1:128" x14ac:dyDescent="0.3">
      <c r="B18" s="889" t="s">
        <v>1990</v>
      </c>
      <c r="C18" s="897"/>
      <c r="D18" s="897"/>
      <c r="E18" s="897"/>
      <c r="F18" s="897"/>
      <c r="G18" s="897"/>
      <c r="I18" s="459"/>
      <c r="J18"/>
      <c r="K18"/>
    </row>
    <row r="19" spans="1:128" x14ac:dyDescent="0.3">
      <c r="B19" s="913"/>
      <c r="C19" s="914" t="s">
        <v>1037</v>
      </c>
      <c r="D19" s="915" t="s">
        <v>1991</v>
      </c>
      <c r="E19" s="915" t="s">
        <v>1992</v>
      </c>
      <c r="F19" s="915" t="s">
        <v>1986</v>
      </c>
      <c r="G19" s="916"/>
      <c r="I19" s="459"/>
      <c r="J19"/>
      <c r="K19"/>
    </row>
    <row r="20" spans="1:128" x14ac:dyDescent="0.3">
      <c r="B20" s="900" t="s">
        <v>1993</v>
      </c>
      <c r="C20" s="901">
        <f>-'Passage Actif BC '!AG30*10^6</f>
        <v>2160783134.2824368</v>
      </c>
      <c r="D20" s="903">
        <f>F20-C20</f>
        <v>229494055.14291668</v>
      </c>
      <c r="E20" s="903"/>
      <c r="F20" s="903">
        <f>SUM(E152:DG152)*10^6</f>
        <v>2390277189.4253535</v>
      </c>
      <c r="G20" s="917"/>
      <c r="H20" s="904"/>
      <c r="I20" s="459"/>
      <c r="J20"/>
      <c r="K20"/>
    </row>
    <row r="21" spans="1:128" x14ac:dyDescent="0.3">
      <c r="B21" s="907" t="s">
        <v>1994</v>
      </c>
      <c r="C21" s="908">
        <f>+C20</f>
        <v>2160783134.2824368</v>
      </c>
      <c r="D21" s="918">
        <f>+D20</f>
        <v>229494055.14291668</v>
      </c>
      <c r="E21" s="918">
        <f>+E20</f>
        <v>0</v>
      </c>
      <c r="F21" s="918">
        <f>+F20</f>
        <v>2390277189.4253535</v>
      </c>
      <c r="G21" s="911"/>
      <c r="I21" s="459"/>
    </row>
    <row r="22" spans="1:128" x14ac:dyDescent="0.3">
      <c r="B22" s="919"/>
      <c r="C22" s="897"/>
      <c r="D22" s="897"/>
      <c r="E22" s="897"/>
      <c r="F22" s="897"/>
      <c r="G22" s="897"/>
      <c r="I22" s="459"/>
      <c r="K22" s="605"/>
    </row>
    <row r="23" spans="1:128" x14ac:dyDescent="0.3">
      <c r="I23" s="459"/>
    </row>
    <row r="24" spans="1:128" x14ac:dyDescent="0.3">
      <c r="B24" s="889" t="s">
        <v>1995</v>
      </c>
    </row>
    <row r="26" spans="1:128" x14ac:dyDescent="0.3">
      <c r="A26" s="459"/>
      <c r="B26" s="920" t="s">
        <v>1996</v>
      </c>
      <c r="C26" s="921" t="s">
        <v>1997</v>
      </c>
      <c r="D26" s="921" t="s">
        <v>1998</v>
      </c>
      <c r="E26" s="922">
        <v>42036</v>
      </c>
      <c r="F26" s="922">
        <v>42064</v>
      </c>
      <c r="G26" s="922">
        <v>42095</v>
      </c>
      <c r="H26" s="922">
        <v>42125</v>
      </c>
      <c r="I26" s="922">
        <v>42156</v>
      </c>
      <c r="J26" s="922">
        <v>42186</v>
      </c>
      <c r="K26" s="922">
        <v>42217</v>
      </c>
      <c r="L26" s="922">
        <v>42248</v>
      </c>
      <c r="M26" s="922">
        <v>42278</v>
      </c>
      <c r="N26" s="922">
        <v>42309</v>
      </c>
      <c r="O26" s="922">
        <v>42339</v>
      </c>
      <c r="P26" s="922">
        <v>42370</v>
      </c>
      <c r="Q26" s="922">
        <v>42401</v>
      </c>
      <c r="R26" s="922">
        <v>42430</v>
      </c>
      <c r="S26" s="922">
        <v>42461</v>
      </c>
      <c r="T26" s="922">
        <v>42491</v>
      </c>
      <c r="U26" s="922">
        <v>42522</v>
      </c>
      <c r="V26" s="922">
        <v>42552</v>
      </c>
      <c r="W26" s="922">
        <v>42583</v>
      </c>
      <c r="X26" s="922">
        <v>42614</v>
      </c>
      <c r="Y26" s="922">
        <v>42644</v>
      </c>
      <c r="Z26" s="922">
        <v>42675</v>
      </c>
      <c r="AA26" s="922">
        <v>42705</v>
      </c>
      <c r="AB26" s="922">
        <v>42736</v>
      </c>
      <c r="AC26" s="922">
        <v>42767</v>
      </c>
      <c r="AD26" s="922">
        <v>42795</v>
      </c>
      <c r="AE26" s="922">
        <v>42826</v>
      </c>
      <c r="AF26" s="922">
        <v>42856</v>
      </c>
      <c r="AG26" s="922">
        <v>42887</v>
      </c>
      <c r="AH26" s="922">
        <v>42917</v>
      </c>
      <c r="AI26" s="922">
        <v>42948</v>
      </c>
      <c r="AJ26" s="922">
        <v>42979</v>
      </c>
      <c r="AK26" s="922">
        <v>43009</v>
      </c>
      <c r="AL26" s="922">
        <v>43040</v>
      </c>
      <c r="AM26" s="922">
        <v>43070</v>
      </c>
      <c r="AN26" s="922">
        <v>43101</v>
      </c>
      <c r="AO26" s="922">
        <v>43132</v>
      </c>
      <c r="AP26" s="922">
        <v>43160</v>
      </c>
      <c r="AQ26" s="922">
        <v>43191</v>
      </c>
      <c r="AR26" s="922">
        <v>43221</v>
      </c>
      <c r="AS26" s="922">
        <v>43252</v>
      </c>
      <c r="AT26" s="922">
        <v>43282</v>
      </c>
      <c r="AU26" s="922">
        <v>43313</v>
      </c>
      <c r="AV26" s="922">
        <v>43344</v>
      </c>
      <c r="AW26" s="922">
        <v>43374</v>
      </c>
      <c r="AX26" s="922">
        <v>43405</v>
      </c>
      <c r="AY26" s="922">
        <v>43435</v>
      </c>
      <c r="AZ26" s="922">
        <v>43466</v>
      </c>
      <c r="BA26" s="922">
        <v>43497</v>
      </c>
      <c r="BB26" s="922">
        <v>43525</v>
      </c>
      <c r="BC26" s="922">
        <v>43556</v>
      </c>
      <c r="BD26" s="922">
        <v>43586</v>
      </c>
      <c r="BE26" s="922">
        <v>43617</v>
      </c>
      <c r="BF26" s="922">
        <v>43647</v>
      </c>
      <c r="BG26" s="922">
        <v>43678</v>
      </c>
      <c r="BH26" s="922">
        <v>43709</v>
      </c>
      <c r="BI26" s="922">
        <v>43739</v>
      </c>
      <c r="BJ26" s="922">
        <v>43770</v>
      </c>
      <c r="BK26" s="922">
        <v>43800</v>
      </c>
      <c r="BL26" s="922">
        <v>43831</v>
      </c>
      <c r="BM26" s="922">
        <v>43862</v>
      </c>
      <c r="BN26" s="922">
        <v>43891</v>
      </c>
      <c r="BO26" s="922">
        <v>43922</v>
      </c>
      <c r="BP26" s="922">
        <v>43952</v>
      </c>
      <c r="BQ26" s="922">
        <v>43983</v>
      </c>
      <c r="BR26" s="922">
        <v>44013</v>
      </c>
      <c r="BS26" s="922">
        <v>44044</v>
      </c>
      <c r="BT26" s="922">
        <v>44075</v>
      </c>
      <c r="BU26" s="922">
        <v>44105</v>
      </c>
      <c r="BV26" s="922">
        <v>44136</v>
      </c>
      <c r="BW26" s="922">
        <v>44166</v>
      </c>
      <c r="BX26" s="922">
        <v>44197</v>
      </c>
      <c r="BY26" s="922">
        <v>44228</v>
      </c>
      <c r="BZ26" s="922">
        <v>44256</v>
      </c>
      <c r="CA26" s="922">
        <v>44287</v>
      </c>
      <c r="CB26" s="922">
        <v>44317</v>
      </c>
      <c r="CC26" s="922">
        <v>44348</v>
      </c>
      <c r="CD26" s="922">
        <v>44378</v>
      </c>
      <c r="CE26" s="922">
        <v>44409</v>
      </c>
      <c r="CF26" s="922">
        <v>44440</v>
      </c>
      <c r="CG26" s="922">
        <v>44470</v>
      </c>
      <c r="CH26" s="922">
        <v>44501</v>
      </c>
      <c r="CI26" s="922">
        <v>44531</v>
      </c>
      <c r="CJ26" s="922">
        <v>44562</v>
      </c>
      <c r="CK26" s="922">
        <v>44593</v>
      </c>
      <c r="CL26" s="922">
        <v>44621</v>
      </c>
      <c r="CM26" s="922">
        <v>44652</v>
      </c>
      <c r="CN26" s="922">
        <v>44682</v>
      </c>
      <c r="CO26" s="922">
        <v>44713</v>
      </c>
      <c r="CP26" s="922">
        <v>44743</v>
      </c>
      <c r="CQ26" s="922">
        <v>44774</v>
      </c>
      <c r="CR26" s="922">
        <v>44805</v>
      </c>
      <c r="CS26" s="922">
        <v>44835</v>
      </c>
      <c r="CT26" s="922">
        <v>44866</v>
      </c>
      <c r="CU26" s="922">
        <v>44896</v>
      </c>
      <c r="CV26" s="922">
        <v>44927</v>
      </c>
      <c r="CW26" s="922">
        <v>44958</v>
      </c>
      <c r="CX26" s="922">
        <v>44986</v>
      </c>
      <c r="CY26" s="922">
        <v>45017</v>
      </c>
      <c r="CZ26" s="922">
        <v>45047</v>
      </c>
      <c r="DA26" s="922">
        <v>45078</v>
      </c>
      <c r="DB26" s="922">
        <v>45108</v>
      </c>
      <c r="DC26" s="922">
        <v>45139</v>
      </c>
      <c r="DD26" s="922">
        <v>45170</v>
      </c>
      <c r="DE26" s="922">
        <v>45200</v>
      </c>
      <c r="DF26" s="922">
        <v>45231</v>
      </c>
      <c r="DG26" s="922">
        <v>45261</v>
      </c>
      <c r="DH26" s="922">
        <v>45292</v>
      </c>
      <c r="DI26" s="922">
        <v>45323</v>
      </c>
      <c r="DJ26" s="922">
        <v>45352</v>
      </c>
      <c r="DK26" s="922">
        <v>45383</v>
      </c>
      <c r="DL26" s="922">
        <v>45413</v>
      </c>
      <c r="DM26" s="922">
        <v>45444</v>
      </c>
      <c r="DN26" s="922">
        <v>45474</v>
      </c>
      <c r="DO26" s="922">
        <v>45505</v>
      </c>
      <c r="DP26" s="922">
        <v>45536</v>
      </c>
      <c r="DQ26" s="922">
        <v>45566</v>
      </c>
      <c r="DR26" s="922">
        <v>45597</v>
      </c>
      <c r="DS26" s="922">
        <v>45627</v>
      </c>
      <c r="DT26" s="922">
        <v>45658</v>
      </c>
      <c r="DU26" s="922">
        <v>45689</v>
      </c>
      <c r="DV26" s="922">
        <v>45717</v>
      </c>
      <c r="DW26" s="922">
        <v>45748</v>
      </c>
      <c r="DX26" s="922">
        <v>45778</v>
      </c>
    </row>
    <row r="27" spans="1:128" x14ac:dyDescent="0.3">
      <c r="A27" s="923">
        <v>42036</v>
      </c>
      <c r="B27" s="924">
        <v>126026</v>
      </c>
      <c r="C27" s="925">
        <v>237.96579023906102</v>
      </c>
      <c r="D27" s="926">
        <f>+(B27*C27)/10^6</f>
        <v>29.989876680667905</v>
      </c>
      <c r="E27" s="927">
        <f>+$D$27/24</f>
        <v>1.2495781950278293</v>
      </c>
      <c r="F27" s="927">
        <f>+D27/24</f>
        <v>1.2495781950278293</v>
      </c>
      <c r="G27" s="927">
        <f>+$D$27/24</f>
        <v>1.2495781950278293</v>
      </c>
      <c r="H27" s="927">
        <f t="shared" ref="H27:W27" si="0">+$D$27/24</f>
        <v>1.2495781950278293</v>
      </c>
      <c r="I27" s="927">
        <f t="shared" si="0"/>
        <v>1.2495781950278293</v>
      </c>
      <c r="J27" s="927">
        <f t="shared" si="0"/>
        <v>1.2495781950278293</v>
      </c>
      <c r="K27" s="927">
        <f t="shared" si="0"/>
        <v>1.2495781950278293</v>
      </c>
      <c r="L27" s="927">
        <f t="shared" si="0"/>
        <v>1.2495781950278293</v>
      </c>
      <c r="M27" s="927">
        <f t="shared" si="0"/>
        <v>1.2495781950278293</v>
      </c>
      <c r="N27" s="927">
        <f t="shared" si="0"/>
        <v>1.2495781950278293</v>
      </c>
      <c r="O27" s="927">
        <f t="shared" si="0"/>
        <v>1.2495781950278293</v>
      </c>
      <c r="P27" s="927">
        <f t="shared" si="0"/>
        <v>1.2495781950278293</v>
      </c>
      <c r="Q27" s="927">
        <f t="shared" si="0"/>
        <v>1.2495781950278293</v>
      </c>
      <c r="R27" s="927">
        <f t="shared" si="0"/>
        <v>1.2495781950278293</v>
      </c>
      <c r="S27" s="927">
        <f t="shared" si="0"/>
        <v>1.2495781950278293</v>
      </c>
      <c r="T27" s="927">
        <f t="shared" si="0"/>
        <v>1.2495781950278293</v>
      </c>
      <c r="U27" s="927">
        <f t="shared" si="0"/>
        <v>1.2495781950278293</v>
      </c>
      <c r="V27" s="927">
        <f t="shared" si="0"/>
        <v>1.2495781950278293</v>
      </c>
      <c r="W27" s="927">
        <f t="shared" si="0"/>
        <v>1.2495781950278293</v>
      </c>
      <c r="X27" s="927">
        <f>+$D$27/24</f>
        <v>1.2495781950278293</v>
      </c>
      <c r="Y27" s="927">
        <f>+$D$27/24</f>
        <v>1.2495781950278293</v>
      </c>
      <c r="Z27" s="927">
        <f>+$D$27/24</f>
        <v>1.2495781950278293</v>
      </c>
      <c r="AA27" s="927">
        <f>+$D$27/24</f>
        <v>1.2495781950278293</v>
      </c>
      <c r="AB27" s="927">
        <f>+$D$27/24</f>
        <v>1.2495781950278293</v>
      </c>
      <c r="AC27" s="927"/>
      <c r="AD27" s="927"/>
      <c r="AE27" s="927"/>
      <c r="AF27" s="927"/>
      <c r="AG27" s="927"/>
      <c r="AH27" s="927"/>
      <c r="AI27" s="927"/>
      <c r="AJ27" s="927"/>
      <c r="AK27" s="927"/>
      <c r="AL27" s="927"/>
      <c r="AM27" s="927"/>
      <c r="AN27" s="927"/>
      <c r="AO27" s="927"/>
      <c r="AP27" s="927"/>
      <c r="AQ27" s="927"/>
      <c r="AR27" s="927"/>
      <c r="AS27" s="927"/>
    </row>
    <row r="28" spans="1:128" x14ac:dyDescent="0.3">
      <c r="A28" s="923">
        <v>42064</v>
      </c>
      <c r="B28" s="928">
        <v>114763</v>
      </c>
      <c r="C28" s="929">
        <v>237.96579023906102</v>
      </c>
      <c r="D28" s="930">
        <f t="shared" ref="D28:D52" si="1">+(B28*C28)/10^6</f>
        <v>27.309667985205358</v>
      </c>
      <c r="E28" s="931"/>
      <c r="F28" s="927">
        <f>+$D$28/24</f>
        <v>1.1379028327168899</v>
      </c>
      <c r="G28" s="927">
        <f t="shared" ref="G28:AC28" si="2">+$D$28/24</f>
        <v>1.1379028327168899</v>
      </c>
      <c r="H28" s="927">
        <f>+$D$28/24</f>
        <v>1.1379028327168899</v>
      </c>
      <c r="I28" s="927">
        <f t="shared" si="2"/>
        <v>1.1379028327168899</v>
      </c>
      <c r="J28" s="927">
        <f t="shared" si="2"/>
        <v>1.1379028327168899</v>
      </c>
      <c r="K28" s="927">
        <f t="shared" si="2"/>
        <v>1.1379028327168899</v>
      </c>
      <c r="L28" s="927">
        <f t="shared" si="2"/>
        <v>1.1379028327168899</v>
      </c>
      <c r="M28" s="927">
        <f t="shared" si="2"/>
        <v>1.1379028327168899</v>
      </c>
      <c r="N28" s="927">
        <f t="shared" si="2"/>
        <v>1.1379028327168899</v>
      </c>
      <c r="O28" s="927">
        <f t="shared" si="2"/>
        <v>1.1379028327168899</v>
      </c>
      <c r="P28" s="927">
        <f t="shared" si="2"/>
        <v>1.1379028327168899</v>
      </c>
      <c r="Q28" s="927">
        <f t="shared" si="2"/>
        <v>1.1379028327168899</v>
      </c>
      <c r="R28" s="927">
        <f t="shared" si="2"/>
        <v>1.1379028327168899</v>
      </c>
      <c r="S28" s="927">
        <f t="shared" si="2"/>
        <v>1.1379028327168899</v>
      </c>
      <c r="T28" s="927">
        <f t="shared" si="2"/>
        <v>1.1379028327168899</v>
      </c>
      <c r="U28" s="927">
        <f t="shared" si="2"/>
        <v>1.1379028327168899</v>
      </c>
      <c r="V28" s="927">
        <f t="shared" si="2"/>
        <v>1.1379028327168899</v>
      </c>
      <c r="W28" s="927">
        <f t="shared" si="2"/>
        <v>1.1379028327168899</v>
      </c>
      <c r="X28" s="927">
        <f t="shared" si="2"/>
        <v>1.1379028327168899</v>
      </c>
      <c r="Y28" s="927">
        <f t="shared" si="2"/>
        <v>1.1379028327168899</v>
      </c>
      <c r="Z28" s="927">
        <f t="shared" si="2"/>
        <v>1.1379028327168899</v>
      </c>
      <c r="AA28" s="927">
        <f t="shared" si="2"/>
        <v>1.1379028327168899</v>
      </c>
      <c r="AB28" s="927">
        <f t="shared" si="2"/>
        <v>1.1379028327168899</v>
      </c>
      <c r="AC28" s="927">
        <f t="shared" si="2"/>
        <v>1.1379028327168899</v>
      </c>
      <c r="AD28" s="927"/>
      <c r="AE28" s="927"/>
      <c r="AF28" s="927"/>
      <c r="AG28" s="927"/>
      <c r="AH28" s="927"/>
      <c r="AI28" s="927"/>
      <c r="AJ28" s="927"/>
      <c r="AK28" s="927"/>
      <c r="AL28" s="927"/>
      <c r="AM28" s="927"/>
      <c r="AN28" s="927"/>
      <c r="AO28" s="927"/>
      <c r="AP28" s="927"/>
      <c r="AQ28" s="927"/>
      <c r="AR28" s="927"/>
      <c r="AS28" s="927"/>
    </row>
    <row r="29" spans="1:128" x14ac:dyDescent="0.3">
      <c r="A29" s="923">
        <v>42095</v>
      </c>
      <c r="B29" s="928">
        <v>112310</v>
      </c>
      <c r="C29" s="929">
        <v>237.96579023906102</v>
      </c>
      <c r="D29" s="930">
        <f t="shared" si="1"/>
        <v>26.725937901748946</v>
      </c>
      <c r="E29" s="931"/>
      <c r="F29" s="931"/>
      <c r="G29" s="927">
        <f>+$D29/24</f>
        <v>1.1135807459062061</v>
      </c>
      <c r="H29" s="927">
        <f t="shared" ref="H29:AB44" si="3">+$D29/24</f>
        <v>1.1135807459062061</v>
      </c>
      <c r="I29" s="927">
        <f t="shared" si="3"/>
        <v>1.1135807459062061</v>
      </c>
      <c r="J29" s="927">
        <f t="shared" si="3"/>
        <v>1.1135807459062061</v>
      </c>
      <c r="K29" s="927">
        <f t="shared" si="3"/>
        <v>1.1135807459062061</v>
      </c>
      <c r="L29" s="927">
        <f t="shared" si="3"/>
        <v>1.1135807459062061</v>
      </c>
      <c r="M29" s="927">
        <f t="shared" si="3"/>
        <v>1.1135807459062061</v>
      </c>
      <c r="N29" s="927">
        <f t="shared" si="3"/>
        <v>1.1135807459062061</v>
      </c>
      <c r="O29" s="927">
        <f t="shared" si="3"/>
        <v>1.1135807459062061</v>
      </c>
      <c r="P29" s="927">
        <f t="shared" si="3"/>
        <v>1.1135807459062061</v>
      </c>
      <c r="Q29" s="927">
        <f t="shared" si="3"/>
        <v>1.1135807459062061</v>
      </c>
      <c r="R29" s="927">
        <f t="shared" si="3"/>
        <v>1.1135807459062061</v>
      </c>
      <c r="S29" s="927">
        <f t="shared" si="3"/>
        <v>1.1135807459062061</v>
      </c>
      <c r="T29" s="927">
        <f t="shared" si="3"/>
        <v>1.1135807459062061</v>
      </c>
      <c r="U29" s="927">
        <f t="shared" si="3"/>
        <v>1.1135807459062061</v>
      </c>
      <c r="V29" s="927">
        <f t="shared" si="3"/>
        <v>1.1135807459062061</v>
      </c>
      <c r="W29" s="927">
        <f t="shared" si="3"/>
        <v>1.1135807459062061</v>
      </c>
      <c r="X29" s="927">
        <f t="shared" si="3"/>
        <v>1.1135807459062061</v>
      </c>
      <c r="Y29" s="927">
        <f t="shared" si="3"/>
        <v>1.1135807459062061</v>
      </c>
      <c r="Z29" s="927">
        <f t="shared" si="3"/>
        <v>1.1135807459062061</v>
      </c>
      <c r="AA29" s="927">
        <f t="shared" si="3"/>
        <v>1.1135807459062061</v>
      </c>
      <c r="AB29" s="927">
        <f t="shared" si="3"/>
        <v>1.1135807459062061</v>
      </c>
      <c r="AC29" s="927">
        <f t="shared" ref="AC29:AD44" si="4">+$D29/24</f>
        <v>1.1135807459062061</v>
      </c>
      <c r="AD29" s="927">
        <f t="shared" si="4"/>
        <v>1.1135807459062061</v>
      </c>
      <c r="AE29" s="927"/>
      <c r="AF29" s="927"/>
      <c r="AG29" s="927"/>
      <c r="AH29" s="927"/>
      <c r="AI29" s="927"/>
      <c r="AJ29" s="927"/>
      <c r="AK29" s="927"/>
      <c r="AL29" s="927"/>
      <c r="AM29" s="927"/>
      <c r="AN29" s="927"/>
      <c r="AO29" s="927"/>
      <c r="AP29" s="927"/>
      <c r="AQ29" s="927"/>
      <c r="AR29" s="927"/>
      <c r="AS29" s="927"/>
    </row>
    <row r="30" spans="1:128" x14ac:dyDescent="0.3">
      <c r="A30" s="923">
        <v>42125</v>
      </c>
      <c r="B30" s="928">
        <v>139992</v>
      </c>
      <c r="C30" s="929">
        <v>237.96579023906102</v>
      </c>
      <c r="D30" s="930">
        <f t="shared" si="1"/>
        <v>33.313306907146632</v>
      </c>
      <c r="E30" s="931"/>
      <c r="F30" s="931"/>
      <c r="G30" s="931"/>
      <c r="H30" s="927">
        <f>+$D30/24</f>
        <v>1.3880544544644431</v>
      </c>
      <c r="I30" s="927">
        <f t="shared" si="3"/>
        <v>1.3880544544644431</v>
      </c>
      <c r="J30" s="927">
        <f t="shared" si="3"/>
        <v>1.3880544544644431</v>
      </c>
      <c r="K30" s="927">
        <f t="shared" si="3"/>
        <v>1.3880544544644431</v>
      </c>
      <c r="L30" s="927">
        <f t="shared" si="3"/>
        <v>1.3880544544644431</v>
      </c>
      <c r="M30" s="927">
        <f t="shared" si="3"/>
        <v>1.3880544544644431</v>
      </c>
      <c r="N30" s="927">
        <f t="shared" si="3"/>
        <v>1.3880544544644431</v>
      </c>
      <c r="O30" s="927">
        <f t="shared" si="3"/>
        <v>1.3880544544644431</v>
      </c>
      <c r="P30" s="927">
        <f t="shared" si="3"/>
        <v>1.3880544544644431</v>
      </c>
      <c r="Q30" s="927">
        <f t="shared" si="3"/>
        <v>1.3880544544644431</v>
      </c>
      <c r="R30" s="927">
        <f t="shared" si="3"/>
        <v>1.3880544544644431</v>
      </c>
      <c r="S30" s="927">
        <f t="shared" si="3"/>
        <v>1.3880544544644431</v>
      </c>
      <c r="T30" s="927">
        <f t="shared" si="3"/>
        <v>1.3880544544644431</v>
      </c>
      <c r="U30" s="927">
        <f t="shared" si="3"/>
        <v>1.3880544544644431</v>
      </c>
      <c r="V30" s="927">
        <f t="shared" si="3"/>
        <v>1.3880544544644431</v>
      </c>
      <c r="W30" s="927">
        <f t="shared" si="3"/>
        <v>1.3880544544644431</v>
      </c>
      <c r="X30" s="927">
        <f t="shared" si="3"/>
        <v>1.3880544544644431</v>
      </c>
      <c r="Y30" s="927">
        <f t="shared" si="3"/>
        <v>1.3880544544644431</v>
      </c>
      <c r="Z30" s="927">
        <f t="shared" si="3"/>
        <v>1.3880544544644431</v>
      </c>
      <c r="AA30" s="927">
        <f t="shared" si="3"/>
        <v>1.3880544544644431</v>
      </c>
      <c r="AB30" s="927">
        <f t="shared" si="3"/>
        <v>1.3880544544644431</v>
      </c>
      <c r="AC30" s="927">
        <f t="shared" si="4"/>
        <v>1.3880544544644431</v>
      </c>
      <c r="AD30" s="927">
        <f t="shared" si="4"/>
        <v>1.3880544544644431</v>
      </c>
      <c r="AE30" s="927">
        <f t="shared" ref="AE30:AE44" si="5">+$D30/24</f>
        <v>1.3880544544644431</v>
      </c>
      <c r="AF30" s="927"/>
      <c r="AG30" s="927"/>
      <c r="AH30" s="927"/>
      <c r="AI30" s="927"/>
      <c r="AJ30" s="927"/>
      <c r="AK30" s="927"/>
      <c r="AL30" s="927"/>
      <c r="AM30" s="927"/>
      <c r="AN30" s="927"/>
      <c r="AO30" s="927"/>
      <c r="AP30" s="927"/>
      <c r="AQ30" s="927"/>
      <c r="AR30" s="927"/>
      <c r="AS30" s="927"/>
    </row>
    <row r="31" spans="1:128" x14ac:dyDescent="0.3">
      <c r="A31" s="923">
        <v>42156</v>
      </c>
      <c r="B31" s="928">
        <v>104680</v>
      </c>
      <c r="C31" s="929">
        <v>237.96579023906102</v>
      </c>
      <c r="D31" s="930">
        <f t="shared" si="1"/>
        <v>24.910258922224909</v>
      </c>
      <c r="E31" s="931"/>
      <c r="F31" s="931"/>
      <c r="G31" s="931"/>
      <c r="H31" s="931"/>
      <c r="I31" s="927">
        <f>+$D31/24</f>
        <v>1.0379274550927045</v>
      </c>
      <c r="J31" s="927">
        <f t="shared" si="3"/>
        <v>1.0379274550927045</v>
      </c>
      <c r="K31" s="927">
        <f t="shared" si="3"/>
        <v>1.0379274550927045</v>
      </c>
      <c r="L31" s="927">
        <f t="shared" si="3"/>
        <v>1.0379274550927045</v>
      </c>
      <c r="M31" s="927">
        <f t="shared" si="3"/>
        <v>1.0379274550927045</v>
      </c>
      <c r="N31" s="927">
        <f t="shared" si="3"/>
        <v>1.0379274550927045</v>
      </c>
      <c r="O31" s="927">
        <f t="shared" si="3"/>
        <v>1.0379274550927045</v>
      </c>
      <c r="P31" s="927">
        <f t="shared" si="3"/>
        <v>1.0379274550927045</v>
      </c>
      <c r="Q31" s="927">
        <f t="shared" si="3"/>
        <v>1.0379274550927045</v>
      </c>
      <c r="R31" s="927">
        <f t="shared" si="3"/>
        <v>1.0379274550927045</v>
      </c>
      <c r="S31" s="927">
        <f t="shared" si="3"/>
        <v>1.0379274550927045</v>
      </c>
      <c r="T31" s="927">
        <f t="shared" si="3"/>
        <v>1.0379274550927045</v>
      </c>
      <c r="U31" s="927">
        <f t="shared" si="3"/>
        <v>1.0379274550927045</v>
      </c>
      <c r="V31" s="927">
        <f t="shared" si="3"/>
        <v>1.0379274550927045</v>
      </c>
      <c r="W31" s="927">
        <f t="shared" si="3"/>
        <v>1.0379274550927045</v>
      </c>
      <c r="X31" s="927">
        <f t="shared" si="3"/>
        <v>1.0379274550927045</v>
      </c>
      <c r="Y31" s="927">
        <f t="shared" si="3"/>
        <v>1.0379274550927045</v>
      </c>
      <c r="Z31" s="927">
        <f t="shared" si="3"/>
        <v>1.0379274550927045</v>
      </c>
      <c r="AA31" s="927">
        <f t="shared" si="3"/>
        <v>1.0379274550927045</v>
      </c>
      <c r="AB31" s="927">
        <f t="shared" si="3"/>
        <v>1.0379274550927045</v>
      </c>
      <c r="AC31" s="927">
        <f t="shared" si="4"/>
        <v>1.0379274550927045</v>
      </c>
      <c r="AD31" s="927">
        <f t="shared" si="4"/>
        <v>1.0379274550927045</v>
      </c>
      <c r="AE31" s="927">
        <f t="shared" si="5"/>
        <v>1.0379274550927045</v>
      </c>
      <c r="AF31" s="927">
        <f t="shared" ref="AF31:AF44" si="6">+$D31/24</f>
        <v>1.0379274550927045</v>
      </c>
      <c r="AG31" s="927"/>
      <c r="AH31" s="927"/>
      <c r="AI31" s="927"/>
      <c r="AJ31" s="927"/>
      <c r="AK31" s="927"/>
      <c r="AL31" s="927"/>
      <c r="AM31" s="927"/>
      <c r="AN31" s="927"/>
      <c r="AO31" s="927"/>
      <c r="AP31" s="927"/>
      <c r="AQ31" s="927"/>
      <c r="AR31" s="927"/>
      <c r="AS31" s="927"/>
    </row>
    <row r="32" spans="1:128" x14ac:dyDescent="0.3">
      <c r="A32" s="923">
        <v>42186</v>
      </c>
      <c r="B32" s="928">
        <v>140315</v>
      </c>
      <c r="C32" s="929">
        <v>237.96579023906102</v>
      </c>
      <c r="D32" s="930">
        <f t="shared" si="1"/>
        <v>33.390169857393843</v>
      </c>
      <c r="E32" s="931"/>
      <c r="F32" s="931"/>
      <c r="G32" s="931"/>
      <c r="H32" s="931"/>
      <c r="I32" s="931"/>
      <c r="J32" s="927">
        <f>+$D32/24</f>
        <v>1.3912570773914101</v>
      </c>
      <c r="K32" s="927">
        <f t="shared" si="3"/>
        <v>1.3912570773914101</v>
      </c>
      <c r="L32" s="927">
        <f t="shared" si="3"/>
        <v>1.3912570773914101</v>
      </c>
      <c r="M32" s="927">
        <f t="shared" si="3"/>
        <v>1.3912570773914101</v>
      </c>
      <c r="N32" s="927">
        <f t="shared" si="3"/>
        <v>1.3912570773914101</v>
      </c>
      <c r="O32" s="927">
        <f t="shared" si="3"/>
        <v>1.3912570773914101</v>
      </c>
      <c r="P32" s="927">
        <f t="shared" si="3"/>
        <v>1.3912570773914101</v>
      </c>
      <c r="Q32" s="927">
        <f t="shared" si="3"/>
        <v>1.3912570773914101</v>
      </c>
      <c r="R32" s="927">
        <f t="shared" si="3"/>
        <v>1.3912570773914101</v>
      </c>
      <c r="S32" s="927">
        <f t="shared" si="3"/>
        <v>1.3912570773914101</v>
      </c>
      <c r="T32" s="927">
        <f t="shared" si="3"/>
        <v>1.3912570773914101</v>
      </c>
      <c r="U32" s="927">
        <f t="shared" si="3"/>
        <v>1.3912570773914101</v>
      </c>
      <c r="V32" s="927">
        <f t="shared" si="3"/>
        <v>1.3912570773914101</v>
      </c>
      <c r="W32" s="927">
        <f t="shared" si="3"/>
        <v>1.3912570773914101</v>
      </c>
      <c r="X32" s="927">
        <f t="shared" si="3"/>
        <v>1.3912570773914101</v>
      </c>
      <c r="Y32" s="927">
        <f t="shared" si="3"/>
        <v>1.3912570773914101</v>
      </c>
      <c r="Z32" s="927">
        <f t="shared" si="3"/>
        <v>1.3912570773914101</v>
      </c>
      <c r="AA32" s="927">
        <f t="shared" si="3"/>
        <v>1.3912570773914101</v>
      </c>
      <c r="AB32" s="927">
        <f t="shared" si="3"/>
        <v>1.3912570773914101</v>
      </c>
      <c r="AC32" s="927">
        <f t="shared" si="4"/>
        <v>1.3912570773914101</v>
      </c>
      <c r="AD32" s="927">
        <f t="shared" si="4"/>
        <v>1.3912570773914101</v>
      </c>
      <c r="AE32" s="927">
        <f t="shared" si="5"/>
        <v>1.3912570773914101</v>
      </c>
      <c r="AF32" s="927">
        <f t="shared" si="6"/>
        <v>1.3912570773914101</v>
      </c>
      <c r="AG32" s="927">
        <f t="shared" ref="AG32:AG44" si="7">+$D32/24</f>
        <v>1.3912570773914101</v>
      </c>
    </row>
    <row r="33" spans="1:49" x14ac:dyDescent="0.3">
      <c r="A33" s="923">
        <v>42217</v>
      </c>
      <c r="B33" s="928">
        <v>149082</v>
      </c>
      <c r="C33" s="929">
        <v>237.96579023906102</v>
      </c>
      <c r="D33" s="930">
        <f t="shared" si="1"/>
        <v>35.476415940419699</v>
      </c>
      <c r="E33" s="931"/>
      <c r="F33" s="931"/>
      <c r="G33" s="931"/>
      <c r="H33" s="931"/>
      <c r="I33" s="931"/>
      <c r="J33" s="931"/>
      <c r="K33" s="927">
        <f>+$D33/24</f>
        <v>1.4781839975174875</v>
      </c>
      <c r="L33" s="927">
        <f t="shared" si="3"/>
        <v>1.4781839975174875</v>
      </c>
      <c r="M33" s="927">
        <f t="shared" si="3"/>
        <v>1.4781839975174875</v>
      </c>
      <c r="N33" s="927">
        <f t="shared" si="3"/>
        <v>1.4781839975174875</v>
      </c>
      <c r="O33" s="927">
        <f t="shared" si="3"/>
        <v>1.4781839975174875</v>
      </c>
      <c r="P33" s="927">
        <f t="shared" si="3"/>
        <v>1.4781839975174875</v>
      </c>
      <c r="Q33" s="927">
        <f t="shared" si="3"/>
        <v>1.4781839975174875</v>
      </c>
      <c r="R33" s="927">
        <f t="shared" si="3"/>
        <v>1.4781839975174875</v>
      </c>
      <c r="S33" s="927">
        <f t="shared" si="3"/>
        <v>1.4781839975174875</v>
      </c>
      <c r="T33" s="927">
        <f t="shared" si="3"/>
        <v>1.4781839975174875</v>
      </c>
      <c r="U33" s="927">
        <f t="shared" si="3"/>
        <v>1.4781839975174875</v>
      </c>
      <c r="V33" s="927">
        <f t="shared" si="3"/>
        <v>1.4781839975174875</v>
      </c>
      <c r="W33" s="927">
        <f t="shared" si="3"/>
        <v>1.4781839975174875</v>
      </c>
      <c r="X33" s="927">
        <f t="shared" si="3"/>
        <v>1.4781839975174875</v>
      </c>
      <c r="Y33" s="927">
        <f t="shared" si="3"/>
        <v>1.4781839975174875</v>
      </c>
      <c r="Z33" s="927">
        <f t="shared" si="3"/>
        <v>1.4781839975174875</v>
      </c>
      <c r="AA33" s="927">
        <f t="shared" si="3"/>
        <v>1.4781839975174875</v>
      </c>
      <c r="AB33" s="927">
        <f t="shared" si="3"/>
        <v>1.4781839975174875</v>
      </c>
      <c r="AC33" s="927">
        <f t="shared" si="4"/>
        <v>1.4781839975174875</v>
      </c>
      <c r="AD33" s="927">
        <f t="shared" si="4"/>
        <v>1.4781839975174875</v>
      </c>
      <c r="AE33" s="927">
        <f t="shared" si="5"/>
        <v>1.4781839975174875</v>
      </c>
      <c r="AF33" s="927">
        <f t="shared" si="6"/>
        <v>1.4781839975174875</v>
      </c>
      <c r="AG33" s="927">
        <f t="shared" si="7"/>
        <v>1.4781839975174875</v>
      </c>
      <c r="AH33" s="927">
        <f t="shared" ref="AH33:AH44" si="8">+$D33/24</f>
        <v>1.4781839975174875</v>
      </c>
    </row>
    <row r="34" spans="1:49" x14ac:dyDescent="0.3">
      <c r="A34" s="923">
        <v>42248</v>
      </c>
      <c r="B34" s="928">
        <v>139574</v>
      </c>
      <c r="C34" s="929">
        <v>237.96579023906102</v>
      </c>
      <c r="D34" s="930">
        <f t="shared" si="1"/>
        <v>33.213837206826703</v>
      </c>
      <c r="E34" s="931"/>
      <c r="F34" s="931"/>
      <c r="G34" s="931"/>
      <c r="H34" s="931"/>
      <c r="I34" s="931"/>
      <c r="J34" s="931"/>
      <c r="K34" s="931"/>
      <c r="L34" s="927">
        <f>+$D34/24</f>
        <v>1.3839098836177792</v>
      </c>
      <c r="M34" s="927">
        <f t="shared" si="3"/>
        <v>1.3839098836177792</v>
      </c>
      <c r="N34" s="927">
        <f t="shared" si="3"/>
        <v>1.3839098836177792</v>
      </c>
      <c r="O34" s="927">
        <f t="shared" si="3"/>
        <v>1.3839098836177792</v>
      </c>
      <c r="P34" s="927">
        <f t="shared" si="3"/>
        <v>1.3839098836177792</v>
      </c>
      <c r="Q34" s="927">
        <f t="shared" si="3"/>
        <v>1.3839098836177792</v>
      </c>
      <c r="R34" s="927">
        <f t="shared" si="3"/>
        <v>1.3839098836177792</v>
      </c>
      <c r="S34" s="927">
        <f t="shared" si="3"/>
        <v>1.3839098836177792</v>
      </c>
      <c r="T34" s="927">
        <f t="shared" si="3"/>
        <v>1.3839098836177792</v>
      </c>
      <c r="U34" s="927">
        <f t="shared" si="3"/>
        <v>1.3839098836177792</v>
      </c>
      <c r="V34" s="927">
        <f t="shared" si="3"/>
        <v>1.3839098836177792</v>
      </c>
      <c r="W34" s="927">
        <f t="shared" si="3"/>
        <v>1.3839098836177792</v>
      </c>
      <c r="X34" s="927">
        <f t="shared" si="3"/>
        <v>1.3839098836177792</v>
      </c>
      <c r="Y34" s="927">
        <f t="shared" si="3"/>
        <v>1.3839098836177792</v>
      </c>
      <c r="Z34" s="927">
        <f t="shared" si="3"/>
        <v>1.3839098836177792</v>
      </c>
      <c r="AA34" s="927">
        <f t="shared" si="3"/>
        <v>1.3839098836177792</v>
      </c>
      <c r="AB34" s="927">
        <f t="shared" si="3"/>
        <v>1.3839098836177792</v>
      </c>
      <c r="AC34" s="927">
        <f t="shared" si="4"/>
        <v>1.3839098836177792</v>
      </c>
      <c r="AD34" s="927">
        <f t="shared" si="4"/>
        <v>1.3839098836177792</v>
      </c>
      <c r="AE34" s="927">
        <f t="shared" si="5"/>
        <v>1.3839098836177792</v>
      </c>
      <c r="AF34" s="927">
        <f t="shared" si="6"/>
        <v>1.3839098836177792</v>
      </c>
      <c r="AG34" s="927">
        <f t="shared" si="7"/>
        <v>1.3839098836177792</v>
      </c>
      <c r="AH34" s="927">
        <f t="shared" si="8"/>
        <v>1.3839098836177792</v>
      </c>
      <c r="AI34" s="927">
        <f t="shared" ref="AI34:AI44" si="9">+$D34/24</f>
        <v>1.3839098836177792</v>
      </c>
      <c r="AJ34" s="927"/>
      <c r="AK34" s="927"/>
      <c r="AL34" s="927"/>
      <c r="AM34" s="927"/>
      <c r="AN34" s="927"/>
      <c r="AO34" s="927"/>
      <c r="AP34" s="927"/>
      <c r="AQ34" s="927"/>
      <c r="AR34" s="927"/>
      <c r="AS34" s="927"/>
    </row>
    <row r="35" spans="1:49" x14ac:dyDescent="0.3">
      <c r="A35" s="923">
        <v>42278</v>
      </c>
      <c r="B35" s="928">
        <v>161023</v>
      </c>
      <c r="C35" s="929">
        <v>237.96579023906102</v>
      </c>
      <c r="D35" s="930">
        <f t="shared" si="1"/>
        <v>38.31796544166432</v>
      </c>
      <c r="E35" s="931"/>
      <c r="F35" s="931"/>
      <c r="G35" s="931"/>
      <c r="H35" s="931"/>
      <c r="I35" s="931"/>
      <c r="J35" s="931"/>
      <c r="K35" s="931"/>
      <c r="L35" s="931"/>
      <c r="M35" s="927">
        <f>+$D35/24</f>
        <v>1.5965818934026801</v>
      </c>
      <c r="N35" s="927">
        <f t="shared" si="3"/>
        <v>1.5965818934026801</v>
      </c>
      <c r="O35" s="927">
        <f t="shared" si="3"/>
        <v>1.5965818934026801</v>
      </c>
      <c r="P35" s="927">
        <f t="shared" si="3"/>
        <v>1.5965818934026801</v>
      </c>
      <c r="Q35" s="927">
        <f t="shared" si="3"/>
        <v>1.5965818934026801</v>
      </c>
      <c r="R35" s="927">
        <f t="shared" si="3"/>
        <v>1.5965818934026801</v>
      </c>
      <c r="S35" s="927">
        <f t="shared" si="3"/>
        <v>1.5965818934026801</v>
      </c>
      <c r="T35" s="927">
        <f t="shared" si="3"/>
        <v>1.5965818934026801</v>
      </c>
      <c r="U35" s="927">
        <f t="shared" si="3"/>
        <v>1.5965818934026801</v>
      </c>
      <c r="V35" s="927">
        <f t="shared" si="3"/>
        <v>1.5965818934026801</v>
      </c>
      <c r="W35" s="927">
        <f t="shared" si="3"/>
        <v>1.5965818934026801</v>
      </c>
      <c r="X35" s="927">
        <f t="shared" si="3"/>
        <v>1.5965818934026801</v>
      </c>
      <c r="Y35" s="927">
        <f t="shared" si="3"/>
        <v>1.5965818934026801</v>
      </c>
      <c r="Z35" s="927">
        <f t="shared" si="3"/>
        <v>1.5965818934026801</v>
      </c>
      <c r="AA35" s="927">
        <f t="shared" si="3"/>
        <v>1.5965818934026801</v>
      </c>
      <c r="AB35" s="927">
        <f t="shared" si="3"/>
        <v>1.5965818934026801</v>
      </c>
      <c r="AC35" s="927">
        <f t="shared" si="4"/>
        <v>1.5965818934026801</v>
      </c>
      <c r="AD35" s="927">
        <f t="shared" si="4"/>
        <v>1.5965818934026801</v>
      </c>
      <c r="AE35" s="927">
        <f t="shared" si="5"/>
        <v>1.5965818934026801</v>
      </c>
      <c r="AF35" s="927">
        <f t="shared" si="6"/>
        <v>1.5965818934026801</v>
      </c>
      <c r="AG35" s="927">
        <f t="shared" si="7"/>
        <v>1.5965818934026801</v>
      </c>
      <c r="AH35" s="927">
        <f t="shared" si="8"/>
        <v>1.5965818934026801</v>
      </c>
      <c r="AI35" s="927">
        <f t="shared" si="9"/>
        <v>1.5965818934026801</v>
      </c>
      <c r="AJ35" s="927">
        <f t="shared" ref="AJ35:AJ44" si="10">+$D35/24</f>
        <v>1.5965818934026801</v>
      </c>
      <c r="AK35" s="927"/>
      <c r="AL35" s="927"/>
      <c r="AM35" s="927"/>
      <c r="AN35" s="927"/>
      <c r="AO35" s="927"/>
      <c r="AP35" s="927"/>
      <c r="AQ35" s="927"/>
      <c r="AR35" s="927"/>
      <c r="AS35" s="927"/>
    </row>
    <row r="36" spans="1:49" x14ac:dyDescent="0.3">
      <c r="A36" s="923">
        <v>42309</v>
      </c>
      <c r="B36" s="928">
        <v>156652</v>
      </c>
      <c r="C36" s="929">
        <v>237.96579023906102</v>
      </c>
      <c r="D36" s="930">
        <f t="shared" si="1"/>
        <v>37.277816972529386</v>
      </c>
      <c r="E36" s="931"/>
      <c r="F36" s="931"/>
      <c r="G36" s="931"/>
      <c r="H36" s="931"/>
      <c r="I36" s="931"/>
      <c r="J36" s="931"/>
      <c r="K36" s="931"/>
      <c r="L36" s="931"/>
      <c r="M36" s="931"/>
      <c r="N36" s="927">
        <f>+$D36/24</f>
        <v>1.5532423738553911</v>
      </c>
      <c r="O36" s="927">
        <f t="shared" si="3"/>
        <v>1.5532423738553911</v>
      </c>
      <c r="P36" s="927">
        <f t="shared" si="3"/>
        <v>1.5532423738553911</v>
      </c>
      <c r="Q36" s="927">
        <f t="shared" si="3"/>
        <v>1.5532423738553911</v>
      </c>
      <c r="R36" s="927">
        <f t="shared" si="3"/>
        <v>1.5532423738553911</v>
      </c>
      <c r="S36" s="927">
        <f t="shared" si="3"/>
        <v>1.5532423738553911</v>
      </c>
      <c r="T36" s="927">
        <f t="shared" si="3"/>
        <v>1.5532423738553911</v>
      </c>
      <c r="U36" s="927">
        <f t="shared" si="3"/>
        <v>1.5532423738553911</v>
      </c>
      <c r="V36" s="927">
        <f t="shared" si="3"/>
        <v>1.5532423738553911</v>
      </c>
      <c r="W36" s="927">
        <f t="shared" si="3"/>
        <v>1.5532423738553911</v>
      </c>
      <c r="X36" s="927">
        <f t="shared" si="3"/>
        <v>1.5532423738553911</v>
      </c>
      <c r="Y36" s="927">
        <f t="shared" si="3"/>
        <v>1.5532423738553911</v>
      </c>
      <c r="Z36" s="927">
        <f t="shared" si="3"/>
        <v>1.5532423738553911</v>
      </c>
      <c r="AA36" s="927">
        <f t="shared" si="3"/>
        <v>1.5532423738553911</v>
      </c>
      <c r="AB36" s="927">
        <f t="shared" si="3"/>
        <v>1.5532423738553911</v>
      </c>
      <c r="AC36" s="927">
        <f t="shared" si="4"/>
        <v>1.5532423738553911</v>
      </c>
      <c r="AD36" s="927">
        <f t="shared" si="4"/>
        <v>1.5532423738553911</v>
      </c>
      <c r="AE36" s="927">
        <f t="shared" si="5"/>
        <v>1.5532423738553911</v>
      </c>
      <c r="AF36" s="927">
        <f t="shared" si="6"/>
        <v>1.5532423738553911</v>
      </c>
      <c r="AG36" s="927">
        <f t="shared" si="7"/>
        <v>1.5532423738553911</v>
      </c>
      <c r="AH36" s="927">
        <f t="shared" si="8"/>
        <v>1.5532423738553911</v>
      </c>
      <c r="AI36" s="927">
        <f t="shared" si="9"/>
        <v>1.5532423738553911</v>
      </c>
      <c r="AJ36" s="927">
        <f t="shared" si="10"/>
        <v>1.5532423738553911</v>
      </c>
      <c r="AK36" s="927">
        <f t="shared" ref="AK36:AK44" si="11">+$D36/24</f>
        <v>1.5532423738553911</v>
      </c>
      <c r="AL36" s="927"/>
      <c r="AM36" s="927"/>
      <c r="AN36" s="927"/>
      <c r="AO36" s="927"/>
      <c r="AP36" s="927"/>
      <c r="AQ36" s="927"/>
      <c r="AR36" s="927"/>
      <c r="AS36" s="927"/>
    </row>
    <row r="37" spans="1:49" x14ac:dyDescent="0.3">
      <c r="A37" s="923">
        <v>42339</v>
      </c>
      <c r="B37" s="928">
        <v>125114</v>
      </c>
      <c r="C37" s="929">
        <v>237.96579023906102</v>
      </c>
      <c r="D37" s="930">
        <f t="shared" si="1"/>
        <v>29.772851879969881</v>
      </c>
      <c r="E37" s="931"/>
      <c r="F37" s="931"/>
      <c r="G37" s="931"/>
      <c r="H37" s="931"/>
      <c r="I37" s="931"/>
      <c r="J37" s="931"/>
      <c r="K37" s="931"/>
      <c r="L37" s="931"/>
      <c r="M37" s="931"/>
      <c r="N37" s="931"/>
      <c r="O37" s="927">
        <f>+$D37/24</f>
        <v>1.240535494998745</v>
      </c>
      <c r="P37" s="927">
        <f t="shared" si="3"/>
        <v>1.240535494998745</v>
      </c>
      <c r="Q37" s="927">
        <f t="shared" si="3"/>
        <v>1.240535494998745</v>
      </c>
      <c r="R37" s="927">
        <f t="shared" si="3"/>
        <v>1.240535494998745</v>
      </c>
      <c r="S37" s="927">
        <f t="shared" si="3"/>
        <v>1.240535494998745</v>
      </c>
      <c r="T37" s="927">
        <f t="shared" si="3"/>
        <v>1.240535494998745</v>
      </c>
      <c r="U37" s="927">
        <f t="shared" si="3"/>
        <v>1.240535494998745</v>
      </c>
      <c r="V37" s="927">
        <f t="shared" si="3"/>
        <v>1.240535494998745</v>
      </c>
      <c r="W37" s="927">
        <f t="shared" si="3"/>
        <v>1.240535494998745</v>
      </c>
      <c r="X37" s="927">
        <f t="shared" si="3"/>
        <v>1.240535494998745</v>
      </c>
      <c r="Y37" s="927">
        <f t="shared" si="3"/>
        <v>1.240535494998745</v>
      </c>
      <c r="Z37" s="927">
        <f t="shared" si="3"/>
        <v>1.240535494998745</v>
      </c>
      <c r="AA37" s="927">
        <f t="shared" si="3"/>
        <v>1.240535494998745</v>
      </c>
      <c r="AB37" s="927">
        <f t="shared" si="3"/>
        <v>1.240535494998745</v>
      </c>
      <c r="AC37" s="927">
        <f t="shared" si="4"/>
        <v>1.240535494998745</v>
      </c>
      <c r="AD37" s="927">
        <f t="shared" si="4"/>
        <v>1.240535494998745</v>
      </c>
      <c r="AE37" s="927">
        <f t="shared" si="5"/>
        <v>1.240535494998745</v>
      </c>
      <c r="AF37" s="927">
        <f t="shared" si="6"/>
        <v>1.240535494998745</v>
      </c>
      <c r="AG37" s="927">
        <f t="shared" si="7"/>
        <v>1.240535494998745</v>
      </c>
      <c r="AH37" s="927">
        <f t="shared" si="8"/>
        <v>1.240535494998745</v>
      </c>
      <c r="AI37" s="927">
        <f t="shared" si="9"/>
        <v>1.240535494998745</v>
      </c>
      <c r="AJ37" s="927">
        <f t="shared" si="10"/>
        <v>1.240535494998745</v>
      </c>
      <c r="AK37" s="927">
        <f t="shared" si="11"/>
        <v>1.240535494998745</v>
      </c>
      <c r="AL37" s="927">
        <f t="shared" ref="AL37:AL44" si="12">+$D37/24</f>
        <v>1.240535494998745</v>
      </c>
      <c r="AM37" s="927"/>
      <c r="AN37" s="927"/>
      <c r="AO37" s="927"/>
      <c r="AP37" s="927"/>
      <c r="AQ37" s="927"/>
      <c r="AR37" s="927"/>
      <c r="AS37" s="927"/>
    </row>
    <row r="38" spans="1:49" x14ac:dyDescent="0.3">
      <c r="A38" s="923">
        <v>42370</v>
      </c>
      <c r="B38" s="928">
        <v>127367</v>
      </c>
      <c r="C38" s="929">
        <v>237.96579023906102</v>
      </c>
      <c r="D38" s="930">
        <f t="shared" si="1"/>
        <v>30.308988805378487</v>
      </c>
      <c r="E38" s="931"/>
      <c r="F38" s="931"/>
      <c r="G38" s="931"/>
      <c r="H38" s="931"/>
      <c r="I38" s="931"/>
      <c r="J38" s="931"/>
      <c r="K38" s="931"/>
      <c r="L38" s="931"/>
      <c r="M38" s="931"/>
      <c r="N38" s="931"/>
      <c r="O38" s="931"/>
      <c r="P38" s="927">
        <f>+$D38/24</f>
        <v>1.262874533557437</v>
      </c>
      <c r="Q38" s="927">
        <f t="shared" si="3"/>
        <v>1.262874533557437</v>
      </c>
      <c r="R38" s="927">
        <f t="shared" si="3"/>
        <v>1.262874533557437</v>
      </c>
      <c r="S38" s="927">
        <f t="shared" si="3"/>
        <v>1.262874533557437</v>
      </c>
      <c r="T38" s="927">
        <f t="shared" si="3"/>
        <v>1.262874533557437</v>
      </c>
      <c r="U38" s="927">
        <f t="shared" si="3"/>
        <v>1.262874533557437</v>
      </c>
      <c r="V38" s="927">
        <f t="shared" si="3"/>
        <v>1.262874533557437</v>
      </c>
      <c r="W38" s="927">
        <f t="shared" si="3"/>
        <v>1.262874533557437</v>
      </c>
      <c r="X38" s="927">
        <f t="shared" si="3"/>
        <v>1.262874533557437</v>
      </c>
      <c r="Y38" s="927">
        <f t="shared" si="3"/>
        <v>1.262874533557437</v>
      </c>
      <c r="Z38" s="927">
        <f t="shared" si="3"/>
        <v>1.262874533557437</v>
      </c>
      <c r="AA38" s="927">
        <f t="shared" si="3"/>
        <v>1.262874533557437</v>
      </c>
      <c r="AB38" s="927">
        <f t="shared" si="3"/>
        <v>1.262874533557437</v>
      </c>
      <c r="AC38" s="927">
        <f t="shared" si="4"/>
        <v>1.262874533557437</v>
      </c>
      <c r="AD38" s="927">
        <f t="shared" si="4"/>
        <v>1.262874533557437</v>
      </c>
      <c r="AE38" s="927">
        <f t="shared" si="5"/>
        <v>1.262874533557437</v>
      </c>
      <c r="AF38" s="927">
        <f t="shared" si="6"/>
        <v>1.262874533557437</v>
      </c>
      <c r="AG38" s="927">
        <f t="shared" si="7"/>
        <v>1.262874533557437</v>
      </c>
      <c r="AH38" s="927">
        <f t="shared" si="8"/>
        <v>1.262874533557437</v>
      </c>
      <c r="AI38" s="927">
        <f t="shared" si="9"/>
        <v>1.262874533557437</v>
      </c>
      <c r="AJ38" s="927">
        <f t="shared" si="10"/>
        <v>1.262874533557437</v>
      </c>
      <c r="AK38" s="927">
        <f t="shared" si="11"/>
        <v>1.262874533557437</v>
      </c>
      <c r="AL38" s="927">
        <f t="shared" si="12"/>
        <v>1.262874533557437</v>
      </c>
      <c r="AM38" s="927">
        <f t="shared" ref="AM38:AM44" si="13">+$D38/24</f>
        <v>1.262874533557437</v>
      </c>
      <c r="AN38" s="927"/>
      <c r="AO38" s="927"/>
      <c r="AP38" s="927"/>
      <c r="AQ38" s="927"/>
      <c r="AR38" s="927"/>
      <c r="AS38" s="927"/>
    </row>
    <row r="39" spans="1:49" x14ac:dyDescent="0.3">
      <c r="A39" s="923">
        <v>42401</v>
      </c>
      <c r="B39" s="928">
        <v>151143</v>
      </c>
      <c r="C39" s="929">
        <v>237.96579023906102</v>
      </c>
      <c r="D39" s="930">
        <f t="shared" si="1"/>
        <v>35.9668634341024</v>
      </c>
      <c r="E39" s="931"/>
      <c r="F39" s="931"/>
      <c r="G39" s="931"/>
      <c r="H39" s="931"/>
      <c r="I39" s="931"/>
      <c r="J39" s="931"/>
      <c r="K39" s="931"/>
      <c r="L39" s="931"/>
      <c r="M39" s="931"/>
      <c r="N39" s="931"/>
      <c r="O39" s="931"/>
      <c r="P39" s="931"/>
      <c r="Q39" s="927">
        <f>+$D39/24</f>
        <v>1.4986193097542666</v>
      </c>
      <c r="R39" s="927">
        <f t="shared" si="3"/>
        <v>1.4986193097542666</v>
      </c>
      <c r="S39" s="927">
        <f t="shared" si="3"/>
        <v>1.4986193097542666</v>
      </c>
      <c r="T39" s="927">
        <f t="shared" si="3"/>
        <v>1.4986193097542666</v>
      </c>
      <c r="U39" s="927">
        <f t="shared" si="3"/>
        <v>1.4986193097542666</v>
      </c>
      <c r="V39" s="927">
        <f t="shared" si="3"/>
        <v>1.4986193097542666</v>
      </c>
      <c r="W39" s="927">
        <f t="shared" si="3"/>
        <v>1.4986193097542666</v>
      </c>
      <c r="X39" s="927">
        <f t="shared" si="3"/>
        <v>1.4986193097542666</v>
      </c>
      <c r="Y39" s="927">
        <f t="shared" si="3"/>
        <v>1.4986193097542666</v>
      </c>
      <c r="Z39" s="927">
        <f t="shared" si="3"/>
        <v>1.4986193097542666</v>
      </c>
      <c r="AA39" s="927">
        <f t="shared" si="3"/>
        <v>1.4986193097542666</v>
      </c>
      <c r="AB39" s="927">
        <f t="shared" si="3"/>
        <v>1.4986193097542666</v>
      </c>
      <c r="AC39" s="927">
        <f t="shared" si="4"/>
        <v>1.4986193097542666</v>
      </c>
      <c r="AD39" s="927">
        <f t="shared" si="4"/>
        <v>1.4986193097542666</v>
      </c>
      <c r="AE39" s="927">
        <f t="shared" si="5"/>
        <v>1.4986193097542666</v>
      </c>
      <c r="AF39" s="927">
        <f t="shared" si="6"/>
        <v>1.4986193097542666</v>
      </c>
      <c r="AG39" s="927">
        <f t="shared" si="7"/>
        <v>1.4986193097542666</v>
      </c>
      <c r="AH39" s="927">
        <f t="shared" si="8"/>
        <v>1.4986193097542666</v>
      </c>
      <c r="AI39" s="927">
        <f t="shared" si="9"/>
        <v>1.4986193097542666</v>
      </c>
      <c r="AJ39" s="927">
        <f t="shared" si="10"/>
        <v>1.4986193097542666</v>
      </c>
      <c r="AK39" s="927">
        <f t="shared" si="11"/>
        <v>1.4986193097542666</v>
      </c>
      <c r="AL39" s="927">
        <f t="shared" si="12"/>
        <v>1.4986193097542666</v>
      </c>
      <c r="AM39" s="927">
        <f t="shared" si="13"/>
        <v>1.4986193097542666</v>
      </c>
      <c r="AN39" s="927">
        <f t="shared" ref="AN39:AN44" si="14">+$D39/24</f>
        <v>1.4986193097542666</v>
      </c>
      <c r="AO39" s="927"/>
      <c r="AP39" s="927"/>
      <c r="AQ39" s="927"/>
      <c r="AR39" s="927"/>
      <c r="AS39" s="927"/>
    </row>
    <row r="40" spans="1:49" x14ac:dyDescent="0.3">
      <c r="A40" s="923">
        <v>42430</v>
      </c>
      <c r="B40" s="928">
        <v>152340</v>
      </c>
      <c r="C40" s="929">
        <v>237.96579023906102</v>
      </c>
      <c r="D40" s="930">
        <f t="shared" si="1"/>
        <v>36.251708485018561</v>
      </c>
      <c r="E40" s="931"/>
      <c r="F40" s="931"/>
      <c r="G40" s="931"/>
      <c r="H40" s="931"/>
      <c r="I40" s="931"/>
      <c r="J40" s="931"/>
      <c r="K40" s="931"/>
      <c r="L40" s="931"/>
      <c r="M40" s="931"/>
      <c r="N40" s="931"/>
      <c r="O40" s="931"/>
      <c r="P40" s="931"/>
      <c r="Q40" s="931"/>
      <c r="R40" s="927">
        <f>+$D40/24</f>
        <v>1.51048785354244</v>
      </c>
      <c r="S40" s="927">
        <f t="shared" si="3"/>
        <v>1.51048785354244</v>
      </c>
      <c r="T40" s="927">
        <f t="shared" si="3"/>
        <v>1.51048785354244</v>
      </c>
      <c r="U40" s="927">
        <f t="shared" si="3"/>
        <v>1.51048785354244</v>
      </c>
      <c r="V40" s="927">
        <f t="shared" si="3"/>
        <v>1.51048785354244</v>
      </c>
      <c r="W40" s="927">
        <f t="shared" si="3"/>
        <v>1.51048785354244</v>
      </c>
      <c r="X40" s="927">
        <f t="shared" si="3"/>
        <v>1.51048785354244</v>
      </c>
      <c r="Y40" s="927">
        <f t="shared" si="3"/>
        <v>1.51048785354244</v>
      </c>
      <c r="Z40" s="927">
        <f t="shared" si="3"/>
        <v>1.51048785354244</v>
      </c>
      <c r="AA40" s="927">
        <f t="shared" si="3"/>
        <v>1.51048785354244</v>
      </c>
      <c r="AB40" s="927">
        <f t="shared" si="3"/>
        <v>1.51048785354244</v>
      </c>
      <c r="AC40" s="927">
        <f t="shared" si="4"/>
        <v>1.51048785354244</v>
      </c>
      <c r="AD40" s="927">
        <f t="shared" si="4"/>
        <v>1.51048785354244</v>
      </c>
      <c r="AE40" s="927">
        <f t="shared" si="5"/>
        <v>1.51048785354244</v>
      </c>
      <c r="AF40" s="927">
        <f t="shared" si="6"/>
        <v>1.51048785354244</v>
      </c>
      <c r="AG40" s="927">
        <f t="shared" si="7"/>
        <v>1.51048785354244</v>
      </c>
      <c r="AH40" s="927">
        <f t="shared" si="8"/>
        <v>1.51048785354244</v>
      </c>
      <c r="AI40" s="927">
        <f t="shared" si="9"/>
        <v>1.51048785354244</v>
      </c>
      <c r="AJ40" s="927">
        <f t="shared" si="10"/>
        <v>1.51048785354244</v>
      </c>
      <c r="AK40" s="927">
        <f t="shared" si="11"/>
        <v>1.51048785354244</v>
      </c>
      <c r="AL40" s="927">
        <f t="shared" si="12"/>
        <v>1.51048785354244</v>
      </c>
      <c r="AM40" s="927">
        <f t="shared" si="13"/>
        <v>1.51048785354244</v>
      </c>
      <c r="AN40" s="927">
        <f t="shared" si="14"/>
        <v>1.51048785354244</v>
      </c>
      <c r="AO40" s="927">
        <f t="shared" ref="AO40:AO47" si="15">+$D40/24</f>
        <v>1.51048785354244</v>
      </c>
      <c r="AP40" s="927"/>
      <c r="AQ40" s="927"/>
      <c r="AR40" s="927"/>
      <c r="AS40" s="927"/>
    </row>
    <row r="41" spans="1:49" x14ac:dyDescent="0.3">
      <c r="A41" s="923">
        <v>42461</v>
      </c>
      <c r="B41" s="928">
        <v>144383</v>
      </c>
      <c r="C41" s="929">
        <v>237.96579023906102</v>
      </c>
      <c r="D41" s="930">
        <f t="shared" si="1"/>
        <v>34.358214692086349</v>
      </c>
      <c r="E41" s="931"/>
      <c r="F41" s="931"/>
      <c r="G41" s="931"/>
      <c r="H41" s="931"/>
      <c r="I41" s="931"/>
      <c r="J41" s="931"/>
      <c r="K41" s="931"/>
      <c r="L41" s="931"/>
      <c r="M41" s="931"/>
      <c r="N41" s="931"/>
      <c r="O41" s="931"/>
      <c r="P41" s="931"/>
      <c r="Q41" s="931"/>
      <c r="R41" s="931"/>
      <c r="S41" s="927">
        <f>+$D41/24</f>
        <v>1.4315922788369313</v>
      </c>
      <c r="T41" s="927">
        <f t="shared" si="3"/>
        <v>1.4315922788369313</v>
      </c>
      <c r="U41" s="927">
        <f t="shared" si="3"/>
        <v>1.4315922788369313</v>
      </c>
      <c r="V41" s="927">
        <f t="shared" si="3"/>
        <v>1.4315922788369313</v>
      </c>
      <c r="W41" s="927">
        <f t="shared" si="3"/>
        <v>1.4315922788369313</v>
      </c>
      <c r="X41" s="927">
        <f t="shared" si="3"/>
        <v>1.4315922788369313</v>
      </c>
      <c r="Y41" s="927">
        <f t="shared" si="3"/>
        <v>1.4315922788369313</v>
      </c>
      <c r="Z41" s="927">
        <f t="shared" si="3"/>
        <v>1.4315922788369313</v>
      </c>
      <c r="AA41" s="927">
        <f t="shared" si="3"/>
        <v>1.4315922788369313</v>
      </c>
      <c r="AB41" s="927">
        <f t="shared" si="3"/>
        <v>1.4315922788369313</v>
      </c>
      <c r="AC41" s="927">
        <f t="shared" si="4"/>
        <v>1.4315922788369313</v>
      </c>
      <c r="AD41" s="927">
        <f t="shared" si="4"/>
        <v>1.4315922788369313</v>
      </c>
      <c r="AE41" s="927">
        <f t="shared" si="5"/>
        <v>1.4315922788369313</v>
      </c>
      <c r="AF41" s="927">
        <f t="shared" si="6"/>
        <v>1.4315922788369313</v>
      </c>
      <c r="AG41" s="927">
        <f t="shared" si="7"/>
        <v>1.4315922788369313</v>
      </c>
      <c r="AH41" s="927">
        <f t="shared" si="8"/>
        <v>1.4315922788369313</v>
      </c>
      <c r="AI41" s="927">
        <f t="shared" si="9"/>
        <v>1.4315922788369313</v>
      </c>
      <c r="AJ41" s="927">
        <f t="shared" si="10"/>
        <v>1.4315922788369313</v>
      </c>
      <c r="AK41" s="927">
        <f t="shared" si="11"/>
        <v>1.4315922788369313</v>
      </c>
      <c r="AL41" s="927">
        <f t="shared" si="12"/>
        <v>1.4315922788369313</v>
      </c>
      <c r="AM41" s="927">
        <f t="shared" si="13"/>
        <v>1.4315922788369313</v>
      </c>
      <c r="AN41" s="927">
        <f t="shared" si="14"/>
        <v>1.4315922788369313</v>
      </c>
      <c r="AO41" s="927">
        <f t="shared" si="15"/>
        <v>1.4315922788369313</v>
      </c>
      <c r="AP41" s="927">
        <f t="shared" ref="AP41:AP47" si="16">+$D41/24</f>
        <v>1.4315922788369313</v>
      </c>
      <c r="AQ41" s="927"/>
      <c r="AR41" s="927"/>
      <c r="AS41" s="927"/>
    </row>
    <row r="42" spans="1:49" x14ac:dyDescent="0.3">
      <c r="A42" s="923">
        <v>42491</v>
      </c>
      <c r="B42" s="928">
        <v>135146</v>
      </c>
      <c r="C42" s="929">
        <v>237.96579023906102</v>
      </c>
      <c r="D42" s="930">
        <f t="shared" si="1"/>
        <v>32.160124687648143</v>
      </c>
      <c r="E42" s="931"/>
      <c r="F42" s="931"/>
      <c r="G42" s="931"/>
      <c r="H42" s="931"/>
      <c r="I42" s="931"/>
      <c r="J42" s="931"/>
      <c r="K42" s="931"/>
      <c r="L42" s="931"/>
      <c r="M42" s="931"/>
      <c r="N42" s="931"/>
      <c r="O42" s="931"/>
      <c r="P42" s="931"/>
      <c r="Q42" s="931"/>
      <c r="R42" s="931"/>
      <c r="S42" s="931"/>
      <c r="T42" s="927">
        <f>+$D42/24</f>
        <v>1.3400051953186727</v>
      </c>
      <c r="U42" s="927">
        <f t="shared" si="3"/>
        <v>1.3400051953186727</v>
      </c>
      <c r="V42" s="927">
        <f t="shared" si="3"/>
        <v>1.3400051953186727</v>
      </c>
      <c r="W42" s="927">
        <f t="shared" si="3"/>
        <v>1.3400051953186727</v>
      </c>
      <c r="X42" s="927">
        <f t="shared" si="3"/>
        <v>1.3400051953186727</v>
      </c>
      <c r="Y42" s="927">
        <f t="shared" si="3"/>
        <v>1.3400051953186727</v>
      </c>
      <c r="Z42" s="927">
        <f t="shared" si="3"/>
        <v>1.3400051953186727</v>
      </c>
      <c r="AA42" s="927">
        <f t="shared" si="3"/>
        <v>1.3400051953186727</v>
      </c>
      <c r="AB42" s="927">
        <f t="shared" si="3"/>
        <v>1.3400051953186727</v>
      </c>
      <c r="AC42" s="927">
        <f t="shared" si="4"/>
        <v>1.3400051953186727</v>
      </c>
      <c r="AD42" s="927">
        <f t="shared" si="4"/>
        <v>1.3400051953186727</v>
      </c>
      <c r="AE42" s="927">
        <f t="shared" si="5"/>
        <v>1.3400051953186727</v>
      </c>
      <c r="AF42" s="927">
        <f t="shared" si="6"/>
        <v>1.3400051953186727</v>
      </c>
      <c r="AG42" s="927">
        <f t="shared" si="7"/>
        <v>1.3400051953186727</v>
      </c>
      <c r="AH42" s="927">
        <f t="shared" si="8"/>
        <v>1.3400051953186727</v>
      </c>
      <c r="AI42" s="927">
        <f t="shared" si="9"/>
        <v>1.3400051953186727</v>
      </c>
      <c r="AJ42" s="927">
        <f t="shared" si="10"/>
        <v>1.3400051953186727</v>
      </c>
      <c r="AK42" s="927">
        <f t="shared" si="11"/>
        <v>1.3400051953186727</v>
      </c>
      <c r="AL42" s="927">
        <f t="shared" si="12"/>
        <v>1.3400051953186727</v>
      </c>
      <c r="AM42" s="927">
        <f t="shared" si="13"/>
        <v>1.3400051953186727</v>
      </c>
      <c r="AN42" s="927">
        <f t="shared" si="14"/>
        <v>1.3400051953186727</v>
      </c>
      <c r="AO42" s="927">
        <f t="shared" si="15"/>
        <v>1.3400051953186727</v>
      </c>
      <c r="AP42" s="927">
        <f t="shared" si="16"/>
        <v>1.3400051953186727</v>
      </c>
      <c r="AQ42" s="927">
        <f t="shared" ref="AQ42:AQ47" si="17">+$D42/24</f>
        <v>1.3400051953186727</v>
      </c>
      <c r="AR42" s="927"/>
      <c r="AS42" s="927"/>
    </row>
    <row r="43" spans="1:49" x14ac:dyDescent="0.3">
      <c r="A43" s="923">
        <v>42522</v>
      </c>
      <c r="B43" s="928">
        <v>176398</v>
      </c>
      <c r="C43" s="929">
        <v>237.96579023906102</v>
      </c>
      <c r="D43" s="930">
        <f t="shared" si="1"/>
        <v>41.976689466589882</v>
      </c>
      <c r="E43" s="931"/>
      <c r="F43" s="931"/>
      <c r="G43" s="931"/>
      <c r="H43" s="931"/>
      <c r="I43" s="931"/>
      <c r="J43" s="931"/>
      <c r="K43" s="931"/>
      <c r="L43" s="931"/>
      <c r="M43" s="931"/>
      <c r="N43" s="931"/>
      <c r="O43" s="931"/>
      <c r="P43" s="931"/>
      <c r="Q43" s="931"/>
      <c r="R43" s="931"/>
      <c r="S43" s="931"/>
      <c r="T43" s="931"/>
      <c r="U43" s="927">
        <f>+$D43/24</f>
        <v>1.7490287277745784</v>
      </c>
      <c r="V43" s="927">
        <f t="shared" si="3"/>
        <v>1.7490287277745784</v>
      </c>
      <c r="W43" s="927">
        <f t="shared" si="3"/>
        <v>1.7490287277745784</v>
      </c>
      <c r="X43" s="927">
        <f t="shared" si="3"/>
        <v>1.7490287277745784</v>
      </c>
      <c r="Y43" s="927">
        <f t="shared" si="3"/>
        <v>1.7490287277745784</v>
      </c>
      <c r="Z43" s="927">
        <f t="shared" si="3"/>
        <v>1.7490287277745784</v>
      </c>
      <c r="AA43" s="927">
        <f t="shared" si="3"/>
        <v>1.7490287277745784</v>
      </c>
      <c r="AB43" s="927">
        <f t="shared" si="3"/>
        <v>1.7490287277745784</v>
      </c>
      <c r="AC43" s="927">
        <f t="shared" si="4"/>
        <v>1.7490287277745784</v>
      </c>
      <c r="AD43" s="927">
        <f t="shared" si="4"/>
        <v>1.7490287277745784</v>
      </c>
      <c r="AE43" s="927">
        <f t="shared" si="5"/>
        <v>1.7490287277745784</v>
      </c>
      <c r="AF43" s="927">
        <f t="shared" si="6"/>
        <v>1.7490287277745784</v>
      </c>
      <c r="AG43" s="927">
        <f t="shared" si="7"/>
        <v>1.7490287277745784</v>
      </c>
      <c r="AH43" s="927">
        <f t="shared" si="8"/>
        <v>1.7490287277745784</v>
      </c>
      <c r="AI43" s="927">
        <f t="shared" si="9"/>
        <v>1.7490287277745784</v>
      </c>
      <c r="AJ43" s="927">
        <f t="shared" si="10"/>
        <v>1.7490287277745784</v>
      </c>
      <c r="AK43" s="927">
        <f t="shared" si="11"/>
        <v>1.7490287277745784</v>
      </c>
      <c r="AL43" s="927">
        <f t="shared" si="12"/>
        <v>1.7490287277745784</v>
      </c>
      <c r="AM43" s="927">
        <f t="shared" si="13"/>
        <v>1.7490287277745784</v>
      </c>
      <c r="AN43" s="927">
        <f t="shared" si="14"/>
        <v>1.7490287277745784</v>
      </c>
      <c r="AO43" s="927">
        <f t="shared" si="15"/>
        <v>1.7490287277745784</v>
      </c>
      <c r="AP43" s="927">
        <f t="shared" si="16"/>
        <v>1.7490287277745784</v>
      </c>
      <c r="AQ43" s="927">
        <f t="shared" si="17"/>
        <v>1.7490287277745784</v>
      </c>
      <c r="AR43" s="927">
        <f>+$D43/24</f>
        <v>1.7490287277745784</v>
      </c>
      <c r="AS43" s="927"/>
    </row>
    <row r="44" spans="1:49" x14ac:dyDescent="0.3">
      <c r="A44" s="923">
        <v>42552</v>
      </c>
      <c r="B44" s="928">
        <v>157367</v>
      </c>
      <c r="C44" s="929">
        <v>237.96579023906102</v>
      </c>
      <c r="D44" s="930">
        <f t="shared" si="1"/>
        <v>37.447962512550319</v>
      </c>
      <c r="E44" s="931"/>
      <c r="F44" s="931"/>
      <c r="G44" s="931"/>
      <c r="H44" s="931"/>
      <c r="I44" s="931"/>
      <c r="J44" s="931"/>
      <c r="K44" s="931"/>
      <c r="L44" s="931"/>
      <c r="M44" s="931"/>
      <c r="N44" s="931"/>
      <c r="O44" s="931"/>
      <c r="P44" s="931"/>
      <c r="Q44" s="931"/>
      <c r="R44" s="931"/>
      <c r="S44" s="931"/>
      <c r="T44" s="931"/>
      <c r="U44" s="931"/>
      <c r="V44" s="927">
        <f>+$D44/24</f>
        <v>1.5603317713562632</v>
      </c>
      <c r="W44" s="927">
        <f t="shared" si="3"/>
        <v>1.5603317713562632</v>
      </c>
      <c r="X44" s="927">
        <f t="shared" si="3"/>
        <v>1.5603317713562632</v>
      </c>
      <c r="Y44" s="927">
        <f t="shared" si="3"/>
        <v>1.5603317713562632</v>
      </c>
      <c r="Z44" s="927">
        <f t="shared" si="3"/>
        <v>1.5603317713562632</v>
      </c>
      <c r="AA44" s="927">
        <f t="shared" si="3"/>
        <v>1.5603317713562632</v>
      </c>
      <c r="AB44" s="927">
        <f t="shared" si="3"/>
        <v>1.5603317713562632</v>
      </c>
      <c r="AC44" s="927">
        <f t="shared" si="4"/>
        <v>1.5603317713562632</v>
      </c>
      <c r="AD44" s="927">
        <f t="shared" si="4"/>
        <v>1.5603317713562632</v>
      </c>
      <c r="AE44" s="927">
        <f t="shared" si="5"/>
        <v>1.5603317713562632</v>
      </c>
      <c r="AF44" s="927">
        <f t="shared" si="6"/>
        <v>1.5603317713562632</v>
      </c>
      <c r="AG44" s="927">
        <f t="shared" si="7"/>
        <v>1.5603317713562632</v>
      </c>
      <c r="AH44" s="927">
        <f t="shared" si="8"/>
        <v>1.5603317713562632</v>
      </c>
      <c r="AI44" s="927">
        <f t="shared" si="9"/>
        <v>1.5603317713562632</v>
      </c>
      <c r="AJ44" s="927">
        <f t="shared" si="10"/>
        <v>1.5603317713562632</v>
      </c>
      <c r="AK44" s="927">
        <f t="shared" si="11"/>
        <v>1.5603317713562632</v>
      </c>
      <c r="AL44" s="927">
        <f t="shared" si="12"/>
        <v>1.5603317713562632</v>
      </c>
      <c r="AM44" s="927">
        <f t="shared" si="13"/>
        <v>1.5603317713562632</v>
      </c>
      <c r="AN44" s="927">
        <f t="shared" si="14"/>
        <v>1.5603317713562632</v>
      </c>
      <c r="AO44" s="927">
        <f t="shared" si="15"/>
        <v>1.5603317713562632</v>
      </c>
      <c r="AP44" s="927">
        <f t="shared" si="16"/>
        <v>1.5603317713562632</v>
      </c>
      <c r="AQ44" s="927">
        <f t="shared" si="17"/>
        <v>1.5603317713562632</v>
      </c>
      <c r="AR44" s="927">
        <f>+$D44/24</f>
        <v>1.5603317713562632</v>
      </c>
      <c r="AS44" s="927">
        <f>+$D44/24</f>
        <v>1.5603317713562632</v>
      </c>
    </row>
    <row r="45" spans="1:49" x14ac:dyDescent="0.3">
      <c r="A45" s="923">
        <v>42583</v>
      </c>
      <c r="B45" s="928">
        <v>166016</v>
      </c>
      <c r="C45" s="929">
        <v>237.96579023906102</v>
      </c>
      <c r="D45" s="930">
        <f t="shared" si="1"/>
        <v>39.50612863232795</v>
      </c>
      <c r="E45" s="931"/>
      <c r="F45" s="931"/>
      <c r="G45" s="931"/>
      <c r="H45" s="931"/>
      <c r="I45" s="931"/>
      <c r="J45" s="931"/>
      <c r="K45" s="931"/>
      <c r="L45" s="931"/>
      <c r="M45" s="931"/>
      <c r="N45" s="931"/>
      <c r="O45" s="931"/>
      <c r="P45" s="931"/>
      <c r="Q45" s="931"/>
      <c r="R45" s="931"/>
      <c r="S45" s="931"/>
      <c r="T45" s="931"/>
      <c r="U45" s="931"/>
      <c r="V45" s="931"/>
      <c r="W45" s="927">
        <f>+$D45/24</f>
        <v>1.6460886930136647</v>
      </c>
      <c r="X45" s="927">
        <f t="shared" ref="X45:AN61" si="18">+$D45/24</f>
        <v>1.6460886930136647</v>
      </c>
      <c r="Y45" s="927">
        <f t="shared" si="18"/>
        <v>1.6460886930136647</v>
      </c>
      <c r="Z45" s="927">
        <f t="shared" si="18"/>
        <v>1.6460886930136647</v>
      </c>
      <c r="AA45" s="927">
        <f t="shared" si="18"/>
        <v>1.6460886930136647</v>
      </c>
      <c r="AB45" s="927">
        <f t="shared" si="18"/>
        <v>1.6460886930136647</v>
      </c>
      <c r="AC45" s="927">
        <f t="shared" si="18"/>
        <v>1.6460886930136647</v>
      </c>
      <c r="AD45" s="927">
        <f t="shared" si="18"/>
        <v>1.6460886930136647</v>
      </c>
      <c r="AE45" s="927">
        <f t="shared" si="18"/>
        <v>1.6460886930136647</v>
      </c>
      <c r="AF45" s="927">
        <f t="shared" si="18"/>
        <v>1.6460886930136647</v>
      </c>
      <c r="AG45" s="927">
        <f t="shared" si="18"/>
        <v>1.6460886930136647</v>
      </c>
      <c r="AH45" s="927">
        <f t="shared" si="18"/>
        <v>1.6460886930136647</v>
      </c>
      <c r="AI45" s="927">
        <f t="shared" si="18"/>
        <v>1.6460886930136647</v>
      </c>
      <c r="AJ45" s="927">
        <f t="shared" si="18"/>
        <v>1.6460886930136647</v>
      </c>
      <c r="AK45" s="927">
        <f t="shared" si="18"/>
        <v>1.6460886930136647</v>
      </c>
      <c r="AL45" s="927">
        <f t="shared" si="18"/>
        <v>1.6460886930136647</v>
      </c>
      <c r="AM45" s="927">
        <f t="shared" si="18"/>
        <v>1.6460886930136647</v>
      </c>
      <c r="AN45" s="927">
        <f t="shared" si="18"/>
        <v>1.6460886930136647</v>
      </c>
      <c r="AO45" s="927">
        <f t="shared" si="15"/>
        <v>1.6460886930136647</v>
      </c>
      <c r="AP45" s="927">
        <f t="shared" si="16"/>
        <v>1.6460886930136647</v>
      </c>
      <c r="AQ45" s="927">
        <f t="shared" si="17"/>
        <v>1.6460886930136647</v>
      </c>
      <c r="AR45" s="927">
        <f>+$D45/24</f>
        <v>1.6460886930136647</v>
      </c>
      <c r="AS45" s="927">
        <f>+$D45/24</f>
        <v>1.6460886930136647</v>
      </c>
      <c r="AT45" s="927">
        <f>+$D45/24</f>
        <v>1.6460886930136647</v>
      </c>
    </row>
    <row r="46" spans="1:49" x14ac:dyDescent="0.3">
      <c r="A46" s="923">
        <v>42614</v>
      </c>
      <c r="B46" s="928">
        <v>152444</v>
      </c>
      <c r="C46" s="929">
        <v>237.96579023906102</v>
      </c>
      <c r="D46" s="930">
        <f t="shared" si="1"/>
        <v>36.276456927203419</v>
      </c>
      <c r="E46" s="931"/>
      <c r="F46" s="931"/>
      <c r="G46" s="931"/>
      <c r="H46" s="931"/>
      <c r="I46" s="931"/>
      <c r="J46" s="931"/>
      <c r="K46" s="931"/>
      <c r="L46" s="931"/>
      <c r="M46" s="931"/>
      <c r="N46" s="931"/>
      <c r="O46" s="931"/>
      <c r="P46" s="931"/>
      <c r="Q46" s="931"/>
      <c r="R46" s="931"/>
      <c r="S46" s="931"/>
      <c r="T46" s="931"/>
      <c r="U46" s="931"/>
      <c r="V46" s="931"/>
      <c r="W46" s="931"/>
      <c r="X46" s="927">
        <f>+$D46/24</f>
        <v>1.5115190386334758</v>
      </c>
      <c r="Y46" s="927">
        <f t="shared" si="18"/>
        <v>1.5115190386334758</v>
      </c>
      <c r="Z46" s="927">
        <f t="shared" si="18"/>
        <v>1.5115190386334758</v>
      </c>
      <c r="AA46" s="927">
        <f t="shared" si="18"/>
        <v>1.5115190386334758</v>
      </c>
      <c r="AB46" s="927">
        <f t="shared" si="18"/>
        <v>1.5115190386334758</v>
      </c>
      <c r="AC46" s="927">
        <f t="shared" si="18"/>
        <v>1.5115190386334758</v>
      </c>
      <c r="AD46" s="927">
        <f t="shared" si="18"/>
        <v>1.5115190386334758</v>
      </c>
      <c r="AE46" s="927">
        <f t="shared" si="18"/>
        <v>1.5115190386334758</v>
      </c>
      <c r="AF46" s="927">
        <f t="shared" si="18"/>
        <v>1.5115190386334758</v>
      </c>
      <c r="AG46" s="927">
        <f t="shared" si="18"/>
        <v>1.5115190386334758</v>
      </c>
      <c r="AH46" s="927">
        <f t="shared" si="18"/>
        <v>1.5115190386334758</v>
      </c>
      <c r="AI46" s="927">
        <f t="shared" si="18"/>
        <v>1.5115190386334758</v>
      </c>
      <c r="AJ46" s="927">
        <f t="shared" si="18"/>
        <v>1.5115190386334758</v>
      </c>
      <c r="AK46" s="927">
        <f t="shared" si="18"/>
        <v>1.5115190386334758</v>
      </c>
      <c r="AL46" s="927">
        <f t="shared" si="18"/>
        <v>1.5115190386334758</v>
      </c>
      <c r="AM46" s="927">
        <f t="shared" si="18"/>
        <v>1.5115190386334758</v>
      </c>
      <c r="AN46" s="927">
        <f>+$D46/24</f>
        <v>1.5115190386334758</v>
      </c>
      <c r="AO46" s="927">
        <f t="shared" si="15"/>
        <v>1.5115190386334758</v>
      </c>
      <c r="AP46" s="927">
        <f t="shared" si="16"/>
        <v>1.5115190386334758</v>
      </c>
      <c r="AQ46" s="927">
        <f t="shared" si="17"/>
        <v>1.5115190386334758</v>
      </c>
      <c r="AR46" s="927">
        <f>+$D46/24</f>
        <v>1.5115190386334758</v>
      </c>
      <c r="AS46" s="927">
        <f>+$D46/24</f>
        <v>1.5115190386334758</v>
      </c>
      <c r="AT46" s="927">
        <f>+$D46/24</f>
        <v>1.5115190386334758</v>
      </c>
      <c r="AU46" s="927">
        <f>+$D46/24</f>
        <v>1.5115190386334758</v>
      </c>
    </row>
    <row r="47" spans="1:49" x14ac:dyDescent="0.3">
      <c r="A47" s="923">
        <v>42644</v>
      </c>
      <c r="B47" s="928">
        <v>112845</v>
      </c>
      <c r="C47" s="929">
        <v>237.96579023906102</v>
      </c>
      <c r="D47" s="930">
        <f t="shared" si="1"/>
        <v>26.853249599526841</v>
      </c>
      <c r="E47" s="931"/>
      <c r="F47" s="931"/>
      <c r="G47" s="931"/>
      <c r="H47" s="931"/>
      <c r="I47" s="931"/>
      <c r="J47" s="931"/>
      <c r="K47" s="931"/>
      <c r="L47" s="931"/>
      <c r="M47" s="931"/>
      <c r="N47" s="931"/>
      <c r="O47" s="931"/>
      <c r="P47" s="931"/>
      <c r="Q47" s="931"/>
      <c r="R47" s="931"/>
      <c r="S47" s="931"/>
      <c r="T47" s="931"/>
      <c r="U47" s="931"/>
      <c r="V47" s="931"/>
      <c r="W47" s="931"/>
      <c r="X47" s="931"/>
      <c r="Y47" s="927">
        <f>+$D47/24</f>
        <v>1.118885399980285</v>
      </c>
      <c r="Z47" s="927">
        <f t="shared" si="18"/>
        <v>1.118885399980285</v>
      </c>
      <c r="AA47" s="927">
        <f t="shared" si="18"/>
        <v>1.118885399980285</v>
      </c>
      <c r="AB47" s="927">
        <f t="shared" si="18"/>
        <v>1.118885399980285</v>
      </c>
      <c r="AC47" s="927">
        <f t="shared" si="18"/>
        <v>1.118885399980285</v>
      </c>
      <c r="AD47" s="927">
        <f t="shared" si="18"/>
        <v>1.118885399980285</v>
      </c>
      <c r="AE47" s="927">
        <f t="shared" si="18"/>
        <v>1.118885399980285</v>
      </c>
      <c r="AF47" s="927">
        <f t="shared" si="18"/>
        <v>1.118885399980285</v>
      </c>
      <c r="AG47" s="927">
        <f t="shared" si="18"/>
        <v>1.118885399980285</v>
      </c>
      <c r="AH47" s="927">
        <f t="shared" si="18"/>
        <v>1.118885399980285</v>
      </c>
      <c r="AI47" s="927">
        <f t="shared" si="18"/>
        <v>1.118885399980285</v>
      </c>
      <c r="AJ47" s="927">
        <f t="shared" si="18"/>
        <v>1.118885399980285</v>
      </c>
      <c r="AK47" s="927">
        <f t="shared" si="18"/>
        <v>1.118885399980285</v>
      </c>
      <c r="AL47" s="927">
        <f t="shared" si="18"/>
        <v>1.118885399980285</v>
      </c>
      <c r="AM47" s="927">
        <f t="shared" si="18"/>
        <v>1.118885399980285</v>
      </c>
      <c r="AN47" s="927">
        <f>+$D47/24</f>
        <v>1.118885399980285</v>
      </c>
      <c r="AO47" s="927">
        <f t="shared" si="15"/>
        <v>1.118885399980285</v>
      </c>
      <c r="AP47" s="927">
        <f t="shared" si="16"/>
        <v>1.118885399980285</v>
      </c>
      <c r="AQ47" s="927">
        <f t="shared" si="17"/>
        <v>1.118885399980285</v>
      </c>
      <c r="AR47" s="927">
        <f>+$D47/24</f>
        <v>1.118885399980285</v>
      </c>
      <c r="AS47" s="927">
        <f>+$D47/24</f>
        <v>1.118885399980285</v>
      </c>
      <c r="AT47" s="927">
        <f>+$D47/24</f>
        <v>1.118885399980285</v>
      </c>
      <c r="AU47" s="927">
        <f>+$D47/24</f>
        <v>1.118885399980285</v>
      </c>
      <c r="AV47" s="927">
        <f>+$D47/24</f>
        <v>1.118885399980285</v>
      </c>
    </row>
    <row r="48" spans="1:49" x14ac:dyDescent="0.3">
      <c r="A48" s="923">
        <v>42675</v>
      </c>
      <c r="B48" s="928">
        <v>131775</v>
      </c>
      <c r="C48" s="929">
        <v>237.96579023906102</v>
      </c>
      <c r="D48" s="930">
        <f t="shared" si="1"/>
        <v>31.357942008752268</v>
      </c>
      <c r="E48" s="931"/>
      <c r="F48" s="931"/>
      <c r="G48" s="931"/>
      <c r="H48" s="931"/>
      <c r="I48" s="931"/>
      <c r="J48" s="931"/>
      <c r="K48" s="931"/>
      <c r="L48" s="931"/>
      <c r="M48" s="931"/>
      <c r="N48" s="931"/>
      <c r="O48" s="931"/>
      <c r="P48" s="931"/>
      <c r="Q48" s="931"/>
      <c r="R48" s="931"/>
      <c r="S48" s="931"/>
      <c r="T48" s="931"/>
      <c r="U48" s="931"/>
      <c r="V48" s="931"/>
      <c r="W48" s="931"/>
      <c r="X48" s="931"/>
      <c r="Y48" s="931"/>
      <c r="Z48" s="927">
        <f>+$D48/24</f>
        <v>1.3065809170313445</v>
      </c>
      <c r="AA48" s="927">
        <f>+$D48/24</f>
        <v>1.3065809170313445</v>
      </c>
      <c r="AB48" s="927">
        <f t="shared" si="18"/>
        <v>1.3065809170313445</v>
      </c>
      <c r="AC48" s="927">
        <f t="shared" si="18"/>
        <v>1.3065809170313445</v>
      </c>
      <c r="AD48" s="927">
        <f t="shared" si="18"/>
        <v>1.3065809170313445</v>
      </c>
      <c r="AE48" s="927">
        <f t="shared" si="18"/>
        <v>1.3065809170313445</v>
      </c>
      <c r="AF48" s="927">
        <f t="shared" si="18"/>
        <v>1.3065809170313445</v>
      </c>
      <c r="AG48" s="927">
        <f t="shared" si="18"/>
        <v>1.3065809170313445</v>
      </c>
      <c r="AH48" s="927">
        <f t="shared" si="18"/>
        <v>1.3065809170313445</v>
      </c>
      <c r="AI48" s="927">
        <f t="shared" si="18"/>
        <v>1.3065809170313445</v>
      </c>
      <c r="AJ48" s="927">
        <f t="shared" si="18"/>
        <v>1.3065809170313445</v>
      </c>
      <c r="AK48" s="927">
        <f t="shared" si="18"/>
        <v>1.3065809170313445</v>
      </c>
      <c r="AL48" s="927">
        <f t="shared" si="18"/>
        <v>1.3065809170313445</v>
      </c>
      <c r="AM48" s="927">
        <f t="shared" si="18"/>
        <v>1.3065809170313445</v>
      </c>
      <c r="AN48" s="927">
        <f t="shared" si="18"/>
        <v>1.3065809170313445</v>
      </c>
      <c r="AO48" s="927">
        <f t="shared" ref="AO48:BD63" si="19">+$D48/24</f>
        <v>1.3065809170313445</v>
      </c>
      <c r="AP48" s="927">
        <f t="shared" si="19"/>
        <v>1.3065809170313445</v>
      </c>
      <c r="AQ48" s="927">
        <f t="shared" si="19"/>
        <v>1.3065809170313445</v>
      </c>
      <c r="AR48" s="927">
        <f t="shared" si="19"/>
        <v>1.3065809170313445</v>
      </c>
      <c r="AS48" s="927">
        <f t="shared" si="19"/>
        <v>1.3065809170313445</v>
      </c>
      <c r="AT48" s="927">
        <f t="shared" si="19"/>
        <v>1.3065809170313445</v>
      </c>
      <c r="AU48" s="927">
        <f t="shared" si="19"/>
        <v>1.3065809170313445</v>
      </c>
      <c r="AV48" s="927">
        <f t="shared" si="19"/>
        <v>1.3065809170313445</v>
      </c>
      <c r="AW48" s="927">
        <f t="shared" si="19"/>
        <v>1.3065809170313445</v>
      </c>
    </row>
    <row r="49" spans="1:65" x14ac:dyDescent="0.3">
      <c r="A49" s="923">
        <v>42705</v>
      </c>
      <c r="B49" s="928">
        <v>140293.83911999999</v>
      </c>
      <c r="C49" s="929">
        <v>237.96579023906102</v>
      </c>
      <c r="D49" s="930">
        <f>+(B49*C49)/10^6</f>
        <v>33.385134291862492</v>
      </c>
      <c r="E49" s="931"/>
      <c r="F49" s="931"/>
      <c r="G49" s="931"/>
      <c r="H49" s="931"/>
      <c r="I49" s="931"/>
      <c r="J49" s="931"/>
      <c r="K49" s="931"/>
      <c r="L49" s="931"/>
      <c r="M49" s="931"/>
      <c r="N49" s="931"/>
      <c r="O49" s="931"/>
      <c r="P49" s="931"/>
      <c r="Q49" s="931"/>
      <c r="R49" s="931"/>
      <c r="S49" s="931"/>
      <c r="T49" s="931"/>
      <c r="U49" s="931"/>
      <c r="V49" s="931"/>
      <c r="W49" s="931"/>
      <c r="X49" s="931"/>
      <c r="Y49" s="931"/>
      <c r="Z49" s="931"/>
      <c r="AA49" s="927">
        <f>+$D49/24</f>
        <v>1.3910472621609371</v>
      </c>
      <c r="AB49" s="927">
        <f t="shared" si="18"/>
        <v>1.3910472621609371</v>
      </c>
      <c r="AC49" s="927">
        <f t="shared" si="18"/>
        <v>1.3910472621609371</v>
      </c>
      <c r="AD49" s="927">
        <f t="shared" si="18"/>
        <v>1.3910472621609371</v>
      </c>
      <c r="AE49" s="927">
        <f t="shared" si="18"/>
        <v>1.3910472621609371</v>
      </c>
      <c r="AF49" s="927">
        <f t="shared" si="18"/>
        <v>1.3910472621609371</v>
      </c>
      <c r="AG49" s="927">
        <f t="shared" si="18"/>
        <v>1.3910472621609371</v>
      </c>
      <c r="AH49" s="927">
        <f t="shared" si="18"/>
        <v>1.3910472621609371</v>
      </c>
      <c r="AI49" s="927">
        <f t="shared" si="18"/>
        <v>1.3910472621609371</v>
      </c>
      <c r="AJ49" s="927">
        <f t="shared" si="18"/>
        <v>1.3910472621609371</v>
      </c>
      <c r="AK49" s="927">
        <f t="shared" si="18"/>
        <v>1.3910472621609371</v>
      </c>
      <c r="AL49" s="927">
        <f t="shared" si="18"/>
        <v>1.3910472621609371</v>
      </c>
      <c r="AM49" s="927">
        <f t="shared" si="18"/>
        <v>1.3910472621609371</v>
      </c>
      <c r="AN49" s="927">
        <f t="shared" si="18"/>
        <v>1.3910472621609371</v>
      </c>
      <c r="AO49" s="927">
        <f t="shared" si="19"/>
        <v>1.3910472621609371</v>
      </c>
      <c r="AP49" s="927">
        <f t="shared" si="19"/>
        <v>1.3910472621609371</v>
      </c>
      <c r="AQ49" s="927">
        <f t="shared" si="19"/>
        <v>1.3910472621609371</v>
      </c>
      <c r="AR49" s="927">
        <f t="shared" si="19"/>
        <v>1.3910472621609371</v>
      </c>
      <c r="AS49" s="927">
        <f t="shared" si="19"/>
        <v>1.3910472621609371</v>
      </c>
      <c r="AT49" s="927">
        <f t="shared" si="19"/>
        <v>1.3910472621609371</v>
      </c>
      <c r="AU49" s="927">
        <f t="shared" si="19"/>
        <v>1.3910472621609371</v>
      </c>
      <c r="AV49" s="927">
        <f t="shared" si="19"/>
        <v>1.3910472621609371</v>
      </c>
      <c r="AW49" s="927">
        <f t="shared" si="19"/>
        <v>1.3910472621609371</v>
      </c>
      <c r="AX49" s="927">
        <f t="shared" si="19"/>
        <v>1.3910472621609371</v>
      </c>
    </row>
    <row r="50" spans="1:65" x14ac:dyDescent="0.3">
      <c r="A50" s="923">
        <v>42736</v>
      </c>
      <c r="B50" s="928">
        <v>139992</v>
      </c>
      <c r="C50" s="929">
        <v>237.96579023906102</v>
      </c>
      <c r="D50" s="930">
        <f>+(B50*C50)/10^6</f>
        <v>33.313306907146632</v>
      </c>
      <c r="E50" s="931"/>
      <c r="F50" s="931"/>
      <c r="G50" s="931"/>
      <c r="H50" s="931"/>
      <c r="I50" s="931"/>
      <c r="J50" s="931"/>
      <c r="K50" s="931"/>
      <c r="L50" s="931"/>
      <c r="M50" s="931"/>
      <c r="N50" s="931"/>
      <c r="O50" s="931"/>
      <c r="P50" s="931"/>
      <c r="Q50" s="931"/>
      <c r="R50" s="931"/>
      <c r="S50" s="931"/>
      <c r="T50" s="931"/>
      <c r="U50" s="931"/>
      <c r="V50" s="931"/>
      <c r="W50" s="931"/>
      <c r="X50" s="931"/>
      <c r="Y50" s="931"/>
      <c r="Z50" s="931"/>
      <c r="AA50" s="931"/>
      <c r="AB50" s="927">
        <f>+$D50/24</f>
        <v>1.3880544544644431</v>
      </c>
      <c r="AC50" s="927">
        <f t="shared" si="18"/>
        <v>1.3880544544644431</v>
      </c>
      <c r="AD50" s="927">
        <f t="shared" si="18"/>
        <v>1.3880544544644431</v>
      </c>
      <c r="AE50" s="927">
        <f t="shared" si="18"/>
        <v>1.3880544544644431</v>
      </c>
      <c r="AF50" s="927">
        <f t="shared" si="18"/>
        <v>1.3880544544644431</v>
      </c>
      <c r="AG50" s="927">
        <f t="shared" si="18"/>
        <v>1.3880544544644431</v>
      </c>
      <c r="AH50" s="927">
        <f t="shared" si="18"/>
        <v>1.3880544544644431</v>
      </c>
      <c r="AI50" s="927">
        <f t="shared" si="18"/>
        <v>1.3880544544644431</v>
      </c>
      <c r="AJ50" s="927">
        <f t="shared" si="18"/>
        <v>1.3880544544644431</v>
      </c>
      <c r="AK50" s="927">
        <f t="shared" si="18"/>
        <v>1.3880544544644431</v>
      </c>
      <c r="AL50" s="927">
        <f t="shared" si="18"/>
        <v>1.3880544544644431</v>
      </c>
      <c r="AM50" s="927">
        <f t="shared" si="18"/>
        <v>1.3880544544644431</v>
      </c>
      <c r="AN50" s="927">
        <f t="shared" si="18"/>
        <v>1.3880544544644431</v>
      </c>
      <c r="AO50" s="927">
        <f t="shared" si="19"/>
        <v>1.3880544544644431</v>
      </c>
      <c r="AP50" s="927">
        <f t="shared" si="19"/>
        <v>1.3880544544644431</v>
      </c>
      <c r="AQ50" s="927">
        <f t="shared" si="19"/>
        <v>1.3880544544644431</v>
      </c>
      <c r="AR50" s="927">
        <f t="shared" si="19"/>
        <v>1.3880544544644431</v>
      </c>
      <c r="AS50" s="927">
        <f t="shared" si="19"/>
        <v>1.3880544544644431</v>
      </c>
      <c r="AT50" s="927">
        <f t="shared" si="19"/>
        <v>1.3880544544644431</v>
      </c>
      <c r="AU50" s="927">
        <f t="shared" si="19"/>
        <v>1.3880544544644431</v>
      </c>
      <c r="AV50" s="927">
        <f t="shared" si="19"/>
        <v>1.3880544544644431</v>
      </c>
      <c r="AW50" s="927">
        <f t="shared" si="19"/>
        <v>1.3880544544644431</v>
      </c>
      <c r="AX50" s="927">
        <f t="shared" si="19"/>
        <v>1.3880544544644431</v>
      </c>
      <c r="AY50" s="927">
        <f t="shared" si="19"/>
        <v>1.3880544544644431</v>
      </c>
    </row>
    <row r="51" spans="1:65" x14ac:dyDescent="0.3">
      <c r="A51" s="923">
        <v>42767</v>
      </c>
      <c r="B51" s="928">
        <v>142265</v>
      </c>
      <c r="C51" s="929">
        <v>237.96579023906102</v>
      </c>
      <c r="D51" s="930">
        <f t="shared" si="1"/>
        <v>33.854203148360014</v>
      </c>
      <c r="E51" s="931"/>
      <c r="F51" s="931"/>
      <c r="G51" s="931"/>
      <c r="H51" s="931"/>
      <c r="I51" s="931"/>
      <c r="J51" s="931"/>
      <c r="K51" s="931"/>
      <c r="L51" s="931"/>
      <c r="M51" s="931"/>
      <c r="N51" s="931"/>
      <c r="O51" s="931"/>
      <c r="P51" s="931"/>
      <c r="Q51" s="931"/>
      <c r="R51" s="931"/>
      <c r="S51" s="931"/>
      <c r="T51" s="931"/>
      <c r="U51" s="931"/>
      <c r="V51" s="931"/>
      <c r="W51" s="931"/>
      <c r="X51" s="931"/>
      <c r="Y51" s="931"/>
      <c r="Z51" s="931"/>
      <c r="AA51" s="931"/>
      <c r="AB51" s="931"/>
      <c r="AC51" s="927">
        <f>+$D51/24</f>
        <v>1.410591797848334</v>
      </c>
      <c r="AD51" s="927">
        <f>+$D51/24</f>
        <v>1.410591797848334</v>
      </c>
      <c r="AE51" s="927">
        <f t="shared" si="18"/>
        <v>1.410591797848334</v>
      </c>
      <c r="AF51" s="927">
        <f t="shared" si="18"/>
        <v>1.410591797848334</v>
      </c>
      <c r="AG51" s="927">
        <f t="shared" si="18"/>
        <v>1.410591797848334</v>
      </c>
      <c r="AH51" s="927">
        <f t="shared" si="18"/>
        <v>1.410591797848334</v>
      </c>
      <c r="AI51" s="927">
        <f t="shared" si="18"/>
        <v>1.410591797848334</v>
      </c>
      <c r="AJ51" s="927">
        <f t="shared" si="18"/>
        <v>1.410591797848334</v>
      </c>
      <c r="AK51" s="927">
        <f t="shared" si="18"/>
        <v>1.410591797848334</v>
      </c>
      <c r="AL51" s="927">
        <f t="shared" si="18"/>
        <v>1.410591797848334</v>
      </c>
      <c r="AM51" s="927">
        <f t="shared" si="18"/>
        <v>1.410591797848334</v>
      </c>
      <c r="AN51" s="927">
        <f t="shared" si="18"/>
        <v>1.410591797848334</v>
      </c>
      <c r="AO51" s="927">
        <f t="shared" si="19"/>
        <v>1.410591797848334</v>
      </c>
      <c r="AP51" s="927">
        <f t="shared" si="19"/>
        <v>1.410591797848334</v>
      </c>
      <c r="AQ51" s="927">
        <f t="shared" si="19"/>
        <v>1.410591797848334</v>
      </c>
      <c r="AR51" s="927">
        <f t="shared" si="19"/>
        <v>1.410591797848334</v>
      </c>
      <c r="AS51" s="927">
        <f t="shared" si="19"/>
        <v>1.410591797848334</v>
      </c>
      <c r="AT51" s="927">
        <f t="shared" si="19"/>
        <v>1.410591797848334</v>
      </c>
      <c r="AU51" s="927">
        <f t="shared" si="19"/>
        <v>1.410591797848334</v>
      </c>
      <c r="AV51" s="927">
        <f t="shared" si="19"/>
        <v>1.410591797848334</v>
      </c>
      <c r="AW51" s="927">
        <f t="shared" si="19"/>
        <v>1.410591797848334</v>
      </c>
      <c r="AX51" s="927">
        <f t="shared" si="19"/>
        <v>1.410591797848334</v>
      </c>
      <c r="AY51" s="927">
        <f t="shared" si="19"/>
        <v>1.410591797848334</v>
      </c>
      <c r="AZ51" s="927">
        <f t="shared" si="19"/>
        <v>1.410591797848334</v>
      </c>
      <c r="BA51" s="927"/>
      <c r="BB51" s="927"/>
    </row>
    <row r="52" spans="1:65" x14ac:dyDescent="0.3">
      <c r="A52" s="923">
        <v>42795</v>
      </c>
      <c r="B52" s="928">
        <v>141363</v>
      </c>
      <c r="C52" s="929">
        <v>237.96579023906102</v>
      </c>
      <c r="D52" s="930">
        <f t="shared" si="1"/>
        <v>33.639558005564382</v>
      </c>
      <c r="E52" s="931"/>
      <c r="F52" s="931"/>
      <c r="G52" s="931"/>
      <c r="H52" s="931"/>
      <c r="I52" s="931"/>
      <c r="J52" s="931"/>
      <c r="K52" s="931"/>
      <c r="L52" s="931"/>
      <c r="M52" s="931"/>
      <c r="N52" s="931"/>
      <c r="O52" s="931"/>
      <c r="P52" s="931"/>
      <c r="Q52" s="931"/>
      <c r="R52" s="931"/>
      <c r="S52" s="931"/>
      <c r="T52" s="931"/>
      <c r="U52" s="931"/>
      <c r="V52" s="931"/>
      <c r="W52" s="931"/>
      <c r="X52" s="931"/>
      <c r="Y52" s="931"/>
      <c r="Z52" s="931"/>
      <c r="AA52" s="931"/>
      <c r="AB52" s="931"/>
      <c r="AC52" s="931"/>
      <c r="AD52" s="927">
        <f>+$D52/24</f>
        <v>1.4016482502318492</v>
      </c>
      <c r="AE52" s="927">
        <f t="shared" si="18"/>
        <v>1.4016482502318492</v>
      </c>
      <c r="AF52" s="927">
        <f t="shared" si="18"/>
        <v>1.4016482502318492</v>
      </c>
      <c r="AG52" s="927">
        <f t="shared" si="18"/>
        <v>1.4016482502318492</v>
      </c>
      <c r="AH52" s="927">
        <f t="shared" si="18"/>
        <v>1.4016482502318492</v>
      </c>
      <c r="AI52" s="927">
        <f t="shared" si="18"/>
        <v>1.4016482502318492</v>
      </c>
      <c r="AJ52" s="927">
        <f t="shared" si="18"/>
        <v>1.4016482502318492</v>
      </c>
      <c r="AK52" s="927">
        <f t="shared" si="18"/>
        <v>1.4016482502318492</v>
      </c>
      <c r="AL52" s="927">
        <f t="shared" si="18"/>
        <v>1.4016482502318492</v>
      </c>
      <c r="AM52" s="927">
        <f t="shared" si="18"/>
        <v>1.4016482502318492</v>
      </c>
      <c r="AN52" s="927">
        <f t="shared" si="18"/>
        <v>1.4016482502318492</v>
      </c>
      <c r="AO52" s="927">
        <f t="shared" si="19"/>
        <v>1.4016482502318492</v>
      </c>
      <c r="AP52" s="927">
        <f t="shared" si="19"/>
        <v>1.4016482502318492</v>
      </c>
      <c r="AQ52" s="927">
        <f t="shared" si="19"/>
        <v>1.4016482502318492</v>
      </c>
      <c r="AR52" s="927">
        <f t="shared" si="19"/>
        <v>1.4016482502318492</v>
      </c>
      <c r="AS52" s="927">
        <f t="shared" si="19"/>
        <v>1.4016482502318492</v>
      </c>
      <c r="AT52" s="927">
        <f t="shared" si="19"/>
        <v>1.4016482502318492</v>
      </c>
      <c r="AU52" s="927">
        <f t="shared" si="19"/>
        <v>1.4016482502318492</v>
      </c>
      <c r="AV52" s="927">
        <f t="shared" si="19"/>
        <v>1.4016482502318492</v>
      </c>
      <c r="AW52" s="927">
        <f t="shared" si="19"/>
        <v>1.4016482502318492</v>
      </c>
      <c r="AX52" s="927">
        <f t="shared" si="19"/>
        <v>1.4016482502318492</v>
      </c>
      <c r="AY52" s="927">
        <f t="shared" si="19"/>
        <v>1.4016482502318492</v>
      </c>
      <c r="AZ52" s="927">
        <f t="shared" si="19"/>
        <v>1.4016482502318492</v>
      </c>
      <c r="BA52" s="927">
        <f t="shared" si="19"/>
        <v>1.4016482502318492</v>
      </c>
    </row>
    <row r="53" spans="1:65" x14ac:dyDescent="0.3">
      <c r="A53" s="923">
        <v>42826</v>
      </c>
      <c r="B53" s="928">
        <v>157332</v>
      </c>
      <c r="C53" s="929">
        <v>237.96579023906102</v>
      </c>
      <c r="D53" s="930">
        <f t="shared" ref="D53:D59" si="20">+(B53*C53)/10^6</f>
        <v>37.439633709891943</v>
      </c>
      <c r="E53" s="931"/>
      <c r="F53" s="931"/>
      <c r="G53" s="931"/>
      <c r="H53" s="931"/>
      <c r="I53" s="931"/>
      <c r="J53" s="931"/>
      <c r="K53" s="931"/>
      <c r="L53" s="931"/>
      <c r="M53" s="931"/>
      <c r="N53" s="931"/>
      <c r="O53" s="931"/>
      <c r="P53" s="931"/>
      <c r="Q53" s="931"/>
      <c r="R53" s="931"/>
      <c r="S53" s="931"/>
      <c r="T53" s="931"/>
      <c r="U53" s="931"/>
      <c r="V53" s="931"/>
      <c r="W53" s="931"/>
      <c r="X53" s="931"/>
      <c r="Y53" s="931"/>
      <c r="Z53" s="931"/>
      <c r="AA53" s="931"/>
      <c r="AB53" s="931"/>
      <c r="AC53" s="931"/>
      <c r="AD53" s="931"/>
      <c r="AE53" s="927">
        <f>+$D53/24</f>
        <v>1.5599847379121643</v>
      </c>
      <c r="AF53" s="927">
        <f t="shared" si="18"/>
        <v>1.5599847379121643</v>
      </c>
      <c r="AG53" s="927">
        <f t="shared" si="18"/>
        <v>1.5599847379121643</v>
      </c>
      <c r="AH53" s="927">
        <f t="shared" si="18"/>
        <v>1.5599847379121643</v>
      </c>
      <c r="AI53" s="927">
        <f t="shared" si="18"/>
        <v>1.5599847379121643</v>
      </c>
      <c r="AJ53" s="927">
        <f t="shared" si="18"/>
        <v>1.5599847379121643</v>
      </c>
      <c r="AK53" s="927">
        <f t="shared" si="18"/>
        <v>1.5599847379121643</v>
      </c>
      <c r="AL53" s="927">
        <f t="shared" si="18"/>
        <v>1.5599847379121643</v>
      </c>
      <c r="AM53" s="927">
        <f t="shared" si="18"/>
        <v>1.5599847379121643</v>
      </c>
      <c r="AN53" s="927">
        <f t="shared" si="18"/>
        <v>1.5599847379121643</v>
      </c>
      <c r="AO53" s="927">
        <f t="shared" si="19"/>
        <v>1.5599847379121643</v>
      </c>
      <c r="AP53" s="927">
        <f t="shared" si="19"/>
        <v>1.5599847379121643</v>
      </c>
      <c r="AQ53" s="927">
        <f t="shared" si="19"/>
        <v>1.5599847379121643</v>
      </c>
      <c r="AR53" s="927">
        <f t="shared" si="19"/>
        <v>1.5599847379121643</v>
      </c>
      <c r="AS53" s="927">
        <f t="shared" si="19"/>
        <v>1.5599847379121643</v>
      </c>
      <c r="AT53" s="927">
        <f t="shared" si="19"/>
        <v>1.5599847379121643</v>
      </c>
      <c r="AU53" s="927">
        <f t="shared" si="19"/>
        <v>1.5599847379121643</v>
      </c>
      <c r="AV53" s="927">
        <f t="shared" si="19"/>
        <v>1.5599847379121643</v>
      </c>
      <c r="AW53" s="927">
        <f t="shared" si="19"/>
        <v>1.5599847379121643</v>
      </c>
      <c r="AX53" s="927">
        <f t="shared" si="19"/>
        <v>1.5599847379121643</v>
      </c>
      <c r="AY53" s="927">
        <f t="shared" si="19"/>
        <v>1.5599847379121643</v>
      </c>
      <c r="AZ53" s="927">
        <f t="shared" si="19"/>
        <v>1.5599847379121643</v>
      </c>
      <c r="BA53" s="927">
        <f t="shared" si="19"/>
        <v>1.5599847379121643</v>
      </c>
      <c r="BB53" s="927">
        <f t="shared" si="19"/>
        <v>1.5599847379121643</v>
      </c>
    </row>
    <row r="54" spans="1:65" x14ac:dyDescent="0.3">
      <c r="A54" s="923">
        <v>42856</v>
      </c>
      <c r="B54" s="928">
        <v>137631</v>
      </c>
      <c r="C54" s="929">
        <v>237.96579023906102</v>
      </c>
      <c r="D54" s="930">
        <f t="shared" si="20"/>
        <v>32.751469676392212</v>
      </c>
      <c r="E54" s="931"/>
      <c r="F54" s="931"/>
      <c r="G54" s="931"/>
      <c r="H54" s="931"/>
      <c r="I54" s="931"/>
      <c r="J54" s="931"/>
      <c r="K54" s="931"/>
      <c r="L54" s="931"/>
      <c r="M54" s="931"/>
      <c r="N54" s="931"/>
      <c r="O54" s="931"/>
      <c r="P54" s="931"/>
      <c r="Q54" s="931"/>
      <c r="R54" s="931"/>
      <c r="S54" s="931"/>
      <c r="T54" s="931"/>
      <c r="U54" s="931"/>
      <c r="V54" s="931"/>
      <c r="W54" s="931"/>
      <c r="X54" s="931"/>
      <c r="Y54" s="931"/>
      <c r="Z54" s="931"/>
      <c r="AA54" s="931"/>
      <c r="AB54" s="931"/>
      <c r="AC54" s="931"/>
      <c r="AD54" s="931"/>
      <c r="AE54" s="931"/>
      <c r="AF54" s="927">
        <f t="shared" si="18"/>
        <v>1.3646445698496754</v>
      </c>
      <c r="AG54" s="927">
        <f t="shared" si="18"/>
        <v>1.3646445698496754</v>
      </c>
      <c r="AH54" s="927">
        <f t="shared" si="18"/>
        <v>1.3646445698496754</v>
      </c>
      <c r="AI54" s="927">
        <f t="shared" si="18"/>
        <v>1.3646445698496754</v>
      </c>
      <c r="AJ54" s="927">
        <f t="shared" si="18"/>
        <v>1.3646445698496754</v>
      </c>
      <c r="AK54" s="927">
        <f t="shared" si="18"/>
        <v>1.3646445698496754</v>
      </c>
      <c r="AL54" s="927">
        <f t="shared" si="18"/>
        <v>1.3646445698496754</v>
      </c>
      <c r="AM54" s="927">
        <f t="shared" si="18"/>
        <v>1.3646445698496754</v>
      </c>
      <c r="AN54" s="927">
        <f t="shared" si="18"/>
        <v>1.3646445698496754</v>
      </c>
      <c r="AO54" s="927">
        <f t="shared" si="19"/>
        <v>1.3646445698496754</v>
      </c>
      <c r="AP54" s="927">
        <f t="shared" si="19"/>
        <v>1.3646445698496754</v>
      </c>
      <c r="AQ54" s="927">
        <f t="shared" si="19"/>
        <v>1.3646445698496754</v>
      </c>
      <c r="AR54" s="927">
        <f t="shared" si="19"/>
        <v>1.3646445698496754</v>
      </c>
      <c r="AS54" s="927">
        <f t="shared" si="19"/>
        <v>1.3646445698496754</v>
      </c>
      <c r="AT54" s="927">
        <f t="shared" si="19"/>
        <v>1.3646445698496754</v>
      </c>
      <c r="AU54" s="927">
        <f t="shared" si="19"/>
        <v>1.3646445698496754</v>
      </c>
      <c r="AV54" s="927">
        <f t="shared" si="19"/>
        <v>1.3646445698496754</v>
      </c>
      <c r="AW54" s="927">
        <f t="shared" si="19"/>
        <v>1.3646445698496754</v>
      </c>
      <c r="AX54" s="927">
        <f t="shared" si="19"/>
        <v>1.3646445698496754</v>
      </c>
      <c r="AY54" s="927">
        <f t="shared" si="19"/>
        <v>1.3646445698496754</v>
      </c>
      <c r="AZ54" s="927">
        <f t="shared" si="19"/>
        <v>1.3646445698496754</v>
      </c>
      <c r="BA54" s="927">
        <f t="shared" si="19"/>
        <v>1.3646445698496754</v>
      </c>
      <c r="BB54" s="927">
        <f t="shared" si="19"/>
        <v>1.3646445698496754</v>
      </c>
      <c r="BC54" s="927">
        <f t="shared" si="19"/>
        <v>1.3646445698496754</v>
      </c>
      <c r="BD54" s="927"/>
      <c r="BE54" s="927"/>
    </row>
    <row r="55" spans="1:65" x14ac:dyDescent="0.3">
      <c r="A55" s="923">
        <v>42887</v>
      </c>
      <c r="B55" s="928">
        <v>101712.71186440678</v>
      </c>
      <c r="C55" s="929">
        <v>211.9</v>
      </c>
      <c r="D55" s="930">
        <f t="shared" si="20"/>
        <v>21.552923644067796</v>
      </c>
      <c r="E55" s="931"/>
      <c r="F55" s="931"/>
      <c r="G55" s="931"/>
      <c r="H55" s="931"/>
      <c r="I55" s="931"/>
      <c r="J55" s="931"/>
      <c r="K55" s="931"/>
      <c r="L55" s="931"/>
      <c r="M55" s="931"/>
      <c r="N55" s="931"/>
      <c r="O55" s="931"/>
      <c r="P55" s="931"/>
      <c r="Q55" s="931"/>
      <c r="R55" s="931"/>
      <c r="S55" s="931"/>
      <c r="T55" s="931"/>
      <c r="U55" s="931"/>
      <c r="V55" s="931"/>
      <c r="W55" s="931"/>
      <c r="X55" s="931"/>
      <c r="Y55" s="931"/>
      <c r="Z55" s="931"/>
      <c r="AA55" s="931"/>
      <c r="AB55" s="931"/>
      <c r="AC55" s="931"/>
      <c r="AD55" s="931"/>
      <c r="AE55" s="931"/>
      <c r="AF55" s="931"/>
      <c r="AG55" s="927">
        <f t="shared" si="18"/>
        <v>0.89803848516949147</v>
      </c>
      <c r="AH55" s="927">
        <f t="shared" si="18"/>
        <v>0.89803848516949147</v>
      </c>
      <c r="AI55" s="927">
        <f t="shared" si="18"/>
        <v>0.89803848516949147</v>
      </c>
      <c r="AJ55" s="927">
        <f t="shared" si="18"/>
        <v>0.89803848516949147</v>
      </c>
      <c r="AK55" s="927">
        <f t="shared" si="18"/>
        <v>0.89803848516949147</v>
      </c>
      <c r="AL55" s="927">
        <f t="shared" si="18"/>
        <v>0.89803848516949147</v>
      </c>
      <c r="AM55" s="927">
        <f t="shared" si="18"/>
        <v>0.89803848516949147</v>
      </c>
      <c r="AN55" s="927">
        <f t="shared" si="18"/>
        <v>0.89803848516949147</v>
      </c>
      <c r="AO55" s="927">
        <f t="shared" si="19"/>
        <v>0.89803848516949147</v>
      </c>
      <c r="AP55" s="927">
        <f t="shared" si="19"/>
        <v>0.89803848516949147</v>
      </c>
      <c r="AQ55" s="927">
        <f t="shared" si="19"/>
        <v>0.89803848516949147</v>
      </c>
      <c r="AR55" s="927">
        <f t="shared" si="19"/>
        <v>0.89803848516949147</v>
      </c>
      <c r="AS55" s="927">
        <f t="shared" si="19"/>
        <v>0.89803848516949147</v>
      </c>
      <c r="AT55" s="927">
        <f t="shared" si="19"/>
        <v>0.89803848516949147</v>
      </c>
      <c r="AU55" s="927">
        <f t="shared" si="19"/>
        <v>0.89803848516949147</v>
      </c>
      <c r="AV55" s="927">
        <f t="shared" si="19"/>
        <v>0.89803848516949147</v>
      </c>
      <c r="AW55" s="927">
        <f t="shared" si="19"/>
        <v>0.89803848516949147</v>
      </c>
      <c r="AX55" s="927">
        <f t="shared" si="19"/>
        <v>0.89803848516949147</v>
      </c>
      <c r="AY55" s="927">
        <f t="shared" si="19"/>
        <v>0.89803848516949147</v>
      </c>
      <c r="AZ55" s="927">
        <f t="shared" si="19"/>
        <v>0.89803848516949147</v>
      </c>
      <c r="BA55" s="927">
        <f t="shared" si="19"/>
        <v>0.89803848516949147</v>
      </c>
      <c r="BB55" s="927">
        <f t="shared" si="19"/>
        <v>0.89803848516949147</v>
      </c>
      <c r="BC55" s="927">
        <f t="shared" si="19"/>
        <v>0.89803848516949147</v>
      </c>
      <c r="BD55" s="927">
        <f t="shared" si="19"/>
        <v>0.89803848516949147</v>
      </c>
    </row>
    <row r="56" spans="1:65" x14ac:dyDescent="0.3">
      <c r="A56" s="923">
        <v>42917</v>
      </c>
      <c r="B56" s="928">
        <v>146999.00031999999</v>
      </c>
      <c r="C56" s="929">
        <v>211.9</v>
      </c>
      <c r="D56" s="930">
        <f t="shared" si="20"/>
        <v>31.149088167807999</v>
      </c>
      <c r="E56" s="931"/>
      <c r="F56" s="931"/>
      <c r="G56" s="931"/>
      <c r="H56" s="931"/>
      <c r="I56" s="931"/>
      <c r="J56" s="931"/>
      <c r="K56" s="931"/>
      <c r="L56" s="931"/>
      <c r="M56" s="931"/>
      <c r="N56" s="931"/>
      <c r="O56" s="931"/>
      <c r="P56" s="931"/>
      <c r="Q56" s="931"/>
      <c r="R56" s="931"/>
      <c r="S56" s="931"/>
      <c r="T56" s="931"/>
      <c r="U56" s="931"/>
      <c r="V56" s="931"/>
      <c r="W56" s="931"/>
      <c r="X56" s="931"/>
      <c r="Y56" s="931"/>
      <c r="Z56" s="931"/>
      <c r="AA56" s="931"/>
      <c r="AB56" s="931"/>
      <c r="AC56" s="931"/>
      <c r="AD56" s="931"/>
      <c r="AE56" s="931"/>
      <c r="AF56" s="931"/>
      <c r="AG56" s="931"/>
      <c r="AH56" s="927">
        <f>+$D56/24</f>
        <v>1.2978786736586667</v>
      </c>
      <c r="AI56" s="927">
        <f t="shared" si="18"/>
        <v>1.2978786736586667</v>
      </c>
      <c r="AJ56" s="927">
        <f t="shared" si="18"/>
        <v>1.2978786736586667</v>
      </c>
      <c r="AK56" s="927">
        <f t="shared" si="18"/>
        <v>1.2978786736586667</v>
      </c>
      <c r="AL56" s="927">
        <f t="shared" si="18"/>
        <v>1.2978786736586667</v>
      </c>
      <c r="AM56" s="927">
        <f t="shared" si="18"/>
        <v>1.2978786736586667</v>
      </c>
      <c r="AN56" s="927">
        <f t="shared" si="18"/>
        <v>1.2978786736586667</v>
      </c>
      <c r="AO56" s="927">
        <f t="shared" si="19"/>
        <v>1.2978786736586667</v>
      </c>
      <c r="AP56" s="927">
        <f t="shared" si="19"/>
        <v>1.2978786736586667</v>
      </c>
      <c r="AQ56" s="927">
        <f t="shared" si="19"/>
        <v>1.2978786736586667</v>
      </c>
      <c r="AR56" s="927">
        <f t="shared" si="19"/>
        <v>1.2978786736586667</v>
      </c>
      <c r="AS56" s="927">
        <f t="shared" si="19"/>
        <v>1.2978786736586667</v>
      </c>
      <c r="AT56" s="927">
        <f t="shared" si="19"/>
        <v>1.2978786736586667</v>
      </c>
      <c r="AU56" s="927">
        <f t="shared" si="19"/>
        <v>1.2978786736586667</v>
      </c>
      <c r="AV56" s="927">
        <f t="shared" si="19"/>
        <v>1.2978786736586667</v>
      </c>
      <c r="AW56" s="927">
        <f t="shared" si="19"/>
        <v>1.2978786736586667</v>
      </c>
      <c r="AX56" s="927">
        <f t="shared" si="19"/>
        <v>1.2978786736586667</v>
      </c>
      <c r="AY56" s="927">
        <f t="shared" si="19"/>
        <v>1.2978786736586667</v>
      </c>
      <c r="AZ56" s="927">
        <f t="shared" si="19"/>
        <v>1.2978786736586667</v>
      </c>
      <c r="BA56" s="927">
        <f t="shared" si="19"/>
        <v>1.2978786736586667</v>
      </c>
      <c r="BB56" s="927">
        <f t="shared" si="19"/>
        <v>1.2978786736586667</v>
      </c>
      <c r="BC56" s="927">
        <f t="shared" si="19"/>
        <v>1.2978786736586667</v>
      </c>
      <c r="BD56" s="927">
        <f t="shared" si="19"/>
        <v>1.2978786736586667</v>
      </c>
      <c r="BE56" s="927">
        <f t="shared" ref="BC56:BR71" si="21">+$D56/24</f>
        <v>1.2978786736586667</v>
      </c>
    </row>
    <row r="57" spans="1:65" x14ac:dyDescent="0.3">
      <c r="A57" s="923">
        <v>42948</v>
      </c>
      <c r="B57" s="928">
        <f>34304237/(250/1.18)</f>
        <v>161915.99863999998</v>
      </c>
      <c r="C57" s="929">
        <v>211.9</v>
      </c>
      <c r="D57" s="930">
        <f t="shared" si="20"/>
        <v>34.310000111815995</v>
      </c>
      <c r="E57" s="931"/>
      <c r="F57" s="931"/>
      <c r="G57" s="931"/>
      <c r="H57" s="931"/>
      <c r="I57" s="931"/>
      <c r="J57" s="931"/>
      <c r="K57" s="931"/>
      <c r="L57" s="931"/>
      <c r="M57" s="931"/>
      <c r="N57" s="931"/>
      <c r="O57" s="931"/>
      <c r="P57" s="931"/>
      <c r="Q57" s="931"/>
      <c r="R57" s="931"/>
      <c r="S57" s="931"/>
      <c r="T57" s="931"/>
      <c r="U57" s="931"/>
      <c r="V57" s="931"/>
      <c r="W57" s="931"/>
      <c r="X57" s="931"/>
      <c r="Y57" s="931"/>
      <c r="Z57" s="931"/>
      <c r="AA57" s="931"/>
      <c r="AB57" s="931"/>
      <c r="AC57" s="931"/>
      <c r="AD57" s="931"/>
      <c r="AE57" s="931"/>
      <c r="AF57" s="931"/>
      <c r="AG57" s="931"/>
      <c r="AH57" s="931"/>
      <c r="AI57" s="927">
        <f t="shared" si="18"/>
        <v>1.4295833379923331</v>
      </c>
      <c r="AJ57" s="927">
        <f t="shared" si="18"/>
        <v>1.4295833379923331</v>
      </c>
      <c r="AK57" s="927">
        <f t="shared" si="18"/>
        <v>1.4295833379923331</v>
      </c>
      <c r="AL57" s="927">
        <f t="shared" si="18"/>
        <v>1.4295833379923331</v>
      </c>
      <c r="AM57" s="927">
        <f t="shared" si="18"/>
        <v>1.4295833379923331</v>
      </c>
      <c r="AN57" s="927">
        <f t="shared" si="18"/>
        <v>1.4295833379923331</v>
      </c>
      <c r="AO57" s="927">
        <f t="shared" si="19"/>
        <v>1.4295833379923331</v>
      </c>
      <c r="AP57" s="927">
        <f t="shared" si="19"/>
        <v>1.4295833379923331</v>
      </c>
      <c r="AQ57" s="927">
        <f t="shared" si="19"/>
        <v>1.4295833379923331</v>
      </c>
      <c r="AR57" s="927">
        <f t="shared" si="19"/>
        <v>1.4295833379923331</v>
      </c>
      <c r="AS57" s="927">
        <f t="shared" si="19"/>
        <v>1.4295833379923331</v>
      </c>
      <c r="AT57" s="927">
        <f t="shared" si="19"/>
        <v>1.4295833379923331</v>
      </c>
      <c r="AU57" s="927">
        <f t="shared" si="19"/>
        <v>1.4295833379923331</v>
      </c>
      <c r="AV57" s="927">
        <f t="shared" si="19"/>
        <v>1.4295833379923331</v>
      </c>
      <c r="AW57" s="927">
        <f t="shared" si="19"/>
        <v>1.4295833379923331</v>
      </c>
      <c r="AX57" s="927">
        <f t="shared" si="19"/>
        <v>1.4295833379923331</v>
      </c>
      <c r="AY57" s="927">
        <f t="shared" si="19"/>
        <v>1.4295833379923331</v>
      </c>
      <c r="AZ57" s="927">
        <f t="shared" si="19"/>
        <v>1.4295833379923331</v>
      </c>
      <c r="BA57" s="927">
        <f t="shared" si="19"/>
        <v>1.4295833379923331</v>
      </c>
      <c r="BB57" s="927">
        <f t="shared" si="19"/>
        <v>1.4295833379923331</v>
      </c>
      <c r="BC57" s="927">
        <f t="shared" si="19"/>
        <v>1.4295833379923331</v>
      </c>
      <c r="BD57" s="927">
        <f t="shared" si="21"/>
        <v>1.4295833379923331</v>
      </c>
      <c r="BE57" s="927">
        <f t="shared" si="21"/>
        <v>1.4295833379923331</v>
      </c>
      <c r="BF57" s="927">
        <f t="shared" si="21"/>
        <v>1.4295833379923331</v>
      </c>
    </row>
    <row r="58" spans="1:65" x14ac:dyDescent="0.3">
      <c r="A58" s="923">
        <v>42979</v>
      </c>
      <c r="B58" s="928">
        <f>32825847/(250/1.18)</f>
        <v>154937.99784</v>
      </c>
      <c r="C58" s="929">
        <v>211.9</v>
      </c>
      <c r="D58" s="930">
        <f t="shared" si="20"/>
        <v>32.831361742295996</v>
      </c>
      <c r="E58" s="931"/>
      <c r="F58" s="931"/>
      <c r="G58" s="931"/>
      <c r="H58" s="931"/>
      <c r="I58" s="931"/>
      <c r="J58" s="931"/>
      <c r="K58" s="931"/>
      <c r="L58" s="931"/>
      <c r="M58" s="931"/>
      <c r="N58" s="931"/>
      <c r="O58" s="931"/>
      <c r="P58" s="931"/>
      <c r="Q58" s="931"/>
      <c r="R58" s="931"/>
      <c r="S58" s="931"/>
      <c r="T58" s="931"/>
      <c r="U58" s="931"/>
      <c r="V58" s="931"/>
      <c r="W58" s="931"/>
      <c r="X58" s="931"/>
      <c r="Y58" s="931"/>
      <c r="Z58" s="931"/>
      <c r="AA58" s="931"/>
      <c r="AB58" s="931"/>
      <c r="AC58" s="931"/>
      <c r="AD58" s="931"/>
      <c r="AE58" s="931"/>
      <c r="AF58" s="931"/>
      <c r="AG58" s="931"/>
      <c r="AH58" s="931"/>
      <c r="AI58" s="931"/>
      <c r="AJ58" s="927">
        <f t="shared" si="18"/>
        <v>1.3679734059289999</v>
      </c>
      <c r="AK58" s="927">
        <f t="shared" si="18"/>
        <v>1.3679734059289999</v>
      </c>
      <c r="AL58" s="927">
        <f t="shared" si="18"/>
        <v>1.3679734059289999</v>
      </c>
      <c r="AM58" s="927">
        <f t="shared" si="18"/>
        <v>1.3679734059289999</v>
      </c>
      <c r="AN58" s="927">
        <f t="shared" si="18"/>
        <v>1.3679734059289999</v>
      </c>
      <c r="AO58" s="927">
        <f t="shared" si="19"/>
        <v>1.3679734059289999</v>
      </c>
      <c r="AP58" s="927">
        <f t="shared" si="19"/>
        <v>1.3679734059289999</v>
      </c>
      <c r="AQ58" s="927">
        <f t="shared" si="19"/>
        <v>1.3679734059289999</v>
      </c>
      <c r="AR58" s="927">
        <f t="shared" si="19"/>
        <v>1.3679734059289999</v>
      </c>
      <c r="AS58" s="927">
        <f t="shared" si="19"/>
        <v>1.3679734059289999</v>
      </c>
      <c r="AT58" s="927">
        <f t="shared" si="19"/>
        <v>1.3679734059289999</v>
      </c>
      <c r="AU58" s="927">
        <f t="shared" si="19"/>
        <v>1.3679734059289999</v>
      </c>
      <c r="AV58" s="927">
        <f t="shared" si="19"/>
        <v>1.3679734059289999</v>
      </c>
      <c r="AW58" s="927">
        <f t="shared" si="19"/>
        <v>1.3679734059289999</v>
      </c>
      <c r="AX58" s="927">
        <f t="shared" si="19"/>
        <v>1.3679734059289999</v>
      </c>
      <c r="AY58" s="927">
        <f t="shared" si="19"/>
        <v>1.3679734059289999</v>
      </c>
      <c r="AZ58" s="927">
        <f t="shared" si="19"/>
        <v>1.3679734059289999</v>
      </c>
      <c r="BA58" s="927">
        <f t="shared" si="19"/>
        <v>1.3679734059289999</v>
      </c>
      <c r="BB58" s="927">
        <f t="shared" si="19"/>
        <v>1.3679734059289999</v>
      </c>
      <c r="BC58" s="927">
        <f t="shared" si="19"/>
        <v>1.3679734059289999</v>
      </c>
      <c r="BD58" s="927">
        <f t="shared" si="21"/>
        <v>1.3679734059289999</v>
      </c>
      <c r="BE58" s="927">
        <f t="shared" si="21"/>
        <v>1.3679734059289999</v>
      </c>
      <c r="BF58" s="927">
        <f t="shared" si="21"/>
        <v>1.3679734059289999</v>
      </c>
      <c r="BG58" s="927">
        <f t="shared" si="21"/>
        <v>1.3679734059289999</v>
      </c>
    </row>
    <row r="59" spans="1:65" x14ac:dyDescent="0.3">
      <c r="A59" s="923">
        <v>43009</v>
      </c>
      <c r="B59" s="928">
        <v>140053</v>
      </c>
      <c r="C59" s="929">
        <v>211.9</v>
      </c>
      <c r="D59" s="930">
        <f t="shared" si="20"/>
        <v>29.677230699999999</v>
      </c>
      <c r="E59" s="931"/>
      <c r="F59" s="931"/>
      <c r="G59" s="931"/>
      <c r="H59" s="931"/>
      <c r="I59" s="931"/>
      <c r="J59" s="931"/>
      <c r="K59" s="931"/>
      <c r="L59" s="931"/>
      <c r="M59" s="931"/>
      <c r="N59" s="931"/>
      <c r="O59" s="931"/>
      <c r="P59" s="931"/>
      <c r="Q59" s="931"/>
      <c r="R59" s="931"/>
      <c r="S59" s="931"/>
      <c r="T59" s="931"/>
      <c r="U59" s="931"/>
      <c r="V59" s="931"/>
      <c r="W59" s="931"/>
      <c r="X59" s="931"/>
      <c r="Y59" s="931"/>
      <c r="Z59" s="931"/>
      <c r="AA59" s="931"/>
      <c r="AB59" s="931"/>
      <c r="AC59" s="931"/>
      <c r="AD59" s="931"/>
      <c r="AE59" s="931"/>
      <c r="AF59" s="931"/>
      <c r="AG59" s="931"/>
      <c r="AH59" s="931"/>
      <c r="AI59" s="931"/>
      <c r="AJ59" s="931"/>
      <c r="AK59" s="927">
        <f>+$D59/24</f>
        <v>1.2365512791666666</v>
      </c>
      <c r="AL59" s="927">
        <f t="shared" si="18"/>
        <v>1.2365512791666666</v>
      </c>
      <c r="AM59" s="927">
        <f t="shared" si="18"/>
        <v>1.2365512791666666</v>
      </c>
      <c r="AN59" s="927">
        <f t="shared" si="18"/>
        <v>1.2365512791666666</v>
      </c>
      <c r="AO59" s="927">
        <f t="shared" si="19"/>
        <v>1.2365512791666666</v>
      </c>
      <c r="AP59" s="927">
        <f t="shared" si="19"/>
        <v>1.2365512791666666</v>
      </c>
      <c r="AQ59" s="927">
        <f t="shared" si="19"/>
        <v>1.2365512791666666</v>
      </c>
      <c r="AR59" s="927">
        <f t="shared" si="19"/>
        <v>1.2365512791666666</v>
      </c>
      <c r="AS59" s="927">
        <f t="shared" si="19"/>
        <v>1.2365512791666666</v>
      </c>
      <c r="AT59" s="927">
        <f t="shared" si="19"/>
        <v>1.2365512791666666</v>
      </c>
      <c r="AU59" s="927">
        <f t="shared" si="19"/>
        <v>1.2365512791666666</v>
      </c>
      <c r="AV59" s="927">
        <f t="shared" si="19"/>
        <v>1.2365512791666666</v>
      </c>
      <c r="AW59" s="927">
        <f t="shared" si="19"/>
        <v>1.2365512791666666</v>
      </c>
      <c r="AX59" s="927">
        <f t="shared" si="19"/>
        <v>1.2365512791666666</v>
      </c>
      <c r="AY59" s="927">
        <f t="shared" si="19"/>
        <v>1.2365512791666666</v>
      </c>
      <c r="AZ59" s="927">
        <f t="shared" si="19"/>
        <v>1.2365512791666666</v>
      </c>
      <c r="BA59" s="927">
        <f t="shared" si="19"/>
        <v>1.2365512791666666</v>
      </c>
      <c r="BB59" s="927">
        <f t="shared" si="19"/>
        <v>1.2365512791666666</v>
      </c>
      <c r="BC59" s="927">
        <f t="shared" si="21"/>
        <v>1.2365512791666666</v>
      </c>
      <c r="BD59" s="927">
        <f t="shared" si="21"/>
        <v>1.2365512791666666</v>
      </c>
      <c r="BE59" s="927">
        <f t="shared" si="21"/>
        <v>1.2365512791666666</v>
      </c>
      <c r="BF59" s="927">
        <f t="shared" si="21"/>
        <v>1.2365512791666666</v>
      </c>
      <c r="BG59" s="927">
        <f t="shared" si="21"/>
        <v>1.2365512791666666</v>
      </c>
      <c r="BH59" s="927">
        <f t="shared" si="21"/>
        <v>1.2365512791666666</v>
      </c>
    </row>
    <row r="60" spans="1:65" x14ac:dyDescent="0.3">
      <c r="A60" s="923">
        <v>43040</v>
      </c>
      <c r="B60" s="928">
        <v>147447.20000000001</v>
      </c>
      <c r="C60" s="929">
        <v>211.9</v>
      </c>
      <c r="D60" s="930">
        <f t="shared" ref="D60:D72" si="22">+(B60*C60)/10^6</f>
        <v>31.244061680000005</v>
      </c>
      <c r="E60" s="931"/>
      <c r="F60" s="931"/>
      <c r="G60" s="931"/>
      <c r="H60" s="931"/>
      <c r="I60" s="931"/>
      <c r="J60" s="931"/>
      <c r="K60" s="931"/>
      <c r="L60" s="931"/>
      <c r="M60" s="931"/>
      <c r="N60" s="931"/>
      <c r="O60" s="931"/>
      <c r="P60" s="931"/>
      <c r="Q60" s="931"/>
      <c r="R60" s="931"/>
      <c r="S60" s="931"/>
      <c r="T60" s="931"/>
      <c r="U60" s="931"/>
      <c r="V60" s="931"/>
      <c r="W60" s="931"/>
      <c r="X60" s="931"/>
      <c r="Y60" s="931"/>
      <c r="Z60" s="931"/>
      <c r="AA60" s="931"/>
      <c r="AB60" s="931"/>
      <c r="AC60" s="931"/>
      <c r="AD60" s="931"/>
      <c r="AE60" s="931"/>
      <c r="AF60" s="931"/>
      <c r="AG60" s="931"/>
      <c r="AH60" s="931"/>
      <c r="AI60" s="931"/>
      <c r="AJ60" s="931"/>
      <c r="AK60" s="931"/>
      <c r="AL60" s="927">
        <f t="shared" si="18"/>
        <v>1.3018359033333335</v>
      </c>
      <c r="AM60" s="927">
        <f t="shared" si="18"/>
        <v>1.3018359033333335</v>
      </c>
      <c r="AN60" s="927">
        <f t="shared" si="18"/>
        <v>1.3018359033333335</v>
      </c>
      <c r="AO60" s="927">
        <f t="shared" si="19"/>
        <v>1.3018359033333335</v>
      </c>
      <c r="AP60" s="927">
        <f t="shared" si="19"/>
        <v>1.3018359033333335</v>
      </c>
      <c r="AQ60" s="927">
        <f t="shared" si="19"/>
        <v>1.3018359033333335</v>
      </c>
      <c r="AR60" s="927">
        <f t="shared" si="19"/>
        <v>1.3018359033333335</v>
      </c>
      <c r="AS60" s="927">
        <f t="shared" si="19"/>
        <v>1.3018359033333335</v>
      </c>
      <c r="AT60" s="927">
        <f t="shared" si="19"/>
        <v>1.3018359033333335</v>
      </c>
      <c r="AU60" s="927">
        <f t="shared" si="19"/>
        <v>1.3018359033333335</v>
      </c>
      <c r="AV60" s="927">
        <f t="shared" si="19"/>
        <v>1.3018359033333335</v>
      </c>
      <c r="AW60" s="927">
        <f t="shared" si="19"/>
        <v>1.3018359033333335</v>
      </c>
      <c r="AX60" s="927">
        <f t="shared" si="19"/>
        <v>1.3018359033333335</v>
      </c>
      <c r="AY60" s="927">
        <f t="shared" si="19"/>
        <v>1.3018359033333335</v>
      </c>
      <c r="AZ60" s="927">
        <f t="shared" si="19"/>
        <v>1.3018359033333335</v>
      </c>
      <c r="BA60" s="927">
        <f t="shared" si="19"/>
        <v>1.3018359033333335</v>
      </c>
      <c r="BB60" s="927">
        <f t="shared" si="19"/>
        <v>1.3018359033333335</v>
      </c>
      <c r="BC60" s="927">
        <f t="shared" si="21"/>
        <v>1.3018359033333335</v>
      </c>
      <c r="BD60" s="927">
        <f t="shared" si="21"/>
        <v>1.3018359033333335</v>
      </c>
      <c r="BE60" s="927">
        <f t="shared" si="21"/>
        <v>1.3018359033333335</v>
      </c>
      <c r="BF60" s="927">
        <f t="shared" si="21"/>
        <v>1.3018359033333335</v>
      </c>
      <c r="BG60" s="927">
        <f t="shared" si="21"/>
        <v>1.3018359033333335</v>
      </c>
      <c r="BH60" s="927">
        <f t="shared" si="21"/>
        <v>1.3018359033333335</v>
      </c>
      <c r="BI60" s="927">
        <f t="shared" si="21"/>
        <v>1.3018359033333335</v>
      </c>
    </row>
    <row r="61" spans="1:65" x14ac:dyDescent="0.3">
      <c r="A61" s="923">
        <v>43070</v>
      </c>
      <c r="B61" s="928">
        <v>120101.6</v>
      </c>
      <c r="C61" s="929">
        <v>211.9</v>
      </c>
      <c r="D61" s="930">
        <f t="shared" si="22"/>
        <v>25.449529040000002</v>
      </c>
      <c r="E61" s="931"/>
      <c r="F61" s="931"/>
      <c r="G61" s="931"/>
      <c r="H61" s="931"/>
      <c r="I61" s="931"/>
      <c r="J61" s="931"/>
      <c r="K61" s="931"/>
      <c r="L61" s="931"/>
      <c r="M61" s="931"/>
      <c r="N61" s="931"/>
      <c r="O61" s="931"/>
      <c r="P61" s="931"/>
      <c r="Q61" s="931"/>
      <c r="R61" s="931"/>
      <c r="S61" s="931"/>
      <c r="T61" s="931"/>
      <c r="U61" s="931"/>
      <c r="V61" s="931"/>
      <c r="W61" s="931"/>
      <c r="X61" s="931"/>
      <c r="Y61" s="931"/>
      <c r="Z61" s="931"/>
      <c r="AA61" s="931"/>
      <c r="AB61" s="931"/>
      <c r="AC61" s="931"/>
      <c r="AD61" s="931"/>
      <c r="AE61" s="931"/>
      <c r="AF61" s="931"/>
      <c r="AG61" s="931"/>
      <c r="AH61" s="931"/>
      <c r="AI61" s="931"/>
      <c r="AJ61" s="931"/>
      <c r="AK61" s="931"/>
      <c r="AL61" s="931"/>
      <c r="AM61" s="927">
        <f t="shared" si="18"/>
        <v>1.0603970433333334</v>
      </c>
      <c r="AN61" s="927">
        <f t="shared" si="18"/>
        <v>1.0603970433333334</v>
      </c>
      <c r="AO61" s="927">
        <f t="shared" si="19"/>
        <v>1.0603970433333334</v>
      </c>
      <c r="AP61" s="927">
        <f t="shared" si="19"/>
        <v>1.0603970433333334</v>
      </c>
      <c r="AQ61" s="927">
        <f t="shared" si="19"/>
        <v>1.0603970433333334</v>
      </c>
      <c r="AR61" s="927">
        <f t="shared" si="19"/>
        <v>1.0603970433333334</v>
      </c>
      <c r="AS61" s="927">
        <f t="shared" si="19"/>
        <v>1.0603970433333334</v>
      </c>
      <c r="AT61" s="927">
        <f t="shared" si="19"/>
        <v>1.0603970433333334</v>
      </c>
      <c r="AU61" s="927">
        <f t="shared" si="19"/>
        <v>1.0603970433333334</v>
      </c>
      <c r="AV61" s="927">
        <f t="shared" si="19"/>
        <v>1.0603970433333334</v>
      </c>
      <c r="AW61" s="927">
        <f t="shared" si="19"/>
        <v>1.0603970433333334</v>
      </c>
      <c r="AX61" s="927">
        <f t="shared" si="19"/>
        <v>1.0603970433333334</v>
      </c>
      <c r="AY61" s="927">
        <f t="shared" si="19"/>
        <v>1.0603970433333334</v>
      </c>
      <c r="AZ61" s="927">
        <f t="shared" si="19"/>
        <v>1.0603970433333334</v>
      </c>
      <c r="BA61" s="927">
        <f t="shared" si="19"/>
        <v>1.0603970433333334</v>
      </c>
      <c r="BB61" s="927">
        <f t="shared" si="19"/>
        <v>1.0603970433333334</v>
      </c>
      <c r="BC61" s="927">
        <f t="shared" si="19"/>
        <v>1.0603970433333334</v>
      </c>
      <c r="BD61" s="927">
        <f t="shared" si="21"/>
        <v>1.0603970433333334</v>
      </c>
      <c r="BE61" s="927">
        <f t="shared" si="21"/>
        <v>1.0603970433333334</v>
      </c>
      <c r="BF61" s="927">
        <f t="shared" si="21"/>
        <v>1.0603970433333334</v>
      </c>
      <c r="BG61" s="927">
        <f t="shared" si="21"/>
        <v>1.0603970433333334</v>
      </c>
      <c r="BH61" s="927">
        <f t="shared" si="21"/>
        <v>1.0603970433333334</v>
      </c>
      <c r="BI61" s="927">
        <f t="shared" si="21"/>
        <v>1.0603970433333334</v>
      </c>
      <c r="BJ61" s="927">
        <f t="shared" si="21"/>
        <v>1.0603970433333334</v>
      </c>
    </row>
    <row r="62" spans="1:65" x14ac:dyDescent="0.3">
      <c r="A62" s="923">
        <v>43101</v>
      </c>
      <c r="B62" s="928">
        <v>266514</v>
      </c>
      <c r="C62" s="929">
        <v>200</v>
      </c>
      <c r="D62" s="930">
        <f t="shared" si="22"/>
        <v>53.302799999999998</v>
      </c>
      <c r="E62" s="931"/>
      <c r="F62" s="931"/>
      <c r="G62" s="931"/>
      <c r="H62" s="931"/>
      <c r="I62" s="931"/>
      <c r="J62" s="931"/>
      <c r="K62" s="931"/>
      <c r="L62" s="931"/>
      <c r="M62" s="931"/>
      <c r="N62" s="931"/>
      <c r="O62" s="931"/>
      <c r="P62" s="931"/>
      <c r="Q62" s="931"/>
      <c r="R62" s="931"/>
      <c r="S62" s="931"/>
      <c r="T62" s="931"/>
      <c r="U62" s="931"/>
      <c r="V62" s="931"/>
      <c r="W62" s="931"/>
      <c r="X62" s="931"/>
      <c r="Y62" s="931"/>
      <c r="Z62" s="931"/>
      <c r="AA62" s="931"/>
      <c r="AB62" s="931"/>
      <c r="AC62" s="931"/>
      <c r="AD62" s="931"/>
      <c r="AE62" s="931"/>
      <c r="AF62" s="931"/>
      <c r="AG62" s="931"/>
      <c r="AH62" s="931"/>
      <c r="AI62" s="931"/>
      <c r="AJ62" s="931"/>
      <c r="AK62" s="931"/>
      <c r="AL62" s="931"/>
      <c r="AM62" s="931"/>
      <c r="AN62" s="927">
        <f>+$D62/24</f>
        <v>2.2209499999999998</v>
      </c>
      <c r="AO62" s="927">
        <f t="shared" si="19"/>
        <v>2.2209499999999998</v>
      </c>
      <c r="AP62" s="927">
        <f t="shared" si="19"/>
        <v>2.2209499999999998</v>
      </c>
      <c r="AQ62" s="927">
        <f t="shared" si="19"/>
        <v>2.2209499999999998</v>
      </c>
      <c r="AR62" s="927">
        <f t="shared" si="19"/>
        <v>2.2209499999999998</v>
      </c>
      <c r="AS62" s="927">
        <f t="shared" si="19"/>
        <v>2.2209499999999998</v>
      </c>
      <c r="AT62" s="927">
        <f t="shared" si="19"/>
        <v>2.2209499999999998</v>
      </c>
      <c r="AU62" s="927">
        <f t="shared" si="19"/>
        <v>2.2209499999999998</v>
      </c>
      <c r="AV62" s="927">
        <f t="shared" si="19"/>
        <v>2.2209499999999998</v>
      </c>
      <c r="AW62" s="927">
        <f t="shared" si="19"/>
        <v>2.2209499999999998</v>
      </c>
      <c r="AX62" s="927">
        <f t="shared" si="19"/>
        <v>2.2209499999999998</v>
      </c>
      <c r="AY62" s="927">
        <f t="shared" si="19"/>
        <v>2.2209499999999998</v>
      </c>
      <c r="AZ62" s="927">
        <f t="shared" si="19"/>
        <v>2.2209499999999998</v>
      </c>
      <c r="BA62" s="927">
        <f t="shared" si="19"/>
        <v>2.2209499999999998</v>
      </c>
      <c r="BB62" s="927">
        <f t="shared" si="19"/>
        <v>2.2209499999999998</v>
      </c>
      <c r="BC62" s="927">
        <f t="shared" si="21"/>
        <v>2.2209499999999998</v>
      </c>
      <c r="BD62" s="927">
        <f t="shared" si="21"/>
        <v>2.2209499999999998</v>
      </c>
      <c r="BE62" s="927">
        <f t="shared" si="21"/>
        <v>2.2209499999999998</v>
      </c>
      <c r="BF62" s="927">
        <f t="shared" si="21"/>
        <v>2.2209499999999998</v>
      </c>
      <c r="BG62" s="927">
        <f t="shared" si="21"/>
        <v>2.2209499999999998</v>
      </c>
      <c r="BH62" s="927">
        <f t="shared" si="21"/>
        <v>2.2209499999999998</v>
      </c>
      <c r="BI62" s="927">
        <f t="shared" si="21"/>
        <v>2.2209499999999998</v>
      </c>
      <c r="BJ62" s="927">
        <f t="shared" si="21"/>
        <v>2.2209499999999998</v>
      </c>
      <c r="BK62" s="927">
        <f>+$D62/24</f>
        <v>2.2209499999999998</v>
      </c>
    </row>
    <row r="63" spans="1:65" x14ac:dyDescent="0.3">
      <c r="A63" s="923">
        <v>43132</v>
      </c>
      <c r="B63" s="928">
        <v>269814</v>
      </c>
      <c r="C63" s="929">
        <v>139.37</v>
      </c>
      <c r="D63" s="930">
        <f t="shared" si="22"/>
        <v>37.603977180000001</v>
      </c>
      <c r="E63" s="931"/>
      <c r="F63" s="931"/>
      <c r="G63" s="931"/>
      <c r="H63" s="931"/>
      <c r="I63" s="931"/>
      <c r="J63" s="931"/>
      <c r="K63" s="931"/>
      <c r="L63" s="931"/>
      <c r="M63" s="931"/>
      <c r="N63" s="931"/>
      <c r="O63" s="931"/>
      <c r="P63" s="931"/>
      <c r="Q63" s="931"/>
      <c r="R63" s="931"/>
      <c r="S63" s="931"/>
      <c r="T63" s="931"/>
      <c r="U63" s="931"/>
      <c r="V63" s="931"/>
      <c r="W63" s="931"/>
      <c r="X63" s="931"/>
      <c r="Y63" s="931"/>
      <c r="Z63" s="931"/>
      <c r="AA63" s="931"/>
      <c r="AB63" s="931"/>
      <c r="AC63" s="931"/>
      <c r="AD63" s="931"/>
      <c r="AE63" s="931"/>
      <c r="AF63" s="931"/>
      <c r="AG63" s="931"/>
      <c r="AH63" s="931"/>
      <c r="AI63" s="931"/>
      <c r="AJ63" s="931"/>
      <c r="AK63" s="931"/>
      <c r="AL63" s="931"/>
      <c r="AM63" s="931"/>
      <c r="AN63" s="931"/>
      <c r="AO63" s="927">
        <f t="shared" si="19"/>
        <v>1.5668323825000001</v>
      </c>
      <c r="AP63" s="927">
        <f t="shared" si="19"/>
        <v>1.5668323825000001</v>
      </c>
      <c r="AQ63" s="927">
        <f t="shared" si="19"/>
        <v>1.5668323825000001</v>
      </c>
      <c r="AR63" s="927">
        <f t="shared" si="19"/>
        <v>1.5668323825000001</v>
      </c>
      <c r="AS63" s="927">
        <f t="shared" si="19"/>
        <v>1.5668323825000001</v>
      </c>
      <c r="AT63" s="927">
        <f t="shared" si="19"/>
        <v>1.5668323825000001</v>
      </c>
      <c r="AU63" s="927">
        <f t="shared" si="19"/>
        <v>1.5668323825000001</v>
      </c>
      <c r="AV63" s="927">
        <f t="shared" si="19"/>
        <v>1.5668323825000001</v>
      </c>
      <c r="AW63" s="927">
        <f t="shared" si="19"/>
        <v>1.5668323825000001</v>
      </c>
      <c r="AX63" s="927">
        <f t="shared" si="19"/>
        <v>1.5668323825000001</v>
      </c>
      <c r="AY63" s="927">
        <f t="shared" si="19"/>
        <v>1.5668323825000001</v>
      </c>
      <c r="AZ63" s="927">
        <f t="shared" si="19"/>
        <v>1.5668323825000001</v>
      </c>
      <c r="BA63" s="927">
        <f t="shared" si="19"/>
        <v>1.5668323825000001</v>
      </c>
      <c r="BB63" s="927">
        <f t="shared" si="19"/>
        <v>1.5668323825000001</v>
      </c>
      <c r="BC63" s="927">
        <f t="shared" si="21"/>
        <v>1.5668323825000001</v>
      </c>
      <c r="BD63" s="927">
        <f t="shared" si="21"/>
        <v>1.5668323825000001</v>
      </c>
      <c r="BE63" s="927">
        <f t="shared" si="21"/>
        <v>1.5668323825000001</v>
      </c>
      <c r="BF63" s="927">
        <f t="shared" si="21"/>
        <v>1.5668323825000001</v>
      </c>
      <c r="BG63" s="927">
        <f t="shared" si="21"/>
        <v>1.5668323825000001</v>
      </c>
      <c r="BH63" s="927">
        <f t="shared" si="21"/>
        <v>1.5668323825000001</v>
      </c>
      <c r="BI63" s="927">
        <f t="shared" si="21"/>
        <v>1.5668323825000001</v>
      </c>
      <c r="BJ63" s="927">
        <f t="shared" si="21"/>
        <v>1.5668323825000001</v>
      </c>
      <c r="BK63" s="927">
        <f t="shared" si="21"/>
        <v>1.5668323825000001</v>
      </c>
      <c r="BL63" s="927">
        <f t="shared" si="21"/>
        <v>1.5668323825000001</v>
      </c>
    </row>
    <row r="64" spans="1:65" x14ac:dyDescent="0.3">
      <c r="A64" s="923">
        <v>43160</v>
      </c>
      <c r="B64" s="928">
        <v>275289.1018114406</v>
      </c>
      <c r="C64" s="929">
        <v>139.37</v>
      </c>
      <c r="D64" s="930">
        <f t="shared" si="22"/>
        <v>38.367042119460478</v>
      </c>
      <c r="E64" s="931"/>
      <c r="F64" s="931"/>
      <c r="G64" s="931"/>
      <c r="H64" s="931"/>
      <c r="I64" s="931"/>
      <c r="J64" s="931"/>
      <c r="K64" s="931"/>
      <c r="L64" s="931"/>
      <c r="M64" s="931"/>
      <c r="N64" s="931"/>
      <c r="O64" s="931"/>
      <c r="P64" s="931"/>
      <c r="Q64" s="931"/>
      <c r="R64" s="931"/>
      <c r="S64" s="931"/>
      <c r="T64" s="931"/>
      <c r="U64" s="931"/>
      <c r="V64" s="931"/>
      <c r="W64" s="931"/>
      <c r="X64" s="931"/>
      <c r="Y64" s="931"/>
      <c r="Z64" s="931"/>
      <c r="AA64" s="931"/>
      <c r="AB64" s="931"/>
      <c r="AC64" s="931"/>
      <c r="AD64" s="931"/>
      <c r="AE64" s="931"/>
      <c r="AF64" s="931"/>
      <c r="AG64" s="931"/>
      <c r="AH64" s="931"/>
      <c r="AI64" s="931"/>
      <c r="AJ64" s="931"/>
      <c r="AK64" s="931"/>
      <c r="AL64" s="931"/>
      <c r="AM64" s="931"/>
      <c r="AN64" s="931"/>
      <c r="AO64" s="931"/>
      <c r="AP64" s="927">
        <f t="shared" ref="AP64:BB64" si="23">+$D64/24</f>
        <v>1.5986267549775199</v>
      </c>
      <c r="AQ64" s="927">
        <f t="shared" si="23"/>
        <v>1.5986267549775199</v>
      </c>
      <c r="AR64" s="927">
        <f t="shared" si="23"/>
        <v>1.5986267549775199</v>
      </c>
      <c r="AS64" s="927">
        <f t="shared" si="23"/>
        <v>1.5986267549775199</v>
      </c>
      <c r="AT64" s="927">
        <f t="shared" si="23"/>
        <v>1.5986267549775199</v>
      </c>
      <c r="AU64" s="927">
        <f t="shared" si="23"/>
        <v>1.5986267549775199</v>
      </c>
      <c r="AV64" s="927">
        <f t="shared" si="23"/>
        <v>1.5986267549775199</v>
      </c>
      <c r="AW64" s="927">
        <f t="shared" si="23"/>
        <v>1.5986267549775199</v>
      </c>
      <c r="AX64" s="927">
        <f t="shared" si="23"/>
        <v>1.5986267549775199</v>
      </c>
      <c r="AY64" s="927">
        <f t="shared" si="23"/>
        <v>1.5986267549775199</v>
      </c>
      <c r="AZ64" s="927">
        <f t="shared" si="23"/>
        <v>1.5986267549775199</v>
      </c>
      <c r="BA64" s="927">
        <f t="shared" si="23"/>
        <v>1.5986267549775199</v>
      </c>
      <c r="BB64" s="927">
        <f t="shared" si="23"/>
        <v>1.5986267549775199</v>
      </c>
      <c r="BC64" s="927">
        <f t="shared" si="21"/>
        <v>1.5986267549775199</v>
      </c>
      <c r="BD64" s="927">
        <f t="shared" si="21"/>
        <v>1.5986267549775199</v>
      </c>
      <c r="BE64" s="927">
        <f t="shared" si="21"/>
        <v>1.5986267549775199</v>
      </c>
      <c r="BF64" s="927">
        <f t="shared" si="21"/>
        <v>1.5986267549775199</v>
      </c>
      <c r="BG64" s="927">
        <f t="shared" si="21"/>
        <v>1.5986267549775199</v>
      </c>
      <c r="BH64" s="927">
        <f t="shared" si="21"/>
        <v>1.5986267549775199</v>
      </c>
      <c r="BI64" s="927">
        <f t="shared" si="21"/>
        <v>1.5986267549775199</v>
      </c>
      <c r="BJ64" s="927">
        <f t="shared" si="21"/>
        <v>1.5986267549775199</v>
      </c>
      <c r="BK64" s="927">
        <f t="shared" si="21"/>
        <v>1.5986267549775199</v>
      </c>
      <c r="BL64" s="927">
        <f t="shared" si="21"/>
        <v>1.5986267549775199</v>
      </c>
      <c r="BM64" s="927">
        <f t="shared" si="21"/>
        <v>1.5986267549775199</v>
      </c>
    </row>
    <row r="65" spans="1:81" x14ac:dyDescent="0.3">
      <c r="A65" s="923">
        <v>43191</v>
      </c>
      <c r="B65" s="932">
        <v>231645.34175094689</v>
      </c>
      <c r="C65" s="929">
        <v>139.37</v>
      </c>
      <c r="D65" s="930">
        <f t="shared" si="22"/>
        <v>32.28441127982947</v>
      </c>
      <c r="E65" s="931"/>
      <c r="F65" s="931"/>
      <c r="G65" s="931"/>
      <c r="H65" s="931"/>
      <c r="I65" s="931"/>
      <c r="J65" s="931"/>
      <c r="K65" s="931"/>
      <c r="L65" s="931"/>
      <c r="M65" s="931"/>
      <c r="N65" s="931"/>
      <c r="O65" s="931"/>
      <c r="P65" s="931"/>
      <c r="Q65" s="931"/>
      <c r="R65" s="931"/>
      <c r="S65" s="931"/>
      <c r="T65" s="931"/>
      <c r="U65" s="931"/>
      <c r="V65" s="931"/>
      <c r="W65" s="931"/>
      <c r="X65" s="931"/>
      <c r="Y65" s="931"/>
      <c r="Z65" s="931"/>
      <c r="AA65" s="931"/>
      <c r="AB65" s="931"/>
      <c r="AC65" s="931"/>
      <c r="AD65" s="931"/>
      <c r="AE65" s="931"/>
      <c r="AF65" s="931"/>
      <c r="AG65" s="931"/>
      <c r="AH65" s="931"/>
      <c r="AI65" s="931"/>
      <c r="AJ65" s="931"/>
      <c r="AK65" s="931"/>
      <c r="AL65" s="931"/>
      <c r="AM65" s="931"/>
      <c r="AN65" s="931"/>
      <c r="AO65" s="931"/>
      <c r="AP65" s="931"/>
      <c r="AQ65" s="927">
        <f t="shared" ref="AQ65:BB65" si="24">+$D65/24</f>
        <v>1.345183803326228</v>
      </c>
      <c r="AR65" s="927">
        <f t="shared" si="24"/>
        <v>1.345183803326228</v>
      </c>
      <c r="AS65" s="927">
        <f t="shared" si="24"/>
        <v>1.345183803326228</v>
      </c>
      <c r="AT65" s="927">
        <f t="shared" si="24"/>
        <v>1.345183803326228</v>
      </c>
      <c r="AU65" s="927">
        <f t="shared" si="24"/>
        <v>1.345183803326228</v>
      </c>
      <c r="AV65" s="927">
        <f t="shared" si="24"/>
        <v>1.345183803326228</v>
      </c>
      <c r="AW65" s="927">
        <f t="shared" si="24"/>
        <v>1.345183803326228</v>
      </c>
      <c r="AX65" s="927">
        <f t="shared" si="24"/>
        <v>1.345183803326228</v>
      </c>
      <c r="AY65" s="927">
        <f t="shared" si="24"/>
        <v>1.345183803326228</v>
      </c>
      <c r="AZ65" s="927">
        <f t="shared" si="24"/>
        <v>1.345183803326228</v>
      </c>
      <c r="BA65" s="927">
        <f t="shared" si="24"/>
        <v>1.345183803326228</v>
      </c>
      <c r="BB65" s="927">
        <f t="shared" si="24"/>
        <v>1.345183803326228</v>
      </c>
      <c r="BC65" s="927">
        <f t="shared" si="21"/>
        <v>1.345183803326228</v>
      </c>
      <c r="BD65" s="927">
        <f t="shared" si="21"/>
        <v>1.345183803326228</v>
      </c>
      <c r="BE65" s="927">
        <f t="shared" si="21"/>
        <v>1.345183803326228</v>
      </c>
      <c r="BF65" s="927">
        <f t="shared" si="21"/>
        <v>1.345183803326228</v>
      </c>
      <c r="BG65" s="927">
        <f t="shared" si="21"/>
        <v>1.345183803326228</v>
      </c>
      <c r="BH65" s="927">
        <f t="shared" si="21"/>
        <v>1.345183803326228</v>
      </c>
      <c r="BI65" s="927">
        <f t="shared" si="21"/>
        <v>1.345183803326228</v>
      </c>
      <c r="BJ65" s="927">
        <f t="shared" si="21"/>
        <v>1.345183803326228</v>
      </c>
      <c r="BK65" s="927">
        <f t="shared" si="21"/>
        <v>1.345183803326228</v>
      </c>
      <c r="BL65" s="927">
        <f t="shared" si="21"/>
        <v>1.345183803326228</v>
      </c>
      <c r="BM65" s="927">
        <f t="shared" si="21"/>
        <v>1.345183803326228</v>
      </c>
      <c r="BN65" s="927">
        <f t="shared" si="21"/>
        <v>1.345183803326228</v>
      </c>
    </row>
    <row r="66" spans="1:81" x14ac:dyDescent="0.3">
      <c r="A66" s="923">
        <v>43221</v>
      </c>
      <c r="B66" s="932">
        <v>217205</v>
      </c>
      <c r="C66" s="929">
        <v>139.37</v>
      </c>
      <c r="D66" s="930">
        <f t="shared" si="22"/>
        <v>30.271860850000003</v>
      </c>
      <c r="E66" s="931"/>
      <c r="F66" s="931"/>
      <c r="G66" s="931"/>
      <c r="H66" s="931"/>
      <c r="I66" s="931"/>
      <c r="J66" s="931"/>
      <c r="K66" s="931"/>
      <c r="L66" s="931"/>
      <c r="M66" s="931"/>
      <c r="N66" s="931"/>
      <c r="O66" s="931"/>
      <c r="P66" s="931"/>
      <c r="Q66" s="931"/>
      <c r="R66" s="931"/>
      <c r="S66" s="931"/>
      <c r="T66" s="931"/>
      <c r="U66" s="931"/>
      <c r="V66" s="931"/>
      <c r="W66" s="931"/>
      <c r="X66" s="931"/>
      <c r="Y66" s="931"/>
      <c r="Z66" s="931"/>
      <c r="AA66" s="931"/>
      <c r="AB66" s="931"/>
      <c r="AC66" s="931"/>
      <c r="AD66" s="931"/>
      <c r="AE66" s="931"/>
      <c r="AF66" s="931"/>
      <c r="AG66" s="931"/>
      <c r="AH66" s="931"/>
      <c r="AI66" s="931"/>
      <c r="AJ66" s="931"/>
      <c r="AK66" s="931"/>
      <c r="AL66" s="931"/>
      <c r="AM66" s="931"/>
      <c r="AN66" s="931"/>
      <c r="AO66" s="931"/>
      <c r="AP66" s="931"/>
      <c r="AQ66" s="931"/>
      <c r="AR66" s="927">
        <f t="shared" ref="AR66:BF66" si="25">+$D66/24</f>
        <v>1.2613275354166669</v>
      </c>
      <c r="AS66" s="927">
        <f t="shared" si="25"/>
        <v>1.2613275354166669</v>
      </c>
      <c r="AT66" s="927">
        <f t="shared" si="25"/>
        <v>1.2613275354166669</v>
      </c>
      <c r="AU66" s="927">
        <f t="shared" si="25"/>
        <v>1.2613275354166669</v>
      </c>
      <c r="AV66" s="927">
        <f t="shared" si="25"/>
        <v>1.2613275354166669</v>
      </c>
      <c r="AW66" s="927">
        <f t="shared" si="25"/>
        <v>1.2613275354166669</v>
      </c>
      <c r="AX66" s="927">
        <f t="shared" si="25"/>
        <v>1.2613275354166669</v>
      </c>
      <c r="AY66" s="927">
        <f t="shared" si="25"/>
        <v>1.2613275354166669</v>
      </c>
      <c r="AZ66" s="927">
        <f t="shared" si="25"/>
        <v>1.2613275354166669</v>
      </c>
      <c r="BA66" s="927">
        <f t="shared" si="25"/>
        <v>1.2613275354166669</v>
      </c>
      <c r="BB66" s="927">
        <f t="shared" si="25"/>
        <v>1.2613275354166669</v>
      </c>
      <c r="BC66" s="927">
        <f t="shared" si="25"/>
        <v>1.2613275354166669</v>
      </c>
      <c r="BD66" s="927">
        <f t="shared" si="25"/>
        <v>1.2613275354166669</v>
      </c>
      <c r="BE66" s="927">
        <f t="shared" si="25"/>
        <v>1.2613275354166669</v>
      </c>
      <c r="BF66" s="927">
        <f t="shared" si="25"/>
        <v>1.2613275354166669</v>
      </c>
      <c r="BG66" s="927">
        <f t="shared" si="21"/>
        <v>1.2613275354166669</v>
      </c>
      <c r="BH66" s="927">
        <f t="shared" si="21"/>
        <v>1.2613275354166669</v>
      </c>
      <c r="BI66" s="927">
        <f t="shared" si="21"/>
        <v>1.2613275354166669</v>
      </c>
      <c r="BJ66" s="927">
        <f t="shared" si="21"/>
        <v>1.2613275354166669</v>
      </c>
      <c r="BK66" s="927">
        <f t="shared" si="21"/>
        <v>1.2613275354166669</v>
      </c>
      <c r="BL66" s="927">
        <f t="shared" si="21"/>
        <v>1.2613275354166669</v>
      </c>
      <c r="BM66" s="927">
        <f t="shared" si="21"/>
        <v>1.2613275354166669</v>
      </c>
      <c r="BN66" s="927">
        <f t="shared" si="21"/>
        <v>1.2613275354166669</v>
      </c>
      <c r="BO66" s="927">
        <f t="shared" si="21"/>
        <v>1.2613275354166669</v>
      </c>
      <c r="BP66" s="927"/>
      <c r="BQ66" s="927"/>
    </row>
    <row r="67" spans="1:81" x14ac:dyDescent="0.3">
      <c r="A67" s="923">
        <v>43252</v>
      </c>
      <c r="B67" s="932">
        <v>197472.05872582537</v>
      </c>
      <c r="C67" s="929">
        <v>139.37</v>
      </c>
      <c r="D67" s="930">
        <f t="shared" si="22"/>
        <v>27.521680824618283</v>
      </c>
      <c r="E67" s="931"/>
      <c r="F67" s="931"/>
      <c r="G67" s="931"/>
      <c r="H67" s="931"/>
      <c r="I67" s="931"/>
      <c r="J67" s="931"/>
      <c r="K67" s="931"/>
      <c r="L67" s="931"/>
      <c r="M67" s="931"/>
      <c r="N67" s="931"/>
      <c r="O67" s="931"/>
      <c r="P67" s="931"/>
      <c r="Q67" s="931"/>
      <c r="R67" s="931"/>
      <c r="S67" s="931"/>
      <c r="T67" s="931"/>
      <c r="U67" s="931"/>
      <c r="V67" s="931"/>
      <c r="W67" s="931"/>
      <c r="X67" s="931"/>
      <c r="Y67" s="931"/>
      <c r="Z67" s="931"/>
      <c r="AA67" s="931"/>
      <c r="AB67" s="931"/>
      <c r="AC67" s="931"/>
      <c r="AD67" s="931"/>
      <c r="AE67" s="931"/>
      <c r="AF67" s="931"/>
      <c r="AG67" s="931"/>
      <c r="AH67" s="931"/>
      <c r="AI67" s="931"/>
      <c r="AJ67" s="931"/>
      <c r="AK67" s="931"/>
      <c r="AL67" s="931"/>
      <c r="AM67" s="931"/>
      <c r="AN67" s="931"/>
      <c r="AO67" s="931"/>
      <c r="AP67" s="931"/>
      <c r="AQ67" s="931"/>
      <c r="AR67" s="931"/>
      <c r="AS67" s="927">
        <f t="shared" ref="AS67:BE67" si="26">+$D67/24</f>
        <v>1.1467367010257619</v>
      </c>
      <c r="AT67" s="927">
        <f t="shared" si="26"/>
        <v>1.1467367010257619</v>
      </c>
      <c r="AU67" s="927">
        <f t="shared" si="26"/>
        <v>1.1467367010257619</v>
      </c>
      <c r="AV67" s="927">
        <f t="shared" si="26"/>
        <v>1.1467367010257619</v>
      </c>
      <c r="AW67" s="927">
        <f t="shared" si="26"/>
        <v>1.1467367010257619</v>
      </c>
      <c r="AX67" s="927">
        <f t="shared" si="26"/>
        <v>1.1467367010257619</v>
      </c>
      <c r="AY67" s="927">
        <f t="shared" si="26"/>
        <v>1.1467367010257619</v>
      </c>
      <c r="AZ67" s="927">
        <f t="shared" si="26"/>
        <v>1.1467367010257619</v>
      </c>
      <c r="BA67" s="927">
        <f t="shared" si="26"/>
        <v>1.1467367010257619</v>
      </c>
      <c r="BB67" s="927">
        <f t="shared" si="26"/>
        <v>1.1467367010257619</v>
      </c>
      <c r="BC67" s="927">
        <f t="shared" si="26"/>
        <v>1.1467367010257619</v>
      </c>
      <c r="BD67" s="927">
        <f t="shared" si="26"/>
        <v>1.1467367010257619</v>
      </c>
      <c r="BE67" s="927">
        <f t="shared" si="26"/>
        <v>1.1467367010257619</v>
      </c>
      <c r="BF67" s="927">
        <f t="shared" si="21"/>
        <v>1.1467367010257619</v>
      </c>
      <c r="BG67" s="927">
        <f t="shared" si="21"/>
        <v>1.1467367010257619</v>
      </c>
      <c r="BH67" s="927">
        <f t="shared" si="21"/>
        <v>1.1467367010257619</v>
      </c>
      <c r="BI67" s="927">
        <f t="shared" si="21"/>
        <v>1.1467367010257619</v>
      </c>
      <c r="BJ67" s="927">
        <f t="shared" si="21"/>
        <v>1.1467367010257619</v>
      </c>
      <c r="BK67" s="927">
        <f t="shared" si="21"/>
        <v>1.1467367010257619</v>
      </c>
      <c r="BL67" s="927">
        <f t="shared" si="21"/>
        <v>1.1467367010257619</v>
      </c>
      <c r="BM67" s="927">
        <f t="shared" si="21"/>
        <v>1.1467367010257619</v>
      </c>
      <c r="BN67" s="927">
        <f t="shared" si="21"/>
        <v>1.1467367010257619</v>
      </c>
      <c r="BO67" s="927">
        <f t="shared" si="21"/>
        <v>1.1467367010257619</v>
      </c>
      <c r="BP67" s="927">
        <f t="shared" si="21"/>
        <v>1.1467367010257619</v>
      </c>
      <c r="BQ67" s="927"/>
    </row>
    <row r="68" spans="1:81" x14ac:dyDescent="0.3">
      <c r="A68" s="923">
        <v>43282</v>
      </c>
      <c r="B68" s="932">
        <v>209285</v>
      </c>
      <c r="C68" s="929">
        <v>139.37</v>
      </c>
      <c r="D68" s="930">
        <f t="shared" si="22"/>
        <v>29.168050449999999</v>
      </c>
      <c r="E68" s="931"/>
      <c r="F68" s="931"/>
      <c r="G68" s="931"/>
      <c r="H68" s="931"/>
      <c r="I68" s="931"/>
      <c r="J68" s="931"/>
      <c r="K68" s="931"/>
      <c r="L68" s="931"/>
      <c r="M68" s="931"/>
      <c r="N68" s="931"/>
      <c r="O68" s="931"/>
      <c r="P68" s="931"/>
      <c r="Q68" s="931"/>
      <c r="R68" s="931"/>
      <c r="S68" s="931"/>
      <c r="T68" s="931"/>
      <c r="U68" s="931"/>
      <c r="V68" s="931"/>
      <c r="W68" s="931"/>
      <c r="X68" s="931"/>
      <c r="Y68" s="931"/>
      <c r="Z68" s="931"/>
      <c r="AA68" s="931"/>
      <c r="AB68" s="931"/>
      <c r="AC68" s="931"/>
      <c r="AD68" s="931"/>
      <c r="AE68" s="931"/>
      <c r="AF68" s="931"/>
      <c r="AG68" s="931"/>
      <c r="AH68" s="931"/>
      <c r="AI68" s="931"/>
      <c r="AJ68" s="931"/>
      <c r="AK68" s="931"/>
      <c r="AL68" s="931"/>
      <c r="AM68" s="931"/>
      <c r="AN68" s="931"/>
      <c r="AO68" s="931"/>
      <c r="AP68" s="931"/>
      <c r="AQ68" s="931"/>
      <c r="AR68" s="931"/>
      <c r="AS68" s="931"/>
      <c r="AT68" s="927">
        <f t="shared" ref="AT68:BE68" si="27">+$D68/24</f>
        <v>1.2153354354166666</v>
      </c>
      <c r="AU68" s="927">
        <f t="shared" si="27"/>
        <v>1.2153354354166666</v>
      </c>
      <c r="AV68" s="927">
        <f t="shared" si="27"/>
        <v>1.2153354354166666</v>
      </c>
      <c r="AW68" s="927">
        <f t="shared" si="27"/>
        <v>1.2153354354166666</v>
      </c>
      <c r="AX68" s="927">
        <f t="shared" si="27"/>
        <v>1.2153354354166666</v>
      </c>
      <c r="AY68" s="927">
        <f t="shared" si="27"/>
        <v>1.2153354354166666</v>
      </c>
      <c r="AZ68" s="927">
        <f t="shared" si="27"/>
        <v>1.2153354354166666</v>
      </c>
      <c r="BA68" s="927">
        <f t="shared" si="27"/>
        <v>1.2153354354166666</v>
      </c>
      <c r="BB68" s="927">
        <f t="shared" si="27"/>
        <v>1.2153354354166666</v>
      </c>
      <c r="BC68" s="927">
        <f t="shared" si="27"/>
        <v>1.2153354354166666</v>
      </c>
      <c r="BD68" s="927">
        <f t="shared" si="27"/>
        <v>1.2153354354166666</v>
      </c>
      <c r="BE68" s="927">
        <f t="shared" si="27"/>
        <v>1.2153354354166666</v>
      </c>
      <c r="BF68" s="927">
        <f t="shared" si="21"/>
        <v>1.2153354354166666</v>
      </c>
      <c r="BG68" s="927">
        <f t="shared" si="21"/>
        <v>1.2153354354166666</v>
      </c>
      <c r="BH68" s="927">
        <f t="shared" si="21"/>
        <v>1.2153354354166666</v>
      </c>
      <c r="BI68" s="927">
        <f t="shared" si="21"/>
        <v>1.2153354354166666</v>
      </c>
      <c r="BJ68" s="927">
        <f t="shared" si="21"/>
        <v>1.2153354354166666</v>
      </c>
      <c r="BK68" s="927">
        <f t="shared" si="21"/>
        <v>1.2153354354166666</v>
      </c>
      <c r="BL68" s="927">
        <f t="shared" si="21"/>
        <v>1.2153354354166666</v>
      </c>
      <c r="BM68" s="927">
        <f t="shared" si="21"/>
        <v>1.2153354354166666</v>
      </c>
      <c r="BN68" s="927">
        <f t="shared" si="21"/>
        <v>1.2153354354166666</v>
      </c>
      <c r="BO68" s="927">
        <f t="shared" si="21"/>
        <v>1.2153354354166666</v>
      </c>
      <c r="BP68" s="927">
        <f t="shared" si="21"/>
        <v>1.2153354354166666</v>
      </c>
      <c r="BQ68" s="927">
        <f t="shared" si="21"/>
        <v>1.2153354354166666</v>
      </c>
    </row>
    <row r="69" spans="1:81" x14ac:dyDescent="0.3">
      <c r="A69" s="923">
        <v>43313</v>
      </c>
      <c r="B69" s="932">
        <v>181671</v>
      </c>
      <c r="C69" s="929">
        <v>139.37</v>
      </c>
      <c r="D69" s="930">
        <f t="shared" si="22"/>
        <v>25.31948727</v>
      </c>
      <c r="E69" s="931"/>
      <c r="F69" s="931"/>
      <c r="G69" s="931"/>
      <c r="H69" s="931"/>
      <c r="I69" s="931"/>
      <c r="J69" s="931"/>
      <c r="K69" s="931"/>
      <c r="L69" s="931"/>
      <c r="M69" s="931"/>
      <c r="N69" s="931"/>
      <c r="O69" s="931"/>
      <c r="P69" s="931"/>
      <c r="Q69" s="931"/>
      <c r="R69" s="931"/>
      <c r="S69" s="931"/>
      <c r="T69" s="931"/>
      <c r="U69" s="931"/>
      <c r="V69" s="931"/>
      <c r="W69" s="931"/>
      <c r="X69" s="931"/>
      <c r="Y69" s="931"/>
      <c r="Z69" s="931"/>
      <c r="AA69" s="931"/>
      <c r="AB69" s="931"/>
      <c r="AC69" s="931"/>
      <c r="AD69" s="931"/>
      <c r="AE69" s="931"/>
      <c r="AF69" s="931"/>
      <c r="AG69" s="931"/>
      <c r="AH69" s="931"/>
      <c r="AI69" s="931"/>
      <c r="AJ69" s="931"/>
      <c r="AK69" s="931"/>
      <c r="AL69" s="931"/>
      <c r="AM69" s="931"/>
      <c r="AN69" s="931"/>
      <c r="AO69" s="931"/>
      <c r="AP69" s="931"/>
      <c r="AQ69" s="931"/>
      <c r="AR69" s="931"/>
      <c r="AS69" s="931"/>
      <c r="AT69" s="931"/>
      <c r="AU69" s="927">
        <f t="shared" ref="AU69:BE69" si="28">+$D69/24</f>
        <v>1.05497863625</v>
      </c>
      <c r="AV69" s="927">
        <f t="shared" si="28"/>
        <v>1.05497863625</v>
      </c>
      <c r="AW69" s="927">
        <f t="shared" si="28"/>
        <v>1.05497863625</v>
      </c>
      <c r="AX69" s="927">
        <f t="shared" si="28"/>
        <v>1.05497863625</v>
      </c>
      <c r="AY69" s="927">
        <f t="shared" si="28"/>
        <v>1.05497863625</v>
      </c>
      <c r="AZ69" s="927">
        <f t="shared" si="28"/>
        <v>1.05497863625</v>
      </c>
      <c r="BA69" s="927">
        <f t="shared" si="28"/>
        <v>1.05497863625</v>
      </c>
      <c r="BB69" s="927">
        <f t="shared" si="28"/>
        <v>1.05497863625</v>
      </c>
      <c r="BC69" s="927">
        <f t="shared" si="28"/>
        <v>1.05497863625</v>
      </c>
      <c r="BD69" s="927">
        <f t="shared" si="28"/>
        <v>1.05497863625</v>
      </c>
      <c r="BE69" s="927">
        <f t="shared" si="28"/>
        <v>1.05497863625</v>
      </c>
      <c r="BF69" s="927">
        <f t="shared" si="21"/>
        <v>1.05497863625</v>
      </c>
      <c r="BG69" s="927">
        <f t="shared" si="21"/>
        <v>1.05497863625</v>
      </c>
      <c r="BH69" s="927">
        <f t="shared" si="21"/>
        <v>1.05497863625</v>
      </c>
      <c r="BI69" s="927">
        <f t="shared" si="21"/>
        <v>1.05497863625</v>
      </c>
      <c r="BJ69" s="927">
        <f t="shared" si="21"/>
        <v>1.05497863625</v>
      </c>
      <c r="BK69" s="927">
        <f t="shared" si="21"/>
        <v>1.05497863625</v>
      </c>
      <c r="BL69" s="927">
        <f t="shared" si="21"/>
        <v>1.05497863625</v>
      </c>
      <c r="BM69" s="927">
        <f t="shared" si="21"/>
        <v>1.05497863625</v>
      </c>
      <c r="BN69" s="927">
        <f t="shared" si="21"/>
        <v>1.05497863625</v>
      </c>
      <c r="BO69" s="927">
        <f t="shared" si="21"/>
        <v>1.05497863625</v>
      </c>
      <c r="BP69" s="927">
        <f t="shared" si="21"/>
        <v>1.05497863625</v>
      </c>
      <c r="BQ69" s="927">
        <f t="shared" si="21"/>
        <v>1.05497863625</v>
      </c>
      <c r="BR69" s="927">
        <f t="shared" si="21"/>
        <v>1.05497863625</v>
      </c>
    </row>
    <row r="70" spans="1:81" x14ac:dyDescent="0.3">
      <c r="A70" s="923">
        <v>43344</v>
      </c>
      <c r="B70" s="932">
        <v>186396.23272773059</v>
      </c>
      <c r="C70" s="929">
        <v>119.35</v>
      </c>
      <c r="D70" s="930">
        <f t="shared" si="22"/>
        <v>22.246390376054645</v>
      </c>
      <c r="E70" s="931"/>
      <c r="F70" s="931"/>
      <c r="G70" s="931"/>
      <c r="H70" s="931"/>
      <c r="I70" s="931"/>
      <c r="J70" s="931"/>
      <c r="K70" s="931"/>
      <c r="L70" s="931"/>
      <c r="M70" s="931"/>
      <c r="N70" s="931"/>
      <c r="O70" s="931"/>
      <c r="P70" s="931"/>
      <c r="Q70" s="931"/>
      <c r="R70" s="931"/>
      <c r="S70" s="931"/>
      <c r="T70" s="931"/>
      <c r="U70" s="931"/>
      <c r="V70" s="931"/>
      <c r="W70" s="931"/>
      <c r="X70" s="931"/>
      <c r="Y70" s="931"/>
      <c r="Z70" s="931"/>
      <c r="AA70" s="931"/>
      <c r="AB70" s="931"/>
      <c r="AC70" s="931"/>
      <c r="AD70" s="931"/>
      <c r="AE70" s="931"/>
      <c r="AF70" s="931"/>
      <c r="AG70" s="931"/>
      <c r="AH70" s="931"/>
      <c r="AI70" s="931"/>
      <c r="AJ70" s="931"/>
      <c r="AK70" s="931"/>
      <c r="AL70" s="931"/>
      <c r="AM70" s="931"/>
      <c r="AN70" s="931"/>
      <c r="AO70" s="931"/>
      <c r="AP70" s="931"/>
      <c r="AQ70" s="931"/>
      <c r="AR70" s="931"/>
      <c r="AS70" s="931"/>
      <c r="AT70" s="931"/>
      <c r="AU70" s="931"/>
      <c r="AV70" s="927">
        <f t="shared" ref="AV70:BE70" si="29">+$D70/24</f>
        <v>0.92693293233561025</v>
      </c>
      <c r="AW70" s="927">
        <f t="shared" si="29"/>
        <v>0.92693293233561025</v>
      </c>
      <c r="AX70" s="927">
        <f t="shared" si="29"/>
        <v>0.92693293233561025</v>
      </c>
      <c r="AY70" s="927">
        <f t="shared" si="29"/>
        <v>0.92693293233561025</v>
      </c>
      <c r="AZ70" s="927">
        <f t="shared" si="29"/>
        <v>0.92693293233561025</v>
      </c>
      <c r="BA70" s="927">
        <f t="shared" si="29"/>
        <v>0.92693293233561025</v>
      </c>
      <c r="BB70" s="927">
        <f t="shared" si="29"/>
        <v>0.92693293233561025</v>
      </c>
      <c r="BC70" s="927">
        <f t="shared" si="29"/>
        <v>0.92693293233561025</v>
      </c>
      <c r="BD70" s="927">
        <f t="shared" si="29"/>
        <v>0.92693293233561025</v>
      </c>
      <c r="BE70" s="927">
        <f t="shared" si="29"/>
        <v>0.92693293233561025</v>
      </c>
      <c r="BF70" s="927">
        <f t="shared" si="21"/>
        <v>0.92693293233561025</v>
      </c>
      <c r="BG70" s="927">
        <f t="shared" si="21"/>
        <v>0.92693293233561025</v>
      </c>
      <c r="BH70" s="927">
        <f t="shared" si="21"/>
        <v>0.92693293233561025</v>
      </c>
      <c r="BI70" s="927">
        <f t="shared" si="21"/>
        <v>0.92693293233561025</v>
      </c>
      <c r="BJ70" s="927">
        <f t="shared" si="21"/>
        <v>0.92693293233561025</v>
      </c>
      <c r="BK70" s="927">
        <f t="shared" si="21"/>
        <v>0.92693293233561025</v>
      </c>
      <c r="BL70" s="927">
        <f t="shared" si="21"/>
        <v>0.92693293233561025</v>
      </c>
      <c r="BM70" s="927">
        <f t="shared" si="21"/>
        <v>0.92693293233561025</v>
      </c>
      <c r="BN70" s="927">
        <f t="shared" si="21"/>
        <v>0.92693293233561025</v>
      </c>
      <c r="BO70" s="927">
        <f t="shared" si="21"/>
        <v>0.92693293233561025</v>
      </c>
      <c r="BP70" s="927">
        <f t="shared" si="21"/>
        <v>0.92693293233561025</v>
      </c>
      <c r="BQ70" s="927">
        <f t="shared" si="21"/>
        <v>0.92693293233561025</v>
      </c>
      <c r="BR70" s="927">
        <f t="shared" si="21"/>
        <v>0.92693293233561025</v>
      </c>
      <c r="BS70" s="927">
        <f>+$D70/24</f>
        <v>0.92693293233561025</v>
      </c>
    </row>
    <row r="71" spans="1:81" x14ac:dyDescent="0.3">
      <c r="A71" s="923">
        <v>43374</v>
      </c>
      <c r="B71" s="932">
        <v>177944.17761092447</v>
      </c>
      <c r="C71" s="929">
        <v>119.35</v>
      </c>
      <c r="D71" s="930">
        <f t="shared" si="22"/>
        <v>21.237637597863834</v>
      </c>
      <c r="E71" s="931"/>
      <c r="F71" s="931"/>
      <c r="G71" s="931"/>
      <c r="H71" s="931"/>
      <c r="I71" s="931"/>
      <c r="J71" s="931"/>
      <c r="K71" s="931"/>
      <c r="L71" s="931"/>
      <c r="M71" s="931"/>
      <c r="N71" s="931"/>
      <c r="O71" s="931"/>
      <c r="P71" s="931"/>
      <c r="Q71" s="931"/>
      <c r="R71" s="931"/>
      <c r="S71" s="931"/>
      <c r="T71" s="931"/>
      <c r="U71" s="931"/>
      <c r="V71" s="931"/>
      <c r="W71" s="931"/>
      <c r="X71" s="931"/>
      <c r="Y71" s="931"/>
      <c r="Z71" s="931"/>
      <c r="AA71" s="931"/>
      <c r="AB71" s="931"/>
      <c r="AC71" s="931"/>
      <c r="AD71" s="931"/>
      <c r="AE71" s="931"/>
      <c r="AF71" s="931"/>
      <c r="AG71" s="931"/>
      <c r="AH71" s="931"/>
      <c r="AI71" s="931"/>
      <c r="AJ71" s="931"/>
      <c r="AK71" s="931"/>
      <c r="AL71" s="931"/>
      <c r="AM71" s="931"/>
      <c r="AN71" s="931"/>
      <c r="AO71" s="931"/>
      <c r="AP71" s="931"/>
      <c r="AQ71" s="931"/>
      <c r="AR71" s="931"/>
      <c r="AS71" s="931"/>
      <c r="AT71" s="931"/>
      <c r="AU71" s="931"/>
      <c r="AV71" s="931"/>
      <c r="AW71" s="927">
        <f t="shared" ref="AW71:BE71" si="30">+$D71/24</f>
        <v>0.88490156657765973</v>
      </c>
      <c r="AX71" s="927">
        <f t="shared" si="30"/>
        <v>0.88490156657765973</v>
      </c>
      <c r="AY71" s="927">
        <f t="shared" si="30"/>
        <v>0.88490156657765973</v>
      </c>
      <c r="AZ71" s="927">
        <f t="shared" si="30"/>
        <v>0.88490156657765973</v>
      </c>
      <c r="BA71" s="927">
        <f t="shared" si="30"/>
        <v>0.88490156657765973</v>
      </c>
      <c r="BB71" s="927">
        <f t="shared" si="30"/>
        <v>0.88490156657765973</v>
      </c>
      <c r="BC71" s="927">
        <f t="shared" si="30"/>
        <v>0.88490156657765973</v>
      </c>
      <c r="BD71" s="927">
        <f t="shared" si="30"/>
        <v>0.88490156657765973</v>
      </c>
      <c r="BE71" s="927">
        <f t="shared" si="30"/>
        <v>0.88490156657765973</v>
      </c>
      <c r="BF71" s="927">
        <f t="shared" si="21"/>
        <v>0.88490156657765973</v>
      </c>
      <c r="BG71" s="927">
        <f t="shared" si="21"/>
        <v>0.88490156657765973</v>
      </c>
      <c r="BH71" s="927">
        <f t="shared" si="21"/>
        <v>0.88490156657765973</v>
      </c>
      <c r="BI71" s="927">
        <f t="shared" si="21"/>
        <v>0.88490156657765973</v>
      </c>
      <c r="BJ71" s="927">
        <f t="shared" si="21"/>
        <v>0.88490156657765973</v>
      </c>
      <c r="BK71" s="927">
        <f t="shared" si="21"/>
        <v>0.88490156657765973</v>
      </c>
      <c r="BL71" s="927">
        <f t="shared" si="21"/>
        <v>0.88490156657765973</v>
      </c>
      <c r="BM71" s="927">
        <f t="shared" si="21"/>
        <v>0.88490156657765973</v>
      </c>
      <c r="BN71" s="927">
        <f t="shared" si="21"/>
        <v>0.88490156657765973</v>
      </c>
      <c r="BO71" s="927">
        <f t="shared" si="21"/>
        <v>0.88490156657765973</v>
      </c>
      <c r="BP71" s="927">
        <f t="shared" si="21"/>
        <v>0.88490156657765973</v>
      </c>
      <c r="BQ71" s="927">
        <f t="shared" si="21"/>
        <v>0.88490156657765973</v>
      </c>
      <c r="BR71" s="927">
        <f t="shared" si="21"/>
        <v>0.88490156657765973</v>
      </c>
      <c r="BS71" s="927">
        <f>+$D71/24</f>
        <v>0.88490156657765973</v>
      </c>
      <c r="BT71" s="927">
        <f>+$D71/24</f>
        <v>0.88490156657765973</v>
      </c>
    </row>
    <row r="72" spans="1:81" x14ac:dyDescent="0.3">
      <c r="A72" s="923">
        <v>43405</v>
      </c>
      <c r="B72" s="932">
        <v>197249</v>
      </c>
      <c r="C72" s="929">
        <v>119.35</v>
      </c>
      <c r="D72" s="930">
        <f t="shared" si="22"/>
        <v>23.54166815</v>
      </c>
      <c r="E72" s="931"/>
      <c r="F72" s="931"/>
      <c r="G72" s="931"/>
      <c r="H72" s="931"/>
      <c r="I72" s="931"/>
      <c r="J72" s="931"/>
      <c r="K72" s="931"/>
      <c r="L72" s="931"/>
      <c r="M72" s="931"/>
      <c r="N72" s="931"/>
      <c r="O72" s="931"/>
      <c r="P72" s="931"/>
      <c r="Q72" s="931"/>
      <c r="R72" s="931"/>
      <c r="S72" s="931"/>
      <c r="T72" s="931"/>
      <c r="U72" s="931"/>
      <c r="V72" s="931"/>
      <c r="W72" s="931"/>
      <c r="X72" s="931"/>
      <c r="Y72" s="931"/>
      <c r="Z72" s="931"/>
      <c r="AA72" s="931"/>
      <c r="AB72" s="931"/>
      <c r="AC72" s="931"/>
      <c r="AD72" s="931"/>
      <c r="AE72" s="931"/>
      <c r="AF72" s="931"/>
      <c r="AG72" s="931"/>
      <c r="AH72" s="931"/>
      <c r="AI72" s="931"/>
      <c r="AJ72" s="931"/>
      <c r="AK72" s="931"/>
      <c r="AL72" s="931"/>
      <c r="AM72" s="931"/>
      <c r="AN72" s="931"/>
      <c r="AO72" s="931"/>
      <c r="AP72" s="931"/>
      <c r="AQ72" s="931"/>
      <c r="AR72" s="931"/>
      <c r="AS72" s="931"/>
      <c r="AT72" s="931"/>
      <c r="AU72" s="931"/>
      <c r="AV72" s="931"/>
      <c r="AW72" s="931"/>
      <c r="AX72" s="927">
        <f t="shared" ref="AX72:BF72" si="31">+$D72/24</f>
        <v>0.98090283958333335</v>
      </c>
      <c r="AY72" s="927">
        <f t="shared" si="31"/>
        <v>0.98090283958333335</v>
      </c>
      <c r="AZ72" s="927">
        <f t="shared" si="31"/>
        <v>0.98090283958333335</v>
      </c>
      <c r="BA72" s="927">
        <f t="shared" si="31"/>
        <v>0.98090283958333335</v>
      </c>
      <c r="BB72" s="927">
        <f t="shared" si="31"/>
        <v>0.98090283958333335</v>
      </c>
      <c r="BC72" s="927">
        <f t="shared" si="31"/>
        <v>0.98090283958333335</v>
      </c>
      <c r="BD72" s="927">
        <f t="shared" si="31"/>
        <v>0.98090283958333335</v>
      </c>
      <c r="BE72" s="927">
        <f t="shared" si="31"/>
        <v>0.98090283958333335</v>
      </c>
      <c r="BF72" s="927">
        <f t="shared" si="31"/>
        <v>0.98090283958333335</v>
      </c>
      <c r="BG72" s="927">
        <f t="shared" ref="BG72:BV87" si="32">+$D72/24</f>
        <v>0.98090283958333335</v>
      </c>
      <c r="BH72" s="927">
        <f t="shared" si="32"/>
        <v>0.98090283958333335</v>
      </c>
      <c r="BI72" s="927">
        <f t="shared" si="32"/>
        <v>0.98090283958333335</v>
      </c>
      <c r="BJ72" s="927">
        <f t="shared" si="32"/>
        <v>0.98090283958333335</v>
      </c>
      <c r="BK72" s="927">
        <f t="shared" si="32"/>
        <v>0.98090283958333335</v>
      </c>
      <c r="BL72" s="927">
        <f t="shared" si="32"/>
        <v>0.98090283958333335</v>
      </c>
      <c r="BM72" s="927">
        <f t="shared" si="32"/>
        <v>0.98090283958333335</v>
      </c>
      <c r="BN72" s="927">
        <f t="shared" si="32"/>
        <v>0.98090283958333335</v>
      </c>
      <c r="BO72" s="927">
        <f t="shared" si="32"/>
        <v>0.98090283958333335</v>
      </c>
      <c r="BP72" s="927">
        <f t="shared" si="32"/>
        <v>0.98090283958333335</v>
      </c>
      <c r="BQ72" s="927">
        <f t="shared" si="32"/>
        <v>0.98090283958333335</v>
      </c>
      <c r="BR72" s="927">
        <f t="shared" si="32"/>
        <v>0.98090283958333335</v>
      </c>
      <c r="BS72" s="927">
        <f t="shared" si="32"/>
        <v>0.98090283958333335</v>
      </c>
      <c r="BT72" s="927">
        <f t="shared" si="32"/>
        <v>0.98090283958333335</v>
      </c>
      <c r="BU72" s="927">
        <f t="shared" si="32"/>
        <v>0.98090283958333335</v>
      </c>
    </row>
    <row r="73" spans="1:81" x14ac:dyDescent="0.3">
      <c r="A73" s="923">
        <v>43435</v>
      </c>
      <c r="B73" s="932">
        <v>201896</v>
      </c>
      <c r="C73" s="929">
        <v>119.35</v>
      </c>
      <c r="D73" s="930">
        <f>+(B73*C73)/10^6</f>
        <v>24.096287599999997</v>
      </c>
      <c r="E73" s="931"/>
      <c r="F73" s="931"/>
      <c r="G73" s="931"/>
      <c r="H73" s="931"/>
      <c r="I73" s="931"/>
      <c r="J73" s="931"/>
      <c r="K73" s="931"/>
      <c r="L73" s="931"/>
      <c r="M73" s="931"/>
      <c r="N73" s="931"/>
      <c r="O73" s="931"/>
      <c r="P73" s="931"/>
      <c r="Q73" s="931"/>
      <c r="R73" s="931"/>
      <c r="S73" s="931"/>
      <c r="T73" s="931"/>
      <c r="U73" s="931"/>
      <c r="V73" s="931"/>
      <c r="W73" s="931"/>
      <c r="X73" s="931"/>
      <c r="Y73" s="931"/>
      <c r="Z73" s="931"/>
      <c r="AA73" s="931"/>
      <c r="AB73" s="931"/>
      <c r="AC73" s="931"/>
      <c r="AD73" s="931"/>
      <c r="AE73" s="931"/>
      <c r="AF73" s="931"/>
      <c r="AG73" s="931"/>
      <c r="AH73" s="931"/>
      <c r="AI73" s="931"/>
      <c r="AJ73" s="931"/>
      <c r="AK73" s="931"/>
      <c r="AL73" s="931"/>
      <c r="AM73" s="931"/>
      <c r="AN73" s="931"/>
      <c r="AO73" s="931"/>
      <c r="AP73" s="931"/>
      <c r="AQ73" s="931"/>
      <c r="AR73" s="931"/>
      <c r="AS73" s="931"/>
      <c r="AT73" s="931"/>
      <c r="AU73" s="931"/>
      <c r="AV73" s="931"/>
      <c r="AW73" s="931"/>
      <c r="AX73" s="931"/>
      <c r="AY73" s="927">
        <f t="shared" ref="AY73:BF73" si="33">+$D73/24</f>
        <v>1.0040119833333332</v>
      </c>
      <c r="AZ73" s="927">
        <f t="shared" si="33"/>
        <v>1.0040119833333332</v>
      </c>
      <c r="BA73" s="927">
        <f t="shared" si="33"/>
        <v>1.0040119833333332</v>
      </c>
      <c r="BB73" s="927">
        <f t="shared" si="33"/>
        <v>1.0040119833333332</v>
      </c>
      <c r="BC73" s="927">
        <f t="shared" si="33"/>
        <v>1.0040119833333332</v>
      </c>
      <c r="BD73" s="927">
        <f t="shared" si="33"/>
        <v>1.0040119833333332</v>
      </c>
      <c r="BE73" s="927">
        <f t="shared" si="33"/>
        <v>1.0040119833333332</v>
      </c>
      <c r="BF73" s="927">
        <f t="shared" si="33"/>
        <v>1.0040119833333332</v>
      </c>
      <c r="BG73" s="927">
        <f t="shared" si="32"/>
        <v>1.0040119833333332</v>
      </c>
      <c r="BH73" s="927">
        <f t="shared" si="32"/>
        <v>1.0040119833333332</v>
      </c>
      <c r="BI73" s="927">
        <f t="shared" si="32"/>
        <v>1.0040119833333332</v>
      </c>
      <c r="BJ73" s="927">
        <f t="shared" si="32"/>
        <v>1.0040119833333332</v>
      </c>
      <c r="BK73" s="927">
        <f t="shared" si="32"/>
        <v>1.0040119833333332</v>
      </c>
      <c r="BL73" s="927">
        <f t="shared" si="32"/>
        <v>1.0040119833333332</v>
      </c>
      <c r="BM73" s="927">
        <f t="shared" si="32"/>
        <v>1.0040119833333332</v>
      </c>
      <c r="BN73" s="927">
        <f t="shared" si="32"/>
        <v>1.0040119833333332</v>
      </c>
      <c r="BO73" s="927">
        <f t="shared" si="32"/>
        <v>1.0040119833333332</v>
      </c>
      <c r="BP73" s="927">
        <f t="shared" si="32"/>
        <v>1.0040119833333332</v>
      </c>
      <c r="BQ73" s="927">
        <f t="shared" si="32"/>
        <v>1.0040119833333332</v>
      </c>
      <c r="BR73" s="927">
        <f t="shared" si="32"/>
        <v>1.0040119833333332</v>
      </c>
      <c r="BS73" s="927">
        <f t="shared" si="32"/>
        <v>1.0040119833333332</v>
      </c>
      <c r="BT73" s="927">
        <f t="shared" si="32"/>
        <v>1.0040119833333332</v>
      </c>
      <c r="BU73" s="927">
        <f t="shared" si="32"/>
        <v>1.0040119833333332</v>
      </c>
      <c r="BV73" s="927">
        <f t="shared" si="32"/>
        <v>1.0040119833333332</v>
      </c>
    </row>
    <row r="74" spans="1:81" x14ac:dyDescent="0.3">
      <c r="A74" s="923">
        <v>43466</v>
      </c>
      <c r="B74" s="932">
        <v>224196</v>
      </c>
      <c r="C74" s="929">
        <v>119.35</v>
      </c>
      <c r="D74" s="930">
        <f>+(B74*C74)/10^6</f>
        <v>26.757792599999998</v>
      </c>
      <c r="E74" s="931"/>
      <c r="F74" s="931"/>
      <c r="G74" s="931"/>
      <c r="H74" s="931"/>
      <c r="I74" s="931"/>
      <c r="J74" s="931"/>
      <c r="K74" s="931"/>
      <c r="L74" s="931"/>
      <c r="M74" s="931"/>
      <c r="N74" s="931"/>
      <c r="O74" s="931"/>
      <c r="P74" s="931"/>
      <c r="Q74" s="931"/>
      <c r="R74" s="931"/>
      <c r="S74" s="931"/>
      <c r="T74" s="931"/>
      <c r="U74" s="931"/>
      <c r="V74" s="931"/>
      <c r="W74" s="931"/>
      <c r="X74" s="931"/>
      <c r="Y74" s="931"/>
      <c r="Z74" s="931"/>
      <c r="AA74" s="931"/>
      <c r="AB74" s="931"/>
      <c r="AC74" s="931"/>
      <c r="AD74" s="931"/>
      <c r="AE74" s="931"/>
      <c r="AF74" s="931"/>
      <c r="AG74" s="931"/>
      <c r="AH74" s="931"/>
      <c r="AI74" s="931"/>
      <c r="AJ74" s="931"/>
      <c r="AK74" s="931"/>
      <c r="AL74" s="931"/>
      <c r="AM74" s="931"/>
      <c r="AN74" s="931"/>
      <c r="AO74" s="931"/>
      <c r="AP74" s="931"/>
      <c r="AQ74" s="931"/>
      <c r="AR74" s="931"/>
      <c r="AS74" s="931"/>
      <c r="AT74" s="931"/>
      <c r="AU74" s="931"/>
      <c r="AV74" s="931"/>
      <c r="AW74" s="931"/>
      <c r="AX74" s="931"/>
      <c r="AY74" s="931"/>
      <c r="AZ74" s="927">
        <f t="shared" ref="AZ74:BF74" si="34">+$D74/24</f>
        <v>1.1149080249999999</v>
      </c>
      <c r="BA74" s="927">
        <f t="shared" si="34"/>
        <v>1.1149080249999999</v>
      </c>
      <c r="BB74" s="927">
        <f t="shared" si="34"/>
        <v>1.1149080249999999</v>
      </c>
      <c r="BC74" s="927">
        <f t="shared" si="34"/>
        <v>1.1149080249999999</v>
      </c>
      <c r="BD74" s="927">
        <f t="shared" si="34"/>
        <v>1.1149080249999999</v>
      </c>
      <c r="BE74" s="927">
        <f t="shared" si="34"/>
        <v>1.1149080249999999</v>
      </c>
      <c r="BF74" s="927">
        <f t="shared" si="34"/>
        <v>1.1149080249999999</v>
      </c>
      <c r="BG74" s="927">
        <f t="shared" si="32"/>
        <v>1.1149080249999999</v>
      </c>
      <c r="BH74" s="927">
        <f t="shared" si="32"/>
        <v>1.1149080249999999</v>
      </c>
      <c r="BI74" s="927">
        <f t="shared" si="32"/>
        <v>1.1149080249999999</v>
      </c>
      <c r="BJ74" s="927">
        <f t="shared" si="32"/>
        <v>1.1149080249999999</v>
      </c>
      <c r="BK74" s="927">
        <f t="shared" si="32"/>
        <v>1.1149080249999999</v>
      </c>
      <c r="BL74" s="927">
        <f t="shared" si="32"/>
        <v>1.1149080249999999</v>
      </c>
      <c r="BM74" s="927">
        <f t="shared" si="32"/>
        <v>1.1149080249999999</v>
      </c>
      <c r="BN74" s="927">
        <f t="shared" si="32"/>
        <v>1.1149080249999999</v>
      </c>
      <c r="BO74" s="927">
        <f t="shared" si="32"/>
        <v>1.1149080249999999</v>
      </c>
      <c r="BP74" s="927">
        <f t="shared" si="32"/>
        <v>1.1149080249999999</v>
      </c>
      <c r="BQ74" s="927">
        <f t="shared" si="32"/>
        <v>1.1149080249999999</v>
      </c>
      <c r="BR74" s="927">
        <f t="shared" si="32"/>
        <v>1.1149080249999999</v>
      </c>
      <c r="BS74" s="927">
        <f t="shared" si="32"/>
        <v>1.1149080249999999</v>
      </c>
      <c r="BT74" s="927">
        <f t="shared" si="32"/>
        <v>1.1149080249999999</v>
      </c>
      <c r="BU74" s="927">
        <f t="shared" si="32"/>
        <v>1.1149080249999999</v>
      </c>
      <c r="BV74" s="927">
        <f t="shared" si="32"/>
        <v>1.1149080249999999</v>
      </c>
      <c r="BW74" s="927">
        <f t="shared" ref="BU74:CJ89" si="35">+$D74/24</f>
        <v>1.1149080249999999</v>
      </c>
    </row>
    <row r="75" spans="1:81" x14ac:dyDescent="0.3">
      <c r="A75" s="923">
        <v>43497</v>
      </c>
      <c r="B75" s="932">
        <v>225090</v>
      </c>
      <c r="C75" s="929">
        <v>119.35</v>
      </c>
      <c r="D75" s="930">
        <f>+(B75*C75)/10^6</f>
        <v>26.8644915</v>
      </c>
      <c r="E75" s="931"/>
      <c r="F75" s="931"/>
      <c r="G75" s="931"/>
      <c r="H75" s="931"/>
      <c r="I75" s="931"/>
      <c r="J75" s="931"/>
      <c r="K75" s="931"/>
      <c r="L75" s="931"/>
      <c r="M75" s="931"/>
      <c r="N75" s="931"/>
      <c r="O75" s="931"/>
      <c r="P75" s="931"/>
      <c r="Q75" s="931"/>
      <c r="R75" s="931"/>
      <c r="S75" s="931"/>
      <c r="T75" s="931"/>
      <c r="U75" s="931"/>
      <c r="V75" s="931"/>
      <c r="W75" s="931"/>
      <c r="X75" s="931"/>
      <c r="Y75" s="931"/>
      <c r="Z75" s="931"/>
      <c r="AA75" s="931"/>
      <c r="AB75" s="931"/>
      <c r="AC75" s="931"/>
      <c r="AD75" s="931"/>
      <c r="AE75" s="931"/>
      <c r="AF75" s="931"/>
      <c r="AG75" s="931"/>
      <c r="AH75" s="931"/>
      <c r="AI75" s="931"/>
      <c r="AJ75" s="931"/>
      <c r="AK75" s="931"/>
      <c r="AL75" s="931"/>
      <c r="AM75" s="931"/>
      <c r="AN75" s="931"/>
      <c r="AO75" s="931"/>
      <c r="AP75" s="931"/>
      <c r="AQ75" s="931"/>
      <c r="AR75" s="931"/>
      <c r="AS75" s="931"/>
      <c r="AT75" s="931"/>
      <c r="AU75" s="931"/>
      <c r="AV75" s="931"/>
      <c r="AW75" s="931"/>
      <c r="AX75" s="931"/>
      <c r="AY75" s="931"/>
      <c r="AZ75" s="931"/>
      <c r="BA75" s="927">
        <f t="shared" ref="BA75:BF75" si="36">+$D75/24</f>
        <v>1.1193538125</v>
      </c>
      <c r="BB75" s="927">
        <f t="shared" si="36"/>
        <v>1.1193538125</v>
      </c>
      <c r="BC75" s="927">
        <f t="shared" si="36"/>
        <v>1.1193538125</v>
      </c>
      <c r="BD75" s="927">
        <f t="shared" si="36"/>
        <v>1.1193538125</v>
      </c>
      <c r="BE75" s="927">
        <f t="shared" si="36"/>
        <v>1.1193538125</v>
      </c>
      <c r="BF75" s="927">
        <f t="shared" si="36"/>
        <v>1.1193538125</v>
      </c>
      <c r="BG75" s="927">
        <f t="shared" si="32"/>
        <v>1.1193538125</v>
      </c>
      <c r="BH75" s="927">
        <f t="shared" si="32"/>
        <v>1.1193538125</v>
      </c>
      <c r="BI75" s="927">
        <f t="shared" si="32"/>
        <v>1.1193538125</v>
      </c>
      <c r="BJ75" s="927">
        <f t="shared" si="32"/>
        <v>1.1193538125</v>
      </c>
      <c r="BK75" s="927">
        <f t="shared" si="32"/>
        <v>1.1193538125</v>
      </c>
      <c r="BL75" s="927">
        <f t="shared" si="32"/>
        <v>1.1193538125</v>
      </c>
      <c r="BM75" s="927">
        <f t="shared" si="32"/>
        <v>1.1193538125</v>
      </c>
      <c r="BN75" s="927">
        <f t="shared" si="32"/>
        <v>1.1193538125</v>
      </c>
      <c r="BO75" s="927">
        <f t="shared" si="32"/>
        <v>1.1193538125</v>
      </c>
      <c r="BP75" s="927">
        <f t="shared" si="32"/>
        <v>1.1193538125</v>
      </c>
      <c r="BQ75" s="927">
        <f t="shared" si="32"/>
        <v>1.1193538125</v>
      </c>
      <c r="BR75" s="927">
        <f t="shared" si="32"/>
        <v>1.1193538125</v>
      </c>
      <c r="BS75" s="927">
        <f t="shared" si="32"/>
        <v>1.1193538125</v>
      </c>
      <c r="BT75" s="927">
        <f t="shared" si="32"/>
        <v>1.1193538125</v>
      </c>
      <c r="BU75" s="927">
        <f t="shared" si="32"/>
        <v>1.1193538125</v>
      </c>
      <c r="BV75" s="927">
        <f t="shared" si="32"/>
        <v>1.1193538125</v>
      </c>
      <c r="BW75" s="927">
        <f t="shared" si="35"/>
        <v>1.1193538125</v>
      </c>
      <c r="BX75" s="927">
        <f t="shared" si="35"/>
        <v>1.1193538125</v>
      </c>
    </row>
    <row r="76" spans="1:81" x14ac:dyDescent="0.3">
      <c r="A76" s="923">
        <v>43525</v>
      </c>
      <c r="B76" s="932">
        <v>215037.57434474863</v>
      </c>
      <c r="C76" s="929">
        <v>119.35</v>
      </c>
      <c r="D76" s="930">
        <f>+(B76*C76)/10^6</f>
        <v>25.664734498045746</v>
      </c>
      <c r="E76" s="931"/>
      <c r="F76" s="931"/>
      <c r="G76" s="931"/>
      <c r="H76" s="931"/>
      <c r="I76" s="931"/>
      <c r="J76" s="931"/>
      <c r="K76" s="931"/>
      <c r="L76" s="931"/>
      <c r="M76" s="931"/>
      <c r="N76" s="931"/>
      <c r="O76" s="931"/>
      <c r="P76" s="931"/>
      <c r="Q76" s="931"/>
      <c r="R76" s="931"/>
      <c r="S76" s="931"/>
      <c r="T76" s="931"/>
      <c r="U76" s="931"/>
      <c r="V76" s="931"/>
      <c r="W76" s="931"/>
      <c r="X76" s="931"/>
      <c r="Y76" s="931"/>
      <c r="Z76" s="931"/>
      <c r="AA76" s="931"/>
      <c r="AB76" s="931"/>
      <c r="AC76" s="931"/>
      <c r="AD76" s="931"/>
      <c r="AE76" s="931"/>
      <c r="AF76" s="931"/>
      <c r="AG76" s="931"/>
      <c r="AH76" s="931"/>
      <c r="AI76" s="931"/>
      <c r="AJ76" s="931"/>
      <c r="AK76" s="931"/>
      <c r="AL76" s="931"/>
      <c r="AM76" s="931"/>
      <c r="AN76" s="931"/>
      <c r="AO76" s="931"/>
      <c r="AP76" s="931"/>
      <c r="AQ76" s="931"/>
      <c r="AR76" s="931"/>
      <c r="AS76" s="931"/>
      <c r="AT76" s="931"/>
      <c r="AU76" s="931"/>
      <c r="AV76" s="931"/>
      <c r="AW76" s="931"/>
      <c r="AX76" s="931"/>
      <c r="AY76" s="931"/>
      <c r="AZ76" s="931"/>
      <c r="BA76" s="931"/>
      <c r="BB76" s="927">
        <f>+$D76/24</f>
        <v>1.0693639374185728</v>
      </c>
      <c r="BC76" s="927">
        <f>+$D76/24</f>
        <v>1.0693639374185728</v>
      </c>
      <c r="BD76" s="927">
        <f>+$D76/24</f>
        <v>1.0693639374185728</v>
      </c>
      <c r="BE76" s="927">
        <f>+$D76/24</f>
        <v>1.0693639374185728</v>
      </c>
      <c r="BF76" s="927">
        <f>+$D76/24</f>
        <v>1.0693639374185728</v>
      </c>
      <c r="BG76" s="927">
        <f t="shared" si="32"/>
        <v>1.0693639374185728</v>
      </c>
      <c r="BH76" s="927">
        <f t="shared" si="32"/>
        <v>1.0693639374185728</v>
      </c>
      <c r="BI76" s="927">
        <f t="shared" si="32"/>
        <v>1.0693639374185728</v>
      </c>
      <c r="BJ76" s="927">
        <f t="shared" si="32"/>
        <v>1.0693639374185728</v>
      </c>
      <c r="BK76" s="927">
        <f t="shared" si="32"/>
        <v>1.0693639374185728</v>
      </c>
      <c r="BL76" s="927">
        <f t="shared" si="32"/>
        <v>1.0693639374185728</v>
      </c>
      <c r="BM76" s="927">
        <f t="shared" si="32"/>
        <v>1.0693639374185728</v>
      </c>
      <c r="BN76" s="927">
        <f t="shared" si="32"/>
        <v>1.0693639374185728</v>
      </c>
      <c r="BO76" s="927">
        <f t="shared" si="32"/>
        <v>1.0693639374185728</v>
      </c>
      <c r="BP76" s="927">
        <f t="shared" si="32"/>
        <v>1.0693639374185728</v>
      </c>
      <c r="BQ76" s="927">
        <f t="shared" si="32"/>
        <v>1.0693639374185728</v>
      </c>
      <c r="BR76" s="927">
        <f t="shared" si="32"/>
        <v>1.0693639374185728</v>
      </c>
      <c r="BS76" s="927">
        <f t="shared" si="32"/>
        <v>1.0693639374185728</v>
      </c>
      <c r="BT76" s="927">
        <f t="shared" si="32"/>
        <v>1.0693639374185728</v>
      </c>
      <c r="BU76" s="927">
        <f t="shared" si="35"/>
        <v>1.0693639374185728</v>
      </c>
      <c r="BV76" s="927">
        <f t="shared" si="35"/>
        <v>1.0693639374185728</v>
      </c>
      <c r="BW76" s="927">
        <f t="shared" si="35"/>
        <v>1.0693639374185728</v>
      </c>
      <c r="BX76" s="927">
        <f t="shared" si="35"/>
        <v>1.0693639374185728</v>
      </c>
      <c r="BY76" s="927">
        <f t="shared" si="35"/>
        <v>1.0693639374185728</v>
      </c>
    </row>
    <row r="77" spans="1:81" x14ac:dyDescent="0.3">
      <c r="A77" s="923">
        <v>43556</v>
      </c>
      <c r="B77" s="932">
        <v>209553</v>
      </c>
      <c r="C77" s="929">
        <v>112.61</v>
      </c>
      <c r="D77" s="930">
        <f>+(B77*C77)/10^6</f>
        <v>23.597763329999999</v>
      </c>
      <c r="E77" s="931"/>
      <c r="F77" s="931"/>
      <c r="G77" s="931"/>
      <c r="H77" s="931"/>
      <c r="I77" s="931"/>
      <c r="J77" s="931"/>
      <c r="K77" s="931"/>
      <c r="L77" s="931"/>
      <c r="M77" s="931"/>
      <c r="N77" s="931"/>
      <c r="O77" s="931"/>
      <c r="P77" s="931"/>
      <c r="Q77" s="931"/>
      <c r="R77" s="931"/>
      <c r="S77" s="931"/>
      <c r="T77" s="931"/>
      <c r="U77" s="931"/>
      <c r="V77" s="931"/>
      <c r="W77" s="931"/>
      <c r="X77" s="931"/>
      <c r="Y77" s="931"/>
      <c r="Z77" s="931"/>
      <c r="AA77" s="931"/>
      <c r="AB77" s="931"/>
      <c r="AC77" s="931"/>
      <c r="AD77" s="931"/>
      <c r="AE77" s="931"/>
      <c r="AF77" s="931"/>
      <c r="AG77" s="931"/>
      <c r="AH77" s="931"/>
      <c r="AI77" s="931"/>
      <c r="AJ77" s="931"/>
      <c r="AK77" s="931"/>
      <c r="AL77" s="931"/>
      <c r="AM77" s="931"/>
      <c r="AN77" s="931"/>
      <c r="AO77" s="931"/>
      <c r="AP77" s="931"/>
      <c r="AQ77" s="931"/>
      <c r="AR77" s="931"/>
      <c r="AS77" s="931"/>
      <c r="AT77" s="931"/>
      <c r="AU77" s="931"/>
      <c r="AV77" s="931"/>
      <c r="AW77" s="931"/>
      <c r="AX77" s="931"/>
      <c r="AY77" s="931"/>
      <c r="AZ77" s="931"/>
      <c r="BA77" s="931"/>
      <c r="BB77" s="931"/>
      <c r="BC77" s="927">
        <f>+$D77/24</f>
        <v>0.98324013874999994</v>
      </c>
      <c r="BD77" s="927">
        <f>+$D77/24</f>
        <v>0.98324013874999994</v>
      </c>
      <c r="BE77" s="927">
        <f>+$D77/24</f>
        <v>0.98324013874999994</v>
      </c>
      <c r="BF77" s="927">
        <f>+$D77/24</f>
        <v>0.98324013874999994</v>
      </c>
      <c r="BG77" s="927">
        <f t="shared" si="32"/>
        <v>0.98324013874999994</v>
      </c>
      <c r="BH77" s="927">
        <f t="shared" si="32"/>
        <v>0.98324013874999994</v>
      </c>
      <c r="BI77" s="927">
        <f t="shared" si="32"/>
        <v>0.98324013874999994</v>
      </c>
      <c r="BJ77" s="927">
        <f t="shared" si="32"/>
        <v>0.98324013874999994</v>
      </c>
      <c r="BK77" s="927">
        <f t="shared" si="32"/>
        <v>0.98324013874999994</v>
      </c>
      <c r="BL77" s="927">
        <f t="shared" si="32"/>
        <v>0.98324013874999994</v>
      </c>
      <c r="BM77" s="927">
        <f t="shared" si="32"/>
        <v>0.98324013874999994</v>
      </c>
      <c r="BN77" s="927">
        <f t="shared" si="32"/>
        <v>0.98324013874999994</v>
      </c>
      <c r="BO77" s="927">
        <f t="shared" si="32"/>
        <v>0.98324013874999994</v>
      </c>
      <c r="BP77" s="927">
        <f t="shared" si="32"/>
        <v>0.98324013874999994</v>
      </c>
      <c r="BQ77" s="927">
        <f t="shared" si="32"/>
        <v>0.98324013874999994</v>
      </c>
      <c r="BR77" s="927">
        <f t="shared" si="32"/>
        <v>0.98324013874999994</v>
      </c>
      <c r="BS77" s="927">
        <f t="shared" si="32"/>
        <v>0.98324013874999994</v>
      </c>
      <c r="BT77" s="927">
        <f t="shared" si="32"/>
        <v>0.98324013874999994</v>
      </c>
      <c r="BU77" s="927">
        <f t="shared" si="35"/>
        <v>0.98324013874999994</v>
      </c>
      <c r="BV77" s="927">
        <f t="shared" si="35"/>
        <v>0.98324013874999994</v>
      </c>
      <c r="BW77" s="927">
        <f t="shared" si="35"/>
        <v>0.98324013874999994</v>
      </c>
      <c r="BX77" s="927">
        <f t="shared" si="35"/>
        <v>0.98324013874999994</v>
      </c>
      <c r="BY77" s="927">
        <f t="shared" si="35"/>
        <v>0.98324013874999994</v>
      </c>
      <c r="BZ77" s="927">
        <f t="shared" si="35"/>
        <v>0.98324013874999994</v>
      </c>
    </row>
    <row r="78" spans="1:81" x14ac:dyDescent="0.3">
      <c r="A78" s="923">
        <v>43586</v>
      </c>
      <c r="B78" s="932">
        <v>248450</v>
      </c>
      <c r="C78" s="929">
        <v>112.61</v>
      </c>
      <c r="D78" s="930">
        <f t="shared" ref="D78:D137" si="37">+(B78*C78)/10^6</f>
        <v>27.977954499999999</v>
      </c>
      <c r="E78" s="931"/>
      <c r="F78" s="931"/>
      <c r="G78" s="931"/>
      <c r="H78" s="931"/>
      <c r="I78" s="931"/>
      <c r="J78" s="931"/>
      <c r="K78" s="931"/>
      <c r="L78" s="931"/>
      <c r="M78" s="931"/>
      <c r="N78" s="931"/>
      <c r="O78" s="931"/>
      <c r="P78" s="931"/>
      <c r="Q78" s="931"/>
      <c r="R78" s="931"/>
      <c r="S78" s="931"/>
      <c r="T78" s="931"/>
      <c r="U78" s="931"/>
      <c r="V78" s="931"/>
      <c r="W78" s="931"/>
      <c r="X78" s="931"/>
      <c r="Y78" s="931"/>
      <c r="Z78" s="931"/>
      <c r="AA78" s="931"/>
      <c r="AB78" s="931"/>
      <c r="AC78" s="931"/>
      <c r="AD78" s="931"/>
      <c r="AE78" s="931"/>
      <c r="AF78" s="931"/>
      <c r="AG78" s="931"/>
      <c r="AH78" s="931"/>
      <c r="AI78" s="931"/>
      <c r="AJ78" s="931"/>
      <c r="AK78" s="931"/>
      <c r="AL78" s="931"/>
      <c r="AM78" s="931"/>
      <c r="AN78" s="931"/>
      <c r="AO78" s="931"/>
      <c r="AP78" s="931"/>
      <c r="AQ78" s="931"/>
      <c r="AR78" s="931"/>
      <c r="AS78" s="931"/>
      <c r="AT78" s="931"/>
      <c r="AU78" s="931"/>
      <c r="AV78" s="931"/>
      <c r="AW78" s="931"/>
      <c r="AX78" s="931"/>
      <c r="AY78" s="931"/>
      <c r="AZ78" s="931"/>
      <c r="BA78" s="931"/>
      <c r="BB78" s="931"/>
      <c r="BC78" s="931"/>
      <c r="BD78" s="927">
        <f>+$D78/24</f>
        <v>1.1657481041666666</v>
      </c>
      <c r="BE78" s="927">
        <f>+$D78/24</f>
        <v>1.1657481041666666</v>
      </c>
      <c r="BF78" s="927">
        <f>+$D78/24</f>
        <v>1.1657481041666666</v>
      </c>
      <c r="BG78" s="927">
        <f t="shared" si="32"/>
        <v>1.1657481041666666</v>
      </c>
      <c r="BH78" s="927">
        <f t="shared" si="32"/>
        <v>1.1657481041666666</v>
      </c>
      <c r="BI78" s="927">
        <f t="shared" si="32"/>
        <v>1.1657481041666666</v>
      </c>
      <c r="BJ78" s="927">
        <f t="shared" si="32"/>
        <v>1.1657481041666666</v>
      </c>
      <c r="BK78" s="927">
        <f t="shared" si="32"/>
        <v>1.1657481041666666</v>
      </c>
      <c r="BL78" s="927">
        <f t="shared" si="32"/>
        <v>1.1657481041666666</v>
      </c>
      <c r="BM78" s="927">
        <f t="shared" si="32"/>
        <v>1.1657481041666666</v>
      </c>
      <c r="BN78" s="927">
        <f t="shared" si="32"/>
        <v>1.1657481041666666</v>
      </c>
      <c r="BO78" s="927">
        <f t="shared" si="32"/>
        <v>1.1657481041666666</v>
      </c>
      <c r="BP78" s="927">
        <f t="shared" si="32"/>
        <v>1.1657481041666666</v>
      </c>
      <c r="BQ78" s="927">
        <f t="shared" si="32"/>
        <v>1.1657481041666666</v>
      </c>
      <c r="BR78" s="927">
        <f t="shared" si="32"/>
        <v>1.1657481041666666</v>
      </c>
      <c r="BS78" s="927">
        <f t="shared" si="32"/>
        <v>1.1657481041666666</v>
      </c>
      <c r="BT78" s="927">
        <f t="shared" si="32"/>
        <v>1.1657481041666666</v>
      </c>
      <c r="BU78" s="927">
        <f t="shared" si="35"/>
        <v>1.1657481041666666</v>
      </c>
      <c r="BV78" s="927">
        <f t="shared" si="35"/>
        <v>1.1657481041666666</v>
      </c>
      <c r="BW78" s="927">
        <f t="shared" si="35"/>
        <v>1.1657481041666666</v>
      </c>
      <c r="BX78" s="927">
        <f t="shared" si="35"/>
        <v>1.1657481041666666</v>
      </c>
      <c r="BY78" s="927">
        <f t="shared" si="35"/>
        <v>1.1657481041666666</v>
      </c>
      <c r="BZ78" s="927">
        <f t="shared" si="35"/>
        <v>1.1657481041666666</v>
      </c>
      <c r="CA78" s="927">
        <f t="shared" si="35"/>
        <v>1.1657481041666666</v>
      </c>
    </row>
    <row r="79" spans="1:81" x14ac:dyDescent="0.3">
      <c r="A79" s="923">
        <v>43617</v>
      </c>
      <c r="B79" s="932">
        <v>199640.5483227137</v>
      </c>
      <c r="C79" s="929">
        <v>112.61</v>
      </c>
      <c r="D79" s="930">
        <f t="shared" si="37"/>
        <v>22.48152214662079</v>
      </c>
      <c r="E79" s="931"/>
      <c r="F79" s="931"/>
      <c r="G79" s="931"/>
      <c r="H79" s="931"/>
      <c r="I79" s="931"/>
      <c r="J79" s="931"/>
      <c r="K79" s="931"/>
      <c r="L79" s="931"/>
      <c r="M79" s="931"/>
      <c r="N79" s="931"/>
      <c r="O79" s="931"/>
      <c r="P79" s="931"/>
      <c r="Q79" s="931"/>
      <c r="R79" s="931"/>
      <c r="S79" s="931"/>
      <c r="T79" s="931"/>
      <c r="U79" s="931"/>
      <c r="V79" s="931"/>
      <c r="W79" s="931"/>
      <c r="X79" s="931"/>
      <c r="Y79" s="931"/>
      <c r="Z79" s="931"/>
      <c r="AA79" s="931"/>
      <c r="AB79" s="931"/>
      <c r="AC79" s="931"/>
      <c r="AD79" s="931"/>
      <c r="AE79" s="931"/>
      <c r="AF79" s="931"/>
      <c r="AG79" s="931"/>
      <c r="AH79" s="931"/>
      <c r="AI79" s="931"/>
      <c r="AJ79" s="931"/>
      <c r="AK79" s="931"/>
      <c r="AL79" s="931"/>
      <c r="AM79" s="931"/>
      <c r="AN79" s="931"/>
      <c r="AO79" s="931"/>
      <c r="AP79" s="931"/>
      <c r="AQ79" s="931"/>
      <c r="AR79" s="931"/>
      <c r="AS79" s="931"/>
      <c r="AT79" s="931"/>
      <c r="AU79" s="931"/>
      <c r="AV79" s="931"/>
      <c r="AW79" s="931"/>
      <c r="AX79" s="931"/>
      <c r="AY79" s="931"/>
      <c r="AZ79" s="931"/>
      <c r="BA79" s="931"/>
      <c r="BB79" s="931"/>
      <c r="BC79" s="931"/>
      <c r="BD79" s="931"/>
      <c r="BE79" s="927">
        <f>+$D79/24</f>
        <v>0.93673008944253289</v>
      </c>
      <c r="BF79" s="927">
        <f>+$D79/24</f>
        <v>0.93673008944253289</v>
      </c>
      <c r="BG79" s="927">
        <f t="shared" si="32"/>
        <v>0.93673008944253289</v>
      </c>
      <c r="BH79" s="927">
        <f t="shared" si="32"/>
        <v>0.93673008944253289</v>
      </c>
      <c r="BI79" s="927">
        <f t="shared" si="32"/>
        <v>0.93673008944253289</v>
      </c>
      <c r="BJ79" s="927">
        <f t="shared" si="32"/>
        <v>0.93673008944253289</v>
      </c>
      <c r="BK79" s="927">
        <f t="shared" si="32"/>
        <v>0.93673008944253289</v>
      </c>
      <c r="BL79" s="927">
        <f t="shared" si="32"/>
        <v>0.93673008944253289</v>
      </c>
      <c r="BM79" s="927">
        <f t="shared" si="32"/>
        <v>0.93673008944253289</v>
      </c>
      <c r="BN79" s="927">
        <f t="shared" si="32"/>
        <v>0.93673008944253289</v>
      </c>
      <c r="BO79" s="927">
        <f t="shared" si="32"/>
        <v>0.93673008944253289</v>
      </c>
      <c r="BP79" s="927">
        <f t="shared" si="32"/>
        <v>0.93673008944253289</v>
      </c>
      <c r="BQ79" s="927">
        <f t="shared" si="32"/>
        <v>0.93673008944253289</v>
      </c>
      <c r="BR79" s="927">
        <f t="shared" si="32"/>
        <v>0.93673008944253289</v>
      </c>
      <c r="BS79" s="927">
        <f t="shared" si="32"/>
        <v>0.93673008944253289</v>
      </c>
      <c r="BT79" s="927">
        <f t="shared" si="32"/>
        <v>0.93673008944253289</v>
      </c>
      <c r="BU79" s="927">
        <f t="shared" si="35"/>
        <v>0.93673008944253289</v>
      </c>
      <c r="BV79" s="927">
        <f t="shared" si="35"/>
        <v>0.93673008944253289</v>
      </c>
      <c r="BW79" s="927">
        <f t="shared" si="35"/>
        <v>0.93673008944253289</v>
      </c>
      <c r="BX79" s="927">
        <f t="shared" si="35"/>
        <v>0.93673008944253289</v>
      </c>
      <c r="BY79" s="927">
        <f t="shared" si="35"/>
        <v>0.93673008944253289</v>
      </c>
      <c r="BZ79" s="927">
        <f t="shared" si="35"/>
        <v>0.93673008944253289</v>
      </c>
      <c r="CA79" s="927">
        <f t="shared" si="35"/>
        <v>0.93673008944253289</v>
      </c>
      <c r="CB79" s="927">
        <f t="shared" si="35"/>
        <v>0.93673008944253289</v>
      </c>
    </row>
    <row r="80" spans="1:81" x14ac:dyDescent="0.3">
      <c r="A80" s="923">
        <v>43647</v>
      </c>
      <c r="B80" s="932">
        <v>165739.22925429046</v>
      </c>
      <c r="C80" s="929">
        <v>112.61</v>
      </c>
      <c r="D80" s="930">
        <f t="shared" si="37"/>
        <v>18.663894606325648</v>
      </c>
      <c r="E80" s="931"/>
      <c r="F80" s="931"/>
      <c r="G80" s="931"/>
      <c r="H80" s="931"/>
      <c r="I80" s="931"/>
      <c r="J80" s="931"/>
      <c r="K80" s="931"/>
      <c r="L80" s="931"/>
      <c r="M80" s="931"/>
      <c r="N80" s="931"/>
      <c r="O80" s="931"/>
      <c r="P80" s="931"/>
      <c r="Q80" s="931"/>
      <c r="R80" s="931"/>
      <c r="S80" s="931"/>
      <c r="T80" s="931"/>
      <c r="U80" s="931"/>
      <c r="V80" s="931"/>
      <c r="W80" s="931"/>
      <c r="X80" s="931"/>
      <c r="Y80" s="931"/>
      <c r="Z80" s="931"/>
      <c r="AA80" s="931"/>
      <c r="AB80" s="931"/>
      <c r="AC80" s="931"/>
      <c r="AD80" s="931"/>
      <c r="AE80" s="931"/>
      <c r="AF80" s="931"/>
      <c r="AG80" s="931"/>
      <c r="AH80" s="931"/>
      <c r="AI80" s="931"/>
      <c r="AJ80" s="931"/>
      <c r="AK80" s="931"/>
      <c r="AL80" s="931"/>
      <c r="AM80" s="931"/>
      <c r="AN80" s="931"/>
      <c r="AO80" s="931"/>
      <c r="AP80" s="931"/>
      <c r="AQ80" s="931"/>
      <c r="AR80" s="931"/>
      <c r="AS80" s="931"/>
      <c r="AT80" s="931"/>
      <c r="AU80" s="931"/>
      <c r="AV80" s="931"/>
      <c r="AW80" s="931"/>
      <c r="AX80" s="931"/>
      <c r="AY80" s="931"/>
      <c r="AZ80" s="931"/>
      <c r="BA80" s="931"/>
      <c r="BB80" s="931"/>
      <c r="BC80" s="931"/>
      <c r="BD80" s="931"/>
      <c r="BE80" s="931"/>
      <c r="BF80" s="927">
        <f t="shared" ref="BF80:BK85" si="38">+$D80/24</f>
        <v>0.77766227526356868</v>
      </c>
      <c r="BG80" s="927">
        <f t="shared" si="38"/>
        <v>0.77766227526356868</v>
      </c>
      <c r="BH80" s="927">
        <f t="shared" si="38"/>
        <v>0.77766227526356868</v>
      </c>
      <c r="BI80" s="927">
        <f t="shared" si="38"/>
        <v>0.77766227526356868</v>
      </c>
      <c r="BJ80" s="927">
        <f t="shared" si="38"/>
        <v>0.77766227526356868</v>
      </c>
      <c r="BK80" s="927">
        <f t="shared" si="38"/>
        <v>0.77766227526356868</v>
      </c>
      <c r="BL80" s="927">
        <f t="shared" si="32"/>
        <v>0.77766227526356868</v>
      </c>
      <c r="BM80" s="927">
        <f t="shared" si="32"/>
        <v>0.77766227526356868</v>
      </c>
      <c r="BN80" s="927">
        <f t="shared" si="32"/>
        <v>0.77766227526356868</v>
      </c>
      <c r="BO80" s="927">
        <f t="shared" si="32"/>
        <v>0.77766227526356868</v>
      </c>
      <c r="BP80" s="927">
        <f t="shared" si="32"/>
        <v>0.77766227526356868</v>
      </c>
      <c r="BQ80" s="927">
        <f t="shared" si="32"/>
        <v>0.77766227526356868</v>
      </c>
      <c r="BR80" s="927">
        <f t="shared" si="32"/>
        <v>0.77766227526356868</v>
      </c>
      <c r="BS80" s="927">
        <f t="shared" si="32"/>
        <v>0.77766227526356868</v>
      </c>
      <c r="BT80" s="927">
        <f t="shared" si="32"/>
        <v>0.77766227526356868</v>
      </c>
      <c r="BU80" s="927">
        <f t="shared" si="35"/>
        <v>0.77766227526356868</v>
      </c>
      <c r="BV80" s="927">
        <f t="shared" si="35"/>
        <v>0.77766227526356868</v>
      </c>
      <c r="BW80" s="927">
        <f t="shared" si="35"/>
        <v>0.77766227526356868</v>
      </c>
      <c r="BX80" s="927">
        <f t="shared" si="35"/>
        <v>0.77766227526356868</v>
      </c>
      <c r="BY80" s="927">
        <f t="shared" si="35"/>
        <v>0.77766227526356868</v>
      </c>
      <c r="BZ80" s="927">
        <f t="shared" si="35"/>
        <v>0.77766227526356868</v>
      </c>
      <c r="CA80" s="927">
        <f t="shared" si="35"/>
        <v>0.77766227526356868</v>
      </c>
      <c r="CB80" s="927">
        <f t="shared" si="35"/>
        <v>0.77766227526356868</v>
      </c>
      <c r="CC80" s="927">
        <f t="shared" si="35"/>
        <v>0.77766227526356868</v>
      </c>
    </row>
    <row r="81" spans="1:97" x14ac:dyDescent="0.3">
      <c r="A81" s="923">
        <v>43678</v>
      </c>
      <c r="B81" s="932">
        <v>253638</v>
      </c>
      <c r="C81" s="929">
        <v>112.61</v>
      </c>
      <c r="D81" s="930">
        <f t="shared" si="37"/>
        <v>28.562175180000001</v>
      </c>
      <c r="E81" s="931"/>
      <c r="F81" s="931"/>
      <c r="G81" s="931"/>
      <c r="H81" s="931"/>
      <c r="I81" s="931"/>
      <c r="J81" s="931"/>
      <c r="K81" s="931"/>
      <c r="L81" s="931"/>
      <c r="M81" s="931"/>
      <c r="N81" s="931"/>
      <c r="O81" s="931"/>
      <c r="P81" s="931"/>
      <c r="Q81" s="931"/>
      <c r="R81" s="931"/>
      <c r="S81" s="931"/>
      <c r="T81" s="931"/>
      <c r="U81" s="931"/>
      <c r="V81" s="931"/>
      <c r="W81" s="931"/>
      <c r="X81" s="931"/>
      <c r="Y81" s="931"/>
      <c r="Z81" s="931"/>
      <c r="AA81" s="931"/>
      <c r="AB81" s="931"/>
      <c r="AC81" s="931"/>
      <c r="AD81" s="931"/>
      <c r="AE81" s="931"/>
      <c r="AF81" s="931"/>
      <c r="AG81" s="931"/>
      <c r="AH81" s="931"/>
      <c r="AI81" s="931"/>
      <c r="AJ81" s="931"/>
      <c r="AK81" s="931"/>
      <c r="AL81" s="931"/>
      <c r="AM81" s="931"/>
      <c r="AN81" s="931"/>
      <c r="AO81" s="931"/>
      <c r="AP81" s="931"/>
      <c r="AQ81" s="931"/>
      <c r="AR81" s="931"/>
      <c r="AS81" s="931"/>
      <c r="AT81" s="931"/>
      <c r="AU81" s="931"/>
      <c r="AV81" s="931"/>
      <c r="AW81" s="931"/>
      <c r="AX81" s="931"/>
      <c r="AY81" s="931"/>
      <c r="AZ81" s="931"/>
      <c r="BA81" s="931"/>
      <c r="BB81" s="931"/>
      <c r="BC81" s="931"/>
      <c r="BD81" s="931"/>
      <c r="BE81" s="931"/>
      <c r="BF81" s="931"/>
      <c r="BG81" s="927">
        <f t="shared" si="38"/>
        <v>1.1900906325</v>
      </c>
      <c r="BH81" s="927">
        <f t="shared" si="38"/>
        <v>1.1900906325</v>
      </c>
      <c r="BI81" s="927">
        <f t="shared" si="38"/>
        <v>1.1900906325</v>
      </c>
      <c r="BJ81" s="927">
        <f t="shared" si="38"/>
        <v>1.1900906325</v>
      </c>
      <c r="BK81" s="927">
        <f t="shared" si="38"/>
        <v>1.1900906325</v>
      </c>
      <c r="BL81" s="927">
        <f t="shared" si="32"/>
        <v>1.1900906325</v>
      </c>
      <c r="BM81" s="927">
        <f t="shared" si="32"/>
        <v>1.1900906325</v>
      </c>
      <c r="BN81" s="927">
        <f t="shared" si="32"/>
        <v>1.1900906325</v>
      </c>
      <c r="BO81" s="927">
        <f t="shared" si="32"/>
        <v>1.1900906325</v>
      </c>
      <c r="BP81" s="927">
        <f t="shared" si="32"/>
        <v>1.1900906325</v>
      </c>
      <c r="BQ81" s="927">
        <f t="shared" si="32"/>
        <v>1.1900906325</v>
      </c>
      <c r="BR81" s="927">
        <f t="shared" si="32"/>
        <v>1.1900906325</v>
      </c>
      <c r="BS81" s="927">
        <f t="shared" si="32"/>
        <v>1.1900906325</v>
      </c>
      <c r="BT81" s="927">
        <f t="shared" si="32"/>
        <v>1.1900906325</v>
      </c>
      <c r="BU81" s="927">
        <f t="shared" si="35"/>
        <v>1.1900906325</v>
      </c>
      <c r="BV81" s="927">
        <f t="shared" si="35"/>
        <v>1.1900906325</v>
      </c>
      <c r="BW81" s="927">
        <f t="shared" si="35"/>
        <v>1.1900906325</v>
      </c>
      <c r="BX81" s="927">
        <f t="shared" si="35"/>
        <v>1.1900906325</v>
      </c>
      <c r="BY81" s="927">
        <f t="shared" si="35"/>
        <v>1.1900906325</v>
      </c>
      <c r="BZ81" s="927">
        <f t="shared" si="35"/>
        <v>1.1900906325</v>
      </c>
      <c r="CA81" s="927">
        <f t="shared" si="35"/>
        <v>1.1900906325</v>
      </c>
      <c r="CB81" s="927">
        <f t="shared" si="35"/>
        <v>1.1900906325</v>
      </c>
      <c r="CC81" s="927">
        <f t="shared" si="35"/>
        <v>1.1900906325</v>
      </c>
      <c r="CD81" s="927">
        <f t="shared" si="35"/>
        <v>1.1900906325</v>
      </c>
    </row>
    <row r="82" spans="1:97" x14ac:dyDescent="0.3">
      <c r="A82" s="923">
        <v>43709</v>
      </c>
      <c r="B82" s="932">
        <v>187125.392592858</v>
      </c>
      <c r="C82" s="929">
        <v>112.61</v>
      </c>
      <c r="D82" s="930">
        <f t="shared" si="37"/>
        <v>21.072190459881739</v>
      </c>
      <c r="E82" s="931"/>
      <c r="F82" s="931"/>
      <c r="G82" s="931"/>
      <c r="H82" s="931"/>
      <c r="I82" s="931"/>
      <c r="J82" s="931"/>
      <c r="K82" s="931"/>
      <c r="L82" s="931"/>
      <c r="M82" s="931"/>
      <c r="N82" s="931"/>
      <c r="O82" s="931"/>
      <c r="P82" s="931"/>
      <c r="Q82" s="931"/>
      <c r="R82" s="931"/>
      <c r="S82" s="931"/>
      <c r="T82" s="931"/>
      <c r="U82" s="931"/>
      <c r="V82" s="931"/>
      <c r="W82" s="931"/>
      <c r="X82" s="931"/>
      <c r="Y82" s="931"/>
      <c r="Z82" s="931"/>
      <c r="AA82" s="931"/>
      <c r="AB82" s="931"/>
      <c r="AC82" s="931"/>
      <c r="AD82" s="931"/>
      <c r="AE82" s="931"/>
      <c r="AF82" s="931"/>
      <c r="AG82" s="931"/>
      <c r="AH82" s="931"/>
      <c r="AI82" s="931"/>
      <c r="AJ82" s="931"/>
      <c r="AK82" s="931"/>
      <c r="AL82" s="931"/>
      <c r="AM82" s="931"/>
      <c r="AN82" s="931"/>
      <c r="AO82" s="931"/>
      <c r="AP82" s="931"/>
      <c r="AQ82" s="931"/>
      <c r="AR82" s="931"/>
      <c r="AS82" s="931"/>
      <c r="AT82" s="931"/>
      <c r="AU82" s="931"/>
      <c r="AV82" s="931"/>
      <c r="AW82" s="931"/>
      <c r="AX82" s="931"/>
      <c r="AY82" s="931"/>
      <c r="AZ82" s="931"/>
      <c r="BA82" s="931"/>
      <c r="BB82" s="931"/>
      <c r="BC82" s="931"/>
      <c r="BD82" s="931"/>
      <c r="BE82" s="931"/>
      <c r="BF82" s="931"/>
      <c r="BG82" s="931"/>
      <c r="BH82" s="927">
        <f t="shared" si="38"/>
        <v>0.87800793582840575</v>
      </c>
      <c r="BI82" s="927">
        <f t="shared" si="38"/>
        <v>0.87800793582840575</v>
      </c>
      <c r="BJ82" s="927">
        <f t="shared" si="38"/>
        <v>0.87800793582840575</v>
      </c>
      <c r="BK82" s="927">
        <f t="shared" si="38"/>
        <v>0.87800793582840575</v>
      </c>
      <c r="BL82" s="927">
        <f t="shared" si="32"/>
        <v>0.87800793582840575</v>
      </c>
      <c r="BM82" s="927">
        <f t="shared" si="32"/>
        <v>0.87800793582840575</v>
      </c>
      <c r="BN82" s="927">
        <f t="shared" si="32"/>
        <v>0.87800793582840575</v>
      </c>
      <c r="BO82" s="927">
        <f t="shared" si="32"/>
        <v>0.87800793582840575</v>
      </c>
      <c r="BP82" s="927">
        <f t="shared" si="32"/>
        <v>0.87800793582840575</v>
      </c>
      <c r="BQ82" s="927">
        <f t="shared" si="32"/>
        <v>0.87800793582840575</v>
      </c>
      <c r="BR82" s="927">
        <f t="shared" si="32"/>
        <v>0.87800793582840575</v>
      </c>
      <c r="BS82" s="927">
        <f t="shared" si="32"/>
        <v>0.87800793582840575</v>
      </c>
      <c r="BT82" s="927">
        <f t="shared" si="32"/>
        <v>0.87800793582840575</v>
      </c>
      <c r="BU82" s="927">
        <f t="shared" si="35"/>
        <v>0.87800793582840575</v>
      </c>
      <c r="BV82" s="927">
        <f t="shared" si="35"/>
        <v>0.87800793582840575</v>
      </c>
      <c r="BW82" s="927">
        <f t="shared" si="35"/>
        <v>0.87800793582840575</v>
      </c>
      <c r="BX82" s="927">
        <f t="shared" si="35"/>
        <v>0.87800793582840575</v>
      </c>
      <c r="BY82" s="927">
        <f t="shared" si="35"/>
        <v>0.87800793582840575</v>
      </c>
      <c r="BZ82" s="927">
        <f t="shared" si="35"/>
        <v>0.87800793582840575</v>
      </c>
      <c r="CA82" s="927">
        <f t="shared" si="35"/>
        <v>0.87800793582840575</v>
      </c>
      <c r="CB82" s="927">
        <f t="shared" si="35"/>
        <v>0.87800793582840575</v>
      </c>
      <c r="CC82" s="927">
        <f t="shared" si="35"/>
        <v>0.87800793582840575</v>
      </c>
      <c r="CD82" s="927">
        <f t="shared" si="35"/>
        <v>0.87800793582840575</v>
      </c>
      <c r="CE82" s="927">
        <f t="shared" si="35"/>
        <v>0.87800793582840575</v>
      </c>
    </row>
    <row r="83" spans="1:97" x14ac:dyDescent="0.3">
      <c r="A83" s="923">
        <v>43739</v>
      </c>
      <c r="B83" s="932">
        <v>178572</v>
      </c>
      <c r="C83" s="929">
        <v>112.21494792571481</v>
      </c>
      <c r="D83" s="930">
        <f t="shared" si="37"/>
        <v>20.038447680990746</v>
      </c>
      <c r="E83" s="931"/>
      <c r="F83" s="931"/>
      <c r="G83" s="931"/>
      <c r="H83" s="931"/>
      <c r="I83" s="931"/>
      <c r="J83" s="931"/>
      <c r="K83" s="931"/>
      <c r="L83" s="931"/>
      <c r="M83" s="931"/>
      <c r="N83" s="931"/>
      <c r="O83" s="931"/>
      <c r="P83" s="931"/>
      <c r="Q83" s="931"/>
      <c r="R83" s="931"/>
      <c r="S83" s="931"/>
      <c r="T83" s="931"/>
      <c r="U83" s="931"/>
      <c r="V83" s="931"/>
      <c r="W83" s="931"/>
      <c r="X83" s="931"/>
      <c r="Y83" s="931"/>
      <c r="Z83" s="931"/>
      <c r="AA83" s="931"/>
      <c r="AB83" s="931"/>
      <c r="AC83" s="931"/>
      <c r="AD83" s="931"/>
      <c r="AE83" s="931"/>
      <c r="AF83" s="931"/>
      <c r="AG83" s="931"/>
      <c r="AH83" s="931"/>
      <c r="AI83" s="931"/>
      <c r="AJ83" s="931"/>
      <c r="AK83" s="931"/>
      <c r="AL83" s="931"/>
      <c r="AM83" s="931"/>
      <c r="AN83" s="931"/>
      <c r="AO83" s="931"/>
      <c r="AP83" s="931"/>
      <c r="AQ83" s="931"/>
      <c r="AR83" s="931"/>
      <c r="AS83" s="931"/>
      <c r="AT83" s="931"/>
      <c r="AU83" s="931"/>
      <c r="AV83" s="931"/>
      <c r="AW83" s="931"/>
      <c r="AX83" s="931"/>
      <c r="AY83" s="931"/>
      <c r="AZ83" s="931"/>
      <c r="BA83" s="931"/>
      <c r="BB83" s="931"/>
      <c r="BC83" s="931"/>
      <c r="BD83" s="931"/>
      <c r="BE83" s="931"/>
      <c r="BF83" s="931"/>
      <c r="BG83" s="931"/>
      <c r="BH83" s="927"/>
      <c r="BI83" s="927">
        <f t="shared" si="38"/>
        <v>0.83493532004128113</v>
      </c>
      <c r="BJ83" s="927">
        <f t="shared" si="38"/>
        <v>0.83493532004128113</v>
      </c>
      <c r="BK83" s="927">
        <f t="shared" si="38"/>
        <v>0.83493532004128113</v>
      </c>
      <c r="BL83" s="927">
        <f t="shared" si="32"/>
        <v>0.83493532004128113</v>
      </c>
      <c r="BM83" s="927">
        <f t="shared" si="32"/>
        <v>0.83493532004128113</v>
      </c>
      <c r="BN83" s="927">
        <f t="shared" si="32"/>
        <v>0.83493532004128113</v>
      </c>
      <c r="BO83" s="927">
        <f t="shared" si="32"/>
        <v>0.83493532004128113</v>
      </c>
      <c r="BP83" s="927">
        <f t="shared" si="32"/>
        <v>0.83493532004128113</v>
      </c>
      <c r="BQ83" s="927">
        <f t="shared" si="32"/>
        <v>0.83493532004128113</v>
      </c>
      <c r="BR83" s="927">
        <f t="shared" si="32"/>
        <v>0.83493532004128113</v>
      </c>
      <c r="BS83" s="927">
        <f t="shared" si="32"/>
        <v>0.83493532004128113</v>
      </c>
      <c r="BT83" s="927">
        <f t="shared" si="32"/>
        <v>0.83493532004128113</v>
      </c>
      <c r="BU83" s="927">
        <f t="shared" si="35"/>
        <v>0.83493532004128113</v>
      </c>
      <c r="BV83" s="927">
        <f t="shared" si="35"/>
        <v>0.83493532004128113</v>
      </c>
      <c r="BW83" s="927">
        <f t="shared" si="35"/>
        <v>0.83493532004128113</v>
      </c>
      <c r="BX83" s="927">
        <f t="shared" si="35"/>
        <v>0.83493532004128113</v>
      </c>
      <c r="BY83" s="927">
        <f t="shared" si="35"/>
        <v>0.83493532004128113</v>
      </c>
      <c r="BZ83" s="927">
        <f t="shared" si="35"/>
        <v>0.83493532004128113</v>
      </c>
      <c r="CA83" s="927">
        <f t="shared" si="35"/>
        <v>0.83493532004128113</v>
      </c>
      <c r="CB83" s="927">
        <f t="shared" si="35"/>
        <v>0.83493532004128113</v>
      </c>
      <c r="CC83" s="927">
        <f t="shared" si="35"/>
        <v>0.83493532004128113</v>
      </c>
      <c r="CD83" s="927">
        <f t="shared" si="35"/>
        <v>0.83493532004128113</v>
      </c>
      <c r="CE83" s="927">
        <f t="shared" si="35"/>
        <v>0.83493532004128113</v>
      </c>
      <c r="CF83" s="927">
        <f t="shared" si="35"/>
        <v>0.83493532004128113</v>
      </c>
    </row>
    <row r="84" spans="1:97" x14ac:dyDescent="0.3">
      <c r="A84" s="923">
        <v>43770</v>
      </c>
      <c r="B84" s="932">
        <v>167779</v>
      </c>
      <c r="C84" s="929">
        <v>107.33263943340999</v>
      </c>
      <c r="D84" s="930">
        <f t="shared" si="37"/>
        <v>18.008162911498097</v>
      </c>
      <c r="E84" s="931"/>
      <c r="F84" s="931"/>
      <c r="G84" s="931"/>
      <c r="H84" s="931"/>
      <c r="I84" s="931"/>
      <c r="J84" s="931"/>
      <c r="K84" s="931"/>
      <c r="L84" s="931"/>
      <c r="M84" s="931"/>
      <c r="N84" s="931"/>
      <c r="O84" s="931"/>
      <c r="P84" s="931"/>
      <c r="Q84" s="931"/>
      <c r="R84" s="931"/>
      <c r="S84" s="931"/>
      <c r="T84" s="931"/>
      <c r="U84" s="931"/>
      <c r="V84" s="931"/>
      <c r="W84" s="931"/>
      <c r="X84" s="931"/>
      <c r="Y84" s="931"/>
      <c r="Z84" s="931"/>
      <c r="AA84" s="931"/>
      <c r="AB84" s="931"/>
      <c r="AC84" s="931"/>
      <c r="AD84" s="931"/>
      <c r="AE84" s="931"/>
      <c r="AF84" s="931"/>
      <c r="AG84" s="931"/>
      <c r="AH84" s="931"/>
      <c r="AI84" s="931"/>
      <c r="AJ84" s="931"/>
      <c r="AK84" s="931"/>
      <c r="AL84" s="931"/>
      <c r="AM84" s="931"/>
      <c r="AN84" s="931"/>
      <c r="AO84" s="931"/>
      <c r="AP84" s="931"/>
      <c r="AQ84" s="931"/>
      <c r="AR84" s="931"/>
      <c r="AS84" s="931"/>
      <c r="AT84" s="931"/>
      <c r="AU84" s="931"/>
      <c r="AV84" s="931"/>
      <c r="AW84" s="931"/>
      <c r="AX84" s="931"/>
      <c r="AY84" s="931"/>
      <c r="AZ84" s="931"/>
      <c r="BA84" s="931"/>
      <c r="BB84" s="931"/>
      <c r="BC84" s="931"/>
      <c r="BD84" s="931"/>
      <c r="BE84" s="931"/>
      <c r="BF84" s="931"/>
      <c r="BG84" s="931"/>
      <c r="BH84" s="927"/>
      <c r="BI84" s="927"/>
      <c r="BJ84" s="927">
        <f t="shared" si="38"/>
        <v>0.75034012131242067</v>
      </c>
      <c r="BK84" s="927">
        <f t="shared" si="38"/>
        <v>0.75034012131242067</v>
      </c>
      <c r="BL84" s="927">
        <f t="shared" si="32"/>
        <v>0.75034012131242067</v>
      </c>
      <c r="BM84" s="927">
        <f t="shared" si="32"/>
        <v>0.75034012131242067</v>
      </c>
      <c r="BN84" s="927">
        <f t="shared" si="32"/>
        <v>0.75034012131242067</v>
      </c>
      <c r="BO84" s="927">
        <f t="shared" si="32"/>
        <v>0.75034012131242067</v>
      </c>
      <c r="BP84" s="927">
        <f t="shared" si="32"/>
        <v>0.75034012131242067</v>
      </c>
      <c r="BQ84" s="927">
        <f t="shared" si="32"/>
        <v>0.75034012131242067</v>
      </c>
      <c r="BR84" s="927">
        <f t="shared" si="32"/>
        <v>0.75034012131242067</v>
      </c>
      <c r="BS84" s="927">
        <f t="shared" si="32"/>
        <v>0.75034012131242067</v>
      </c>
      <c r="BT84" s="927">
        <f t="shared" si="32"/>
        <v>0.75034012131242067</v>
      </c>
      <c r="BU84" s="927">
        <f t="shared" si="35"/>
        <v>0.75034012131242067</v>
      </c>
      <c r="BV84" s="927">
        <f t="shared" si="35"/>
        <v>0.75034012131242067</v>
      </c>
      <c r="BW84" s="927">
        <f t="shared" si="35"/>
        <v>0.75034012131242067</v>
      </c>
      <c r="BX84" s="927">
        <f t="shared" si="35"/>
        <v>0.75034012131242067</v>
      </c>
      <c r="BY84" s="927">
        <f t="shared" si="35"/>
        <v>0.75034012131242067</v>
      </c>
      <c r="BZ84" s="927">
        <f t="shared" si="35"/>
        <v>0.75034012131242067</v>
      </c>
      <c r="CA84" s="927">
        <f t="shared" si="35"/>
        <v>0.75034012131242067</v>
      </c>
      <c r="CB84" s="927">
        <f t="shared" si="35"/>
        <v>0.75034012131242067</v>
      </c>
      <c r="CC84" s="927">
        <f t="shared" si="35"/>
        <v>0.75034012131242067</v>
      </c>
      <c r="CD84" s="927">
        <f t="shared" si="35"/>
        <v>0.75034012131242067</v>
      </c>
      <c r="CE84" s="927">
        <f t="shared" si="35"/>
        <v>0.75034012131242067</v>
      </c>
      <c r="CF84" s="927">
        <f t="shared" si="35"/>
        <v>0.75034012131242067</v>
      </c>
      <c r="CG84" s="927">
        <f t="shared" si="35"/>
        <v>0.75034012131242067</v>
      </c>
    </row>
    <row r="85" spans="1:97" x14ac:dyDescent="0.3">
      <c r="A85" s="923">
        <v>43800</v>
      </c>
      <c r="B85" s="932">
        <v>202098</v>
      </c>
      <c r="C85" s="929">
        <v>107.33263943340999</v>
      </c>
      <c r="D85" s="930">
        <f t="shared" si="37"/>
        <v>21.691711764213295</v>
      </c>
      <c r="E85" s="931"/>
      <c r="F85" s="931"/>
      <c r="G85" s="931"/>
      <c r="H85" s="931"/>
      <c r="I85" s="931"/>
      <c r="J85" s="931"/>
      <c r="K85" s="931"/>
      <c r="L85" s="931"/>
      <c r="M85" s="931"/>
      <c r="N85" s="931"/>
      <c r="O85" s="931"/>
      <c r="P85" s="931"/>
      <c r="Q85" s="931"/>
      <c r="R85" s="931"/>
      <c r="S85" s="931"/>
      <c r="T85" s="931"/>
      <c r="U85" s="931"/>
      <c r="V85" s="931"/>
      <c r="W85" s="931"/>
      <c r="X85" s="931"/>
      <c r="Y85" s="931"/>
      <c r="Z85" s="931"/>
      <c r="AA85" s="931"/>
      <c r="AB85" s="931"/>
      <c r="AC85" s="931"/>
      <c r="AD85" s="931"/>
      <c r="AE85" s="931"/>
      <c r="AF85" s="931"/>
      <c r="AG85" s="931"/>
      <c r="AH85" s="931"/>
      <c r="AI85" s="931"/>
      <c r="AJ85" s="931"/>
      <c r="AK85" s="931"/>
      <c r="AL85" s="931"/>
      <c r="AM85" s="931"/>
      <c r="AN85" s="931"/>
      <c r="AO85" s="931"/>
      <c r="AP85" s="931"/>
      <c r="AQ85" s="931"/>
      <c r="AR85" s="931"/>
      <c r="AS85" s="931"/>
      <c r="AT85" s="931"/>
      <c r="AU85" s="931"/>
      <c r="AV85" s="931"/>
      <c r="AW85" s="931"/>
      <c r="AX85" s="931"/>
      <c r="AY85" s="931"/>
      <c r="AZ85" s="931"/>
      <c r="BA85" s="931"/>
      <c r="BB85" s="931"/>
      <c r="BC85" s="931"/>
      <c r="BD85" s="931"/>
      <c r="BE85" s="931"/>
      <c r="BF85" s="931"/>
      <c r="BG85" s="931"/>
      <c r="BH85" s="933"/>
      <c r="BI85" s="934"/>
      <c r="BJ85" s="934"/>
      <c r="BK85" s="933">
        <f t="shared" si="38"/>
        <v>0.90382132350888733</v>
      </c>
      <c r="BL85" s="933">
        <f t="shared" si="32"/>
        <v>0.90382132350888733</v>
      </c>
      <c r="BM85" s="933">
        <f t="shared" si="32"/>
        <v>0.90382132350888733</v>
      </c>
      <c r="BN85" s="933">
        <f t="shared" si="32"/>
        <v>0.90382132350888733</v>
      </c>
      <c r="BO85" s="933">
        <f t="shared" si="32"/>
        <v>0.90382132350888733</v>
      </c>
      <c r="BP85" s="933">
        <f t="shared" si="32"/>
        <v>0.90382132350888733</v>
      </c>
      <c r="BQ85" s="933">
        <f t="shared" si="32"/>
        <v>0.90382132350888733</v>
      </c>
      <c r="BR85" s="933">
        <f t="shared" si="32"/>
        <v>0.90382132350888733</v>
      </c>
      <c r="BS85" s="933">
        <f t="shared" si="32"/>
        <v>0.90382132350888733</v>
      </c>
      <c r="BT85" s="933">
        <f t="shared" si="32"/>
        <v>0.90382132350888733</v>
      </c>
      <c r="BU85" s="933">
        <f t="shared" si="35"/>
        <v>0.90382132350888733</v>
      </c>
      <c r="BV85" s="933">
        <f t="shared" si="35"/>
        <v>0.90382132350888733</v>
      </c>
      <c r="BW85" s="933">
        <f t="shared" si="35"/>
        <v>0.90382132350888733</v>
      </c>
      <c r="BX85" s="933">
        <f t="shared" si="35"/>
        <v>0.90382132350888733</v>
      </c>
      <c r="BY85" s="933">
        <f t="shared" si="35"/>
        <v>0.90382132350888733</v>
      </c>
      <c r="BZ85" s="933">
        <f t="shared" si="35"/>
        <v>0.90382132350888733</v>
      </c>
      <c r="CA85" s="933">
        <f t="shared" si="35"/>
        <v>0.90382132350888733</v>
      </c>
      <c r="CB85" s="933">
        <f t="shared" si="35"/>
        <v>0.90382132350888733</v>
      </c>
      <c r="CC85" s="933">
        <f t="shared" si="35"/>
        <v>0.90382132350888733</v>
      </c>
      <c r="CD85" s="933">
        <f t="shared" si="35"/>
        <v>0.90382132350888733</v>
      </c>
      <c r="CE85" s="933">
        <f t="shared" si="35"/>
        <v>0.90382132350888733</v>
      </c>
      <c r="CF85" s="933">
        <f t="shared" si="35"/>
        <v>0.90382132350888733</v>
      </c>
      <c r="CG85" s="933">
        <f t="shared" si="35"/>
        <v>0.90382132350888733</v>
      </c>
      <c r="CH85" s="933">
        <f t="shared" si="35"/>
        <v>0.90382132350888733</v>
      </c>
    </row>
    <row r="86" spans="1:97" x14ac:dyDescent="0.3">
      <c r="A86" s="923">
        <v>43831</v>
      </c>
      <c r="B86" s="932">
        <v>156094</v>
      </c>
      <c r="C86" s="929">
        <v>107.33263943340999</v>
      </c>
      <c r="D86" s="930">
        <f t="shared" si="37"/>
        <v>16.753981019718701</v>
      </c>
      <c r="E86" s="931"/>
      <c r="F86" s="931"/>
      <c r="G86" s="931"/>
      <c r="H86" s="931"/>
      <c r="I86" s="931"/>
      <c r="J86" s="931"/>
      <c r="K86" s="931"/>
      <c r="L86" s="931"/>
      <c r="M86" s="931"/>
      <c r="N86" s="931"/>
      <c r="O86" s="931"/>
      <c r="P86" s="931"/>
      <c r="Q86" s="931"/>
      <c r="R86" s="931"/>
      <c r="S86" s="931"/>
      <c r="T86" s="931"/>
      <c r="U86" s="931"/>
      <c r="V86" s="931"/>
      <c r="W86" s="931"/>
      <c r="X86" s="931"/>
      <c r="Y86" s="931"/>
      <c r="Z86" s="931"/>
      <c r="AA86" s="931"/>
      <c r="AB86" s="931"/>
      <c r="AC86" s="931"/>
      <c r="AD86" s="931"/>
      <c r="AE86" s="931"/>
      <c r="AF86" s="931"/>
      <c r="AG86" s="931"/>
      <c r="AH86" s="931"/>
      <c r="AI86" s="931"/>
      <c r="AJ86" s="931"/>
      <c r="AK86" s="931"/>
      <c r="AL86" s="931"/>
      <c r="AM86" s="931"/>
      <c r="AN86" s="931"/>
      <c r="AO86" s="931"/>
      <c r="AP86" s="931"/>
      <c r="AQ86" s="931"/>
      <c r="AR86" s="931"/>
      <c r="AS86" s="931"/>
      <c r="AT86" s="931"/>
      <c r="AU86" s="931"/>
      <c r="AV86" s="931"/>
      <c r="AW86" s="931"/>
      <c r="AX86" s="931"/>
      <c r="AY86" s="931"/>
      <c r="AZ86" s="931"/>
      <c r="BA86" s="931"/>
      <c r="BB86" s="931"/>
      <c r="BC86" s="931"/>
      <c r="BD86" s="931"/>
      <c r="BE86" s="931"/>
      <c r="BF86" s="931"/>
      <c r="BG86" s="931"/>
      <c r="BH86" s="935"/>
      <c r="BI86" s="936"/>
      <c r="BJ86" s="936"/>
      <c r="BK86" s="935"/>
      <c r="BL86" s="933">
        <f>+$D86/24</f>
        <v>0.69808254248827917</v>
      </c>
      <c r="BM86" s="933">
        <f t="shared" si="32"/>
        <v>0.69808254248827917</v>
      </c>
      <c r="BN86" s="933">
        <f t="shared" si="32"/>
        <v>0.69808254248827917</v>
      </c>
      <c r="BO86" s="933">
        <f t="shared" si="32"/>
        <v>0.69808254248827917</v>
      </c>
      <c r="BP86" s="933">
        <f t="shared" si="32"/>
        <v>0.69808254248827917</v>
      </c>
      <c r="BQ86" s="933">
        <f t="shared" si="32"/>
        <v>0.69808254248827917</v>
      </c>
      <c r="BR86" s="933">
        <f t="shared" si="32"/>
        <v>0.69808254248827917</v>
      </c>
      <c r="BS86" s="933">
        <f t="shared" si="32"/>
        <v>0.69808254248827917</v>
      </c>
      <c r="BT86" s="933">
        <f t="shared" si="32"/>
        <v>0.69808254248827917</v>
      </c>
      <c r="BU86" s="933">
        <f t="shared" si="35"/>
        <v>0.69808254248827917</v>
      </c>
      <c r="BV86" s="933">
        <f t="shared" si="35"/>
        <v>0.69808254248827917</v>
      </c>
      <c r="BW86" s="933">
        <f t="shared" si="35"/>
        <v>0.69808254248827917</v>
      </c>
      <c r="BX86" s="933">
        <f t="shared" si="35"/>
        <v>0.69808254248827917</v>
      </c>
      <c r="BY86" s="933">
        <f t="shared" si="35"/>
        <v>0.69808254248827917</v>
      </c>
      <c r="BZ86" s="933">
        <f t="shared" si="35"/>
        <v>0.69808254248827917</v>
      </c>
      <c r="CA86" s="933">
        <f t="shared" si="35"/>
        <v>0.69808254248827917</v>
      </c>
      <c r="CB86" s="933">
        <f t="shared" si="35"/>
        <v>0.69808254248827917</v>
      </c>
      <c r="CC86" s="933">
        <f t="shared" si="35"/>
        <v>0.69808254248827917</v>
      </c>
      <c r="CD86" s="933">
        <f t="shared" si="35"/>
        <v>0.69808254248827917</v>
      </c>
      <c r="CE86" s="933">
        <f t="shared" si="35"/>
        <v>0.69808254248827917</v>
      </c>
      <c r="CF86" s="933">
        <f t="shared" si="35"/>
        <v>0.69808254248827917</v>
      </c>
      <c r="CG86" s="933">
        <f t="shared" si="35"/>
        <v>0.69808254248827917</v>
      </c>
      <c r="CH86" s="933">
        <f t="shared" si="35"/>
        <v>0.69808254248827917</v>
      </c>
      <c r="CI86" s="933">
        <f t="shared" si="35"/>
        <v>0.69808254248827917</v>
      </c>
    </row>
    <row r="87" spans="1:97" x14ac:dyDescent="0.3">
      <c r="A87" s="923">
        <v>43862</v>
      </c>
      <c r="B87" s="932">
        <v>160869</v>
      </c>
      <c r="C87" s="929">
        <v>107.33263943340999</v>
      </c>
      <c r="D87" s="930">
        <f t="shared" si="37"/>
        <v>17.266494373013231</v>
      </c>
      <c r="E87" s="931"/>
      <c r="F87" s="931"/>
      <c r="G87" s="931"/>
      <c r="H87" s="931"/>
      <c r="I87" s="931"/>
      <c r="J87" s="931"/>
      <c r="K87" s="931"/>
      <c r="L87" s="931"/>
      <c r="M87" s="931"/>
      <c r="N87" s="931"/>
      <c r="O87" s="931"/>
      <c r="P87" s="931"/>
      <c r="Q87" s="931"/>
      <c r="R87" s="931"/>
      <c r="S87" s="931"/>
      <c r="T87" s="931"/>
      <c r="U87" s="931"/>
      <c r="V87" s="931"/>
      <c r="W87" s="931"/>
      <c r="X87" s="931"/>
      <c r="Y87" s="931"/>
      <c r="Z87" s="931"/>
      <c r="AA87" s="931"/>
      <c r="AB87" s="931"/>
      <c r="AC87" s="931"/>
      <c r="AD87" s="931"/>
      <c r="AE87" s="931"/>
      <c r="AF87" s="931"/>
      <c r="AG87" s="931"/>
      <c r="AH87" s="931"/>
      <c r="AI87" s="931"/>
      <c r="AJ87" s="931"/>
      <c r="AK87" s="931"/>
      <c r="AL87" s="931"/>
      <c r="AM87" s="931"/>
      <c r="AN87" s="931"/>
      <c r="AO87" s="931"/>
      <c r="AP87" s="931"/>
      <c r="AQ87" s="931"/>
      <c r="AR87" s="931"/>
      <c r="AS87" s="931"/>
      <c r="AT87" s="931"/>
      <c r="AU87" s="931"/>
      <c r="AV87" s="931"/>
      <c r="AW87" s="931"/>
      <c r="AX87" s="931"/>
      <c r="AY87" s="931"/>
      <c r="AZ87" s="931"/>
      <c r="BA87" s="931"/>
      <c r="BB87" s="931"/>
      <c r="BC87" s="931"/>
      <c r="BD87" s="931"/>
      <c r="BE87" s="931"/>
      <c r="BF87" s="931"/>
      <c r="BG87" s="931"/>
      <c r="BH87" s="935"/>
      <c r="BI87" s="936"/>
      <c r="BJ87" s="936"/>
      <c r="BK87" s="935"/>
      <c r="BL87" s="933"/>
      <c r="BM87" s="933">
        <f>+$D87/24</f>
        <v>0.71943726554221799</v>
      </c>
      <c r="BN87" s="933">
        <f>+$D87/24</f>
        <v>0.71943726554221799</v>
      </c>
      <c r="BO87" s="933">
        <f t="shared" si="32"/>
        <v>0.71943726554221799</v>
      </c>
      <c r="BP87" s="933">
        <f t="shared" si="32"/>
        <v>0.71943726554221799</v>
      </c>
      <c r="BQ87" s="933">
        <f t="shared" si="32"/>
        <v>0.71943726554221799</v>
      </c>
      <c r="BR87" s="933">
        <f t="shared" si="32"/>
        <v>0.71943726554221799</v>
      </c>
      <c r="BS87" s="933">
        <f t="shared" si="32"/>
        <v>0.71943726554221799</v>
      </c>
      <c r="BT87" s="933">
        <f t="shared" si="32"/>
        <v>0.71943726554221799</v>
      </c>
      <c r="BU87" s="933">
        <f t="shared" si="35"/>
        <v>0.71943726554221799</v>
      </c>
      <c r="BV87" s="933">
        <f t="shared" si="35"/>
        <v>0.71943726554221799</v>
      </c>
      <c r="BW87" s="933">
        <f t="shared" si="35"/>
        <v>0.71943726554221799</v>
      </c>
      <c r="BX87" s="933">
        <f t="shared" si="35"/>
        <v>0.71943726554221799</v>
      </c>
      <c r="BY87" s="933">
        <f t="shared" si="35"/>
        <v>0.71943726554221799</v>
      </c>
      <c r="BZ87" s="933">
        <f t="shared" si="35"/>
        <v>0.71943726554221799</v>
      </c>
      <c r="CA87" s="933">
        <f t="shared" si="35"/>
        <v>0.71943726554221799</v>
      </c>
      <c r="CB87" s="933">
        <f t="shared" si="35"/>
        <v>0.71943726554221799</v>
      </c>
      <c r="CC87" s="933">
        <f t="shared" si="35"/>
        <v>0.71943726554221799</v>
      </c>
      <c r="CD87" s="933">
        <f t="shared" si="35"/>
        <v>0.71943726554221799</v>
      </c>
      <c r="CE87" s="933">
        <f t="shared" si="35"/>
        <v>0.71943726554221799</v>
      </c>
      <c r="CF87" s="933">
        <f t="shared" si="35"/>
        <v>0.71943726554221799</v>
      </c>
      <c r="CG87" s="933">
        <f t="shared" si="35"/>
        <v>0.71943726554221799</v>
      </c>
      <c r="CH87" s="933">
        <f t="shared" si="35"/>
        <v>0.71943726554221799</v>
      </c>
      <c r="CI87" s="933">
        <f t="shared" si="35"/>
        <v>0.71943726554221799</v>
      </c>
      <c r="CJ87" s="933">
        <f t="shared" si="35"/>
        <v>0.71943726554221799</v>
      </c>
    </row>
    <row r="88" spans="1:97" x14ac:dyDescent="0.3">
      <c r="A88" s="923">
        <v>43891</v>
      </c>
      <c r="B88" s="932">
        <v>179834</v>
      </c>
      <c r="C88" s="929">
        <v>107.33263943340999</v>
      </c>
      <c r="D88" s="930">
        <f t="shared" si="37"/>
        <v>19.302057879867853</v>
      </c>
      <c r="E88" s="931"/>
      <c r="F88" s="931"/>
      <c r="G88" s="931"/>
      <c r="H88" s="931"/>
      <c r="I88" s="931"/>
      <c r="J88" s="931"/>
      <c r="K88" s="931"/>
      <c r="L88" s="931"/>
      <c r="M88" s="931"/>
      <c r="N88" s="931"/>
      <c r="O88" s="931"/>
      <c r="P88" s="931"/>
      <c r="Q88" s="931"/>
      <c r="R88" s="931"/>
      <c r="S88" s="931"/>
      <c r="T88" s="931"/>
      <c r="U88" s="931"/>
      <c r="V88" s="931"/>
      <c r="W88" s="931"/>
      <c r="X88" s="931"/>
      <c r="Y88" s="931"/>
      <c r="Z88" s="931"/>
      <c r="AA88" s="931"/>
      <c r="AB88" s="931"/>
      <c r="AC88" s="931"/>
      <c r="AD88" s="931"/>
      <c r="AE88" s="931"/>
      <c r="AF88" s="931"/>
      <c r="AG88" s="931"/>
      <c r="AH88" s="931"/>
      <c r="AI88" s="931"/>
      <c r="AJ88" s="931"/>
      <c r="AK88" s="931"/>
      <c r="AL88" s="931"/>
      <c r="AM88" s="931"/>
      <c r="AN88" s="931"/>
      <c r="AO88" s="931"/>
      <c r="AP88" s="931"/>
      <c r="AQ88" s="931"/>
      <c r="AR88" s="931"/>
      <c r="AS88" s="931"/>
      <c r="AT88" s="931"/>
      <c r="AU88" s="931"/>
      <c r="AV88" s="931"/>
      <c r="AW88" s="931"/>
      <c r="AX88" s="931"/>
      <c r="AY88" s="931"/>
      <c r="AZ88" s="931"/>
      <c r="BA88" s="931"/>
      <c r="BB88" s="931"/>
      <c r="BC88" s="931"/>
      <c r="BD88" s="931"/>
      <c r="BE88" s="931"/>
      <c r="BF88" s="931"/>
      <c r="BG88" s="931"/>
      <c r="BH88" s="935"/>
      <c r="BI88" s="936"/>
      <c r="BJ88" s="936"/>
      <c r="BK88" s="935"/>
      <c r="BL88" s="933"/>
      <c r="BM88" s="933"/>
      <c r="BN88" s="933">
        <f>+$D88/24</f>
        <v>0.80425241166116057</v>
      </c>
      <c r="BO88" s="933">
        <f t="shared" ref="BO88:CD103" si="39">+$D88/24</f>
        <v>0.80425241166116057</v>
      </c>
      <c r="BP88" s="933">
        <f t="shared" si="39"/>
        <v>0.80425241166116057</v>
      </c>
      <c r="BQ88" s="933">
        <f t="shared" si="39"/>
        <v>0.80425241166116057</v>
      </c>
      <c r="BR88" s="933">
        <f t="shared" si="39"/>
        <v>0.80425241166116057</v>
      </c>
      <c r="BS88" s="933">
        <f t="shared" si="39"/>
        <v>0.80425241166116057</v>
      </c>
      <c r="BT88" s="933">
        <f t="shared" si="39"/>
        <v>0.80425241166116057</v>
      </c>
      <c r="BU88" s="933">
        <f t="shared" si="39"/>
        <v>0.80425241166116057</v>
      </c>
      <c r="BV88" s="933">
        <f t="shared" si="39"/>
        <v>0.80425241166116057</v>
      </c>
      <c r="BW88" s="933">
        <f t="shared" si="39"/>
        <v>0.80425241166116057</v>
      </c>
      <c r="BX88" s="933">
        <f t="shared" si="39"/>
        <v>0.80425241166116057</v>
      </c>
      <c r="BY88" s="933">
        <f t="shared" si="39"/>
        <v>0.80425241166116057</v>
      </c>
      <c r="BZ88" s="933">
        <f t="shared" si="39"/>
        <v>0.80425241166116057</v>
      </c>
      <c r="CA88" s="933">
        <f t="shared" si="39"/>
        <v>0.80425241166116057</v>
      </c>
      <c r="CB88" s="933">
        <f t="shared" si="39"/>
        <v>0.80425241166116057</v>
      </c>
      <c r="CC88" s="933">
        <f t="shared" si="39"/>
        <v>0.80425241166116057</v>
      </c>
      <c r="CD88" s="933">
        <f t="shared" si="39"/>
        <v>0.80425241166116057</v>
      </c>
      <c r="CE88" s="933">
        <f t="shared" si="35"/>
        <v>0.80425241166116057</v>
      </c>
      <c r="CF88" s="933">
        <f t="shared" si="35"/>
        <v>0.80425241166116057</v>
      </c>
      <c r="CG88" s="933">
        <f t="shared" si="35"/>
        <v>0.80425241166116057</v>
      </c>
      <c r="CH88" s="933">
        <f t="shared" si="35"/>
        <v>0.80425241166116057</v>
      </c>
      <c r="CI88" s="933">
        <f t="shared" si="35"/>
        <v>0.80425241166116057</v>
      </c>
      <c r="CJ88" s="933">
        <f t="shared" si="35"/>
        <v>0.80425241166116057</v>
      </c>
      <c r="CK88" s="933">
        <f>+$D88/24</f>
        <v>0.80425241166116057</v>
      </c>
    </row>
    <row r="89" spans="1:97" x14ac:dyDescent="0.3">
      <c r="A89" s="923">
        <v>43922</v>
      </c>
      <c r="B89" s="932">
        <v>158175</v>
      </c>
      <c r="C89" s="929">
        <v>107.33263943340999</v>
      </c>
      <c r="D89" s="930">
        <f t="shared" si="37"/>
        <v>16.977340242379626</v>
      </c>
      <c r="E89" s="931"/>
      <c r="F89" s="931"/>
      <c r="G89" s="931"/>
      <c r="H89" s="931"/>
      <c r="I89" s="931"/>
      <c r="J89" s="931"/>
      <c r="K89" s="931"/>
      <c r="L89" s="931"/>
      <c r="M89" s="931"/>
      <c r="N89" s="931"/>
      <c r="O89" s="931"/>
      <c r="P89" s="931"/>
      <c r="Q89" s="931"/>
      <c r="R89" s="931"/>
      <c r="S89" s="931"/>
      <c r="T89" s="931"/>
      <c r="U89" s="931"/>
      <c r="V89" s="931"/>
      <c r="W89" s="931"/>
      <c r="X89" s="931"/>
      <c r="Y89" s="931"/>
      <c r="Z89" s="931"/>
      <c r="AA89" s="931"/>
      <c r="AB89" s="931"/>
      <c r="AC89" s="931"/>
      <c r="AD89" s="931"/>
      <c r="AE89" s="931"/>
      <c r="AF89" s="931"/>
      <c r="AG89" s="931"/>
      <c r="AH89" s="931"/>
      <c r="AI89" s="931"/>
      <c r="AJ89" s="931"/>
      <c r="AK89" s="931"/>
      <c r="AL89" s="931"/>
      <c r="AM89" s="931"/>
      <c r="AN89" s="931"/>
      <c r="AO89" s="931"/>
      <c r="AP89" s="931"/>
      <c r="AQ89" s="931"/>
      <c r="AR89" s="931"/>
      <c r="AS89" s="931"/>
      <c r="AT89" s="931"/>
      <c r="AU89" s="931"/>
      <c r="AV89" s="931"/>
      <c r="AW89" s="931"/>
      <c r="AX89" s="931"/>
      <c r="AY89" s="931"/>
      <c r="AZ89" s="931"/>
      <c r="BA89" s="931"/>
      <c r="BB89" s="931"/>
      <c r="BC89" s="931"/>
      <c r="BD89" s="931"/>
      <c r="BE89" s="931"/>
      <c r="BF89" s="931"/>
      <c r="BG89" s="931"/>
      <c r="BH89" s="935"/>
      <c r="BI89" s="936"/>
      <c r="BJ89" s="936"/>
      <c r="BK89" s="935"/>
      <c r="BL89" s="933"/>
      <c r="BM89" s="933"/>
      <c r="BN89" s="933"/>
      <c r="BO89" s="933">
        <f t="shared" si="39"/>
        <v>0.7073891767658177</v>
      </c>
      <c r="BP89" s="933">
        <f t="shared" si="39"/>
        <v>0.7073891767658177</v>
      </c>
      <c r="BQ89" s="933">
        <f t="shared" si="39"/>
        <v>0.7073891767658177</v>
      </c>
      <c r="BR89" s="933">
        <f t="shared" si="39"/>
        <v>0.7073891767658177</v>
      </c>
      <c r="BS89" s="933">
        <f t="shared" si="39"/>
        <v>0.7073891767658177</v>
      </c>
      <c r="BT89" s="933">
        <f t="shared" si="39"/>
        <v>0.7073891767658177</v>
      </c>
      <c r="BU89" s="933">
        <f t="shared" si="39"/>
        <v>0.7073891767658177</v>
      </c>
      <c r="BV89" s="933">
        <f t="shared" si="39"/>
        <v>0.7073891767658177</v>
      </c>
      <c r="BW89" s="933">
        <f t="shared" si="39"/>
        <v>0.7073891767658177</v>
      </c>
      <c r="BX89" s="933">
        <f t="shared" si="39"/>
        <v>0.7073891767658177</v>
      </c>
      <c r="BY89" s="933">
        <f t="shared" si="39"/>
        <v>0.7073891767658177</v>
      </c>
      <c r="BZ89" s="933">
        <f t="shared" si="39"/>
        <v>0.7073891767658177</v>
      </c>
      <c r="CA89" s="933">
        <f t="shared" si="39"/>
        <v>0.7073891767658177</v>
      </c>
      <c r="CB89" s="933">
        <f t="shared" si="39"/>
        <v>0.7073891767658177</v>
      </c>
      <c r="CC89" s="933">
        <f t="shared" si="39"/>
        <v>0.7073891767658177</v>
      </c>
      <c r="CD89" s="933">
        <f t="shared" si="35"/>
        <v>0.7073891767658177</v>
      </c>
      <c r="CE89" s="933">
        <f t="shared" si="35"/>
        <v>0.7073891767658177</v>
      </c>
      <c r="CF89" s="933">
        <f t="shared" si="35"/>
        <v>0.7073891767658177</v>
      </c>
      <c r="CG89" s="933">
        <f t="shared" si="35"/>
        <v>0.7073891767658177</v>
      </c>
      <c r="CH89" s="933">
        <f t="shared" si="35"/>
        <v>0.7073891767658177</v>
      </c>
      <c r="CI89" s="933">
        <f t="shared" si="35"/>
        <v>0.7073891767658177</v>
      </c>
      <c r="CJ89" s="933">
        <f t="shared" si="35"/>
        <v>0.7073891767658177</v>
      </c>
      <c r="CK89" s="933">
        <f>+$D89/24</f>
        <v>0.7073891767658177</v>
      </c>
      <c r="CL89" s="933">
        <f>+$D89/24</f>
        <v>0.7073891767658177</v>
      </c>
    </row>
    <row r="90" spans="1:97" x14ac:dyDescent="0.3">
      <c r="A90" s="923">
        <v>43952</v>
      </c>
      <c r="B90" s="932">
        <v>160682</v>
      </c>
      <c r="C90" s="929">
        <v>99.79</v>
      </c>
      <c r="D90" s="930">
        <f t="shared" si="37"/>
        <v>16.034456780000003</v>
      </c>
      <c r="E90" s="931"/>
      <c r="F90" s="931"/>
      <c r="G90" s="931"/>
      <c r="H90" s="931"/>
      <c r="I90" s="931"/>
      <c r="J90" s="931"/>
      <c r="K90" s="931"/>
      <c r="L90" s="931"/>
      <c r="M90" s="931"/>
      <c r="N90" s="931"/>
      <c r="O90" s="931"/>
      <c r="P90" s="931"/>
      <c r="Q90" s="931"/>
      <c r="R90" s="931"/>
      <c r="S90" s="931"/>
      <c r="T90" s="931"/>
      <c r="U90" s="931"/>
      <c r="V90" s="931"/>
      <c r="W90" s="931"/>
      <c r="X90" s="931"/>
      <c r="Y90" s="931"/>
      <c r="Z90" s="931"/>
      <c r="AA90" s="931"/>
      <c r="AB90" s="931"/>
      <c r="AC90" s="931"/>
      <c r="AD90" s="931"/>
      <c r="AE90" s="931"/>
      <c r="AF90" s="931"/>
      <c r="AG90" s="931"/>
      <c r="AH90" s="931"/>
      <c r="AI90" s="931"/>
      <c r="AJ90" s="931"/>
      <c r="AK90" s="931"/>
      <c r="AL90" s="931"/>
      <c r="AM90" s="931"/>
      <c r="AN90" s="931"/>
      <c r="AO90" s="931"/>
      <c r="AP90" s="931"/>
      <c r="AQ90" s="931"/>
      <c r="AR90" s="931"/>
      <c r="AS90" s="931"/>
      <c r="AT90" s="931"/>
      <c r="AU90" s="931"/>
      <c r="AV90" s="931"/>
      <c r="AW90" s="931"/>
      <c r="AX90" s="931"/>
      <c r="AY90" s="931"/>
      <c r="AZ90" s="931"/>
      <c r="BA90" s="931"/>
      <c r="BB90" s="931"/>
      <c r="BC90" s="931"/>
      <c r="BD90" s="931"/>
      <c r="BE90" s="931"/>
      <c r="BF90" s="931"/>
      <c r="BG90" s="931"/>
      <c r="BH90" s="935"/>
      <c r="BI90" s="936"/>
      <c r="BJ90" s="936"/>
      <c r="BK90" s="935"/>
      <c r="BL90" s="933"/>
      <c r="BM90" s="933"/>
      <c r="BN90" s="933"/>
      <c r="BO90" s="933"/>
      <c r="BP90" s="933">
        <f t="shared" si="39"/>
        <v>0.66810236583333349</v>
      </c>
      <c r="BQ90" s="933">
        <f t="shared" si="39"/>
        <v>0.66810236583333349</v>
      </c>
      <c r="BR90" s="933">
        <f t="shared" si="39"/>
        <v>0.66810236583333349</v>
      </c>
      <c r="BS90" s="933">
        <f t="shared" si="39"/>
        <v>0.66810236583333349</v>
      </c>
      <c r="BT90" s="933">
        <f t="shared" si="39"/>
        <v>0.66810236583333349</v>
      </c>
      <c r="BU90" s="933">
        <f t="shared" si="39"/>
        <v>0.66810236583333349</v>
      </c>
      <c r="BV90" s="933">
        <f t="shared" si="39"/>
        <v>0.66810236583333349</v>
      </c>
      <c r="BW90" s="933">
        <f t="shared" si="39"/>
        <v>0.66810236583333349</v>
      </c>
      <c r="BX90" s="933">
        <f t="shared" si="39"/>
        <v>0.66810236583333349</v>
      </c>
      <c r="BY90" s="933">
        <f t="shared" si="39"/>
        <v>0.66810236583333349</v>
      </c>
      <c r="BZ90" s="933">
        <f t="shared" si="39"/>
        <v>0.66810236583333349</v>
      </c>
      <c r="CA90" s="933">
        <f t="shared" si="39"/>
        <v>0.66810236583333349</v>
      </c>
      <c r="CB90" s="933">
        <f t="shared" si="39"/>
        <v>0.66810236583333349</v>
      </c>
      <c r="CC90" s="933">
        <f t="shared" si="39"/>
        <v>0.66810236583333349</v>
      </c>
      <c r="CD90" s="933">
        <f t="shared" ref="CD90:CR116" si="40">+$D90/24</f>
        <v>0.66810236583333349</v>
      </c>
      <c r="CE90" s="933">
        <f t="shared" si="40"/>
        <v>0.66810236583333349</v>
      </c>
      <c r="CF90" s="933">
        <f t="shared" si="40"/>
        <v>0.66810236583333349</v>
      </c>
      <c r="CG90" s="933">
        <f t="shared" si="40"/>
        <v>0.66810236583333349</v>
      </c>
      <c r="CH90" s="933">
        <f t="shared" si="40"/>
        <v>0.66810236583333349</v>
      </c>
      <c r="CI90" s="933">
        <f t="shared" si="40"/>
        <v>0.66810236583333349</v>
      </c>
      <c r="CJ90" s="933">
        <f t="shared" si="40"/>
        <v>0.66810236583333349</v>
      </c>
      <c r="CK90" s="933">
        <f t="shared" si="40"/>
        <v>0.66810236583333349</v>
      </c>
      <c r="CL90" s="933">
        <f t="shared" si="40"/>
        <v>0.66810236583333349</v>
      </c>
      <c r="CM90" s="933">
        <f t="shared" si="40"/>
        <v>0.66810236583333349</v>
      </c>
      <c r="CN90" s="933"/>
      <c r="CO90" s="933"/>
    </row>
    <row r="91" spans="1:97" x14ac:dyDescent="0.3">
      <c r="A91" s="923">
        <v>43983</v>
      </c>
      <c r="B91" s="932">
        <v>122634</v>
      </c>
      <c r="C91" s="929">
        <v>99.79</v>
      </c>
      <c r="D91" s="930">
        <f t="shared" si="37"/>
        <v>12.237646860000002</v>
      </c>
      <c r="E91" s="931"/>
      <c r="F91" s="931"/>
      <c r="G91" s="931"/>
      <c r="H91" s="931"/>
      <c r="I91" s="931"/>
      <c r="J91" s="931"/>
      <c r="K91" s="931"/>
      <c r="L91" s="931"/>
      <c r="M91" s="931"/>
      <c r="N91" s="931"/>
      <c r="O91" s="931"/>
      <c r="P91" s="931"/>
      <c r="Q91" s="931"/>
      <c r="R91" s="931"/>
      <c r="S91" s="931"/>
      <c r="T91" s="931"/>
      <c r="U91" s="931"/>
      <c r="V91" s="931"/>
      <c r="W91" s="931"/>
      <c r="X91" s="931"/>
      <c r="Y91" s="931"/>
      <c r="Z91" s="931"/>
      <c r="AA91" s="931"/>
      <c r="AB91" s="931"/>
      <c r="AC91" s="931"/>
      <c r="AD91" s="931"/>
      <c r="AE91" s="931"/>
      <c r="AF91" s="931"/>
      <c r="AG91" s="931"/>
      <c r="AH91" s="931"/>
      <c r="AI91" s="931"/>
      <c r="AJ91" s="931"/>
      <c r="AK91" s="931"/>
      <c r="AL91" s="931"/>
      <c r="AM91" s="931"/>
      <c r="AN91" s="931"/>
      <c r="AO91" s="931"/>
      <c r="AP91" s="931"/>
      <c r="AQ91" s="931"/>
      <c r="AR91" s="931"/>
      <c r="AS91" s="931"/>
      <c r="AT91" s="931"/>
      <c r="AU91" s="931"/>
      <c r="AV91" s="931"/>
      <c r="AW91" s="931"/>
      <c r="AX91" s="931"/>
      <c r="AY91" s="931"/>
      <c r="AZ91" s="931"/>
      <c r="BA91" s="931"/>
      <c r="BB91" s="931"/>
      <c r="BC91" s="931"/>
      <c r="BD91" s="931"/>
      <c r="BE91" s="931"/>
      <c r="BF91" s="931"/>
      <c r="BG91" s="931"/>
      <c r="BH91" s="935"/>
      <c r="BI91" s="936"/>
      <c r="BJ91" s="936"/>
      <c r="BK91" s="935"/>
      <c r="BL91" s="933"/>
      <c r="BM91" s="933"/>
      <c r="BN91" s="933"/>
      <c r="BO91" s="933"/>
      <c r="BP91" s="933"/>
      <c r="BQ91" s="933">
        <f t="shared" si="39"/>
        <v>0.50990195250000003</v>
      </c>
      <c r="BR91" s="933">
        <f t="shared" si="39"/>
        <v>0.50990195250000003</v>
      </c>
      <c r="BS91" s="933">
        <f t="shared" si="39"/>
        <v>0.50990195250000003</v>
      </c>
      <c r="BT91" s="933">
        <f t="shared" si="39"/>
        <v>0.50990195250000003</v>
      </c>
      <c r="BU91" s="933">
        <f t="shared" si="39"/>
        <v>0.50990195250000003</v>
      </c>
      <c r="BV91" s="933">
        <f t="shared" si="39"/>
        <v>0.50990195250000003</v>
      </c>
      <c r="BW91" s="933">
        <f t="shared" si="39"/>
        <v>0.50990195250000003</v>
      </c>
      <c r="BX91" s="933">
        <f t="shared" si="39"/>
        <v>0.50990195250000003</v>
      </c>
      <c r="BY91" s="933">
        <f t="shared" si="39"/>
        <v>0.50990195250000003</v>
      </c>
      <c r="BZ91" s="933">
        <f t="shared" si="39"/>
        <v>0.50990195250000003</v>
      </c>
      <c r="CA91" s="933">
        <f t="shared" si="39"/>
        <v>0.50990195250000003</v>
      </c>
      <c r="CB91" s="933">
        <f t="shared" si="39"/>
        <v>0.50990195250000003</v>
      </c>
      <c r="CC91" s="933">
        <f t="shared" si="39"/>
        <v>0.50990195250000003</v>
      </c>
      <c r="CD91" s="933">
        <f t="shared" si="40"/>
        <v>0.50990195250000003</v>
      </c>
      <c r="CE91" s="933">
        <f t="shared" si="40"/>
        <v>0.50990195250000003</v>
      </c>
      <c r="CF91" s="933">
        <f t="shared" si="40"/>
        <v>0.50990195250000003</v>
      </c>
      <c r="CG91" s="933">
        <f t="shared" si="40"/>
        <v>0.50990195250000003</v>
      </c>
      <c r="CH91" s="933">
        <f t="shared" si="40"/>
        <v>0.50990195250000003</v>
      </c>
      <c r="CI91" s="933">
        <f t="shared" si="40"/>
        <v>0.50990195250000003</v>
      </c>
      <c r="CJ91" s="933">
        <f t="shared" si="40"/>
        <v>0.50990195250000003</v>
      </c>
      <c r="CK91" s="933">
        <f t="shared" si="40"/>
        <v>0.50990195250000003</v>
      </c>
      <c r="CL91" s="933">
        <f t="shared" si="40"/>
        <v>0.50990195250000003</v>
      </c>
      <c r="CM91" s="933">
        <f t="shared" si="40"/>
        <v>0.50990195250000003</v>
      </c>
      <c r="CN91" s="933">
        <f t="shared" si="40"/>
        <v>0.50990195250000003</v>
      </c>
      <c r="CO91" s="933"/>
    </row>
    <row r="92" spans="1:97" x14ac:dyDescent="0.3">
      <c r="A92" s="923">
        <v>44013</v>
      </c>
      <c r="B92" s="932">
        <v>179135</v>
      </c>
      <c r="C92" s="929">
        <v>99.79</v>
      </c>
      <c r="D92" s="930">
        <f t="shared" si="37"/>
        <v>17.875881650000004</v>
      </c>
      <c r="E92" s="931"/>
      <c r="F92" s="931"/>
      <c r="G92" s="931"/>
      <c r="H92" s="931"/>
      <c r="I92" s="931"/>
      <c r="J92" s="931"/>
      <c r="K92" s="931"/>
      <c r="L92" s="931"/>
      <c r="M92" s="931"/>
      <c r="N92" s="931"/>
      <c r="O92" s="931"/>
      <c r="P92" s="931"/>
      <c r="Q92" s="931"/>
      <c r="R92" s="931"/>
      <c r="S92" s="931"/>
      <c r="T92" s="931"/>
      <c r="U92" s="931"/>
      <c r="V92" s="931"/>
      <c r="W92" s="931"/>
      <c r="X92" s="931"/>
      <c r="Y92" s="931"/>
      <c r="Z92" s="931"/>
      <c r="AA92" s="931"/>
      <c r="AB92" s="931"/>
      <c r="AC92" s="931"/>
      <c r="AD92" s="931"/>
      <c r="AE92" s="931"/>
      <c r="AF92" s="931"/>
      <c r="AG92" s="931"/>
      <c r="AH92" s="931"/>
      <c r="AI92" s="931"/>
      <c r="AJ92" s="931"/>
      <c r="AK92" s="931"/>
      <c r="AL92" s="931"/>
      <c r="AM92" s="931"/>
      <c r="AN92" s="931"/>
      <c r="AO92" s="931"/>
      <c r="AP92" s="931"/>
      <c r="AQ92" s="931"/>
      <c r="AR92" s="931"/>
      <c r="AS92" s="931"/>
      <c r="AT92" s="931"/>
      <c r="AU92" s="931"/>
      <c r="AV92" s="931"/>
      <c r="AW92" s="931"/>
      <c r="AX92" s="931"/>
      <c r="AY92" s="931"/>
      <c r="AZ92" s="931"/>
      <c r="BA92" s="931"/>
      <c r="BB92" s="931"/>
      <c r="BC92" s="931"/>
      <c r="BD92" s="931"/>
      <c r="BE92" s="931"/>
      <c r="BF92" s="931"/>
      <c r="BG92" s="931"/>
      <c r="BH92" s="935"/>
      <c r="BI92" s="936"/>
      <c r="BJ92" s="936"/>
      <c r="BK92" s="935"/>
      <c r="BL92" s="933"/>
      <c r="BM92" s="933"/>
      <c r="BN92" s="933"/>
      <c r="BO92" s="933"/>
      <c r="BP92" s="933"/>
      <c r="BQ92" s="933"/>
      <c r="BR92" s="933">
        <f t="shared" si="39"/>
        <v>0.74482840208333345</v>
      </c>
      <c r="BS92" s="933">
        <f t="shared" si="39"/>
        <v>0.74482840208333345</v>
      </c>
      <c r="BT92" s="933">
        <f t="shared" si="39"/>
        <v>0.74482840208333345</v>
      </c>
      <c r="BU92" s="933">
        <f t="shared" si="39"/>
        <v>0.74482840208333345</v>
      </c>
      <c r="BV92" s="933">
        <f t="shared" si="39"/>
        <v>0.74482840208333345</v>
      </c>
      <c r="BW92" s="933">
        <f t="shared" si="39"/>
        <v>0.74482840208333345</v>
      </c>
      <c r="BX92" s="933">
        <f t="shared" si="39"/>
        <v>0.74482840208333345</v>
      </c>
      <c r="BY92" s="933">
        <f t="shared" si="39"/>
        <v>0.74482840208333345</v>
      </c>
      <c r="BZ92" s="933">
        <f t="shared" si="39"/>
        <v>0.74482840208333345</v>
      </c>
      <c r="CA92" s="933">
        <f t="shared" si="39"/>
        <v>0.74482840208333345</v>
      </c>
      <c r="CB92" s="933">
        <f t="shared" si="39"/>
        <v>0.74482840208333345</v>
      </c>
      <c r="CC92" s="933">
        <f t="shared" si="39"/>
        <v>0.74482840208333345</v>
      </c>
      <c r="CD92" s="933">
        <f t="shared" si="40"/>
        <v>0.74482840208333345</v>
      </c>
      <c r="CE92" s="933">
        <f t="shared" si="40"/>
        <v>0.74482840208333345</v>
      </c>
      <c r="CF92" s="933">
        <f t="shared" si="40"/>
        <v>0.74482840208333345</v>
      </c>
      <c r="CG92" s="933">
        <f t="shared" si="40"/>
        <v>0.74482840208333345</v>
      </c>
      <c r="CH92" s="933">
        <f t="shared" si="40"/>
        <v>0.74482840208333345</v>
      </c>
      <c r="CI92" s="933">
        <f t="shared" si="40"/>
        <v>0.74482840208333345</v>
      </c>
      <c r="CJ92" s="933">
        <f t="shared" si="40"/>
        <v>0.74482840208333345</v>
      </c>
      <c r="CK92" s="933">
        <f t="shared" si="40"/>
        <v>0.74482840208333345</v>
      </c>
      <c r="CL92" s="933">
        <f t="shared" si="40"/>
        <v>0.74482840208333345</v>
      </c>
      <c r="CM92" s="933">
        <f t="shared" si="40"/>
        <v>0.74482840208333345</v>
      </c>
      <c r="CN92" s="933">
        <f t="shared" si="40"/>
        <v>0.74482840208333345</v>
      </c>
      <c r="CO92" s="933">
        <f t="shared" si="40"/>
        <v>0.74482840208333345</v>
      </c>
    </row>
    <row r="93" spans="1:97" x14ac:dyDescent="0.3">
      <c r="A93" s="923">
        <v>44044</v>
      </c>
      <c r="B93" s="932">
        <v>169627</v>
      </c>
      <c r="C93" s="929">
        <v>99.79</v>
      </c>
      <c r="D93" s="930">
        <f t="shared" si="37"/>
        <v>16.927078330000001</v>
      </c>
      <c r="E93" s="931"/>
      <c r="F93" s="931"/>
      <c r="G93" s="931"/>
      <c r="H93" s="931"/>
      <c r="I93" s="931"/>
      <c r="J93" s="931"/>
      <c r="K93" s="931"/>
      <c r="L93" s="931"/>
      <c r="M93" s="931"/>
      <c r="N93" s="931"/>
      <c r="O93" s="931"/>
      <c r="P93" s="931"/>
      <c r="Q93" s="931"/>
      <c r="R93" s="931"/>
      <c r="S93" s="931"/>
      <c r="T93" s="931"/>
      <c r="U93" s="931"/>
      <c r="V93" s="931"/>
      <c r="W93" s="931"/>
      <c r="X93" s="931"/>
      <c r="Y93" s="931"/>
      <c r="Z93" s="931"/>
      <c r="AA93" s="931"/>
      <c r="AB93" s="931"/>
      <c r="AC93" s="931"/>
      <c r="AD93" s="931"/>
      <c r="AE93" s="931"/>
      <c r="AF93" s="931"/>
      <c r="AG93" s="931"/>
      <c r="AH93" s="931"/>
      <c r="AI93" s="931"/>
      <c r="AJ93" s="931"/>
      <c r="AK93" s="931"/>
      <c r="AL93" s="931"/>
      <c r="AM93" s="931"/>
      <c r="AN93" s="931"/>
      <c r="AO93" s="931"/>
      <c r="AP93" s="931"/>
      <c r="AQ93" s="931"/>
      <c r="AR93" s="931"/>
      <c r="AS93" s="931"/>
      <c r="AT93" s="931"/>
      <c r="AU93" s="931"/>
      <c r="AV93" s="931"/>
      <c r="AW93" s="931"/>
      <c r="AX93" s="931"/>
      <c r="AY93" s="931"/>
      <c r="AZ93" s="931"/>
      <c r="BA93" s="931"/>
      <c r="BB93" s="931"/>
      <c r="BC93" s="931"/>
      <c r="BD93" s="931"/>
      <c r="BE93" s="931"/>
      <c r="BF93" s="931"/>
      <c r="BG93" s="931"/>
      <c r="BH93" s="935"/>
      <c r="BI93" s="936"/>
      <c r="BJ93" s="936"/>
      <c r="BK93" s="935"/>
      <c r="BL93" s="933"/>
      <c r="BM93" s="933"/>
      <c r="BN93" s="933"/>
      <c r="BO93" s="933"/>
      <c r="BP93" s="933"/>
      <c r="BQ93" s="933"/>
      <c r="BR93" s="933"/>
      <c r="BS93" s="933">
        <f t="shared" si="39"/>
        <v>0.70529493041666669</v>
      </c>
      <c r="BT93" s="933">
        <f t="shared" si="39"/>
        <v>0.70529493041666669</v>
      </c>
      <c r="BU93" s="933">
        <f t="shared" si="39"/>
        <v>0.70529493041666669</v>
      </c>
      <c r="BV93" s="933">
        <f t="shared" si="39"/>
        <v>0.70529493041666669</v>
      </c>
      <c r="BW93" s="933">
        <f t="shared" si="39"/>
        <v>0.70529493041666669</v>
      </c>
      <c r="BX93" s="933">
        <f t="shared" si="39"/>
        <v>0.70529493041666669</v>
      </c>
      <c r="BY93" s="933">
        <f t="shared" si="39"/>
        <v>0.70529493041666669</v>
      </c>
      <c r="BZ93" s="933">
        <f t="shared" si="39"/>
        <v>0.70529493041666669</v>
      </c>
      <c r="CA93" s="933">
        <f t="shared" si="39"/>
        <v>0.70529493041666669</v>
      </c>
      <c r="CB93" s="933">
        <f t="shared" si="39"/>
        <v>0.70529493041666669</v>
      </c>
      <c r="CC93" s="933">
        <f t="shared" si="39"/>
        <v>0.70529493041666669</v>
      </c>
      <c r="CD93" s="933">
        <f t="shared" si="40"/>
        <v>0.70529493041666669</v>
      </c>
      <c r="CE93" s="933">
        <f t="shared" si="40"/>
        <v>0.70529493041666669</v>
      </c>
      <c r="CF93" s="933">
        <f t="shared" si="40"/>
        <v>0.70529493041666669</v>
      </c>
      <c r="CG93" s="933">
        <f t="shared" si="40"/>
        <v>0.70529493041666669</v>
      </c>
      <c r="CH93" s="933">
        <f t="shared" si="40"/>
        <v>0.70529493041666669</v>
      </c>
      <c r="CI93" s="933">
        <f t="shared" si="40"/>
        <v>0.70529493041666669</v>
      </c>
      <c r="CJ93" s="933">
        <f t="shared" si="40"/>
        <v>0.70529493041666669</v>
      </c>
      <c r="CK93" s="933">
        <f t="shared" si="40"/>
        <v>0.70529493041666669</v>
      </c>
      <c r="CL93" s="933">
        <f t="shared" si="40"/>
        <v>0.70529493041666669</v>
      </c>
      <c r="CM93" s="933">
        <f t="shared" si="40"/>
        <v>0.70529493041666669</v>
      </c>
      <c r="CN93" s="933">
        <f t="shared" si="40"/>
        <v>0.70529493041666669</v>
      </c>
      <c r="CO93" s="933">
        <f t="shared" si="40"/>
        <v>0.70529493041666669</v>
      </c>
      <c r="CP93" s="933">
        <f t="shared" si="40"/>
        <v>0.70529493041666669</v>
      </c>
    </row>
    <row r="94" spans="1:97" x14ac:dyDescent="0.3">
      <c r="A94" s="923">
        <v>44075</v>
      </c>
      <c r="B94" s="932">
        <v>163076</v>
      </c>
      <c r="C94" s="929">
        <v>99.79</v>
      </c>
      <c r="D94" s="930">
        <f t="shared" si="37"/>
        <v>16.273354040000001</v>
      </c>
      <c r="E94" s="931"/>
      <c r="F94" s="931"/>
      <c r="G94" s="931"/>
      <c r="H94" s="931"/>
      <c r="I94" s="931"/>
      <c r="J94" s="931"/>
      <c r="K94" s="931"/>
      <c r="L94" s="931"/>
      <c r="M94" s="931"/>
      <c r="N94" s="931"/>
      <c r="O94" s="931"/>
      <c r="P94" s="931"/>
      <c r="Q94" s="931"/>
      <c r="R94" s="931"/>
      <c r="S94" s="931"/>
      <c r="T94" s="931"/>
      <c r="U94" s="931"/>
      <c r="V94" s="931"/>
      <c r="W94" s="931"/>
      <c r="X94" s="931"/>
      <c r="Y94" s="931"/>
      <c r="Z94" s="931"/>
      <c r="AA94" s="931"/>
      <c r="AB94" s="931"/>
      <c r="AC94" s="931"/>
      <c r="AD94" s="931"/>
      <c r="AE94" s="931"/>
      <c r="AF94" s="931"/>
      <c r="AG94" s="931"/>
      <c r="AH94" s="931"/>
      <c r="AI94" s="931"/>
      <c r="AJ94" s="931"/>
      <c r="AK94" s="931"/>
      <c r="AL94" s="931"/>
      <c r="AM94" s="931"/>
      <c r="AN94" s="931"/>
      <c r="AO94" s="931"/>
      <c r="AP94" s="931"/>
      <c r="AQ94" s="931"/>
      <c r="AR94" s="931"/>
      <c r="AS94" s="931"/>
      <c r="AT94" s="931"/>
      <c r="AU94" s="931"/>
      <c r="AV94" s="931"/>
      <c r="AW94" s="931"/>
      <c r="AX94" s="931"/>
      <c r="AY94" s="931"/>
      <c r="AZ94" s="931"/>
      <c r="BA94" s="931"/>
      <c r="BB94" s="931"/>
      <c r="BC94" s="931"/>
      <c r="BD94" s="931"/>
      <c r="BE94" s="931"/>
      <c r="BF94" s="931"/>
      <c r="BG94" s="931"/>
      <c r="BH94" s="935"/>
      <c r="BI94" s="936"/>
      <c r="BJ94" s="936"/>
      <c r="BK94" s="935"/>
      <c r="BL94" s="933"/>
      <c r="BM94" s="933"/>
      <c r="BN94" s="933"/>
      <c r="BO94" s="933"/>
      <c r="BP94" s="933"/>
      <c r="BQ94" s="933"/>
      <c r="BR94" s="933"/>
      <c r="BS94" s="933"/>
      <c r="BT94" s="933">
        <f t="shared" si="39"/>
        <v>0.67805641833333341</v>
      </c>
      <c r="BU94" s="933">
        <f t="shared" si="39"/>
        <v>0.67805641833333341</v>
      </c>
      <c r="BV94" s="933">
        <f t="shared" si="39"/>
        <v>0.67805641833333341</v>
      </c>
      <c r="BW94" s="933">
        <f t="shared" si="39"/>
        <v>0.67805641833333341</v>
      </c>
      <c r="BX94" s="933">
        <f t="shared" si="39"/>
        <v>0.67805641833333341</v>
      </c>
      <c r="BY94" s="933">
        <f t="shared" si="39"/>
        <v>0.67805641833333341</v>
      </c>
      <c r="BZ94" s="933">
        <f t="shared" si="39"/>
        <v>0.67805641833333341</v>
      </c>
      <c r="CA94" s="933">
        <f t="shared" si="39"/>
        <v>0.67805641833333341</v>
      </c>
      <c r="CB94" s="933">
        <f t="shared" si="39"/>
        <v>0.67805641833333341</v>
      </c>
      <c r="CC94" s="933">
        <f t="shared" si="39"/>
        <v>0.67805641833333341</v>
      </c>
      <c r="CD94" s="933">
        <f t="shared" si="40"/>
        <v>0.67805641833333341</v>
      </c>
      <c r="CE94" s="933">
        <f t="shared" si="40"/>
        <v>0.67805641833333341</v>
      </c>
      <c r="CF94" s="933">
        <f t="shared" si="40"/>
        <v>0.67805641833333341</v>
      </c>
      <c r="CG94" s="933">
        <f t="shared" si="40"/>
        <v>0.67805641833333341</v>
      </c>
      <c r="CH94" s="933">
        <f t="shared" si="40"/>
        <v>0.67805641833333341</v>
      </c>
      <c r="CI94" s="933">
        <f t="shared" si="40"/>
        <v>0.67805641833333341</v>
      </c>
      <c r="CJ94" s="933">
        <f t="shared" si="40"/>
        <v>0.67805641833333341</v>
      </c>
      <c r="CK94" s="933">
        <f t="shared" si="40"/>
        <v>0.67805641833333341</v>
      </c>
      <c r="CL94" s="933">
        <f t="shared" si="40"/>
        <v>0.67805641833333341</v>
      </c>
      <c r="CM94" s="933">
        <f t="shared" si="40"/>
        <v>0.67805641833333341</v>
      </c>
      <c r="CN94" s="933">
        <f t="shared" si="40"/>
        <v>0.67805641833333341</v>
      </c>
      <c r="CO94" s="933">
        <f t="shared" si="40"/>
        <v>0.67805641833333341</v>
      </c>
      <c r="CP94" s="933">
        <f t="shared" si="40"/>
        <v>0.67805641833333341</v>
      </c>
      <c r="CQ94" s="933">
        <f t="shared" si="40"/>
        <v>0.67805641833333341</v>
      </c>
    </row>
    <row r="95" spans="1:97" x14ac:dyDescent="0.3">
      <c r="A95" s="923">
        <v>44105</v>
      </c>
      <c r="B95" s="932">
        <v>146519</v>
      </c>
      <c r="C95" s="929">
        <v>99.96</v>
      </c>
      <c r="D95" s="930">
        <f t="shared" si="37"/>
        <v>14.646039239999999</v>
      </c>
      <c r="E95" s="931"/>
      <c r="F95" s="931"/>
      <c r="G95" s="931"/>
      <c r="H95" s="931"/>
      <c r="I95" s="931"/>
      <c r="J95" s="931"/>
      <c r="K95" s="931"/>
      <c r="L95" s="931"/>
      <c r="M95" s="931"/>
      <c r="N95" s="931"/>
      <c r="O95" s="931"/>
      <c r="P95" s="931"/>
      <c r="Q95" s="931"/>
      <c r="R95" s="931"/>
      <c r="S95" s="931"/>
      <c r="T95" s="931"/>
      <c r="U95" s="931"/>
      <c r="V95" s="931"/>
      <c r="W95" s="931"/>
      <c r="X95" s="931"/>
      <c r="Y95" s="931"/>
      <c r="Z95" s="931"/>
      <c r="AA95" s="931"/>
      <c r="AB95" s="931"/>
      <c r="AC95" s="931"/>
      <c r="AD95" s="931"/>
      <c r="AE95" s="931"/>
      <c r="AF95" s="931"/>
      <c r="AG95" s="931"/>
      <c r="AH95" s="931"/>
      <c r="AI95" s="931"/>
      <c r="AJ95" s="931"/>
      <c r="AK95" s="931"/>
      <c r="AL95" s="931"/>
      <c r="AM95" s="931"/>
      <c r="AN95" s="931"/>
      <c r="AO95" s="931"/>
      <c r="AP95" s="931"/>
      <c r="AQ95" s="931"/>
      <c r="AR95" s="931"/>
      <c r="AS95" s="931"/>
      <c r="AT95" s="931"/>
      <c r="AU95" s="931"/>
      <c r="AV95" s="931"/>
      <c r="AW95" s="931"/>
      <c r="AX95" s="931"/>
      <c r="AY95" s="931"/>
      <c r="AZ95" s="931"/>
      <c r="BA95" s="931"/>
      <c r="BB95" s="931"/>
      <c r="BC95" s="931"/>
      <c r="BD95" s="931"/>
      <c r="BE95" s="931"/>
      <c r="BF95" s="931"/>
      <c r="BG95" s="931"/>
      <c r="BH95" s="935"/>
      <c r="BI95" s="936"/>
      <c r="BJ95" s="936"/>
      <c r="BK95" s="935"/>
      <c r="BL95" s="933"/>
      <c r="BM95" s="933"/>
      <c r="BN95" s="933"/>
      <c r="BO95" s="933"/>
      <c r="BP95" s="933"/>
      <c r="BQ95" s="933"/>
      <c r="BR95" s="933"/>
      <c r="BS95" s="933"/>
      <c r="BT95" s="933"/>
      <c r="BU95" s="933">
        <f t="shared" si="39"/>
        <v>0.6102516349999999</v>
      </c>
      <c r="BV95" s="933">
        <f t="shared" si="39"/>
        <v>0.6102516349999999</v>
      </c>
      <c r="BW95" s="933">
        <f t="shared" si="39"/>
        <v>0.6102516349999999</v>
      </c>
      <c r="BX95" s="933">
        <f t="shared" si="39"/>
        <v>0.6102516349999999</v>
      </c>
      <c r="BY95" s="933">
        <f t="shared" si="39"/>
        <v>0.6102516349999999</v>
      </c>
      <c r="BZ95" s="933">
        <f t="shared" si="39"/>
        <v>0.6102516349999999</v>
      </c>
      <c r="CA95" s="933">
        <f t="shared" si="39"/>
        <v>0.6102516349999999</v>
      </c>
      <c r="CB95" s="933">
        <f t="shared" si="39"/>
        <v>0.6102516349999999</v>
      </c>
      <c r="CC95" s="933">
        <f t="shared" si="39"/>
        <v>0.6102516349999999</v>
      </c>
      <c r="CD95" s="933">
        <f t="shared" si="40"/>
        <v>0.6102516349999999</v>
      </c>
      <c r="CE95" s="933">
        <f t="shared" si="40"/>
        <v>0.6102516349999999</v>
      </c>
      <c r="CF95" s="933">
        <f t="shared" si="40"/>
        <v>0.6102516349999999</v>
      </c>
      <c r="CG95" s="933">
        <f t="shared" si="40"/>
        <v>0.6102516349999999</v>
      </c>
      <c r="CH95" s="933">
        <f t="shared" si="40"/>
        <v>0.6102516349999999</v>
      </c>
      <c r="CI95" s="933">
        <f t="shared" si="40"/>
        <v>0.6102516349999999</v>
      </c>
      <c r="CJ95" s="933">
        <f t="shared" si="40"/>
        <v>0.6102516349999999</v>
      </c>
      <c r="CK95" s="933">
        <f t="shared" si="40"/>
        <v>0.6102516349999999</v>
      </c>
      <c r="CL95" s="933">
        <f t="shared" si="40"/>
        <v>0.6102516349999999</v>
      </c>
      <c r="CM95" s="933">
        <f t="shared" si="40"/>
        <v>0.6102516349999999</v>
      </c>
      <c r="CN95" s="933">
        <f t="shared" si="40"/>
        <v>0.6102516349999999</v>
      </c>
      <c r="CO95" s="933">
        <f t="shared" si="40"/>
        <v>0.6102516349999999</v>
      </c>
      <c r="CP95" s="933">
        <f t="shared" si="40"/>
        <v>0.6102516349999999</v>
      </c>
      <c r="CQ95" s="933">
        <f t="shared" si="40"/>
        <v>0.6102516349999999</v>
      </c>
      <c r="CR95" s="933">
        <f t="shared" si="40"/>
        <v>0.6102516349999999</v>
      </c>
    </row>
    <row r="96" spans="1:97" x14ac:dyDescent="0.3">
      <c r="A96" s="923">
        <v>44136</v>
      </c>
      <c r="B96" s="932">
        <v>125428</v>
      </c>
      <c r="C96" s="929">
        <v>98.06</v>
      </c>
      <c r="D96" s="930">
        <f t="shared" si="37"/>
        <v>12.29946968</v>
      </c>
      <c r="E96" s="931"/>
      <c r="F96" s="931"/>
      <c r="G96" s="931"/>
      <c r="H96" s="931"/>
      <c r="I96" s="931"/>
      <c r="J96" s="931"/>
      <c r="K96" s="931"/>
      <c r="L96" s="931"/>
      <c r="M96" s="931"/>
      <c r="N96" s="931"/>
      <c r="O96" s="931"/>
      <c r="P96" s="931"/>
      <c r="Q96" s="931"/>
      <c r="R96" s="931"/>
      <c r="S96" s="931"/>
      <c r="T96" s="931"/>
      <c r="U96" s="931"/>
      <c r="V96" s="931"/>
      <c r="W96" s="931"/>
      <c r="X96" s="931"/>
      <c r="Y96" s="931"/>
      <c r="Z96" s="931"/>
      <c r="AA96" s="931"/>
      <c r="AB96" s="931"/>
      <c r="AC96" s="931"/>
      <c r="AD96" s="931"/>
      <c r="AE96" s="931"/>
      <c r="AF96" s="931"/>
      <c r="AG96" s="931"/>
      <c r="AH96" s="931"/>
      <c r="AI96" s="931"/>
      <c r="AJ96" s="931"/>
      <c r="AK96" s="931"/>
      <c r="AL96" s="931"/>
      <c r="AM96" s="931"/>
      <c r="AN96" s="931"/>
      <c r="AO96" s="931"/>
      <c r="AP96" s="931"/>
      <c r="AQ96" s="931"/>
      <c r="AR96" s="931"/>
      <c r="AS96" s="931"/>
      <c r="AT96" s="931"/>
      <c r="AU96" s="931"/>
      <c r="AV96" s="931"/>
      <c r="AW96" s="931"/>
      <c r="AX96" s="931"/>
      <c r="AY96" s="931"/>
      <c r="AZ96" s="931"/>
      <c r="BA96" s="931"/>
      <c r="BB96" s="931"/>
      <c r="BC96" s="931"/>
      <c r="BD96" s="931"/>
      <c r="BE96" s="931"/>
      <c r="BF96" s="931"/>
      <c r="BG96" s="931"/>
      <c r="BH96" s="935"/>
      <c r="BI96" s="936"/>
      <c r="BJ96" s="936"/>
      <c r="BK96" s="935"/>
      <c r="BL96" s="933"/>
      <c r="BM96" s="933"/>
      <c r="BN96" s="933"/>
      <c r="BO96" s="933"/>
      <c r="BP96" s="933"/>
      <c r="BQ96" s="933"/>
      <c r="BR96" s="933"/>
      <c r="BS96" s="933"/>
      <c r="BT96" s="933"/>
      <c r="BU96" s="933"/>
      <c r="BV96" s="933">
        <f t="shared" si="39"/>
        <v>0.51247790333333332</v>
      </c>
      <c r="BW96" s="933">
        <f t="shared" si="39"/>
        <v>0.51247790333333332</v>
      </c>
      <c r="BX96" s="933">
        <f t="shared" si="39"/>
        <v>0.51247790333333332</v>
      </c>
      <c r="BY96" s="933">
        <f t="shared" si="39"/>
        <v>0.51247790333333332</v>
      </c>
      <c r="BZ96" s="933">
        <f t="shared" si="39"/>
        <v>0.51247790333333332</v>
      </c>
      <c r="CA96" s="933">
        <f t="shared" si="39"/>
        <v>0.51247790333333332</v>
      </c>
      <c r="CB96" s="933">
        <f t="shared" si="39"/>
        <v>0.51247790333333332</v>
      </c>
      <c r="CC96" s="933">
        <f t="shared" si="39"/>
        <v>0.51247790333333332</v>
      </c>
      <c r="CD96" s="933">
        <f t="shared" si="40"/>
        <v>0.51247790333333332</v>
      </c>
      <c r="CE96" s="933">
        <f t="shared" si="40"/>
        <v>0.51247790333333332</v>
      </c>
      <c r="CF96" s="933">
        <f t="shared" si="40"/>
        <v>0.51247790333333332</v>
      </c>
      <c r="CG96" s="933">
        <f t="shared" si="40"/>
        <v>0.51247790333333332</v>
      </c>
      <c r="CH96" s="933">
        <f t="shared" si="40"/>
        <v>0.51247790333333332</v>
      </c>
      <c r="CI96" s="933">
        <f t="shared" si="40"/>
        <v>0.51247790333333332</v>
      </c>
      <c r="CJ96" s="933">
        <f t="shared" si="40"/>
        <v>0.51247790333333332</v>
      </c>
      <c r="CK96" s="933">
        <f t="shared" si="40"/>
        <v>0.51247790333333332</v>
      </c>
      <c r="CL96" s="933">
        <f t="shared" si="40"/>
        <v>0.51247790333333332</v>
      </c>
      <c r="CM96" s="933">
        <f t="shared" si="40"/>
        <v>0.51247790333333332</v>
      </c>
      <c r="CN96" s="933">
        <f t="shared" si="40"/>
        <v>0.51247790333333332</v>
      </c>
      <c r="CO96" s="933">
        <f t="shared" si="40"/>
        <v>0.51247790333333332</v>
      </c>
      <c r="CP96" s="933">
        <f t="shared" si="40"/>
        <v>0.51247790333333332</v>
      </c>
      <c r="CQ96" s="933">
        <f t="shared" ref="CP96:DJ113" si="41">+$D96/24</f>
        <v>0.51247790333333332</v>
      </c>
      <c r="CR96" s="933">
        <f t="shared" si="41"/>
        <v>0.51247790333333332</v>
      </c>
      <c r="CS96" s="933">
        <f t="shared" si="41"/>
        <v>0.51247790333333332</v>
      </c>
    </row>
    <row r="97" spans="1:114" x14ac:dyDescent="0.3">
      <c r="A97" s="923">
        <v>44166</v>
      </c>
      <c r="B97" s="932">
        <v>164568</v>
      </c>
      <c r="C97" s="929">
        <v>98.06</v>
      </c>
      <c r="D97" s="930">
        <f t="shared" si="37"/>
        <v>16.137538079999999</v>
      </c>
      <c r="E97" s="931"/>
      <c r="F97" s="931"/>
      <c r="G97" s="931"/>
      <c r="H97" s="931"/>
      <c r="I97" s="931"/>
      <c r="J97" s="931"/>
      <c r="K97" s="931"/>
      <c r="L97" s="931"/>
      <c r="M97" s="931"/>
      <c r="N97" s="931"/>
      <c r="O97" s="931"/>
      <c r="P97" s="931"/>
      <c r="Q97" s="931"/>
      <c r="R97" s="931"/>
      <c r="S97" s="931"/>
      <c r="T97" s="931"/>
      <c r="U97" s="931"/>
      <c r="V97" s="931"/>
      <c r="W97" s="931"/>
      <c r="X97" s="931"/>
      <c r="Y97" s="931"/>
      <c r="Z97" s="931"/>
      <c r="AA97" s="931"/>
      <c r="AB97" s="931"/>
      <c r="AC97" s="931"/>
      <c r="AD97" s="931"/>
      <c r="AE97" s="931"/>
      <c r="AF97" s="931"/>
      <c r="AG97" s="931"/>
      <c r="AH97" s="931"/>
      <c r="AI97" s="931"/>
      <c r="AJ97" s="931"/>
      <c r="AK97" s="931"/>
      <c r="AL97" s="931"/>
      <c r="AM97" s="931"/>
      <c r="AN97" s="931"/>
      <c r="AO97" s="931"/>
      <c r="AP97" s="931"/>
      <c r="AQ97" s="931"/>
      <c r="AR97" s="931"/>
      <c r="AS97" s="931"/>
      <c r="AT97" s="931"/>
      <c r="AU97" s="931"/>
      <c r="AV97" s="931"/>
      <c r="AW97" s="931"/>
      <c r="AX97" s="931"/>
      <c r="AY97" s="931"/>
      <c r="AZ97" s="931"/>
      <c r="BA97" s="931"/>
      <c r="BB97" s="931"/>
      <c r="BC97" s="931"/>
      <c r="BD97" s="931"/>
      <c r="BE97" s="931"/>
      <c r="BF97" s="931"/>
      <c r="BG97" s="931"/>
      <c r="BH97" s="935"/>
      <c r="BI97" s="936"/>
      <c r="BJ97" s="936"/>
      <c r="BK97" s="935"/>
      <c r="BL97" s="933"/>
      <c r="BM97" s="933"/>
      <c r="BN97" s="933"/>
      <c r="BO97" s="933"/>
      <c r="BP97" s="933"/>
      <c r="BQ97" s="933"/>
      <c r="BR97" s="933"/>
      <c r="BS97" s="933"/>
      <c r="BT97" s="933"/>
      <c r="BU97" s="933"/>
      <c r="BV97" s="933"/>
      <c r="BW97" s="933">
        <f t="shared" si="39"/>
        <v>0.67239741999999991</v>
      </c>
      <c r="BX97" s="933">
        <f t="shared" si="39"/>
        <v>0.67239741999999991</v>
      </c>
      <c r="BY97" s="933">
        <f t="shared" si="39"/>
        <v>0.67239741999999991</v>
      </c>
      <c r="BZ97" s="933">
        <f t="shared" si="39"/>
        <v>0.67239741999999991</v>
      </c>
      <c r="CA97" s="933">
        <f t="shared" si="39"/>
        <v>0.67239741999999991</v>
      </c>
      <c r="CB97" s="933">
        <f t="shared" si="39"/>
        <v>0.67239741999999991</v>
      </c>
      <c r="CC97" s="933">
        <f t="shared" si="39"/>
        <v>0.67239741999999991</v>
      </c>
      <c r="CD97" s="933">
        <f t="shared" si="40"/>
        <v>0.67239741999999991</v>
      </c>
      <c r="CE97" s="933">
        <f t="shared" si="40"/>
        <v>0.67239741999999991</v>
      </c>
      <c r="CF97" s="933">
        <f t="shared" si="40"/>
        <v>0.67239741999999991</v>
      </c>
      <c r="CG97" s="933">
        <f t="shared" si="40"/>
        <v>0.67239741999999991</v>
      </c>
      <c r="CH97" s="933">
        <f t="shared" si="40"/>
        <v>0.67239741999999991</v>
      </c>
      <c r="CI97" s="933">
        <f t="shared" si="40"/>
        <v>0.67239741999999991</v>
      </c>
      <c r="CJ97" s="933">
        <f t="shared" si="40"/>
        <v>0.67239741999999991</v>
      </c>
      <c r="CK97" s="933">
        <f t="shared" si="40"/>
        <v>0.67239741999999991</v>
      </c>
      <c r="CL97" s="933">
        <f t="shared" si="40"/>
        <v>0.67239741999999991</v>
      </c>
      <c r="CM97" s="933">
        <f t="shared" si="40"/>
        <v>0.67239741999999991</v>
      </c>
      <c r="CN97" s="933">
        <f t="shared" si="40"/>
        <v>0.67239741999999991</v>
      </c>
      <c r="CO97" s="933">
        <f t="shared" si="40"/>
        <v>0.67239741999999991</v>
      </c>
      <c r="CP97" s="933">
        <f t="shared" si="41"/>
        <v>0.67239741999999991</v>
      </c>
      <c r="CQ97" s="933">
        <f t="shared" si="41"/>
        <v>0.67239741999999991</v>
      </c>
      <c r="CR97" s="933">
        <f t="shared" si="41"/>
        <v>0.67239741999999991</v>
      </c>
      <c r="CS97" s="933">
        <f t="shared" si="41"/>
        <v>0.67239741999999991</v>
      </c>
      <c r="CT97" s="933">
        <f t="shared" si="41"/>
        <v>0.67239741999999991</v>
      </c>
    </row>
    <row r="98" spans="1:114" x14ac:dyDescent="0.3">
      <c r="A98" s="923">
        <v>44197</v>
      </c>
      <c r="B98" s="932">
        <v>151822</v>
      </c>
      <c r="C98" s="929">
        <v>97.6</v>
      </c>
      <c r="D98" s="930">
        <f t="shared" si="37"/>
        <v>14.8178272</v>
      </c>
      <c r="E98" s="931"/>
      <c r="F98" s="931"/>
      <c r="G98" s="931"/>
      <c r="H98" s="931"/>
      <c r="I98" s="931"/>
      <c r="J98" s="931"/>
      <c r="K98" s="931"/>
      <c r="L98" s="931"/>
      <c r="M98" s="931"/>
      <c r="N98" s="931"/>
      <c r="O98" s="931"/>
      <c r="P98" s="931"/>
      <c r="Q98" s="931"/>
      <c r="R98" s="931"/>
      <c r="S98" s="931"/>
      <c r="T98" s="931"/>
      <c r="U98" s="931"/>
      <c r="V98" s="931"/>
      <c r="W98" s="931"/>
      <c r="X98" s="931"/>
      <c r="Y98" s="931"/>
      <c r="Z98" s="931"/>
      <c r="AA98" s="931"/>
      <c r="AB98" s="931"/>
      <c r="AC98" s="931"/>
      <c r="AD98" s="931"/>
      <c r="AE98" s="931"/>
      <c r="AF98" s="931"/>
      <c r="AG98" s="931"/>
      <c r="AH98" s="931"/>
      <c r="AI98" s="931"/>
      <c r="AJ98" s="931"/>
      <c r="AK98" s="931"/>
      <c r="AL98" s="931"/>
      <c r="AM98" s="931"/>
      <c r="AN98" s="931"/>
      <c r="AO98" s="931"/>
      <c r="AP98" s="931"/>
      <c r="AQ98" s="931"/>
      <c r="AR98" s="931"/>
      <c r="AS98" s="931"/>
      <c r="AT98" s="931"/>
      <c r="AU98" s="931"/>
      <c r="AV98" s="931"/>
      <c r="AW98" s="931"/>
      <c r="AX98" s="931"/>
      <c r="AY98" s="931"/>
      <c r="AZ98" s="931"/>
      <c r="BA98" s="931"/>
      <c r="BB98" s="931"/>
      <c r="BC98" s="931"/>
      <c r="BD98" s="931"/>
      <c r="BE98" s="931"/>
      <c r="BF98" s="931"/>
      <c r="BG98" s="931"/>
      <c r="BH98" s="935"/>
      <c r="BI98" s="936"/>
      <c r="BJ98" s="936"/>
      <c r="BK98" s="935"/>
      <c r="BL98" s="933"/>
      <c r="BM98" s="933"/>
      <c r="BN98" s="933"/>
      <c r="BO98" s="933"/>
      <c r="BP98" s="933"/>
      <c r="BQ98" s="933"/>
      <c r="BR98" s="933"/>
      <c r="BS98" s="933"/>
      <c r="BT98" s="933"/>
      <c r="BU98" s="933"/>
      <c r="BV98" s="933"/>
      <c r="BW98" s="933"/>
      <c r="BX98" s="933">
        <f t="shared" si="39"/>
        <v>0.61740946666666663</v>
      </c>
      <c r="BY98" s="933">
        <f t="shared" si="39"/>
        <v>0.61740946666666663</v>
      </c>
      <c r="BZ98" s="933">
        <f t="shared" si="39"/>
        <v>0.61740946666666663</v>
      </c>
      <c r="CA98" s="933">
        <f t="shared" si="39"/>
        <v>0.61740946666666663</v>
      </c>
      <c r="CB98" s="933">
        <f t="shared" si="39"/>
        <v>0.61740946666666663</v>
      </c>
      <c r="CC98" s="933">
        <f t="shared" si="39"/>
        <v>0.61740946666666663</v>
      </c>
      <c r="CD98" s="933">
        <f t="shared" si="40"/>
        <v>0.61740946666666663</v>
      </c>
      <c r="CE98" s="933">
        <f t="shared" si="40"/>
        <v>0.61740946666666663</v>
      </c>
      <c r="CF98" s="933">
        <f t="shared" si="40"/>
        <v>0.61740946666666663</v>
      </c>
      <c r="CG98" s="933">
        <f t="shared" si="40"/>
        <v>0.61740946666666663</v>
      </c>
      <c r="CH98" s="933">
        <f t="shared" si="40"/>
        <v>0.61740946666666663</v>
      </c>
      <c r="CI98" s="933">
        <f t="shared" si="40"/>
        <v>0.61740946666666663</v>
      </c>
      <c r="CJ98" s="933">
        <f t="shared" si="40"/>
        <v>0.61740946666666663</v>
      </c>
      <c r="CK98" s="933">
        <f t="shared" si="40"/>
        <v>0.61740946666666663</v>
      </c>
      <c r="CL98" s="933">
        <f t="shared" si="40"/>
        <v>0.61740946666666663</v>
      </c>
      <c r="CM98" s="933">
        <f t="shared" si="40"/>
        <v>0.61740946666666663</v>
      </c>
      <c r="CN98" s="933">
        <f t="shared" si="40"/>
        <v>0.61740946666666663</v>
      </c>
      <c r="CO98" s="933">
        <f t="shared" si="40"/>
        <v>0.61740946666666663</v>
      </c>
      <c r="CP98" s="933">
        <f t="shared" si="41"/>
        <v>0.61740946666666663</v>
      </c>
      <c r="CQ98" s="933">
        <f t="shared" si="41"/>
        <v>0.61740946666666663</v>
      </c>
      <c r="CR98" s="933">
        <f t="shared" si="41"/>
        <v>0.61740946666666663</v>
      </c>
      <c r="CS98" s="933">
        <f t="shared" si="41"/>
        <v>0.61740946666666663</v>
      </c>
      <c r="CT98" s="933">
        <f t="shared" si="41"/>
        <v>0.61740946666666663</v>
      </c>
      <c r="CU98" s="933">
        <f t="shared" si="41"/>
        <v>0.61740946666666663</v>
      </c>
    </row>
    <row r="99" spans="1:114" x14ac:dyDescent="0.3">
      <c r="A99" s="923">
        <v>44228</v>
      </c>
      <c r="B99" s="932">
        <v>111322</v>
      </c>
      <c r="C99" s="929">
        <v>97.6</v>
      </c>
      <c r="D99" s="930">
        <f t="shared" si="37"/>
        <v>10.8650272</v>
      </c>
      <c r="E99" s="931"/>
      <c r="F99" s="931"/>
      <c r="G99" s="931"/>
      <c r="H99" s="931"/>
      <c r="I99" s="931"/>
      <c r="J99" s="931"/>
      <c r="K99" s="931"/>
      <c r="L99" s="931"/>
      <c r="M99" s="931"/>
      <c r="N99" s="931"/>
      <c r="O99" s="931"/>
      <c r="P99" s="931"/>
      <c r="Q99" s="931"/>
      <c r="R99" s="931"/>
      <c r="S99" s="931"/>
      <c r="T99" s="931"/>
      <c r="U99" s="931"/>
      <c r="V99" s="931"/>
      <c r="W99" s="931"/>
      <c r="X99" s="931"/>
      <c r="Y99" s="931"/>
      <c r="Z99" s="931"/>
      <c r="AA99" s="931"/>
      <c r="AB99" s="931"/>
      <c r="AC99" s="931"/>
      <c r="AD99" s="931"/>
      <c r="AE99" s="931"/>
      <c r="AF99" s="931"/>
      <c r="AG99" s="931"/>
      <c r="AH99" s="931"/>
      <c r="AI99" s="931"/>
      <c r="AJ99" s="931"/>
      <c r="AK99" s="931"/>
      <c r="AL99" s="931"/>
      <c r="AM99" s="931"/>
      <c r="AN99" s="931"/>
      <c r="AO99" s="931"/>
      <c r="AP99" s="931"/>
      <c r="AQ99" s="931"/>
      <c r="AR99" s="931"/>
      <c r="AS99" s="931"/>
      <c r="AT99" s="931"/>
      <c r="AU99" s="931"/>
      <c r="AV99" s="931"/>
      <c r="AW99" s="931"/>
      <c r="AX99" s="931"/>
      <c r="AY99" s="931"/>
      <c r="AZ99" s="931"/>
      <c r="BA99" s="931"/>
      <c r="BB99" s="931"/>
      <c r="BC99" s="931"/>
      <c r="BD99" s="931"/>
      <c r="BE99" s="931"/>
      <c r="BF99" s="931"/>
      <c r="BG99" s="931"/>
      <c r="BH99" s="935"/>
      <c r="BI99" s="936"/>
      <c r="BJ99" s="936"/>
      <c r="BK99" s="935"/>
      <c r="BL99" s="933"/>
      <c r="BM99" s="933"/>
      <c r="BN99" s="933"/>
      <c r="BO99" s="933"/>
      <c r="BP99" s="933"/>
      <c r="BQ99" s="933"/>
      <c r="BR99" s="933"/>
      <c r="BS99" s="933"/>
      <c r="BT99" s="933"/>
      <c r="BU99" s="933"/>
      <c r="BV99" s="933"/>
      <c r="BW99" s="933"/>
      <c r="BX99" s="933"/>
      <c r="BY99" s="933">
        <f t="shared" si="39"/>
        <v>0.45270946666666667</v>
      </c>
      <c r="BZ99" s="933">
        <f t="shared" si="39"/>
        <v>0.45270946666666667</v>
      </c>
      <c r="CA99" s="933">
        <f t="shared" si="39"/>
        <v>0.45270946666666667</v>
      </c>
      <c r="CB99" s="933">
        <f t="shared" si="39"/>
        <v>0.45270946666666667</v>
      </c>
      <c r="CC99" s="933">
        <f t="shared" si="39"/>
        <v>0.45270946666666667</v>
      </c>
      <c r="CD99" s="933">
        <f t="shared" si="40"/>
        <v>0.45270946666666667</v>
      </c>
      <c r="CE99" s="933">
        <f t="shared" si="40"/>
        <v>0.45270946666666667</v>
      </c>
      <c r="CF99" s="933">
        <f t="shared" si="40"/>
        <v>0.45270946666666667</v>
      </c>
      <c r="CG99" s="933">
        <f t="shared" si="40"/>
        <v>0.45270946666666667</v>
      </c>
      <c r="CH99" s="933">
        <f t="shared" si="40"/>
        <v>0.45270946666666667</v>
      </c>
      <c r="CI99" s="933">
        <f t="shared" si="40"/>
        <v>0.45270946666666667</v>
      </c>
      <c r="CJ99" s="933">
        <f t="shared" si="40"/>
        <v>0.45270946666666667</v>
      </c>
      <c r="CK99" s="933">
        <f t="shared" si="40"/>
        <v>0.45270946666666667</v>
      </c>
      <c r="CL99" s="933">
        <f t="shared" si="40"/>
        <v>0.45270946666666667</v>
      </c>
      <c r="CM99" s="933">
        <f t="shared" si="40"/>
        <v>0.45270946666666667</v>
      </c>
      <c r="CN99" s="933">
        <f t="shared" si="40"/>
        <v>0.45270946666666667</v>
      </c>
      <c r="CO99" s="933">
        <f t="shared" si="40"/>
        <v>0.45270946666666667</v>
      </c>
      <c r="CP99" s="933">
        <f t="shared" si="41"/>
        <v>0.45270946666666667</v>
      </c>
      <c r="CQ99" s="933">
        <f t="shared" si="41"/>
        <v>0.45270946666666667</v>
      </c>
      <c r="CR99" s="933">
        <f t="shared" si="41"/>
        <v>0.45270946666666667</v>
      </c>
      <c r="CS99" s="933">
        <f t="shared" si="41"/>
        <v>0.45270946666666667</v>
      </c>
      <c r="CT99" s="933">
        <f t="shared" si="41"/>
        <v>0.45270946666666667</v>
      </c>
      <c r="CU99" s="933">
        <f t="shared" si="41"/>
        <v>0.45270946666666667</v>
      </c>
      <c r="CV99" s="933">
        <f t="shared" si="41"/>
        <v>0.45270946666666667</v>
      </c>
    </row>
    <row r="100" spans="1:114" x14ac:dyDescent="0.3">
      <c r="A100" s="923">
        <v>44256</v>
      </c>
      <c r="B100" s="932">
        <v>138262.71260794604</v>
      </c>
      <c r="C100" s="929">
        <v>97.6</v>
      </c>
      <c r="D100" s="930">
        <f t="shared" si="37"/>
        <v>13.494440750535533</v>
      </c>
      <c r="E100" s="931"/>
      <c r="F100" s="931"/>
      <c r="G100" s="931"/>
      <c r="H100" s="931"/>
      <c r="I100" s="931"/>
      <c r="J100" s="931"/>
      <c r="K100" s="931"/>
      <c r="L100" s="931"/>
      <c r="M100" s="931"/>
      <c r="N100" s="931"/>
      <c r="O100" s="931"/>
      <c r="P100" s="931"/>
      <c r="Q100" s="931"/>
      <c r="R100" s="931"/>
      <c r="S100" s="931"/>
      <c r="T100" s="931"/>
      <c r="U100" s="931"/>
      <c r="V100" s="931"/>
      <c r="W100" s="931"/>
      <c r="X100" s="931"/>
      <c r="Y100" s="931"/>
      <c r="Z100" s="931"/>
      <c r="AA100" s="931"/>
      <c r="AB100" s="931"/>
      <c r="AC100" s="931"/>
      <c r="AD100" s="931"/>
      <c r="AE100" s="931"/>
      <c r="AF100" s="931"/>
      <c r="AG100" s="931"/>
      <c r="AH100" s="931"/>
      <c r="AI100" s="931"/>
      <c r="AJ100" s="931"/>
      <c r="AK100" s="931"/>
      <c r="AL100" s="931"/>
      <c r="AM100" s="931"/>
      <c r="AN100" s="931"/>
      <c r="AO100" s="931"/>
      <c r="AP100" s="931"/>
      <c r="AQ100" s="931"/>
      <c r="AR100" s="931"/>
      <c r="AS100" s="931"/>
      <c r="AT100" s="931"/>
      <c r="AU100" s="931"/>
      <c r="AV100" s="931"/>
      <c r="AW100" s="931"/>
      <c r="AX100" s="931"/>
      <c r="AY100" s="931"/>
      <c r="AZ100" s="931"/>
      <c r="BA100" s="931"/>
      <c r="BB100" s="931"/>
      <c r="BC100" s="931"/>
      <c r="BD100" s="931"/>
      <c r="BE100" s="931"/>
      <c r="BF100" s="931"/>
      <c r="BG100" s="931"/>
      <c r="BH100" s="935"/>
      <c r="BI100" s="936"/>
      <c r="BJ100" s="936"/>
      <c r="BK100" s="935"/>
      <c r="BL100" s="933"/>
      <c r="BM100" s="933"/>
      <c r="BN100" s="933"/>
      <c r="BO100" s="933"/>
      <c r="BP100" s="933"/>
      <c r="BQ100" s="933"/>
      <c r="BR100" s="933"/>
      <c r="BS100" s="933"/>
      <c r="BT100" s="933"/>
      <c r="BU100" s="933"/>
      <c r="BV100" s="933"/>
      <c r="BW100" s="933"/>
      <c r="BX100" s="933"/>
      <c r="BY100" s="933"/>
      <c r="BZ100" s="933">
        <f t="shared" si="39"/>
        <v>0.56226836460564722</v>
      </c>
      <c r="CA100" s="933">
        <f t="shared" si="39"/>
        <v>0.56226836460564722</v>
      </c>
      <c r="CB100" s="933">
        <f t="shared" si="39"/>
        <v>0.56226836460564722</v>
      </c>
      <c r="CC100" s="933">
        <f t="shared" si="39"/>
        <v>0.56226836460564722</v>
      </c>
      <c r="CD100" s="933">
        <f t="shared" si="40"/>
        <v>0.56226836460564722</v>
      </c>
      <c r="CE100" s="933">
        <f t="shared" si="40"/>
        <v>0.56226836460564722</v>
      </c>
      <c r="CF100" s="933">
        <f t="shared" si="40"/>
        <v>0.56226836460564722</v>
      </c>
      <c r="CG100" s="933">
        <f t="shared" si="40"/>
        <v>0.56226836460564722</v>
      </c>
      <c r="CH100" s="933">
        <f t="shared" si="40"/>
        <v>0.56226836460564722</v>
      </c>
      <c r="CI100" s="933">
        <f t="shared" si="40"/>
        <v>0.56226836460564722</v>
      </c>
      <c r="CJ100" s="933">
        <f t="shared" si="40"/>
        <v>0.56226836460564722</v>
      </c>
      <c r="CK100" s="933">
        <f t="shared" si="40"/>
        <v>0.56226836460564722</v>
      </c>
      <c r="CL100" s="933">
        <f t="shared" si="40"/>
        <v>0.56226836460564722</v>
      </c>
      <c r="CM100" s="933">
        <f t="shared" si="40"/>
        <v>0.56226836460564722</v>
      </c>
      <c r="CN100" s="933">
        <f t="shared" si="40"/>
        <v>0.56226836460564722</v>
      </c>
      <c r="CO100" s="933">
        <f t="shared" si="40"/>
        <v>0.56226836460564722</v>
      </c>
      <c r="CP100" s="933">
        <f t="shared" si="41"/>
        <v>0.56226836460564722</v>
      </c>
      <c r="CQ100" s="933">
        <f t="shared" si="41"/>
        <v>0.56226836460564722</v>
      </c>
      <c r="CR100" s="933">
        <f t="shared" si="41"/>
        <v>0.56226836460564722</v>
      </c>
      <c r="CS100" s="933">
        <f t="shared" si="41"/>
        <v>0.56226836460564722</v>
      </c>
      <c r="CT100" s="933">
        <f t="shared" si="41"/>
        <v>0.56226836460564722</v>
      </c>
      <c r="CU100" s="933">
        <f t="shared" si="41"/>
        <v>0.56226836460564722</v>
      </c>
      <c r="CV100" s="933">
        <f t="shared" si="41"/>
        <v>0.56226836460564722</v>
      </c>
      <c r="CW100" s="933">
        <f t="shared" si="41"/>
        <v>0.56226836460564722</v>
      </c>
    </row>
    <row r="101" spans="1:114" x14ac:dyDescent="0.3">
      <c r="A101" s="923">
        <v>44287</v>
      </c>
      <c r="B101" s="932">
        <v>134735</v>
      </c>
      <c r="C101" s="929">
        <v>97.6</v>
      </c>
      <c r="D101" s="930">
        <f t="shared" si="37"/>
        <v>13.150136</v>
      </c>
      <c r="E101" s="931"/>
      <c r="F101" s="931"/>
      <c r="G101" s="931"/>
      <c r="H101" s="931"/>
      <c r="I101" s="931"/>
      <c r="J101" s="931"/>
      <c r="K101" s="931"/>
      <c r="L101" s="931"/>
      <c r="M101" s="931"/>
      <c r="N101" s="931"/>
      <c r="O101" s="931"/>
      <c r="P101" s="931"/>
      <c r="Q101" s="931"/>
      <c r="R101" s="931"/>
      <c r="S101" s="931"/>
      <c r="T101" s="931"/>
      <c r="U101" s="931"/>
      <c r="V101" s="931"/>
      <c r="W101" s="931"/>
      <c r="X101" s="931"/>
      <c r="Y101" s="931"/>
      <c r="Z101" s="931"/>
      <c r="AA101" s="931"/>
      <c r="AB101" s="931"/>
      <c r="AC101" s="931"/>
      <c r="AD101" s="931"/>
      <c r="AE101" s="931"/>
      <c r="AF101" s="931"/>
      <c r="AG101" s="931"/>
      <c r="AH101" s="931"/>
      <c r="AI101" s="931"/>
      <c r="AJ101" s="931"/>
      <c r="AK101" s="931"/>
      <c r="AL101" s="931"/>
      <c r="AM101" s="931"/>
      <c r="AN101" s="931"/>
      <c r="AO101" s="931"/>
      <c r="AP101" s="931"/>
      <c r="AQ101" s="931"/>
      <c r="AR101" s="931"/>
      <c r="AS101" s="931"/>
      <c r="AT101" s="931"/>
      <c r="AU101" s="931"/>
      <c r="AV101" s="931"/>
      <c r="AW101" s="931"/>
      <c r="AX101" s="931"/>
      <c r="AY101" s="931"/>
      <c r="AZ101" s="931"/>
      <c r="BA101" s="931"/>
      <c r="BB101" s="931"/>
      <c r="BC101" s="931"/>
      <c r="BD101" s="931"/>
      <c r="BE101" s="931"/>
      <c r="BF101" s="931"/>
      <c r="BG101" s="931"/>
      <c r="BH101" s="935"/>
      <c r="BI101" s="936"/>
      <c r="BJ101" s="936"/>
      <c r="BK101" s="935"/>
      <c r="BL101" s="933"/>
      <c r="BM101" s="933"/>
      <c r="BN101" s="933"/>
      <c r="BO101" s="933"/>
      <c r="BP101" s="933"/>
      <c r="BQ101" s="933"/>
      <c r="BR101" s="933"/>
      <c r="BS101" s="933"/>
      <c r="BT101" s="933"/>
      <c r="BU101" s="933"/>
      <c r="BV101" s="933"/>
      <c r="BW101" s="933"/>
      <c r="BX101" s="933"/>
      <c r="BY101" s="933"/>
      <c r="BZ101" s="933"/>
      <c r="CA101" s="933">
        <f t="shared" si="39"/>
        <v>0.54792233333333329</v>
      </c>
      <c r="CB101" s="933">
        <f t="shared" si="39"/>
        <v>0.54792233333333329</v>
      </c>
      <c r="CC101" s="933">
        <f t="shared" si="39"/>
        <v>0.54792233333333329</v>
      </c>
      <c r="CD101" s="933">
        <f t="shared" si="40"/>
        <v>0.54792233333333329</v>
      </c>
      <c r="CE101" s="933">
        <f t="shared" si="40"/>
        <v>0.54792233333333329</v>
      </c>
      <c r="CF101" s="933">
        <f t="shared" si="40"/>
        <v>0.54792233333333329</v>
      </c>
      <c r="CG101" s="933">
        <f t="shared" si="40"/>
        <v>0.54792233333333329</v>
      </c>
      <c r="CH101" s="933">
        <f t="shared" si="40"/>
        <v>0.54792233333333329</v>
      </c>
      <c r="CI101" s="933">
        <f t="shared" si="40"/>
        <v>0.54792233333333329</v>
      </c>
      <c r="CJ101" s="933">
        <f t="shared" si="40"/>
        <v>0.54792233333333329</v>
      </c>
      <c r="CK101" s="933">
        <f t="shared" si="40"/>
        <v>0.54792233333333329</v>
      </c>
      <c r="CL101" s="933">
        <f t="shared" si="40"/>
        <v>0.54792233333333329</v>
      </c>
      <c r="CM101" s="933">
        <f t="shared" si="40"/>
        <v>0.54792233333333329</v>
      </c>
      <c r="CN101" s="933">
        <f t="shared" si="40"/>
        <v>0.54792233333333329</v>
      </c>
      <c r="CO101" s="933">
        <f t="shared" si="40"/>
        <v>0.54792233333333329</v>
      </c>
      <c r="CP101" s="933">
        <f t="shared" si="41"/>
        <v>0.54792233333333329</v>
      </c>
      <c r="CQ101" s="933">
        <f t="shared" si="41"/>
        <v>0.54792233333333329</v>
      </c>
      <c r="CR101" s="933">
        <f t="shared" si="41"/>
        <v>0.54792233333333329</v>
      </c>
      <c r="CS101" s="933">
        <f t="shared" si="41"/>
        <v>0.54792233333333329</v>
      </c>
      <c r="CT101" s="933">
        <f t="shared" si="41"/>
        <v>0.54792233333333329</v>
      </c>
      <c r="CU101" s="933">
        <f t="shared" si="41"/>
        <v>0.54792233333333329</v>
      </c>
      <c r="CV101" s="933">
        <f t="shared" si="41"/>
        <v>0.54792233333333329</v>
      </c>
      <c r="CW101" s="933">
        <f t="shared" si="41"/>
        <v>0.54792233333333329</v>
      </c>
      <c r="CX101" s="933">
        <f t="shared" si="41"/>
        <v>0.54792233333333329</v>
      </c>
    </row>
    <row r="102" spans="1:114" x14ac:dyDescent="0.3">
      <c r="A102" s="923">
        <v>44317</v>
      </c>
      <c r="B102" s="932">
        <v>128950</v>
      </c>
      <c r="C102" s="929">
        <v>97.6</v>
      </c>
      <c r="D102" s="930">
        <f t="shared" si="37"/>
        <v>12.585520000000001</v>
      </c>
      <c r="E102" s="931"/>
      <c r="F102" s="931"/>
      <c r="G102" s="931"/>
      <c r="H102" s="931"/>
      <c r="I102" s="931"/>
      <c r="J102" s="931"/>
      <c r="K102" s="931"/>
      <c r="L102" s="931"/>
      <c r="M102" s="931"/>
      <c r="N102" s="931"/>
      <c r="O102" s="931"/>
      <c r="P102" s="931"/>
      <c r="Q102" s="931"/>
      <c r="R102" s="931"/>
      <c r="S102" s="931"/>
      <c r="T102" s="931"/>
      <c r="U102" s="931"/>
      <c r="V102" s="931"/>
      <c r="W102" s="931"/>
      <c r="X102" s="931"/>
      <c r="Y102" s="931"/>
      <c r="Z102" s="931"/>
      <c r="AA102" s="931"/>
      <c r="AB102" s="931"/>
      <c r="AC102" s="931"/>
      <c r="AD102" s="931"/>
      <c r="AE102" s="931"/>
      <c r="AF102" s="931"/>
      <c r="AG102" s="931"/>
      <c r="AH102" s="931"/>
      <c r="AI102" s="931"/>
      <c r="AJ102" s="931"/>
      <c r="AK102" s="931"/>
      <c r="AL102" s="931"/>
      <c r="AM102" s="931"/>
      <c r="AN102" s="931"/>
      <c r="AO102" s="931"/>
      <c r="AP102" s="931"/>
      <c r="AQ102" s="931"/>
      <c r="AR102" s="931"/>
      <c r="AS102" s="931"/>
      <c r="AT102" s="931"/>
      <c r="AU102" s="931"/>
      <c r="AV102" s="931"/>
      <c r="AW102" s="931"/>
      <c r="AX102" s="931"/>
      <c r="AY102" s="931"/>
      <c r="AZ102" s="931"/>
      <c r="BA102" s="931"/>
      <c r="BB102" s="931"/>
      <c r="BC102" s="931"/>
      <c r="BD102" s="931"/>
      <c r="BE102" s="931"/>
      <c r="BF102" s="931"/>
      <c r="BG102" s="931"/>
      <c r="BH102" s="935"/>
      <c r="BI102" s="936"/>
      <c r="BJ102" s="936"/>
      <c r="BK102" s="935"/>
      <c r="BL102" s="933"/>
      <c r="BM102" s="933"/>
      <c r="BN102" s="933"/>
      <c r="BO102" s="933"/>
      <c r="BP102" s="933"/>
      <c r="BQ102" s="933"/>
      <c r="BR102" s="933"/>
      <c r="BS102" s="933"/>
      <c r="BT102" s="933"/>
      <c r="BU102" s="933"/>
      <c r="BV102" s="933"/>
      <c r="BW102" s="933"/>
      <c r="BX102" s="933"/>
      <c r="BY102" s="933"/>
      <c r="BZ102" s="933"/>
      <c r="CA102" s="933"/>
      <c r="CB102" s="933">
        <f t="shared" si="39"/>
        <v>0.52439666666666673</v>
      </c>
      <c r="CC102" s="933">
        <f t="shared" si="39"/>
        <v>0.52439666666666673</v>
      </c>
      <c r="CD102" s="933">
        <f t="shared" si="40"/>
        <v>0.52439666666666673</v>
      </c>
      <c r="CE102" s="933">
        <f t="shared" si="40"/>
        <v>0.52439666666666673</v>
      </c>
      <c r="CF102" s="933">
        <f t="shared" si="40"/>
        <v>0.52439666666666673</v>
      </c>
      <c r="CG102" s="933">
        <f t="shared" si="40"/>
        <v>0.52439666666666673</v>
      </c>
      <c r="CH102" s="933">
        <f t="shared" si="40"/>
        <v>0.52439666666666673</v>
      </c>
      <c r="CI102" s="933">
        <f t="shared" si="40"/>
        <v>0.52439666666666673</v>
      </c>
      <c r="CJ102" s="933">
        <f t="shared" si="40"/>
        <v>0.52439666666666673</v>
      </c>
      <c r="CK102" s="933">
        <f t="shared" si="40"/>
        <v>0.52439666666666673</v>
      </c>
      <c r="CL102" s="933">
        <f t="shared" si="40"/>
        <v>0.52439666666666673</v>
      </c>
      <c r="CM102" s="933">
        <f t="shared" si="40"/>
        <v>0.52439666666666673</v>
      </c>
      <c r="CN102" s="933">
        <f t="shared" si="40"/>
        <v>0.52439666666666673</v>
      </c>
      <c r="CO102" s="933">
        <f t="shared" si="40"/>
        <v>0.52439666666666673</v>
      </c>
      <c r="CP102" s="933">
        <f t="shared" si="41"/>
        <v>0.52439666666666673</v>
      </c>
      <c r="CQ102" s="933">
        <f t="shared" si="41"/>
        <v>0.52439666666666673</v>
      </c>
      <c r="CR102" s="933">
        <f t="shared" si="41"/>
        <v>0.52439666666666673</v>
      </c>
      <c r="CS102" s="933">
        <f t="shared" si="41"/>
        <v>0.52439666666666673</v>
      </c>
      <c r="CT102" s="933">
        <f t="shared" si="41"/>
        <v>0.52439666666666673</v>
      </c>
      <c r="CU102" s="933">
        <f t="shared" si="41"/>
        <v>0.52439666666666673</v>
      </c>
      <c r="CV102" s="933">
        <f t="shared" si="41"/>
        <v>0.52439666666666673</v>
      </c>
      <c r="CW102" s="933">
        <f t="shared" si="41"/>
        <v>0.52439666666666673</v>
      </c>
      <c r="CX102" s="933">
        <f t="shared" si="41"/>
        <v>0.52439666666666673</v>
      </c>
      <c r="CY102" s="933">
        <f t="shared" si="41"/>
        <v>0.52439666666666673</v>
      </c>
    </row>
    <row r="103" spans="1:114" x14ac:dyDescent="0.3">
      <c r="A103" s="923">
        <v>44348</v>
      </c>
      <c r="B103" s="932">
        <v>141670.81266673384</v>
      </c>
      <c r="C103" s="929">
        <v>97.6</v>
      </c>
      <c r="D103" s="930">
        <f t="shared" si="37"/>
        <v>13.827071316273221</v>
      </c>
      <c r="E103" s="931"/>
      <c r="F103" s="931"/>
      <c r="G103" s="931"/>
      <c r="H103" s="931"/>
      <c r="I103" s="931"/>
      <c r="J103" s="931"/>
      <c r="K103" s="931"/>
      <c r="L103" s="931"/>
      <c r="M103" s="931"/>
      <c r="N103" s="931"/>
      <c r="O103" s="931"/>
      <c r="P103" s="931"/>
      <c r="Q103" s="931"/>
      <c r="R103" s="931"/>
      <c r="S103" s="931"/>
      <c r="T103" s="931"/>
      <c r="U103" s="931"/>
      <c r="V103" s="931"/>
      <c r="W103" s="931"/>
      <c r="X103" s="931"/>
      <c r="Y103" s="931"/>
      <c r="Z103" s="931"/>
      <c r="AA103" s="931"/>
      <c r="AB103" s="931"/>
      <c r="AC103" s="931"/>
      <c r="AD103" s="931"/>
      <c r="AE103" s="931"/>
      <c r="AF103" s="931"/>
      <c r="AG103" s="931"/>
      <c r="AH103" s="931"/>
      <c r="AI103" s="931"/>
      <c r="AJ103" s="931"/>
      <c r="AK103" s="931"/>
      <c r="AL103" s="931"/>
      <c r="AM103" s="931"/>
      <c r="AN103" s="931"/>
      <c r="AO103" s="931"/>
      <c r="AP103" s="931"/>
      <c r="AQ103" s="931"/>
      <c r="AR103" s="931"/>
      <c r="AS103" s="931"/>
      <c r="AT103" s="931"/>
      <c r="AU103" s="931"/>
      <c r="AV103" s="931"/>
      <c r="AW103" s="931"/>
      <c r="AX103" s="931"/>
      <c r="AY103" s="931"/>
      <c r="AZ103" s="931"/>
      <c r="BA103" s="931"/>
      <c r="BB103" s="931"/>
      <c r="BC103" s="931"/>
      <c r="BD103" s="931"/>
      <c r="BE103" s="931"/>
      <c r="BF103" s="931"/>
      <c r="BG103" s="931"/>
      <c r="BH103" s="935"/>
      <c r="BI103" s="936"/>
      <c r="BJ103" s="936"/>
      <c r="BK103" s="935"/>
      <c r="BL103" s="933"/>
      <c r="BM103" s="933"/>
      <c r="BN103" s="933"/>
      <c r="BO103" s="933"/>
      <c r="BP103" s="933"/>
      <c r="BQ103" s="933"/>
      <c r="BR103" s="933"/>
      <c r="BS103" s="933"/>
      <c r="BT103" s="933"/>
      <c r="BU103" s="933"/>
      <c r="BV103" s="933"/>
      <c r="BW103" s="933"/>
      <c r="BX103" s="933"/>
      <c r="BY103" s="933"/>
      <c r="BZ103" s="933"/>
      <c r="CB103" s="933"/>
      <c r="CC103" s="933">
        <f t="shared" si="39"/>
        <v>0.57612797151138417</v>
      </c>
      <c r="CD103" s="933">
        <f t="shared" si="40"/>
        <v>0.57612797151138417</v>
      </c>
      <c r="CE103" s="933">
        <f t="shared" si="40"/>
        <v>0.57612797151138417</v>
      </c>
      <c r="CF103" s="933">
        <f t="shared" si="40"/>
        <v>0.57612797151138417</v>
      </c>
      <c r="CG103" s="933">
        <f t="shared" si="40"/>
        <v>0.57612797151138417</v>
      </c>
      <c r="CH103" s="933">
        <f t="shared" si="40"/>
        <v>0.57612797151138417</v>
      </c>
      <c r="CI103" s="933">
        <f t="shared" si="40"/>
        <v>0.57612797151138417</v>
      </c>
      <c r="CJ103" s="933">
        <f t="shared" si="40"/>
        <v>0.57612797151138417</v>
      </c>
      <c r="CK103" s="933">
        <f t="shared" si="40"/>
        <v>0.57612797151138417</v>
      </c>
      <c r="CL103" s="933">
        <f t="shared" si="40"/>
        <v>0.57612797151138417</v>
      </c>
      <c r="CM103" s="933">
        <f t="shared" si="40"/>
        <v>0.57612797151138417</v>
      </c>
      <c r="CN103" s="933">
        <f t="shared" si="40"/>
        <v>0.57612797151138417</v>
      </c>
      <c r="CO103" s="933">
        <f t="shared" si="40"/>
        <v>0.57612797151138417</v>
      </c>
      <c r="CP103" s="933">
        <f t="shared" si="41"/>
        <v>0.57612797151138417</v>
      </c>
      <c r="CQ103" s="933">
        <f t="shared" si="41"/>
        <v>0.57612797151138417</v>
      </c>
      <c r="CR103" s="933">
        <f t="shared" si="41"/>
        <v>0.57612797151138417</v>
      </c>
      <c r="CS103" s="933">
        <f t="shared" si="41"/>
        <v>0.57612797151138417</v>
      </c>
      <c r="CT103" s="933">
        <f t="shared" si="41"/>
        <v>0.57612797151138417</v>
      </c>
      <c r="CU103" s="933">
        <f t="shared" si="41"/>
        <v>0.57612797151138417</v>
      </c>
      <c r="CV103" s="933">
        <f t="shared" si="41"/>
        <v>0.57612797151138417</v>
      </c>
      <c r="CW103" s="933">
        <f t="shared" si="41"/>
        <v>0.57612797151138417</v>
      </c>
      <c r="CX103" s="933">
        <f t="shared" si="41"/>
        <v>0.57612797151138417</v>
      </c>
      <c r="CY103" s="933">
        <f t="shared" si="41"/>
        <v>0.57612797151138417</v>
      </c>
      <c r="CZ103" s="933">
        <f t="shared" si="41"/>
        <v>0.57612797151138417</v>
      </c>
    </row>
    <row r="104" spans="1:114" x14ac:dyDescent="0.3">
      <c r="A104" s="923">
        <v>44378</v>
      </c>
      <c r="B104" s="932">
        <v>145371</v>
      </c>
      <c r="C104" s="929">
        <v>101.71187500000001</v>
      </c>
      <c r="D104" s="930">
        <f t="shared" si="37"/>
        <v>14.785956980625002</v>
      </c>
      <c r="E104" s="931"/>
      <c r="F104" s="931"/>
      <c r="G104" s="931"/>
      <c r="H104" s="931"/>
      <c r="I104" s="931"/>
      <c r="J104" s="931"/>
      <c r="K104" s="931"/>
      <c r="L104" s="931"/>
      <c r="M104" s="931"/>
      <c r="N104" s="931"/>
      <c r="O104" s="931"/>
      <c r="P104" s="931"/>
      <c r="Q104" s="931"/>
      <c r="R104" s="931"/>
      <c r="S104" s="931"/>
      <c r="T104" s="931"/>
      <c r="U104" s="931"/>
      <c r="V104" s="931"/>
      <c r="W104" s="931"/>
      <c r="X104" s="931"/>
      <c r="Y104" s="931"/>
      <c r="Z104" s="931"/>
      <c r="AA104" s="931"/>
      <c r="AB104" s="931"/>
      <c r="AC104" s="931"/>
      <c r="AD104" s="931"/>
      <c r="AE104" s="931"/>
      <c r="AF104" s="931"/>
      <c r="AG104" s="931"/>
      <c r="AH104" s="931"/>
      <c r="AI104" s="931"/>
      <c r="AJ104" s="931"/>
      <c r="AK104" s="931"/>
      <c r="AL104" s="931"/>
      <c r="AM104" s="931"/>
      <c r="AN104" s="931"/>
      <c r="AO104" s="931"/>
      <c r="AP104" s="931"/>
      <c r="AQ104" s="931"/>
      <c r="AR104" s="931"/>
      <c r="AS104" s="931"/>
      <c r="AT104" s="931"/>
      <c r="AU104" s="931"/>
      <c r="AV104" s="931"/>
      <c r="AW104" s="931"/>
      <c r="AX104" s="931"/>
      <c r="AY104" s="931"/>
      <c r="AZ104" s="931"/>
      <c r="BA104" s="931"/>
      <c r="BB104" s="931"/>
      <c r="BC104" s="931"/>
      <c r="BD104" s="931"/>
      <c r="BE104" s="931"/>
      <c r="BF104" s="931"/>
      <c r="BG104" s="931"/>
      <c r="BH104" s="935"/>
      <c r="BI104" s="936"/>
      <c r="BJ104" s="936"/>
      <c r="BK104" s="935"/>
      <c r="BL104" s="933"/>
      <c r="BM104" s="933"/>
      <c r="BN104" s="933"/>
      <c r="BO104" s="933"/>
      <c r="BP104" s="933"/>
      <c r="BQ104" s="933"/>
      <c r="BR104" s="933"/>
      <c r="BS104" s="933"/>
      <c r="BT104" s="933"/>
      <c r="BU104" s="933"/>
      <c r="BV104" s="933"/>
      <c r="BW104" s="933"/>
      <c r="BX104" s="933"/>
      <c r="BY104" s="933"/>
      <c r="BZ104" s="933"/>
      <c r="CB104" s="933"/>
      <c r="CC104" s="933"/>
      <c r="CD104" s="933">
        <f t="shared" si="40"/>
        <v>0.61608154085937505</v>
      </c>
      <c r="CE104" s="933">
        <f t="shared" si="40"/>
        <v>0.61608154085937505</v>
      </c>
      <c r="CF104" s="933">
        <f t="shared" si="40"/>
        <v>0.61608154085937505</v>
      </c>
      <c r="CG104" s="933">
        <f t="shared" si="40"/>
        <v>0.61608154085937505</v>
      </c>
      <c r="CH104" s="933">
        <f t="shared" si="40"/>
        <v>0.61608154085937505</v>
      </c>
      <c r="CI104" s="933">
        <f t="shared" si="40"/>
        <v>0.61608154085937505</v>
      </c>
      <c r="CJ104" s="933">
        <f t="shared" si="40"/>
        <v>0.61608154085937505</v>
      </c>
      <c r="CK104" s="933">
        <f t="shared" si="40"/>
        <v>0.61608154085937505</v>
      </c>
      <c r="CL104" s="933">
        <f t="shared" si="40"/>
        <v>0.61608154085937505</v>
      </c>
      <c r="CM104" s="933">
        <f t="shared" si="40"/>
        <v>0.61608154085937505</v>
      </c>
      <c r="CN104" s="933">
        <f t="shared" si="40"/>
        <v>0.61608154085937505</v>
      </c>
      <c r="CO104" s="933">
        <f t="shared" si="40"/>
        <v>0.61608154085937505</v>
      </c>
      <c r="CP104" s="933">
        <f t="shared" si="41"/>
        <v>0.61608154085937505</v>
      </c>
      <c r="CQ104" s="933">
        <f t="shared" si="41"/>
        <v>0.61608154085937505</v>
      </c>
      <c r="CR104" s="933">
        <f t="shared" si="41"/>
        <v>0.61608154085937505</v>
      </c>
      <c r="CS104" s="933">
        <f t="shared" si="41"/>
        <v>0.61608154085937505</v>
      </c>
      <c r="CT104" s="933">
        <f t="shared" si="41"/>
        <v>0.61608154085937505</v>
      </c>
      <c r="CU104" s="933">
        <f t="shared" si="41"/>
        <v>0.61608154085937505</v>
      </c>
      <c r="CV104" s="933">
        <f t="shared" si="41"/>
        <v>0.61608154085937505</v>
      </c>
      <c r="CW104" s="933">
        <f t="shared" si="41"/>
        <v>0.61608154085937505</v>
      </c>
      <c r="CX104" s="933">
        <f t="shared" si="41"/>
        <v>0.61608154085937505</v>
      </c>
      <c r="CY104" s="933">
        <f t="shared" si="41"/>
        <v>0.61608154085937505</v>
      </c>
      <c r="CZ104" s="933">
        <f t="shared" si="41"/>
        <v>0.61608154085937505</v>
      </c>
      <c r="DA104" s="933">
        <f t="shared" si="41"/>
        <v>0.61608154085937505</v>
      </c>
    </row>
    <row r="105" spans="1:114" x14ac:dyDescent="0.3">
      <c r="A105" s="923">
        <v>44409</v>
      </c>
      <c r="B105" s="932">
        <v>149073.5</v>
      </c>
      <c r="C105" s="929">
        <v>101.71187500000001</v>
      </c>
      <c r="D105" s="930">
        <f t="shared" si="37"/>
        <v>15.162545197812502</v>
      </c>
      <c r="E105" s="931"/>
      <c r="F105" s="931"/>
      <c r="G105" s="931"/>
      <c r="H105" s="931"/>
      <c r="I105" s="931"/>
      <c r="J105" s="931"/>
      <c r="K105" s="931"/>
      <c r="L105" s="931"/>
      <c r="M105" s="931"/>
      <c r="N105" s="931"/>
      <c r="O105" s="931"/>
      <c r="P105" s="931"/>
      <c r="Q105" s="931"/>
      <c r="R105" s="931"/>
      <c r="S105" s="931"/>
      <c r="T105" s="931"/>
      <c r="U105" s="931"/>
      <c r="V105" s="931"/>
      <c r="W105" s="931"/>
      <c r="X105" s="931"/>
      <c r="Y105" s="931"/>
      <c r="Z105" s="931"/>
      <c r="AA105" s="931"/>
      <c r="AB105" s="931"/>
      <c r="AC105" s="931"/>
      <c r="AD105" s="931"/>
      <c r="AE105" s="931"/>
      <c r="AF105" s="931"/>
      <c r="AG105" s="931"/>
      <c r="AH105" s="931"/>
      <c r="AI105" s="931"/>
      <c r="AJ105" s="931"/>
      <c r="AK105" s="931"/>
      <c r="AL105" s="931"/>
      <c r="AM105" s="931"/>
      <c r="AN105" s="931"/>
      <c r="AO105" s="931"/>
      <c r="AP105" s="931"/>
      <c r="AQ105" s="931"/>
      <c r="AR105" s="931"/>
      <c r="AS105" s="931"/>
      <c r="AT105" s="931"/>
      <c r="AU105" s="931"/>
      <c r="AV105" s="931"/>
      <c r="AW105" s="931"/>
      <c r="AX105" s="931"/>
      <c r="AY105" s="931"/>
      <c r="AZ105" s="931"/>
      <c r="BA105" s="931"/>
      <c r="BB105" s="931"/>
      <c r="BC105" s="931"/>
      <c r="BD105" s="931"/>
      <c r="BE105" s="931"/>
      <c r="BF105" s="931"/>
      <c r="BG105" s="931"/>
      <c r="BH105" s="935"/>
      <c r="BI105" s="936"/>
      <c r="BJ105" s="936"/>
      <c r="BK105" s="935"/>
      <c r="BL105" s="933"/>
      <c r="BM105" s="933"/>
      <c r="BN105" s="933"/>
      <c r="BO105" s="933"/>
      <c r="BP105" s="933"/>
      <c r="BQ105" s="933"/>
      <c r="BR105" s="933"/>
      <c r="BS105" s="933"/>
      <c r="BT105" s="933"/>
      <c r="BU105" s="933"/>
      <c r="BV105" s="933"/>
      <c r="BW105" s="933"/>
      <c r="BX105" s="933"/>
      <c r="BY105" s="933"/>
      <c r="BZ105" s="933"/>
      <c r="CB105" s="933"/>
      <c r="CC105" s="933"/>
      <c r="CE105" s="933">
        <f t="shared" si="40"/>
        <v>0.63177271657552092</v>
      </c>
      <c r="CF105" s="933">
        <f t="shared" si="40"/>
        <v>0.63177271657552092</v>
      </c>
      <c r="CG105" s="933">
        <f t="shared" si="40"/>
        <v>0.63177271657552092</v>
      </c>
      <c r="CH105" s="933">
        <f t="shared" si="40"/>
        <v>0.63177271657552092</v>
      </c>
      <c r="CI105" s="933">
        <f t="shared" si="40"/>
        <v>0.63177271657552092</v>
      </c>
      <c r="CJ105" s="933">
        <f t="shared" si="40"/>
        <v>0.63177271657552092</v>
      </c>
      <c r="CK105" s="933">
        <f t="shared" si="40"/>
        <v>0.63177271657552092</v>
      </c>
      <c r="CL105" s="933">
        <f t="shared" si="40"/>
        <v>0.63177271657552092</v>
      </c>
      <c r="CM105" s="933">
        <f t="shared" si="40"/>
        <v>0.63177271657552092</v>
      </c>
      <c r="CN105" s="933">
        <f t="shared" si="40"/>
        <v>0.63177271657552092</v>
      </c>
      <c r="CO105" s="933">
        <f t="shared" si="40"/>
        <v>0.63177271657552092</v>
      </c>
      <c r="CP105" s="933">
        <f t="shared" si="41"/>
        <v>0.63177271657552092</v>
      </c>
      <c r="CQ105" s="933">
        <f t="shared" si="41"/>
        <v>0.63177271657552092</v>
      </c>
      <c r="CR105" s="933">
        <f t="shared" si="41"/>
        <v>0.63177271657552092</v>
      </c>
      <c r="CS105" s="933">
        <f t="shared" si="41"/>
        <v>0.63177271657552092</v>
      </c>
      <c r="CT105" s="933">
        <f t="shared" si="41"/>
        <v>0.63177271657552092</v>
      </c>
      <c r="CU105" s="933">
        <f t="shared" si="41"/>
        <v>0.63177271657552092</v>
      </c>
      <c r="CV105" s="933">
        <f t="shared" si="41"/>
        <v>0.63177271657552092</v>
      </c>
      <c r="CW105" s="933">
        <f t="shared" si="41"/>
        <v>0.63177271657552092</v>
      </c>
      <c r="CX105" s="933">
        <f t="shared" si="41"/>
        <v>0.63177271657552092</v>
      </c>
      <c r="CY105" s="933">
        <f t="shared" si="41"/>
        <v>0.63177271657552092</v>
      </c>
      <c r="CZ105" s="933">
        <f t="shared" si="41"/>
        <v>0.63177271657552092</v>
      </c>
      <c r="DA105" s="933">
        <f t="shared" si="41"/>
        <v>0.63177271657552092</v>
      </c>
      <c r="DB105" s="933">
        <f t="shared" si="41"/>
        <v>0.63177271657552092</v>
      </c>
    </row>
    <row r="106" spans="1:114" x14ac:dyDescent="0.3">
      <c r="A106" s="923">
        <v>44440</v>
      </c>
      <c r="B106" s="932">
        <v>140685.5</v>
      </c>
      <c r="C106" s="929">
        <v>101.71187500000001</v>
      </c>
      <c r="D106" s="930">
        <f t="shared" si="37"/>
        <v>14.309385990312501</v>
      </c>
      <c r="E106" s="931"/>
      <c r="F106" s="931"/>
      <c r="G106" s="931"/>
      <c r="H106" s="931"/>
      <c r="I106" s="931"/>
      <c r="J106" s="931"/>
      <c r="K106" s="931"/>
      <c r="L106" s="931"/>
      <c r="M106" s="931"/>
      <c r="N106" s="931"/>
      <c r="O106" s="931"/>
      <c r="P106" s="931"/>
      <c r="Q106" s="931"/>
      <c r="R106" s="931"/>
      <c r="S106" s="931"/>
      <c r="T106" s="931"/>
      <c r="U106" s="931"/>
      <c r="V106" s="931"/>
      <c r="W106" s="931"/>
      <c r="X106" s="931"/>
      <c r="Y106" s="931"/>
      <c r="Z106" s="931"/>
      <c r="AA106" s="931"/>
      <c r="AB106" s="931"/>
      <c r="AC106" s="931"/>
      <c r="AD106" s="931"/>
      <c r="AE106" s="931"/>
      <c r="AF106" s="931"/>
      <c r="AG106" s="931"/>
      <c r="AH106" s="931"/>
      <c r="AI106" s="931"/>
      <c r="AJ106" s="931"/>
      <c r="AK106" s="931"/>
      <c r="AL106" s="931"/>
      <c r="AM106" s="931"/>
      <c r="AN106" s="931"/>
      <c r="AO106" s="931"/>
      <c r="AP106" s="931"/>
      <c r="AQ106" s="931"/>
      <c r="AR106" s="931"/>
      <c r="AS106" s="931"/>
      <c r="AT106" s="931"/>
      <c r="AU106" s="931"/>
      <c r="AV106" s="931"/>
      <c r="AW106" s="931"/>
      <c r="AX106" s="931"/>
      <c r="AY106" s="931"/>
      <c r="AZ106" s="931"/>
      <c r="BA106" s="931"/>
      <c r="BB106" s="931"/>
      <c r="BC106" s="931"/>
      <c r="BD106" s="931"/>
      <c r="BE106" s="931"/>
      <c r="BF106" s="931"/>
      <c r="BG106" s="931"/>
      <c r="BH106" s="935"/>
      <c r="BI106" s="936"/>
      <c r="BJ106" s="936"/>
      <c r="BK106" s="935"/>
      <c r="BL106" s="933"/>
      <c r="BM106" s="933"/>
      <c r="BN106" s="933"/>
      <c r="BO106" s="933"/>
      <c r="BP106" s="933"/>
      <c r="BQ106" s="933"/>
      <c r="BR106" s="933"/>
      <c r="BS106" s="933"/>
      <c r="BT106" s="933"/>
      <c r="BU106" s="933"/>
      <c r="BV106" s="933"/>
      <c r="BW106" s="933"/>
      <c r="BX106" s="933"/>
      <c r="BY106" s="933"/>
      <c r="BZ106" s="933"/>
      <c r="CB106" s="933"/>
      <c r="CC106" s="933"/>
      <c r="CF106" s="933">
        <f t="shared" si="40"/>
        <v>0.59622441626302092</v>
      </c>
      <c r="CG106" s="933">
        <f t="shared" si="40"/>
        <v>0.59622441626302092</v>
      </c>
      <c r="CH106" s="933">
        <f t="shared" si="40"/>
        <v>0.59622441626302092</v>
      </c>
      <c r="CI106" s="933">
        <f t="shared" si="40"/>
        <v>0.59622441626302092</v>
      </c>
      <c r="CJ106" s="933">
        <f t="shared" si="40"/>
        <v>0.59622441626302092</v>
      </c>
      <c r="CK106" s="933">
        <f t="shared" si="40"/>
        <v>0.59622441626302092</v>
      </c>
      <c r="CL106" s="933">
        <f t="shared" si="40"/>
        <v>0.59622441626302092</v>
      </c>
      <c r="CM106" s="933">
        <f t="shared" si="40"/>
        <v>0.59622441626302092</v>
      </c>
      <c r="CN106" s="933">
        <f t="shared" si="40"/>
        <v>0.59622441626302092</v>
      </c>
      <c r="CO106" s="933">
        <f t="shared" si="40"/>
        <v>0.59622441626302092</v>
      </c>
      <c r="CP106" s="933">
        <f t="shared" si="41"/>
        <v>0.59622441626302092</v>
      </c>
      <c r="CQ106" s="933">
        <f t="shared" si="41"/>
        <v>0.59622441626302092</v>
      </c>
      <c r="CR106" s="933">
        <f t="shared" si="41"/>
        <v>0.59622441626302092</v>
      </c>
      <c r="CS106" s="933">
        <f t="shared" si="41"/>
        <v>0.59622441626302092</v>
      </c>
      <c r="CT106" s="933">
        <f t="shared" si="41"/>
        <v>0.59622441626302092</v>
      </c>
      <c r="CU106" s="933">
        <f t="shared" si="41"/>
        <v>0.59622441626302092</v>
      </c>
      <c r="CV106" s="933">
        <f t="shared" si="41"/>
        <v>0.59622441626302092</v>
      </c>
      <c r="CW106" s="933">
        <f t="shared" si="41"/>
        <v>0.59622441626302092</v>
      </c>
      <c r="CX106" s="933">
        <f t="shared" si="41"/>
        <v>0.59622441626302092</v>
      </c>
      <c r="CY106" s="933">
        <f t="shared" si="41"/>
        <v>0.59622441626302092</v>
      </c>
      <c r="CZ106" s="933">
        <f t="shared" si="41"/>
        <v>0.59622441626302092</v>
      </c>
      <c r="DA106" s="933">
        <f t="shared" si="41"/>
        <v>0.59622441626302092</v>
      </c>
      <c r="DB106" s="933">
        <f t="shared" si="41"/>
        <v>0.59622441626302092</v>
      </c>
      <c r="DC106" s="933">
        <f t="shared" si="41"/>
        <v>0.59622441626302092</v>
      </c>
    </row>
    <row r="107" spans="1:114" x14ac:dyDescent="0.3">
      <c r="A107" s="923">
        <v>44470</v>
      </c>
      <c r="B107" s="932">
        <v>146519</v>
      </c>
      <c r="C107" s="929">
        <v>95.53</v>
      </c>
      <c r="D107" s="930">
        <f t="shared" si="37"/>
        <v>13.99696007</v>
      </c>
      <c r="E107" s="931"/>
      <c r="F107" s="931"/>
      <c r="G107" s="931"/>
      <c r="H107" s="931"/>
      <c r="I107" s="931"/>
      <c r="J107" s="931"/>
      <c r="K107" s="931"/>
      <c r="L107" s="931"/>
      <c r="M107" s="931"/>
      <c r="N107" s="931"/>
      <c r="O107" s="931"/>
      <c r="P107" s="931"/>
      <c r="Q107" s="931"/>
      <c r="R107" s="931"/>
      <c r="S107" s="931"/>
      <c r="T107" s="931"/>
      <c r="U107" s="931"/>
      <c r="V107" s="931"/>
      <c r="W107" s="931"/>
      <c r="X107" s="931"/>
      <c r="Y107" s="931"/>
      <c r="Z107" s="931"/>
      <c r="AA107" s="931"/>
      <c r="AB107" s="931"/>
      <c r="AC107" s="931"/>
      <c r="AD107" s="931"/>
      <c r="AE107" s="931"/>
      <c r="AF107" s="931"/>
      <c r="AG107" s="931"/>
      <c r="AH107" s="931"/>
      <c r="AI107" s="931"/>
      <c r="AJ107" s="931"/>
      <c r="AK107" s="931"/>
      <c r="AL107" s="931"/>
      <c r="AM107" s="931"/>
      <c r="AN107" s="931"/>
      <c r="AO107" s="931"/>
      <c r="AP107" s="931"/>
      <c r="AQ107" s="931"/>
      <c r="AR107" s="931"/>
      <c r="AS107" s="931"/>
      <c r="AT107" s="931"/>
      <c r="AU107" s="931"/>
      <c r="AV107" s="931"/>
      <c r="AW107" s="931"/>
      <c r="AX107" s="931"/>
      <c r="AY107" s="931"/>
      <c r="AZ107" s="931"/>
      <c r="BA107" s="931"/>
      <c r="BB107" s="931"/>
      <c r="BC107" s="931"/>
      <c r="BD107" s="931"/>
      <c r="BE107" s="931"/>
      <c r="BF107" s="931"/>
      <c r="BG107" s="931"/>
      <c r="BH107" s="935"/>
      <c r="BI107" s="936"/>
      <c r="BJ107" s="936"/>
      <c r="BK107" s="935"/>
      <c r="BL107" s="933"/>
      <c r="BM107" s="933"/>
      <c r="BN107" s="933"/>
      <c r="BO107" s="933"/>
      <c r="BP107" s="933"/>
      <c r="BQ107" s="933"/>
      <c r="BR107" s="933"/>
      <c r="BS107" s="933"/>
      <c r="BT107" s="933"/>
      <c r="BU107" s="933"/>
      <c r="BV107" s="933"/>
      <c r="BW107" s="933"/>
      <c r="BX107" s="933"/>
      <c r="BY107" s="933"/>
      <c r="BZ107" s="933"/>
      <c r="CB107" s="933"/>
      <c r="CC107" s="933"/>
      <c r="CF107" s="933"/>
      <c r="CG107" s="933">
        <f t="shared" si="40"/>
        <v>0.58320666958333334</v>
      </c>
      <c r="CH107" s="933">
        <f t="shared" si="40"/>
        <v>0.58320666958333334</v>
      </c>
      <c r="CI107" s="933">
        <f t="shared" si="40"/>
        <v>0.58320666958333334</v>
      </c>
      <c r="CJ107" s="933">
        <f t="shared" si="40"/>
        <v>0.58320666958333334</v>
      </c>
      <c r="CK107" s="933">
        <f t="shared" si="40"/>
        <v>0.58320666958333334</v>
      </c>
      <c r="CL107" s="933">
        <f t="shared" si="40"/>
        <v>0.58320666958333334</v>
      </c>
      <c r="CM107" s="933">
        <f t="shared" si="40"/>
        <v>0.58320666958333334</v>
      </c>
      <c r="CN107" s="933">
        <f t="shared" si="40"/>
        <v>0.58320666958333334</v>
      </c>
      <c r="CO107" s="933">
        <f t="shared" si="40"/>
        <v>0.58320666958333334</v>
      </c>
      <c r="CP107" s="933">
        <f t="shared" si="41"/>
        <v>0.58320666958333334</v>
      </c>
      <c r="CQ107" s="933">
        <f t="shared" si="41"/>
        <v>0.58320666958333334</v>
      </c>
      <c r="CR107" s="933">
        <f t="shared" si="41"/>
        <v>0.58320666958333334</v>
      </c>
      <c r="CS107" s="933">
        <f t="shared" si="41"/>
        <v>0.58320666958333334</v>
      </c>
      <c r="CT107" s="933">
        <f t="shared" si="41"/>
        <v>0.58320666958333334</v>
      </c>
      <c r="CU107" s="933">
        <f t="shared" si="41"/>
        <v>0.58320666958333334</v>
      </c>
      <c r="CV107" s="933">
        <f t="shared" si="41"/>
        <v>0.58320666958333334</v>
      </c>
      <c r="CW107" s="933">
        <f t="shared" si="41"/>
        <v>0.58320666958333334</v>
      </c>
      <c r="CX107" s="933">
        <f t="shared" si="41"/>
        <v>0.58320666958333334</v>
      </c>
      <c r="CY107" s="933">
        <f t="shared" si="41"/>
        <v>0.58320666958333334</v>
      </c>
      <c r="CZ107" s="933">
        <f t="shared" si="41"/>
        <v>0.58320666958333334</v>
      </c>
      <c r="DA107" s="933">
        <f t="shared" si="41"/>
        <v>0.58320666958333334</v>
      </c>
      <c r="DB107" s="933">
        <f t="shared" si="41"/>
        <v>0.58320666958333334</v>
      </c>
      <c r="DC107" s="933">
        <f t="shared" si="41"/>
        <v>0.58320666958333334</v>
      </c>
      <c r="DD107" s="933">
        <f t="shared" si="41"/>
        <v>0.58320666958333334</v>
      </c>
    </row>
    <row r="108" spans="1:114" x14ac:dyDescent="0.3">
      <c r="A108" s="923">
        <v>44501</v>
      </c>
      <c r="B108" s="932">
        <v>144366.5</v>
      </c>
      <c r="C108" s="929">
        <v>95.53</v>
      </c>
      <c r="D108" s="930">
        <f t="shared" si="37"/>
        <v>13.791331745000001</v>
      </c>
      <c r="E108" s="931"/>
      <c r="F108" s="931"/>
      <c r="G108" s="931"/>
      <c r="H108" s="931"/>
      <c r="I108" s="931"/>
      <c r="J108" s="931"/>
      <c r="K108" s="931"/>
      <c r="L108" s="931"/>
      <c r="M108" s="931"/>
      <c r="N108" s="931"/>
      <c r="O108" s="931"/>
      <c r="P108" s="931"/>
      <c r="Q108" s="931"/>
      <c r="R108" s="931"/>
      <c r="S108" s="931"/>
      <c r="T108" s="931"/>
      <c r="U108" s="931"/>
      <c r="V108" s="931"/>
      <c r="W108" s="931"/>
      <c r="X108" s="931"/>
      <c r="Y108" s="931"/>
      <c r="Z108" s="931"/>
      <c r="AA108" s="931"/>
      <c r="AB108" s="931"/>
      <c r="AC108" s="931"/>
      <c r="AD108" s="931"/>
      <c r="AE108" s="931"/>
      <c r="AF108" s="931"/>
      <c r="AG108" s="931"/>
      <c r="AH108" s="931"/>
      <c r="AI108" s="931"/>
      <c r="AJ108" s="931"/>
      <c r="AK108" s="931"/>
      <c r="AL108" s="931"/>
      <c r="AM108" s="931"/>
      <c r="AN108" s="931"/>
      <c r="AO108" s="931"/>
      <c r="AP108" s="931"/>
      <c r="AQ108" s="931"/>
      <c r="AR108" s="931"/>
      <c r="AS108" s="931"/>
      <c r="AT108" s="931"/>
      <c r="AU108" s="931"/>
      <c r="AV108" s="931"/>
      <c r="AW108" s="931"/>
      <c r="AX108" s="931"/>
      <c r="AY108" s="931"/>
      <c r="AZ108" s="931"/>
      <c r="BA108" s="931"/>
      <c r="BB108" s="931"/>
      <c r="BC108" s="931"/>
      <c r="BD108" s="931"/>
      <c r="BE108" s="931"/>
      <c r="BF108" s="931"/>
      <c r="BG108" s="931"/>
      <c r="BH108" s="935"/>
      <c r="BI108" s="936"/>
      <c r="BJ108" s="936"/>
      <c r="BK108" s="935"/>
      <c r="BL108" s="933"/>
      <c r="BM108" s="933"/>
      <c r="BN108" s="933"/>
      <c r="BO108" s="933"/>
      <c r="BP108" s="933"/>
      <c r="BQ108" s="933"/>
      <c r="BR108" s="933"/>
      <c r="BS108" s="933"/>
      <c r="BT108" s="933"/>
      <c r="BU108" s="933"/>
      <c r="BV108" s="933"/>
      <c r="BW108" s="933"/>
      <c r="BX108" s="933"/>
      <c r="BY108" s="933"/>
      <c r="BZ108" s="933"/>
      <c r="CB108" s="933"/>
      <c r="CC108" s="933"/>
      <c r="CF108" s="933"/>
      <c r="CH108" s="933">
        <f t="shared" si="40"/>
        <v>0.57463882270833333</v>
      </c>
      <c r="CI108" s="933">
        <f t="shared" si="40"/>
        <v>0.57463882270833333</v>
      </c>
      <c r="CJ108" s="933">
        <f t="shared" si="40"/>
        <v>0.57463882270833333</v>
      </c>
      <c r="CK108" s="933">
        <f t="shared" si="40"/>
        <v>0.57463882270833333</v>
      </c>
      <c r="CL108" s="933">
        <f t="shared" si="40"/>
        <v>0.57463882270833333</v>
      </c>
      <c r="CM108" s="933">
        <f t="shared" si="40"/>
        <v>0.57463882270833333</v>
      </c>
      <c r="CN108" s="933">
        <f t="shared" si="40"/>
        <v>0.57463882270833333</v>
      </c>
      <c r="CO108" s="933">
        <f t="shared" si="40"/>
        <v>0.57463882270833333</v>
      </c>
      <c r="CP108" s="933">
        <f t="shared" si="41"/>
        <v>0.57463882270833333</v>
      </c>
      <c r="CQ108" s="933">
        <f t="shared" si="41"/>
        <v>0.57463882270833333</v>
      </c>
      <c r="CR108" s="933">
        <f t="shared" si="41"/>
        <v>0.57463882270833333</v>
      </c>
      <c r="CS108" s="933">
        <f t="shared" si="41"/>
        <v>0.57463882270833333</v>
      </c>
      <c r="CT108" s="933">
        <f t="shared" si="41"/>
        <v>0.57463882270833333</v>
      </c>
      <c r="CU108" s="933">
        <f t="shared" si="41"/>
        <v>0.57463882270833333</v>
      </c>
      <c r="CV108" s="933">
        <f t="shared" si="41"/>
        <v>0.57463882270833333</v>
      </c>
      <c r="CW108" s="933">
        <f t="shared" si="41"/>
        <v>0.57463882270833333</v>
      </c>
      <c r="CX108" s="933">
        <f t="shared" si="41"/>
        <v>0.57463882270833333</v>
      </c>
      <c r="CY108" s="933">
        <f t="shared" si="41"/>
        <v>0.57463882270833333</v>
      </c>
      <c r="CZ108" s="933">
        <f t="shared" si="41"/>
        <v>0.57463882270833333</v>
      </c>
      <c r="DA108" s="933">
        <f t="shared" si="41"/>
        <v>0.57463882270833333</v>
      </c>
      <c r="DB108" s="933">
        <f t="shared" si="41"/>
        <v>0.57463882270833333</v>
      </c>
      <c r="DC108" s="933">
        <f t="shared" si="41"/>
        <v>0.57463882270833333</v>
      </c>
      <c r="DD108" s="933">
        <f t="shared" si="41"/>
        <v>0.57463882270833333</v>
      </c>
      <c r="DE108" s="933">
        <f t="shared" si="41"/>
        <v>0.57463882270833333</v>
      </c>
    </row>
    <row r="109" spans="1:114" x14ac:dyDescent="0.3">
      <c r="A109" s="923">
        <v>44531</v>
      </c>
      <c r="B109" s="932">
        <v>175010</v>
      </c>
      <c r="C109" s="929">
        <v>95.53</v>
      </c>
      <c r="D109" s="930">
        <f t="shared" si="37"/>
        <v>16.7187053</v>
      </c>
      <c r="E109" s="931"/>
      <c r="F109" s="931"/>
      <c r="G109" s="931"/>
      <c r="H109" s="931"/>
      <c r="I109" s="931"/>
      <c r="J109" s="931"/>
      <c r="K109" s="931"/>
      <c r="L109" s="931"/>
      <c r="M109" s="931"/>
      <c r="N109" s="931"/>
      <c r="O109" s="931"/>
      <c r="P109" s="931"/>
      <c r="Q109" s="931"/>
      <c r="R109" s="931"/>
      <c r="S109" s="931"/>
      <c r="T109" s="931"/>
      <c r="U109" s="931"/>
      <c r="V109" s="931"/>
      <c r="W109" s="931"/>
      <c r="X109" s="931"/>
      <c r="Y109" s="931"/>
      <c r="Z109" s="931"/>
      <c r="AA109" s="931"/>
      <c r="AB109" s="931"/>
      <c r="AC109" s="931"/>
      <c r="AD109" s="931"/>
      <c r="AE109" s="931"/>
      <c r="AF109" s="931"/>
      <c r="AG109" s="931"/>
      <c r="AH109" s="931"/>
      <c r="AI109" s="931"/>
      <c r="AJ109" s="931"/>
      <c r="AK109" s="931"/>
      <c r="AL109" s="931"/>
      <c r="AM109" s="931"/>
      <c r="AN109" s="931"/>
      <c r="AO109" s="931"/>
      <c r="AP109" s="931"/>
      <c r="AQ109" s="931"/>
      <c r="AR109" s="931"/>
      <c r="AS109" s="931"/>
      <c r="AT109" s="931"/>
      <c r="AU109" s="931"/>
      <c r="AV109" s="931"/>
      <c r="AW109" s="931"/>
      <c r="AX109" s="931"/>
      <c r="AY109" s="931"/>
      <c r="AZ109" s="931"/>
      <c r="BA109" s="931"/>
      <c r="BB109" s="931"/>
      <c r="BC109" s="931"/>
      <c r="BD109" s="931"/>
      <c r="BE109" s="931"/>
      <c r="BF109" s="931"/>
      <c r="BG109" s="931"/>
      <c r="BH109" s="935"/>
      <c r="BI109" s="936"/>
      <c r="BJ109" s="936"/>
      <c r="BK109" s="935"/>
      <c r="BL109" s="933"/>
      <c r="BM109" s="933"/>
      <c r="BN109" s="933"/>
      <c r="BO109" s="933"/>
      <c r="BP109" s="933"/>
      <c r="BQ109" s="933"/>
      <c r="BR109" s="933"/>
      <c r="BS109" s="933"/>
      <c r="BT109" s="933"/>
      <c r="BU109" s="933"/>
      <c r="BV109" s="933"/>
      <c r="BW109" s="933"/>
      <c r="BX109" s="933"/>
      <c r="BY109" s="933"/>
      <c r="BZ109" s="933"/>
      <c r="CB109" s="933"/>
      <c r="CC109" s="933"/>
      <c r="CF109" s="933"/>
      <c r="CI109" s="933">
        <f t="shared" si="40"/>
        <v>0.69661272083333337</v>
      </c>
      <c r="CJ109" s="933">
        <f t="shared" si="40"/>
        <v>0.69661272083333337</v>
      </c>
      <c r="CK109" s="933">
        <f t="shared" si="40"/>
        <v>0.69661272083333337</v>
      </c>
      <c r="CL109" s="933">
        <f t="shared" si="40"/>
        <v>0.69661272083333337</v>
      </c>
      <c r="CM109" s="933">
        <f t="shared" si="40"/>
        <v>0.69661272083333337</v>
      </c>
      <c r="CN109" s="933">
        <f t="shared" si="40"/>
        <v>0.69661272083333337</v>
      </c>
      <c r="CO109" s="933">
        <f t="shared" si="40"/>
        <v>0.69661272083333337</v>
      </c>
      <c r="CP109" s="933">
        <f t="shared" si="41"/>
        <v>0.69661272083333337</v>
      </c>
      <c r="CQ109" s="933">
        <f t="shared" si="41"/>
        <v>0.69661272083333337</v>
      </c>
      <c r="CR109" s="933">
        <f t="shared" si="41"/>
        <v>0.69661272083333337</v>
      </c>
      <c r="CS109" s="933">
        <f t="shared" si="41"/>
        <v>0.69661272083333337</v>
      </c>
      <c r="CT109" s="933">
        <f t="shared" si="41"/>
        <v>0.69661272083333337</v>
      </c>
      <c r="CU109" s="933">
        <f t="shared" si="41"/>
        <v>0.69661272083333337</v>
      </c>
      <c r="CV109" s="933">
        <f t="shared" si="41"/>
        <v>0.69661272083333337</v>
      </c>
      <c r="CW109" s="933">
        <f t="shared" si="41"/>
        <v>0.69661272083333337</v>
      </c>
      <c r="CX109" s="933">
        <f t="shared" si="41"/>
        <v>0.69661272083333337</v>
      </c>
      <c r="CY109" s="933">
        <f t="shared" si="41"/>
        <v>0.69661272083333337</v>
      </c>
      <c r="CZ109" s="933">
        <f t="shared" si="41"/>
        <v>0.69661272083333337</v>
      </c>
      <c r="DA109" s="933">
        <f t="shared" si="41"/>
        <v>0.69661272083333337</v>
      </c>
      <c r="DB109" s="933">
        <f t="shared" si="41"/>
        <v>0.69661272083333337</v>
      </c>
      <c r="DC109" s="933">
        <f t="shared" si="41"/>
        <v>0.69661272083333337</v>
      </c>
      <c r="DD109" s="933">
        <f t="shared" si="41"/>
        <v>0.69661272083333337</v>
      </c>
      <c r="DE109" s="933">
        <f t="shared" si="41"/>
        <v>0.69661272083333337</v>
      </c>
      <c r="DF109" s="933">
        <f t="shared" si="41"/>
        <v>0.69661272083333337</v>
      </c>
    </row>
    <row r="110" spans="1:114" x14ac:dyDescent="0.3">
      <c r="A110" s="923">
        <v>44562</v>
      </c>
      <c r="B110" s="932">
        <v>141215.625</v>
      </c>
      <c r="C110" s="929">
        <v>95.53</v>
      </c>
      <c r="D110" s="930">
        <f t="shared" si="37"/>
        <v>13.49032865625</v>
      </c>
      <c r="E110" s="931"/>
      <c r="F110" s="931"/>
      <c r="G110" s="931"/>
      <c r="H110" s="931"/>
      <c r="I110" s="931"/>
      <c r="J110" s="931"/>
      <c r="K110" s="931"/>
      <c r="L110" s="931"/>
      <c r="M110" s="931"/>
      <c r="N110" s="931"/>
      <c r="O110" s="931"/>
      <c r="P110" s="931"/>
      <c r="Q110" s="931"/>
      <c r="R110" s="931"/>
      <c r="S110" s="931"/>
      <c r="T110" s="931"/>
      <c r="U110" s="931"/>
      <c r="V110" s="931"/>
      <c r="W110" s="931"/>
      <c r="X110" s="931"/>
      <c r="Y110" s="931"/>
      <c r="Z110" s="931"/>
      <c r="AA110" s="931"/>
      <c r="AB110" s="931"/>
      <c r="AC110" s="931"/>
      <c r="AD110" s="931"/>
      <c r="AE110" s="931"/>
      <c r="AF110" s="931"/>
      <c r="AG110" s="931"/>
      <c r="AH110" s="931"/>
      <c r="AI110" s="931"/>
      <c r="AJ110" s="931"/>
      <c r="AK110" s="931"/>
      <c r="AL110" s="931"/>
      <c r="AM110" s="931"/>
      <c r="AN110" s="931"/>
      <c r="AO110" s="931"/>
      <c r="AP110" s="931"/>
      <c r="AQ110" s="931"/>
      <c r="AR110" s="931"/>
      <c r="AS110" s="931"/>
      <c r="AT110" s="931"/>
      <c r="AU110" s="931"/>
      <c r="AV110" s="931"/>
      <c r="AW110" s="931"/>
      <c r="AX110" s="931"/>
      <c r="AY110" s="931"/>
      <c r="AZ110" s="931"/>
      <c r="BA110" s="931"/>
      <c r="BB110" s="931"/>
      <c r="BC110" s="931"/>
      <c r="BD110" s="931"/>
      <c r="BE110" s="931"/>
      <c r="BF110" s="931"/>
      <c r="BG110" s="931"/>
      <c r="BH110" s="935"/>
      <c r="BI110" s="936"/>
      <c r="BJ110" s="936"/>
      <c r="BK110" s="935"/>
      <c r="BL110" s="933"/>
      <c r="BM110" s="933"/>
      <c r="BN110" s="933"/>
      <c r="BO110" s="933"/>
      <c r="BP110" s="933"/>
      <c r="BQ110" s="933"/>
      <c r="BR110" s="933"/>
      <c r="BS110" s="933"/>
      <c r="BT110" s="933"/>
      <c r="BU110" s="933"/>
      <c r="BV110" s="933"/>
      <c r="BW110" s="933"/>
      <c r="BX110" s="933"/>
      <c r="BY110" s="933"/>
      <c r="BZ110" s="933"/>
      <c r="CB110" s="933"/>
      <c r="CC110" s="933"/>
      <c r="CF110" s="933"/>
      <c r="CI110" s="933"/>
      <c r="CJ110" s="933">
        <f t="shared" si="40"/>
        <v>0.56209702734375</v>
      </c>
      <c r="CK110" s="933">
        <f t="shared" si="40"/>
        <v>0.56209702734375</v>
      </c>
      <c r="CL110" s="933">
        <f t="shared" si="40"/>
        <v>0.56209702734375</v>
      </c>
      <c r="CM110" s="933">
        <f t="shared" si="40"/>
        <v>0.56209702734375</v>
      </c>
      <c r="CN110" s="933">
        <f t="shared" si="40"/>
        <v>0.56209702734375</v>
      </c>
      <c r="CO110" s="933">
        <f t="shared" si="40"/>
        <v>0.56209702734375</v>
      </c>
      <c r="CP110" s="933">
        <f t="shared" si="41"/>
        <v>0.56209702734375</v>
      </c>
      <c r="CQ110" s="933">
        <f t="shared" si="41"/>
        <v>0.56209702734375</v>
      </c>
      <c r="CR110" s="933">
        <f t="shared" si="41"/>
        <v>0.56209702734375</v>
      </c>
      <c r="CS110" s="933">
        <f t="shared" si="41"/>
        <v>0.56209702734375</v>
      </c>
      <c r="CT110" s="933">
        <f t="shared" si="41"/>
        <v>0.56209702734375</v>
      </c>
      <c r="CU110" s="933">
        <f t="shared" si="41"/>
        <v>0.56209702734375</v>
      </c>
      <c r="CV110" s="933">
        <f t="shared" si="41"/>
        <v>0.56209702734375</v>
      </c>
      <c r="CW110" s="933">
        <f t="shared" si="41"/>
        <v>0.56209702734375</v>
      </c>
      <c r="CX110" s="933">
        <f t="shared" si="41"/>
        <v>0.56209702734375</v>
      </c>
      <c r="CY110" s="933">
        <f t="shared" si="41"/>
        <v>0.56209702734375</v>
      </c>
      <c r="CZ110" s="933">
        <f t="shared" si="41"/>
        <v>0.56209702734375</v>
      </c>
      <c r="DA110" s="933">
        <f t="shared" si="41"/>
        <v>0.56209702734375</v>
      </c>
      <c r="DB110" s="933">
        <f t="shared" si="41"/>
        <v>0.56209702734375</v>
      </c>
      <c r="DC110" s="933">
        <f t="shared" si="41"/>
        <v>0.56209702734375</v>
      </c>
      <c r="DD110" s="933">
        <f t="shared" si="41"/>
        <v>0.56209702734375</v>
      </c>
      <c r="DE110" s="933">
        <f t="shared" si="41"/>
        <v>0.56209702734375</v>
      </c>
      <c r="DF110" s="933">
        <f t="shared" si="41"/>
        <v>0.56209702734375</v>
      </c>
      <c r="DG110" s="933">
        <f t="shared" si="41"/>
        <v>0.56209702734375</v>
      </c>
    </row>
    <row r="111" spans="1:114" x14ac:dyDescent="0.3">
      <c r="A111" s="923">
        <v>44593</v>
      </c>
      <c r="B111" s="932">
        <v>136720</v>
      </c>
      <c r="C111" s="929">
        <v>95.53</v>
      </c>
      <c r="D111" s="930">
        <f t="shared" si="37"/>
        <v>13.060861599999999</v>
      </c>
      <c r="E111" s="931"/>
      <c r="F111" s="931"/>
      <c r="G111" s="931"/>
      <c r="H111" s="931"/>
      <c r="I111" s="931"/>
      <c r="J111" s="931"/>
      <c r="K111" s="931"/>
      <c r="L111" s="931"/>
      <c r="M111" s="931"/>
      <c r="N111" s="931"/>
      <c r="O111" s="931"/>
      <c r="P111" s="931"/>
      <c r="Q111" s="931"/>
      <c r="R111" s="931"/>
      <c r="S111" s="931"/>
      <c r="T111" s="931"/>
      <c r="U111" s="931"/>
      <c r="V111" s="931"/>
      <c r="W111" s="931"/>
      <c r="X111" s="931"/>
      <c r="Y111" s="931"/>
      <c r="Z111" s="931"/>
      <c r="AA111" s="931"/>
      <c r="AB111" s="931"/>
      <c r="AC111" s="931"/>
      <c r="AD111" s="931"/>
      <c r="AE111" s="931"/>
      <c r="AF111" s="931"/>
      <c r="AG111" s="931"/>
      <c r="AH111" s="931"/>
      <c r="AI111" s="931"/>
      <c r="AJ111" s="931"/>
      <c r="AK111" s="931"/>
      <c r="AL111" s="931"/>
      <c r="AM111" s="931"/>
      <c r="AN111" s="931"/>
      <c r="AO111" s="931"/>
      <c r="AP111" s="931"/>
      <c r="AQ111" s="931"/>
      <c r="AR111" s="931"/>
      <c r="AS111" s="931"/>
      <c r="AT111" s="931"/>
      <c r="AU111" s="931"/>
      <c r="AV111" s="931"/>
      <c r="AW111" s="931"/>
      <c r="AX111" s="931"/>
      <c r="AY111" s="931"/>
      <c r="AZ111" s="931"/>
      <c r="BA111" s="931"/>
      <c r="BB111" s="931"/>
      <c r="BC111" s="931"/>
      <c r="BD111" s="931"/>
      <c r="BE111" s="931"/>
      <c r="BF111" s="931"/>
      <c r="BG111" s="931"/>
      <c r="BH111" s="935"/>
      <c r="BI111" s="936"/>
      <c r="BJ111" s="936"/>
      <c r="BK111" s="935"/>
      <c r="BL111" s="933"/>
      <c r="BM111" s="933"/>
      <c r="BN111" s="933"/>
      <c r="BO111" s="933"/>
      <c r="BP111" s="933"/>
      <c r="BQ111" s="933"/>
      <c r="BR111" s="933"/>
      <c r="BS111" s="933"/>
      <c r="BT111" s="933"/>
      <c r="BU111" s="933"/>
      <c r="BV111" s="933"/>
      <c r="BW111" s="933"/>
      <c r="BX111" s="933"/>
      <c r="BY111" s="933"/>
      <c r="BZ111" s="933"/>
      <c r="CB111" s="933"/>
      <c r="CC111" s="933"/>
      <c r="CF111" s="933"/>
      <c r="CI111" s="933"/>
      <c r="CK111" s="933">
        <f t="shared" si="40"/>
        <v>0.54420256666666667</v>
      </c>
      <c r="CL111" s="933">
        <f t="shared" si="40"/>
        <v>0.54420256666666667</v>
      </c>
      <c r="CM111" s="933">
        <f t="shared" si="40"/>
        <v>0.54420256666666667</v>
      </c>
      <c r="CN111" s="933">
        <f t="shared" si="40"/>
        <v>0.54420256666666667</v>
      </c>
      <c r="CO111" s="933">
        <f t="shared" si="40"/>
        <v>0.54420256666666667</v>
      </c>
      <c r="CP111" s="933">
        <f t="shared" si="41"/>
        <v>0.54420256666666667</v>
      </c>
      <c r="CQ111" s="933">
        <f t="shared" si="41"/>
        <v>0.54420256666666667</v>
      </c>
      <c r="CR111" s="933">
        <f t="shared" si="41"/>
        <v>0.54420256666666667</v>
      </c>
      <c r="CS111" s="933">
        <f t="shared" si="41"/>
        <v>0.54420256666666667</v>
      </c>
      <c r="CT111" s="933">
        <f t="shared" si="41"/>
        <v>0.54420256666666667</v>
      </c>
      <c r="CU111" s="933">
        <f t="shared" si="41"/>
        <v>0.54420256666666667</v>
      </c>
      <c r="CV111" s="933">
        <f t="shared" si="41"/>
        <v>0.54420256666666667</v>
      </c>
      <c r="CW111" s="933">
        <f t="shared" si="41"/>
        <v>0.54420256666666667</v>
      </c>
      <c r="CX111" s="933">
        <f t="shared" si="41"/>
        <v>0.54420256666666667</v>
      </c>
      <c r="CY111" s="933">
        <f t="shared" si="41"/>
        <v>0.54420256666666667</v>
      </c>
      <c r="CZ111" s="933">
        <f t="shared" si="41"/>
        <v>0.54420256666666667</v>
      </c>
      <c r="DA111" s="933">
        <f t="shared" si="41"/>
        <v>0.54420256666666667</v>
      </c>
      <c r="DB111" s="933">
        <f t="shared" si="41"/>
        <v>0.54420256666666667</v>
      </c>
      <c r="DC111" s="933">
        <f t="shared" si="41"/>
        <v>0.54420256666666667</v>
      </c>
      <c r="DD111" s="933">
        <f t="shared" si="41"/>
        <v>0.54420256666666667</v>
      </c>
      <c r="DE111" s="933">
        <f t="shared" si="41"/>
        <v>0.54420256666666667</v>
      </c>
      <c r="DF111" s="933">
        <f t="shared" si="41"/>
        <v>0.54420256666666667</v>
      </c>
      <c r="DG111" s="933">
        <f t="shared" si="41"/>
        <v>0.54420256666666667</v>
      </c>
      <c r="DH111" s="933">
        <f t="shared" si="41"/>
        <v>0.54420256666666667</v>
      </c>
    </row>
    <row r="112" spans="1:114" x14ac:dyDescent="0.3">
      <c r="A112" s="923">
        <v>44621</v>
      </c>
      <c r="B112" s="932">
        <v>153526.15217391297</v>
      </c>
      <c r="C112" s="929">
        <v>94.727268512317821</v>
      </c>
      <c r="D112" s="930">
        <f t="shared" si="37"/>
        <v>14.54311304064122</v>
      </c>
      <c r="E112" s="931"/>
      <c r="F112" s="931"/>
      <c r="G112" s="931"/>
      <c r="H112" s="931"/>
      <c r="I112" s="931"/>
      <c r="J112" s="931"/>
      <c r="K112" s="931"/>
      <c r="L112" s="931"/>
      <c r="M112" s="931"/>
      <c r="N112" s="931"/>
      <c r="O112" s="931"/>
      <c r="P112" s="931"/>
      <c r="Q112" s="931"/>
      <c r="R112" s="931"/>
      <c r="S112" s="931"/>
      <c r="T112" s="931"/>
      <c r="U112" s="931"/>
      <c r="V112" s="931"/>
      <c r="W112" s="931"/>
      <c r="X112" s="931"/>
      <c r="Y112" s="931"/>
      <c r="Z112" s="931"/>
      <c r="AA112" s="931"/>
      <c r="AB112" s="931"/>
      <c r="AC112" s="931"/>
      <c r="AD112" s="931"/>
      <c r="AE112" s="931"/>
      <c r="AF112" s="931"/>
      <c r="AG112" s="931"/>
      <c r="AH112" s="931"/>
      <c r="AI112" s="931"/>
      <c r="AJ112" s="931"/>
      <c r="AK112" s="931"/>
      <c r="AL112" s="931"/>
      <c r="AM112" s="931"/>
      <c r="AN112" s="931"/>
      <c r="AO112" s="931"/>
      <c r="AP112" s="931"/>
      <c r="AQ112" s="931"/>
      <c r="AR112" s="931"/>
      <c r="AS112" s="931"/>
      <c r="AT112" s="931"/>
      <c r="AU112" s="931"/>
      <c r="AV112" s="931"/>
      <c r="AW112" s="931"/>
      <c r="AX112" s="931"/>
      <c r="AY112" s="931"/>
      <c r="AZ112" s="931"/>
      <c r="BA112" s="931"/>
      <c r="BB112" s="931"/>
      <c r="BC112" s="931"/>
      <c r="BD112" s="931"/>
      <c r="BE112" s="931"/>
      <c r="BF112" s="931"/>
      <c r="BG112" s="931"/>
      <c r="BH112" s="935"/>
      <c r="BI112" s="936"/>
      <c r="BJ112" s="936"/>
      <c r="BK112" s="935"/>
      <c r="BL112" s="933"/>
      <c r="BM112" s="933"/>
      <c r="BN112" s="933"/>
      <c r="BO112" s="933"/>
      <c r="BP112" s="933"/>
      <c r="BQ112" s="933"/>
      <c r="BR112" s="933"/>
      <c r="BS112" s="933"/>
      <c r="BT112" s="933"/>
      <c r="BU112" s="933"/>
      <c r="BV112" s="933"/>
      <c r="BW112" s="933"/>
      <c r="BX112" s="933"/>
      <c r="BY112" s="933"/>
      <c r="BZ112" s="933"/>
      <c r="CB112" s="933"/>
      <c r="CC112" s="933"/>
      <c r="CF112" s="933"/>
      <c r="CI112" s="933"/>
      <c r="CL112" s="933">
        <f t="shared" si="40"/>
        <v>0.6059630433600508</v>
      </c>
      <c r="CM112" s="933">
        <f t="shared" si="40"/>
        <v>0.6059630433600508</v>
      </c>
      <c r="CN112" s="933">
        <f t="shared" si="40"/>
        <v>0.6059630433600508</v>
      </c>
      <c r="CO112" s="933">
        <f t="shared" si="40"/>
        <v>0.6059630433600508</v>
      </c>
      <c r="CP112" s="933">
        <f t="shared" ref="CP112:DG130" si="42">+$D112/24</f>
        <v>0.6059630433600508</v>
      </c>
      <c r="CQ112" s="933">
        <f t="shared" si="42"/>
        <v>0.6059630433600508</v>
      </c>
      <c r="CR112" s="933">
        <f t="shared" si="42"/>
        <v>0.6059630433600508</v>
      </c>
      <c r="CS112" s="933">
        <f t="shared" si="42"/>
        <v>0.6059630433600508</v>
      </c>
      <c r="CT112" s="933">
        <f t="shared" si="42"/>
        <v>0.6059630433600508</v>
      </c>
      <c r="CU112" s="933">
        <f t="shared" si="42"/>
        <v>0.6059630433600508</v>
      </c>
      <c r="CV112" s="933">
        <f t="shared" si="42"/>
        <v>0.6059630433600508</v>
      </c>
      <c r="CW112" s="933">
        <f t="shared" si="42"/>
        <v>0.6059630433600508</v>
      </c>
      <c r="CX112" s="933">
        <f t="shared" si="42"/>
        <v>0.6059630433600508</v>
      </c>
      <c r="CY112" s="933">
        <f t="shared" si="42"/>
        <v>0.6059630433600508</v>
      </c>
      <c r="CZ112" s="933">
        <f t="shared" si="42"/>
        <v>0.6059630433600508</v>
      </c>
      <c r="DA112" s="933">
        <f t="shared" si="42"/>
        <v>0.6059630433600508</v>
      </c>
      <c r="DB112" s="933">
        <f t="shared" si="42"/>
        <v>0.6059630433600508</v>
      </c>
      <c r="DC112" s="933">
        <f t="shared" si="42"/>
        <v>0.6059630433600508</v>
      </c>
      <c r="DD112" s="933">
        <f t="shared" si="42"/>
        <v>0.6059630433600508</v>
      </c>
      <c r="DE112" s="933">
        <f t="shared" si="42"/>
        <v>0.6059630433600508</v>
      </c>
      <c r="DF112" s="933">
        <f>+$D112/24</f>
        <v>0.6059630433600508</v>
      </c>
      <c r="DG112" s="933">
        <f t="shared" ref="DG112" si="43">+$D112/24</f>
        <v>0.6059630433600508</v>
      </c>
      <c r="DH112" s="933">
        <f t="shared" si="41"/>
        <v>0.6059630433600508</v>
      </c>
      <c r="DI112" s="933">
        <f t="shared" si="41"/>
        <v>0.6059630433600508</v>
      </c>
      <c r="DJ112" s="933"/>
    </row>
    <row r="113" spans="1:128" x14ac:dyDescent="0.3">
      <c r="A113" s="923">
        <v>44652</v>
      </c>
      <c r="B113" s="932">
        <v>160780.72916666666</v>
      </c>
      <c r="C113" s="929">
        <v>118.0467850507207</v>
      </c>
      <c r="D113" s="930">
        <f t="shared" si="37"/>
        <v>18.979648176235639</v>
      </c>
      <c r="E113" s="931"/>
      <c r="F113" s="931"/>
      <c r="G113" s="931"/>
      <c r="H113" s="931"/>
      <c r="I113" s="931"/>
      <c r="J113" s="931"/>
      <c r="K113" s="931"/>
      <c r="L113" s="931"/>
      <c r="M113" s="931"/>
      <c r="N113" s="931"/>
      <c r="O113" s="931"/>
      <c r="P113" s="931"/>
      <c r="Q113" s="931"/>
      <c r="R113" s="931"/>
      <c r="S113" s="931"/>
      <c r="T113" s="931"/>
      <c r="U113" s="931"/>
      <c r="V113" s="931"/>
      <c r="W113" s="931"/>
      <c r="X113" s="931"/>
      <c r="Y113" s="931"/>
      <c r="Z113" s="931"/>
      <c r="AA113" s="931"/>
      <c r="AB113" s="931"/>
      <c r="AC113" s="931"/>
      <c r="AD113" s="931"/>
      <c r="AE113" s="931"/>
      <c r="AF113" s="931"/>
      <c r="AG113" s="931"/>
      <c r="AH113" s="931"/>
      <c r="AI113" s="931"/>
      <c r="AJ113" s="931"/>
      <c r="AK113" s="931"/>
      <c r="AL113" s="931"/>
      <c r="AM113" s="931"/>
      <c r="AN113" s="931"/>
      <c r="AO113" s="931"/>
      <c r="AP113" s="931"/>
      <c r="AQ113" s="931"/>
      <c r="AR113" s="931"/>
      <c r="AS113" s="931"/>
      <c r="AT113" s="931"/>
      <c r="AU113" s="931"/>
      <c r="AV113" s="931"/>
      <c r="AW113" s="931"/>
      <c r="AX113" s="931"/>
      <c r="AY113" s="931"/>
      <c r="AZ113" s="931"/>
      <c r="BA113" s="931"/>
      <c r="BB113" s="931"/>
      <c r="BC113" s="931"/>
      <c r="BD113" s="931"/>
      <c r="BE113" s="931"/>
      <c r="BF113" s="931"/>
      <c r="BG113" s="931"/>
      <c r="BH113" s="935"/>
      <c r="BI113" s="936"/>
      <c r="BJ113" s="936"/>
      <c r="BK113" s="935"/>
      <c r="BL113" s="933"/>
      <c r="BM113" s="933"/>
      <c r="BN113" s="933"/>
      <c r="BO113" s="933"/>
      <c r="BP113" s="933"/>
      <c r="BQ113" s="933"/>
      <c r="BR113" s="933"/>
      <c r="BS113" s="933"/>
      <c r="BT113" s="933"/>
      <c r="BU113" s="933"/>
      <c r="BV113" s="933"/>
      <c r="BW113" s="933"/>
      <c r="BX113" s="933"/>
      <c r="BY113" s="933"/>
      <c r="BZ113" s="933"/>
      <c r="CB113" s="933"/>
      <c r="CC113" s="933"/>
      <c r="CF113" s="933"/>
      <c r="CI113" s="933"/>
      <c r="CL113" s="933"/>
      <c r="CM113" s="933">
        <f t="shared" si="40"/>
        <v>0.79081867400981831</v>
      </c>
      <c r="CN113" s="933">
        <f t="shared" si="40"/>
        <v>0.79081867400981831</v>
      </c>
      <c r="CO113" s="933">
        <f t="shared" si="40"/>
        <v>0.79081867400981831</v>
      </c>
      <c r="CP113" s="933">
        <f t="shared" si="42"/>
        <v>0.79081867400981831</v>
      </c>
      <c r="CQ113" s="933">
        <f t="shared" si="42"/>
        <v>0.79081867400981831</v>
      </c>
      <c r="CR113" s="933">
        <f t="shared" si="42"/>
        <v>0.79081867400981831</v>
      </c>
      <c r="CS113" s="933">
        <f t="shared" si="42"/>
        <v>0.79081867400981831</v>
      </c>
      <c r="CT113" s="933">
        <f t="shared" si="42"/>
        <v>0.79081867400981831</v>
      </c>
      <c r="CU113" s="933">
        <f t="shared" si="42"/>
        <v>0.79081867400981831</v>
      </c>
      <c r="CV113" s="933">
        <f t="shared" si="42"/>
        <v>0.79081867400981831</v>
      </c>
      <c r="CW113" s="933">
        <f t="shared" si="42"/>
        <v>0.79081867400981831</v>
      </c>
      <c r="CX113" s="933">
        <f t="shared" si="42"/>
        <v>0.79081867400981831</v>
      </c>
      <c r="CY113" s="933">
        <f t="shared" si="42"/>
        <v>0.79081867400981831</v>
      </c>
      <c r="CZ113" s="933">
        <f t="shared" si="42"/>
        <v>0.79081867400981831</v>
      </c>
      <c r="DA113" s="933">
        <f t="shared" si="42"/>
        <v>0.79081867400981831</v>
      </c>
      <c r="DB113" s="933">
        <f t="shared" si="42"/>
        <v>0.79081867400981831</v>
      </c>
      <c r="DC113" s="933">
        <f t="shared" si="42"/>
        <v>0.79081867400981831</v>
      </c>
      <c r="DD113" s="933">
        <f t="shared" si="42"/>
        <v>0.79081867400981831</v>
      </c>
      <c r="DE113" s="933">
        <f t="shared" si="42"/>
        <v>0.79081867400981831</v>
      </c>
      <c r="DF113" s="933">
        <f t="shared" si="42"/>
        <v>0.79081867400981831</v>
      </c>
      <c r="DG113" s="933">
        <f>+$D113/24</f>
        <v>0.79081867400981831</v>
      </c>
      <c r="DH113" s="933">
        <f t="shared" ref="DH113:DX134" si="44">+$D113/24</f>
        <v>0.79081867400981831</v>
      </c>
      <c r="DI113" s="933">
        <f t="shared" si="41"/>
        <v>0.79081867400981831</v>
      </c>
      <c r="DJ113" s="933">
        <f t="shared" si="41"/>
        <v>0.79081867400981831</v>
      </c>
      <c r="DK113" s="933"/>
      <c r="DL113" s="933"/>
      <c r="DM113" s="933"/>
      <c r="DN113" s="933"/>
      <c r="DO113" s="933"/>
      <c r="DP113" s="933"/>
      <c r="DQ113" s="933"/>
      <c r="DR113" s="933"/>
      <c r="DS113" s="933"/>
      <c r="DT113" s="933"/>
      <c r="DU113" s="933"/>
      <c r="DV113" s="933"/>
      <c r="DW113" s="933"/>
      <c r="DX113" s="933"/>
    </row>
    <row r="114" spans="1:128" x14ac:dyDescent="0.3">
      <c r="A114" s="923">
        <v>44682</v>
      </c>
      <c r="B114" s="932">
        <v>151460.41666666666</v>
      </c>
      <c r="C114" s="929">
        <v>118.0467850507207</v>
      </c>
      <c r="D114" s="930">
        <f t="shared" si="37"/>
        <v>17.879415249942593</v>
      </c>
      <c r="E114" s="931"/>
      <c r="F114" s="931"/>
      <c r="G114" s="931"/>
      <c r="H114" s="931"/>
      <c r="I114" s="931"/>
      <c r="J114" s="931"/>
      <c r="K114" s="931"/>
      <c r="L114" s="931"/>
      <c r="M114" s="931"/>
      <c r="N114" s="931"/>
      <c r="O114" s="931"/>
      <c r="P114" s="931"/>
      <c r="Q114" s="931"/>
      <c r="R114" s="931"/>
      <c r="S114" s="931"/>
      <c r="T114" s="931"/>
      <c r="U114" s="931"/>
      <c r="V114" s="931"/>
      <c r="W114" s="931"/>
      <c r="X114" s="931"/>
      <c r="Y114" s="931"/>
      <c r="Z114" s="931"/>
      <c r="AA114" s="931"/>
      <c r="AB114" s="931"/>
      <c r="AC114" s="931"/>
      <c r="AD114" s="931"/>
      <c r="AE114" s="931"/>
      <c r="AF114" s="931"/>
      <c r="AG114" s="931"/>
      <c r="AH114" s="931"/>
      <c r="AI114" s="931"/>
      <c r="AJ114" s="931"/>
      <c r="AK114" s="931"/>
      <c r="AL114" s="931"/>
      <c r="AM114" s="931"/>
      <c r="AN114" s="931"/>
      <c r="AO114" s="931"/>
      <c r="AP114" s="931"/>
      <c r="AQ114" s="931"/>
      <c r="AR114" s="931"/>
      <c r="AS114" s="931"/>
      <c r="AT114" s="931"/>
      <c r="AU114" s="931"/>
      <c r="AV114" s="931"/>
      <c r="AW114" s="931"/>
      <c r="AX114" s="931"/>
      <c r="AY114" s="931"/>
      <c r="AZ114" s="931"/>
      <c r="BA114" s="931"/>
      <c r="BB114" s="931"/>
      <c r="BC114" s="931"/>
      <c r="BD114" s="931"/>
      <c r="BE114" s="931"/>
      <c r="BF114" s="931"/>
      <c r="BG114" s="931"/>
      <c r="BH114" s="935"/>
      <c r="BI114" s="936"/>
      <c r="BJ114" s="936"/>
      <c r="BK114" s="935"/>
      <c r="BL114" s="933"/>
      <c r="BM114" s="933"/>
      <c r="BN114" s="933"/>
      <c r="BO114" s="933"/>
      <c r="BP114" s="933"/>
      <c r="BQ114" s="933"/>
      <c r="BR114" s="933"/>
      <c r="BS114" s="933"/>
      <c r="BT114" s="933"/>
      <c r="BU114" s="933"/>
      <c r="BV114" s="933"/>
      <c r="BW114" s="933"/>
      <c r="BX114" s="933"/>
      <c r="BY114" s="933"/>
      <c r="BZ114" s="933"/>
      <c r="CB114" s="933"/>
      <c r="CC114" s="933"/>
      <c r="CF114" s="933"/>
      <c r="CI114" s="933"/>
      <c r="CL114" s="933"/>
      <c r="CN114" s="933">
        <f t="shared" si="40"/>
        <v>0.7449756354142747</v>
      </c>
      <c r="CO114" s="933">
        <f t="shared" si="40"/>
        <v>0.7449756354142747</v>
      </c>
      <c r="CP114" s="933">
        <f t="shared" si="42"/>
        <v>0.7449756354142747</v>
      </c>
      <c r="CQ114" s="933">
        <f t="shared" si="42"/>
        <v>0.7449756354142747</v>
      </c>
      <c r="CR114" s="933">
        <f t="shared" si="42"/>
        <v>0.7449756354142747</v>
      </c>
      <c r="CS114" s="933">
        <f t="shared" si="42"/>
        <v>0.7449756354142747</v>
      </c>
      <c r="CT114" s="933">
        <f t="shared" si="42"/>
        <v>0.7449756354142747</v>
      </c>
      <c r="CU114" s="933">
        <f t="shared" si="42"/>
        <v>0.7449756354142747</v>
      </c>
      <c r="CV114" s="933">
        <f t="shared" si="42"/>
        <v>0.7449756354142747</v>
      </c>
      <c r="CW114" s="933">
        <f t="shared" si="42"/>
        <v>0.7449756354142747</v>
      </c>
      <c r="CX114" s="933">
        <f t="shared" si="42"/>
        <v>0.7449756354142747</v>
      </c>
      <c r="CY114" s="933">
        <f t="shared" si="42"/>
        <v>0.7449756354142747</v>
      </c>
      <c r="CZ114" s="933">
        <f t="shared" si="42"/>
        <v>0.7449756354142747</v>
      </c>
      <c r="DA114" s="933">
        <f t="shared" si="42"/>
        <v>0.7449756354142747</v>
      </c>
      <c r="DB114" s="933">
        <f t="shared" si="42"/>
        <v>0.7449756354142747</v>
      </c>
      <c r="DC114" s="933">
        <f t="shared" si="42"/>
        <v>0.7449756354142747</v>
      </c>
      <c r="DD114" s="933">
        <f t="shared" si="42"/>
        <v>0.7449756354142747</v>
      </c>
      <c r="DE114" s="933">
        <f t="shared" si="42"/>
        <v>0.7449756354142747</v>
      </c>
      <c r="DF114" s="933">
        <f t="shared" si="42"/>
        <v>0.7449756354142747</v>
      </c>
      <c r="DG114" s="933">
        <f t="shared" si="42"/>
        <v>0.7449756354142747</v>
      </c>
      <c r="DH114" s="933">
        <f t="shared" si="44"/>
        <v>0.7449756354142747</v>
      </c>
      <c r="DI114" s="933">
        <f t="shared" si="44"/>
        <v>0.7449756354142747</v>
      </c>
      <c r="DJ114" s="933">
        <f t="shared" si="44"/>
        <v>0.7449756354142747</v>
      </c>
      <c r="DK114" s="933">
        <f t="shared" si="44"/>
        <v>0.7449756354142747</v>
      </c>
      <c r="DL114" s="933"/>
      <c r="DM114" s="933"/>
      <c r="DN114" s="933"/>
      <c r="DO114" s="933"/>
      <c r="DP114" s="933"/>
      <c r="DQ114" s="933"/>
      <c r="DR114" s="933"/>
      <c r="DS114" s="933"/>
      <c r="DT114" s="933"/>
      <c r="DU114" s="933"/>
      <c r="DV114" s="933"/>
      <c r="DW114" s="933"/>
      <c r="DX114" s="933"/>
    </row>
    <row r="115" spans="1:128" x14ac:dyDescent="0.3">
      <c r="A115" s="923">
        <v>44713</v>
      </c>
      <c r="B115" s="932">
        <v>154106.77083333334</v>
      </c>
      <c r="C115" s="929">
        <v>118.0467850507207</v>
      </c>
      <c r="D115" s="930">
        <f t="shared" si="37"/>
        <v>18.191808851423175</v>
      </c>
      <c r="E115" s="931"/>
      <c r="F115" s="931"/>
      <c r="G115" s="931"/>
      <c r="H115" s="931"/>
      <c r="I115" s="931"/>
      <c r="J115" s="931"/>
      <c r="K115" s="931"/>
      <c r="L115" s="931"/>
      <c r="M115" s="931"/>
      <c r="N115" s="931"/>
      <c r="O115" s="931"/>
      <c r="P115" s="931"/>
      <c r="Q115" s="931"/>
      <c r="R115" s="931"/>
      <c r="S115" s="931"/>
      <c r="T115" s="931"/>
      <c r="U115" s="931"/>
      <c r="V115" s="931"/>
      <c r="W115" s="931"/>
      <c r="X115" s="931"/>
      <c r="Y115" s="931"/>
      <c r="Z115" s="931"/>
      <c r="AA115" s="931"/>
      <c r="AB115" s="931"/>
      <c r="AC115" s="931"/>
      <c r="AD115" s="931"/>
      <c r="AE115" s="931"/>
      <c r="AF115" s="931"/>
      <c r="AG115" s="931"/>
      <c r="AH115" s="931"/>
      <c r="AI115" s="931"/>
      <c r="AJ115" s="931"/>
      <c r="AK115" s="931"/>
      <c r="AL115" s="931"/>
      <c r="AM115" s="931"/>
      <c r="AN115" s="931"/>
      <c r="AO115" s="931"/>
      <c r="AP115" s="931"/>
      <c r="AQ115" s="931"/>
      <c r="AR115" s="931"/>
      <c r="AS115" s="931"/>
      <c r="AT115" s="931"/>
      <c r="AU115" s="931"/>
      <c r="AV115" s="931"/>
      <c r="AW115" s="931"/>
      <c r="AX115" s="931"/>
      <c r="AY115" s="931"/>
      <c r="AZ115" s="931"/>
      <c r="BA115" s="931"/>
      <c r="BB115" s="931"/>
      <c r="BC115" s="931"/>
      <c r="BD115" s="931"/>
      <c r="BE115" s="931"/>
      <c r="BF115" s="931"/>
      <c r="BG115" s="931"/>
      <c r="BH115" s="935"/>
      <c r="BI115" s="936"/>
      <c r="BJ115" s="936"/>
      <c r="BK115" s="935"/>
      <c r="BL115" s="933"/>
      <c r="BM115" s="933"/>
      <c r="BN115" s="933"/>
      <c r="BO115" s="933"/>
      <c r="BP115" s="933"/>
      <c r="BQ115" s="933"/>
      <c r="BR115" s="933"/>
      <c r="BS115" s="933"/>
      <c r="BT115" s="933"/>
      <c r="BU115" s="933"/>
      <c r="BV115" s="933"/>
      <c r="BW115" s="933"/>
      <c r="BX115" s="933"/>
      <c r="BY115" s="933"/>
      <c r="BZ115" s="933"/>
      <c r="CB115" s="933"/>
      <c r="CC115" s="933"/>
      <c r="CF115" s="933"/>
      <c r="CI115" s="933"/>
      <c r="CL115" s="933"/>
      <c r="CO115" s="933">
        <f t="shared" si="40"/>
        <v>0.75799203547596561</v>
      </c>
      <c r="CP115" s="933">
        <f t="shared" si="42"/>
        <v>0.75799203547596561</v>
      </c>
      <c r="CQ115" s="933">
        <f t="shared" si="42"/>
        <v>0.75799203547596561</v>
      </c>
      <c r="CR115" s="933">
        <f t="shared" si="42"/>
        <v>0.75799203547596561</v>
      </c>
      <c r="CS115" s="933">
        <f t="shared" si="42"/>
        <v>0.75799203547596561</v>
      </c>
      <c r="CT115" s="933">
        <f t="shared" si="42"/>
        <v>0.75799203547596561</v>
      </c>
      <c r="CU115" s="933">
        <f t="shared" si="42"/>
        <v>0.75799203547596561</v>
      </c>
      <c r="CV115" s="933">
        <f t="shared" si="42"/>
        <v>0.75799203547596561</v>
      </c>
      <c r="CW115" s="933">
        <f t="shared" si="42"/>
        <v>0.75799203547596561</v>
      </c>
      <c r="CX115" s="933">
        <f t="shared" si="42"/>
        <v>0.75799203547596561</v>
      </c>
      <c r="CY115" s="933">
        <f t="shared" si="42"/>
        <v>0.75799203547596561</v>
      </c>
      <c r="CZ115" s="933">
        <f t="shared" si="42"/>
        <v>0.75799203547596561</v>
      </c>
      <c r="DA115" s="933">
        <f t="shared" si="42"/>
        <v>0.75799203547596561</v>
      </c>
      <c r="DB115" s="933">
        <f t="shared" si="42"/>
        <v>0.75799203547596561</v>
      </c>
      <c r="DC115" s="933">
        <f t="shared" si="42"/>
        <v>0.75799203547596561</v>
      </c>
      <c r="DD115" s="933">
        <f t="shared" si="42"/>
        <v>0.75799203547596561</v>
      </c>
      <c r="DE115" s="933">
        <f t="shared" si="42"/>
        <v>0.75799203547596561</v>
      </c>
      <c r="DF115" s="933">
        <f t="shared" si="42"/>
        <v>0.75799203547596561</v>
      </c>
      <c r="DG115" s="933">
        <f t="shared" si="42"/>
        <v>0.75799203547596561</v>
      </c>
      <c r="DH115" s="933">
        <f t="shared" si="44"/>
        <v>0.75799203547596561</v>
      </c>
      <c r="DI115" s="933">
        <f t="shared" si="44"/>
        <v>0.75799203547596561</v>
      </c>
      <c r="DJ115" s="933">
        <f t="shared" si="44"/>
        <v>0.75799203547596561</v>
      </c>
      <c r="DK115" s="933">
        <f t="shared" si="44"/>
        <v>0.75799203547596561</v>
      </c>
      <c r="DL115" s="933">
        <f t="shared" si="44"/>
        <v>0.75799203547596561</v>
      </c>
      <c r="DM115" s="933"/>
      <c r="DN115" s="933"/>
      <c r="DO115" s="933"/>
      <c r="DP115" s="933"/>
      <c r="DQ115" s="933"/>
      <c r="DR115" s="933"/>
      <c r="DS115" s="933"/>
      <c r="DT115" s="933"/>
      <c r="DU115" s="933"/>
      <c r="DV115" s="933"/>
      <c r="DW115" s="933"/>
      <c r="DX115" s="933"/>
    </row>
    <row r="116" spans="1:128" x14ac:dyDescent="0.3">
      <c r="A116" s="923">
        <v>44743</v>
      </c>
      <c r="B116" s="932">
        <v>138214</v>
      </c>
      <c r="C116" s="929">
        <v>119.70907119085737</v>
      </c>
      <c r="D116" s="930">
        <f t="shared" si="37"/>
        <v>16.545469565573161</v>
      </c>
      <c r="E116" s="931"/>
      <c r="F116" s="931"/>
      <c r="G116" s="931"/>
      <c r="H116" s="931"/>
      <c r="I116" s="931"/>
      <c r="J116" s="931"/>
      <c r="K116" s="931"/>
      <c r="L116" s="931"/>
      <c r="M116" s="931"/>
      <c r="N116" s="931"/>
      <c r="O116" s="931"/>
      <c r="P116" s="931"/>
      <c r="Q116" s="931"/>
      <c r="R116" s="931"/>
      <c r="S116" s="931"/>
      <c r="T116" s="931"/>
      <c r="U116" s="931"/>
      <c r="V116" s="931"/>
      <c r="W116" s="931"/>
      <c r="X116" s="931"/>
      <c r="Y116" s="931"/>
      <c r="Z116" s="931"/>
      <c r="AA116" s="931"/>
      <c r="AB116" s="931"/>
      <c r="AC116" s="931"/>
      <c r="AD116" s="931"/>
      <c r="AE116" s="931"/>
      <c r="AF116" s="931"/>
      <c r="AG116" s="931"/>
      <c r="AH116" s="931"/>
      <c r="AI116" s="931"/>
      <c r="AJ116" s="931"/>
      <c r="AK116" s="931"/>
      <c r="AL116" s="931"/>
      <c r="AM116" s="931"/>
      <c r="AN116" s="931"/>
      <c r="AO116" s="931"/>
      <c r="AP116" s="931"/>
      <c r="AQ116" s="931"/>
      <c r="AR116" s="931"/>
      <c r="AS116" s="931"/>
      <c r="AT116" s="931"/>
      <c r="AU116" s="931"/>
      <c r="AV116" s="931"/>
      <c r="AW116" s="931"/>
      <c r="AX116" s="931"/>
      <c r="AY116" s="931"/>
      <c r="AZ116" s="931"/>
      <c r="BA116" s="931"/>
      <c r="BB116" s="931"/>
      <c r="BC116" s="931"/>
      <c r="BD116" s="931"/>
      <c r="BE116" s="931"/>
      <c r="BF116" s="931"/>
      <c r="BG116" s="931"/>
      <c r="BH116" s="935"/>
      <c r="BI116" s="936"/>
      <c r="BJ116" s="936"/>
      <c r="BK116" s="935"/>
      <c r="BL116" s="933"/>
      <c r="BM116" s="933"/>
      <c r="BN116" s="933"/>
      <c r="BO116" s="933"/>
      <c r="BP116" s="933"/>
      <c r="BQ116" s="933"/>
      <c r="BR116" s="933"/>
      <c r="BS116" s="933"/>
      <c r="BT116" s="933"/>
      <c r="BU116" s="933"/>
      <c r="BV116" s="933"/>
      <c r="BW116" s="933"/>
      <c r="BX116" s="933"/>
      <c r="BY116" s="933"/>
      <c r="BZ116" s="933"/>
      <c r="CB116" s="933"/>
      <c r="CC116" s="933"/>
      <c r="CF116" s="933"/>
      <c r="CI116" s="933"/>
      <c r="CL116" s="933"/>
      <c r="CO116" s="933"/>
      <c r="CP116" s="933">
        <f t="shared" si="40"/>
        <v>0.68939456523221498</v>
      </c>
      <c r="CQ116" s="933">
        <f t="shared" si="42"/>
        <v>0.68939456523221498</v>
      </c>
      <c r="CR116" s="933">
        <f t="shared" si="42"/>
        <v>0.68939456523221498</v>
      </c>
      <c r="CS116" s="933">
        <f t="shared" si="42"/>
        <v>0.68939456523221498</v>
      </c>
      <c r="CT116" s="933">
        <f t="shared" si="42"/>
        <v>0.68939456523221498</v>
      </c>
      <c r="CU116" s="933">
        <f t="shared" si="42"/>
        <v>0.68939456523221498</v>
      </c>
      <c r="CV116" s="933">
        <f t="shared" si="42"/>
        <v>0.68939456523221498</v>
      </c>
      <c r="CW116" s="933">
        <f t="shared" si="42"/>
        <v>0.68939456523221498</v>
      </c>
      <c r="CX116" s="933">
        <f t="shared" si="42"/>
        <v>0.68939456523221498</v>
      </c>
      <c r="CY116" s="933">
        <f t="shared" si="42"/>
        <v>0.68939456523221498</v>
      </c>
      <c r="CZ116" s="933">
        <f t="shared" si="42"/>
        <v>0.68939456523221498</v>
      </c>
      <c r="DA116" s="933">
        <f t="shared" si="42"/>
        <v>0.68939456523221498</v>
      </c>
      <c r="DB116" s="933">
        <f t="shared" si="42"/>
        <v>0.68939456523221498</v>
      </c>
      <c r="DC116" s="933">
        <f t="shared" si="42"/>
        <v>0.68939456523221498</v>
      </c>
      <c r="DD116" s="933">
        <f t="shared" si="42"/>
        <v>0.68939456523221498</v>
      </c>
      <c r="DE116" s="933">
        <f t="shared" si="42"/>
        <v>0.68939456523221498</v>
      </c>
      <c r="DF116" s="933">
        <f t="shared" si="42"/>
        <v>0.68939456523221498</v>
      </c>
      <c r="DG116" s="933">
        <f t="shared" si="42"/>
        <v>0.68939456523221498</v>
      </c>
      <c r="DH116" s="933">
        <f t="shared" si="44"/>
        <v>0.68939456523221498</v>
      </c>
      <c r="DI116" s="933">
        <f t="shared" si="44"/>
        <v>0.68939456523221498</v>
      </c>
      <c r="DJ116" s="933">
        <f t="shared" si="44"/>
        <v>0.68939456523221498</v>
      </c>
      <c r="DK116" s="933">
        <f t="shared" si="44"/>
        <v>0.68939456523221498</v>
      </c>
      <c r="DL116" s="933">
        <f t="shared" si="44"/>
        <v>0.68939456523221498</v>
      </c>
      <c r="DM116" s="933">
        <f t="shared" si="44"/>
        <v>0.68939456523221498</v>
      </c>
      <c r="DN116" s="933"/>
      <c r="DO116" s="933"/>
      <c r="DP116" s="933"/>
      <c r="DQ116" s="933"/>
      <c r="DR116" s="933"/>
      <c r="DS116" s="933"/>
      <c r="DT116" s="933"/>
      <c r="DU116" s="933"/>
      <c r="DV116" s="933"/>
      <c r="DW116" s="933"/>
      <c r="DX116" s="933"/>
    </row>
    <row r="117" spans="1:128" x14ac:dyDescent="0.3">
      <c r="A117" s="923">
        <v>44774</v>
      </c>
      <c r="B117" s="932">
        <v>122472</v>
      </c>
      <c r="C117" s="929">
        <v>119.70907119085737</v>
      </c>
      <c r="D117" s="930">
        <f t="shared" si="37"/>
        <v>14.661009366886685</v>
      </c>
      <c r="E117" s="931"/>
      <c r="F117" s="931"/>
      <c r="G117" s="931"/>
      <c r="H117" s="931"/>
      <c r="I117" s="931"/>
      <c r="J117" s="931"/>
      <c r="K117" s="931"/>
      <c r="L117" s="931"/>
      <c r="M117" s="931"/>
      <c r="N117" s="931"/>
      <c r="O117" s="931"/>
      <c r="P117" s="931"/>
      <c r="Q117" s="931"/>
      <c r="R117" s="931"/>
      <c r="S117" s="931"/>
      <c r="T117" s="931"/>
      <c r="U117" s="931"/>
      <c r="V117" s="931"/>
      <c r="W117" s="931"/>
      <c r="X117" s="931"/>
      <c r="Y117" s="931"/>
      <c r="Z117" s="931"/>
      <c r="AA117" s="931"/>
      <c r="AB117" s="931"/>
      <c r="AC117" s="931"/>
      <c r="AD117" s="931"/>
      <c r="AE117" s="931"/>
      <c r="AF117" s="931"/>
      <c r="AG117" s="931"/>
      <c r="AH117" s="931"/>
      <c r="AI117" s="931"/>
      <c r="AJ117" s="931"/>
      <c r="AK117" s="931"/>
      <c r="AL117" s="931"/>
      <c r="AM117" s="931"/>
      <c r="AN117" s="931"/>
      <c r="AO117" s="931"/>
      <c r="AP117" s="931"/>
      <c r="AQ117" s="931"/>
      <c r="AR117" s="931"/>
      <c r="AS117" s="931"/>
      <c r="AT117" s="931"/>
      <c r="AU117" s="931"/>
      <c r="AV117" s="931"/>
      <c r="AW117" s="931"/>
      <c r="AX117" s="931"/>
      <c r="AY117" s="931"/>
      <c r="AZ117" s="931"/>
      <c r="BA117" s="931"/>
      <c r="BB117" s="931"/>
      <c r="BC117" s="931"/>
      <c r="BD117" s="931"/>
      <c r="BE117" s="931"/>
      <c r="BF117" s="931"/>
      <c r="BG117" s="931"/>
      <c r="BH117" s="935"/>
      <c r="BI117" s="936"/>
      <c r="BJ117" s="936"/>
      <c r="BK117" s="935"/>
      <c r="BL117" s="933"/>
      <c r="BM117" s="933"/>
      <c r="BN117" s="933"/>
      <c r="BO117" s="933"/>
      <c r="BP117" s="933"/>
      <c r="BQ117" s="933"/>
      <c r="BR117" s="933"/>
      <c r="BS117" s="933"/>
      <c r="BT117" s="933"/>
      <c r="BU117" s="933"/>
      <c r="BV117" s="933"/>
      <c r="BW117" s="933"/>
      <c r="BX117" s="933"/>
      <c r="BY117" s="933"/>
      <c r="BZ117" s="933"/>
      <c r="CB117" s="933"/>
      <c r="CC117" s="933"/>
      <c r="CF117" s="933"/>
      <c r="CI117" s="933"/>
      <c r="CL117" s="933"/>
      <c r="CO117" s="933"/>
      <c r="CP117" s="933"/>
      <c r="CQ117" s="933">
        <f t="shared" si="42"/>
        <v>0.61087539028694515</v>
      </c>
      <c r="CR117" s="933">
        <f t="shared" si="42"/>
        <v>0.61087539028694515</v>
      </c>
      <c r="CS117" s="933">
        <f t="shared" si="42"/>
        <v>0.61087539028694515</v>
      </c>
      <c r="CT117" s="933">
        <f t="shared" si="42"/>
        <v>0.61087539028694515</v>
      </c>
      <c r="CU117" s="933">
        <f t="shared" si="42"/>
        <v>0.61087539028694515</v>
      </c>
      <c r="CV117" s="933">
        <f t="shared" si="42"/>
        <v>0.61087539028694515</v>
      </c>
      <c r="CW117" s="933">
        <f t="shared" si="42"/>
        <v>0.61087539028694515</v>
      </c>
      <c r="CX117" s="933">
        <f t="shared" si="42"/>
        <v>0.61087539028694515</v>
      </c>
      <c r="CY117" s="933">
        <f t="shared" si="42"/>
        <v>0.61087539028694515</v>
      </c>
      <c r="CZ117" s="933">
        <f t="shared" si="42"/>
        <v>0.61087539028694515</v>
      </c>
      <c r="DA117" s="933">
        <f t="shared" si="42"/>
        <v>0.61087539028694515</v>
      </c>
      <c r="DB117" s="933">
        <f t="shared" si="42"/>
        <v>0.61087539028694515</v>
      </c>
      <c r="DC117" s="933">
        <f t="shared" si="42"/>
        <v>0.61087539028694515</v>
      </c>
      <c r="DD117" s="933">
        <f t="shared" si="42"/>
        <v>0.61087539028694515</v>
      </c>
      <c r="DE117" s="933">
        <f t="shared" si="42"/>
        <v>0.61087539028694515</v>
      </c>
      <c r="DF117" s="933">
        <f t="shared" si="42"/>
        <v>0.61087539028694515</v>
      </c>
      <c r="DG117" s="933">
        <f t="shared" si="42"/>
        <v>0.61087539028694515</v>
      </c>
      <c r="DH117" s="933">
        <f t="shared" si="44"/>
        <v>0.61087539028694515</v>
      </c>
      <c r="DI117" s="933">
        <f t="shared" si="44"/>
        <v>0.61087539028694515</v>
      </c>
      <c r="DJ117" s="933">
        <f t="shared" si="44"/>
        <v>0.61087539028694515</v>
      </c>
      <c r="DK117" s="933">
        <f t="shared" si="44"/>
        <v>0.61087539028694515</v>
      </c>
      <c r="DL117" s="933">
        <f t="shared" si="44"/>
        <v>0.61087539028694515</v>
      </c>
      <c r="DM117" s="933">
        <f t="shared" si="44"/>
        <v>0.61087539028694515</v>
      </c>
      <c r="DN117" s="933">
        <f t="shared" si="44"/>
        <v>0.61087539028694515</v>
      </c>
      <c r="DO117" s="933"/>
      <c r="DP117" s="933"/>
      <c r="DQ117" s="933"/>
      <c r="DR117" s="933"/>
      <c r="DS117" s="933"/>
      <c r="DT117" s="933"/>
      <c r="DU117" s="933"/>
      <c r="DV117" s="933"/>
      <c r="DW117" s="933"/>
      <c r="DX117" s="933"/>
    </row>
    <row r="118" spans="1:128" x14ac:dyDescent="0.3">
      <c r="A118" s="923">
        <v>44805</v>
      </c>
      <c r="B118" s="932">
        <v>128493.66666666669</v>
      </c>
      <c r="C118" s="929">
        <v>119.70907119085737</v>
      </c>
      <c r="D118" s="930">
        <f t="shared" si="37"/>
        <v>15.381857490574298</v>
      </c>
      <c r="E118" s="931"/>
      <c r="F118" s="931"/>
      <c r="G118" s="931"/>
      <c r="H118" s="931"/>
      <c r="I118" s="931"/>
      <c r="J118" s="931"/>
      <c r="K118" s="931"/>
      <c r="L118" s="931"/>
      <c r="M118" s="931"/>
      <c r="N118" s="931"/>
      <c r="O118" s="931"/>
      <c r="P118" s="931"/>
      <c r="Q118" s="931"/>
      <c r="R118" s="931"/>
      <c r="S118" s="931"/>
      <c r="T118" s="931"/>
      <c r="U118" s="931"/>
      <c r="V118" s="931"/>
      <c r="W118" s="931"/>
      <c r="X118" s="931"/>
      <c r="Y118" s="931"/>
      <c r="Z118" s="931"/>
      <c r="AA118" s="931"/>
      <c r="AB118" s="931"/>
      <c r="AC118" s="931"/>
      <c r="AD118" s="931"/>
      <c r="AE118" s="931"/>
      <c r="AF118" s="931"/>
      <c r="AG118" s="931"/>
      <c r="AH118" s="931"/>
      <c r="AI118" s="931"/>
      <c r="AJ118" s="931"/>
      <c r="AK118" s="931"/>
      <c r="AL118" s="931"/>
      <c r="AM118" s="931"/>
      <c r="AN118" s="931"/>
      <c r="AO118" s="931"/>
      <c r="AP118" s="931"/>
      <c r="AQ118" s="931"/>
      <c r="AR118" s="931"/>
      <c r="AS118" s="931"/>
      <c r="AT118" s="931"/>
      <c r="AU118" s="931"/>
      <c r="AV118" s="931"/>
      <c r="AW118" s="931"/>
      <c r="AX118" s="931"/>
      <c r="AY118" s="931"/>
      <c r="AZ118" s="931"/>
      <c r="BA118" s="931"/>
      <c r="BB118" s="931"/>
      <c r="BC118" s="931"/>
      <c r="BD118" s="931"/>
      <c r="BE118" s="931"/>
      <c r="BF118" s="931"/>
      <c r="BG118" s="931"/>
      <c r="BH118" s="935"/>
      <c r="BI118" s="936"/>
      <c r="BJ118" s="936"/>
      <c r="BK118" s="935"/>
      <c r="BL118" s="933"/>
      <c r="BM118" s="933"/>
      <c r="BN118" s="933"/>
      <c r="BO118" s="933"/>
      <c r="BP118" s="933"/>
      <c r="BQ118" s="933"/>
      <c r="BR118" s="933"/>
      <c r="BS118" s="933"/>
      <c r="BT118" s="933"/>
      <c r="BU118" s="933"/>
      <c r="BV118" s="933"/>
      <c r="BW118" s="933"/>
      <c r="BX118" s="933"/>
      <c r="BY118" s="933"/>
      <c r="BZ118" s="933"/>
      <c r="CB118" s="933"/>
      <c r="CC118" s="933"/>
      <c r="CF118" s="933"/>
      <c r="CI118" s="933"/>
      <c r="CL118" s="933"/>
      <c r="CO118" s="933"/>
      <c r="CP118" s="933"/>
      <c r="CR118" s="933">
        <f t="shared" si="42"/>
        <v>0.64091072877392907</v>
      </c>
      <c r="CS118" s="933">
        <f t="shared" si="42"/>
        <v>0.64091072877392907</v>
      </c>
      <c r="CT118" s="933">
        <f t="shared" si="42"/>
        <v>0.64091072877392907</v>
      </c>
      <c r="CU118" s="933">
        <f t="shared" si="42"/>
        <v>0.64091072877392907</v>
      </c>
      <c r="CV118" s="933">
        <f t="shared" si="42"/>
        <v>0.64091072877392907</v>
      </c>
      <c r="CW118" s="933">
        <f t="shared" si="42"/>
        <v>0.64091072877392907</v>
      </c>
      <c r="CX118" s="933">
        <f t="shared" si="42"/>
        <v>0.64091072877392907</v>
      </c>
      <c r="CY118" s="933">
        <f t="shared" si="42"/>
        <v>0.64091072877392907</v>
      </c>
      <c r="CZ118" s="933">
        <f t="shared" si="42"/>
        <v>0.64091072877392907</v>
      </c>
      <c r="DA118" s="933">
        <f t="shared" si="42"/>
        <v>0.64091072877392907</v>
      </c>
      <c r="DB118" s="933">
        <f t="shared" si="42"/>
        <v>0.64091072877392907</v>
      </c>
      <c r="DC118" s="933">
        <f t="shared" si="42"/>
        <v>0.64091072877392907</v>
      </c>
      <c r="DD118" s="933">
        <f t="shared" si="42"/>
        <v>0.64091072877392907</v>
      </c>
      <c r="DE118" s="933">
        <f t="shared" si="42"/>
        <v>0.64091072877392907</v>
      </c>
      <c r="DF118" s="933">
        <f t="shared" si="42"/>
        <v>0.64091072877392907</v>
      </c>
      <c r="DG118" s="933">
        <f t="shared" si="42"/>
        <v>0.64091072877392907</v>
      </c>
      <c r="DH118" s="933">
        <f t="shared" si="44"/>
        <v>0.64091072877392907</v>
      </c>
      <c r="DI118" s="933">
        <f t="shared" si="44"/>
        <v>0.64091072877392907</v>
      </c>
      <c r="DJ118" s="933">
        <f t="shared" si="44"/>
        <v>0.64091072877392907</v>
      </c>
      <c r="DK118" s="933">
        <f t="shared" si="44"/>
        <v>0.64091072877392907</v>
      </c>
      <c r="DL118" s="933">
        <f t="shared" si="44"/>
        <v>0.64091072877392907</v>
      </c>
      <c r="DM118" s="933">
        <f t="shared" si="44"/>
        <v>0.64091072877392907</v>
      </c>
      <c r="DN118" s="933">
        <f t="shared" si="44"/>
        <v>0.64091072877392907</v>
      </c>
      <c r="DO118" s="933">
        <f t="shared" si="44"/>
        <v>0.64091072877392907</v>
      </c>
      <c r="DP118" s="933"/>
      <c r="DQ118" s="933"/>
      <c r="DR118" s="933"/>
      <c r="DS118" s="933"/>
      <c r="DT118" s="933"/>
      <c r="DU118" s="933"/>
      <c r="DV118" s="933"/>
      <c r="DW118" s="933"/>
      <c r="DX118" s="933"/>
    </row>
    <row r="119" spans="1:128" x14ac:dyDescent="0.3">
      <c r="A119" s="923">
        <v>44835</v>
      </c>
      <c r="B119" s="932">
        <v>134953</v>
      </c>
      <c r="C119" s="929">
        <v>119.70907119085737</v>
      </c>
      <c r="D119" s="930">
        <f t="shared" si="37"/>
        <v>16.155098284419775</v>
      </c>
      <c r="E119" s="931"/>
      <c r="F119" s="931"/>
      <c r="G119" s="931"/>
      <c r="H119" s="931"/>
      <c r="I119" s="931"/>
      <c r="J119" s="931"/>
      <c r="K119" s="931"/>
      <c r="L119" s="931"/>
      <c r="M119" s="931"/>
      <c r="N119" s="931"/>
      <c r="O119" s="931"/>
      <c r="P119" s="931"/>
      <c r="Q119" s="931"/>
      <c r="R119" s="931"/>
      <c r="S119" s="931"/>
      <c r="T119" s="931"/>
      <c r="U119" s="931"/>
      <c r="V119" s="931"/>
      <c r="W119" s="931"/>
      <c r="X119" s="931"/>
      <c r="Y119" s="931"/>
      <c r="Z119" s="931"/>
      <c r="AA119" s="931"/>
      <c r="AB119" s="931"/>
      <c r="AC119" s="931"/>
      <c r="AD119" s="931"/>
      <c r="AE119" s="931"/>
      <c r="AF119" s="931"/>
      <c r="AG119" s="931"/>
      <c r="AH119" s="931"/>
      <c r="AI119" s="931"/>
      <c r="AJ119" s="931"/>
      <c r="AK119" s="931"/>
      <c r="AL119" s="931"/>
      <c r="AM119" s="931"/>
      <c r="AN119" s="931"/>
      <c r="AO119" s="931"/>
      <c r="AP119" s="931"/>
      <c r="AQ119" s="931"/>
      <c r="AR119" s="931"/>
      <c r="AS119" s="931"/>
      <c r="AT119" s="931"/>
      <c r="AU119" s="931"/>
      <c r="AV119" s="931"/>
      <c r="AW119" s="931"/>
      <c r="AX119" s="931"/>
      <c r="AY119" s="931"/>
      <c r="AZ119" s="931"/>
      <c r="BA119" s="931"/>
      <c r="BB119" s="931"/>
      <c r="BC119" s="931"/>
      <c r="BD119" s="931"/>
      <c r="BE119" s="931"/>
      <c r="BF119" s="931"/>
      <c r="BG119" s="931"/>
      <c r="BH119" s="935"/>
      <c r="BI119" s="936"/>
      <c r="BJ119" s="936"/>
      <c r="BK119" s="935"/>
      <c r="BL119" s="933"/>
      <c r="BM119" s="933"/>
      <c r="BN119" s="933"/>
      <c r="BO119" s="933"/>
      <c r="BP119" s="933"/>
      <c r="BQ119" s="933"/>
      <c r="BR119" s="933"/>
      <c r="BS119" s="933"/>
      <c r="BT119" s="933"/>
      <c r="BU119" s="933"/>
      <c r="BV119" s="933"/>
      <c r="BW119" s="933"/>
      <c r="BX119" s="933"/>
      <c r="BY119" s="933"/>
      <c r="BZ119" s="933"/>
      <c r="CB119" s="933"/>
      <c r="CC119" s="933"/>
      <c r="CF119" s="933"/>
      <c r="CI119" s="933"/>
      <c r="CL119" s="933"/>
      <c r="CO119" s="933"/>
      <c r="CP119" s="933"/>
      <c r="CS119" s="933">
        <f t="shared" si="42"/>
        <v>0.67312909518415731</v>
      </c>
      <c r="CT119" s="933">
        <f t="shared" si="42"/>
        <v>0.67312909518415731</v>
      </c>
      <c r="CU119" s="933">
        <f t="shared" si="42"/>
        <v>0.67312909518415731</v>
      </c>
      <c r="CV119" s="933">
        <f t="shared" si="42"/>
        <v>0.67312909518415731</v>
      </c>
      <c r="CW119" s="933">
        <f t="shared" si="42"/>
        <v>0.67312909518415731</v>
      </c>
      <c r="CX119" s="933">
        <f t="shared" si="42"/>
        <v>0.67312909518415731</v>
      </c>
      <c r="CY119" s="933">
        <f t="shared" si="42"/>
        <v>0.67312909518415731</v>
      </c>
      <c r="CZ119" s="933">
        <f t="shared" si="42"/>
        <v>0.67312909518415731</v>
      </c>
      <c r="DA119" s="933">
        <f t="shared" si="42"/>
        <v>0.67312909518415731</v>
      </c>
      <c r="DB119" s="933">
        <f t="shared" si="42"/>
        <v>0.67312909518415731</v>
      </c>
      <c r="DC119" s="933">
        <f t="shared" si="42"/>
        <v>0.67312909518415731</v>
      </c>
      <c r="DD119" s="933">
        <f t="shared" si="42"/>
        <v>0.67312909518415731</v>
      </c>
      <c r="DE119" s="933">
        <f t="shared" si="42"/>
        <v>0.67312909518415731</v>
      </c>
      <c r="DF119" s="933">
        <f t="shared" si="42"/>
        <v>0.67312909518415731</v>
      </c>
      <c r="DG119" s="933">
        <f t="shared" si="42"/>
        <v>0.67312909518415731</v>
      </c>
      <c r="DH119" s="933">
        <f t="shared" si="44"/>
        <v>0.67312909518415731</v>
      </c>
      <c r="DI119" s="933">
        <f t="shared" si="44"/>
        <v>0.67312909518415731</v>
      </c>
      <c r="DJ119" s="933">
        <f t="shared" si="44"/>
        <v>0.67312909518415731</v>
      </c>
      <c r="DK119" s="933">
        <f t="shared" si="44"/>
        <v>0.67312909518415731</v>
      </c>
      <c r="DL119" s="933">
        <f t="shared" si="44"/>
        <v>0.67312909518415731</v>
      </c>
      <c r="DM119" s="933">
        <f t="shared" si="44"/>
        <v>0.67312909518415731</v>
      </c>
      <c r="DN119" s="933">
        <f t="shared" si="44"/>
        <v>0.67312909518415731</v>
      </c>
      <c r="DO119" s="933">
        <f t="shared" si="44"/>
        <v>0.67312909518415731</v>
      </c>
      <c r="DP119" s="933">
        <f t="shared" si="44"/>
        <v>0.67312909518415731</v>
      </c>
      <c r="DQ119" s="933"/>
      <c r="DR119" s="933"/>
      <c r="DS119" s="933"/>
      <c r="DT119" s="933"/>
      <c r="DU119" s="933"/>
      <c r="DV119" s="933"/>
      <c r="DW119" s="933"/>
      <c r="DX119" s="933"/>
    </row>
    <row r="120" spans="1:128" x14ac:dyDescent="0.3">
      <c r="A120" s="923">
        <v>44866</v>
      </c>
      <c r="B120" s="932">
        <v>140982</v>
      </c>
      <c r="C120" s="929">
        <v>119.70907119085737</v>
      </c>
      <c r="D120" s="930">
        <f t="shared" si="37"/>
        <v>16.876824274629456</v>
      </c>
      <c r="E120" s="931"/>
      <c r="F120" s="931"/>
      <c r="G120" s="931"/>
      <c r="H120" s="931"/>
      <c r="I120" s="931"/>
      <c r="J120" s="931"/>
      <c r="K120" s="931"/>
      <c r="L120" s="931"/>
      <c r="M120" s="931"/>
      <c r="N120" s="931"/>
      <c r="O120" s="931"/>
      <c r="P120" s="931"/>
      <c r="Q120" s="931"/>
      <c r="R120" s="931"/>
      <c r="S120" s="931"/>
      <c r="T120" s="931"/>
      <c r="U120" s="931"/>
      <c r="V120" s="931"/>
      <c r="W120" s="931"/>
      <c r="X120" s="931"/>
      <c r="Y120" s="931"/>
      <c r="Z120" s="931"/>
      <c r="AA120" s="931"/>
      <c r="AB120" s="931"/>
      <c r="AC120" s="931"/>
      <c r="AD120" s="931"/>
      <c r="AE120" s="931"/>
      <c r="AF120" s="931"/>
      <c r="AG120" s="931"/>
      <c r="AH120" s="931"/>
      <c r="AI120" s="931"/>
      <c r="AJ120" s="931"/>
      <c r="AK120" s="931"/>
      <c r="AL120" s="931"/>
      <c r="AM120" s="931"/>
      <c r="AN120" s="931"/>
      <c r="AO120" s="931"/>
      <c r="AP120" s="931"/>
      <c r="AQ120" s="931"/>
      <c r="AR120" s="931"/>
      <c r="AS120" s="931"/>
      <c r="AT120" s="931"/>
      <c r="AU120" s="931"/>
      <c r="AV120" s="931"/>
      <c r="AW120" s="931"/>
      <c r="AX120" s="931"/>
      <c r="AY120" s="931"/>
      <c r="AZ120" s="931"/>
      <c r="BA120" s="931"/>
      <c r="BB120" s="931"/>
      <c r="BC120" s="931"/>
      <c r="BD120" s="931"/>
      <c r="BE120" s="931"/>
      <c r="BF120" s="931"/>
      <c r="BG120" s="931"/>
      <c r="BH120" s="935"/>
      <c r="BI120" s="936"/>
      <c r="BJ120" s="936"/>
      <c r="BK120" s="935"/>
      <c r="BL120" s="933"/>
      <c r="BM120" s="933"/>
      <c r="BN120" s="933"/>
      <c r="BO120" s="933"/>
      <c r="BP120" s="933"/>
      <c r="BQ120" s="933"/>
      <c r="BR120" s="933"/>
      <c r="BS120" s="933"/>
      <c r="BT120" s="933"/>
      <c r="BU120" s="933"/>
      <c r="BV120" s="933"/>
      <c r="BW120" s="933"/>
      <c r="BX120" s="933"/>
      <c r="BY120" s="933"/>
      <c r="BZ120" s="933"/>
      <c r="CB120" s="933"/>
      <c r="CC120" s="933"/>
      <c r="CF120" s="933"/>
      <c r="CI120" s="933"/>
      <c r="CL120" s="933"/>
      <c r="CO120" s="933"/>
      <c r="CP120" s="1485"/>
      <c r="CT120" s="933">
        <f t="shared" si="42"/>
        <v>0.70320101144289404</v>
      </c>
      <c r="CU120" s="933">
        <f t="shared" si="42"/>
        <v>0.70320101144289404</v>
      </c>
      <c r="CV120" s="933">
        <f t="shared" si="42"/>
        <v>0.70320101144289404</v>
      </c>
      <c r="CW120" s="933">
        <f t="shared" si="42"/>
        <v>0.70320101144289404</v>
      </c>
      <c r="CX120" s="933">
        <f t="shared" si="42"/>
        <v>0.70320101144289404</v>
      </c>
      <c r="CY120" s="933">
        <f t="shared" si="42"/>
        <v>0.70320101144289404</v>
      </c>
      <c r="CZ120" s="933">
        <f t="shared" si="42"/>
        <v>0.70320101144289404</v>
      </c>
      <c r="DA120" s="933">
        <f t="shared" si="42"/>
        <v>0.70320101144289404</v>
      </c>
      <c r="DB120" s="933">
        <f t="shared" si="42"/>
        <v>0.70320101144289404</v>
      </c>
      <c r="DC120" s="933">
        <f t="shared" si="42"/>
        <v>0.70320101144289404</v>
      </c>
      <c r="DD120" s="933">
        <f t="shared" si="42"/>
        <v>0.70320101144289404</v>
      </c>
      <c r="DE120" s="933">
        <f t="shared" si="42"/>
        <v>0.70320101144289404</v>
      </c>
      <c r="DF120" s="933">
        <f t="shared" si="42"/>
        <v>0.70320101144289404</v>
      </c>
      <c r="DG120" s="933">
        <f t="shared" si="42"/>
        <v>0.70320101144289404</v>
      </c>
      <c r="DH120" s="933">
        <f t="shared" si="44"/>
        <v>0.70320101144289404</v>
      </c>
      <c r="DI120" s="933">
        <f t="shared" si="44"/>
        <v>0.70320101144289404</v>
      </c>
      <c r="DJ120" s="933">
        <f t="shared" si="44"/>
        <v>0.70320101144289404</v>
      </c>
      <c r="DK120" s="933">
        <f t="shared" si="44"/>
        <v>0.70320101144289404</v>
      </c>
      <c r="DL120" s="933">
        <f t="shared" si="44"/>
        <v>0.70320101144289404</v>
      </c>
      <c r="DM120" s="933">
        <f t="shared" si="44"/>
        <v>0.70320101144289404</v>
      </c>
      <c r="DN120" s="933">
        <f t="shared" si="44"/>
        <v>0.70320101144289404</v>
      </c>
      <c r="DO120" s="933">
        <f t="shared" si="44"/>
        <v>0.70320101144289404</v>
      </c>
      <c r="DP120" s="933">
        <f t="shared" si="44"/>
        <v>0.70320101144289404</v>
      </c>
      <c r="DQ120" s="933">
        <f t="shared" si="44"/>
        <v>0.70320101144289404</v>
      </c>
      <c r="DR120" s="933"/>
      <c r="DS120" s="933"/>
      <c r="DT120" s="933"/>
      <c r="DU120" s="933"/>
      <c r="DV120" s="933"/>
      <c r="DW120" s="933"/>
      <c r="DX120" s="933"/>
    </row>
    <row r="121" spans="1:128" x14ac:dyDescent="0.3">
      <c r="A121" s="923">
        <v>44896</v>
      </c>
      <c r="B121" s="932">
        <v>167691</v>
      </c>
      <c r="C121" s="929">
        <v>119.70907119085737</v>
      </c>
      <c r="D121" s="930">
        <f t="shared" si="37"/>
        <v>20.074133857066066</v>
      </c>
      <c r="E121" s="931"/>
      <c r="F121" s="931"/>
      <c r="G121" s="931"/>
      <c r="H121" s="931"/>
      <c r="I121" s="931"/>
      <c r="J121" s="931"/>
      <c r="K121" s="931"/>
      <c r="L121" s="931"/>
      <c r="M121" s="931"/>
      <c r="N121" s="931"/>
      <c r="O121" s="931"/>
      <c r="P121" s="931"/>
      <c r="Q121" s="931"/>
      <c r="R121" s="931"/>
      <c r="S121" s="931"/>
      <c r="T121" s="931"/>
      <c r="U121" s="931"/>
      <c r="V121" s="931"/>
      <c r="W121" s="931"/>
      <c r="X121" s="931"/>
      <c r="Y121" s="931"/>
      <c r="Z121" s="931"/>
      <c r="AA121" s="931"/>
      <c r="AB121" s="931"/>
      <c r="AC121" s="931"/>
      <c r="AD121" s="931"/>
      <c r="AE121" s="931"/>
      <c r="AF121" s="931"/>
      <c r="AG121" s="931"/>
      <c r="AH121" s="931"/>
      <c r="AI121" s="931"/>
      <c r="AJ121" s="931"/>
      <c r="AK121" s="931"/>
      <c r="AL121" s="931"/>
      <c r="AM121" s="931"/>
      <c r="AN121" s="931"/>
      <c r="AO121" s="931"/>
      <c r="AP121" s="931"/>
      <c r="AQ121" s="931"/>
      <c r="AR121" s="931"/>
      <c r="AS121" s="931"/>
      <c r="AT121" s="931"/>
      <c r="AU121" s="931"/>
      <c r="AV121" s="931"/>
      <c r="AW121" s="931"/>
      <c r="AX121" s="931"/>
      <c r="AY121" s="931"/>
      <c r="AZ121" s="931"/>
      <c r="BA121" s="931"/>
      <c r="BB121" s="931"/>
      <c r="BC121" s="931"/>
      <c r="BD121" s="931"/>
      <c r="BE121" s="931"/>
      <c r="BF121" s="931"/>
      <c r="BG121" s="931"/>
      <c r="BH121" s="935"/>
      <c r="BI121" s="936"/>
      <c r="BJ121" s="936"/>
      <c r="BK121" s="935"/>
      <c r="BL121" s="933"/>
      <c r="BM121" s="933"/>
      <c r="BN121" s="933"/>
      <c r="BO121" s="933"/>
      <c r="BP121" s="933"/>
      <c r="BQ121" s="933"/>
      <c r="BR121" s="933"/>
      <c r="BS121" s="933"/>
      <c r="BT121" s="933"/>
      <c r="BU121" s="933"/>
      <c r="BV121" s="933"/>
      <c r="BW121" s="933"/>
      <c r="BX121" s="933"/>
      <c r="BY121" s="933"/>
      <c r="BZ121" s="933"/>
      <c r="CB121" s="933"/>
      <c r="CC121" s="933"/>
      <c r="CF121" s="933"/>
      <c r="CI121" s="933"/>
      <c r="CL121" s="933"/>
      <c r="CO121" s="933"/>
      <c r="CP121" s="1485"/>
      <c r="CU121" s="933">
        <f t="shared" si="42"/>
        <v>0.83642224404441945</v>
      </c>
      <c r="CV121" s="933">
        <f t="shared" si="42"/>
        <v>0.83642224404441945</v>
      </c>
      <c r="CW121" s="933">
        <f t="shared" si="42"/>
        <v>0.83642224404441945</v>
      </c>
      <c r="CX121" s="933">
        <f t="shared" si="42"/>
        <v>0.83642224404441945</v>
      </c>
      <c r="CY121" s="933">
        <f t="shared" si="42"/>
        <v>0.83642224404441945</v>
      </c>
      <c r="CZ121" s="933">
        <f t="shared" si="42"/>
        <v>0.83642224404441945</v>
      </c>
      <c r="DA121" s="933">
        <f t="shared" si="42"/>
        <v>0.83642224404441945</v>
      </c>
      <c r="DB121" s="933">
        <f t="shared" si="42"/>
        <v>0.83642224404441945</v>
      </c>
      <c r="DC121" s="933">
        <f t="shared" si="42"/>
        <v>0.83642224404441945</v>
      </c>
      <c r="DD121" s="933">
        <f t="shared" si="42"/>
        <v>0.83642224404441945</v>
      </c>
      <c r="DE121" s="933">
        <f t="shared" si="42"/>
        <v>0.83642224404441945</v>
      </c>
      <c r="DF121" s="933">
        <f t="shared" si="42"/>
        <v>0.83642224404441945</v>
      </c>
      <c r="DG121" s="933">
        <f t="shared" si="42"/>
        <v>0.83642224404441945</v>
      </c>
      <c r="DH121" s="933">
        <f t="shared" si="44"/>
        <v>0.83642224404441945</v>
      </c>
      <c r="DI121" s="933">
        <f t="shared" si="44"/>
        <v>0.83642224404441945</v>
      </c>
      <c r="DJ121" s="933">
        <f t="shared" si="44"/>
        <v>0.83642224404441945</v>
      </c>
      <c r="DK121" s="933">
        <f t="shared" si="44"/>
        <v>0.83642224404441945</v>
      </c>
      <c r="DL121" s="933">
        <f t="shared" si="44"/>
        <v>0.83642224404441945</v>
      </c>
      <c r="DM121" s="933">
        <f t="shared" si="44"/>
        <v>0.83642224404441945</v>
      </c>
      <c r="DN121" s="933">
        <f t="shared" si="44"/>
        <v>0.83642224404441945</v>
      </c>
      <c r="DO121" s="933">
        <f t="shared" si="44"/>
        <v>0.83642224404441945</v>
      </c>
      <c r="DP121" s="933">
        <f t="shared" si="44"/>
        <v>0.83642224404441945</v>
      </c>
      <c r="DQ121" s="933">
        <f t="shared" si="44"/>
        <v>0.83642224404441945</v>
      </c>
      <c r="DR121" s="933">
        <f t="shared" si="44"/>
        <v>0.83642224404441945</v>
      </c>
      <c r="DS121" s="933"/>
      <c r="DT121" s="933"/>
      <c r="DU121" s="933"/>
      <c r="DV121" s="933"/>
      <c r="DW121" s="933"/>
      <c r="DX121" s="933"/>
    </row>
    <row r="122" spans="1:128" x14ac:dyDescent="0.3">
      <c r="A122" s="923">
        <v>44927</v>
      </c>
      <c r="B122" s="1532">
        <v>163465</v>
      </c>
      <c r="C122" s="929">
        <v>119.70907119085737</v>
      </c>
      <c r="D122" s="930">
        <f t="shared" si="37"/>
        <v>19.568243322213501</v>
      </c>
      <c r="E122" s="931"/>
      <c r="F122" s="931"/>
      <c r="G122" s="931"/>
      <c r="H122" s="931"/>
      <c r="I122" s="931"/>
      <c r="J122" s="931"/>
      <c r="K122" s="931"/>
      <c r="L122" s="931"/>
      <c r="M122" s="931"/>
      <c r="N122" s="931"/>
      <c r="O122" s="931"/>
      <c r="P122" s="931"/>
      <c r="Q122" s="931"/>
      <c r="R122" s="931"/>
      <c r="S122" s="931"/>
      <c r="T122" s="931"/>
      <c r="U122" s="931"/>
      <c r="V122" s="931"/>
      <c r="W122" s="931"/>
      <c r="X122" s="931"/>
      <c r="Y122" s="931"/>
      <c r="Z122" s="931"/>
      <c r="AA122" s="931"/>
      <c r="AB122" s="931"/>
      <c r="AC122" s="931"/>
      <c r="AD122" s="931"/>
      <c r="AE122" s="931"/>
      <c r="AF122" s="931"/>
      <c r="AG122" s="931"/>
      <c r="AH122" s="931"/>
      <c r="AI122" s="931"/>
      <c r="AJ122" s="931"/>
      <c r="AK122" s="931"/>
      <c r="AL122" s="931"/>
      <c r="AM122" s="931"/>
      <c r="AN122" s="931"/>
      <c r="AO122" s="931"/>
      <c r="AP122" s="931"/>
      <c r="AQ122" s="931"/>
      <c r="AR122" s="931"/>
      <c r="AS122" s="931"/>
      <c r="AT122" s="931"/>
      <c r="AU122" s="931"/>
      <c r="AV122" s="931"/>
      <c r="AW122" s="931"/>
      <c r="AX122" s="931"/>
      <c r="AY122" s="931"/>
      <c r="AZ122" s="931"/>
      <c r="BA122" s="931"/>
      <c r="BB122" s="931"/>
      <c r="BC122" s="931"/>
      <c r="BD122" s="931"/>
      <c r="BE122" s="931"/>
      <c r="BF122" s="931"/>
      <c r="BG122" s="931"/>
      <c r="BH122" s="935"/>
      <c r="BI122" s="936"/>
      <c r="BJ122" s="936"/>
      <c r="BK122" s="935"/>
      <c r="BL122" s="933"/>
      <c r="BM122" s="933"/>
      <c r="BN122" s="933"/>
      <c r="BO122" s="933"/>
      <c r="BP122" s="933"/>
      <c r="BQ122" s="933"/>
      <c r="BR122" s="933"/>
      <c r="BS122" s="933"/>
      <c r="BT122" s="933"/>
      <c r="BU122" s="933"/>
      <c r="BV122" s="933"/>
      <c r="BW122" s="933"/>
      <c r="BX122" s="933"/>
      <c r="BY122" s="933"/>
      <c r="BZ122" s="933"/>
      <c r="CB122" s="933"/>
      <c r="CC122" s="933"/>
      <c r="CF122" s="933"/>
      <c r="CI122" s="933"/>
      <c r="CL122" s="933"/>
      <c r="CO122" s="933"/>
      <c r="CP122" s="1485"/>
      <c r="CU122" s="933"/>
      <c r="CV122" s="933">
        <f t="shared" si="42"/>
        <v>0.81534347175889588</v>
      </c>
      <c r="CW122" s="933">
        <f t="shared" si="42"/>
        <v>0.81534347175889588</v>
      </c>
      <c r="CX122" s="933">
        <f t="shared" si="42"/>
        <v>0.81534347175889588</v>
      </c>
      <c r="CY122" s="933">
        <f t="shared" si="42"/>
        <v>0.81534347175889588</v>
      </c>
      <c r="CZ122" s="933">
        <f t="shared" si="42"/>
        <v>0.81534347175889588</v>
      </c>
      <c r="DA122" s="933">
        <f t="shared" si="42"/>
        <v>0.81534347175889588</v>
      </c>
      <c r="DB122" s="933">
        <f t="shared" si="42"/>
        <v>0.81534347175889588</v>
      </c>
      <c r="DC122" s="933">
        <f t="shared" si="42"/>
        <v>0.81534347175889588</v>
      </c>
      <c r="DD122" s="933">
        <f t="shared" si="42"/>
        <v>0.81534347175889588</v>
      </c>
      <c r="DE122" s="933">
        <f t="shared" si="42"/>
        <v>0.81534347175889588</v>
      </c>
      <c r="DF122" s="933">
        <f t="shared" si="42"/>
        <v>0.81534347175889588</v>
      </c>
      <c r="DG122" s="933">
        <f t="shared" si="42"/>
        <v>0.81534347175889588</v>
      </c>
      <c r="DH122" s="933">
        <f t="shared" si="44"/>
        <v>0.81534347175889588</v>
      </c>
      <c r="DI122" s="933">
        <f t="shared" si="44"/>
        <v>0.81534347175889588</v>
      </c>
      <c r="DJ122" s="933">
        <f t="shared" si="44"/>
        <v>0.81534347175889588</v>
      </c>
      <c r="DK122" s="933">
        <f t="shared" si="44"/>
        <v>0.81534347175889588</v>
      </c>
      <c r="DL122" s="933">
        <f t="shared" si="44"/>
        <v>0.81534347175889588</v>
      </c>
      <c r="DM122" s="933">
        <f t="shared" si="44"/>
        <v>0.81534347175889588</v>
      </c>
      <c r="DN122" s="933">
        <f t="shared" si="44"/>
        <v>0.81534347175889588</v>
      </c>
      <c r="DO122" s="933">
        <f t="shared" si="44"/>
        <v>0.81534347175889588</v>
      </c>
      <c r="DP122" s="933">
        <f t="shared" si="44"/>
        <v>0.81534347175889588</v>
      </c>
      <c r="DQ122" s="933">
        <f t="shared" si="44"/>
        <v>0.81534347175889588</v>
      </c>
      <c r="DR122" s="933">
        <f t="shared" si="44"/>
        <v>0.81534347175889588</v>
      </c>
      <c r="DS122" s="933">
        <f t="shared" si="44"/>
        <v>0.81534347175889588</v>
      </c>
      <c r="DT122" s="933"/>
      <c r="DU122" s="933"/>
      <c r="DV122" s="933"/>
      <c r="DW122" s="933"/>
      <c r="DX122" s="933"/>
    </row>
    <row r="123" spans="1:128" x14ac:dyDescent="0.3">
      <c r="A123" s="923">
        <v>44958</v>
      </c>
      <c r="B123" s="932">
        <v>163869</v>
      </c>
      <c r="C123" s="929">
        <v>119.70907119085737</v>
      </c>
      <c r="D123" s="930">
        <f t="shared" si="37"/>
        <v>19.616605786974606</v>
      </c>
      <c r="E123" s="931"/>
      <c r="F123" s="931"/>
      <c r="G123" s="931"/>
      <c r="H123" s="931"/>
      <c r="I123" s="931"/>
      <c r="J123" s="931"/>
      <c r="K123" s="931"/>
      <c r="L123" s="931"/>
      <c r="M123" s="931"/>
      <c r="N123" s="931"/>
      <c r="O123" s="931"/>
      <c r="P123" s="931"/>
      <c r="Q123" s="931"/>
      <c r="R123" s="931"/>
      <c r="S123" s="931"/>
      <c r="T123" s="931"/>
      <c r="U123" s="931"/>
      <c r="V123" s="931"/>
      <c r="W123" s="931"/>
      <c r="X123" s="931"/>
      <c r="Y123" s="931"/>
      <c r="Z123" s="931"/>
      <c r="AA123" s="931"/>
      <c r="AB123" s="931"/>
      <c r="AC123" s="931"/>
      <c r="AD123" s="931"/>
      <c r="AE123" s="931"/>
      <c r="AF123" s="931"/>
      <c r="AG123" s="931"/>
      <c r="AH123" s="931"/>
      <c r="AI123" s="931"/>
      <c r="AJ123" s="931"/>
      <c r="AK123" s="931"/>
      <c r="AL123" s="931"/>
      <c r="AM123" s="931"/>
      <c r="AN123" s="931"/>
      <c r="AO123" s="931"/>
      <c r="AP123" s="931"/>
      <c r="AQ123" s="931"/>
      <c r="AR123" s="931"/>
      <c r="AS123" s="931"/>
      <c r="AT123" s="931"/>
      <c r="AU123" s="931"/>
      <c r="AV123" s="931"/>
      <c r="AW123" s="931"/>
      <c r="AX123" s="931"/>
      <c r="AY123" s="931"/>
      <c r="AZ123" s="931"/>
      <c r="BA123" s="931"/>
      <c r="BB123" s="931"/>
      <c r="BC123" s="931"/>
      <c r="BD123" s="931"/>
      <c r="BE123" s="931"/>
      <c r="BF123" s="931"/>
      <c r="BG123" s="931"/>
      <c r="BH123" s="935"/>
      <c r="BI123" s="936"/>
      <c r="BJ123" s="936"/>
      <c r="BK123" s="935"/>
      <c r="BL123" s="933"/>
      <c r="BM123" s="933"/>
      <c r="BN123" s="933"/>
      <c r="BO123" s="933"/>
      <c r="BP123" s="933"/>
      <c r="BQ123" s="933"/>
      <c r="BR123" s="933"/>
      <c r="BS123" s="933"/>
      <c r="BT123" s="933"/>
      <c r="BU123" s="933"/>
      <c r="BV123" s="933"/>
      <c r="BW123" s="933"/>
      <c r="BX123" s="933"/>
      <c r="BY123" s="933"/>
      <c r="BZ123" s="933"/>
      <c r="CB123" s="933"/>
      <c r="CC123" s="933"/>
      <c r="CF123" s="933"/>
      <c r="CI123" s="933"/>
      <c r="CL123" s="933"/>
      <c r="CO123" s="933"/>
      <c r="CP123" s="1485"/>
      <c r="CU123" s="933"/>
      <c r="CW123" s="933">
        <f t="shared" si="42"/>
        <v>0.81735857445727522</v>
      </c>
      <c r="CX123" s="933">
        <f t="shared" si="42"/>
        <v>0.81735857445727522</v>
      </c>
      <c r="CY123" s="933">
        <f t="shared" si="42"/>
        <v>0.81735857445727522</v>
      </c>
      <c r="CZ123" s="933">
        <f t="shared" si="42"/>
        <v>0.81735857445727522</v>
      </c>
      <c r="DA123" s="933">
        <f t="shared" si="42"/>
        <v>0.81735857445727522</v>
      </c>
      <c r="DB123" s="933">
        <f t="shared" si="42"/>
        <v>0.81735857445727522</v>
      </c>
      <c r="DC123" s="933">
        <f t="shared" si="42"/>
        <v>0.81735857445727522</v>
      </c>
      <c r="DD123" s="933">
        <f t="shared" si="42"/>
        <v>0.81735857445727522</v>
      </c>
      <c r="DE123" s="933">
        <f t="shared" si="42"/>
        <v>0.81735857445727522</v>
      </c>
      <c r="DF123" s="933">
        <f t="shared" si="42"/>
        <v>0.81735857445727522</v>
      </c>
      <c r="DG123" s="933">
        <f t="shared" si="42"/>
        <v>0.81735857445727522</v>
      </c>
      <c r="DH123" s="933">
        <f t="shared" si="44"/>
        <v>0.81735857445727522</v>
      </c>
      <c r="DI123" s="933">
        <f t="shared" si="44"/>
        <v>0.81735857445727522</v>
      </c>
      <c r="DJ123" s="933">
        <f t="shared" si="44"/>
        <v>0.81735857445727522</v>
      </c>
      <c r="DK123" s="933">
        <f t="shared" si="44"/>
        <v>0.81735857445727522</v>
      </c>
      <c r="DL123" s="933">
        <f t="shared" si="44"/>
        <v>0.81735857445727522</v>
      </c>
      <c r="DM123" s="933">
        <f t="shared" si="44"/>
        <v>0.81735857445727522</v>
      </c>
      <c r="DN123" s="933">
        <f t="shared" si="44"/>
        <v>0.81735857445727522</v>
      </c>
      <c r="DO123" s="933">
        <f t="shared" si="44"/>
        <v>0.81735857445727522</v>
      </c>
      <c r="DP123" s="933">
        <f t="shared" si="44"/>
        <v>0.81735857445727522</v>
      </c>
      <c r="DQ123" s="933">
        <f t="shared" si="44"/>
        <v>0.81735857445727522</v>
      </c>
      <c r="DR123" s="933">
        <f t="shared" si="44"/>
        <v>0.81735857445727522</v>
      </c>
      <c r="DS123" s="933">
        <f t="shared" si="44"/>
        <v>0.81735857445727522</v>
      </c>
      <c r="DT123" s="933">
        <f t="shared" si="44"/>
        <v>0.81735857445727522</v>
      </c>
      <c r="DU123" s="933"/>
      <c r="DV123" s="933"/>
      <c r="DW123" s="933"/>
      <c r="DX123" s="933"/>
    </row>
    <row r="124" spans="1:128" x14ac:dyDescent="0.3">
      <c r="A124" s="923">
        <v>44986</v>
      </c>
      <c r="B124" s="932">
        <v>179247.22222222225</v>
      </c>
      <c r="C124" s="929">
        <v>119.70907119085737</v>
      </c>
      <c r="D124" s="930">
        <f t="shared" si="37"/>
        <v>21.457518485763433</v>
      </c>
      <c r="E124" s="931"/>
      <c r="F124" s="931"/>
      <c r="G124" s="931"/>
      <c r="H124" s="931"/>
      <c r="I124" s="931"/>
      <c r="J124" s="931"/>
      <c r="K124" s="931"/>
      <c r="L124" s="931"/>
      <c r="M124" s="931"/>
      <c r="N124" s="931"/>
      <c r="O124" s="931"/>
      <c r="P124" s="931"/>
      <c r="Q124" s="931"/>
      <c r="R124" s="931"/>
      <c r="S124" s="931"/>
      <c r="T124" s="931"/>
      <c r="U124" s="931"/>
      <c r="V124" s="931"/>
      <c r="W124" s="931"/>
      <c r="X124" s="931"/>
      <c r="Y124" s="931"/>
      <c r="Z124" s="931"/>
      <c r="AA124" s="931"/>
      <c r="AB124" s="931"/>
      <c r="AC124" s="931"/>
      <c r="AD124" s="931"/>
      <c r="AE124" s="931"/>
      <c r="AF124" s="931"/>
      <c r="AG124" s="931"/>
      <c r="AH124" s="931"/>
      <c r="AI124" s="931"/>
      <c r="AJ124" s="931"/>
      <c r="AK124" s="931"/>
      <c r="AL124" s="931"/>
      <c r="AM124" s="931"/>
      <c r="AN124" s="931"/>
      <c r="AO124" s="931"/>
      <c r="AP124" s="931"/>
      <c r="AQ124" s="931"/>
      <c r="AR124" s="931"/>
      <c r="AS124" s="931"/>
      <c r="AT124" s="931"/>
      <c r="AU124" s="931"/>
      <c r="AV124" s="931"/>
      <c r="AW124" s="931"/>
      <c r="AX124" s="931"/>
      <c r="AY124" s="931"/>
      <c r="AZ124" s="931"/>
      <c r="BA124" s="931"/>
      <c r="BB124" s="931"/>
      <c r="BC124" s="931"/>
      <c r="BD124" s="931"/>
      <c r="BE124" s="931"/>
      <c r="BF124" s="931"/>
      <c r="BG124" s="931"/>
      <c r="BH124" s="935"/>
      <c r="BI124" s="936"/>
      <c r="BJ124" s="936"/>
      <c r="BK124" s="935"/>
      <c r="BL124" s="933"/>
      <c r="BM124" s="933"/>
      <c r="BN124" s="933"/>
      <c r="BO124" s="933"/>
      <c r="BP124" s="933"/>
      <c r="BQ124" s="933"/>
      <c r="BR124" s="933"/>
      <c r="BS124" s="933"/>
      <c r="BT124" s="933"/>
      <c r="BU124" s="933"/>
      <c r="BV124" s="933"/>
      <c r="BW124" s="933"/>
      <c r="BX124" s="933"/>
      <c r="BY124" s="933"/>
      <c r="BZ124" s="933"/>
      <c r="CB124" s="933"/>
      <c r="CC124" s="933"/>
      <c r="CF124" s="933"/>
      <c r="CI124" s="933"/>
      <c r="CL124" s="933"/>
      <c r="CO124" s="933"/>
      <c r="CP124" s="1485"/>
      <c r="CU124" s="933"/>
      <c r="CX124" s="933">
        <f t="shared" si="42"/>
        <v>0.89406327024014309</v>
      </c>
      <c r="CY124" s="933">
        <f t="shared" si="42"/>
        <v>0.89406327024014309</v>
      </c>
      <c r="CZ124" s="933">
        <f t="shared" si="42"/>
        <v>0.89406327024014309</v>
      </c>
      <c r="DA124" s="933">
        <f t="shared" si="42"/>
        <v>0.89406327024014309</v>
      </c>
      <c r="DB124" s="933">
        <f t="shared" si="42"/>
        <v>0.89406327024014309</v>
      </c>
      <c r="DC124" s="933">
        <f t="shared" si="42"/>
        <v>0.89406327024014309</v>
      </c>
      <c r="DD124" s="933">
        <f t="shared" si="42"/>
        <v>0.89406327024014309</v>
      </c>
      <c r="DE124" s="933">
        <f t="shared" si="42"/>
        <v>0.89406327024014309</v>
      </c>
      <c r="DF124" s="933">
        <f t="shared" si="42"/>
        <v>0.89406327024014309</v>
      </c>
      <c r="DG124" s="933">
        <f t="shared" si="42"/>
        <v>0.89406327024014309</v>
      </c>
      <c r="DH124" s="933">
        <f t="shared" si="44"/>
        <v>0.89406327024014309</v>
      </c>
      <c r="DI124" s="933">
        <f t="shared" si="44"/>
        <v>0.89406327024014309</v>
      </c>
      <c r="DJ124" s="933">
        <f t="shared" si="44"/>
        <v>0.89406327024014309</v>
      </c>
      <c r="DK124" s="933">
        <f t="shared" si="44"/>
        <v>0.89406327024014309</v>
      </c>
      <c r="DL124" s="933">
        <f t="shared" si="44"/>
        <v>0.89406327024014309</v>
      </c>
      <c r="DM124" s="933">
        <f t="shared" si="44"/>
        <v>0.89406327024014309</v>
      </c>
      <c r="DN124" s="933">
        <f t="shared" si="44"/>
        <v>0.89406327024014309</v>
      </c>
      <c r="DO124" s="933">
        <f t="shared" si="44"/>
        <v>0.89406327024014309</v>
      </c>
      <c r="DP124" s="933">
        <f t="shared" si="44"/>
        <v>0.89406327024014309</v>
      </c>
      <c r="DQ124" s="933">
        <f t="shared" si="44"/>
        <v>0.89406327024014309</v>
      </c>
      <c r="DR124" s="933">
        <f t="shared" si="44"/>
        <v>0.89406327024014309</v>
      </c>
      <c r="DS124" s="933">
        <f t="shared" si="44"/>
        <v>0.89406327024014309</v>
      </c>
      <c r="DT124" s="933">
        <f t="shared" si="44"/>
        <v>0.89406327024014309</v>
      </c>
      <c r="DU124" s="933">
        <f t="shared" si="44"/>
        <v>0.89406327024014309</v>
      </c>
      <c r="DV124" s="933"/>
      <c r="DW124" s="933"/>
      <c r="DX124" s="933"/>
    </row>
    <row r="125" spans="1:128" x14ac:dyDescent="0.3">
      <c r="A125" s="923">
        <v>45017</v>
      </c>
      <c r="B125" s="932">
        <v>141867</v>
      </c>
      <c r="C125" s="929">
        <v>119.70907119085737</v>
      </c>
      <c r="D125" s="930">
        <f t="shared" si="37"/>
        <v>16.982766802633364</v>
      </c>
      <c r="E125" s="931"/>
      <c r="F125" s="931"/>
      <c r="G125" s="931"/>
      <c r="H125" s="931"/>
      <c r="I125" s="931"/>
      <c r="J125" s="931"/>
      <c r="K125" s="931"/>
      <c r="L125" s="931"/>
      <c r="M125" s="931"/>
      <c r="N125" s="931"/>
      <c r="O125" s="931"/>
      <c r="P125" s="931"/>
      <c r="Q125" s="931"/>
      <c r="R125" s="931"/>
      <c r="S125" s="931"/>
      <c r="T125" s="931"/>
      <c r="U125" s="931"/>
      <c r="V125" s="931"/>
      <c r="W125" s="931"/>
      <c r="X125" s="931"/>
      <c r="Y125" s="931"/>
      <c r="Z125" s="931"/>
      <c r="AA125" s="931"/>
      <c r="AB125" s="931"/>
      <c r="AC125" s="931"/>
      <c r="AD125" s="931"/>
      <c r="AE125" s="931"/>
      <c r="AF125" s="931"/>
      <c r="AG125" s="931"/>
      <c r="AH125" s="931"/>
      <c r="AI125" s="931"/>
      <c r="AJ125" s="931"/>
      <c r="AK125" s="931"/>
      <c r="AL125" s="931"/>
      <c r="AM125" s="931"/>
      <c r="AN125" s="931"/>
      <c r="AO125" s="931"/>
      <c r="AP125" s="931"/>
      <c r="AQ125" s="931"/>
      <c r="AR125" s="931"/>
      <c r="AS125" s="931"/>
      <c r="AT125" s="931"/>
      <c r="AU125" s="931"/>
      <c r="AV125" s="931"/>
      <c r="AW125" s="931"/>
      <c r="AX125" s="931"/>
      <c r="AY125" s="931"/>
      <c r="AZ125" s="931"/>
      <c r="BA125" s="931"/>
      <c r="BB125" s="931"/>
      <c r="BC125" s="931"/>
      <c r="BD125" s="931"/>
      <c r="BE125" s="931"/>
      <c r="BF125" s="931"/>
      <c r="BG125" s="931"/>
      <c r="BH125" s="935"/>
      <c r="BI125" s="936"/>
      <c r="BJ125" s="936"/>
      <c r="BK125" s="935"/>
      <c r="BL125" s="933"/>
      <c r="BM125" s="933"/>
      <c r="BN125" s="933"/>
      <c r="BO125" s="933"/>
      <c r="BP125" s="933"/>
      <c r="BQ125" s="933"/>
      <c r="BR125" s="933"/>
      <c r="BS125" s="933"/>
      <c r="BT125" s="933"/>
      <c r="BU125" s="933"/>
      <c r="BV125" s="933"/>
      <c r="BW125" s="933"/>
      <c r="BX125" s="933"/>
      <c r="BY125" s="933"/>
      <c r="BZ125" s="933"/>
      <c r="CB125" s="933"/>
      <c r="CC125" s="933"/>
      <c r="CF125" s="933"/>
      <c r="CI125" s="933"/>
      <c r="CL125" s="933"/>
      <c r="CO125" s="933"/>
      <c r="CP125" s="1485"/>
      <c r="CU125" s="933"/>
      <c r="CX125" s="933"/>
      <c r="CY125" s="933">
        <f t="shared" si="42"/>
        <v>0.7076152834430568</v>
      </c>
      <c r="CZ125" s="933">
        <f t="shared" si="42"/>
        <v>0.7076152834430568</v>
      </c>
      <c r="DA125" s="933">
        <f t="shared" si="42"/>
        <v>0.7076152834430568</v>
      </c>
      <c r="DB125" s="933">
        <f t="shared" si="42"/>
        <v>0.7076152834430568</v>
      </c>
      <c r="DC125" s="933">
        <f t="shared" si="42"/>
        <v>0.7076152834430568</v>
      </c>
      <c r="DD125" s="933">
        <f t="shared" si="42"/>
        <v>0.7076152834430568</v>
      </c>
      <c r="DE125" s="933">
        <f t="shared" si="42"/>
        <v>0.7076152834430568</v>
      </c>
      <c r="DF125" s="933">
        <f t="shared" si="42"/>
        <v>0.7076152834430568</v>
      </c>
      <c r="DG125" s="933">
        <f t="shared" si="42"/>
        <v>0.7076152834430568</v>
      </c>
      <c r="DH125" s="933">
        <f t="shared" si="44"/>
        <v>0.7076152834430568</v>
      </c>
      <c r="DI125" s="933">
        <f t="shared" si="44"/>
        <v>0.7076152834430568</v>
      </c>
      <c r="DJ125" s="933">
        <f t="shared" si="44"/>
        <v>0.7076152834430568</v>
      </c>
      <c r="DK125" s="933">
        <f t="shared" si="44"/>
        <v>0.7076152834430568</v>
      </c>
      <c r="DL125" s="933">
        <f t="shared" si="44"/>
        <v>0.7076152834430568</v>
      </c>
      <c r="DM125" s="933">
        <f t="shared" si="44"/>
        <v>0.7076152834430568</v>
      </c>
      <c r="DN125" s="933">
        <f t="shared" si="44"/>
        <v>0.7076152834430568</v>
      </c>
      <c r="DO125" s="933">
        <f t="shared" si="44"/>
        <v>0.7076152834430568</v>
      </c>
      <c r="DP125" s="933">
        <f t="shared" si="44"/>
        <v>0.7076152834430568</v>
      </c>
      <c r="DQ125" s="933">
        <f t="shared" si="44"/>
        <v>0.7076152834430568</v>
      </c>
      <c r="DR125" s="933">
        <f t="shared" si="44"/>
        <v>0.7076152834430568</v>
      </c>
      <c r="DS125" s="933">
        <f t="shared" si="44"/>
        <v>0.7076152834430568</v>
      </c>
      <c r="DT125" s="933">
        <f t="shared" si="44"/>
        <v>0.7076152834430568</v>
      </c>
      <c r="DU125" s="933">
        <f t="shared" si="44"/>
        <v>0.7076152834430568</v>
      </c>
      <c r="DV125" s="933">
        <f t="shared" si="44"/>
        <v>0.7076152834430568</v>
      </c>
      <c r="DW125" s="933"/>
      <c r="DX125" s="933"/>
    </row>
    <row r="126" spans="1:128" x14ac:dyDescent="0.3">
      <c r="A126" s="923">
        <v>45047</v>
      </c>
      <c r="B126" s="932">
        <v>145047</v>
      </c>
      <c r="C126" s="929">
        <v>119.70907119085737</v>
      </c>
      <c r="D126" s="930">
        <f t="shared" si="37"/>
        <v>17.363441649020288</v>
      </c>
      <c r="E126" s="931"/>
      <c r="F126" s="931"/>
      <c r="G126" s="931"/>
      <c r="H126" s="931"/>
      <c r="I126" s="931"/>
      <c r="J126" s="931"/>
      <c r="K126" s="931"/>
      <c r="L126" s="931"/>
      <c r="M126" s="931"/>
      <c r="N126" s="931"/>
      <c r="O126" s="931"/>
      <c r="P126" s="931"/>
      <c r="Q126" s="931"/>
      <c r="R126" s="931"/>
      <c r="S126" s="931"/>
      <c r="T126" s="931"/>
      <c r="U126" s="931"/>
      <c r="V126" s="931"/>
      <c r="W126" s="931"/>
      <c r="X126" s="931"/>
      <c r="Y126" s="931"/>
      <c r="Z126" s="931"/>
      <c r="AA126" s="931"/>
      <c r="AB126" s="931"/>
      <c r="AC126" s="931"/>
      <c r="AD126" s="931"/>
      <c r="AE126" s="931"/>
      <c r="AF126" s="931"/>
      <c r="AG126" s="931"/>
      <c r="AH126" s="931"/>
      <c r="AI126" s="931"/>
      <c r="AJ126" s="931"/>
      <c r="AK126" s="931"/>
      <c r="AL126" s="931"/>
      <c r="AM126" s="931"/>
      <c r="AN126" s="931"/>
      <c r="AO126" s="931"/>
      <c r="AP126" s="931"/>
      <c r="AQ126" s="931"/>
      <c r="AR126" s="931"/>
      <c r="AS126" s="931"/>
      <c r="AT126" s="931"/>
      <c r="AU126" s="931"/>
      <c r="AV126" s="931"/>
      <c r="AW126" s="931"/>
      <c r="AX126" s="931"/>
      <c r="AY126" s="931"/>
      <c r="AZ126" s="931"/>
      <c r="BA126" s="931"/>
      <c r="BB126" s="931"/>
      <c r="BC126" s="931"/>
      <c r="BD126" s="931"/>
      <c r="BE126" s="931"/>
      <c r="BF126" s="931"/>
      <c r="BG126" s="931"/>
      <c r="BH126" s="935"/>
      <c r="BI126" s="936"/>
      <c r="BJ126" s="936"/>
      <c r="BK126" s="935"/>
      <c r="BL126" s="933"/>
      <c r="BM126" s="933"/>
      <c r="BN126" s="933"/>
      <c r="BO126" s="933"/>
      <c r="BP126" s="933"/>
      <c r="BQ126" s="933"/>
      <c r="BR126" s="933"/>
      <c r="BS126" s="933"/>
      <c r="BT126" s="933"/>
      <c r="BU126" s="933"/>
      <c r="BV126" s="933"/>
      <c r="BW126" s="933"/>
      <c r="BX126" s="933"/>
      <c r="BY126" s="933"/>
      <c r="BZ126" s="933"/>
      <c r="CB126" s="933"/>
      <c r="CC126" s="933"/>
      <c r="CF126" s="933"/>
      <c r="CI126" s="933"/>
      <c r="CL126" s="933"/>
      <c r="CO126" s="933"/>
      <c r="CP126" s="1485"/>
      <c r="CU126" s="933"/>
      <c r="CX126" s="933"/>
      <c r="CZ126" s="933">
        <f t="shared" si="42"/>
        <v>0.72347673537584534</v>
      </c>
      <c r="DA126" s="933">
        <f t="shared" si="42"/>
        <v>0.72347673537584534</v>
      </c>
      <c r="DB126" s="933">
        <f t="shared" si="42"/>
        <v>0.72347673537584534</v>
      </c>
      <c r="DC126" s="933">
        <f t="shared" si="42"/>
        <v>0.72347673537584534</v>
      </c>
      <c r="DD126" s="933">
        <f t="shared" si="42"/>
        <v>0.72347673537584534</v>
      </c>
      <c r="DE126" s="933">
        <f t="shared" si="42"/>
        <v>0.72347673537584534</v>
      </c>
      <c r="DF126" s="933">
        <f t="shared" si="42"/>
        <v>0.72347673537584534</v>
      </c>
      <c r="DG126" s="933">
        <f t="shared" si="42"/>
        <v>0.72347673537584534</v>
      </c>
      <c r="DH126" s="933">
        <f t="shared" si="44"/>
        <v>0.72347673537584534</v>
      </c>
      <c r="DI126" s="933">
        <f t="shared" si="44"/>
        <v>0.72347673537584534</v>
      </c>
      <c r="DJ126" s="933">
        <f t="shared" si="44"/>
        <v>0.72347673537584534</v>
      </c>
      <c r="DK126" s="933">
        <f t="shared" si="44"/>
        <v>0.72347673537584534</v>
      </c>
      <c r="DL126" s="933">
        <f t="shared" si="44"/>
        <v>0.72347673537584534</v>
      </c>
      <c r="DM126" s="933">
        <f t="shared" si="44"/>
        <v>0.72347673537584534</v>
      </c>
      <c r="DN126" s="933">
        <f t="shared" si="44"/>
        <v>0.72347673537584534</v>
      </c>
      <c r="DO126" s="933">
        <f t="shared" si="44"/>
        <v>0.72347673537584534</v>
      </c>
      <c r="DP126" s="933">
        <f t="shared" si="44"/>
        <v>0.72347673537584534</v>
      </c>
      <c r="DQ126" s="933">
        <f t="shared" si="44"/>
        <v>0.72347673537584534</v>
      </c>
      <c r="DR126" s="933">
        <f t="shared" si="44"/>
        <v>0.72347673537584534</v>
      </c>
      <c r="DS126" s="933">
        <f t="shared" si="44"/>
        <v>0.72347673537584534</v>
      </c>
      <c r="DT126" s="933">
        <f t="shared" si="44"/>
        <v>0.72347673537584534</v>
      </c>
      <c r="DU126" s="933">
        <f t="shared" si="44"/>
        <v>0.72347673537584534</v>
      </c>
      <c r="DV126" s="933">
        <f t="shared" si="44"/>
        <v>0.72347673537584534</v>
      </c>
      <c r="DW126" s="933">
        <f t="shared" si="44"/>
        <v>0.72347673537584534</v>
      </c>
      <c r="DX126" s="933"/>
    </row>
    <row r="127" spans="1:128" x14ac:dyDescent="0.3">
      <c r="A127" s="923">
        <v>45078</v>
      </c>
      <c r="B127" s="932">
        <v>152497</v>
      </c>
      <c r="C127" s="929">
        <v>119.70907119085737</v>
      </c>
      <c r="D127" s="930">
        <f t="shared" si="37"/>
        <v>18.255274229392178</v>
      </c>
      <c r="E127" s="931"/>
      <c r="F127" s="931"/>
      <c r="G127" s="931"/>
      <c r="H127" s="931"/>
      <c r="I127" s="931"/>
      <c r="J127" s="931"/>
      <c r="K127" s="931"/>
      <c r="L127" s="931"/>
      <c r="M127" s="931"/>
      <c r="N127" s="931"/>
      <c r="O127" s="931"/>
      <c r="P127" s="931"/>
      <c r="Q127" s="931"/>
      <c r="R127" s="931"/>
      <c r="S127" s="931"/>
      <c r="T127" s="931"/>
      <c r="U127" s="931"/>
      <c r="V127" s="931"/>
      <c r="W127" s="931"/>
      <c r="X127" s="931"/>
      <c r="Y127" s="931"/>
      <c r="Z127" s="931"/>
      <c r="AA127" s="931"/>
      <c r="AB127" s="931"/>
      <c r="AC127" s="931"/>
      <c r="AD127" s="931"/>
      <c r="AE127" s="931"/>
      <c r="AF127" s="931"/>
      <c r="AG127" s="931"/>
      <c r="AH127" s="931"/>
      <c r="AI127" s="931"/>
      <c r="AJ127" s="931"/>
      <c r="AK127" s="931"/>
      <c r="AL127" s="931"/>
      <c r="AM127" s="931"/>
      <c r="AN127" s="931"/>
      <c r="AO127" s="931"/>
      <c r="AP127" s="931"/>
      <c r="AQ127" s="931"/>
      <c r="AR127" s="931"/>
      <c r="AS127" s="931"/>
      <c r="AT127" s="931"/>
      <c r="AU127" s="931"/>
      <c r="AV127" s="931"/>
      <c r="AW127" s="931"/>
      <c r="AX127" s="931"/>
      <c r="AY127" s="931"/>
      <c r="AZ127" s="931"/>
      <c r="BA127" s="931"/>
      <c r="BB127" s="931"/>
      <c r="BC127" s="931"/>
      <c r="BD127" s="931"/>
      <c r="BE127" s="931"/>
      <c r="BF127" s="931"/>
      <c r="BG127" s="931"/>
      <c r="BH127" s="935"/>
      <c r="BI127" s="936"/>
      <c r="BJ127" s="936"/>
      <c r="BK127" s="935"/>
      <c r="BL127" s="933"/>
      <c r="BM127" s="933"/>
      <c r="BN127" s="933"/>
      <c r="BO127" s="933"/>
      <c r="BP127" s="933"/>
      <c r="BQ127" s="933"/>
      <c r="BR127" s="933"/>
      <c r="BS127" s="933"/>
      <c r="BT127" s="933"/>
      <c r="BU127" s="933"/>
      <c r="BV127" s="933"/>
      <c r="BW127" s="933"/>
      <c r="BX127" s="933"/>
      <c r="BY127" s="933"/>
      <c r="BZ127" s="933"/>
      <c r="CB127" s="933"/>
      <c r="CC127" s="933"/>
      <c r="CF127" s="933"/>
      <c r="CI127" s="933"/>
      <c r="CL127" s="933"/>
      <c r="CO127" s="933"/>
      <c r="CP127" s="1485"/>
      <c r="CU127" s="933"/>
      <c r="CX127" s="933"/>
      <c r="DA127" s="933">
        <f t="shared" si="42"/>
        <v>0.76063642622467409</v>
      </c>
      <c r="DB127" s="933">
        <f t="shared" si="42"/>
        <v>0.76063642622467409</v>
      </c>
      <c r="DC127" s="933">
        <f t="shared" si="42"/>
        <v>0.76063642622467409</v>
      </c>
      <c r="DD127" s="933">
        <f t="shared" si="42"/>
        <v>0.76063642622467409</v>
      </c>
      <c r="DE127" s="933">
        <f t="shared" si="42"/>
        <v>0.76063642622467409</v>
      </c>
      <c r="DF127" s="933">
        <f t="shared" si="42"/>
        <v>0.76063642622467409</v>
      </c>
      <c r="DG127" s="933">
        <f t="shared" si="42"/>
        <v>0.76063642622467409</v>
      </c>
      <c r="DH127" s="933">
        <f t="shared" si="44"/>
        <v>0.76063642622467409</v>
      </c>
      <c r="DI127" s="933">
        <f t="shared" si="44"/>
        <v>0.76063642622467409</v>
      </c>
      <c r="DJ127" s="933">
        <f t="shared" si="44"/>
        <v>0.76063642622467409</v>
      </c>
      <c r="DK127" s="933">
        <f t="shared" si="44"/>
        <v>0.76063642622467409</v>
      </c>
      <c r="DL127" s="933">
        <f t="shared" si="44"/>
        <v>0.76063642622467409</v>
      </c>
      <c r="DM127" s="933">
        <f t="shared" si="44"/>
        <v>0.76063642622467409</v>
      </c>
      <c r="DN127" s="933">
        <f t="shared" si="44"/>
        <v>0.76063642622467409</v>
      </c>
      <c r="DO127" s="933">
        <f t="shared" si="44"/>
        <v>0.76063642622467409</v>
      </c>
      <c r="DP127" s="933">
        <f t="shared" si="44"/>
        <v>0.76063642622467409</v>
      </c>
      <c r="DQ127" s="933">
        <f t="shared" si="44"/>
        <v>0.76063642622467409</v>
      </c>
      <c r="DR127" s="933">
        <f t="shared" si="44"/>
        <v>0.76063642622467409</v>
      </c>
      <c r="DS127" s="933">
        <f t="shared" si="44"/>
        <v>0.76063642622467409</v>
      </c>
      <c r="DT127" s="933">
        <f t="shared" si="44"/>
        <v>0.76063642622467409</v>
      </c>
      <c r="DU127" s="933">
        <f t="shared" si="44"/>
        <v>0.76063642622467409</v>
      </c>
      <c r="DV127" s="933">
        <f t="shared" si="44"/>
        <v>0.76063642622467409</v>
      </c>
      <c r="DW127" s="933">
        <f t="shared" si="44"/>
        <v>0.76063642622467409</v>
      </c>
      <c r="DX127" s="933">
        <f t="shared" si="44"/>
        <v>0.76063642622467409</v>
      </c>
    </row>
    <row r="128" spans="1:128" x14ac:dyDescent="0.3">
      <c r="A128" s="923">
        <v>45108</v>
      </c>
      <c r="B128" s="1609">
        <v>169628</v>
      </c>
      <c r="C128" s="929">
        <v>264.06941900157284</v>
      </c>
      <c r="D128" s="930">
        <f t="shared" si="37"/>
        <v>44.793567406398793</v>
      </c>
      <c r="E128" s="931"/>
      <c r="F128" s="931"/>
      <c r="G128" s="931"/>
      <c r="H128" s="931"/>
      <c r="I128" s="931"/>
      <c r="J128" s="931"/>
      <c r="K128" s="931"/>
      <c r="L128" s="931"/>
      <c r="M128" s="931"/>
      <c r="N128" s="931"/>
      <c r="O128" s="931"/>
      <c r="P128" s="931"/>
      <c r="Q128" s="931"/>
      <c r="R128" s="931"/>
      <c r="S128" s="931"/>
      <c r="T128" s="931"/>
      <c r="U128" s="931"/>
      <c r="V128" s="931"/>
      <c r="W128" s="931"/>
      <c r="X128" s="931"/>
      <c r="Y128" s="931"/>
      <c r="Z128" s="931"/>
      <c r="AA128" s="931"/>
      <c r="AB128" s="931"/>
      <c r="AC128" s="931"/>
      <c r="AD128" s="931"/>
      <c r="AE128" s="931"/>
      <c r="AF128" s="931"/>
      <c r="AG128" s="931"/>
      <c r="AH128" s="931"/>
      <c r="AI128" s="931"/>
      <c r="AJ128" s="931"/>
      <c r="AK128" s="931"/>
      <c r="AL128" s="931"/>
      <c r="AM128" s="931"/>
      <c r="AN128" s="931"/>
      <c r="AO128" s="931"/>
      <c r="AP128" s="931"/>
      <c r="AQ128" s="931"/>
      <c r="AR128" s="931"/>
      <c r="AS128" s="931"/>
      <c r="AT128" s="931"/>
      <c r="AU128" s="931"/>
      <c r="AV128" s="931"/>
      <c r="AW128" s="931"/>
      <c r="AX128" s="931"/>
      <c r="AY128" s="931"/>
      <c r="AZ128" s="931"/>
      <c r="BA128" s="931"/>
      <c r="BB128" s="931"/>
      <c r="BC128" s="931"/>
      <c r="BD128" s="931"/>
      <c r="BE128" s="931"/>
      <c r="BF128" s="931"/>
      <c r="BG128" s="931"/>
      <c r="BH128" s="935"/>
      <c r="BI128" s="936"/>
      <c r="BJ128" s="936"/>
      <c r="BK128" s="935"/>
      <c r="BL128" s="933"/>
      <c r="BM128" s="933"/>
      <c r="BN128" s="933"/>
      <c r="BO128" s="933"/>
      <c r="BP128" s="933"/>
      <c r="BQ128" s="933"/>
      <c r="BR128" s="933"/>
      <c r="BS128" s="933"/>
      <c r="BT128" s="933"/>
      <c r="BU128" s="933"/>
      <c r="BV128" s="933"/>
      <c r="BW128" s="933"/>
      <c r="BX128" s="933"/>
      <c r="BY128" s="933"/>
      <c r="BZ128" s="933"/>
      <c r="CB128" s="933"/>
      <c r="CC128" s="933"/>
      <c r="CF128" s="933"/>
      <c r="CI128" s="933"/>
      <c r="CL128" s="933"/>
      <c r="CO128" s="933"/>
      <c r="CP128" s="1485"/>
      <c r="CU128" s="933"/>
      <c r="CX128" s="933"/>
      <c r="DA128" s="933"/>
      <c r="DB128" s="933">
        <f t="shared" si="42"/>
        <v>1.866398641933283</v>
      </c>
      <c r="DC128" s="933">
        <f t="shared" si="42"/>
        <v>1.866398641933283</v>
      </c>
      <c r="DD128" s="933">
        <f t="shared" si="42"/>
        <v>1.866398641933283</v>
      </c>
      <c r="DE128" s="933">
        <f t="shared" si="42"/>
        <v>1.866398641933283</v>
      </c>
      <c r="DF128" s="933">
        <f t="shared" si="42"/>
        <v>1.866398641933283</v>
      </c>
      <c r="DG128" s="933">
        <f t="shared" si="42"/>
        <v>1.866398641933283</v>
      </c>
      <c r="DH128" s="933">
        <f t="shared" si="44"/>
        <v>1.866398641933283</v>
      </c>
      <c r="DI128" s="933">
        <f t="shared" si="44"/>
        <v>1.866398641933283</v>
      </c>
      <c r="DJ128" s="933">
        <f t="shared" si="44"/>
        <v>1.866398641933283</v>
      </c>
      <c r="DK128" s="933">
        <f t="shared" si="44"/>
        <v>1.866398641933283</v>
      </c>
      <c r="DL128" s="933">
        <f t="shared" si="44"/>
        <v>1.866398641933283</v>
      </c>
      <c r="DM128" s="933">
        <f t="shared" si="44"/>
        <v>1.866398641933283</v>
      </c>
      <c r="DN128" s="933">
        <f t="shared" si="44"/>
        <v>1.866398641933283</v>
      </c>
      <c r="DO128" s="933">
        <f t="shared" si="44"/>
        <v>1.866398641933283</v>
      </c>
      <c r="DP128" s="933">
        <f t="shared" si="44"/>
        <v>1.866398641933283</v>
      </c>
      <c r="DQ128" s="933">
        <f t="shared" si="44"/>
        <v>1.866398641933283</v>
      </c>
      <c r="DR128" s="933">
        <f t="shared" si="44"/>
        <v>1.866398641933283</v>
      </c>
      <c r="DS128" s="933">
        <f t="shared" si="44"/>
        <v>1.866398641933283</v>
      </c>
      <c r="DT128" s="933">
        <f t="shared" si="44"/>
        <v>1.866398641933283</v>
      </c>
      <c r="DU128" s="933">
        <f t="shared" si="44"/>
        <v>1.866398641933283</v>
      </c>
      <c r="DV128" s="933">
        <f t="shared" ref="DV128:DX134" si="45">+$D128/24</f>
        <v>1.866398641933283</v>
      </c>
      <c r="DW128" s="933">
        <f t="shared" si="45"/>
        <v>1.866398641933283</v>
      </c>
      <c r="DX128" s="933">
        <f t="shared" si="45"/>
        <v>1.866398641933283</v>
      </c>
    </row>
    <row r="129" spans="1:128" x14ac:dyDescent="0.3">
      <c r="A129" s="923">
        <v>45139</v>
      </c>
      <c r="B129" s="1609">
        <v>172029</v>
      </c>
      <c r="C129" s="929">
        <v>295.39049782922285</v>
      </c>
      <c r="D129" s="930">
        <f t="shared" si="37"/>
        <v>50.815731951063377</v>
      </c>
      <c r="E129" s="931"/>
      <c r="F129" s="931"/>
      <c r="G129" s="931"/>
      <c r="H129" s="931"/>
      <c r="I129" s="931"/>
      <c r="J129" s="931"/>
      <c r="K129" s="931"/>
      <c r="L129" s="931"/>
      <c r="M129" s="931"/>
      <c r="N129" s="931"/>
      <c r="O129" s="931"/>
      <c r="P129" s="931"/>
      <c r="Q129" s="931"/>
      <c r="R129" s="931"/>
      <c r="S129" s="931"/>
      <c r="T129" s="931"/>
      <c r="U129" s="931"/>
      <c r="V129" s="931"/>
      <c r="W129" s="931"/>
      <c r="X129" s="931"/>
      <c r="Y129" s="931"/>
      <c r="Z129" s="931"/>
      <c r="AA129" s="931"/>
      <c r="AB129" s="931"/>
      <c r="AC129" s="931"/>
      <c r="AD129" s="931"/>
      <c r="AE129" s="931"/>
      <c r="AF129" s="931"/>
      <c r="AG129" s="931"/>
      <c r="AH129" s="931"/>
      <c r="AI129" s="931"/>
      <c r="AJ129" s="931"/>
      <c r="AK129" s="931"/>
      <c r="AL129" s="931"/>
      <c r="AM129" s="931"/>
      <c r="AN129" s="931"/>
      <c r="AO129" s="931"/>
      <c r="AP129" s="931"/>
      <c r="AQ129" s="931"/>
      <c r="AR129" s="931"/>
      <c r="AS129" s="931"/>
      <c r="AT129" s="931"/>
      <c r="AU129" s="931"/>
      <c r="AV129" s="931"/>
      <c r="AW129" s="931"/>
      <c r="AX129" s="931"/>
      <c r="AY129" s="931"/>
      <c r="AZ129" s="931"/>
      <c r="BA129" s="931"/>
      <c r="BB129" s="931"/>
      <c r="BC129" s="931"/>
      <c r="BD129" s="931"/>
      <c r="BE129" s="931"/>
      <c r="BF129" s="931"/>
      <c r="BG129" s="931"/>
      <c r="BH129" s="935"/>
      <c r="BI129" s="936"/>
      <c r="BJ129" s="936"/>
      <c r="BK129" s="935"/>
      <c r="BL129" s="933"/>
      <c r="BM129" s="933"/>
      <c r="BN129" s="933"/>
      <c r="BO129" s="933"/>
      <c r="BP129" s="933"/>
      <c r="BQ129" s="933"/>
      <c r="BR129" s="933"/>
      <c r="BS129" s="933"/>
      <c r="BT129" s="933"/>
      <c r="BU129" s="933"/>
      <c r="BV129" s="933"/>
      <c r="BW129" s="933"/>
      <c r="BX129" s="933"/>
      <c r="BY129" s="933"/>
      <c r="BZ129" s="933"/>
      <c r="CB129" s="933"/>
      <c r="CC129" s="933"/>
      <c r="CF129" s="933"/>
      <c r="CI129" s="933"/>
      <c r="CL129" s="933"/>
      <c r="CO129" s="933"/>
      <c r="CP129" s="1485"/>
      <c r="CU129" s="933"/>
      <c r="CX129" s="933"/>
      <c r="DA129" s="933"/>
      <c r="DB129" s="933"/>
      <c r="DC129" s="933">
        <f t="shared" si="42"/>
        <v>2.1173221646276406</v>
      </c>
      <c r="DD129" s="933">
        <f t="shared" si="42"/>
        <v>2.1173221646276406</v>
      </c>
      <c r="DE129" s="933">
        <f t="shared" si="42"/>
        <v>2.1173221646276406</v>
      </c>
      <c r="DF129" s="933">
        <f t="shared" si="42"/>
        <v>2.1173221646276406</v>
      </c>
      <c r="DG129" s="933">
        <f t="shared" si="42"/>
        <v>2.1173221646276406</v>
      </c>
      <c r="DH129" s="933">
        <f t="shared" si="44"/>
        <v>2.1173221646276406</v>
      </c>
      <c r="DI129" s="933">
        <f t="shared" si="44"/>
        <v>2.1173221646276406</v>
      </c>
      <c r="DJ129" s="933">
        <f t="shared" si="44"/>
        <v>2.1173221646276406</v>
      </c>
      <c r="DK129" s="933">
        <f t="shared" si="44"/>
        <v>2.1173221646276406</v>
      </c>
      <c r="DL129" s="933">
        <f t="shared" si="44"/>
        <v>2.1173221646276406</v>
      </c>
      <c r="DM129" s="933">
        <f t="shared" si="44"/>
        <v>2.1173221646276406</v>
      </c>
      <c r="DN129" s="933">
        <f t="shared" si="44"/>
        <v>2.1173221646276406</v>
      </c>
      <c r="DO129" s="933">
        <f t="shared" si="44"/>
        <v>2.1173221646276406</v>
      </c>
      <c r="DP129" s="933">
        <f t="shared" si="44"/>
        <v>2.1173221646276406</v>
      </c>
      <c r="DQ129" s="933">
        <f t="shared" si="44"/>
        <v>2.1173221646276406</v>
      </c>
      <c r="DR129" s="933">
        <f t="shared" si="44"/>
        <v>2.1173221646276406</v>
      </c>
      <c r="DS129" s="933">
        <f t="shared" si="44"/>
        <v>2.1173221646276406</v>
      </c>
      <c r="DT129" s="933">
        <f t="shared" si="44"/>
        <v>2.1173221646276406</v>
      </c>
      <c r="DU129" s="933">
        <f t="shared" si="44"/>
        <v>2.1173221646276406</v>
      </c>
      <c r="DV129" s="933">
        <f t="shared" si="45"/>
        <v>2.1173221646276406</v>
      </c>
      <c r="DW129" s="933">
        <f t="shared" si="45"/>
        <v>2.1173221646276406</v>
      </c>
      <c r="DX129" s="933">
        <f t="shared" si="45"/>
        <v>2.1173221646276406</v>
      </c>
    </row>
    <row r="130" spans="1:128" x14ac:dyDescent="0.3">
      <c r="A130" s="923">
        <v>45170</v>
      </c>
      <c r="B130" s="1609">
        <v>210779</v>
      </c>
      <c r="C130" s="929">
        <v>295.39049782922285</v>
      </c>
      <c r="D130" s="930">
        <f t="shared" si="37"/>
        <v>62.262113741945768</v>
      </c>
      <c r="E130" s="931"/>
      <c r="F130" s="931"/>
      <c r="G130" s="931"/>
      <c r="H130" s="931"/>
      <c r="I130" s="931"/>
      <c r="J130" s="931"/>
      <c r="K130" s="931"/>
      <c r="L130" s="931"/>
      <c r="M130" s="931"/>
      <c r="N130" s="931"/>
      <c r="O130" s="931"/>
      <c r="P130" s="931"/>
      <c r="Q130" s="931"/>
      <c r="R130" s="931"/>
      <c r="S130" s="931"/>
      <c r="T130" s="931"/>
      <c r="U130" s="931"/>
      <c r="V130" s="931"/>
      <c r="W130" s="931"/>
      <c r="X130" s="931"/>
      <c r="Y130" s="931"/>
      <c r="Z130" s="931"/>
      <c r="AA130" s="931"/>
      <c r="AB130" s="931"/>
      <c r="AC130" s="931"/>
      <c r="AD130" s="931"/>
      <c r="AE130" s="931"/>
      <c r="AF130" s="931"/>
      <c r="AG130" s="931"/>
      <c r="AH130" s="931"/>
      <c r="AI130" s="931"/>
      <c r="AJ130" s="931"/>
      <c r="AK130" s="931"/>
      <c r="AL130" s="931"/>
      <c r="AM130" s="931"/>
      <c r="AN130" s="931"/>
      <c r="AO130" s="931"/>
      <c r="AP130" s="931"/>
      <c r="AQ130" s="931"/>
      <c r="AR130" s="931"/>
      <c r="AS130" s="931"/>
      <c r="AT130" s="931"/>
      <c r="AU130" s="931"/>
      <c r="AV130" s="931"/>
      <c r="AW130" s="931"/>
      <c r="AX130" s="931"/>
      <c r="AY130" s="931"/>
      <c r="AZ130" s="931"/>
      <c r="BA130" s="931"/>
      <c r="BB130" s="931"/>
      <c r="BC130" s="931"/>
      <c r="BD130" s="931"/>
      <c r="BE130" s="931"/>
      <c r="BF130" s="931"/>
      <c r="BG130" s="931"/>
      <c r="BH130" s="935"/>
      <c r="BI130" s="936"/>
      <c r="BJ130" s="936"/>
      <c r="BK130" s="935"/>
      <c r="BL130" s="933"/>
      <c r="BM130" s="933"/>
      <c r="BN130" s="933"/>
      <c r="BO130" s="933"/>
      <c r="BP130" s="933"/>
      <c r="BQ130" s="933"/>
      <c r="BR130" s="933"/>
      <c r="BS130" s="933"/>
      <c r="BT130" s="933"/>
      <c r="BU130" s="933"/>
      <c r="BV130" s="933"/>
      <c r="BW130" s="933"/>
      <c r="BX130" s="933"/>
      <c r="BY130" s="933"/>
      <c r="BZ130" s="933"/>
      <c r="CB130" s="933"/>
      <c r="CC130" s="933"/>
      <c r="CF130" s="933"/>
      <c r="CI130" s="933"/>
      <c r="CL130" s="933"/>
      <c r="CO130" s="933"/>
      <c r="CP130" s="1485"/>
      <c r="CU130" s="933"/>
      <c r="CX130" s="933"/>
      <c r="DA130" s="933"/>
      <c r="DB130" s="933"/>
      <c r="DC130" s="933"/>
      <c r="DD130" s="933">
        <f t="shared" si="42"/>
        <v>2.5942547392477402</v>
      </c>
      <c r="DE130" s="933">
        <f t="shared" si="42"/>
        <v>2.5942547392477402</v>
      </c>
      <c r="DF130" s="933">
        <f t="shared" si="42"/>
        <v>2.5942547392477402</v>
      </c>
      <c r="DG130" s="933">
        <f t="shared" si="42"/>
        <v>2.5942547392477402</v>
      </c>
      <c r="DH130" s="933">
        <f t="shared" si="44"/>
        <v>2.5942547392477402</v>
      </c>
      <c r="DI130" s="933">
        <f t="shared" si="44"/>
        <v>2.5942547392477402</v>
      </c>
      <c r="DJ130" s="933">
        <f t="shared" si="44"/>
        <v>2.5942547392477402</v>
      </c>
      <c r="DK130" s="933">
        <f t="shared" si="44"/>
        <v>2.5942547392477402</v>
      </c>
      <c r="DL130" s="933">
        <f t="shared" si="44"/>
        <v>2.5942547392477402</v>
      </c>
      <c r="DM130" s="933">
        <f t="shared" si="44"/>
        <v>2.5942547392477402</v>
      </c>
      <c r="DN130" s="933">
        <f t="shared" si="44"/>
        <v>2.5942547392477402</v>
      </c>
      <c r="DO130" s="933">
        <f t="shared" si="44"/>
        <v>2.5942547392477402</v>
      </c>
      <c r="DP130" s="933">
        <f t="shared" si="44"/>
        <v>2.5942547392477402</v>
      </c>
      <c r="DQ130" s="933">
        <f t="shared" si="44"/>
        <v>2.5942547392477402</v>
      </c>
      <c r="DR130" s="933">
        <f t="shared" si="44"/>
        <v>2.5942547392477402</v>
      </c>
      <c r="DS130" s="933">
        <f t="shared" si="44"/>
        <v>2.5942547392477402</v>
      </c>
      <c r="DT130" s="933">
        <f t="shared" si="44"/>
        <v>2.5942547392477402</v>
      </c>
      <c r="DU130" s="933">
        <f t="shared" si="44"/>
        <v>2.5942547392477402</v>
      </c>
      <c r="DV130" s="933">
        <f t="shared" si="45"/>
        <v>2.5942547392477402</v>
      </c>
      <c r="DW130" s="933">
        <f t="shared" si="45"/>
        <v>2.5942547392477402</v>
      </c>
      <c r="DX130" s="933">
        <f t="shared" si="45"/>
        <v>2.5942547392477402</v>
      </c>
    </row>
    <row r="131" spans="1:128" x14ac:dyDescent="0.3">
      <c r="A131" s="923">
        <v>45200</v>
      </c>
      <c r="B131" s="1609">
        <v>186468.64406779662</v>
      </c>
      <c r="C131" s="929">
        <v>295.39049782922285</v>
      </c>
      <c r="D131" s="930">
        <f t="shared" si="37"/>
        <v>55.081065600726603</v>
      </c>
      <c r="E131" s="931"/>
      <c r="F131" s="931"/>
      <c r="G131" s="931"/>
      <c r="H131" s="931"/>
      <c r="I131" s="931"/>
      <c r="J131" s="931"/>
      <c r="K131" s="931"/>
      <c r="L131" s="931"/>
      <c r="M131" s="931"/>
      <c r="N131" s="931"/>
      <c r="O131" s="931"/>
      <c r="P131" s="931"/>
      <c r="Q131" s="931"/>
      <c r="R131" s="931"/>
      <c r="S131" s="931"/>
      <c r="T131" s="931"/>
      <c r="U131" s="931"/>
      <c r="V131" s="931"/>
      <c r="W131" s="931"/>
      <c r="X131" s="931"/>
      <c r="Y131" s="931"/>
      <c r="Z131" s="931"/>
      <c r="AA131" s="931"/>
      <c r="AB131" s="931"/>
      <c r="AC131" s="931"/>
      <c r="AD131" s="931"/>
      <c r="AE131" s="931"/>
      <c r="AF131" s="931"/>
      <c r="AG131" s="931"/>
      <c r="AH131" s="931"/>
      <c r="AI131" s="931"/>
      <c r="AJ131" s="931"/>
      <c r="AK131" s="931"/>
      <c r="AL131" s="931"/>
      <c r="AM131" s="931"/>
      <c r="AN131" s="931"/>
      <c r="AO131" s="931"/>
      <c r="AP131" s="931"/>
      <c r="AQ131" s="931"/>
      <c r="AR131" s="931"/>
      <c r="AS131" s="931"/>
      <c r="AT131" s="931"/>
      <c r="AU131" s="931"/>
      <c r="AV131" s="931"/>
      <c r="AW131" s="931"/>
      <c r="AX131" s="931"/>
      <c r="AY131" s="931"/>
      <c r="AZ131" s="931"/>
      <c r="BA131" s="931"/>
      <c r="BB131" s="931"/>
      <c r="BC131" s="931"/>
      <c r="BD131" s="931"/>
      <c r="BE131" s="931"/>
      <c r="BF131" s="931"/>
      <c r="BG131" s="931"/>
      <c r="BH131" s="935"/>
      <c r="BI131" s="936"/>
      <c r="BJ131" s="936"/>
      <c r="BK131" s="935"/>
      <c r="BL131" s="933"/>
      <c r="BM131" s="933"/>
      <c r="BN131" s="933"/>
      <c r="BO131" s="933"/>
      <c r="BP131" s="933"/>
      <c r="BQ131" s="933"/>
      <c r="BR131" s="933"/>
      <c r="BS131" s="933"/>
      <c r="BT131" s="933"/>
      <c r="BU131" s="933"/>
      <c r="BV131" s="933"/>
      <c r="BW131" s="933"/>
      <c r="BX131" s="933"/>
      <c r="BY131" s="933"/>
      <c r="BZ131" s="933"/>
      <c r="CB131" s="933"/>
      <c r="CC131" s="933"/>
      <c r="CF131" s="933"/>
      <c r="CI131" s="933"/>
      <c r="CL131" s="933"/>
      <c r="CO131" s="933"/>
      <c r="CP131" s="1485"/>
      <c r="CU131" s="933"/>
      <c r="CX131" s="933"/>
      <c r="DA131" s="933"/>
      <c r="DB131" s="933"/>
      <c r="DC131" s="933"/>
      <c r="DD131" s="933"/>
      <c r="DE131" s="933">
        <f>+$D131/24</f>
        <v>2.295044400030275</v>
      </c>
      <c r="DF131" s="933">
        <f>+$D131/24</f>
        <v>2.295044400030275</v>
      </c>
      <c r="DG131" s="933">
        <f t="shared" ref="DG131" si="46">+$D131/24</f>
        <v>2.295044400030275</v>
      </c>
      <c r="DH131" s="933">
        <f t="shared" si="44"/>
        <v>2.295044400030275</v>
      </c>
      <c r="DI131" s="933">
        <f t="shared" si="44"/>
        <v>2.295044400030275</v>
      </c>
      <c r="DJ131" s="933">
        <f t="shared" si="44"/>
        <v>2.295044400030275</v>
      </c>
      <c r="DK131" s="933">
        <f t="shared" si="44"/>
        <v>2.295044400030275</v>
      </c>
      <c r="DL131" s="933">
        <f t="shared" si="44"/>
        <v>2.295044400030275</v>
      </c>
      <c r="DM131" s="933">
        <f t="shared" si="44"/>
        <v>2.295044400030275</v>
      </c>
      <c r="DN131" s="933">
        <f t="shared" si="44"/>
        <v>2.295044400030275</v>
      </c>
      <c r="DO131" s="933">
        <f t="shared" si="44"/>
        <v>2.295044400030275</v>
      </c>
      <c r="DP131" s="933">
        <f t="shared" si="44"/>
        <v>2.295044400030275</v>
      </c>
      <c r="DQ131" s="933">
        <f t="shared" si="44"/>
        <v>2.295044400030275</v>
      </c>
      <c r="DR131" s="933">
        <f t="shared" si="44"/>
        <v>2.295044400030275</v>
      </c>
      <c r="DS131" s="933">
        <f t="shared" si="44"/>
        <v>2.295044400030275</v>
      </c>
      <c r="DT131" s="933">
        <f t="shared" si="44"/>
        <v>2.295044400030275</v>
      </c>
      <c r="DU131" s="933">
        <f t="shared" si="44"/>
        <v>2.295044400030275</v>
      </c>
      <c r="DV131" s="933">
        <f t="shared" si="45"/>
        <v>2.295044400030275</v>
      </c>
      <c r="DW131" s="933">
        <f t="shared" si="45"/>
        <v>2.295044400030275</v>
      </c>
      <c r="DX131" s="933">
        <f t="shared" si="45"/>
        <v>2.295044400030275</v>
      </c>
    </row>
    <row r="132" spans="1:128" x14ac:dyDescent="0.3">
      <c r="A132" s="923">
        <v>45231</v>
      </c>
      <c r="B132" s="1609">
        <v>199227</v>
      </c>
      <c r="C132" s="929">
        <v>295.39049782922285</v>
      </c>
      <c r="D132" s="930">
        <f t="shared" si="37"/>
        <v>58.849762711022578</v>
      </c>
      <c r="E132" s="931"/>
      <c r="F132" s="931"/>
      <c r="G132" s="931"/>
      <c r="H132" s="931"/>
      <c r="I132" s="931"/>
      <c r="J132" s="931"/>
      <c r="K132" s="931"/>
      <c r="L132" s="931"/>
      <c r="M132" s="931"/>
      <c r="N132" s="931"/>
      <c r="O132" s="931"/>
      <c r="P132" s="931"/>
      <c r="Q132" s="931"/>
      <c r="R132" s="931"/>
      <c r="S132" s="931"/>
      <c r="T132" s="931"/>
      <c r="U132" s="931"/>
      <c r="V132" s="931"/>
      <c r="W132" s="931"/>
      <c r="X132" s="931"/>
      <c r="Y132" s="931"/>
      <c r="Z132" s="931"/>
      <c r="AA132" s="931"/>
      <c r="AB132" s="931"/>
      <c r="AC132" s="931"/>
      <c r="AD132" s="931"/>
      <c r="AE132" s="931"/>
      <c r="AF132" s="931"/>
      <c r="AG132" s="931"/>
      <c r="AH132" s="931"/>
      <c r="AI132" s="931"/>
      <c r="AJ132" s="931"/>
      <c r="AK132" s="931"/>
      <c r="AL132" s="931"/>
      <c r="AM132" s="931"/>
      <c r="AN132" s="931"/>
      <c r="AO132" s="931"/>
      <c r="AP132" s="931"/>
      <c r="AQ132" s="931"/>
      <c r="AR132" s="931"/>
      <c r="AS132" s="931"/>
      <c r="AT132" s="931"/>
      <c r="AU132" s="931"/>
      <c r="AV132" s="931"/>
      <c r="AW132" s="931"/>
      <c r="AX132" s="931"/>
      <c r="AY132" s="931"/>
      <c r="AZ132" s="931"/>
      <c r="BA132" s="931"/>
      <c r="BB132" s="931"/>
      <c r="BC132" s="931"/>
      <c r="BD132" s="931"/>
      <c r="BE132" s="931"/>
      <c r="BF132" s="931"/>
      <c r="BG132" s="931"/>
      <c r="BH132" s="935"/>
      <c r="BI132" s="936"/>
      <c r="BJ132" s="936"/>
      <c r="BK132" s="935"/>
      <c r="BL132" s="933"/>
      <c r="BM132" s="933"/>
      <c r="BN132" s="933"/>
      <c r="BO132" s="933"/>
      <c r="BP132" s="933"/>
      <c r="BQ132" s="933"/>
      <c r="BR132" s="933"/>
      <c r="BS132" s="933"/>
      <c r="BT132" s="933"/>
      <c r="BU132" s="933"/>
      <c r="BV132" s="933"/>
      <c r="BW132" s="933"/>
      <c r="BX132" s="933"/>
      <c r="BY132" s="933"/>
      <c r="BZ132" s="933"/>
      <c r="CB132" s="933"/>
      <c r="CC132" s="933"/>
      <c r="CF132" s="933"/>
      <c r="CI132" s="933"/>
      <c r="CL132" s="933"/>
      <c r="CO132" s="933"/>
      <c r="CP132" s="1485"/>
      <c r="CU132" s="933"/>
      <c r="CX132" s="933"/>
      <c r="DA132" s="933"/>
      <c r="DB132" s="933"/>
      <c r="DC132" s="933"/>
      <c r="DD132" s="933"/>
      <c r="DF132" s="933">
        <f>+$D132/24</f>
        <v>2.4520734462926073</v>
      </c>
      <c r="DG132" s="933">
        <f>+$D132/24</f>
        <v>2.4520734462926073</v>
      </c>
      <c r="DH132" s="933">
        <f t="shared" si="44"/>
        <v>2.4520734462926073</v>
      </c>
      <c r="DI132" s="933">
        <f t="shared" si="44"/>
        <v>2.4520734462926073</v>
      </c>
      <c r="DJ132" s="933">
        <f t="shared" si="44"/>
        <v>2.4520734462926073</v>
      </c>
      <c r="DK132" s="933">
        <f t="shared" si="44"/>
        <v>2.4520734462926073</v>
      </c>
      <c r="DL132" s="933">
        <f t="shared" si="44"/>
        <v>2.4520734462926073</v>
      </c>
      <c r="DM132" s="933">
        <f t="shared" si="44"/>
        <v>2.4520734462926073</v>
      </c>
      <c r="DN132" s="933">
        <f t="shared" si="44"/>
        <v>2.4520734462926073</v>
      </c>
      <c r="DO132" s="933">
        <f t="shared" si="44"/>
        <v>2.4520734462926073</v>
      </c>
      <c r="DP132" s="933">
        <f t="shared" si="44"/>
        <v>2.4520734462926073</v>
      </c>
      <c r="DQ132" s="933">
        <f t="shared" si="44"/>
        <v>2.4520734462926073</v>
      </c>
      <c r="DR132" s="933">
        <f t="shared" si="44"/>
        <v>2.4520734462926073</v>
      </c>
      <c r="DS132" s="933">
        <f t="shared" si="44"/>
        <v>2.4520734462926073</v>
      </c>
      <c r="DT132" s="933">
        <f t="shared" si="44"/>
        <v>2.4520734462926073</v>
      </c>
      <c r="DU132" s="933">
        <f t="shared" si="44"/>
        <v>2.4520734462926073</v>
      </c>
      <c r="DV132" s="933">
        <f t="shared" si="45"/>
        <v>2.4520734462926073</v>
      </c>
      <c r="DW132" s="933">
        <f t="shared" si="45"/>
        <v>2.4520734462926073</v>
      </c>
      <c r="DX132" s="933">
        <f t="shared" si="45"/>
        <v>2.4520734462926073</v>
      </c>
    </row>
    <row r="133" spans="1:128" x14ac:dyDescent="0.3">
      <c r="A133" s="923">
        <v>45261</v>
      </c>
      <c r="B133" s="932">
        <f>21662372.8813559/100</f>
        <v>216623.72881355899</v>
      </c>
      <c r="C133" s="929">
        <v>296.98049782922283</v>
      </c>
      <c r="D133" s="930">
        <f t="shared" si="37"/>
        <v>64.333022824673307</v>
      </c>
      <c r="E133" s="931"/>
      <c r="F133" s="931"/>
      <c r="G133" s="931"/>
      <c r="H133" s="931"/>
      <c r="I133" s="931"/>
      <c r="J133" s="931"/>
      <c r="K133" s="931"/>
      <c r="L133" s="931"/>
      <c r="M133" s="931"/>
      <c r="N133" s="931"/>
      <c r="O133" s="931"/>
      <c r="P133" s="931"/>
      <c r="Q133" s="931"/>
      <c r="R133" s="931"/>
      <c r="S133" s="931"/>
      <c r="T133" s="931"/>
      <c r="U133" s="931"/>
      <c r="V133" s="931"/>
      <c r="W133" s="931"/>
      <c r="X133" s="931"/>
      <c r="Y133" s="931"/>
      <c r="Z133" s="931"/>
      <c r="AA133" s="931"/>
      <c r="AB133" s="931"/>
      <c r="AC133" s="931"/>
      <c r="AD133" s="931"/>
      <c r="AE133" s="931"/>
      <c r="AF133" s="931"/>
      <c r="AG133" s="931"/>
      <c r="AH133" s="931"/>
      <c r="AI133" s="931"/>
      <c r="AJ133" s="931"/>
      <c r="AK133" s="931"/>
      <c r="AL133" s="931"/>
      <c r="AM133" s="931"/>
      <c r="AN133" s="931"/>
      <c r="AO133" s="931"/>
      <c r="AP133" s="931"/>
      <c r="AQ133" s="931"/>
      <c r="AR133" s="931"/>
      <c r="AS133" s="931"/>
      <c r="AT133" s="931"/>
      <c r="AU133" s="931"/>
      <c r="AV133" s="931"/>
      <c r="AW133" s="931"/>
      <c r="AX133" s="931"/>
      <c r="AY133" s="931"/>
      <c r="AZ133" s="931"/>
      <c r="BA133" s="931"/>
      <c r="BB133" s="931"/>
      <c r="BC133" s="931"/>
      <c r="BD133" s="931"/>
      <c r="BE133" s="931"/>
      <c r="BF133" s="931"/>
      <c r="BG133" s="931"/>
      <c r="BH133" s="935"/>
      <c r="BI133" s="936"/>
      <c r="BJ133" s="936"/>
      <c r="BK133" s="935"/>
      <c r="BL133" s="933"/>
      <c r="BM133" s="933"/>
      <c r="BN133" s="933"/>
      <c r="BO133" s="933"/>
      <c r="BP133" s="933"/>
      <c r="BQ133" s="933"/>
      <c r="BR133" s="933"/>
      <c r="BS133" s="933"/>
      <c r="BT133" s="933"/>
      <c r="BU133" s="933"/>
      <c r="BV133" s="933"/>
      <c r="BW133" s="933"/>
      <c r="BX133" s="933"/>
      <c r="BY133" s="933"/>
      <c r="BZ133" s="933"/>
      <c r="CB133" s="933"/>
      <c r="CC133" s="933"/>
      <c r="CF133" s="933"/>
      <c r="CI133" s="933"/>
      <c r="CL133" s="933"/>
      <c r="CO133" s="933"/>
      <c r="CP133" s="1485"/>
      <c r="CU133" s="933"/>
      <c r="CX133" s="933"/>
      <c r="DA133" s="933"/>
      <c r="DB133" s="933"/>
      <c r="DC133" s="933"/>
      <c r="DD133" s="933"/>
      <c r="DG133" s="933">
        <f>+$D133/24</f>
        <v>2.6805426176947211</v>
      </c>
      <c r="DH133" s="933">
        <f t="shared" si="44"/>
        <v>2.6805426176947211</v>
      </c>
      <c r="DI133" s="933">
        <f t="shared" si="44"/>
        <v>2.6805426176947211</v>
      </c>
      <c r="DJ133" s="933">
        <f t="shared" si="44"/>
        <v>2.6805426176947211</v>
      </c>
      <c r="DK133" s="933">
        <f t="shared" si="44"/>
        <v>2.6805426176947211</v>
      </c>
      <c r="DL133" s="933">
        <f t="shared" si="44"/>
        <v>2.6805426176947211</v>
      </c>
      <c r="DM133" s="933">
        <f t="shared" si="44"/>
        <v>2.6805426176947211</v>
      </c>
      <c r="DN133" s="933">
        <f t="shared" si="44"/>
        <v>2.6805426176947211</v>
      </c>
      <c r="DO133" s="933">
        <f t="shared" si="44"/>
        <v>2.6805426176947211</v>
      </c>
      <c r="DP133" s="933">
        <f t="shared" si="44"/>
        <v>2.6805426176947211</v>
      </c>
      <c r="DQ133" s="933">
        <f t="shared" si="44"/>
        <v>2.6805426176947211</v>
      </c>
      <c r="DR133" s="933">
        <f t="shared" si="44"/>
        <v>2.6805426176947211</v>
      </c>
      <c r="DS133" s="933">
        <f t="shared" si="44"/>
        <v>2.6805426176947211</v>
      </c>
      <c r="DT133" s="933">
        <f t="shared" si="44"/>
        <v>2.6805426176947211</v>
      </c>
      <c r="DU133" s="933">
        <f t="shared" si="44"/>
        <v>2.6805426176947211</v>
      </c>
      <c r="DV133" s="933">
        <f t="shared" si="45"/>
        <v>2.6805426176947211</v>
      </c>
      <c r="DW133" s="933">
        <f t="shared" si="45"/>
        <v>2.6805426176947211</v>
      </c>
      <c r="DX133" s="933">
        <f t="shared" si="45"/>
        <v>2.6805426176947211</v>
      </c>
    </row>
    <row r="134" spans="1:128" x14ac:dyDescent="0.3">
      <c r="A134" s="923">
        <v>45292</v>
      </c>
      <c r="B134" s="932">
        <v>190386</v>
      </c>
      <c r="C134" s="929">
        <v>295.39049782922285</v>
      </c>
      <c r="D134" s="930">
        <f t="shared" si="37"/>
        <v>56.238215319714421</v>
      </c>
      <c r="E134" s="931"/>
      <c r="F134" s="931"/>
      <c r="G134" s="931"/>
      <c r="H134" s="931"/>
      <c r="I134" s="931"/>
      <c r="J134" s="931"/>
      <c r="K134" s="931"/>
      <c r="L134" s="931"/>
      <c r="M134" s="931"/>
      <c r="N134" s="931"/>
      <c r="O134" s="931"/>
      <c r="P134" s="931"/>
      <c r="Q134" s="931"/>
      <c r="R134" s="931"/>
      <c r="S134" s="931"/>
      <c r="T134" s="931"/>
      <c r="U134" s="931"/>
      <c r="V134" s="931"/>
      <c r="W134" s="931"/>
      <c r="X134" s="931"/>
      <c r="Y134" s="931"/>
      <c r="Z134" s="931"/>
      <c r="AA134" s="931"/>
      <c r="AB134" s="931"/>
      <c r="AC134" s="931"/>
      <c r="AD134" s="931"/>
      <c r="AE134" s="931"/>
      <c r="AF134" s="931"/>
      <c r="AG134" s="931"/>
      <c r="AH134" s="931"/>
      <c r="AI134" s="931"/>
      <c r="AJ134" s="931"/>
      <c r="AK134" s="931"/>
      <c r="AL134" s="931"/>
      <c r="AM134" s="931"/>
      <c r="AN134" s="931"/>
      <c r="AO134" s="931"/>
      <c r="AP134" s="931"/>
      <c r="AQ134" s="931"/>
      <c r="AR134" s="931"/>
      <c r="AS134" s="931"/>
      <c r="AT134" s="931"/>
      <c r="AU134" s="931"/>
      <c r="AV134" s="931"/>
      <c r="AW134" s="931"/>
      <c r="AX134" s="931"/>
      <c r="AY134" s="931"/>
      <c r="AZ134" s="931"/>
      <c r="BA134" s="931"/>
      <c r="BB134" s="931"/>
      <c r="BC134" s="931"/>
      <c r="BD134" s="931"/>
      <c r="BE134" s="931"/>
      <c r="BF134" s="931"/>
      <c r="BG134" s="931"/>
      <c r="BH134" s="935"/>
      <c r="BI134" s="936"/>
      <c r="BJ134" s="936"/>
      <c r="BK134" s="935"/>
      <c r="BL134" s="933"/>
      <c r="BM134" s="933"/>
      <c r="BN134" s="933"/>
      <c r="BO134" s="933"/>
      <c r="BP134" s="933"/>
      <c r="BQ134" s="933"/>
      <c r="BR134" s="933"/>
      <c r="BS134" s="933"/>
      <c r="BT134" s="933"/>
      <c r="BU134" s="933"/>
      <c r="BV134" s="933"/>
      <c r="BW134" s="933"/>
      <c r="BX134" s="933"/>
      <c r="BY134" s="933"/>
      <c r="BZ134" s="933"/>
      <c r="CB134" s="933"/>
      <c r="CC134" s="933"/>
      <c r="CF134" s="933"/>
      <c r="CI134" s="933"/>
      <c r="CL134" s="933"/>
      <c r="CO134" s="933"/>
      <c r="CP134" s="1485"/>
      <c r="CU134" s="933"/>
      <c r="CX134" s="933"/>
      <c r="DA134" s="933"/>
      <c r="DB134" s="933"/>
      <c r="DC134" s="933"/>
      <c r="DD134" s="933"/>
      <c r="DG134" s="1485"/>
      <c r="DH134" s="933">
        <f t="shared" si="44"/>
        <v>2.3432589716547674</v>
      </c>
      <c r="DI134" s="933">
        <f t="shared" si="44"/>
        <v>2.3432589716547674</v>
      </c>
      <c r="DJ134" s="933">
        <f t="shared" si="44"/>
        <v>2.3432589716547674</v>
      </c>
      <c r="DK134" s="933">
        <f t="shared" si="44"/>
        <v>2.3432589716547674</v>
      </c>
      <c r="DL134" s="933">
        <f t="shared" si="44"/>
        <v>2.3432589716547674</v>
      </c>
      <c r="DM134" s="933">
        <f t="shared" si="44"/>
        <v>2.3432589716547674</v>
      </c>
      <c r="DN134" s="933">
        <f t="shared" si="44"/>
        <v>2.3432589716547674</v>
      </c>
      <c r="DO134" s="933">
        <f t="shared" si="44"/>
        <v>2.3432589716547674</v>
      </c>
      <c r="DP134" s="933">
        <f t="shared" si="44"/>
        <v>2.3432589716547674</v>
      </c>
      <c r="DQ134" s="933">
        <f t="shared" si="44"/>
        <v>2.3432589716547674</v>
      </c>
      <c r="DR134" s="933">
        <f t="shared" si="44"/>
        <v>2.3432589716547674</v>
      </c>
      <c r="DS134" s="933">
        <f t="shared" si="44"/>
        <v>2.3432589716547674</v>
      </c>
      <c r="DT134" s="933">
        <f t="shared" si="44"/>
        <v>2.3432589716547674</v>
      </c>
      <c r="DU134" s="933">
        <f t="shared" si="44"/>
        <v>2.3432589716547674</v>
      </c>
      <c r="DV134" s="933">
        <f t="shared" si="45"/>
        <v>2.3432589716547674</v>
      </c>
      <c r="DW134" s="933">
        <f t="shared" si="45"/>
        <v>2.3432589716547674</v>
      </c>
      <c r="DX134" s="933">
        <f t="shared" si="45"/>
        <v>2.3432589716547674</v>
      </c>
    </row>
    <row r="135" spans="1:128" x14ac:dyDescent="0.3">
      <c r="A135" s="923">
        <v>45323</v>
      </c>
      <c r="B135" s="932">
        <v>198877.11864406778</v>
      </c>
      <c r="C135" s="929">
        <v>295.39049782922285</v>
      </c>
      <c r="D135" s="930">
        <f t="shared" si="37"/>
        <v>58.746411083112598</v>
      </c>
      <c r="E135" s="931"/>
      <c r="F135" s="931"/>
      <c r="G135" s="931"/>
      <c r="H135" s="931"/>
      <c r="I135" s="931"/>
      <c r="J135" s="931"/>
      <c r="K135" s="931"/>
      <c r="L135" s="931"/>
      <c r="M135" s="931"/>
      <c r="N135" s="931"/>
      <c r="O135" s="931"/>
      <c r="P135" s="931"/>
      <c r="Q135" s="931"/>
      <c r="R135" s="931"/>
      <c r="S135" s="931"/>
      <c r="T135" s="931"/>
      <c r="U135" s="931"/>
      <c r="V135" s="931"/>
      <c r="W135" s="931"/>
      <c r="X135" s="931"/>
      <c r="Y135" s="931"/>
      <c r="Z135" s="931"/>
      <c r="AA135" s="931"/>
      <c r="AB135" s="931"/>
      <c r="AC135" s="931"/>
      <c r="AD135" s="931"/>
      <c r="AE135" s="931"/>
      <c r="AF135" s="931"/>
      <c r="AG135" s="931"/>
      <c r="AH135" s="931"/>
      <c r="AI135" s="931"/>
      <c r="AJ135" s="931"/>
      <c r="AK135" s="931"/>
      <c r="AL135" s="931"/>
      <c r="AM135" s="931"/>
      <c r="AN135" s="931"/>
      <c r="AO135" s="931"/>
      <c r="AP135" s="931"/>
      <c r="AQ135" s="931"/>
      <c r="AR135" s="931"/>
      <c r="AS135" s="931"/>
      <c r="AT135" s="931"/>
      <c r="AU135" s="931"/>
      <c r="AV135" s="931"/>
      <c r="AW135" s="931"/>
      <c r="AX135" s="931"/>
      <c r="AY135" s="931"/>
      <c r="AZ135" s="931"/>
      <c r="BA135" s="931"/>
      <c r="BB135" s="931"/>
      <c r="BC135" s="931"/>
      <c r="BD135" s="931"/>
      <c r="BE135" s="931"/>
      <c r="BF135" s="931"/>
      <c r="BG135" s="931"/>
      <c r="BH135" s="935"/>
      <c r="BI135" s="936"/>
      <c r="BJ135" s="936"/>
      <c r="BK135" s="935"/>
      <c r="BL135" s="933"/>
      <c r="BM135" s="933"/>
      <c r="BN135" s="933"/>
      <c r="BO135" s="933"/>
      <c r="BP135" s="933"/>
      <c r="BQ135" s="933"/>
      <c r="BR135" s="933"/>
      <c r="BS135" s="933"/>
      <c r="BT135" s="933"/>
      <c r="BU135" s="933"/>
      <c r="BV135" s="933"/>
      <c r="BW135" s="933"/>
      <c r="BX135" s="933"/>
      <c r="BY135" s="933"/>
      <c r="BZ135" s="933"/>
      <c r="CB135" s="933"/>
      <c r="CC135" s="933"/>
      <c r="CF135" s="933"/>
      <c r="CI135" s="933"/>
      <c r="CL135" s="933"/>
      <c r="CO135" s="933"/>
      <c r="CP135" s="1485"/>
      <c r="CU135" s="933"/>
      <c r="CX135" s="933"/>
      <c r="DA135" s="933"/>
      <c r="DB135" s="933"/>
      <c r="DC135" s="933"/>
      <c r="DD135" s="933"/>
      <c r="DG135" s="1485"/>
      <c r="DH135" s="1485"/>
      <c r="DI135" s="933">
        <f t="shared" ref="DI135:DX137" si="47">+$D135/24</f>
        <v>2.4477671284630249</v>
      </c>
      <c r="DJ135" s="933">
        <f t="shared" si="47"/>
        <v>2.4477671284630249</v>
      </c>
      <c r="DK135" s="933">
        <f t="shared" si="47"/>
        <v>2.4477671284630249</v>
      </c>
      <c r="DL135" s="933">
        <f t="shared" si="47"/>
        <v>2.4477671284630249</v>
      </c>
      <c r="DM135" s="933">
        <f t="shared" si="47"/>
        <v>2.4477671284630249</v>
      </c>
      <c r="DN135" s="933">
        <f t="shared" si="47"/>
        <v>2.4477671284630249</v>
      </c>
      <c r="DO135" s="933">
        <f t="shared" si="47"/>
        <v>2.4477671284630249</v>
      </c>
      <c r="DP135" s="933">
        <f t="shared" si="47"/>
        <v>2.4477671284630249</v>
      </c>
      <c r="DQ135" s="933">
        <f t="shared" si="47"/>
        <v>2.4477671284630249</v>
      </c>
      <c r="DR135" s="933">
        <f t="shared" si="47"/>
        <v>2.4477671284630249</v>
      </c>
      <c r="DS135" s="933">
        <f t="shared" si="47"/>
        <v>2.4477671284630249</v>
      </c>
      <c r="DT135" s="933">
        <f t="shared" si="47"/>
        <v>2.4477671284630249</v>
      </c>
      <c r="DU135" s="933">
        <f t="shared" si="47"/>
        <v>2.4477671284630249</v>
      </c>
      <c r="DV135" s="933">
        <f t="shared" si="47"/>
        <v>2.4477671284630249</v>
      </c>
      <c r="DW135" s="933">
        <f t="shared" si="47"/>
        <v>2.4477671284630249</v>
      </c>
      <c r="DX135" s="933">
        <f t="shared" si="47"/>
        <v>2.4477671284630249</v>
      </c>
    </row>
    <row r="136" spans="1:128" x14ac:dyDescent="0.3">
      <c r="A136" s="923">
        <v>45352</v>
      </c>
      <c r="B136" s="932">
        <v>309872.88135593222</v>
      </c>
      <c r="C136" s="929">
        <v>295.39049782922285</v>
      </c>
      <c r="D136" s="930">
        <f t="shared" si="37"/>
        <v>91.533504687504532</v>
      </c>
      <c r="E136" s="931"/>
      <c r="F136" s="931"/>
      <c r="G136" s="931"/>
      <c r="H136" s="931"/>
      <c r="I136" s="931"/>
      <c r="J136" s="931"/>
      <c r="K136" s="931"/>
      <c r="L136" s="931"/>
      <c r="M136" s="931"/>
      <c r="N136" s="931"/>
      <c r="O136" s="931"/>
      <c r="P136" s="931"/>
      <c r="Q136" s="931"/>
      <c r="R136" s="931"/>
      <c r="S136" s="931"/>
      <c r="T136" s="931"/>
      <c r="U136" s="931"/>
      <c r="V136" s="931"/>
      <c r="W136" s="931"/>
      <c r="X136" s="931"/>
      <c r="Y136" s="931"/>
      <c r="Z136" s="931"/>
      <c r="AA136" s="931"/>
      <c r="AB136" s="931"/>
      <c r="AC136" s="931"/>
      <c r="AD136" s="931"/>
      <c r="AE136" s="931"/>
      <c r="AF136" s="931"/>
      <c r="AG136" s="931"/>
      <c r="AH136" s="931"/>
      <c r="AI136" s="931"/>
      <c r="AJ136" s="931"/>
      <c r="AK136" s="931"/>
      <c r="AL136" s="931"/>
      <c r="AM136" s="931"/>
      <c r="AN136" s="931"/>
      <c r="AO136" s="931"/>
      <c r="AP136" s="931"/>
      <c r="AQ136" s="931"/>
      <c r="AR136" s="931"/>
      <c r="AS136" s="931"/>
      <c r="AT136" s="931"/>
      <c r="AU136" s="931"/>
      <c r="AV136" s="931"/>
      <c r="AW136" s="931"/>
      <c r="AX136" s="931"/>
      <c r="AY136" s="931"/>
      <c r="AZ136" s="931"/>
      <c r="BA136" s="931"/>
      <c r="BB136" s="931"/>
      <c r="BC136" s="931"/>
      <c r="BD136" s="931"/>
      <c r="BE136" s="931"/>
      <c r="BF136" s="931"/>
      <c r="BG136" s="931"/>
      <c r="BH136" s="935"/>
      <c r="BI136" s="936"/>
      <c r="BJ136" s="936"/>
      <c r="BK136" s="935"/>
      <c r="BL136" s="933"/>
      <c r="BM136" s="933"/>
      <c r="BN136" s="933"/>
      <c r="BO136" s="933"/>
      <c r="BP136" s="933"/>
      <c r="BQ136" s="933"/>
      <c r="BR136" s="933"/>
      <c r="BS136" s="933"/>
      <c r="BT136" s="933"/>
      <c r="BU136" s="933"/>
      <c r="BV136" s="933"/>
      <c r="BW136" s="933"/>
      <c r="BX136" s="933"/>
      <c r="BY136" s="933"/>
      <c r="BZ136" s="933"/>
      <c r="CB136" s="933"/>
      <c r="CC136" s="933"/>
      <c r="CF136" s="933"/>
      <c r="CI136" s="933"/>
      <c r="CL136" s="933"/>
      <c r="CO136" s="933"/>
      <c r="CP136" s="1485"/>
      <c r="CU136" s="933"/>
      <c r="CX136" s="933"/>
      <c r="DA136" s="933"/>
      <c r="DB136" s="933"/>
      <c r="DC136" s="933"/>
      <c r="DD136" s="933"/>
      <c r="DG136" s="1485"/>
      <c r="DH136" s="1485"/>
      <c r="DJ136" s="933">
        <f t="shared" si="47"/>
        <v>3.8138960286460222</v>
      </c>
      <c r="DK136" s="933">
        <f t="shared" si="47"/>
        <v>3.8138960286460222</v>
      </c>
      <c r="DL136" s="933">
        <f t="shared" si="47"/>
        <v>3.8138960286460222</v>
      </c>
      <c r="DM136" s="933">
        <f t="shared" si="47"/>
        <v>3.8138960286460222</v>
      </c>
      <c r="DN136" s="933">
        <f t="shared" si="47"/>
        <v>3.8138960286460222</v>
      </c>
      <c r="DO136" s="933">
        <f t="shared" si="47"/>
        <v>3.8138960286460222</v>
      </c>
      <c r="DP136" s="933">
        <f t="shared" si="47"/>
        <v>3.8138960286460222</v>
      </c>
      <c r="DQ136" s="933">
        <f t="shared" si="47"/>
        <v>3.8138960286460222</v>
      </c>
      <c r="DR136" s="933">
        <f t="shared" si="47"/>
        <v>3.8138960286460222</v>
      </c>
      <c r="DS136" s="933">
        <f t="shared" si="47"/>
        <v>3.8138960286460222</v>
      </c>
      <c r="DT136" s="933">
        <f t="shared" si="47"/>
        <v>3.8138960286460222</v>
      </c>
      <c r="DU136" s="933">
        <f t="shared" si="47"/>
        <v>3.8138960286460222</v>
      </c>
      <c r="DV136" s="933">
        <f t="shared" si="47"/>
        <v>3.8138960286460222</v>
      </c>
      <c r="DW136" s="933">
        <f t="shared" si="47"/>
        <v>3.8138960286460222</v>
      </c>
      <c r="DX136" s="933">
        <f t="shared" si="47"/>
        <v>3.8138960286460222</v>
      </c>
    </row>
    <row r="137" spans="1:128" x14ac:dyDescent="0.3">
      <c r="A137" s="923">
        <v>45383</v>
      </c>
      <c r="B137" s="932">
        <v>328650.84745762713</v>
      </c>
      <c r="C137" s="929">
        <v>223.25222062120818</v>
      </c>
      <c r="D137" s="930">
        <f t="shared" si="37"/>
        <v>73.372031503957217</v>
      </c>
      <c r="E137" s="931"/>
      <c r="F137" s="931"/>
      <c r="G137" s="931"/>
      <c r="H137" s="931"/>
      <c r="I137" s="931"/>
      <c r="J137" s="931"/>
      <c r="K137" s="931"/>
      <c r="L137" s="931"/>
      <c r="M137" s="931"/>
      <c r="N137" s="931"/>
      <c r="O137" s="931"/>
      <c r="P137" s="931"/>
      <c r="Q137" s="931"/>
      <c r="R137" s="931"/>
      <c r="S137" s="931"/>
      <c r="T137" s="931"/>
      <c r="U137" s="931"/>
      <c r="V137" s="931"/>
      <c r="W137" s="931"/>
      <c r="X137" s="931"/>
      <c r="Y137" s="931"/>
      <c r="Z137" s="931"/>
      <c r="AA137" s="931"/>
      <c r="AB137" s="931"/>
      <c r="AC137" s="931"/>
      <c r="AD137" s="931"/>
      <c r="AE137" s="931"/>
      <c r="AF137" s="931"/>
      <c r="AG137" s="931"/>
      <c r="AH137" s="931"/>
      <c r="AI137" s="931"/>
      <c r="AJ137" s="931"/>
      <c r="AK137" s="931"/>
      <c r="AL137" s="931"/>
      <c r="AM137" s="931"/>
      <c r="AN137" s="931"/>
      <c r="AO137" s="931"/>
      <c r="AP137" s="931"/>
      <c r="AQ137" s="931"/>
      <c r="AR137" s="931"/>
      <c r="AS137" s="931"/>
      <c r="AT137" s="931"/>
      <c r="AU137" s="931"/>
      <c r="AV137" s="931"/>
      <c r="AW137" s="931"/>
      <c r="AX137" s="931"/>
      <c r="AY137" s="931"/>
      <c r="AZ137" s="931"/>
      <c r="BA137" s="931"/>
      <c r="BB137" s="931"/>
      <c r="BC137" s="931"/>
      <c r="BD137" s="931"/>
      <c r="BE137" s="931"/>
      <c r="BF137" s="931"/>
      <c r="BG137" s="931"/>
      <c r="BH137" s="935"/>
      <c r="BI137" s="936"/>
      <c r="BJ137" s="936"/>
      <c r="BK137" s="935"/>
      <c r="BL137" s="933"/>
      <c r="BM137" s="933"/>
      <c r="BN137" s="933"/>
      <c r="BO137" s="933"/>
      <c r="BP137" s="933"/>
      <c r="BQ137" s="933"/>
      <c r="BR137" s="933"/>
      <c r="BS137" s="933"/>
      <c r="BT137" s="933"/>
      <c r="BU137" s="933"/>
      <c r="BV137" s="933"/>
      <c r="BW137" s="933"/>
      <c r="BX137" s="933"/>
      <c r="BY137" s="933"/>
      <c r="BZ137" s="933"/>
      <c r="CB137" s="933"/>
      <c r="CC137" s="933"/>
      <c r="CF137" s="933"/>
      <c r="CI137" s="933"/>
      <c r="CL137" s="933"/>
      <c r="CO137" s="933"/>
      <c r="CP137" s="1485"/>
      <c r="CU137" s="933"/>
      <c r="CX137" s="933"/>
      <c r="DA137" s="933"/>
      <c r="DB137" s="933"/>
      <c r="DC137" s="933"/>
      <c r="DD137" s="933"/>
      <c r="DK137" s="933">
        <f t="shared" si="47"/>
        <v>3.0571679793315507</v>
      </c>
      <c r="DL137" s="933">
        <f t="shared" si="47"/>
        <v>3.0571679793315507</v>
      </c>
      <c r="DM137" s="933">
        <f t="shared" si="47"/>
        <v>3.0571679793315507</v>
      </c>
      <c r="DN137" s="933">
        <f t="shared" si="47"/>
        <v>3.0571679793315507</v>
      </c>
      <c r="DO137" s="933">
        <f t="shared" si="47"/>
        <v>3.0571679793315507</v>
      </c>
      <c r="DP137" s="933">
        <f t="shared" si="47"/>
        <v>3.0571679793315507</v>
      </c>
      <c r="DQ137" s="933">
        <f t="shared" si="47"/>
        <v>3.0571679793315507</v>
      </c>
      <c r="DR137" s="933">
        <f t="shared" si="47"/>
        <v>3.0571679793315507</v>
      </c>
      <c r="DS137" s="933">
        <f t="shared" si="47"/>
        <v>3.0571679793315507</v>
      </c>
      <c r="DT137" s="933">
        <f t="shared" si="47"/>
        <v>3.0571679793315507</v>
      </c>
      <c r="DU137" s="933">
        <f t="shared" si="47"/>
        <v>3.0571679793315507</v>
      </c>
      <c r="DV137" s="933">
        <f t="shared" si="47"/>
        <v>3.0571679793315507</v>
      </c>
      <c r="DW137" s="933">
        <f t="shared" si="47"/>
        <v>3.0571679793315507</v>
      </c>
      <c r="DX137" s="933">
        <f t="shared" si="47"/>
        <v>3.0571679793315507</v>
      </c>
    </row>
    <row r="138" spans="1:128" x14ac:dyDescent="0.3">
      <c r="A138" s="923">
        <v>45413</v>
      </c>
      <c r="B138" s="932">
        <v>345349.59322033898</v>
      </c>
      <c r="C138" s="929">
        <v>223.25222062120818</v>
      </c>
      <c r="D138" s="930">
        <f t="shared" ref="D138:D142" si="48">+(B138*C138)/10^6</f>
        <v>77.100063577071623</v>
      </c>
      <c r="E138" s="931"/>
      <c r="F138" s="931"/>
      <c r="G138" s="931"/>
      <c r="H138" s="931"/>
      <c r="I138" s="931"/>
      <c r="J138" s="931"/>
      <c r="K138" s="931"/>
      <c r="L138" s="931"/>
      <c r="M138" s="931"/>
      <c r="N138" s="931"/>
      <c r="O138" s="931"/>
      <c r="P138" s="931"/>
      <c r="Q138" s="931"/>
      <c r="R138" s="931"/>
      <c r="S138" s="931"/>
      <c r="T138" s="931"/>
      <c r="U138" s="931"/>
      <c r="V138" s="931"/>
      <c r="W138" s="931"/>
      <c r="X138" s="931"/>
      <c r="Y138" s="931"/>
      <c r="Z138" s="931"/>
      <c r="AA138" s="931"/>
      <c r="AB138" s="931"/>
      <c r="AC138" s="931"/>
      <c r="AD138" s="931"/>
      <c r="AE138" s="931"/>
      <c r="AF138" s="931"/>
      <c r="AG138" s="931"/>
      <c r="AH138" s="931"/>
      <c r="AI138" s="931"/>
      <c r="AJ138" s="931"/>
      <c r="AK138" s="931"/>
      <c r="AL138" s="931"/>
      <c r="AM138" s="931"/>
      <c r="AN138" s="931"/>
      <c r="AO138" s="931"/>
      <c r="AP138" s="931"/>
      <c r="AQ138" s="931"/>
      <c r="AR138" s="931"/>
      <c r="AS138" s="931"/>
      <c r="AT138" s="931"/>
      <c r="AU138" s="931"/>
      <c r="AV138" s="931"/>
      <c r="AW138" s="931"/>
      <c r="AX138" s="931"/>
      <c r="AY138" s="931"/>
      <c r="AZ138" s="931"/>
      <c r="BA138" s="931"/>
      <c r="BB138" s="931"/>
      <c r="BC138" s="931"/>
      <c r="BD138" s="931"/>
      <c r="BE138" s="931"/>
      <c r="BF138" s="931"/>
      <c r="BG138" s="931"/>
      <c r="BH138" s="935"/>
      <c r="BI138" s="936"/>
      <c r="BJ138" s="936"/>
      <c r="BK138" s="935"/>
      <c r="BL138" s="933"/>
      <c r="BM138" s="933"/>
      <c r="BN138" s="933"/>
      <c r="BO138" s="933"/>
      <c r="BP138" s="933"/>
      <c r="BQ138" s="933"/>
      <c r="BR138" s="933"/>
      <c r="BS138" s="933"/>
      <c r="BT138" s="933"/>
      <c r="BU138" s="933"/>
      <c r="BV138" s="933"/>
      <c r="BW138" s="933"/>
      <c r="BX138" s="933"/>
      <c r="BY138" s="933"/>
      <c r="BZ138" s="933"/>
      <c r="CB138" s="933"/>
      <c r="CC138" s="933"/>
      <c r="CF138" s="933"/>
      <c r="CI138" s="933"/>
      <c r="CL138" s="933"/>
      <c r="CO138" s="933"/>
      <c r="CP138" s="1485"/>
      <c r="CU138" s="933"/>
      <c r="CX138" s="933"/>
      <c r="DA138" s="933"/>
      <c r="DB138" s="933"/>
      <c r="DC138" s="933"/>
      <c r="DD138" s="933"/>
      <c r="DK138" s="933"/>
      <c r="DL138" s="933">
        <f t="shared" ref="DL138:DX138" si="49">+$D138/24</f>
        <v>3.2125026490446511</v>
      </c>
      <c r="DM138" s="933">
        <f t="shared" si="49"/>
        <v>3.2125026490446511</v>
      </c>
      <c r="DN138" s="933">
        <f t="shared" si="49"/>
        <v>3.2125026490446511</v>
      </c>
      <c r="DO138" s="933">
        <f t="shared" si="49"/>
        <v>3.2125026490446511</v>
      </c>
      <c r="DP138" s="933">
        <f t="shared" si="49"/>
        <v>3.2125026490446511</v>
      </c>
      <c r="DQ138" s="933">
        <f t="shared" si="49"/>
        <v>3.2125026490446511</v>
      </c>
      <c r="DR138" s="933">
        <f t="shared" si="49"/>
        <v>3.2125026490446511</v>
      </c>
      <c r="DS138" s="933">
        <f t="shared" si="49"/>
        <v>3.2125026490446511</v>
      </c>
      <c r="DT138" s="933">
        <f t="shared" si="49"/>
        <v>3.2125026490446511</v>
      </c>
      <c r="DU138" s="933">
        <f t="shared" si="49"/>
        <v>3.2125026490446511</v>
      </c>
      <c r="DV138" s="933">
        <f t="shared" si="49"/>
        <v>3.2125026490446511</v>
      </c>
      <c r="DW138" s="933">
        <f t="shared" si="49"/>
        <v>3.2125026490446511</v>
      </c>
      <c r="DX138" s="933">
        <f t="shared" si="49"/>
        <v>3.2125026490446511</v>
      </c>
    </row>
    <row r="139" spans="1:128" x14ac:dyDescent="0.3">
      <c r="A139" s="923">
        <v>45444</v>
      </c>
      <c r="B139" s="932">
        <v>262107</v>
      </c>
      <c r="C139" s="929">
        <v>223.25222062120818</v>
      </c>
      <c r="D139" s="930">
        <f t="shared" si="48"/>
        <v>58.515969790363016</v>
      </c>
      <c r="E139" s="931"/>
      <c r="F139" s="931"/>
      <c r="G139" s="931"/>
      <c r="H139" s="931"/>
      <c r="I139" s="931"/>
      <c r="J139" s="931"/>
      <c r="K139" s="931"/>
      <c r="L139" s="931"/>
      <c r="M139" s="931"/>
      <c r="N139" s="931"/>
      <c r="O139" s="931"/>
      <c r="P139" s="931"/>
      <c r="Q139" s="931"/>
      <c r="R139" s="931"/>
      <c r="S139" s="931"/>
      <c r="T139" s="931"/>
      <c r="U139" s="931"/>
      <c r="V139" s="931"/>
      <c r="W139" s="931"/>
      <c r="X139" s="931"/>
      <c r="Y139" s="931"/>
      <c r="Z139" s="931"/>
      <c r="AA139" s="931"/>
      <c r="AB139" s="931"/>
      <c r="AC139" s="931"/>
      <c r="AD139" s="931"/>
      <c r="AE139" s="931"/>
      <c r="AF139" s="931"/>
      <c r="AG139" s="931"/>
      <c r="AH139" s="931"/>
      <c r="AI139" s="931"/>
      <c r="AJ139" s="931"/>
      <c r="AK139" s="931"/>
      <c r="AL139" s="931"/>
      <c r="AM139" s="931"/>
      <c r="AN139" s="931"/>
      <c r="AO139" s="931"/>
      <c r="AP139" s="931"/>
      <c r="AQ139" s="931"/>
      <c r="AR139" s="931"/>
      <c r="AS139" s="931"/>
      <c r="AT139" s="931"/>
      <c r="AU139" s="931"/>
      <c r="AV139" s="931"/>
      <c r="AW139" s="931"/>
      <c r="AX139" s="931"/>
      <c r="AY139" s="931"/>
      <c r="AZ139" s="931"/>
      <c r="BA139" s="931"/>
      <c r="BB139" s="931"/>
      <c r="BC139" s="931"/>
      <c r="BD139" s="931"/>
      <c r="BE139" s="931"/>
      <c r="BF139" s="931"/>
      <c r="BG139" s="931"/>
      <c r="BH139" s="935"/>
      <c r="BI139" s="936"/>
      <c r="BJ139" s="936"/>
      <c r="BK139" s="935"/>
      <c r="BL139" s="933"/>
      <c r="BM139" s="933"/>
      <c r="BN139" s="933"/>
      <c r="BO139" s="933"/>
      <c r="BP139" s="933"/>
      <c r="BQ139" s="933"/>
      <c r="BR139" s="933"/>
      <c r="BS139" s="933"/>
      <c r="BT139" s="933"/>
      <c r="BU139" s="933"/>
      <c r="BV139" s="933"/>
      <c r="BW139" s="933"/>
      <c r="BX139" s="933"/>
      <c r="BY139" s="933"/>
      <c r="BZ139" s="933"/>
      <c r="CB139" s="933"/>
      <c r="CC139" s="933"/>
      <c r="CF139" s="933"/>
      <c r="CI139" s="933"/>
      <c r="CL139" s="933"/>
      <c r="CO139" s="933"/>
      <c r="CP139" s="1485"/>
      <c r="CU139" s="933"/>
      <c r="CX139" s="933"/>
      <c r="DA139" s="933"/>
      <c r="DB139" s="933"/>
      <c r="DC139" s="933"/>
      <c r="DD139" s="933"/>
      <c r="DK139" s="933"/>
      <c r="DL139" s="933"/>
      <c r="DM139" s="933">
        <f t="shared" ref="DM139:DX139" si="50">+$D139/24</f>
        <v>2.4381654079317925</v>
      </c>
      <c r="DN139" s="933">
        <f t="shared" si="50"/>
        <v>2.4381654079317925</v>
      </c>
      <c r="DO139" s="933">
        <f t="shared" si="50"/>
        <v>2.4381654079317925</v>
      </c>
      <c r="DP139" s="933">
        <f t="shared" si="50"/>
        <v>2.4381654079317925</v>
      </c>
      <c r="DQ139" s="933">
        <f t="shared" si="50"/>
        <v>2.4381654079317925</v>
      </c>
      <c r="DR139" s="933">
        <f t="shared" si="50"/>
        <v>2.4381654079317925</v>
      </c>
      <c r="DS139" s="933">
        <f t="shared" si="50"/>
        <v>2.4381654079317925</v>
      </c>
      <c r="DT139" s="933">
        <f t="shared" si="50"/>
        <v>2.4381654079317925</v>
      </c>
      <c r="DU139" s="933">
        <f t="shared" si="50"/>
        <v>2.4381654079317925</v>
      </c>
      <c r="DV139" s="933">
        <f t="shared" si="50"/>
        <v>2.4381654079317925</v>
      </c>
      <c r="DW139" s="933">
        <f t="shared" si="50"/>
        <v>2.4381654079317925</v>
      </c>
      <c r="DX139" s="933">
        <f t="shared" si="50"/>
        <v>2.4381654079317925</v>
      </c>
    </row>
    <row r="140" spans="1:128" x14ac:dyDescent="0.3">
      <c r="A140" s="923">
        <v>45474</v>
      </c>
      <c r="B140" s="932">
        <v>212369</v>
      </c>
      <c r="C140" s="929">
        <v>193.69857117299156</v>
      </c>
      <c r="D140" s="930">
        <f t="shared" si="48"/>
        <v>41.135571861437043</v>
      </c>
      <c r="E140" s="931"/>
      <c r="F140" s="931"/>
      <c r="G140" s="931"/>
      <c r="H140" s="931"/>
      <c r="I140" s="931"/>
      <c r="J140" s="931"/>
      <c r="K140" s="931"/>
      <c r="L140" s="931"/>
      <c r="M140" s="931"/>
      <c r="N140" s="931"/>
      <c r="O140" s="931"/>
      <c r="P140" s="931"/>
      <c r="Q140" s="931"/>
      <c r="R140" s="931"/>
      <c r="S140" s="931"/>
      <c r="T140" s="931"/>
      <c r="U140" s="931"/>
      <c r="V140" s="931"/>
      <c r="W140" s="931"/>
      <c r="X140" s="931"/>
      <c r="Y140" s="931"/>
      <c r="Z140" s="931"/>
      <c r="AA140" s="931"/>
      <c r="AB140" s="931"/>
      <c r="AC140" s="931"/>
      <c r="AD140" s="931"/>
      <c r="AE140" s="931"/>
      <c r="AF140" s="931"/>
      <c r="AG140" s="931"/>
      <c r="AH140" s="931"/>
      <c r="AI140" s="931"/>
      <c r="AJ140" s="931"/>
      <c r="AK140" s="931"/>
      <c r="AL140" s="931"/>
      <c r="AM140" s="931"/>
      <c r="AN140" s="931"/>
      <c r="AO140" s="931"/>
      <c r="AP140" s="931"/>
      <c r="AQ140" s="931"/>
      <c r="AR140" s="931"/>
      <c r="AS140" s="931"/>
      <c r="AT140" s="931"/>
      <c r="AU140" s="931"/>
      <c r="AV140" s="931"/>
      <c r="AW140" s="931"/>
      <c r="AX140" s="931"/>
      <c r="AY140" s="931"/>
      <c r="AZ140" s="931"/>
      <c r="BA140" s="931"/>
      <c r="BB140" s="931"/>
      <c r="BC140" s="931"/>
      <c r="BD140" s="931"/>
      <c r="BE140" s="931"/>
      <c r="BF140" s="931"/>
      <c r="BG140" s="931"/>
      <c r="BH140" s="935"/>
      <c r="BI140" s="936"/>
      <c r="BJ140" s="936"/>
      <c r="BK140" s="935"/>
      <c r="BL140" s="933"/>
      <c r="BM140" s="933"/>
      <c r="BN140" s="933"/>
      <c r="BO140" s="933"/>
      <c r="BP140" s="933"/>
      <c r="BQ140" s="933"/>
      <c r="BR140" s="933"/>
      <c r="BS140" s="933"/>
      <c r="BT140" s="933"/>
      <c r="BU140" s="933"/>
      <c r="BV140" s="933"/>
      <c r="BW140" s="933"/>
      <c r="BX140" s="933"/>
      <c r="BY140" s="933"/>
      <c r="BZ140" s="933"/>
      <c r="CB140" s="933"/>
      <c r="CC140" s="933"/>
      <c r="CF140" s="933"/>
      <c r="CI140" s="933"/>
      <c r="CL140" s="933"/>
      <c r="CO140" s="933"/>
      <c r="CP140" s="1485"/>
      <c r="CU140" s="933"/>
      <c r="CX140" s="933"/>
      <c r="DA140" s="933"/>
      <c r="DB140" s="933"/>
      <c r="DC140" s="933"/>
      <c r="DD140" s="933"/>
      <c r="DK140" s="933"/>
      <c r="DL140" s="933"/>
      <c r="DM140" s="933"/>
      <c r="DN140" s="933">
        <f t="shared" ref="DN140:DX140" si="51">+$D140/24</f>
        <v>1.7139821608932102</v>
      </c>
      <c r="DO140" s="933">
        <f t="shared" si="51"/>
        <v>1.7139821608932102</v>
      </c>
      <c r="DP140" s="933">
        <f t="shared" si="51"/>
        <v>1.7139821608932102</v>
      </c>
      <c r="DQ140" s="933">
        <f t="shared" si="51"/>
        <v>1.7139821608932102</v>
      </c>
      <c r="DR140" s="933">
        <f t="shared" si="51"/>
        <v>1.7139821608932102</v>
      </c>
      <c r="DS140" s="933">
        <f t="shared" si="51"/>
        <v>1.7139821608932102</v>
      </c>
      <c r="DT140" s="933">
        <f t="shared" si="51"/>
        <v>1.7139821608932102</v>
      </c>
      <c r="DU140" s="933">
        <f t="shared" si="51"/>
        <v>1.7139821608932102</v>
      </c>
      <c r="DV140" s="933">
        <f t="shared" si="51"/>
        <v>1.7139821608932102</v>
      </c>
      <c r="DW140" s="933">
        <f t="shared" si="51"/>
        <v>1.7139821608932102</v>
      </c>
      <c r="DX140" s="933">
        <f t="shared" si="51"/>
        <v>1.7139821608932102</v>
      </c>
    </row>
    <row r="141" spans="1:128" x14ac:dyDescent="0.3">
      <c r="A141" s="923">
        <v>45505</v>
      </c>
      <c r="B141" s="932">
        <v>216989</v>
      </c>
      <c r="C141" s="929">
        <v>193.69857117299156</v>
      </c>
      <c r="D141" s="930">
        <f t="shared" si="48"/>
        <v>42.030459260256265</v>
      </c>
      <c r="E141" s="931"/>
      <c r="F141" s="931"/>
      <c r="G141" s="931"/>
      <c r="H141" s="931"/>
      <c r="I141" s="931"/>
      <c r="J141" s="931"/>
      <c r="K141" s="931"/>
      <c r="L141" s="931"/>
      <c r="M141" s="931"/>
      <c r="N141" s="931"/>
      <c r="O141" s="931"/>
      <c r="P141" s="931"/>
      <c r="Q141" s="931"/>
      <c r="R141" s="931"/>
      <c r="S141" s="931"/>
      <c r="T141" s="931"/>
      <c r="U141" s="931"/>
      <c r="V141" s="931"/>
      <c r="W141" s="931"/>
      <c r="X141" s="931"/>
      <c r="Y141" s="931"/>
      <c r="Z141" s="931"/>
      <c r="AA141" s="931"/>
      <c r="AB141" s="931"/>
      <c r="AC141" s="931"/>
      <c r="AD141" s="931"/>
      <c r="AE141" s="931"/>
      <c r="AF141" s="931"/>
      <c r="AG141" s="931"/>
      <c r="AH141" s="931"/>
      <c r="AI141" s="931"/>
      <c r="AJ141" s="931"/>
      <c r="AK141" s="931"/>
      <c r="AL141" s="931"/>
      <c r="AM141" s="931"/>
      <c r="AN141" s="931"/>
      <c r="AO141" s="931"/>
      <c r="AP141" s="931"/>
      <c r="AQ141" s="931"/>
      <c r="AR141" s="931"/>
      <c r="AS141" s="931"/>
      <c r="AT141" s="931"/>
      <c r="AU141" s="931"/>
      <c r="AV141" s="931"/>
      <c r="AW141" s="931"/>
      <c r="AX141" s="931"/>
      <c r="AY141" s="931"/>
      <c r="AZ141" s="931"/>
      <c r="BA141" s="931"/>
      <c r="BB141" s="931"/>
      <c r="BC141" s="931"/>
      <c r="BD141" s="931"/>
      <c r="BE141" s="931"/>
      <c r="BF141" s="931"/>
      <c r="BG141" s="931"/>
      <c r="BH141" s="935"/>
      <c r="BI141" s="936"/>
      <c r="BJ141" s="936"/>
      <c r="BK141" s="935"/>
      <c r="BL141" s="933"/>
      <c r="BM141" s="933"/>
      <c r="BN141" s="933"/>
      <c r="BO141" s="933"/>
      <c r="BP141" s="933"/>
      <c r="BQ141" s="933"/>
      <c r="BR141" s="933"/>
      <c r="BS141" s="933"/>
      <c r="BT141" s="933"/>
      <c r="BU141" s="933"/>
      <c r="BV141" s="933"/>
      <c r="BW141" s="933"/>
      <c r="BX141" s="933"/>
      <c r="BY141" s="933"/>
      <c r="BZ141" s="933"/>
      <c r="CB141" s="933"/>
      <c r="CC141" s="933"/>
      <c r="CF141" s="933"/>
      <c r="CI141" s="933"/>
      <c r="CL141" s="933"/>
      <c r="CO141" s="933"/>
      <c r="CP141" s="1485"/>
      <c r="CU141" s="933"/>
      <c r="CX141" s="933"/>
      <c r="DA141" s="933"/>
      <c r="DB141" s="933"/>
      <c r="DC141" s="933"/>
      <c r="DD141" s="933"/>
      <c r="DK141" s="933"/>
      <c r="DL141" s="933"/>
      <c r="DM141" s="933"/>
      <c r="DN141" s="933"/>
      <c r="DO141" s="933">
        <f t="shared" ref="DO141:DX141" si="52">+$D141/24</f>
        <v>1.7512691358440111</v>
      </c>
      <c r="DP141" s="933">
        <f t="shared" si="52"/>
        <v>1.7512691358440111</v>
      </c>
      <c r="DQ141" s="933">
        <f t="shared" si="52"/>
        <v>1.7512691358440111</v>
      </c>
      <c r="DR141" s="933">
        <f t="shared" si="52"/>
        <v>1.7512691358440111</v>
      </c>
      <c r="DS141" s="933">
        <f t="shared" si="52"/>
        <v>1.7512691358440111</v>
      </c>
      <c r="DT141" s="933">
        <f t="shared" si="52"/>
        <v>1.7512691358440111</v>
      </c>
      <c r="DU141" s="933">
        <f t="shared" si="52"/>
        <v>1.7512691358440111</v>
      </c>
      <c r="DV141" s="933">
        <f t="shared" si="52"/>
        <v>1.7512691358440111</v>
      </c>
      <c r="DW141" s="933">
        <f t="shared" si="52"/>
        <v>1.7512691358440111</v>
      </c>
      <c r="DX141" s="933">
        <f t="shared" si="52"/>
        <v>1.7512691358440111</v>
      </c>
    </row>
    <row r="142" spans="1:128" x14ac:dyDescent="0.3">
      <c r="A142" s="923">
        <v>45536</v>
      </c>
      <c r="B142" s="932">
        <v>190912</v>
      </c>
      <c r="C142" s="929">
        <v>193.7</v>
      </c>
      <c r="D142" s="930">
        <f t="shared" si="48"/>
        <v>36.979654400000001</v>
      </c>
      <c r="E142" s="931"/>
      <c r="F142" s="931"/>
      <c r="G142" s="931"/>
      <c r="H142" s="931"/>
      <c r="I142" s="931"/>
      <c r="J142" s="931"/>
      <c r="K142" s="931"/>
      <c r="L142" s="931"/>
      <c r="M142" s="931"/>
      <c r="N142" s="931"/>
      <c r="O142" s="931"/>
      <c r="P142" s="931"/>
      <c r="Q142" s="931"/>
      <c r="R142" s="931"/>
      <c r="S142" s="931"/>
      <c r="T142" s="931"/>
      <c r="U142" s="931"/>
      <c r="V142" s="931"/>
      <c r="W142" s="931"/>
      <c r="X142" s="931"/>
      <c r="Y142" s="931"/>
      <c r="Z142" s="931"/>
      <c r="AA142" s="931"/>
      <c r="AB142" s="931"/>
      <c r="AC142" s="931"/>
      <c r="AD142" s="931"/>
      <c r="AE142" s="931"/>
      <c r="AF142" s="931"/>
      <c r="AG142" s="931"/>
      <c r="AH142" s="931"/>
      <c r="AI142" s="931"/>
      <c r="AJ142" s="931"/>
      <c r="AK142" s="931"/>
      <c r="AL142" s="931"/>
      <c r="AM142" s="931"/>
      <c r="AN142" s="931"/>
      <c r="AO142" s="931"/>
      <c r="AP142" s="931"/>
      <c r="AQ142" s="931"/>
      <c r="AR142" s="931"/>
      <c r="AS142" s="931"/>
      <c r="AT142" s="931"/>
      <c r="AU142" s="931"/>
      <c r="AV142" s="931"/>
      <c r="AW142" s="931"/>
      <c r="AX142" s="931"/>
      <c r="AY142" s="931"/>
      <c r="AZ142" s="931"/>
      <c r="BA142" s="931"/>
      <c r="BB142" s="931"/>
      <c r="BC142" s="931"/>
      <c r="BD142" s="931"/>
      <c r="BE142" s="931"/>
      <c r="BF142" s="931"/>
      <c r="BG142" s="931"/>
      <c r="BH142" s="935"/>
      <c r="BI142" s="936"/>
      <c r="BJ142" s="936"/>
      <c r="BK142" s="935"/>
      <c r="BL142" s="933"/>
      <c r="BM142" s="933"/>
      <c r="BN142" s="933"/>
      <c r="BO142" s="933"/>
      <c r="BP142" s="933"/>
      <c r="BQ142" s="933"/>
      <c r="BR142" s="933"/>
      <c r="BS142" s="933"/>
      <c r="BT142" s="933"/>
      <c r="BU142" s="933"/>
      <c r="BV142" s="933"/>
      <c r="BW142" s="933"/>
      <c r="BX142" s="933"/>
      <c r="BY142" s="933"/>
      <c r="BZ142" s="933"/>
      <c r="CB142" s="933"/>
      <c r="CC142" s="933"/>
      <c r="CF142" s="933"/>
      <c r="CI142" s="933"/>
      <c r="CL142" s="933"/>
      <c r="CO142" s="933"/>
      <c r="CP142" s="1485"/>
      <c r="CU142" s="933"/>
      <c r="CX142" s="933"/>
      <c r="DA142" s="933"/>
      <c r="DB142" s="933"/>
      <c r="DC142" s="933"/>
      <c r="DD142" s="933"/>
      <c r="DK142" s="933"/>
      <c r="DL142" s="933"/>
      <c r="DM142" s="933"/>
      <c r="DN142" s="933"/>
      <c r="DO142" s="933"/>
      <c r="DP142" s="933">
        <f t="shared" ref="DP142:DX142" si="53">+$D142/24</f>
        <v>1.5408189333333333</v>
      </c>
      <c r="DQ142" s="933">
        <f t="shared" si="53"/>
        <v>1.5408189333333333</v>
      </c>
      <c r="DR142" s="933">
        <f t="shared" si="53"/>
        <v>1.5408189333333333</v>
      </c>
      <c r="DS142" s="933">
        <f t="shared" si="53"/>
        <v>1.5408189333333333</v>
      </c>
      <c r="DT142" s="933">
        <f t="shared" si="53"/>
        <v>1.5408189333333333</v>
      </c>
      <c r="DU142" s="933">
        <f t="shared" si="53"/>
        <v>1.5408189333333333</v>
      </c>
      <c r="DV142" s="933">
        <f t="shared" si="53"/>
        <v>1.5408189333333333</v>
      </c>
      <c r="DW142" s="933">
        <f t="shared" si="53"/>
        <v>1.5408189333333333</v>
      </c>
      <c r="DX142" s="933">
        <f t="shared" si="53"/>
        <v>1.5408189333333333</v>
      </c>
    </row>
    <row r="143" spans="1:128" x14ac:dyDescent="0.3">
      <c r="A143" s="923">
        <v>45566</v>
      </c>
      <c r="B143" s="932">
        <v>164590.67796610171</v>
      </c>
      <c r="C143" s="929">
        <v>193.69857117299156</v>
      </c>
      <c r="D143" s="930">
        <f t="shared" ref="D143:D145" si="54">+(B143*C143)/10^6</f>
        <v>31.880979150427887</v>
      </c>
      <c r="E143" s="931"/>
      <c r="F143" s="931"/>
      <c r="G143" s="931"/>
      <c r="H143" s="931"/>
      <c r="I143" s="931"/>
      <c r="J143" s="931"/>
      <c r="K143" s="931"/>
      <c r="L143" s="931"/>
      <c r="M143" s="931"/>
      <c r="N143" s="931"/>
      <c r="O143" s="931"/>
      <c r="P143" s="931"/>
      <c r="Q143" s="931"/>
      <c r="R143" s="931"/>
      <c r="S143" s="931"/>
      <c r="T143" s="931"/>
      <c r="U143" s="931"/>
      <c r="V143" s="931"/>
      <c r="W143" s="931"/>
      <c r="X143" s="931"/>
      <c r="Y143" s="931"/>
      <c r="Z143" s="931"/>
      <c r="AA143" s="931"/>
      <c r="AB143" s="931"/>
      <c r="AC143" s="931"/>
      <c r="AD143" s="931"/>
      <c r="AE143" s="931"/>
      <c r="AF143" s="931"/>
      <c r="AG143" s="931"/>
      <c r="AH143" s="931"/>
      <c r="AI143" s="931"/>
      <c r="AJ143" s="931"/>
      <c r="AK143" s="931"/>
      <c r="AL143" s="931"/>
      <c r="AM143" s="931"/>
      <c r="AN143" s="931"/>
      <c r="AO143" s="931"/>
      <c r="AP143" s="931"/>
      <c r="AQ143" s="931"/>
      <c r="AR143" s="931"/>
      <c r="AS143" s="931"/>
      <c r="AT143" s="931"/>
      <c r="AU143" s="931"/>
      <c r="AV143" s="931"/>
      <c r="AW143" s="931"/>
      <c r="AX143" s="931"/>
      <c r="AY143" s="931"/>
      <c r="AZ143" s="931"/>
      <c r="BA143" s="931"/>
      <c r="BB143" s="931"/>
      <c r="BC143" s="931"/>
      <c r="BD143" s="931"/>
      <c r="BE143" s="931"/>
      <c r="BF143" s="931"/>
      <c r="BG143" s="931"/>
      <c r="BH143" s="935"/>
      <c r="BI143" s="936"/>
      <c r="BJ143" s="936"/>
      <c r="BK143" s="935"/>
      <c r="BL143" s="933"/>
      <c r="BM143" s="933"/>
      <c r="BN143" s="933"/>
      <c r="BO143" s="933"/>
      <c r="BP143" s="933"/>
      <c r="BQ143" s="933"/>
      <c r="BR143" s="933"/>
      <c r="BS143" s="933"/>
      <c r="BT143" s="933"/>
      <c r="BU143" s="933"/>
      <c r="BV143" s="933"/>
      <c r="BW143" s="933"/>
      <c r="BX143" s="933"/>
      <c r="BY143" s="933"/>
      <c r="BZ143" s="933"/>
      <c r="CB143" s="933"/>
      <c r="CC143" s="933"/>
      <c r="CF143" s="933"/>
      <c r="CI143" s="933"/>
      <c r="CL143" s="933"/>
      <c r="CO143" s="933"/>
      <c r="CP143" s="1485"/>
      <c r="CU143" s="933"/>
      <c r="CX143" s="933"/>
      <c r="DA143" s="933"/>
      <c r="DB143" s="933"/>
      <c r="DC143" s="933"/>
      <c r="DD143" s="933"/>
      <c r="DK143" s="933"/>
      <c r="DL143" s="933"/>
      <c r="DM143" s="933"/>
      <c r="DN143" s="933"/>
      <c r="DO143" s="933"/>
      <c r="DP143" s="933"/>
      <c r="DQ143" s="933">
        <f t="shared" ref="DQ143:DX143" si="55">+$D143/24</f>
        <v>1.3283741312678286</v>
      </c>
      <c r="DR143" s="933">
        <f t="shared" si="55"/>
        <v>1.3283741312678286</v>
      </c>
      <c r="DS143" s="933">
        <f t="shared" si="55"/>
        <v>1.3283741312678286</v>
      </c>
      <c r="DT143" s="933">
        <f t="shared" si="55"/>
        <v>1.3283741312678286</v>
      </c>
      <c r="DU143" s="933">
        <f t="shared" si="55"/>
        <v>1.3283741312678286</v>
      </c>
      <c r="DV143" s="933">
        <f t="shared" si="55"/>
        <v>1.3283741312678286</v>
      </c>
      <c r="DW143" s="933">
        <f t="shared" si="55"/>
        <v>1.3283741312678286</v>
      </c>
      <c r="DX143" s="933">
        <f t="shared" si="55"/>
        <v>1.3283741312678286</v>
      </c>
    </row>
    <row r="144" spans="1:128" x14ac:dyDescent="0.3">
      <c r="A144" s="923">
        <v>45597</v>
      </c>
      <c r="B144" s="932">
        <v>113530.50847457627</v>
      </c>
      <c r="C144" s="929">
        <v>156.27440950168125</v>
      </c>
      <c r="D144" s="930">
        <f t="shared" si="54"/>
        <v>17.741913172290026</v>
      </c>
      <c r="E144" s="931"/>
      <c r="F144" s="931"/>
      <c r="G144" s="931"/>
      <c r="H144" s="931"/>
      <c r="I144" s="931"/>
      <c r="J144" s="931"/>
      <c r="K144" s="931"/>
      <c r="L144" s="931"/>
      <c r="M144" s="931"/>
      <c r="N144" s="931"/>
      <c r="O144" s="931"/>
      <c r="P144" s="931"/>
      <c r="Q144" s="931"/>
      <c r="R144" s="931"/>
      <c r="S144" s="931"/>
      <c r="T144" s="931"/>
      <c r="U144" s="931"/>
      <c r="V144" s="931"/>
      <c r="W144" s="931"/>
      <c r="X144" s="931"/>
      <c r="Y144" s="931"/>
      <c r="Z144" s="931"/>
      <c r="AA144" s="931"/>
      <c r="AB144" s="931"/>
      <c r="AC144" s="931"/>
      <c r="AD144" s="931"/>
      <c r="AE144" s="931"/>
      <c r="AF144" s="931"/>
      <c r="AG144" s="931"/>
      <c r="AH144" s="931"/>
      <c r="AI144" s="931"/>
      <c r="AJ144" s="931"/>
      <c r="AK144" s="931"/>
      <c r="AL144" s="931"/>
      <c r="AM144" s="931"/>
      <c r="AN144" s="931"/>
      <c r="AO144" s="931"/>
      <c r="AP144" s="931"/>
      <c r="AQ144" s="931"/>
      <c r="AR144" s="931"/>
      <c r="AS144" s="931"/>
      <c r="AT144" s="931"/>
      <c r="AU144" s="931"/>
      <c r="AV144" s="931"/>
      <c r="AW144" s="931"/>
      <c r="AX144" s="931"/>
      <c r="AY144" s="931"/>
      <c r="AZ144" s="931"/>
      <c r="BA144" s="931"/>
      <c r="BB144" s="931"/>
      <c r="BC144" s="931"/>
      <c r="BD144" s="931"/>
      <c r="BE144" s="931"/>
      <c r="BF144" s="931"/>
      <c r="BG144" s="931"/>
      <c r="BH144" s="935"/>
      <c r="BI144" s="936"/>
      <c r="BJ144" s="936"/>
      <c r="BK144" s="935"/>
      <c r="BL144" s="933"/>
      <c r="BM144" s="933"/>
      <c r="BN144" s="933"/>
      <c r="BO144" s="933"/>
      <c r="BP144" s="933"/>
      <c r="BQ144" s="933"/>
      <c r="BR144" s="933"/>
      <c r="BS144" s="933"/>
      <c r="BT144" s="933"/>
      <c r="BU144" s="933"/>
      <c r="BV144" s="933"/>
      <c r="BW144" s="933"/>
      <c r="BX144" s="933"/>
      <c r="BY144" s="933"/>
      <c r="BZ144" s="933"/>
      <c r="CB144" s="933"/>
      <c r="CC144" s="933"/>
      <c r="CF144" s="933"/>
      <c r="CI144" s="933"/>
      <c r="CL144" s="933"/>
      <c r="CO144" s="933"/>
      <c r="CP144" s="1485"/>
      <c r="CU144" s="933"/>
      <c r="CX144" s="933"/>
      <c r="DA144" s="933"/>
      <c r="DB144" s="933"/>
      <c r="DC144" s="933"/>
      <c r="DD144" s="933"/>
      <c r="DK144" s="933"/>
      <c r="DL144" s="933"/>
      <c r="DM144" s="933"/>
      <c r="DN144" s="933"/>
      <c r="DO144" s="933"/>
      <c r="DP144" s="933"/>
      <c r="DQ144" s="933"/>
      <c r="DR144" s="933">
        <f t="shared" ref="DR144:DX144" si="56">+$D144/24</f>
        <v>0.73924638217875105</v>
      </c>
      <c r="DS144" s="933">
        <f t="shared" si="56"/>
        <v>0.73924638217875105</v>
      </c>
      <c r="DT144" s="933">
        <f t="shared" si="56"/>
        <v>0.73924638217875105</v>
      </c>
      <c r="DU144" s="933">
        <f t="shared" si="56"/>
        <v>0.73924638217875105</v>
      </c>
      <c r="DV144" s="933">
        <f t="shared" si="56"/>
        <v>0.73924638217875105</v>
      </c>
      <c r="DW144" s="933">
        <f t="shared" si="56"/>
        <v>0.73924638217875105</v>
      </c>
      <c r="DX144" s="933">
        <f t="shared" si="56"/>
        <v>0.73924638217875105</v>
      </c>
    </row>
    <row r="145" spans="1:128" x14ac:dyDescent="0.3">
      <c r="A145" s="923">
        <v>45627</v>
      </c>
      <c r="B145" s="932">
        <v>117923.72881355933</v>
      </c>
      <c r="C145" s="929">
        <v>156.27440950168125</v>
      </c>
      <c r="D145" s="930">
        <f t="shared" si="54"/>
        <v>18.428461086575378</v>
      </c>
      <c r="E145" s="931"/>
      <c r="F145" s="931"/>
      <c r="G145" s="931"/>
      <c r="H145" s="931"/>
      <c r="I145" s="931"/>
      <c r="J145" s="931"/>
      <c r="K145" s="931"/>
      <c r="L145" s="931"/>
      <c r="M145" s="931"/>
      <c r="N145" s="931"/>
      <c r="O145" s="931"/>
      <c r="P145" s="931"/>
      <c r="Q145" s="931"/>
      <c r="R145" s="931"/>
      <c r="S145" s="931"/>
      <c r="T145" s="931"/>
      <c r="U145" s="931"/>
      <c r="V145" s="931"/>
      <c r="W145" s="931"/>
      <c r="X145" s="931"/>
      <c r="Y145" s="931"/>
      <c r="Z145" s="931"/>
      <c r="AA145" s="931"/>
      <c r="AB145" s="931"/>
      <c r="AC145" s="931"/>
      <c r="AD145" s="931"/>
      <c r="AE145" s="931"/>
      <c r="AF145" s="931"/>
      <c r="AG145" s="931"/>
      <c r="AH145" s="931"/>
      <c r="AI145" s="931"/>
      <c r="AJ145" s="931"/>
      <c r="AK145" s="931"/>
      <c r="AL145" s="931"/>
      <c r="AM145" s="931"/>
      <c r="AN145" s="931"/>
      <c r="AO145" s="931"/>
      <c r="AP145" s="931"/>
      <c r="AQ145" s="931"/>
      <c r="AR145" s="931"/>
      <c r="AS145" s="931"/>
      <c r="AT145" s="931"/>
      <c r="AU145" s="931"/>
      <c r="AV145" s="931"/>
      <c r="AW145" s="931"/>
      <c r="AX145" s="931"/>
      <c r="AY145" s="931"/>
      <c r="AZ145" s="931"/>
      <c r="BA145" s="931"/>
      <c r="BB145" s="931"/>
      <c r="BC145" s="931"/>
      <c r="BD145" s="931"/>
      <c r="BE145" s="931"/>
      <c r="BF145" s="931"/>
      <c r="BG145" s="931"/>
      <c r="BH145" s="935"/>
      <c r="BI145" s="936"/>
      <c r="BJ145" s="936"/>
      <c r="BK145" s="935"/>
      <c r="BL145" s="933"/>
      <c r="BM145" s="933"/>
      <c r="BN145" s="933"/>
      <c r="BO145" s="933"/>
      <c r="BP145" s="933"/>
      <c r="BQ145" s="933"/>
      <c r="BR145" s="933"/>
      <c r="BS145" s="933"/>
      <c r="BT145" s="933"/>
      <c r="BU145" s="933"/>
      <c r="BV145" s="933"/>
      <c r="BW145" s="933"/>
      <c r="BX145" s="933"/>
      <c r="BY145" s="933"/>
      <c r="BZ145" s="933"/>
      <c r="CB145" s="933"/>
      <c r="CC145" s="933"/>
      <c r="CF145" s="933"/>
      <c r="CI145" s="933"/>
      <c r="CL145" s="933"/>
      <c r="CO145" s="933"/>
      <c r="CP145" s="1485"/>
      <c r="CU145" s="933"/>
      <c r="CX145" s="933"/>
      <c r="DA145" s="933"/>
      <c r="DB145" s="933"/>
      <c r="DC145" s="933"/>
      <c r="DD145" s="933"/>
      <c r="DK145" s="933"/>
      <c r="DL145" s="933"/>
      <c r="DM145" s="933"/>
      <c r="DN145" s="933"/>
      <c r="DO145" s="933"/>
      <c r="DP145" s="933"/>
      <c r="DQ145" s="933"/>
      <c r="DR145" s="933"/>
      <c r="DS145" s="933">
        <f t="shared" ref="DS145:DX145" si="57">+$D145/24</f>
        <v>0.76785254527397406</v>
      </c>
      <c r="DT145" s="933">
        <f t="shared" si="57"/>
        <v>0.76785254527397406</v>
      </c>
      <c r="DU145" s="933">
        <f t="shared" si="57"/>
        <v>0.76785254527397406</v>
      </c>
      <c r="DV145" s="933">
        <f t="shared" si="57"/>
        <v>0.76785254527397406</v>
      </c>
      <c r="DW145" s="933">
        <f t="shared" si="57"/>
        <v>0.76785254527397406</v>
      </c>
      <c r="DX145" s="933">
        <f t="shared" si="57"/>
        <v>0.76785254527397406</v>
      </c>
    </row>
    <row r="146" spans="1:128" x14ac:dyDescent="0.3">
      <c r="A146" s="923">
        <v>45658</v>
      </c>
      <c r="B146" s="932">
        <v>121578.81355932204</v>
      </c>
      <c r="C146" s="929">
        <v>156.27440950168125</v>
      </c>
      <c r="D146" s="930">
        <f t="shared" ref="D146:D149" si="58">+(B146*C146)/10^6</f>
        <v>18.999657296898047</v>
      </c>
      <c r="E146" s="931"/>
      <c r="F146" s="931"/>
      <c r="G146" s="931"/>
      <c r="H146" s="931"/>
      <c r="I146" s="931"/>
      <c r="J146" s="931"/>
      <c r="K146" s="931"/>
      <c r="L146" s="931"/>
      <c r="M146" s="931"/>
      <c r="N146" s="931"/>
      <c r="O146" s="931"/>
      <c r="P146" s="931"/>
      <c r="Q146" s="931"/>
      <c r="R146" s="931"/>
      <c r="S146" s="931"/>
      <c r="T146" s="931"/>
      <c r="U146" s="931"/>
      <c r="V146" s="931"/>
      <c r="W146" s="931"/>
      <c r="X146" s="931"/>
      <c r="Y146" s="931"/>
      <c r="Z146" s="931"/>
      <c r="AA146" s="931"/>
      <c r="AB146" s="931"/>
      <c r="AC146" s="931"/>
      <c r="AD146" s="931"/>
      <c r="AE146" s="931"/>
      <c r="AF146" s="931"/>
      <c r="AG146" s="931"/>
      <c r="AH146" s="931"/>
      <c r="AI146" s="931"/>
      <c r="AJ146" s="931"/>
      <c r="AK146" s="931"/>
      <c r="AL146" s="931"/>
      <c r="AM146" s="931"/>
      <c r="AN146" s="931"/>
      <c r="AO146" s="931"/>
      <c r="AP146" s="931"/>
      <c r="AQ146" s="931"/>
      <c r="AR146" s="931"/>
      <c r="AS146" s="931"/>
      <c r="AT146" s="931"/>
      <c r="AU146" s="931"/>
      <c r="AV146" s="931"/>
      <c r="AW146" s="931"/>
      <c r="AX146" s="931"/>
      <c r="AY146" s="931"/>
      <c r="AZ146" s="931"/>
      <c r="BA146" s="931"/>
      <c r="BB146" s="931"/>
      <c r="BC146" s="931"/>
      <c r="BD146" s="931"/>
      <c r="BE146" s="931"/>
      <c r="BF146" s="931"/>
      <c r="BG146" s="931"/>
      <c r="BH146" s="935"/>
      <c r="BI146" s="936"/>
      <c r="BJ146" s="936"/>
      <c r="BK146" s="935"/>
      <c r="BL146" s="933"/>
      <c r="BM146" s="933"/>
      <c r="BN146" s="933"/>
      <c r="BO146" s="933"/>
      <c r="BP146" s="933"/>
      <c r="BQ146" s="933"/>
      <c r="BR146" s="933"/>
      <c r="BS146" s="933"/>
      <c r="BT146" s="933"/>
      <c r="BU146" s="933"/>
      <c r="BV146" s="933"/>
      <c r="BW146" s="933"/>
      <c r="BX146" s="933"/>
      <c r="BY146" s="933"/>
      <c r="BZ146" s="933"/>
      <c r="CB146" s="933"/>
      <c r="CC146" s="933"/>
      <c r="CF146" s="933"/>
      <c r="CI146" s="933"/>
      <c r="CL146" s="933"/>
      <c r="CO146" s="933"/>
      <c r="CP146" s="1485"/>
      <c r="CU146" s="933"/>
      <c r="CX146" s="933"/>
      <c r="DA146" s="933"/>
      <c r="DB146" s="933"/>
      <c r="DC146" s="933"/>
      <c r="DD146" s="933"/>
      <c r="DK146" s="933"/>
      <c r="DL146" s="933"/>
      <c r="DM146" s="933"/>
      <c r="DN146" s="933"/>
      <c r="DO146" s="933"/>
      <c r="DP146" s="933"/>
      <c r="DQ146" s="933"/>
      <c r="DR146" s="933"/>
      <c r="DS146" s="933"/>
      <c r="DT146" s="933">
        <f>+$D146/24</f>
        <v>0.79165238737075194</v>
      </c>
      <c r="DU146" s="933">
        <f>+$D146/24</f>
        <v>0.79165238737075194</v>
      </c>
      <c r="DV146" s="933">
        <f>+$D146/24</f>
        <v>0.79165238737075194</v>
      </c>
      <c r="DW146" s="933">
        <f>+$D146/24</f>
        <v>0.79165238737075194</v>
      </c>
      <c r="DX146" s="933">
        <f>+$D146/24</f>
        <v>0.79165238737075194</v>
      </c>
    </row>
    <row r="147" spans="1:128" x14ac:dyDescent="0.3">
      <c r="A147" s="923">
        <v>45689</v>
      </c>
      <c r="B147" s="932">
        <v>139177.11864406781</v>
      </c>
      <c r="C147" s="929">
        <v>156.27440950168125</v>
      </c>
      <c r="D147" s="930">
        <f t="shared" si="58"/>
        <v>21.749822032247131</v>
      </c>
      <c r="E147" s="931"/>
      <c r="F147" s="931"/>
      <c r="G147" s="931"/>
      <c r="H147" s="931"/>
      <c r="I147" s="931"/>
      <c r="J147" s="931"/>
      <c r="K147" s="931"/>
      <c r="L147" s="931"/>
      <c r="M147" s="931"/>
      <c r="N147" s="931"/>
      <c r="O147" s="931"/>
      <c r="P147" s="931"/>
      <c r="Q147" s="931"/>
      <c r="R147" s="931"/>
      <c r="S147" s="931"/>
      <c r="T147" s="931"/>
      <c r="U147" s="931"/>
      <c r="V147" s="931"/>
      <c r="W147" s="931"/>
      <c r="X147" s="931"/>
      <c r="Y147" s="931"/>
      <c r="Z147" s="931"/>
      <c r="AA147" s="931"/>
      <c r="AB147" s="931"/>
      <c r="AC147" s="931"/>
      <c r="AD147" s="931"/>
      <c r="AE147" s="931"/>
      <c r="AF147" s="931"/>
      <c r="AG147" s="931"/>
      <c r="AH147" s="931"/>
      <c r="AI147" s="931"/>
      <c r="AJ147" s="931"/>
      <c r="AK147" s="931"/>
      <c r="AL147" s="931"/>
      <c r="AM147" s="931"/>
      <c r="AN147" s="931"/>
      <c r="AO147" s="931"/>
      <c r="AP147" s="931"/>
      <c r="AQ147" s="931"/>
      <c r="AR147" s="931"/>
      <c r="AS147" s="931"/>
      <c r="AT147" s="931"/>
      <c r="AU147" s="931"/>
      <c r="AV147" s="931"/>
      <c r="AW147" s="931"/>
      <c r="AX147" s="931"/>
      <c r="AY147" s="931"/>
      <c r="AZ147" s="931"/>
      <c r="BA147" s="931"/>
      <c r="BB147" s="931"/>
      <c r="BC147" s="931"/>
      <c r="BD147" s="931"/>
      <c r="BE147" s="931"/>
      <c r="BF147" s="931"/>
      <c r="BG147" s="931"/>
      <c r="BH147" s="935"/>
      <c r="BI147" s="936"/>
      <c r="BJ147" s="936"/>
      <c r="BK147" s="935"/>
      <c r="BL147" s="933"/>
      <c r="BM147" s="933"/>
      <c r="BN147" s="933"/>
      <c r="BO147" s="933"/>
      <c r="BP147" s="933"/>
      <c r="BQ147" s="933"/>
      <c r="BR147" s="933"/>
      <c r="BS147" s="933"/>
      <c r="BT147" s="933"/>
      <c r="BU147" s="933"/>
      <c r="BV147" s="933"/>
      <c r="BW147" s="933"/>
      <c r="BX147" s="933"/>
      <c r="BY147" s="933"/>
      <c r="BZ147" s="933"/>
      <c r="CB147" s="933"/>
      <c r="CC147" s="933"/>
      <c r="CF147" s="933"/>
      <c r="CI147" s="933"/>
      <c r="CL147" s="933"/>
      <c r="CO147" s="933"/>
      <c r="CP147" s="1485"/>
      <c r="CU147" s="933"/>
      <c r="CX147" s="933"/>
      <c r="DA147" s="933"/>
      <c r="DB147" s="933"/>
      <c r="DC147" s="933"/>
      <c r="DD147" s="933"/>
      <c r="DK147" s="933"/>
      <c r="DL147" s="933"/>
      <c r="DM147" s="933"/>
      <c r="DN147" s="933"/>
      <c r="DO147" s="933"/>
      <c r="DP147" s="933"/>
      <c r="DQ147" s="933"/>
      <c r="DR147" s="933"/>
      <c r="DS147" s="933"/>
      <c r="DT147" s="933"/>
      <c r="DU147" s="933">
        <f>+$D147/24</f>
        <v>0.90624258467696384</v>
      </c>
      <c r="DV147" s="933">
        <f>+$D147/24</f>
        <v>0.90624258467696384</v>
      </c>
      <c r="DW147" s="933">
        <f>+$D147/24</f>
        <v>0.90624258467696384</v>
      </c>
      <c r="DX147" s="933">
        <f>+$D147/24</f>
        <v>0.90624258467696384</v>
      </c>
    </row>
    <row r="148" spans="1:128" x14ac:dyDescent="0.3">
      <c r="A148" s="923">
        <v>45717</v>
      </c>
      <c r="B148" s="932">
        <v>139178.11864406799</v>
      </c>
      <c r="C148" s="929">
        <v>156.27440950168125</v>
      </c>
      <c r="D148" s="930">
        <f t="shared" si="58"/>
        <v>21.749978306656658</v>
      </c>
      <c r="E148" s="931"/>
      <c r="F148" s="931"/>
      <c r="G148" s="931"/>
      <c r="H148" s="931"/>
      <c r="I148" s="931"/>
      <c r="J148" s="931"/>
      <c r="K148" s="931"/>
      <c r="L148" s="931"/>
      <c r="M148" s="931"/>
      <c r="N148" s="931"/>
      <c r="O148" s="931"/>
      <c r="P148" s="931"/>
      <c r="Q148" s="931"/>
      <c r="R148" s="931"/>
      <c r="S148" s="931"/>
      <c r="T148" s="931"/>
      <c r="U148" s="931"/>
      <c r="V148" s="931"/>
      <c r="W148" s="931"/>
      <c r="X148" s="931"/>
      <c r="Y148" s="931"/>
      <c r="Z148" s="931"/>
      <c r="AA148" s="931"/>
      <c r="AB148" s="931"/>
      <c r="AC148" s="931"/>
      <c r="AD148" s="931"/>
      <c r="AE148" s="931"/>
      <c r="AF148" s="931"/>
      <c r="AG148" s="931"/>
      <c r="AH148" s="931"/>
      <c r="AI148" s="931"/>
      <c r="AJ148" s="931"/>
      <c r="AK148" s="931"/>
      <c r="AL148" s="931"/>
      <c r="AM148" s="931"/>
      <c r="AN148" s="931"/>
      <c r="AO148" s="931"/>
      <c r="AP148" s="931"/>
      <c r="AQ148" s="931"/>
      <c r="AR148" s="931"/>
      <c r="AS148" s="931"/>
      <c r="AT148" s="931"/>
      <c r="AU148" s="931"/>
      <c r="AV148" s="931"/>
      <c r="AW148" s="931"/>
      <c r="AX148" s="931"/>
      <c r="AY148" s="931"/>
      <c r="AZ148" s="931"/>
      <c r="BA148" s="931"/>
      <c r="BB148" s="931"/>
      <c r="BC148" s="931"/>
      <c r="BD148" s="931"/>
      <c r="BE148" s="931"/>
      <c r="BF148" s="931"/>
      <c r="BG148" s="931"/>
      <c r="BH148" s="935"/>
      <c r="BI148" s="936"/>
      <c r="BJ148" s="936"/>
      <c r="BK148" s="935"/>
      <c r="BL148" s="933"/>
      <c r="BM148" s="933"/>
      <c r="BN148" s="933"/>
      <c r="BO148" s="933"/>
      <c r="BP148" s="933"/>
      <c r="BQ148" s="933"/>
      <c r="BR148" s="933"/>
      <c r="BS148" s="933"/>
      <c r="BT148" s="933"/>
      <c r="BU148" s="933"/>
      <c r="BV148" s="933"/>
      <c r="BW148" s="933"/>
      <c r="BX148" s="933"/>
      <c r="BY148" s="933"/>
      <c r="BZ148" s="933"/>
      <c r="CB148" s="933"/>
      <c r="CC148" s="933"/>
      <c r="CF148" s="933"/>
      <c r="CI148" s="933"/>
      <c r="CL148" s="933"/>
      <c r="CO148" s="933"/>
      <c r="CP148" s="1485"/>
      <c r="CU148" s="933"/>
      <c r="CX148" s="933"/>
      <c r="DA148" s="933"/>
      <c r="DB148" s="933"/>
      <c r="DC148" s="933"/>
      <c r="DD148" s="933"/>
      <c r="DK148" s="933"/>
      <c r="DL148" s="933"/>
      <c r="DM148" s="933"/>
      <c r="DN148" s="933"/>
      <c r="DO148" s="933"/>
      <c r="DP148" s="933"/>
      <c r="DQ148" s="933"/>
      <c r="DR148" s="933"/>
      <c r="DS148" s="933"/>
      <c r="DT148" s="933"/>
      <c r="DU148" s="933"/>
      <c r="DV148" s="933">
        <f>+$D148/24</f>
        <v>0.90624909611069404</v>
      </c>
      <c r="DW148" s="933">
        <f>+$D148/24</f>
        <v>0.90624909611069404</v>
      </c>
      <c r="DX148" s="933">
        <f>+$D148/24</f>
        <v>0.90624909611069404</v>
      </c>
    </row>
    <row r="149" spans="1:128" x14ac:dyDescent="0.3">
      <c r="A149" s="923">
        <v>45748</v>
      </c>
      <c r="B149" s="932">
        <v>236721.88135593201</v>
      </c>
      <c r="C149" s="929">
        <v>156.27440950168125</v>
      </c>
      <c r="D149" s="930">
        <f t="shared" si="58"/>
        <v>36.993572225025325</v>
      </c>
      <c r="E149" s="931"/>
      <c r="F149" s="931"/>
      <c r="G149" s="931"/>
      <c r="H149" s="931"/>
      <c r="I149" s="931"/>
      <c r="J149" s="931"/>
      <c r="K149" s="931"/>
      <c r="L149" s="931"/>
      <c r="M149" s="931"/>
      <c r="N149" s="931"/>
      <c r="O149" s="931"/>
      <c r="P149" s="931"/>
      <c r="Q149" s="931"/>
      <c r="R149" s="931"/>
      <c r="S149" s="931"/>
      <c r="T149" s="931"/>
      <c r="U149" s="931"/>
      <c r="V149" s="931"/>
      <c r="W149" s="931"/>
      <c r="X149" s="931"/>
      <c r="Y149" s="931"/>
      <c r="Z149" s="931"/>
      <c r="AA149" s="931"/>
      <c r="AB149" s="931"/>
      <c r="AC149" s="931"/>
      <c r="AD149" s="931"/>
      <c r="AE149" s="931"/>
      <c r="AF149" s="931"/>
      <c r="AG149" s="931"/>
      <c r="AH149" s="931"/>
      <c r="AI149" s="931"/>
      <c r="AJ149" s="931"/>
      <c r="AK149" s="931"/>
      <c r="AL149" s="931"/>
      <c r="AM149" s="931"/>
      <c r="AN149" s="931"/>
      <c r="AO149" s="931"/>
      <c r="AP149" s="931"/>
      <c r="AQ149" s="931"/>
      <c r="AR149" s="931"/>
      <c r="AS149" s="931"/>
      <c r="AT149" s="931"/>
      <c r="AU149" s="931"/>
      <c r="AV149" s="931"/>
      <c r="AW149" s="931"/>
      <c r="AX149" s="931"/>
      <c r="AY149" s="931"/>
      <c r="AZ149" s="931"/>
      <c r="BA149" s="931"/>
      <c r="BB149" s="931"/>
      <c r="BC149" s="931"/>
      <c r="BD149" s="931"/>
      <c r="BE149" s="931"/>
      <c r="BF149" s="931"/>
      <c r="BG149" s="931"/>
      <c r="BH149" s="935"/>
      <c r="BI149" s="936"/>
      <c r="BJ149" s="936"/>
      <c r="BK149" s="935"/>
      <c r="BL149" s="933"/>
      <c r="BM149" s="933"/>
      <c r="BN149" s="933"/>
      <c r="BO149" s="933"/>
      <c r="BP149" s="933"/>
      <c r="BQ149" s="933"/>
      <c r="BR149" s="933"/>
      <c r="BS149" s="933"/>
      <c r="BT149" s="933"/>
      <c r="BU149" s="933"/>
      <c r="BV149" s="933"/>
      <c r="BW149" s="933"/>
      <c r="BX149" s="933"/>
      <c r="BY149" s="933"/>
      <c r="BZ149" s="933"/>
      <c r="CB149" s="933"/>
      <c r="CC149" s="933"/>
      <c r="CF149" s="933"/>
      <c r="CI149" s="933"/>
      <c r="CL149" s="933"/>
      <c r="CO149" s="933"/>
      <c r="CP149" s="1485"/>
      <c r="CU149" s="933"/>
      <c r="CX149" s="933"/>
      <c r="DA149" s="933"/>
      <c r="DB149" s="933"/>
      <c r="DC149" s="933"/>
      <c r="DD149" s="933"/>
      <c r="DK149" s="933"/>
      <c r="DL149" s="933"/>
      <c r="DM149" s="933"/>
      <c r="DN149" s="933"/>
      <c r="DO149" s="933"/>
      <c r="DP149" s="933"/>
      <c r="DQ149" s="933"/>
      <c r="DR149" s="933"/>
      <c r="DS149" s="933"/>
      <c r="DT149" s="933"/>
      <c r="DU149" s="933"/>
      <c r="DV149" s="933"/>
      <c r="DW149" s="933">
        <f>+$D149/24</f>
        <v>1.5413988427093885</v>
      </c>
      <c r="DX149" s="933">
        <f>+$D149/24</f>
        <v>1.5413988427093885</v>
      </c>
    </row>
    <row r="150" spans="1:128" x14ac:dyDescent="0.3">
      <c r="A150" s="923">
        <v>45778</v>
      </c>
      <c r="B150" s="932">
        <v>180601.69491525425</v>
      </c>
      <c r="C150" s="929">
        <v>156.27440950168125</v>
      </c>
      <c r="D150" s="930">
        <f t="shared" ref="D150" si="59">+(B150*C150)/10^6</f>
        <v>28.223423227884147</v>
      </c>
      <c r="E150" s="931"/>
      <c r="F150" s="931"/>
      <c r="G150" s="931"/>
      <c r="H150" s="931"/>
      <c r="I150" s="931"/>
      <c r="J150" s="931"/>
      <c r="K150" s="931"/>
      <c r="L150" s="931"/>
      <c r="M150" s="931"/>
      <c r="N150" s="931"/>
      <c r="O150" s="931"/>
      <c r="P150" s="931"/>
      <c r="Q150" s="931"/>
      <c r="R150" s="931"/>
      <c r="S150" s="931"/>
      <c r="T150" s="931"/>
      <c r="U150" s="931"/>
      <c r="V150" s="931"/>
      <c r="W150" s="931"/>
      <c r="X150" s="931"/>
      <c r="Y150" s="931"/>
      <c r="Z150" s="931"/>
      <c r="AA150" s="931"/>
      <c r="AB150" s="931"/>
      <c r="AC150" s="931"/>
      <c r="AD150" s="931"/>
      <c r="AE150" s="931"/>
      <c r="AF150" s="931"/>
      <c r="AG150" s="931"/>
      <c r="AH150" s="931"/>
      <c r="AI150" s="931"/>
      <c r="AJ150" s="931"/>
      <c r="AK150" s="931"/>
      <c r="AL150" s="931"/>
      <c r="AM150" s="931"/>
      <c r="AN150" s="931"/>
      <c r="AO150" s="931"/>
      <c r="AP150" s="931"/>
      <c r="AQ150" s="931"/>
      <c r="AR150" s="931"/>
      <c r="AS150" s="931"/>
      <c r="AT150" s="931"/>
      <c r="AU150" s="931"/>
      <c r="AV150" s="931"/>
      <c r="AW150" s="931"/>
      <c r="AX150" s="931"/>
      <c r="AY150" s="931"/>
      <c r="AZ150" s="931"/>
      <c r="BA150" s="931"/>
      <c r="BB150" s="931"/>
      <c r="BC150" s="931"/>
      <c r="BD150" s="931"/>
      <c r="BE150" s="931"/>
      <c r="BF150" s="931"/>
      <c r="BG150" s="931"/>
      <c r="BH150" s="935"/>
      <c r="BI150" s="936"/>
      <c r="BJ150" s="936"/>
      <c r="BK150" s="935"/>
      <c r="BL150" s="933"/>
      <c r="BM150" s="933"/>
      <c r="BN150" s="933"/>
      <c r="BO150" s="933"/>
      <c r="BP150" s="933"/>
      <c r="BQ150" s="933"/>
      <c r="BR150" s="933"/>
      <c r="BS150" s="933"/>
      <c r="BT150" s="933"/>
      <c r="BU150" s="933"/>
      <c r="BV150" s="933"/>
      <c r="BW150" s="933"/>
      <c r="BX150" s="933"/>
      <c r="BY150" s="933"/>
      <c r="BZ150" s="933"/>
      <c r="CB150" s="933"/>
      <c r="CC150" s="933"/>
      <c r="CF150" s="933"/>
      <c r="CI150" s="933"/>
      <c r="CL150" s="933"/>
      <c r="CO150" s="933"/>
      <c r="CP150" s="1485"/>
      <c r="CU150" s="933"/>
      <c r="CX150" s="933"/>
      <c r="DA150" s="933"/>
      <c r="DB150" s="933"/>
      <c r="DC150" s="933"/>
      <c r="DD150" s="933"/>
      <c r="DK150" s="933"/>
      <c r="DL150" s="933"/>
      <c r="DM150" s="933"/>
      <c r="DN150" s="933"/>
      <c r="DO150" s="933"/>
      <c r="DP150" s="933"/>
      <c r="DQ150" s="933"/>
      <c r="DR150" s="933"/>
      <c r="DS150" s="933"/>
      <c r="DT150" s="933"/>
      <c r="DU150" s="933"/>
      <c r="DV150" s="933"/>
      <c r="DW150" s="933"/>
      <c r="DX150" s="933">
        <f>+$D150/24</f>
        <v>1.1759759678285062</v>
      </c>
    </row>
    <row r="151" spans="1:128" x14ac:dyDescent="0.3">
      <c r="A151" s="923"/>
      <c r="B151" s="932"/>
      <c r="C151" s="929"/>
      <c r="D151" s="930"/>
      <c r="E151" s="931"/>
      <c r="F151" s="931"/>
      <c r="G151" s="931"/>
      <c r="H151" s="931"/>
      <c r="I151" s="931"/>
      <c r="J151" s="931"/>
      <c r="K151" s="931"/>
      <c r="L151" s="931"/>
      <c r="M151" s="931"/>
      <c r="N151" s="931"/>
      <c r="O151" s="931"/>
      <c r="P151" s="931"/>
      <c r="Q151" s="931"/>
      <c r="R151" s="931"/>
      <c r="S151" s="931"/>
      <c r="T151" s="931"/>
      <c r="U151" s="931"/>
      <c r="V151" s="931"/>
      <c r="W151" s="931"/>
      <c r="X151" s="931"/>
      <c r="Y151" s="931"/>
      <c r="Z151" s="931"/>
      <c r="AA151" s="931"/>
      <c r="AB151" s="931"/>
      <c r="AC151" s="931"/>
      <c r="AD151" s="931"/>
      <c r="AE151" s="931"/>
      <c r="AF151" s="931"/>
      <c r="AG151" s="931"/>
      <c r="AH151" s="931"/>
      <c r="AI151" s="931"/>
      <c r="AJ151" s="931"/>
      <c r="AK151" s="931"/>
      <c r="AL151" s="931"/>
      <c r="AM151" s="931"/>
      <c r="AN151" s="931"/>
      <c r="AO151" s="931"/>
      <c r="AP151" s="931"/>
      <c r="AQ151" s="931"/>
      <c r="AR151" s="931"/>
      <c r="AS151" s="931"/>
      <c r="AT151" s="931"/>
      <c r="AU151" s="931"/>
      <c r="AV151" s="931"/>
      <c r="AW151" s="931"/>
      <c r="AX151" s="931"/>
      <c r="AY151" s="931"/>
      <c r="AZ151" s="931"/>
      <c r="BA151" s="931"/>
      <c r="BB151" s="931"/>
      <c r="BC151" s="931"/>
      <c r="BD151" s="931"/>
      <c r="BE151" s="931"/>
      <c r="BF151" s="931"/>
      <c r="BG151" s="931"/>
      <c r="BH151" s="935"/>
      <c r="BI151" s="936"/>
      <c r="BJ151" s="936"/>
      <c r="BK151" s="935"/>
      <c r="BL151" s="933"/>
      <c r="BM151" s="933"/>
      <c r="BN151" s="933"/>
      <c r="BO151" s="933"/>
      <c r="BP151" s="933"/>
      <c r="BQ151" s="933"/>
      <c r="BR151" s="933"/>
      <c r="BS151" s="933"/>
      <c r="BT151" s="933"/>
      <c r="BU151" s="933"/>
      <c r="BV151" s="933"/>
      <c r="BW151" s="933"/>
      <c r="BX151" s="933"/>
      <c r="BY151" s="933"/>
      <c r="BZ151" s="933"/>
      <c r="CB151" s="933"/>
      <c r="CC151" s="933"/>
      <c r="CF151" s="933"/>
      <c r="CI151" s="933"/>
      <c r="CL151" s="933"/>
      <c r="CO151" s="933"/>
      <c r="CP151" s="1485"/>
      <c r="CU151" s="933"/>
      <c r="CX151" s="933"/>
      <c r="DA151" s="933"/>
      <c r="DB151" s="933"/>
      <c r="DC151" s="933"/>
      <c r="DD151" s="933"/>
      <c r="DR151" s="933"/>
      <c r="DS151" s="933"/>
    </row>
    <row r="152" spans="1:128" x14ac:dyDescent="0.3">
      <c r="A152" s="923"/>
      <c r="B152" s="1910">
        <f>+SUM(B27:B151)</f>
        <v>20892706.968862239</v>
      </c>
      <c r="C152" s="937"/>
      <c r="D152" s="937">
        <f>+SUM(D27:D137)</f>
        <v>3074.4471620928871</v>
      </c>
      <c r="E152" s="938">
        <f t="shared" ref="E152:AJ152" si="60">+SUM(E27:E127)</f>
        <v>1.2495781950278293</v>
      </c>
      <c r="F152" s="938">
        <f t="shared" si="60"/>
        <v>2.3874810277447192</v>
      </c>
      <c r="G152" s="938">
        <f t="shared" si="60"/>
        <v>3.5010617736509255</v>
      </c>
      <c r="H152" s="938">
        <f t="shared" si="60"/>
        <v>4.8891162281153688</v>
      </c>
      <c r="I152" s="938">
        <f t="shared" si="60"/>
        <v>5.9270436832080735</v>
      </c>
      <c r="J152" s="938">
        <f t="shared" si="60"/>
        <v>7.3183007605994836</v>
      </c>
      <c r="K152" s="938">
        <f t="shared" si="60"/>
        <v>8.7964847581169714</v>
      </c>
      <c r="L152" s="938">
        <f t="shared" si="60"/>
        <v>10.18039464173475</v>
      </c>
      <c r="M152" s="938">
        <f t="shared" si="60"/>
        <v>11.776976535137431</v>
      </c>
      <c r="N152" s="938">
        <f t="shared" si="60"/>
        <v>13.330218908992823</v>
      </c>
      <c r="O152" s="938">
        <f t="shared" si="60"/>
        <v>14.570754403991568</v>
      </c>
      <c r="P152" s="938">
        <f t="shared" si="60"/>
        <v>15.833628937549005</v>
      </c>
      <c r="Q152" s="938">
        <f t="shared" si="60"/>
        <v>17.332248247303273</v>
      </c>
      <c r="R152" s="938">
        <f t="shared" si="60"/>
        <v>18.842736100845713</v>
      </c>
      <c r="S152" s="938">
        <f t="shared" si="60"/>
        <v>20.274328379682643</v>
      </c>
      <c r="T152" s="938">
        <f t="shared" si="60"/>
        <v>21.614333575001314</v>
      </c>
      <c r="U152" s="938">
        <f t="shared" si="60"/>
        <v>23.363362302775894</v>
      </c>
      <c r="V152" s="938">
        <f t="shared" si="60"/>
        <v>24.923694074132158</v>
      </c>
      <c r="W152" s="938">
        <f t="shared" si="60"/>
        <v>26.569782767145821</v>
      </c>
      <c r="X152" s="938">
        <f t="shared" si="60"/>
        <v>28.081301805779297</v>
      </c>
      <c r="Y152" s="938">
        <f t="shared" si="60"/>
        <v>29.200187205759583</v>
      </c>
      <c r="Z152" s="938">
        <f t="shared" si="60"/>
        <v>30.506768122790927</v>
      </c>
      <c r="AA152" s="938">
        <f t="shared" si="60"/>
        <v>31.897815384951866</v>
      </c>
      <c r="AB152" s="938">
        <f t="shared" si="60"/>
        <v>33.285869839416307</v>
      </c>
      <c r="AC152" s="938">
        <f t="shared" si="60"/>
        <v>33.44688344223681</v>
      </c>
      <c r="AD152" s="938">
        <f t="shared" si="60"/>
        <v>33.710628859751772</v>
      </c>
      <c r="AE152" s="938">
        <f t="shared" si="60"/>
        <v>34.157032851757727</v>
      </c>
      <c r="AF152" s="938">
        <f t="shared" si="60"/>
        <v>34.133622967142962</v>
      </c>
      <c r="AG152" s="938">
        <f t="shared" si="60"/>
        <v>33.993733997219749</v>
      </c>
      <c r="AH152" s="938">
        <f t="shared" si="60"/>
        <v>33.900355593487006</v>
      </c>
      <c r="AI152" s="938">
        <f t="shared" si="60"/>
        <v>33.85175493396185</v>
      </c>
      <c r="AJ152" s="938">
        <f t="shared" si="60"/>
        <v>33.83581845627306</v>
      </c>
      <c r="AK152" s="938">
        <f t="shared" ref="AK152:BP152" si="61">+SUM(AK27:AK127)</f>
        <v>33.475787842037057</v>
      </c>
      <c r="AL152" s="938">
        <f t="shared" si="61"/>
        <v>33.224381371514994</v>
      </c>
      <c r="AM152" s="938">
        <f t="shared" si="61"/>
        <v>33.04424291984958</v>
      </c>
      <c r="AN152" s="938">
        <f t="shared" si="61"/>
        <v>34.002318386292146</v>
      </c>
      <c r="AO152" s="938">
        <f t="shared" si="61"/>
        <v>34.07053145903788</v>
      </c>
      <c r="AP152" s="938">
        <f t="shared" si="61"/>
        <v>34.158670360472954</v>
      </c>
      <c r="AQ152" s="938">
        <f t="shared" si="61"/>
        <v>34.072261884962252</v>
      </c>
      <c r="AR152" s="938">
        <f t="shared" si="61"/>
        <v>33.993584225060253</v>
      </c>
      <c r="AS152" s="938">
        <f t="shared" si="61"/>
        <v>33.391292198311433</v>
      </c>
      <c r="AT152" s="938">
        <f t="shared" si="61"/>
        <v>33.046295862371835</v>
      </c>
      <c r="AU152" s="938">
        <f t="shared" si="61"/>
        <v>32.455185805608174</v>
      </c>
      <c r="AV152" s="938">
        <f t="shared" si="61"/>
        <v>31.870599699310311</v>
      </c>
      <c r="AW152" s="938">
        <f t="shared" si="61"/>
        <v>31.636615865907686</v>
      </c>
      <c r="AX152" s="938">
        <f t="shared" si="61"/>
        <v>31.310937788459672</v>
      </c>
      <c r="AY152" s="938">
        <f t="shared" si="61"/>
        <v>30.923902509632072</v>
      </c>
      <c r="AZ152" s="938">
        <f t="shared" si="61"/>
        <v>30.650756080167625</v>
      </c>
      <c r="BA152" s="938">
        <f t="shared" si="61"/>
        <v>30.359518094819293</v>
      </c>
      <c r="BB152" s="938">
        <f t="shared" si="61"/>
        <v>30.027233782006014</v>
      </c>
      <c r="BC152" s="938">
        <f t="shared" si="61"/>
        <v>29.450489182843846</v>
      </c>
      <c r="BD152" s="938">
        <f t="shared" si="61"/>
        <v>29.25159271716084</v>
      </c>
      <c r="BE152" s="938">
        <f t="shared" si="61"/>
        <v>29.29028432143388</v>
      </c>
      <c r="BF152" s="938">
        <f t="shared" si="61"/>
        <v>28.770067923038784</v>
      </c>
      <c r="BG152" s="938">
        <f t="shared" si="61"/>
        <v>28.530575217546449</v>
      </c>
      <c r="BH152" s="938">
        <f t="shared" si="61"/>
        <v>28.040609747445856</v>
      </c>
      <c r="BI152" s="938">
        <f t="shared" si="61"/>
        <v>27.638993788320477</v>
      </c>
      <c r="BJ152" s="938">
        <f t="shared" si="61"/>
        <v>27.087498006299562</v>
      </c>
      <c r="BK152" s="938">
        <f t="shared" si="61"/>
        <v>26.930922286475116</v>
      </c>
      <c r="BL152" s="938">
        <f t="shared" si="61"/>
        <v>25.408054828963397</v>
      </c>
      <c r="BM152" s="938">
        <f t="shared" si="61"/>
        <v>24.560659712005613</v>
      </c>
      <c r="BN152" s="938">
        <f t="shared" si="61"/>
        <v>23.766285368689253</v>
      </c>
      <c r="BO152" s="938">
        <f t="shared" si="61"/>
        <v>23.128490742128843</v>
      </c>
      <c r="BP152" s="938">
        <f t="shared" si="61"/>
        <v>22.535265572545509</v>
      </c>
      <c r="BQ152" s="938">
        <f t="shared" ref="BQ152:CZ152" si="62">+SUM(BQ27:BQ127)</f>
        <v>21.898430824019751</v>
      </c>
      <c r="BR152" s="938">
        <f t="shared" si="62"/>
        <v>21.427923790686418</v>
      </c>
      <c r="BS152" s="938">
        <f t="shared" si="62"/>
        <v>21.078240084853082</v>
      </c>
      <c r="BT152" s="938">
        <f t="shared" si="62"/>
        <v>20.829363570850806</v>
      </c>
      <c r="BU152" s="938">
        <f t="shared" si="62"/>
        <v>20.554713639273146</v>
      </c>
      <c r="BV152" s="938">
        <f t="shared" si="62"/>
        <v>20.086288703023147</v>
      </c>
      <c r="BW152" s="938">
        <f t="shared" si="62"/>
        <v>19.754674139689811</v>
      </c>
      <c r="BX152" s="938">
        <f t="shared" si="62"/>
        <v>19.257175581356481</v>
      </c>
      <c r="BY152" s="938">
        <f t="shared" si="62"/>
        <v>18.590531235523152</v>
      </c>
      <c r="BZ152" s="938">
        <f t="shared" si="62"/>
        <v>18.083435662710219</v>
      </c>
      <c r="CA152" s="938">
        <f t="shared" si="62"/>
        <v>17.648117857293553</v>
      </c>
      <c r="CB152" s="938">
        <f t="shared" si="62"/>
        <v>17.00676641979355</v>
      </c>
      <c r="CC152" s="938">
        <f t="shared" si="62"/>
        <v>16.646164301862402</v>
      </c>
      <c r="CD152" s="938">
        <f t="shared" si="62"/>
        <v>16.484583567458209</v>
      </c>
      <c r="CE152" s="938">
        <f t="shared" si="62"/>
        <v>15.926265651533729</v>
      </c>
      <c r="CF152" s="938">
        <f t="shared" si="62"/>
        <v>15.644482131968347</v>
      </c>
      <c r="CG152" s="938">
        <f t="shared" si="62"/>
        <v>15.392753481510399</v>
      </c>
      <c r="CH152" s="938">
        <f t="shared" si="62"/>
        <v>15.217052182906311</v>
      </c>
      <c r="CI152" s="938">
        <f t="shared" si="62"/>
        <v>15.009843580230756</v>
      </c>
      <c r="CJ152" s="938">
        <f t="shared" si="62"/>
        <v>14.873858065086228</v>
      </c>
      <c r="CK152" s="938">
        <f t="shared" si="62"/>
        <v>14.698623366210676</v>
      </c>
      <c r="CL152" s="938">
        <f t="shared" si="62"/>
        <v>14.500333997909566</v>
      </c>
      <c r="CM152" s="938">
        <f t="shared" si="62"/>
        <v>14.583763495153567</v>
      </c>
      <c r="CN152" s="938">
        <f t="shared" si="62"/>
        <v>14.660636764734507</v>
      </c>
      <c r="CO152" s="938">
        <f t="shared" si="62"/>
        <v>14.908726847710474</v>
      </c>
      <c r="CP152" s="938">
        <f t="shared" si="62"/>
        <v>14.853293010859355</v>
      </c>
      <c r="CQ152" s="938">
        <f t="shared" si="62"/>
        <v>14.758873470729634</v>
      </c>
      <c r="CR152" s="938">
        <f t="shared" si="62"/>
        <v>14.721727781170227</v>
      </c>
      <c r="CS152" s="938">
        <f t="shared" si="62"/>
        <v>14.784605241354386</v>
      </c>
      <c r="CT152" s="938">
        <f t="shared" si="62"/>
        <v>14.975328349463947</v>
      </c>
      <c r="CU152" s="938">
        <f t="shared" si="62"/>
        <v>15.139353173508367</v>
      </c>
      <c r="CV152" s="938">
        <f t="shared" si="62"/>
        <v>15.337287178600597</v>
      </c>
      <c r="CW152" s="938">
        <f t="shared" si="62"/>
        <v>15.701936286391204</v>
      </c>
      <c r="CX152" s="938">
        <f t="shared" si="62"/>
        <v>16.033731192025702</v>
      </c>
      <c r="CY152" s="938">
        <f t="shared" si="62"/>
        <v>16.193424142135424</v>
      </c>
      <c r="CZ152" s="938">
        <f t="shared" si="62"/>
        <v>16.392504210844599</v>
      </c>
      <c r="DA152" s="938">
        <f t="shared" ref="DA152:DW152" si="63">+SUM(DA27:DA151)</f>
        <v>16.577012665557891</v>
      </c>
      <c r="DB152" s="938">
        <f t="shared" si="63"/>
        <v>17.827329766631799</v>
      </c>
      <c r="DC152" s="938">
        <f t="shared" si="63"/>
        <v>19.312879214683921</v>
      </c>
      <c r="DD152" s="938">
        <f t="shared" si="63"/>
        <v>21.310909537668643</v>
      </c>
      <c r="DE152" s="938">
        <f t="shared" si="63"/>
        <v>23.022747268115584</v>
      </c>
      <c r="DF152" s="938">
        <f t="shared" si="63"/>
        <v>24.900181891699859</v>
      </c>
      <c r="DG152" s="938">
        <f t="shared" si="63"/>
        <v>26.884111788561242</v>
      </c>
      <c r="DH152" s="938">
        <f t="shared" si="63"/>
        <v>28.665273732872262</v>
      </c>
      <c r="DI152" s="938">
        <f t="shared" si="63"/>
        <v>30.568838294668616</v>
      </c>
      <c r="DJ152" s="938">
        <f t="shared" si="63"/>
        <v>33.776771279954588</v>
      </c>
      <c r="DK152" s="938">
        <f t="shared" si="63"/>
        <v>36.04312058527632</v>
      </c>
      <c r="DL152" s="938">
        <f t="shared" si="63"/>
        <v>38.510647598906701</v>
      </c>
      <c r="DM152" s="938">
        <f t="shared" si="63"/>
        <v>40.190820971362527</v>
      </c>
      <c r="DN152" s="938">
        <f t="shared" si="63"/>
        <v>41.215408567023523</v>
      </c>
      <c r="DO152" s="938">
        <f t="shared" si="63"/>
        <v>42.355802312580586</v>
      </c>
      <c r="DP152" s="938">
        <f t="shared" si="63"/>
        <v>43.255710517139988</v>
      </c>
      <c r="DQ152" s="938">
        <f t="shared" si="63"/>
        <v>43.910955553223658</v>
      </c>
      <c r="DR152" s="938">
        <f t="shared" si="63"/>
        <v>43.947000923959514</v>
      </c>
      <c r="DS152" s="938">
        <f t="shared" si="63"/>
        <v>43.878431225189068</v>
      </c>
      <c r="DT152" s="938">
        <f t="shared" si="63"/>
        <v>43.854740140800928</v>
      </c>
      <c r="DU152" s="938">
        <f t="shared" si="63"/>
        <v>43.943624151020622</v>
      </c>
      <c r="DV152" s="938">
        <f t="shared" si="63"/>
        <v>43.955809976891167</v>
      </c>
      <c r="DW152" s="938">
        <f t="shared" si="63"/>
        <v>44.789593536157504</v>
      </c>
      <c r="DX152" s="938">
        <f>+SUM(DX27:DX151)</f>
        <v>45.242092768610163</v>
      </c>
    </row>
    <row r="153" spans="1:128" x14ac:dyDescent="0.3">
      <c r="D153" s="1599">
        <f>SUM(D122:D127)/61.3962</f>
        <v>1.8444765356161681</v>
      </c>
    </row>
    <row r="154" spans="1:128" s="939" customFormat="1" x14ac:dyDescent="0.3">
      <c r="B154" s="940" t="s">
        <v>1498</v>
      </c>
      <c r="C154" s="940"/>
      <c r="D154" s="940"/>
      <c r="E154" s="940"/>
      <c r="F154" s="940"/>
      <c r="G154" s="940"/>
      <c r="H154" s="940"/>
      <c r="I154" s="940"/>
      <c r="J154" s="940"/>
      <c r="K154" s="940"/>
      <c r="L154" s="940"/>
      <c r="M154" s="940"/>
      <c r="N154" s="940"/>
      <c r="O154" s="940"/>
      <c r="P154" s="940"/>
      <c r="Q154" s="940"/>
      <c r="R154" s="940"/>
      <c r="S154" s="940"/>
      <c r="T154" s="940"/>
      <c r="U154" s="940"/>
      <c r="V154" s="940"/>
      <c r="W154" s="940"/>
      <c r="X154" s="940"/>
      <c r="Y154" s="940"/>
      <c r="Z154" s="940"/>
      <c r="AA154" s="940"/>
      <c r="AB154" s="940"/>
      <c r="AC154" s="940"/>
      <c r="AD154" s="940"/>
      <c r="AE154" s="940"/>
      <c r="AF154" s="940"/>
      <c r="AG154" s="940"/>
      <c r="AH154" s="940"/>
      <c r="AI154" s="940"/>
      <c r="AJ154" s="940"/>
      <c r="AK154" s="940"/>
      <c r="AL154" s="940"/>
      <c r="AM154" s="940"/>
      <c r="AN154" s="940"/>
      <c r="AO154" s="940"/>
      <c r="AP154" s="940"/>
      <c r="AQ154" s="940"/>
      <c r="AR154" s="940"/>
      <c r="AS154" s="940"/>
      <c r="AT154" s="940"/>
      <c r="AU154" s="940"/>
      <c r="AV154" s="940"/>
      <c r="AW154" s="940"/>
      <c r="AX154" s="940"/>
      <c r="AY154" s="940"/>
      <c r="AZ154" s="940"/>
      <c r="BA154" s="940"/>
      <c r="BB154" s="940"/>
      <c r="BC154" s="940"/>
      <c r="BD154" s="940"/>
      <c r="BE154" s="940"/>
      <c r="BF154" s="940"/>
      <c r="BG154" s="940"/>
      <c r="BH154" s="940"/>
      <c r="BI154" s="940"/>
      <c r="BJ154" s="940"/>
      <c r="BK154" s="940"/>
      <c r="BL154" s="940"/>
      <c r="BM154" s="940"/>
      <c r="BN154" s="940"/>
      <c r="BO154" s="940"/>
      <c r="BP154" s="940"/>
      <c r="BQ154" s="941"/>
      <c r="BR154" s="941"/>
      <c r="BS154" s="941"/>
      <c r="BT154" s="941"/>
      <c r="BU154" s="941"/>
      <c r="BV154" s="941"/>
      <c r="BW154" s="941"/>
      <c r="BX154" s="941"/>
      <c r="BY154" s="941"/>
      <c r="BZ154" s="941"/>
      <c r="CA154" s="941"/>
      <c r="CB154" s="941"/>
      <c r="CC154" s="941"/>
      <c r="CD154" s="941"/>
      <c r="CE154" s="941"/>
      <c r="CF154" s="941"/>
      <c r="CG154" s="941"/>
      <c r="CH154" s="941"/>
      <c r="CI154" s="941"/>
      <c r="CJ154" s="941"/>
      <c r="CK154" s="941"/>
      <c r="CL154" s="941"/>
      <c r="CM154" s="941"/>
      <c r="CN154" s="941"/>
      <c r="CO154" s="941"/>
      <c r="CP154" s="941"/>
      <c r="CQ154" s="941"/>
      <c r="CR154" s="941"/>
      <c r="CS154" s="941"/>
      <c r="CT154" s="941"/>
      <c r="CU154" s="941"/>
      <c r="CV154" s="941"/>
      <c r="CW154" s="941"/>
      <c r="CX154" s="941"/>
      <c r="CY154" s="941"/>
      <c r="CZ154" s="941"/>
      <c r="DA154" s="941"/>
      <c r="DB154" s="941"/>
      <c r="DC154" s="941"/>
      <c r="DD154" s="941">
        <f>SUM(E152:DD152)-$F$21/1000000</f>
        <v>-74.807040948376653</v>
      </c>
      <c r="DG154" s="941">
        <f>SUM(E152:DG152)-$F$21/1000000</f>
        <v>0</v>
      </c>
    </row>
    <row r="160" spans="1:128" x14ac:dyDescent="0.3">
      <c r="DH160" s="1911">
        <f>SUM(DH152:DS152)</f>
        <v>466.31878156215737</v>
      </c>
      <c r="DI160" s="1912"/>
    </row>
    <row r="163" spans="2:3" x14ac:dyDescent="0.3">
      <c r="B163" s="2">
        <v>210561.86440677967</v>
      </c>
    </row>
    <row r="164" spans="2:3" x14ac:dyDescent="0.3">
      <c r="B164" s="2">
        <v>165338.13559322036</v>
      </c>
      <c r="C164" s="141">
        <f>B164+B163-B148</f>
        <v>236721.88135593201</v>
      </c>
    </row>
  </sheetData>
  <mergeCells count="2">
    <mergeCell ref="A2:G2"/>
    <mergeCell ref="B3:G3"/>
  </mergeCells>
  <hyperlinks>
    <hyperlink ref="A1" location="Sommaire!F27" display="Sommaire" xr:uid="{00000000-0004-0000-1300-000000000000}"/>
  </hyperlinks>
  <pageMargins left="0.7" right="0.7" top="0.75" bottom="0.75" header="0.3" footer="0.3"/>
  <pageSetup paperSize="9" scale="10" orientation="portrait" r:id="rId1"/>
  <colBreaks count="1" manualBreakCount="1">
    <brk id="51" max="154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C0099"/>
    <pageSetUpPr fitToPage="1"/>
  </sheetPr>
  <dimension ref="A1:AQ40"/>
  <sheetViews>
    <sheetView showGridLines="0" view="pageBreakPreview" topLeftCell="R4" zoomScale="70" zoomScaleNormal="85" zoomScaleSheetLayoutView="70" workbookViewId="0">
      <selection activeCell="U14" sqref="U14"/>
    </sheetView>
  </sheetViews>
  <sheetFormatPr baseColWidth="10" defaultRowHeight="14.4" outlineLevelRow="1" x14ac:dyDescent="0.3"/>
  <cols>
    <col min="1" max="1" width="14.44140625" style="943" customWidth="1"/>
    <col min="2" max="2" width="61.44140625" style="943" customWidth="1"/>
    <col min="3" max="3" width="2.5546875" style="943" customWidth="1"/>
    <col min="4" max="4" width="13.5546875" style="944" customWidth="1"/>
    <col min="5" max="5" width="10.5546875" style="945" customWidth="1"/>
    <col min="6" max="6" width="10.5546875" style="946" customWidth="1"/>
    <col min="7" max="19" width="10.5546875" style="945" customWidth="1"/>
    <col min="20" max="20" width="2.5546875" style="947" customWidth="1"/>
    <col min="21" max="22" width="15.5546875" style="948" customWidth="1"/>
    <col min="23" max="23" width="15.5546875" style="943" customWidth="1"/>
    <col min="24" max="24" width="1.5546875" style="949" customWidth="1"/>
    <col min="25" max="28" width="15.5546875" style="943" customWidth="1"/>
    <col min="29" max="29" width="2" style="943" customWidth="1"/>
    <col min="30" max="30" width="12" style="943" bestFit="1" customWidth="1"/>
    <col min="31" max="43" width="11.44140625" style="943"/>
    <col min="44" max="44" width="4.44140625" style="943" customWidth="1"/>
    <col min="45" max="268" width="11.44140625" style="943"/>
    <col min="269" max="269" width="10.5546875" style="943" customWidth="1"/>
    <col min="270" max="270" width="72.44140625" style="943" customWidth="1"/>
    <col min="271" max="271" width="2.5546875" style="943" customWidth="1"/>
    <col min="272" max="281" width="0" style="943" hidden="1" customWidth="1"/>
    <col min="282" max="282" width="12.44140625" style="943" customWidth="1"/>
    <col min="283" max="283" width="12" style="943" customWidth="1"/>
    <col min="284" max="284" width="12.88671875" style="943" customWidth="1"/>
    <col min="285" max="285" width="1.5546875" style="943" customWidth="1"/>
    <col min="286" max="286" width="16.109375" style="943" customWidth="1"/>
    <col min="287" max="287" width="11.88671875" style="943" customWidth="1"/>
    <col min="288" max="288" width="13.44140625" style="943" bestFit="1" customWidth="1"/>
    <col min="289" max="290" width="14.44140625" style="943" customWidth="1"/>
    <col min="291" max="291" width="2" style="943" customWidth="1"/>
    <col min="292" max="292" width="13.44140625" style="943" customWidth="1"/>
    <col min="293" max="294" width="10.44140625" style="943" customWidth="1"/>
    <col min="295" max="295" width="12" style="943" bestFit="1" customWidth="1"/>
    <col min="296" max="524" width="11.44140625" style="943"/>
    <col min="525" max="525" width="10.5546875" style="943" customWidth="1"/>
    <col min="526" max="526" width="72.44140625" style="943" customWidth="1"/>
    <col min="527" max="527" width="2.5546875" style="943" customWidth="1"/>
    <col min="528" max="537" width="0" style="943" hidden="1" customWidth="1"/>
    <col min="538" max="538" width="12.44140625" style="943" customWidth="1"/>
    <col min="539" max="539" width="12" style="943" customWidth="1"/>
    <col min="540" max="540" width="12.88671875" style="943" customWidth="1"/>
    <col min="541" max="541" width="1.5546875" style="943" customWidth="1"/>
    <col min="542" max="542" width="16.109375" style="943" customWidth="1"/>
    <col min="543" max="543" width="11.88671875" style="943" customWidth="1"/>
    <col min="544" max="544" width="13.44140625" style="943" bestFit="1" customWidth="1"/>
    <col min="545" max="546" width="14.44140625" style="943" customWidth="1"/>
    <col min="547" max="547" width="2" style="943" customWidth="1"/>
    <col min="548" max="548" width="13.44140625" style="943" customWidth="1"/>
    <col min="549" max="550" width="10.44140625" style="943" customWidth="1"/>
    <col min="551" max="551" width="12" style="943" bestFit="1" customWidth="1"/>
    <col min="552" max="780" width="11.44140625" style="943"/>
    <col min="781" max="781" width="10.5546875" style="943" customWidth="1"/>
    <col min="782" max="782" width="72.44140625" style="943" customWidth="1"/>
    <col min="783" max="783" width="2.5546875" style="943" customWidth="1"/>
    <col min="784" max="793" width="0" style="943" hidden="1" customWidth="1"/>
    <col min="794" max="794" width="12.44140625" style="943" customWidth="1"/>
    <col min="795" max="795" width="12" style="943" customWidth="1"/>
    <col min="796" max="796" width="12.88671875" style="943" customWidth="1"/>
    <col min="797" max="797" width="1.5546875" style="943" customWidth="1"/>
    <col min="798" max="798" width="16.109375" style="943" customWidth="1"/>
    <col min="799" max="799" width="11.88671875" style="943" customWidth="1"/>
    <col min="800" max="800" width="13.44140625" style="943" bestFit="1" customWidth="1"/>
    <col min="801" max="802" width="14.44140625" style="943" customWidth="1"/>
    <col min="803" max="803" width="2" style="943" customWidth="1"/>
    <col min="804" max="804" width="13.44140625" style="943" customWidth="1"/>
    <col min="805" max="806" width="10.44140625" style="943" customWidth="1"/>
    <col min="807" max="807" width="12" style="943" bestFit="1" customWidth="1"/>
    <col min="808" max="1036" width="11.44140625" style="943"/>
    <col min="1037" max="1037" width="10.5546875" style="943" customWidth="1"/>
    <col min="1038" max="1038" width="72.44140625" style="943" customWidth="1"/>
    <col min="1039" max="1039" width="2.5546875" style="943" customWidth="1"/>
    <col min="1040" max="1049" width="0" style="943" hidden="1" customWidth="1"/>
    <col min="1050" max="1050" width="12.44140625" style="943" customWidth="1"/>
    <col min="1051" max="1051" width="12" style="943" customWidth="1"/>
    <col min="1052" max="1052" width="12.88671875" style="943" customWidth="1"/>
    <col min="1053" max="1053" width="1.5546875" style="943" customWidth="1"/>
    <col min="1054" max="1054" width="16.109375" style="943" customWidth="1"/>
    <col min="1055" max="1055" width="11.88671875" style="943" customWidth="1"/>
    <col min="1056" max="1056" width="13.44140625" style="943" bestFit="1" customWidth="1"/>
    <col min="1057" max="1058" width="14.44140625" style="943" customWidth="1"/>
    <col min="1059" max="1059" width="2" style="943" customWidth="1"/>
    <col min="1060" max="1060" width="13.44140625" style="943" customWidth="1"/>
    <col min="1061" max="1062" width="10.44140625" style="943" customWidth="1"/>
    <col min="1063" max="1063" width="12" style="943" bestFit="1" customWidth="1"/>
    <col min="1064" max="1292" width="11.44140625" style="943"/>
    <col min="1293" max="1293" width="10.5546875" style="943" customWidth="1"/>
    <col min="1294" max="1294" width="72.44140625" style="943" customWidth="1"/>
    <col min="1295" max="1295" width="2.5546875" style="943" customWidth="1"/>
    <col min="1296" max="1305" width="0" style="943" hidden="1" customWidth="1"/>
    <col min="1306" max="1306" width="12.44140625" style="943" customWidth="1"/>
    <col min="1307" max="1307" width="12" style="943" customWidth="1"/>
    <col min="1308" max="1308" width="12.88671875" style="943" customWidth="1"/>
    <col min="1309" max="1309" width="1.5546875" style="943" customWidth="1"/>
    <col min="1310" max="1310" width="16.109375" style="943" customWidth="1"/>
    <col min="1311" max="1311" width="11.88671875" style="943" customWidth="1"/>
    <col min="1312" max="1312" width="13.44140625" style="943" bestFit="1" customWidth="1"/>
    <col min="1313" max="1314" width="14.44140625" style="943" customWidth="1"/>
    <col min="1315" max="1315" width="2" style="943" customWidth="1"/>
    <col min="1316" max="1316" width="13.44140625" style="943" customWidth="1"/>
    <col min="1317" max="1318" width="10.44140625" style="943" customWidth="1"/>
    <col min="1319" max="1319" width="12" style="943" bestFit="1" customWidth="1"/>
    <col min="1320" max="1548" width="11.44140625" style="943"/>
    <col min="1549" max="1549" width="10.5546875" style="943" customWidth="1"/>
    <col min="1550" max="1550" width="72.44140625" style="943" customWidth="1"/>
    <col min="1551" max="1551" width="2.5546875" style="943" customWidth="1"/>
    <col min="1552" max="1561" width="0" style="943" hidden="1" customWidth="1"/>
    <col min="1562" max="1562" width="12.44140625" style="943" customWidth="1"/>
    <col min="1563" max="1563" width="12" style="943" customWidth="1"/>
    <col min="1564" max="1564" width="12.88671875" style="943" customWidth="1"/>
    <col min="1565" max="1565" width="1.5546875" style="943" customWidth="1"/>
    <col min="1566" max="1566" width="16.109375" style="943" customWidth="1"/>
    <col min="1567" max="1567" width="11.88671875" style="943" customWidth="1"/>
    <col min="1568" max="1568" width="13.44140625" style="943" bestFit="1" customWidth="1"/>
    <col min="1569" max="1570" width="14.44140625" style="943" customWidth="1"/>
    <col min="1571" max="1571" width="2" style="943" customWidth="1"/>
    <col min="1572" max="1572" width="13.44140625" style="943" customWidth="1"/>
    <col min="1573" max="1574" width="10.44140625" style="943" customWidth="1"/>
    <col min="1575" max="1575" width="12" style="943" bestFit="1" customWidth="1"/>
    <col min="1576" max="1804" width="11.44140625" style="943"/>
    <col min="1805" max="1805" width="10.5546875" style="943" customWidth="1"/>
    <col min="1806" max="1806" width="72.44140625" style="943" customWidth="1"/>
    <col min="1807" max="1807" width="2.5546875" style="943" customWidth="1"/>
    <col min="1808" max="1817" width="0" style="943" hidden="1" customWidth="1"/>
    <col min="1818" max="1818" width="12.44140625" style="943" customWidth="1"/>
    <col min="1819" max="1819" width="12" style="943" customWidth="1"/>
    <col min="1820" max="1820" width="12.88671875" style="943" customWidth="1"/>
    <col min="1821" max="1821" width="1.5546875" style="943" customWidth="1"/>
    <col min="1822" max="1822" width="16.109375" style="943" customWidth="1"/>
    <col min="1823" max="1823" width="11.88671875" style="943" customWidth="1"/>
    <col min="1824" max="1824" width="13.44140625" style="943" bestFit="1" customWidth="1"/>
    <col min="1825" max="1826" width="14.44140625" style="943" customWidth="1"/>
    <col min="1827" max="1827" width="2" style="943" customWidth="1"/>
    <col min="1828" max="1828" width="13.44140625" style="943" customWidth="1"/>
    <col min="1829" max="1830" width="10.44140625" style="943" customWidth="1"/>
    <col min="1831" max="1831" width="12" style="943" bestFit="1" customWidth="1"/>
    <col min="1832" max="2060" width="11.44140625" style="943"/>
    <col min="2061" max="2061" width="10.5546875" style="943" customWidth="1"/>
    <col min="2062" max="2062" width="72.44140625" style="943" customWidth="1"/>
    <col min="2063" max="2063" width="2.5546875" style="943" customWidth="1"/>
    <col min="2064" max="2073" width="0" style="943" hidden="1" customWidth="1"/>
    <col min="2074" max="2074" width="12.44140625" style="943" customWidth="1"/>
    <col min="2075" max="2075" width="12" style="943" customWidth="1"/>
    <col min="2076" max="2076" width="12.88671875" style="943" customWidth="1"/>
    <col min="2077" max="2077" width="1.5546875" style="943" customWidth="1"/>
    <col min="2078" max="2078" width="16.109375" style="943" customWidth="1"/>
    <col min="2079" max="2079" width="11.88671875" style="943" customWidth="1"/>
    <col min="2080" max="2080" width="13.44140625" style="943" bestFit="1" customWidth="1"/>
    <col min="2081" max="2082" width="14.44140625" style="943" customWidth="1"/>
    <col min="2083" max="2083" width="2" style="943" customWidth="1"/>
    <col min="2084" max="2084" width="13.44140625" style="943" customWidth="1"/>
    <col min="2085" max="2086" width="10.44140625" style="943" customWidth="1"/>
    <col min="2087" max="2087" width="12" style="943" bestFit="1" customWidth="1"/>
    <col min="2088" max="2316" width="11.44140625" style="943"/>
    <col min="2317" max="2317" width="10.5546875" style="943" customWidth="1"/>
    <col min="2318" max="2318" width="72.44140625" style="943" customWidth="1"/>
    <col min="2319" max="2319" width="2.5546875" style="943" customWidth="1"/>
    <col min="2320" max="2329" width="0" style="943" hidden="1" customWidth="1"/>
    <col min="2330" max="2330" width="12.44140625" style="943" customWidth="1"/>
    <col min="2331" max="2331" width="12" style="943" customWidth="1"/>
    <col min="2332" max="2332" width="12.88671875" style="943" customWidth="1"/>
    <col min="2333" max="2333" width="1.5546875" style="943" customWidth="1"/>
    <col min="2334" max="2334" width="16.109375" style="943" customWidth="1"/>
    <col min="2335" max="2335" width="11.88671875" style="943" customWidth="1"/>
    <col min="2336" max="2336" width="13.44140625" style="943" bestFit="1" customWidth="1"/>
    <col min="2337" max="2338" width="14.44140625" style="943" customWidth="1"/>
    <col min="2339" max="2339" width="2" style="943" customWidth="1"/>
    <col min="2340" max="2340" width="13.44140625" style="943" customWidth="1"/>
    <col min="2341" max="2342" width="10.44140625" style="943" customWidth="1"/>
    <col min="2343" max="2343" width="12" style="943" bestFit="1" customWidth="1"/>
    <col min="2344" max="2572" width="11.44140625" style="943"/>
    <col min="2573" max="2573" width="10.5546875" style="943" customWidth="1"/>
    <col min="2574" max="2574" width="72.44140625" style="943" customWidth="1"/>
    <col min="2575" max="2575" width="2.5546875" style="943" customWidth="1"/>
    <col min="2576" max="2585" width="0" style="943" hidden="1" customWidth="1"/>
    <col min="2586" max="2586" width="12.44140625" style="943" customWidth="1"/>
    <col min="2587" max="2587" width="12" style="943" customWidth="1"/>
    <col min="2588" max="2588" width="12.88671875" style="943" customWidth="1"/>
    <col min="2589" max="2589" width="1.5546875" style="943" customWidth="1"/>
    <col min="2590" max="2590" width="16.109375" style="943" customWidth="1"/>
    <col min="2591" max="2591" width="11.88671875" style="943" customWidth="1"/>
    <col min="2592" max="2592" width="13.44140625" style="943" bestFit="1" customWidth="1"/>
    <col min="2593" max="2594" width="14.44140625" style="943" customWidth="1"/>
    <col min="2595" max="2595" width="2" style="943" customWidth="1"/>
    <col min="2596" max="2596" width="13.44140625" style="943" customWidth="1"/>
    <col min="2597" max="2598" width="10.44140625" style="943" customWidth="1"/>
    <col min="2599" max="2599" width="12" style="943" bestFit="1" customWidth="1"/>
    <col min="2600" max="2828" width="11.44140625" style="943"/>
    <col min="2829" max="2829" width="10.5546875" style="943" customWidth="1"/>
    <col min="2830" max="2830" width="72.44140625" style="943" customWidth="1"/>
    <col min="2831" max="2831" width="2.5546875" style="943" customWidth="1"/>
    <col min="2832" max="2841" width="0" style="943" hidden="1" customWidth="1"/>
    <col min="2842" max="2842" width="12.44140625" style="943" customWidth="1"/>
    <col min="2843" max="2843" width="12" style="943" customWidth="1"/>
    <col min="2844" max="2844" width="12.88671875" style="943" customWidth="1"/>
    <col min="2845" max="2845" width="1.5546875" style="943" customWidth="1"/>
    <col min="2846" max="2846" width="16.109375" style="943" customWidth="1"/>
    <col min="2847" max="2847" width="11.88671875" style="943" customWidth="1"/>
    <col min="2848" max="2848" width="13.44140625" style="943" bestFit="1" customWidth="1"/>
    <col min="2849" max="2850" width="14.44140625" style="943" customWidth="1"/>
    <col min="2851" max="2851" width="2" style="943" customWidth="1"/>
    <col min="2852" max="2852" width="13.44140625" style="943" customWidth="1"/>
    <col min="2853" max="2854" width="10.44140625" style="943" customWidth="1"/>
    <col min="2855" max="2855" width="12" style="943" bestFit="1" customWidth="1"/>
    <col min="2856" max="3084" width="11.44140625" style="943"/>
    <col min="3085" max="3085" width="10.5546875" style="943" customWidth="1"/>
    <col min="3086" max="3086" width="72.44140625" style="943" customWidth="1"/>
    <col min="3087" max="3087" width="2.5546875" style="943" customWidth="1"/>
    <col min="3088" max="3097" width="0" style="943" hidden="1" customWidth="1"/>
    <col min="3098" max="3098" width="12.44140625" style="943" customWidth="1"/>
    <col min="3099" max="3099" width="12" style="943" customWidth="1"/>
    <col min="3100" max="3100" width="12.88671875" style="943" customWidth="1"/>
    <col min="3101" max="3101" width="1.5546875" style="943" customWidth="1"/>
    <col min="3102" max="3102" width="16.109375" style="943" customWidth="1"/>
    <col min="3103" max="3103" width="11.88671875" style="943" customWidth="1"/>
    <col min="3104" max="3104" width="13.44140625" style="943" bestFit="1" customWidth="1"/>
    <col min="3105" max="3106" width="14.44140625" style="943" customWidth="1"/>
    <col min="3107" max="3107" width="2" style="943" customWidth="1"/>
    <col min="3108" max="3108" width="13.44140625" style="943" customWidth="1"/>
    <col min="3109" max="3110" width="10.44140625" style="943" customWidth="1"/>
    <col min="3111" max="3111" width="12" style="943" bestFit="1" customWidth="1"/>
    <col min="3112" max="3340" width="11.44140625" style="943"/>
    <col min="3341" max="3341" width="10.5546875" style="943" customWidth="1"/>
    <col min="3342" max="3342" width="72.44140625" style="943" customWidth="1"/>
    <col min="3343" max="3343" width="2.5546875" style="943" customWidth="1"/>
    <col min="3344" max="3353" width="0" style="943" hidden="1" customWidth="1"/>
    <col min="3354" max="3354" width="12.44140625" style="943" customWidth="1"/>
    <col min="3355" max="3355" width="12" style="943" customWidth="1"/>
    <col min="3356" max="3356" width="12.88671875" style="943" customWidth="1"/>
    <col min="3357" max="3357" width="1.5546875" style="943" customWidth="1"/>
    <col min="3358" max="3358" width="16.109375" style="943" customWidth="1"/>
    <col min="3359" max="3359" width="11.88671875" style="943" customWidth="1"/>
    <col min="3360" max="3360" width="13.44140625" style="943" bestFit="1" customWidth="1"/>
    <col min="3361" max="3362" width="14.44140625" style="943" customWidth="1"/>
    <col min="3363" max="3363" width="2" style="943" customWidth="1"/>
    <col min="3364" max="3364" width="13.44140625" style="943" customWidth="1"/>
    <col min="3365" max="3366" width="10.44140625" style="943" customWidth="1"/>
    <col min="3367" max="3367" width="12" style="943" bestFit="1" customWidth="1"/>
    <col min="3368" max="3596" width="11.44140625" style="943"/>
    <col min="3597" max="3597" width="10.5546875" style="943" customWidth="1"/>
    <col min="3598" max="3598" width="72.44140625" style="943" customWidth="1"/>
    <col min="3599" max="3599" width="2.5546875" style="943" customWidth="1"/>
    <col min="3600" max="3609" width="0" style="943" hidden="1" customWidth="1"/>
    <col min="3610" max="3610" width="12.44140625" style="943" customWidth="1"/>
    <col min="3611" max="3611" width="12" style="943" customWidth="1"/>
    <col min="3612" max="3612" width="12.88671875" style="943" customWidth="1"/>
    <col min="3613" max="3613" width="1.5546875" style="943" customWidth="1"/>
    <col min="3614" max="3614" width="16.109375" style="943" customWidth="1"/>
    <col min="3615" max="3615" width="11.88671875" style="943" customWidth="1"/>
    <col min="3616" max="3616" width="13.44140625" style="943" bestFit="1" customWidth="1"/>
    <col min="3617" max="3618" width="14.44140625" style="943" customWidth="1"/>
    <col min="3619" max="3619" width="2" style="943" customWidth="1"/>
    <col min="3620" max="3620" width="13.44140625" style="943" customWidth="1"/>
    <col min="3621" max="3622" width="10.44140625" style="943" customWidth="1"/>
    <col min="3623" max="3623" width="12" style="943" bestFit="1" customWidth="1"/>
    <col min="3624" max="3852" width="11.44140625" style="943"/>
    <col min="3853" max="3853" width="10.5546875" style="943" customWidth="1"/>
    <col min="3854" max="3854" width="72.44140625" style="943" customWidth="1"/>
    <col min="3855" max="3855" width="2.5546875" style="943" customWidth="1"/>
    <col min="3856" max="3865" width="0" style="943" hidden="1" customWidth="1"/>
    <col min="3866" max="3866" width="12.44140625" style="943" customWidth="1"/>
    <col min="3867" max="3867" width="12" style="943" customWidth="1"/>
    <col min="3868" max="3868" width="12.88671875" style="943" customWidth="1"/>
    <col min="3869" max="3869" width="1.5546875" style="943" customWidth="1"/>
    <col min="3870" max="3870" width="16.109375" style="943" customWidth="1"/>
    <col min="3871" max="3871" width="11.88671875" style="943" customWidth="1"/>
    <col min="3872" max="3872" width="13.44140625" style="943" bestFit="1" customWidth="1"/>
    <col min="3873" max="3874" width="14.44140625" style="943" customWidth="1"/>
    <col min="3875" max="3875" width="2" style="943" customWidth="1"/>
    <col min="3876" max="3876" width="13.44140625" style="943" customWidth="1"/>
    <col min="3877" max="3878" width="10.44140625" style="943" customWidth="1"/>
    <col min="3879" max="3879" width="12" style="943" bestFit="1" customWidth="1"/>
    <col min="3880" max="4108" width="11.44140625" style="943"/>
    <col min="4109" max="4109" width="10.5546875" style="943" customWidth="1"/>
    <col min="4110" max="4110" width="72.44140625" style="943" customWidth="1"/>
    <col min="4111" max="4111" width="2.5546875" style="943" customWidth="1"/>
    <col min="4112" max="4121" width="0" style="943" hidden="1" customWidth="1"/>
    <col min="4122" max="4122" width="12.44140625" style="943" customWidth="1"/>
    <col min="4123" max="4123" width="12" style="943" customWidth="1"/>
    <col min="4124" max="4124" width="12.88671875" style="943" customWidth="1"/>
    <col min="4125" max="4125" width="1.5546875" style="943" customWidth="1"/>
    <col min="4126" max="4126" width="16.109375" style="943" customWidth="1"/>
    <col min="4127" max="4127" width="11.88671875" style="943" customWidth="1"/>
    <col min="4128" max="4128" width="13.44140625" style="943" bestFit="1" customWidth="1"/>
    <col min="4129" max="4130" width="14.44140625" style="943" customWidth="1"/>
    <col min="4131" max="4131" width="2" style="943" customWidth="1"/>
    <col min="4132" max="4132" width="13.44140625" style="943" customWidth="1"/>
    <col min="4133" max="4134" width="10.44140625" style="943" customWidth="1"/>
    <col min="4135" max="4135" width="12" style="943" bestFit="1" customWidth="1"/>
    <col min="4136" max="4364" width="11.44140625" style="943"/>
    <col min="4365" max="4365" width="10.5546875" style="943" customWidth="1"/>
    <col min="4366" max="4366" width="72.44140625" style="943" customWidth="1"/>
    <col min="4367" max="4367" width="2.5546875" style="943" customWidth="1"/>
    <col min="4368" max="4377" width="0" style="943" hidden="1" customWidth="1"/>
    <col min="4378" max="4378" width="12.44140625" style="943" customWidth="1"/>
    <col min="4379" max="4379" width="12" style="943" customWidth="1"/>
    <col min="4380" max="4380" width="12.88671875" style="943" customWidth="1"/>
    <col min="4381" max="4381" width="1.5546875" style="943" customWidth="1"/>
    <col min="4382" max="4382" width="16.109375" style="943" customWidth="1"/>
    <col min="4383" max="4383" width="11.88671875" style="943" customWidth="1"/>
    <col min="4384" max="4384" width="13.44140625" style="943" bestFit="1" customWidth="1"/>
    <col min="4385" max="4386" width="14.44140625" style="943" customWidth="1"/>
    <col min="4387" max="4387" width="2" style="943" customWidth="1"/>
    <col min="4388" max="4388" width="13.44140625" style="943" customWidth="1"/>
    <col min="4389" max="4390" width="10.44140625" style="943" customWidth="1"/>
    <col min="4391" max="4391" width="12" style="943" bestFit="1" customWidth="1"/>
    <col min="4392" max="4620" width="11.44140625" style="943"/>
    <col min="4621" max="4621" width="10.5546875" style="943" customWidth="1"/>
    <col min="4622" max="4622" width="72.44140625" style="943" customWidth="1"/>
    <col min="4623" max="4623" width="2.5546875" style="943" customWidth="1"/>
    <col min="4624" max="4633" width="0" style="943" hidden="1" customWidth="1"/>
    <col min="4634" max="4634" width="12.44140625" style="943" customWidth="1"/>
    <col min="4635" max="4635" width="12" style="943" customWidth="1"/>
    <col min="4636" max="4636" width="12.88671875" style="943" customWidth="1"/>
    <col min="4637" max="4637" width="1.5546875" style="943" customWidth="1"/>
    <col min="4638" max="4638" width="16.109375" style="943" customWidth="1"/>
    <col min="4639" max="4639" width="11.88671875" style="943" customWidth="1"/>
    <col min="4640" max="4640" width="13.44140625" style="943" bestFit="1" customWidth="1"/>
    <col min="4641" max="4642" width="14.44140625" style="943" customWidth="1"/>
    <col min="4643" max="4643" width="2" style="943" customWidth="1"/>
    <col min="4644" max="4644" width="13.44140625" style="943" customWidth="1"/>
    <col min="4645" max="4646" width="10.44140625" style="943" customWidth="1"/>
    <col min="4647" max="4647" width="12" style="943" bestFit="1" customWidth="1"/>
    <col min="4648" max="4876" width="11.44140625" style="943"/>
    <col min="4877" max="4877" width="10.5546875" style="943" customWidth="1"/>
    <col min="4878" max="4878" width="72.44140625" style="943" customWidth="1"/>
    <col min="4879" max="4879" width="2.5546875" style="943" customWidth="1"/>
    <col min="4880" max="4889" width="0" style="943" hidden="1" customWidth="1"/>
    <col min="4890" max="4890" width="12.44140625" style="943" customWidth="1"/>
    <col min="4891" max="4891" width="12" style="943" customWidth="1"/>
    <col min="4892" max="4892" width="12.88671875" style="943" customWidth="1"/>
    <col min="4893" max="4893" width="1.5546875" style="943" customWidth="1"/>
    <col min="4894" max="4894" width="16.109375" style="943" customWidth="1"/>
    <col min="4895" max="4895" width="11.88671875" style="943" customWidth="1"/>
    <col min="4896" max="4896" width="13.44140625" style="943" bestFit="1" customWidth="1"/>
    <col min="4897" max="4898" width="14.44140625" style="943" customWidth="1"/>
    <col min="4899" max="4899" width="2" style="943" customWidth="1"/>
    <col min="4900" max="4900" width="13.44140625" style="943" customWidth="1"/>
    <col min="4901" max="4902" width="10.44140625" style="943" customWidth="1"/>
    <col min="4903" max="4903" width="12" style="943" bestFit="1" customWidth="1"/>
    <col min="4904" max="5132" width="11.44140625" style="943"/>
    <col min="5133" max="5133" width="10.5546875" style="943" customWidth="1"/>
    <col min="5134" max="5134" width="72.44140625" style="943" customWidth="1"/>
    <col min="5135" max="5135" width="2.5546875" style="943" customWidth="1"/>
    <col min="5136" max="5145" width="0" style="943" hidden="1" customWidth="1"/>
    <col min="5146" max="5146" width="12.44140625" style="943" customWidth="1"/>
    <col min="5147" max="5147" width="12" style="943" customWidth="1"/>
    <col min="5148" max="5148" width="12.88671875" style="943" customWidth="1"/>
    <col min="5149" max="5149" width="1.5546875" style="943" customWidth="1"/>
    <col min="5150" max="5150" width="16.109375" style="943" customWidth="1"/>
    <col min="5151" max="5151" width="11.88671875" style="943" customWidth="1"/>
    <col min="5152" max="5152" width="13.44140625" style="943" bestFit="1" customWidth="1"/>
    <col min="5153" max="5154" width="14.44140625" style="943" customWidth="1"/>
    <col min="5155" max="5155" width="2" style="943" customWidth="1"/>
    <col min="5156" max="5156" width="13.44140625" style="943" customWidth="1"/>
    <col min="5157" max="5158" width="10.44140625" style="943" customWidth="1"/>
    <col min="5159" max="5159" width="12" style="943" bestFit="1" customWidth="1"/>
    <col min="5160" max="5388" width="11.44140625" style="943"/>
    <col min="5389" max="5389" width="10.5546875" style="943" customWidth="1"/>
    <col min="5390" max="5390" width="72.44140625" style="943" customWidth="1"/>
    <col min="5391" max="5391" width="2.5546875" style="943" customWidth="1"/>
    <col min="5392" max="5401" width="0" style="943" hidden="1" customWidth="1"/>
    <col min="5402" max="5402" width="12.44140625" style="943" customWidth="1"/>
    <col min="5403" max="5403" width="12" style="943" customWidth="1"/>
    <col min="5404" max="5404" width="12.88671875" style="943" customWidth="1"/>
    <col min="5405" max="5405" width="1.5546875" style="943" customWidth="1"/>
    <col min="5406" max="5406" width="16.109375" style="943" customWidth="1"/>
    <col min="5407" max="5407" width="11.88671875" style="943" customWidth="1"/>
    <col min="5408" max="5408" width="13.44140625" style="943" bestFit="1" customWidth="1"/>
    <col min="5409" max="5410" width="14.44140625" style="943" customWidth="1"/>
    <col min="5411" max="5411" width="2" style="943" customWidth="1"/>
    <col min="5412" max="5412" width="13.44140625" style="943" customWidth="1"/>
    <col min="5413" max="5414" width="10.44140625" style="943" customWidth="1"/>
    <col min="5415" max="5415" width="12" style="943" bestFit="1" customWidth="1"/>
    <col min="5416" max="5644" width="11.44140625" style="943"/>
    <col min="5645" max="5645" width="10.5546875" style="943" customWidth="1"/>
    <col min="5646" max="5646" width="72.44140625" style="943" customWidth="1"/>
    <col min="5647" max="5647" width="2.5546875" style="943" customWidth="1"/>
    <col min="5648" max="5657" width="0" style="943" hidden="1" customWidth="1"/>
    <col min="5658" max="5658" width="12.44140625" style="943" customWidth="1"/>
    <col min="5659" max="5659" width="12" style="943" customWidth="1"/>
    <col min="5660" max="5660" width="12.88671875" style="943" customWidth="1"/>
    <col min="5661" max="5661" width="1.5546875" style="943" customWidth="1"/>
    <col min="5662" max="5662" width="16.109375" style="943" customWidth="1"/>
    <col min="5663" max="5663" width="11.88671875" style="943" customWidth="1"/>
    <col min="5664" max="5664" width="13.44140625" style="943" bestFit="1" customWidth="1"/>
    <col min="5665" max="5666" width="14.44140625" style="943" customWidth="1"/>
    <col min="5667" max="5667" width="2" style="943" customWidth="1"/>
    <col min="5668" max="5668" width="13.44140625" style="943" customWidth="1"/>
    <col min="5669" max="5670" width="10.44140625" style="943" customWidth="1"/>
    <col min="5671" max="5671" width="12" style="943" bestFit="1" customWidth="1"/>
    <col min="5672" max="5900" width="11.44140625" style="943"/>
    <col min="5901" max="5901" width="10.5546875" style="943" customWidth="1"/>
    <col min="5902" max="5902" width="72.44140625" style="943" customWidth="1"/>
    <col min="5903" max="5903" width="2.5546875" style="943" customWidth="1"/>
    <col min="5904" max="5913" width="0" style="943" hidden="1" customWidth="1"/>
    <col min="5914" max="5914" width="12.44140625" style="943" customWidth="1"/>
    <col min="5915" max="5915" width="12" style="943" customWidth="1"/>
    <col min="5916" max="5916" width="12.88671875" style="943" customWidth="1"/>
    <col min="5917" max="5917" width="1.5546875" style="943" customWidth="1"/>
    <col min="5918" max="5918" width="16.109375" style="943" customWidth="1"/>
    <col min="5919" max="5919" width="11.88671875" style="943" customWidth="1"/>
    <col min="5920" max="5920" width="13.44140625" style="943" bestFit="1" customWidth="1"/>
    <col min="5921" max="5922" width="14.44140625" style="943" customWidth="1"/>
    <col min="5923" max="5923" width="2" style="943" customWidth="1"/>
    <col min="5924" max="5924" width="13.44140625" style="943" customWidth="1"/>
    <col min="5925" max="5926" width="10.44140625" style="943" customWidth="1"/>
    <col min="5927" max="5927" width="12" style="943" bestFit="1" customWidth="1"/>
    <col min="5928" max="6156" width="11.44140625" style="943"/>
    <col min="6157" max="6157" width="10.5546875" style="943" customWidth="1"/>
    <col min="6158" max="6158" width="72.44140625" style="943" customWidth="1"/>
    <col min="6159" max="6159" width="2.5546875" style="943" customWidth="1"/>
    <col min="6160" max="6169" width="0" style="943" hidden="1" customWidth="1"/>
    <col min="6170" max="6170" width="12.44140625" style="943" customWidth="1"/>
    <col min="6171" max="6171" width="12" style="943" customWidth="1"/>
    <col min="6172" max="6172" width="12.88671875" style="943" customWidth="1"/>
    <col min="6173" max="6173" width="1.5546875" style="943" customWidth="1"/>
    <col min="6174" max="6174" width="16.109375" style="943" customWidth="1"/>
    <col min="6175" max="6175" width="11.88671875" style="943" customWidth="1"/>
    <col min="6176" max="6176" width="13.44140625" style="943" bestFit="1" customWidth="1"/>
    <col min="6177" max="6178" width="14.44140625" style="943" customWidth="1"/>
    <col min="6179" max="6179" width="2" style="943" customWidth="1"/>
    <col min="6180" max="6180" width="13.44140625" style="943" customWidth="1"/>
    <col min="6181" max="6182" width="10.44140625" style="943" customWidth="1"/>
    <col min="6183" max="6183" width="12" style="943" bestFit="1" customWidth="1"/>
    <col min="6184" max="6412" width="11.44140625" style="943"/>
    <col min="6413" max="6413" width="10.5546875" style="943" customWidth="1"/>
    <col min="6414" max="6414" width="72.44140625" style="943" customWidth="1"/>
    <col min="6415" max="6415" width="2.5546875" style="943" customWidth="1"/>
    <col min="6416" max="6425" width="0" style="943" hidden="1" customWidth="1"/>
    <col min="6426" max="6426" width="12.44140625" style="943" customWidth="1"/>
    <col min="6427" max="6427" width="12" style="943" customWidth="1"/>
    <col min="6428" max="6428" width="12.88671875" style="943" customWidth="1"/>
    <col min="6429" max="6429" width="1.5546875" style="943" customWidth="1"/>
    <col min="6430" max="6430" width="16.109375" style="943" customWidth="1"/>
    <col min="6431" max="6431" width="11.88671875" style="943" customWidth="1"/>
    <col min="6432" max="6432" width="13.44140625" style="943" bestFit="1" customWidth="1"/>
    <col min="6433" max="6434" width="14.44140625" style="943" customWidth="1"/>
    <col min="6435" max="6435" width="2" style="943" customWidth="1"/>
    <col min="6436" max="6436" width="13.44140625" style="943" customWidth="1"/>
    <col min="6437" max="6438" width="10.44140625" style="943" customWidth="1"/>
    <col min="6439" max="6439" width="12" style="943" bestFit="1" customWidth="1"/>
    <col min="6440" max="6668" width="11.44140625" style="943"/>
    <col min="6669" max="6669" width="10.5546875" style="943" customWidth="1"/>
    <col min="6670" max="6670" width="72.44140625" style="943" customWidth="1"/>
    <col min="6671" max="6671" width="2.5546875" style="943" customWidth="1"/>
    <col min="6672" max="6681" width="0" style="943" hidden="1" customWidth="1"/>
    <col min="6682" max="6682" width="12.44140625" style="943" customWidth="1"/>
    <col min="6683" max="6683" width="12" style="943" customWidth="1"/>
    <col min="6684" max="6684" width="12.88671875" style="943" customWidth="1"/>
    <col min="6685" max="6685" width="1.5546875" style="943" customWidth="1"/>
    <col min="6686" max="6686" width="16.109375" style="943" customWidth="1"/>
    <col min="6687" max="6687" width="11.88671875" style="943" customWidth="1"/>
    <col min="6688" max="6688" width="13.44140625" style="943" bestFit="1" customWidth="1"/>
    <col min="6689" max="6690" width="14.44140625" style="943" customWidth="1"/>
    <col min="6691" max="6691" width="2" style="943" customWidth="1"/>
    <col min="6692" max="6692" width="13.44140625" style="943" customWidth="1"/>
    <col min="6693" max="6694" width="10.44140625" style="943" customWidth="1"/>
    <col min="6695" max="6695" width="12" style="943" bestFit="1" customWidth="1"/>
    <col min="6696" max="6924" width="11.44140625" style="943"/>
    <col min="6925" max="6925" width="10.5546875" style="943" customWidth="1"/>
    <col min="6926" max="6926" width="72.44140625" style="943" customWidth="1"/>
    <col min="6927" max="6927" width="2.5546875" style="943" customWidth="1"/>
    <col min="6928" max="6937" width="0" style="943" hidden="1" customWidth="1"/>
    <col min="6938" max="6938" width="12.44140625" style="943" customWidth="1"/>
    <col min="6939" max="6939" width="12" style="943" customWidth="1"/>
    <col min="6940" max="6940" width="12.88671875" style="943" customWidth="1"/>
    <col min="6941" max="6941" width="1.5546875" style="943" customWidth="1"/>
    <col min="6942" max="6942" width="16.109375" style="943" customWidth="1"/>
    <col min="6943" max="6943" width="11.88671875" style="943" customWidth="1"/>
    <col min="6944" max="6944" width="13.44140625" style="943" bestFit="1" customWidth="1"/>
    <col min="6945" max="6946" width="14.44140625" style="943" customWidth="1"/>
    <col min="6947" max="6947" width="2" style="943" customWidth="1"/>
    <col min="6948" max="6948" width="13.44140625" style="943" customWidth="1"/>
    <col min="6949" max="6950" width="10.44140625" style="943" customWidth="1"/>
    <col min="6951" max="6951" width="12" style="943" bestFit="1" customWidth="1"/>
    <col min="6952" max="7180" width="11.44140625" style="943"/>
    <col min="7181" max="7181" width="10.5546875" style="943" customWidth="1"/>
    <col min="7182" max="7182" width="72.44140625" style="943" customWidth="1"/>
    <col min="7183" max="7183" width="2.5546875" style="943" customWidth="1"/>
    <col min="7184" max="7193" width="0" style="943" hidden="1" customWidth="1"/>
    <col min="7194" max="7194" width="12.44140625" style="943" customWidth="1"/>
    <col min="7195" max="7195" width="12" style="943" customWidth="1"/>
    <col min="7196" max="7196" width="12.88671875" style="943" customWidth="1"/>
    <col min="7197" max="7197" width="1.5546875" style="943" customWidth="1"/>
    <col min="7198" max="7198" width="16.109375" style="943" customWidth="1"/>
    <col min="7199" max="7199" width="11.88671875" style="943" customWidth="1"/>
    <col min="7200" max="7200" width="13.44140625" style="943" bestFit="1" customWidth="1"/>
    <col min="7201" max="7202" width="14.44140625" style="943" customWidth="1"/>
    <col min="7203" max="7203" width="2" style="943" customWidth="1"/>
    <col min="7204" max="7204" width="13.44140625" style="943" customWidth="1"/>
    <col min="7205" max="7206" width="10.44140625" style="943" customWidth="1"/>
    <col min="7207" max="7207" width="12" style="943" bestFit="1" customWidth="1"/>
    <col min="7208" max="7436" width="11.44140625" style="943"/>
    <col min="7437" max="7437" width="10.5546875" style="943" customWidth="1"/>
    <col min="7438" max="7438" width="72.44140625" style="943" customWidth="1"/>
    <col min="7439" max="7439" width="2.5546875" style="943" customWidth="1"/>
    <col min="7440" max="7449" width="0" style="943" hidden="1" customWidth="1"/>
    <col min="7450" max="7450" width="12.44140625" style="943" customWidth="1"/>
    <col min="7451" max="7451" width="12" style="943" customWidth="1"/>
    <col min="7452" max="7452" width="12.88671875" style="943" customWidth="1"/>
    <col min="7453" max="7453" width="1.5546875" style="943" customWidth="1"/>
    <col min="7454" max="7454" width="16.109375" style="943" customWidth="1"/>
    <col min="7455" max="7455" width="11.88671875" style="943" customWidth="1"/>
    <col min="7456" max="7456" width="13.44140625" style="943" bestFit="1" customWidth="1"/>
    <col min="7457" max="7458" width="14.44140625" style="943" customWidth="1"/>
    <col min="7459" max="7459" width="2" style="943" customWidth="1"/>
    <col min="7460" max="7460" width="13.44140625" style="943" customWidth="1"/>
    <col min="7461" max="7462" width="10.44140625" style="943" customWidth="1"/>
    <col min="7463" max="7463" width="12" style="943" bestFit="1" customWidth="1"/>
    <col min="7464" max="7692" width="11.44140625" style="943"/>
    <col min="7693" max="7693" width="10.5546875" style="943" customWidth="1"/>
    <col min="7694" max="7694" width="72.44140625" style="943" customWidth="1"/>
    <col min="7695" max="7695" width="2.5546875" style="943" customWidth="1"/>
    <col min="7696" max="7705" width="0" style="943" hidden="1" customWidth="1"/>
    <col min="7706" max="7706" width="12.44140625" style="943" customWidth="1"/>
    <col min="7707" max="7707" width="12" style="943" customWidth="1"/>
    <col min="7708" max="7708" width="12.88671875" style="943" customWidth="1"/>
    <col min="7709" max="7709" width="1.5546875" style="943" customWidth="1"/>
    <col min="7710" max="7710" width="16.109375" style="943" customWidth="1"/>
    <col min="7711" max="7711" width="11.88671875" style="943" customWidth="1"/>
    <col min="7712" max="7712" width="13.44140625" style="943" bestFit="1" customWidth="1"/>
    <col min="7713" max="7714" width="14.44140625" style="943" customWidth="1"/>
    <col min="7715" max="7715" width="2" style="943" customWidth="1"/>
    <col min="7716" max="7716" width="13.44140625" style="943" customWidth="1"/>
    <col min="7717" max="7718" width="10.44140625" style="943" customWidth="1"/>
    <col min="7719" max="7719" width="12" style="943" bestFit="1" customWidth="1"/>
    <col min="7720" max="7948" width="11.44140625" style="943"/>
    <col min="7949" max="7949" width="10.5546875" style="943" customWidth="1"/>
    <col min="7950" max="7950" width="72.44140625" style="943" customWidth="1"/>
    <col min="7951" max="7951" width="2.5546875" style="943" customWidth="1"/>
    <col min="7952" max="7961" width="0" style="943" hidden="1" customWidth="1"/>
    <col min="7962" max="7962" width="12.44140625" style="943" customWidth="1"/>
    <col min="7963" max="7963" width="12" style="943" customWidth="1"/>
    <col min="7964" max="7964" width="12.88671875" style="943" customWidth="1"/>
    <col min="7965" max="7965" width="1.5546875" style="943" customWidth="1"/>
    <col min="7966" max="7966" width="16.109375" style="943" customWidth="1"/>
    <col min="7967" max="7967" width="11.88671875" style="943" customWidth="1"/>
    <col min="7968" max="7968" width="13.44140625" style="943" bestFit="1" customWidth="1"/>
    <col min="7969" max="7970" width="14.44140625" style="943" customWidth="1"/>
    <col min="7971" max="7971" width="2" style="943" customWidth="1"/>
    <col min="7972" max="7972" width="13.44140625" style="943" customWidth="1"/>
    <col min="7973" max="7974" width="10.44140625" style="943" customWidth="1"/>
    <col min="7975" max="7975" width="12" style="943" bestFit="1" customWidth="1"/>
    <col min="7976" max="8204" width="11.44140625" style="943"/>
    <col min="8205" max="8205" width="10.5546875" style="943" customWidth="1"/>
    <col min="8206" max="8206" width="72.44140625" style="943" customWidth="1"/>
    <col min="8207" max="8207" width="2.5546875" style="943" customWidth="1"/>
    <col min="8208" max="8217" width="0" style="943" hidden="1" customWidth="1"/>
    <col min="8218" max="8218" width="12.44140625" style="943" customWidth="1"/>
    <col min="8219" max="8219" width="12" style="943" customWidth="1"/>
    <col min="8220" max="8220" width="12.88671875" style="943" customWidth="1"/>
    <col min="8221" max="8221" width="1.5546875" style="943" customWidth="1"/>
    <col min="8222" max="8222" width="16.109375" style="943" customWidth="1"/>
    <col min="8223" max="8223" width="11.88671875" style="943" customWidth="1"/>
    <col min="8224" max="8224" width="13.44140625" style="943" bestFit="1" customWidth="1"/>
    <col min="8225" max="8226" width="14.44140625" style="943" customWidth="1"/>
    <col min="8227" max="8227" width="2" style="943" customWidth="1"/>
    <col min="8228" max="8228" width="13.44140625" style="943" customWidth="1"/>
    <col min="8229" max="8230" width="10.44140625" style="943" customWidth="1"/>
    <col min="8231" max="8231" width="12" style="943" bestFit="1" customWidth="1"/>
    <col min="8232" max="8460" width="11.44140625" style="943"/>
    <col min="8461" max="8461" width="10.5546875" style="943" customWidth="1"/>
    <col min="8462" max="8462" width="72.44140625" style="943" customWidth="1"/>
    <col min="8463" max="8463" width="2.5546875" style="943" customWidth="1"/>
    <col min="8464" max="8473" width="0" style="943" hidden="1" customWidth="1"/>
    <col min="8474" max="8474" width="12.44140625" style="943" customWidth="1"/>
    <col min="8475" max="8475" width="12" style="943" customWidth="1"/>
    <col min="8476" max="8476" width="12.88671875" style="943" customWidth="1"/>
    <col min="8477" max="8477" width="1.5546875" style="943" customWidth="1"/>
    <col min="8478" max="8478" width="16.109375" style="943" customWidth="1"/>
    <col min="8479" max="8479" width="11.88671875" style="943" customWidth="1"/>
    <col min="8480" max="8480" width="13.44140625" style="943" bestFit="1" customWidth="1"/>
    <col min="8481" max="8482" width="14.44140625" style="943" customWidth="1"/>
    <col min="8483" max="8483" width="2" style="943" customWidth="1"/>
    <col min="8484" max="8484" width="13.44140625" style="943" customWidth="1"/>
    <col min="8485" max="8486" width="10.44140625" style="943" customWidth="1"/>
    <col min="8487" max="8487" width="12" style="943" bestFit="1" customWidth="1"/>
    <col min="8488" max="8716" width="11.44140625" style="943"/>
    <col min="8717" max="8717" width="10.5546875" style="943" customWidth="1"/>
    <col min="8718" max="8718" width="72.44140625" style="943" customWidth="1"/>
    <col min="8719" max="8719" width="2.5546875" style="943" customWidth="1"/>
    <col min="8720" max="8729" width="0" style="943" hidden="1" customWidth="1"/>
    <col min="8730" max="8730" width="12.44140625" style="943" customWidth="1"/>
    <col min="8731" max="8731" width="12" style="943" customWidth="1"/>
    <col min="8732" max="8732" width="12.88671875" style="943" customWidth="1"/>
    <col min="8733" max="8733" width="1.5546875" style="943" customWidth="1"/>
    <col min="8734" max="8734" width="16.109375" style="943" customWidth="1"/>
    <col min="8735" max="8735" width="11.88671875" style="943" customWidth="1"/>
    <col min="8736" max="8736" width="13.44140625" style="943" bestFit="1" customWidth="1"/>
    <col min="8737" max="8738" width="14.44140625" style="943" customWidth="1"/>
    <col min="8739" max="8739" width="2" style="943" customWidth="1"/>
    <col min="8740" max="8740" width="13.44140625" style="943" customWidth="1"/>
    <col min="8741" max="8742" width="10.44140625" style="943" customWidth="1"/>
    <col min="8743" max="8743" width="12" style="943" bestFit="1" customWidth="1"/>
    <col min="8744" max="8972" width="11.44140625" style="943"/>
    <col min="8973" max="8973" width="10.5546875" style="943" customWidth="1"/>
    <col min="8974" max="8974" width="72.44140625" style="943" customWidth="1"/>
    <col min="8975" max="8975" width="2.5546875" style="943" customWidth="1"/>
    <col min="8976" max="8985" width="0" style="943" hidden="1" customWidth="1"/>
    <col min="8986" max="8986" width="12.44140625" style="943" customWidth="1"/>
    <col min="8987" max="8987" width="12" style="943" customWidth="1"/>
    <col min="8988" max="8988" width="12.88671875" style="943" customWidth="1"/>
    <col min="8989" max="8989" width="1.5546875" style="943" customWidth="1"/>
    <col min="8990" max="8990" width="16.109375" style="943" customWidth="1"/>
    <col min="8991" max="8991" width="11.88671875" style="943" customWidth="1"/>
    <col min="8992" max="8992" width="13.44140625" style="943" bestFit="1" customWidth="1"/>
    <col min="8993" max="8994" width="14.44140625" style="943" customWidth="1"/>
    <col min="8995" max="8995" width="2" style="943" customWidth="1"/>
    <col min="8996" max="8996" width="13.44140625" style="943" customWidth="1"/>
    <col min="8997" max="8998" width="10.44140625" style="943" customWidth="1"/>
    <col min="8999" max="8999" width="12" style="943" bestFit="1" customWidth="1"/>
    <col min="9000" max="9228" width="11.44140625" style="943"/>
    <col min="9229" max="9229" width="10.5546875" style="943" customWidth="1"/>
    <col min="9230" max="9230" width="72.44140625" style="943" customWidth="1"/>
    <col min="9231" max="9231" width="2.5546875" style="943" customWidth="1"/>
    <col min="9232" max="9241" width="0" style="943" hidden="1" customWidth="1"/>
    <col min="9242" max="9242" width="12.44140625" style="943" customWidth="1"/>
    <col min="9243" max="9243" width="12" style="943" customWidth="1"/>
    <col min="9244" max="9244" width="12.88671875" style="943" customWidth="1"/>
    <col min="9245" max="9245" width="1.5546875" style="943" customWidth="1"/>
    <col min="9246" max="9246" width="16.109375" style="943" customWidth="1"/>
    <col min="9247" max="9247" width="11.88671875" style="943" customWidth="1"/>
    <col min="9248" max="9248" width="13.44140625" style="943" bestFit="1" customWidth="1"/>
    <col min="9249" max="9250" width="14.44140625" style="943" customWidth="1"/>
    <col min="9251" max="9251" width="2" style="943" customWidth="1"/>
    <col min="9252" max="9252" width="13.44140625" style="943" customWidth="1"/>
    <col min="9253" max="9254" width="10.44140625" style="943" customWidth="1"/>
    <col min="9255" max="9255" width="12" style="943" bestFit="1" customWidth="1"/>
    <col min="9256" max="9484" width="11.44140625" style="943"/>
    <col min="9485" max="9485" width="10.5546875" style="943" customWidth="1"/>
    <col min="9486" max="9486" width="72.44140625" style="943" customWidth="1"/>
    <col min="9487" max="9487" width="2.5546875" style="943" customWidth="1"/>
    <col min="9488" max="9497" width="0" style="943" hidden="1" customWidth="1"/>
    <col min="9498" max="9498" width="12.44140625" style="943" customWidth="1"/>
    <col min="9499" max="9499" width="12" style="943" customWidth="1"/>
    <col min="9500" max="9500" width="12.88671875" style="943" customWidth="1"/>
    <col min="9501" max="9501" width="1.5546875" style="943" customWidth="1"/>
    <col min="9502" max="9502" width="16.109375" style="943" customWidth="1"/>
    <col min="9503" max="9503" width="11.88671875" style="943" customWidth="1"/>
    <col min="9504" max="9504" width="13.44140625" style="943" bestFit="1" customWidth="1"/>
    <col min="9505" max="9506" width="14.44140625" style="943" customWidth="1"/>
    <col min="9507" max="9507" width="2" style="943" customWidth="1"/>
    <col min="9508" max="9508" width="13.44140625" style="943" customWidth="1"/>
    <col min="9509" max="9510" width="10.44140625" style="943" customWidth="1"/>
    <col min="9511" max="9511" width="12" style="943" bestFit="1" customWidth="1"/>
    <col min="9512" max="9740" width="11.44140625" style="943"/>
    <col min="9741" max="9741" width="10.5546875" style="943" customWidth="1"/>
    <col min="9742" max="9742" width="72.44140625" style="943" customWidth="1"/>
    <col min="9743" max="9743" width="2.5546875" style="943" customWidth="1"/>
    <col min="9744" max="9753" width="0" style="943" hidden="1" customWidth="1"/>
    <col min="9754" max="9754" width="12.44140625" style="943" customWidth="1"/>
    <col min="9755" max="9755" width="12" style="943" customWidth="1"/>
    <col min="9756" max="9756" width="12.88671875" style="943" customWidth="1"/>
    <col min="9757" max="9757" width="1.5546875" style="943" customWidth="1"/>
    <col min="9758" max="9758" width="16.109375" style="943" customWidth="1"/>
    <col min="9759" max="9759" width="11.88671875" style="943" customWidth="1"/>
    <col min="9760" max="9760" width="13.44140625" style="943" bestFit="1" customWidth="1"/>
    <col min="9761" max="9762" width="14.44140625" style="943" customWidth="1"/>
    <col min="9763" max="9763" width="2" style="943" customWidth="1"/>
    <col min="9764" max="9764" width="13.44140625" style="943" customWidth="1"/>
    <col min="9765" max="9766" width="10.44140625" style="943" customWidth="1"/>
    <col min="9767" max="9767" width="12" style="943" bestFit="1" customWidth="1"/>
    <col min="9768" max="9996" width="11.44140625" style="943"/>
    <col min="9997" max="9997" width="10.5546875" style="943" customWidth="1"/>
    <col min="9998" max="9998" width="72.44140625" style="943" customWidth="1"/>
    <col min="9999" max="9999" width="2.5546875" style="943" customWidth="1"/>
    <col min="10000" max="10009" width="0" style="943" hidden="1" customWidth="1"/>
    <col min="10010" max="10010" width="12.44140625" style="943" customWidth="1"/>
    <col min="10011" max="10011" width="12" style="943" customWidth="1"/>
    <col min="10012" max="10012" width="12.88671875" style="943" customWidth="1"/>
    <col min="10013" max="10013" width="1.5546875" style="943" customWidth="1"/>
    <col min="10014" max="10014" width="16.109375" style="943" customWidth="1"/>
    <col min="10015" max="10015" width="11.88671875" style="943" customWidth="1"/>
    <col min="10016" max="10016" width="13.44140625" style="943" bestFit="1" customWidth="1"/>
    <col min="10017" max="10018" width="14.44140625" style="943" customWidth="1"/>
    <col min="10019" max="10019" width="2" style="943" customWidth="1"/>
    <col min="10020" max="10020" width="13.44140625" style="943" customWidth="1"/>
    <col min="10021" max="10022" width="10.44140625" style="943" customWidth="1"/>
    <col min="10023" max="10023" width="12" style="943" bestFit="1" customWidth="1"/>
    <col min="10024" max="10252" width="11.44140625" style="943"/>
    <col min="10253" max="10253" width="10.5546875" style="943" customWidth="1"/>
    <col min="10254" max="10254" width="72.44140625" style="943" customWidth="1"/>
    <col min="10255" max="10255" width="2.5546875" style="943" customWidth="1"/>
    <col min="10256" max="10265" width="0" style="943" hidden="1" customWidth="1"/>
    <col min="10266" max="10266" width="12.44140625" style="943" customWidth="1"/>
    <col min="10267" max="10267" width="12" style="943" customWidth="1"/>
    <col min="10268" max="10268" width="12.88671875" style="943" customWidth="1"/>
    <col min="10269" max="10269" width="1.5546875" style="943" customWidth="1"/>
    <col min="10270" max="10270" width="16.109375" style="943" customWidth="1"/>
    <col min="10271" max="10271" width="11.88671875" style="943" customWidth="1"/>
    <col min="10272" max="10272" width="13.44140625" style="943" bestFit="1" customWidth="1"/>
    <col min="10273" max="10274" width="14.44140625" style="943" customWidth="1"/>
    <col min="10275" max="10275" width="2" style="943" customWidth="1"/>
    <col min="10276" max="10276" width="13.44140625" style="943" customWidth="1"/>
    <col min="10277" max="10278" width="10.44140625" style="943" customWidth="1"/>
    <col min="10279" max="10279" width="12" style="943" bestFit="1" customWidth="1"/>
    <col min="10280" max="10508" width="11.44140625" style="943"/>
    <col min="10509" max="10509" width="10.5546875" style="943" customWidth="1"/>
    <col min="10510" max="10510" width="72.44140625" style="943" customWidth="1"/>
    <col min="10511" max="10511" width="2.5546875" style="943" customWidth="1"/>
    <col min="10512" max="10521" width="0" style="943" hidden="1" customWidth="1"/>
    <col min="10522" max="10522" width="12.44140625" style="943" customWidth="1"/>
    <col min="10523" max="10523" width="12" style="943" customWidth="1"/>
    <col min="10524" max="10524" width="12.88671875" style="943" customWidth="1"/>
    <col min="10525" max="10525" width="1.5546875" style="943" customWidth="1"/>
    <col min="10526" max="10526" width="16.109375" style="943" customWidth="1"/>
    <col min="10527" max="10527" width="11.88671875" style="943" customWidth="1"/>
    <col min="10528" max="10528" width="13.44140625" style="943" bestFit="1" customWidth="1"/>
    <col min="10529" max="10530" width="14.44140625" style="943" customWidth="1"/>
    <col min="10531" max="10531" width="2" style="943" customWidth="1"/>
    <col min="10532" max="10532" width="13.44140625" style="943" customWidth="1"/>
    <col min="10533" max="10534" width="10.44140625" style="943" customWidth="1"/>
    <col min="10535" max="10535" width="12" style="943" bestFit="1" customWidth="1"/>
    <col min="10536" max="10764" width="11.44140625" style="943"/>
    <col min="10765" max="10765" width="10.5546875" style="943" customWidth="1"/>
    <col min="10766" max="10766" width="72.44140625" style="943" customWidth="1"/>
    <col min="10767" max="10767" width="2.5546875" style="943" customWidth="1"/>
    <col min="10768" max="10777" width="0" style="943" hidden="1" customWidth="1"/>
    <col min="10778" max="10778" width="12.44140625" style="943" customWidth="1"/>
    <col min="10779" max="10779" width="12" style="943" customWidth="1"/>
    <col min="10780" max="10780" width="12.88671875" style="943" customWidth="1"/>
    <col min="10781" max="10781" width="1.5546875" style="943" customWidth="1"/>
    <col min="10782" max="10782" width="16.109375" style="943" customWidth="1"/>
    <col min="10783" max="10783" width="11.88671875" style="943" customWidth="1"/>
    <col min="10784" max="10784" width="13.44140625" style="943" bestFit="1" customWidth="1"/>
    <col min="10785" max="10786" width="14.44140625" style="943" customWidth="1"/>
    <col min="10787" max="10787" width="2" style="943" customWidth="1"/>
    <col min="10788" max="10788" width="13.44140625" style="943" customWidth="1"/>
    <col min="10789" max="10790" width="10.44140625" style="943" customWidth="1"/>
    <col min="10791" max="10791" width="12" style="943" bestFit="1" customWidth="1"/>
    <col min="10792" max="11020" width="11.44140625" style="943"/>
    <col min="11021" max="11021" width="10.5546875" style="943" customWidth="1"/>
    <col min="11022" max="11022" width="72.44140625" style="943" customWidth="1"/>
    <col min="11023" max="11023" width="2.5546875" style="943" customWidth="1"/>
    <col min="11024" max="11033" width="0" style="943" hidden="1" customWidth="1"/>
    <col min="11034" max="11034" width="12.44140625" style="943" customWidth="1"/>
    <col min="11035" max="11035" width="12" style="943" customWidth="1"/>
    <col min="11036" max="11036" width="12.88671875" style="943" customWidth="1"/>
    <col min="11037" max="11037" width="1.5546875" style="943" customWidth="1"/>
    <col min="11038" max="11038" width="16.109375" style="943" customWidth="1"/>
    <col min="11039" max="11039" width="11.88671875" style="943" customWidth="1"/>
    <col min="11040" max="11040" width="13.44140625" style="943" bestFit="1" customWidth="1"/>
    <col min="11041" max="11042" width="14.44140625" style="943" customWidth="1"/>
    <col min="11043" max="11043" width="2" style="943" customWidth="1"/>
    <col min="11044" max="11044" width="13.44140625" style="943" customWidth="1"/>
    <col min="11045" max="11046" width="10.44140625" style="943" customWidth="1"/>
    <col min="11047" max="11047" width="12" style="943" bestFit="1" customWidth="1"/>
    <col min="11048" max="11276" width="11.44140625" style="943"/>
    <col min="11277" max="11277" width="10.5546875" style="943" customWidth="1"/>
    <col min="11278" max="11278" width="72.44140625" style="943" customWidth="1"/>
    <col min="11279" max="11279" width="2.5546875" style="943" customWidth="1"/>
    <col min="11280" max="11289" width="0" style="943" hidden="1" customWidth="1"/>
    <col min="11290" max="11290" width="12.44140625" style="943" customWidth="1"/>
    <col min="11291" max="11291" width="12" style="943" customWidth="1"/>
    <col min="11292" max="11292" width="12.88671875" style="943" customWidth="1"/>
    <col min="11293" max="11293" width="1.5546875" style="943" customWidth="1"/>
    <col min="11294" max="11294" width="16.109375" style="943" customWidth="1"/>
    <col min="11295" max="11295" width="11.88671875" style="943" customWidth="1"/>
    <col min="11296" max="11296" width="13.44140625" style="943" bestFit="1" customWidth="1"/>
    <col min="11297" max="11298" width="14.44140625" style="943" customWidth="1"/>
    <col min="11299" max="11299" width="2" style="943" customWidth="1"/>
    <col min="11300" max="11300" width="13.44140625" style="943" customWidth="1"/>
    <col min="11301" max="11302" width="10.44140625" style="943" customWidth="1"/>
    <col min="11303" max="11303" width="12" style="943" bestFit="1" customWidth="1"/>
    <col min="11304" max="11532" width="11.44140625" style="943"/>
    <col min="11533" max="11533" width="10.5546875" style="943" customWidth="1"/>
    <col min="11534" max="11534" width="72.44140625" style="943" customWidth="1"/>
    <col min="11535" max="11535" width="2.5546875" style="943" customWidth="1"/>
    <col min="11536" max="11545" width="0" style="943" hidden="1" customWidth="1"/>
    <col min="11546" max="11546" width="12.44140625" style="943" customWidth="1"/>
    <col min="11547" max="11547" width="12" style="943" customWidth="1"/>
    <col min="11548" max="11548" width="12.88671875" style="943" customWidth="1"/>
    <col min="11549" max="11549" width="1.5546875" style="943" customWidth="1"/>
    <col min="11550" max="11550" width="16.109375" style="943" customWidth="1"/>
    <col min="11551" max="11551" width="11.88671875" style="943" customWidth="1"/>
    <col min="11552" max="11552" width="13.44140625" style="943" bestFit="1" customWidth="1"/>
    <col min="11553" max="11554" width="14.44140625" style="943" customWidth="1"/>
    <col min="11555" max="11555" width="2" style="943" customWidth="1"/>
    <col min="11556" max="11556" width="13.44140625" style="943" customWidth="1"/>
    <col min="11557" max="11558" width="10.44140625" style="943" customWidth="1"/>
    <col min="11559" max="11559" width="12" style="943" bestFit="1" customWidth="1"/>
    <col min="11560" max="11788" width="11.44140625" style="943"/>
    <col min="11789" max="11789" width="10.5546875" style="943" customWidth="1"/>
    <col min="11790" max="11790" width="72.44140625" style="943" customWidth="1"/>
    <col min="11791" max="11791" width="2.5546875" style="943" customWidth="1"/>
    <col min="11792" max="11801" width="0" style="943" hidden="1" customWidth="1"/>
    <col min="11802" max="11802" width="12.44140625" style="943" customWidth="1"/>
    <col min="11803" max="11803" width="12" style="943" customWidth="1"/>
    <col min="11804" max="11804" width="12.88671875" style="943" customWidth="1"/>
    <col min="11805" max="11805" width="1.5546875" style="943" customWidth="1"/>
    <col min="11806" max="11806" width="16.109375" style="943" customWidth="1"/>
    <col min="11807" max="11807" width="11.88671875" style="943" customWidth="1"/>
    <col min="11808" max="11808" width="13.44140625" style="943" bestFit="1" customWidth="1"/>
    <col min="11809" max="11810" width="14.44140625" style="943" customWidth="1"/>
    <col min="11811" max="11811" width="2" style="943" customWidth="1"/>
    <col min="11812" max="11812" width="13.44140625" style="943" customWidth="1"/>
    <col min="11813" max="11814" width="10.44140625" style="943" customWidth="1"/>
    <col min="11815" max="11815" width="12" style="943" bestFit="1" customWidth="1"/>
    <col min="11816" max="12044" width="11.44140625" style="943"/>
    <col min="12045" max="12045" width="10.5546875" style="943" customWidth="1"/>
    <col min="12046" max="12046" width="72.44140625" style="943" customWidth="1"/>
    <col min="12047" max="12047" width="2.5546875" style="943" customWidth="1"/>
    <col min="12048" max="12057" width="0" style="943" hidden="1" customWidth="1"/>
    <col min="12058" max="12058" width="12.44140625" style="943" customWidth="1"/>
    <col min="12059" max="12059" width="12" style="943" customWidth="1"/>
    <col min="12060" max="12060" width="12.88671875" style="943" customWidth="1"/>
    <col min="12061" max="12061" width="1.5546875" style="943" customWidth="1"/>
    <col min="12062" max="12062" width="16.109375" style="943" customWidth="1"/>
    <col min="12063" max="12063" width="11.88671875" style="943" customWidth="1"/>
    <col min="12064" max="12064" width="13.44140625" style="943" bestFit="1" customWidth="1"/>
    <col min="12065" max="12066" width="14.44140625" style="943" customWidth="1"/>
    <col min="12067" max="12067" width="2" style="943" customWidth="1"/>
    <col min="12068" max="12068" width="13.44140625" style="943" customWidth="1"/>
    <col min="12069" max="12070" width="10.44140625" style="943" customWidth="1"/>
    <col min="12071" max="12071" width="12" style="943" bestFit="1" customWidth="1"/>
    <col min="12072" max="12300" width="11.44140625" style="943"/>
    <col min="12301" max="12301" width="10.5546875" style="943" customWidth="1"/>
    <col min="12302" max="12302" width="72.44140625" style="943" customWidth="1"/>
    <col min="12303" max="12303" width="2.5546875" style="943" customWidth="1"/>
    <col min="12304" max="12313" width="0" style="943" hidden="1" customWidth="1"/>
    <col min="12314" max="12314" width="12.44140625" style="943" customWidth="1"/>
    <col min="12315" max="12315" width="12" style="943" customWidth="1"/>
    <col min="12316" max="12316" width="12.88671875" style="943" customWidth="1"/>
    <col min="12317" max="12317" width="1.5546875" style="943" customWidth="1"/>
    <col min="12318" max="12318" width="16.109375" style="943" customWidth="1"/>
    <col min="12319" max="12319" width="11.88671875" style="943" customWidth="1"/>
    <col min="12320" max="12320" width="13.44140625" style="943" bestFit="1" customWidth="1"/>
    <col min="12321" max="12322" width="14.44140625" style="943" customWidth="1"/>
    <col min="12323" max="12323" width="2" style="943" customWidth="1"/>
    <col min="12324" max="12324" width="13.44140625" style="943" customWidth="1"/>
    <col min="12325" max="12326" width="10.44140625" style="943" customWidth="1"/>
    <col min="12327" max="12327" width="12" style="943" bestFit="1" customWidth="1"/>
    <col min="12328" max="12556" width="11.44140625" style="943"/>
    <col min="12557" max="12557" width="10.5546875" style="943" customWidth="1"/>
    <col min="12558" max="12558" width="72.44140625" style="943" customWidth="1"/>
    <col min="12559" max="12559" width="2.5546875" style="943" customWidth="1"/>
    <col min="12560" max="12569" width="0" style="943" hidden="1" customWidth="1"/>
    <col min="12570" max="12570" width="12.44140625" style="943" customWidth="1"/>
    <col min="12571" max="12571" width="12" style="943" customWidth="1"/>
    <col min="12572" max="12572" width="12.88671875" style="943" customWidth="1"/>
    <col min="12573" max="12573" width="1.5546875" style="943" customWidth="1"/>
    <col min="12574" max="12574" width="16.109375" style="943" customWidth="1"/>
    <col min="12575" max="12575" width="11.88671875" style="943" customWidth="1"/>
    <col min="12576" max="12576" width="13.44140625" style="943" bestFit="1" customWidth="1"/>
    <col min="12577" max="12578" width="14.44140625" style="943" customWidth="1"/>
    <col min="12579" max="12579" width="2" style="943" customWidth="1"/>
    <col min="12580" max="12580" width="13.44140625" style="943" customWidth="1"/>
    <col min="12581" max="12582" width="10.44140625" style="943" customWidth="1"/>
    <col min="12583" max="12583" width="12" style="943" bestFit="1" customWidth="1"/>
    <col min="12584" max="12812" width="11.44140625" style="943"/>
    <col min="12813" max="12813" width="10.5546875" style="943" customWidth="1"/>
    <col min="12814" max="12814" width="72.44140625" style="943" customWidth="1"/>
    <col min="12815" max="12815" width="2.5546875" style="943" customWidth="1"/>
    <col min="12816" max="12825" width="0" style="943" hidden="1" customWidth="1"/>
    <col min="12826" max="12826" width="12.44140625" style="943" customWidth="1"/>
    <col min="12827" max="12827" width="12" style="943" customWidth="1"/>
    <col min="12828" max="12828" width="12.88671875" style="943" customWidth="1"/>
    <col min="12829" max="12829" width="1.5546875" style="943" customWidth="1"/>
    <col min="12830" max="12830" width="16.109375" style="943" customWidth="1"/>
    <col min="12831" max="12831" width="11.88671875" style="943" customWidth="1"/>
    <col min="12832" max="12832" width="13.44140625" style="943" bestFit="1" customWidth="1"/>
    <col min="12833" max="12834" width="14.44140625" style="943" customWidth="1"/>
    <col min="12835" max="12835" width="2" style="943" customWidth="1"/>
    <col min="12836" max="12836" width="13.44140625" style="943" customWidth="1"/>
    <col min="12837" max="12838" width="10.44140625" style="943" customWidth="1"/>
    <col min="12839" max="12839" width="12" style="943" bestFit="1" customWidth="1"/>
    <col min="12840" max="13068" width="11.44140625" style="943"/>
    <col min="13069" max="13069" width="10.5546875" style="943" customWidth="1"/>
    <col min="13070" max="13070" width="72.44140625" style="943" customWidth="1"/>
    <col min="13071" max="13071" width="2.5546875" style="943" customWidth="1"/>
    <col min="13072" max="13081" width="0" style="943" hidden="1" customWidth="1"/>
    <col min="13082" max="13082" width="12.44140625" style="943" customWidth="1"/>
    <col min="13083" max="13083" width="12" style="943" customWidth="1"/>
    <col min="13084" max="13084" width="12.88671875" style="943" customWidth="1"/>
    <col min="13085" max="13085" width="1.5546875" style="943" customWidth="1"/>
    <col min="13086" max="13086" width="16.109375" style="943" customWidth="1"/>
    <col min="13087" max="13087" width="11.88671875" style="943" customWidth="1"/>
    <col min="13088" max="13088" width="13.44140625" style="943" bestFit="1" customWidth="1"/>
    <col min="13089" max="13090" width="14.44140625" style="943" customWidth="1"/>
    <col min="13091" max="13091" width="2" style="943" customWidth="1"/>
    <col min="13092" max="13092" width="13.44140625" style="943" customWidth="1"/>
    <col min="13093" max="13094" width="10.44140625" style="943" customWidth="1"/>
    <col min="13095" max="13095" width="12" style="943" bestFit="1" customWidth="1"/>
    <col min="13096" max="13324" width="11.44140625" style="943"/>
    <col min="13325" max="13325" width="10.5546875" style="943" customWidth="1"/>
    <col min="13326" max="13326" width="72.44140625" style="943" customWidth="1"/>
    <col min="13327" max="13327" width="2.5546875" style="943" customWidth="1"/>
    <col min="13328" max="13337" width="0" style="943" hidden="1" customWidth="1"/>
    <col min="13338" max="13338" width="12.44140625" style="943" customWidth="1"/>
    <col min="13339" max="13339" width="12" style="943" customWidth="1"/>
    <col min="13340" max="13340" width="12.88671875" style="943" customWidth="1"/>
    <col min="13341" max="13341" width="1.5546875" style="943" customWidth="1"/>
    <col min="13342" max="13342" width="16.109375" style="943" customWidth="1"/>
    <col min="13343" max="13343" width="11.88671875" style="943" customWidth="1"/>
    <col min="13344" max="13344" width="13.44140625" style="943" bestFit="1" customWidth="1"/>
    <col min="13345" max="13346" width="14.44140625" style="943" customWidth="1"/>
    <col min="13347" max="13347" width="2" style="943" customWidth="1"/>
    <col min="13348" max="13348" width="13.44140625" style="943" customWidth="1"/>
    <col min="13349" max="13350" width="10.44140625" style="943" customWidth="1"/>
    <col min="13351" max="13351" width="12" style="943" bestFit="1" customWidth="1"/>
    <col min="13352" max="13580" width="11.44140625" style="943"/>
    <col min="13581" max="13581" width="10.5546875" style="943" customWidth="1"/>
    <col min="13582" max="13582" width="72.44140625" style="943" customWidth="1"/>
    <col min="13583" max="13583" width="2.5546875" style="943" customWidth="1"/>
    <col min="13584" max="13593" width="0" style="943" hidden="1" customWidth="1"/>
    <col min="13594" max="13594" width="12.44140625" style="943" customWidth="1"/>
    <col min="13595" max="13595" width="12" style="943" customWidth="1"/>
    <col min="13596" max="13596" width="12.88671875" style="943" customWidth="1"/>
    <col min="13597" max="13597" width="1.5546875" style="943" customWidth="1"/>
    <col min="13598" max="13598" width="16.109375" style="943" customWidth="1"/>
    <col min="13599" max="13599" width="11.88671875" style="943" customWidth="1"/>
    <col min="13600" max="13600" width="13.44140625" style="943" bestFit="1" customWidth="1"/>
    <col min="13601" max="13602" width="14.44140625" style="943" customWidth="1"/>
    <col min="13603" max="13603" width="2" style="943" customWidth="1"/>
    <col min="13604" max="13604" width="13.44140625" style="943" customWidth="1"/>
    <col min="13605" max="13606" width="10.44140625" style="943" customWidth="1"/>
    <col min="13607" max="13607" width="12" style="943" bestFit="1" customWidth="1"/>
    <col min="13608" max="13836" width="11.44140625" style="943"/>
    <col min="13837" max="13837" width="10.5546875" style="943" customWidth="1"/>
    <col min="13838" max="13838" width="72.44140625" style="943" customWidth="1"/>
    <col min="13839" max="13839" width="2.5546875" style="943" customWidth="1"/>
    <col min="13840" max="13849" width="0" style="943" hidden="1" customWidth="1"/>
    <col min="13850" max="13850" width="12.44140625" style="943" customWidth="1"/>
    <col min="13851" max="13851" width="12" style="943" customWidth="1"/>
    <col min="13852" max="13852" width="12.88671875" style="943" customWidth="1"/>
    <col min="13853" max="13853" width="1.5546875" style="943" customWidth="1"/>
    <col min="13854" max="13854" width="16.109375" style="943" customWidth="1"/>
    <col min="13855" max="13855" width="11.88671875" style="943" customWidth="1"/>
    <col min="13856" max="13856" width="13.44140625" style="943" bestFit="1" customWidth="1"/>
    <col min="13857" max="13858" width="14.44140625" style="943" customWidth="1"/>
    <col min="13859" max="13859" width="2" style="943" customWidth="1"/>
    <col min="13860" max="13860" width="13.44140625" style="943" customWidth="1"/>
    <col min="13861" max="13862" width="10.44140625" style="943" customWidth="1"/>
    <col min="13863" max="13863" width="12" style="943" bestFit="1" customWidth="1"/>
    <col min="13864" max="14092" width="11.44140625" style="943"/>
    <col min="14093" max="14093" width="10.5546875" style="943" customWidth="1"/>
    <col min="14094" max="14094" width="72.44140625" style="943" customWidth="1"/>
    <col min="14095" max="14095" width="2.5546875" style="943" customWidth="1"/>
    <col min="14096" max="14105" width="0" style="943" hidden="1" customWidth="1"/>
    <col min="14106" max="14106" width="12.44140625" style="943" customWidth="1"/>
    <col min="14107" max="14107" width="12" style="943" customWidth="1"/>
    <col min="14108" max="14108" width="12.88671875" style="943" customWidth="1"/>
    <col min="14109" max="14109" width="1.5546875" style="943" customWidth="1"/>
    <col min="14110" max="14110" width="16.109375" style="943" customWidth="1"/>
    <col min="14111" max="14111" width="11.88671875" style="943" customWidth="1"/>
    <col min="14112" max="14112" width="13.44140625" style="943" bestFit="1" customWidth="1"/>
    <col min="14113" max="14114" width="14.44140625" style="943" customWidth="1"/>
    <col min="14115" max="14115" width="2" style="943" customWidth="1"/>
    <col min="14116" max="14116" width="13.44140625" style="943" customWidth="1"/>
    <col min="14117" max="14118" width="10.44140625" style="943" customWidth="1"/>
    <col min="14119" max="14119" width="12" style="943" bestFit="1" customWidth="1"/>
    <col min="14120" max="14348" width="11.44140625" style="943"/>
    <col min="14349" max="14349" width="10.5546875" style="943" customWidth="1"/>
    <col min="14350" max="14350" width="72.44140625" style="943" customWidth="1"/>
    <col min="14351" max="14351" width="2.5546875" style="943" customWidth="1"/>
    <col min="14352" max="14361" width="0" style="943" hidden="1" customWidth="1"/>
    <col min="14362" max="14362" width="12.44140625" style="943" customWidth="1"/>
    <col min="14363" max="14363" width="12" style="943" customWidth="1"/>
    <col min="14364" max="14364" width="12.88671875" style="943" customWidth="1"/>
    <col min="14365" max="14365" width="1.5546875" style="943" customWidth="1"/>
    <col min="14366" max="14366" width="16.109375" style="943" customWidth="1"/>
    <col min="14367" max="14367" width="11.88671875" style="943" customWidth="1"/>
    <col min="14368" max="14368" width="13.44140625" style="943" bestFit="1" customWidth="1"/>
    <col min="14369" max="14370" width="14.44140625" style="943" customWidth="1"/>
    <col min="14371" max="14371" width="2" style="943" customWidth="1"/>
    <col min="14372" max="14372" width="13.44140625" style="943" customWidth="1"/>
    <col min="14373" max="14374" width="10.44140625" style="943" customWidth="1"/>
    <col min="14375" max="14375" width="12" style="943" bestFit="1" customWidth="1"/>
    <col min="14376" max="14604" width="11.44140625" style="943"/>
    <col min="14605" max="14605" width="10.5546875" style="943" customWidth="1"/>
    <col min="14606" max="14606" width="72.44140625" style="943" customWidth="1"/>
    <col min="14607" max="14607" width="2.5546875" style="943" customWidth="1"/>
    <col min="14608" max="14617" width="0" style="943" hidden="1" customWidth="1"/>
    <col min="14618" max="14618" width="12.44140625" style="943" customWidth="1"/>
    <col min="14619" max="14619" width="12" style="943" customWidth="1"/>
    <col min="14620" max="14620" width="12.88671875" style="943" customWidth="1"/>
    <col min="14621" max="14621" width="1.5546875" style="943" customWidth="1"/>
    <col min="14622" max="14622" width="16.109375" style="943" customWidth="1"/>
    <col min="14623" max="14623" width="11.88671875" style="943" customWidth="1"/>
    <col min="14624" max="14624" width="13.44140625" style="943" bestFit="1" customWidth="1"/>
    <col min="14625" max="14626" width="14.44140625" style="943" customWidth="1"/>
    <col min="14627" max="14627" width="2" style="943" customWidth="1"/>
    <col min="14628" max="14628" width="13.44140625" style="943" customWidth="1"/>
    <col min="14629" max="14630" width="10.44140625" style="943" customWidth="1"/>
    <col min="14631" max="14631" width="12" style="943" bestFit="1" customWidth="1"/>
    <col min="14632" max="14860" width="11.44140625" style="943"/>
    <col min="14861" max="14861" width="10.5546875" style="943" customWidth="1"/>
    <col min="14862" max="14862" width="72.44140625" style="943" customWidth="1"/>
    <col min="14863" max="14863" width="2.5546875" style="943" customWidth="1"/>
    <col min="14864" max="14873" width="0" style="943" hidden="1" customWidth="1"/>
    <col min="14874" max="14874" width="12.44140625" style="943" customWidth="1"/>
    <col min="14875" max="14875" width="12" style="943" customWidth="1"/>
    <col min="14876" max="14876" width="12.88671875" style="943" customWidth="1"/>
    <col min="14877" max="14877" width="1.5546875" style="943" customWidth="1"/>
    <col min="14878" max="14878" width="16.109375" style="943" customWidth="1"/>
    <col min="14879" max="14879" width="11.88671875" style="943" customWidth="1"/>
    <col min="14880" max="14880" width="13.44140625" style="943" bestFit="1" customWidth="1"/>
    <col min="14881" max="14882" width="14.44140625" style="943" customWidth="1"/>
    <col min="14883" max="14883" width="2" style="943" customWidth="1"/>
    <col min="14884" max="14884" width="13.44140625" style="943" customWidth="1"/>
    <col min="14885" max="14886" width="10.44140625" style="943" customWidth="1"/>
    <col min="14887" max="14887" width="12" style="943" bestFit="1" customWidth="1"/>
    <col min="14888" max="15116" width="11.44140625" style="943"/>
    <col min="15117" max="15117" width="10.5546875" style="943" customWidth="1"/>
    <col min="15118" max="15118" width="72.44140625" style="943" customWidth="1"/>
    <col min="15119" max="15119" width="2.5546875" style="943" customWidth="1"/>
    <col min="15120" max="15129" width="0" style="943" hidden="1" customWidth="1"/>
    <col min="15130" max="15130" width="12.44140625" style="943" customWidth="1"/>
    <col min="15131" max="15131" width="12" style="943" customWidth="1"/>
    <col min="15132" max="15132" width="12.88671875" style="943" customWidth="1"/>
    <col min="15133" max="15133" width="1.5546875" style="943" customWidth="1"/>
    <col min="15134" max="15134" width="16.109375" style="943" customWidth="1"/>
    <col min="15135" max="15135" width="11.88671875" style="943" customWidth="1"/>
    <col min="15136" max="15136" width="13.44140625" style="943" bestFit="1" customWidth="1"/>
    <col min="15137" max="15138" width="14.44140625" style="943" customWidth="1"/>
    <col min="15139" max="15139" width="2" style="943" customWidth="1"/>
    <col min="15140" max="15140" width="13.44140625" style="943" customWidth="1"/>
    <col min="15141" max="15142" width="10.44140625" style="943" customWidth="1"/>
    <col min="15143" max="15143" width="12" style="943" bestFit="1" customWidth="1"/>
    <col min="15144" max="15372" width="11.44140625" style="943"/>
    <col min="15373" max="15373" width="10.5546875" style="943" customWidth="1"/>
    <col min="15374" max="15374" width="72.44140625" style="943" customWidth="1"/>
    <col min="15375" max="15375" width="2.5546875" style="943" customWidth="1"/>
    <col min="15376" max="15385" width="0" style="943" hidden="1" customWidth="1"/>
    <col min="15386" max="15386" width="12.44140625" style="943" customWidth="1"/>
    <col min="15387" max="15387" width="12" style="943" customWidth="1"/>
    <col min="15388" max="15388" width="12.88671875" style="943" customWidth="1"/>
    <col min="15389" max="15389" width="1.5546875" style="943" customWidth="1"/>
    <col min="15390" max="15390" width="16.109375" style="943" customWidth="1"/>
    <col min="15391" max="15391" width="11.88671875" style="943" customWidth="1"/>
    <col min="15392" max="15392" width="13.44140625" style="943" bestFit="1" customWidth="1"/>
    <col min="15393" max="15394" width="14.44140625" style="943" customWidth="1"/>
    <col min="15395" max="15395" width="2" style="943" customWidth="1"/>
    <col min="15396" max="15396" width="13.44140625" style="943" customWidth="1"/>
    <col min="15397" max="15398" width="10.44140625" style="943" customWidth="1"/>
    <col min="15399" max="15399" width="12" style="943" bestFit="1" customWidth="1"/>
    <col min="15400" max="15628" width="11.44140625" style="943"/>
    <col min="15629" max="15629" width="10.5546875" style="943" customWidth="1"/>
    <col min="15630" max="15630" width="72.44140625" style="943" customWidth="1"/>
    <col min="15631" max="15631" width="2.5546875" style="943" customWidth="1"/>
    <col min="15632" max="15641" width="0" style="943" hidden="1" customWidth="1"/>
    <col min="15642" max="15642" width="12.44140625" style="943" customWidth="1"/>
    <col min="15643" max="15643" width="12" style="943" customWidth="1"/>
    <col min="15644" max="15644" width="12.88671875" style="943" customWidth="1"/>
    <col min="15645" max="15645" width="1.5546875" style="943" customWidth="1"/>
    <col min="15646" max="15646" width="16.109375" style="943" customWidth="1"/>
    <col min="15647" max="15647" width="11.88671875" style="943" customWidth="1"/>
    <col min="15648" max="15648" width="13.44140625" style="943" bestFit="1" customWidth="1"/>
    <col min="15649" max="15650" width="14.44140625" style="943" customWidth="1"/>
    <col min="15651" max="15651" width="2" style="943" customWidth="1"/>
    <col min="15652" max="15652" width="13.44140625" style="943" customWidth="1"/>
    <col min="15653" max="15654" width="10.44140625" style="943" customWidth="1"/>
    <col min="15655" max="15655" width="12" style="943" bestFit="1" customWidth="1"/>
    <col min="15656" max="15884" width="11.44140625" style="943"/>
    <col min="15885" max="15885" width="10.5546875" style="943" customWidth="1"/>
    <col min="15886" max="15886" width="72.44140625" style="943" customWidth="1"/>
    <col min="15887" max="15887" width="2.5546875" style="943" customWidth="1"/>
    <col min="15888" max="15897" width="0" style="943" hidden="1" customWidth="1"/>
    <col min="15898" max="15898" width="12.44140625" style="943" customWidth="1"/>
    <col min="15899" max="15899" width="12" style="943" customWidth="1"/>
    <col min="15900" max="15900" width="12.88671875" style="943" customWidth="1"/>
    <col min="15901" max="15901" width="1.5546875" style="943" customWidth="1"/>
    <col min="15902" max="15902" width="16.109375" style="943" customWidth="1"/>
    <col min="15903" max="15903" width="11.88671875" style="943" customWidth="1"/>
    <col min="15904" max="15904" width="13.44140625" style="943" bestFit="1" customWidth="1"/>
    <col min="15905" max="15906" width="14.44140625" style="943" customWidth="1"/>
    <col min="15907" max="15907" width="2" style="943" customWidth="1"/>
    <col min="15908" max="15908" width="13.44140625" style="943" customWidth="1"/>
    <col min="15909" max="15910" width="10.44140625" style="943" customWidth="1"/>
    <col min="15911" max="15911" width="12" style="943" bestFit="1" customWidth="1"/>
    <col min="15912" max="16140" width="11.44140625" style="943"/>
    <col min="16141" max="16141" width="10.5546875" style="943" customWidth="1"/>
    <col min="16142" max="16142" width="72.44140625" style="943" customWidth="1"/>
    <col min="16143" max="16143" width="2.5546875" style="943" customWidth="1"/>
    <col min="16144" max="16153" width="0" style="943" hidden="1" customWidth="1"/>
    <col min="16154" max="16154" width="12.44140625" style="943" customWidth="1"/>
    <col min="16155" max="16155" width="12" style="943" customWidth="1"/>
    <col min="16156" max="16156" width="12.88671875" style="943" customWidth="1"/>
    <col min="16157" max="16157" width="1.5546875" style="943" customWidth="1"/>
    <col min="16158" max="16158" width="16.109375" style="943" customWidth="1"/>
    <col min="16159" max="16159" width="11.88671875" style="943" customWidth="1"/>
    <col min="16160" max="16160" width="13.44140625" style="943" bestFit="1" customWidth="1"/>
    <col min="16161" max="16162" width="14.44140625" style="943" customWidth="1"/>
    <col min="16163" max="16163" width="2" style="943" customWidth="1"/>
    <col min="16164" max="16164" width="13.44140625" style="943" customWidth="1"/>
    <col min="16165" max="16166" width="10.44140625" style="943" customWidth="1"/>
    <col min="16167" max="16167" width="12" style="943" bestFit="1" customWidth="1"/>
    <col min="16168" max="16384" width="11.44140625" style="943"/>
  </cols>
  <sheetData>
    <row r="1" spans="1:43" x14ac:dyDescent="0.3">
      <c r="A1" s="942" t="s">
        <v>75</v>
      </c>
    </row>
    <row r="2" spans="1:43" s="72" customFormat="1" ht="30" customHeight="1" x14ac:dyDescent="0.3">
      <c r="A2" s="1992" t="s">
        <v>1999</v>
      </c>
      <c r="B2" s="1992"/>
      <c r="C2" s="1992"/>
      <c r="D2" s="1992"/>
      <c r="E2" s="1992"/>
      <c r="F2" s="1992"/>
      <c r="G2" s="1992"/>
      <c r="H2" s="458"/>
      <c r="I2" s="950"/>
      <c r="J2" s="950"/>
      <c r="K2" s="950"/>
      <c r="L2" s="950"/>
      <c r="M2" s="458"/>
      <c r="T2" s="458"/>
    </row>
    <row r="3" spans="1:43" s="951" customFormat="1" ht="29.25" customHeight="1" x14ac:dyDescent="0.3">
      <c r="A3" s="886" t="s">
        <v>1973</v>
      </c>
      <c r="B3" s="1993">
        <f>+Cover!Y18</f>
        <v>44926</v>
      </c>
      <c r="C3" s="1993"/>
      <c r="D3" s="1993"/>
      <c r="E3" s="1993"/>
      <c r="F3" s="1993"/>
      <c r="G3" s="1993"/>
      <c r="M3" s="952"/>
      <c r="T3" s="952"/>
    </row>
    <row r="4" spans="1:43" x14ac:dyDescent="0.3">
      <c r="A4" s="953"/>
      <c r="B4" s="953"/>
      <c r="AD4" s="954"/>
      <c r="AE4" s="954"/>
      <c r="AF4" s="954"/>
      <c r="AG4" s="954"/>
      <c r="AH4" s="954"/>
      <c r="AI4" s="954"/>
      <c r="AJ4" s="954"/>
      <c r="AK4" s="954"/>
      <c r="AL4" s="954"/>
      <c r="AM4" s="954"/>
      <c r="AN4" s="954"/>
      <c r="AO4" s="954"/>
      <c r="AP4" s="954"/>
      <c r="AQ4" s="954"/>
    </row>
    <row r="5" spans="1:43" x14ac:dyDescent="0.3">
      <c r="B5" s="955" t="s">
        <v>1</v>
      </c>
      <c r="K5" s="954"/>
      <c r="L5" s="954"/>
      <c r="M5" s="954"/>
      <c r="N5" s="954"/>
      <c r="O5" s="954"/>
      <c r="P5" s="954"/>
      <c r="Q5" s="954"/>
      <c r="R5" s="954"/>
      <c r="S5" s="954"/>
      <c r="AD5" s="1994" t="s">
        <v>2000</v>
      </c>
      <c r="AE5" s="1994"/>
      <c r="AF5" s="1994"/>
      <c r="AG5" s="1994"/>
      <c r="AH5" s="1994"/>
      <c r="AI5" s="1994"/>
      <c r="AJ5" s="1994"/>
      <c r="AK5" s="1994"/>
      <c r="AL5" s="1994"/>
      <c r="AM5" s="1994"/>
      <c r="AN5" s="1994"/>
      <c r="AO5" s="1994"/>
      <c r="AP5" s="1994"/>
      <c r="AQ5" s="1994"/>
    </row>
    <row r="6" spans="1:43" s="957" customFormat="1" ht="42" customHeight="1" x14ac:dyDescent="0.3">
      <c r="A6" s="956" t="s">
        <v>2001</v>
      </c>
      <c r="B6" s="956"/>
      <c r="D6" s="956" t="s">
        <v>2002</v>
      </c>
      <c r="E6" s="956" t="s">
        <v>2003</v>
      </c>
      <c r="F6" s="956" t="s">
        <v>2004</v>
      </c>
      <c r="G6" s="956" t="s">
        <v>2005</v>
      </c>
      <c r="H6" s="956" t="s">
        <v>2006</v>
      </c>
      <c r="I6" s="956" t="s">
        <v>2007</v>
      </c>
      <c r="J6" s="956" t="s">
        <v>2008</v>
      </c>
      <c r="K6" s="956" t="s">
        <v>2009</v>
      </c>
      <c r="L6" s="956" t="s">
        <v>2010</v>
      </c>
      <c r="M6" s="956" t="s">
        <v>2011</v>
      </c>
      <c r="N6" s="956" t="s">
        <v>2012</v>
      </c>
      <c r="O6" s="956" t="s">
        <v>2013</v>
      </c>
      <c r="P6" s="956" t="s">
        <v>2014</v>
      </c>
      <c r="Q6" s="956" t="s">
        <v>2015</v>
      </c>
      <c r="R6" s="956" t="s">
        <v>2016</v>
      </c>
      <c r="S6" s="956" t="s">
        <v>2017</v>
      </c>
      <c r="T6" s="958"/>
      <c r="U6" s="956" t="s">
        <v>2018</v>
      </c>
      <c r="V6" s="956" t="s">
        <v>2019</v>
      </c>
      <c r="W6" s="959" t="s">
        <v>744</v>
      </c>
      <c r="X6" s="960"/>
      <c r="Y6" s="956" t="s">
        <v>2020</v>
      </c>
      <c r="Z6" s="956" t="s">
        <v>2021</v>
      </c>
      <c r="AA6" s="956" t="s">
        <v>2022</v>
      </c>
      <c r="AB6" s="959" t="s">
        <v>2023</v>
      </c>
      <c r="AD6" s="961" t="s">
        <v>2024</v>
      </c>
      <c r="AE6" s="961" t="s">
        <v>2025</v>
      </c>
      <c r="AF6" s="961" t="s">
        <v>2026</v>
      </c>
      <c r="AG6" s="961" t="s">
        <v>2027</v>
      </c>
      <c r="AH6" s="961" t="s">
        <v>2028</v>
      </c>
      <c r="AI6" s="961" t="s">
        <v>2029</v>
      </c>
      <c r="AJ6" s="961" t="s">
        <v>2030</v>
      </c>
      <c r="AK6" s="961" t="s">
        <v>2031</v>
      </c>
      <c r="AL6" s="961" t="s">
        <v>2032</v>
      </c>
      <c r="AM6" s="961" t="s">
        <v>2033</v>
      </c>
      <c r="AN6" s="961" t="s">
        <v>2034</v>
      </c>
      <c r="AO6" s="961" t="s">
        <v>2035</v>
      </c>
      <c r="AP6" s="961" t="s">
        <v>2036</v>
      </c>
      <c r="AQ6" s="961" t="s">
        <v>2037</v>
      </c>
    </row>
    <row r="7" spans="1:43" ht="4.5" customHeight="1" x14ac:dyDescent="0.3">
      <c r="D7" s="962"/>
      <c r="W7" s="963"/>
      <c r="X7" s="964"/>
      <c r="AB7" s="965"/>
    </row>
    <row r="8" spans="1:43" s="968" customFormat="1" x14ac:dyDescent="0.3">
      <c r="A8" s="966" t="s">
        <v>2038</v>
      </c>
      <c r="B8" s="967"/>
      <c r="D8" s="969">
        <v>0.08</v>
      </c>
      <c r="E8" s="970" t="s">
        <v>2039</v>
      </c>
      <c r="F8" s="971" t="s">
        <v>2040</v>
      </c>
      <c r="G8" s="969" t="s">
        <v>2041</v>
      </c>
      <c r="H8" s="972" t="s">
        <v>2042</v>
      </c>
      <c r="I8" s="972" t="s">
        <v>2043</v>
      </c>
      <c r="J8" s="973">
        <v>0</v>
      </c>
      <c r="K8" s="974" t="s">
        <v>2043</v>
      </c>
      <c r="L8" s="975" t="s">
        <v>2043</v>
      </c>
      <c r="M8" s="974" t="s">
        <v>2044</v>
      </c>
      <c r="N8" s="975">
        <v>1</v>
      </c>
      <c r="O8" s="976" t="s">
        <v>2045</v>
      </c>
      <c r="P8" s="970" t="s">
        <v>2046</v>
      </c>
      <c r="Q8" s="970" t="s">
        <v>2047</v>
      </c>
      <c r="R8" s="970" t="s">
        <v>2048</v>
      </c>
      <c r="S8" s="970" t="s">
        <v>2049</v>
      </c>
      <c r="T8" s="977"/>
      <c r="U8" s="978"/>
      <c r="V8" s="979"/>
      <c r="W8" s="980"/>
      <c r="X8" s="981"/>
      <c r="Y8" s="978"/>
      <c r="Z8" s="979"/>
      <c r="AA8" s="979"/>
      <c r="AB8" s="982"/>
      <c r="AC8" s="973"/>
      <c r="AD8" s="978"/>
      <c r="AE8" s="979"/>
      <c r="AF8" s="979"/>
      <c r="AG8" s="979"/>
      <c r="AH8" s="979"/>
      <c r="AI8" s="979"/>
      <c r="AJ8" s="979"/>
      <c r="AK8" s="979"/>
      <c r="AL8" s="979"/>
      <c r="AM8" s="979"/>
      <c r="AN8" s="979"/>
      <c r="AO8" s="979"/>
      <c r="AP8" s="979"/>
      <c r="AQ8" s="982"/>
    </row>
    <row r="9" spans="1:43" s="968" customFormat="1" outlineLevel="1" x14ac:dyDescent="0.3">
      <c r="A9" s="983" t="s">
        <v>2050</v>
      </c>
      <c r="B9" s="983" t="s">
        <v>2051</v>
      </c>
      <c r="D9" s="969"/>
      <c r="E9" s="970"/>
      <c r="F9" s="971"/>
      <c r="G9" s="969"/>
      <c r="H9" s="972"/>
      <c r="I9" s="972"/>
      <c r="J9" s="973"/>
      <c r="K9" s="973"/>
      <c r="L9" s="973"/>
      <c r="M9" s="973"/>
      <c r="N9" s="973"/>
      <c r="O9" s="973"/>
      <c r="P9" s="973"/>
      <c r="Q9" s="973"/>
      <c r="R9" s="973"/>
      <c r="S9" s="973"/>
      <c r="T9" s="977"/>
      <c r="U9" s="984">
        <f>'Bilan-par flux'!U171</f>
        <v>30298.82731739424</v>
      </c>
      <c r="V9" s="985">
        <f>'Bilan-par flux'!E171</f>
        <v>37603.077061394244</v>
      </c>
      <c r="W9" s="986">
        <f>+U9-V9</f>
        <v>-7304.2497440000043</v>
      </c>
      <c r="X9" s="987"/>
      <c r="Y9" s="988"/>
      <c r="Z9" s="987"/>
      <c r="AA9" s="987"/>
      <c r="AB9" s="989">
        <f>W9-SUM(Y9:AA9)</f>
        <v>-7304.2497440000043</v>
      </c>
      <c r="AC9" s="973"/>
      <c r="AD9" s="988"/>
      <c r="AF9" s="987"/>
      <c r="AG9" s="987"/>
      <c r="AH9" s="987"/>
      <c r="AI9" s="987"/>
      <c r="AJ9" s="987"/>
      <c r="AK9" s="987"/>
      <c r="AL9" s="987"/>
      <c r="AM9" s="987"/>
      <c r="AN9" s="987"/>
      <c r="AO9" s="987"/>
      <c r="AP9" s="987"/>
      <c r="AQ9" s="989"/>
    </row>
    <row r="10" spans="1:43" s="968" customFormat="1" outlineLevel="1" x14ac:dyDescent="0.3">
      <c r="A10" s="983" t="s">
        <v>2050</v>
      </c>
      <c r="B10" s="983"/>
      <c r="D10" s="969"/>
      <c r="E10" s="970"/>
      <c r="F10" s="971"/>
      <c r="G10" s="969"/>
      <c r="H10" s="972"/>
      <c r="I10" s="972"/>
      <c r="J10" s="973"/>
      <c r="K10" s="973"/>
      <c r="L10" s="973"/>
      <c r="M10" s="973"/>
      <c r="N10" s="973"/>
      <c r="O10" s="973"/>
      <c r="P10" s="973"/>
      <c r="Q10" s="973"/>
      <c r="R10" s="973"/>
      <c r="S10" s="973"/>
      <c r="T10" s="977"/>
      <c r="U10" s="988"/>
      <c r="V10" s="987"/>
      <c r="W10" s="986">
        <f>+U10-V10</f>
        <v>0</v>
      </c>
      <c r="X10" s="987"/>
      <c r="Y10" s="988"/>
      <c r="Z10" s="987"/>
      <c r="AA10" s="987"/>
      <c r="AB10" s="989">
        <f>W10-SUM(Y10:AA10)</f>
        <v>0</v>
      </c>
      <c r="AC10" s="973"/>
      <c r="AD10" s="988"/>
      <c r="AE10" s="987"/>
      <c r="AF10" s="987"/>
      <c r="AG10" s="987"/>
      <c r="AH10" s="987"/>
      <c r="AI10" s="987"/>
      <c r="AJ10" s="987"/>
      <c r="AK10" s="987"/>
      <c r="AL10" s="987"/>
      <c r="AM10" s="987"/>
      <c r="AN10" s="987"/>
      <c r="AO10" s="987"/>
      <c r="AP10" s="987"/>
      <c r="AQ10" s="989"/>
    </row>
    <row r="11" spans="1:43" s="992" customFormat="1" ht="20.100000000000001" customHeight="1" x14ac:dyDescent="0.3">
      <c r="A11" s="990"/>
      <c r="B11" s="991" t="s">
        <v>2052</v>
      </c>
      <c r="D11" s="993"/>
      <c r="E11" s="994"/>
      <c r="F11" s="995"/>
      <c r="G11" s="994"/>
      <c r="H11" s="994"/>
      <c r="I11" s="994"/>
      <c r="J11" s="994"/>
      <c r="K11" s="994"/>
      <c r="L11" s="994"/>
      <c r="M11" s="994"/>
      <c r="N11" s="996"/>
      <c r="O11" s="997"/>
      <c r="P11" s="997"/>
      <c r="Q11" s="997"/>
      <c r="R11" s="997"/>
      <c r="S11" s="997"/>
      <c r="T11" s="998"/>
      <c r="U11" s="999">
        <f>SUM(U9:U10)</f>
        <v>30298.82731739424</v>
      </c>
      <c r="V11" s="1000">
        <f>SUM(V9:V10)</f>
        <v>37603.077061394244</v>
      </c>
      <c r="W11" s="1001">
        <f>U11-V11</f>
        <v>-7304.2497440000043</v>
      </c>
      <c r="X11" s="1002"/>
      <c r="Y11" s="1003">
        <f>SUM(Y9:Y10)</f>
        <v>0</v>
      </c>
      <c r="Z11" s="1004">
        <f>SUM(Z9:Z10)</f>
        <v>0</v>
      </c>
      <c r="AA11" s="1004">
        <f>SUM(AA9:AA10)</f>
        <v>0</v>
      </c>
      <c r="AB11" s="1005">
        <f>SUM(AB9:AB10)</f>
        <v>-7304.2497440000043</v>
      </c>
      <c r="AC11" s="1006"/>
      <c r="AD11" s="1003">
        <f>SUM(AD9:AD10)</f>
        <v>0</v>
      </c>
      <c r="AE11" s="1004">
        <f>SUM(AE9:AE10)</f>
        <v>0</v>
      </c>
      <c r="AF11" s="1004">
        <f t="shared" ref="AF11:AN11" si="0">SUM(AF9:AF10)</f>
        <v>0</v>
      </c>
      <c r="AG11" s="1004">
        <f t="shared" si="0"/>
        <v>0</v>
      </c>
      <c r="AH11" s="1004">
        <f t="shared" si="0"/>
        <v>0</v>
      </c>
      <c r="AI11" s="1004">
        <f>SUM(AI9:AI10)</f>
        <v>0</v>
      </c>
      <c r="AJ11" s="1004">
        <f t="shared" si="0"/>
        <v>0</v>
      </c>
      <c r="AK11" s="1004">
        <f t="shared" si="0"/>
        <v>0</v>
      </c>
      <c r="AL11" s="1004">
        <f t="shared" si="0"/>
        <v>0</v>
      </c>
      <c r="AM11" s="1004">
        <f t="shared" si="0"/>
        <v>0</v>
      </c>
      <c r="AN11" s="1004">
        <f t="shared" si="0"/>
        <v>0</v>
      </c>
      <c r="AO11" s="1004">
        <f>SUM(AO9:AO10)</f>
        <v>0</v>
      </c>
      <c r="AP11" s="1004">
        <f>SUM(AP9:AP10)</f>
        <v>0</v>
      </c>
      <c r="AQ11" s="1005">
        <f>SUM(AQ9:AQ10)</f>
        <v>0</v>
      </c>
    </row>
    <row r="12" spans="1:43" s="968" customFormat="1" ht="3.75" customHeight="1" x14ac:dyDescent="0.3">
      <c r="D12" s="1007"/>
      <c r="E12" s="970"/>
      <c r="F12" s="1008"/>
      <c r="G12" s="970"/>
      <c r="H12" s="970"/>
      <c r="I12" s="970"/>
      <c r="J12" s="970"/>
      <c r="K12" s="970"/>
      <c r="L12" s="970"/>
      <c r="M12" s="970"/>
      <c r="N12" s="970"/>
      <c r="O12" s="970"/>
      <c r="P12" s="970"/>
      <c r="Q12" s="970"/>
      <c r="R12" s="970"/>
      <c r="S12" s="970"/>
      <c r="T12" s="977"/>
      <c r="U12" s="988"/>
      <c r="V12" s="987"/>
      <c r="W12" s="986"/>
      <c r="X12" s="981"/>
      <c r="Y12" s="988"/>
      <c r="Z12" s="987"/>
      <c r="AA12" s="987"/>
      <c r="AB12" s="989"/>
      <c r="AC12" s="973"/>
      <c r="AD12" s="988"/>
      <c r="AE12" s="987"/>
      <c r="AF12" s="987"/>
      <c r="AG12" s="987"/>
      <c r="AH12" s="987"/>
      <c r="AI12" s="987"/>
      <c r="AJ12" s="987"/>
      <c r="AK12" s="987"/>
      <c r="AL12" s="987"/>
      <c r="AM12" s="987"/>
      <c r="AN12" s="987"/>
      <c r="AO12" s="987"/>
      <c r="AP12" s="987"/>
      <c r="AQ12" s="989"/>
    </row>
    <row r="13" spans="1:43" s="968" customFormat="1" ht="15" customHeight="1" x14ac:dyDescent="0.3">
      <c r="A13" s="966" t="s">
        <v>2053</v>
      </c>
      <c r="B13" s="967"/>
      <c r="D13" s="1007">
        <v>0.1</v>
      </c>
      <c r="E13" s="970" t="s">
        <v>2054</v>
      </c>
      <c r="F13" s="1008" t="s">
        <v>2055</v>
      </c>
      <c r="G13" s="970" t="s">
        <v>2056</v>
      </c>
      <c r="H13" s="970" t="s">
        <v>2057</v>
      </c>
      <c r="I13" s="970" t="s">
        <v>2043</v>
      </c>
      <c r="J13" s="973">
        <v>0</v>
      </c>
      <c r="K13" s="1009" t="s">
        <v>2043</v>
      </c>
      <c r="L13" s="1010" t="s">
        <v>2043</v>
      </c>
      <c r="M13" s="1009" t="s">
        <v>2058</v>
      </c>
      <c r="N13" s="1010">
        <v>1</v>
      </c>
      <c r="O13" s="1011" t="s">
        <v>2059</v>
      </c>
      <c r="P13" s="970" t="s">
        <v>2060</v>
      </c>
      <c r="Q13" s="970" t="s">
        <v>2061</v>
      </c>
      <c r="R13" s="970" t="s">
        <v>2062</v>
      </c>
      <c r="S13" s="970" t="s">
        <v>2063</v>
      </c>
      <c r="T13" s="977"/>
      <c r="U13" s="988"/>
      <c r="V13" s="987"/>
      <c r="W13" s="986"/>
      <c r="X13" s="981"/>
      <c r="Y13" s="988"/>
      <c r="Z13" s="987"/>
      <c r="AA13" s="987"/>
      <c r="AB13" s="989"/>
      <c r="AC13" s="973"/>
      <c r="AD13" s="988"/>
      <c r="AE13" s="987"/>
      <c r="AF13" s="987"/>
      <c r="AG13" s="987"/>
      <c r="AH13" s="987"/>
      <c r="AI13" s="987"/>
      <c r="AJ13" s="987"/>
      <c r="AK13" s="987"/>
      <c r="AL13" s="987"/>
      <c r="AM13" s="987"/>
      <c r="AN13" s="987"/>
      <c r="AO13" s="987"/>
      <c r="AP13" s="987"/>
      <c r="AQ13" s="989"/>
    </row>
    <row r="14" spans="1:43" s="968" customFormat="1" ht="15.75" customHeight="1" outlineLevel="1" x14ac:dyDescent="0.3">
      <c r="A14" s="1012" t="s">
        <v>94</v>
      </c>
      <c r="B14" s="983" t="s">
        <v>2064</v>
      </c>
      <c r="D14" s="969"/>
      <c r="E14" s="970"/>
      <c r="F14" s="1008"/>
      <c r="G14" s="970"/>
      <c r="H14" s="1013"/>
      <c r="I14" s="972"/>
      <c r="J14" s="973"/>
      <c r="K14" s="973"/>
      <c r="L14" s="973"/>
      <c r="M14" s="973"/>
      <c r="N14" s="973"/>
      <c r="O14" s="973"/>
      <c r="P14" s="973"/>
      <c r="Q14" s="973"/>
      <c r="R14" s="973"/>
      <c r="S14" s="973"/>
      <c r="T14" s="977"/>
      <c r="U14" s="988">
        <f>'Bilan-par flux'!U172</f>
        <v>0</v>
      </c>
      <c r="V14" s="987">
        <f>'Bilan-par flux'!E172</f>
        <v>0</v>
      </c>
      <c r="W14" s="986">
        <f>+U14-V14</f>
        <v>0</v>
      </c>
      <c r="X14" s="981"/>
      <c r="Y14" s="988">
        <v>879.58279454860167</v>
      </c>
      <c r="Z14" s="987"/>
      <c r="AA14" s="987"/>
      <c r="AB14" s="989">
        <f>W14-SUM(Y14:AA14)</f>
        <v>-879.58279454860167</v>
      </c>
      <c r="AC14" s="973"/>
      <c r="AD14" s="988">
        <v>81160.022467000003</v>
      </c>
      <c r="AE14" s="987"/>
      <c r="AF14" s="987"/>
      <c r="AG14" s="987"/>
      <c r="AH14" s="987"/>
      <c r="AI14" s="987"/>
      <c r="AJ14" s="987"/>
      <c r="AK14" s="987"/>
      <c r="AL14" s="987"/>
      <c r="AM14" s="987"/>
      <c r="AN14" s="987"/>
      <c r="AO14" s="987"/>
      <c r="AP14" s="987"/>
      <c r="AQ14" s="989"/>
    </row>
    <row r="15" spans="1:43" s="968" customFormat="1" ht="15.75" customHeight="1" outlineLevel="1" x14ac:dyDescent="0.3">
      <c r="A15" s="1012" t="s">
        <v>94</v>
      </c>
      <c r="B15" s="983"/>
      <c r="D15" s="969"/>
      <c r="E15" s="970"/>
      <c r="F15" s="1008"/>
      <c r="G15" s="970"/>
      <c r="H15" s="1013"/>
      <c r="I15" s="972"/>
      <c r="J15" s="973"/>
      <c r="K15" s="973"/>
      <c r="L15" s="973"/>
      <c r="M15" s="973"/>
      <c r="N15" s="973"/>
      <c r="O15" s="973"/>
      <c r="P15" s="973"/>
      <c r="Q15" s="973"/>
      <c r="R15" s="973"/>
      <c r="S15" s="973"/>
      <c r="T15" s="977"/>
      <c r="U15" s="988"/>
      <c r="V15" s="987"/>
      <c r="W15" s="986">
        <f>+U15-V15</f>
        <v>0</v>
      </c>
      <c r="X15" s="981"/>
      <c r="Y15" s="988"/>
      <c r="Z15" s="987"/>
      <c r="AA15" s="987"/>
      <c r="AB15" s="989">
        <f>W15-SUM(Y15:AA15)</f>
        <v>0</v>
      </c>
      <c r="AC15" s="973"/>
      <c r="AD15" s="988"/>
      <c r="AE15" s="987"/>
      <c r="AF15" s="987"/>
      <c r="AG15" s="987"/>
      <c r="AH15" s="987"/>
      <c r="AI15" s="987"/>
      <c r="AJ15" s="987"/>
      <c r="AK15" s="987"/>
      <c r="AL15" s="987"/>
      <c r="AM15" s="987"/>
      <c r="AN15" s="987"/>
      <c r="AO15" s="987"/>
      <c r="AP15" s="987"/>
      <c r="AQ15" s="989"/>
    </row>
    <row r="16" spans="1:43" s="1014" customFormat="1" ht="20.100000000000001" customHeight="1" x14ac:dyDescent="0.3">
      <c r="A16" s="990"/>
      <c r="B16" s="991" t="s">
        <v>2065</v>
      </c>
      <c r="D16" s="993"/>
      <c r="E16" s="994"/>
      <c r="F16" s="995"/>
      <c r="G16" s="994"/>
      <c r="H16" s="994"/>
      <c r="I16" s="994"/>
      <c r="J16" s="994"/>
      <c r="K16" s="994"/>
      <c r="L16" s="994"/>
      <c r="M16" s="994"/>
      <c r="N16" s="996"/>
      <c r="O16" s="997"/>
      <c r="P16" s="997"/>
      <c r="Q16" s="997"/>
      <c r="R16" s="997"/>
      <c r="S16" s="997"/>
      <c r="T16" s="1015"/>
      <c r="U16" s="999">
        <f>SUM(U14:U15)</f>
        <v>0</v>
      </c>
      <c r="V16" s="1000">
        <f>SUM(V14:V15)</f>
        <v>0</v>
      </c>
      <c r="W16" s="1001">
        <f>U16-V16</f>
        <v>0</v>
      </c>
      <c r="X16" s="1002"/>
      <c r="Y16" s="1003">
        <f>SUM(Y14:Y15)</f>
        <v>879.58279454860167</v>
      </c>
      <c r="Z16" s="1004">
        <f>SUM(Z14:Z15)</f>
        <v>0</v>
      </c>
      <c r="AA16" s="1004">
        <f>SUM(AA14:AA15)</f>
        <v>0</v>
      </c>
      <c r="AB16" s="1005">
        <f>SUM(AB14:AB15)</f>
        <v>-879.58279454860167</v>
      </c>
      <c r="AC16" s="1006"/>
      <c r="AD16" s="1003">
        <f>SUM(AD14:AD15)</f>
        <v>81160.022467000003</v>
      </c>
      <c r="AE16" s="1004">
        <f>SUM(AE14:AE15)</f>
        <v>0</v>
      </c>
      <c r="AF16" s="1004">
        <f t="shared" ref="AF16:AN16" si="1">SUM(AF14:AF15)</f>
        <v>0</v>
      </c>
      <c r="AG16" s="1004">
        <f t="shared" si="1"/>
        <v>0</v>
      </c>
      <c r="AH16" s="1004">
        <f t="shared" si="1"/>
        <v>0</v>
      </c>
      <c r="AI16" s="1004">
        <f t="shared" si="1"/>
        <v>0</v>
      </c>
      <c r="AJ16" s="1004">
        <f t="shared" si="1"/>
        <v>0</v>
      </c>
      <c r="AK16" s="1004">
        <f t="shared" si="1"/>
        <v>0</v>
      </c>
      <c r="AL16" s="1004">
        <f t="shared" si="1"/>
        <v>0</v>
      </c>
      <c r="AM16" s="1004">
        <f t="shared" si="1"/>
        <v>0</v>
      </c>
      <c r="AN16" s="1004">
        <f t="shared" si="1"/>
        <v>0</v>
      </c>
      <c r="AO16" s="1004">
        <f>SUM(AO14:AO15)</f>
        <v>0</v>
      </c>
      <c r="AP16" s="1004">
        <f>SUM(AP14:AP15)</f>
        <v>0</v>
      </c>
      <c r="AQ16" s="1005">
        <f>SUM(AQ14:AQ15)</f>
        <v>0</v>
      </c>
    </row>
    <row r="17" spans="1:43" s="968" customFormat="1" x14ac:dyDescent="0.3">
      <c r="A17" s="966" t="s">
        <v>2066</v>
      </c>
      <c r="B17" s="967"/>
      <c r="D17" s="1007"/>
      <c r="E17" s="970"/>
      <c r="F17" s="1008"/>
      <c r="G17" s="970"/>
      <c r="H17" s="970"/>
      <c r="I17" s="970"/>
      <c r="J17" s="970"/>
      <c r="K17" s="970"/>
      <c r="L17" s="970"/>
      <c r="M17" s="970"/>
      <c r="N17" s="970"/>
      <c r="O17" s="970"/>
      <c r="P17" s="970"/>
      <c r="Q17" s="970"/>
      <c r="R17" s="970"/>
      <c r="S17" s="970"/>
      <c r="T17" s="977"/>
      <c r="U17" s="988"/>
      <c r="V17" s="987"/>
      <c r="W17" s="986"/>
      <c r="X17" s="981"/>
      <c r="Y17" s="988"/>
      <c r="Z17" s="987"/>
      <c r="AA17" s="987"/>
      <c r="AB17" s="989"/>
      <c r="AC17" s="973"/>
      <c r="AD17" s="988"/>
      <c r="AE17" s="987"/>
      <c r="AF17" s="987"/>
      <c r="AG17" s="987"/>
      <c r="AH17" s="987"/>
      <c r="AI17" s="987"/>
      <c r="AJ17" s="987"/>
      <c r="AK17" s="987"/>
      <c r="AL17" s="987"/>
      <c r="AM17" s="987"/>
      <c r="AN17" s="987"/>
      <c r="AO17" s="987"/>
      <c r="AP17" s="987"/>
      <c r="AQ17" s="989"/>
    </row>
    <row r="18" spans="1:43" s="968" customFormat="1" ht="15.75" customHeight="1" outlineLevel="1" x14ac:dyDescent="0.3">
      <c r="A18" s="1012" t="s">
        <v>1342</v>
      </c>
      <c r="B18" s="983"/>
      <c r="D18" s="1007"/>
      <c r="E18" s="970"/>
      <c r="F18" s="1008"/>
      <c r="G18" s="970"/>
      <c r="H18" s="970"/>
      <c r="I18" s="972"/>
      <c r="J18" s="973"/>
      <c r="K18" s="973"/>
      <c r="L18" s="973"/>
      <c r="M18" s="970"/>
      <c r="N18" s="970"/>
      <c r="O18" s="970"/>
      <c r="P18" s="970"/>
      <c r="Q18" s="970"/>
      <c r="R18" s="970"/>
      <c r="S18" s="970"/>
      <c r="T18" s="977"/>
      <c r="U18" s="988"/>
      <c r="V18" s="987"/>
      <c r="W18" s="986">
        <f>+U18-V18</f>
        <v>0</v>
      </c>
      <c r="X18" s="981"/>
      <c r="Y18" s="988"/>
      <c r="Z18" s="987"/>
      <c r="AA18" s="987"/>
      <c r="AB18" s="989">
        <f>W18-SUM(Y18:AA18)</f>
        <v>0</v>
      </c>
      <c r="AC18" s="973"/>
      <c r="AD18" s="988"/>
      <c r="AE18" s="987"/>
      <c r="AF18" s="987"/>
      <c r="AG18" s="987"/>
      <c r="AH18" s="987"/>
      <c r="AI18" s="987"/>
      <c r="AJ18" s="987"/>
      <c r="AK18" s="987"/>
      <c r="AL18" s="987"/>
      <c r="AM18" s="987"/>
      <c r="AN18" s="987"/>
      <c r="AO18" s="987"/>
      <c r="AP18" s="987"/>
      <c r="AQ18" s="989"/>
    </row>
    <row r="19" spans="1:43" s="968" customFormat="1" ht="15.75" customHeight="1" outlineLevel="1" x14ac:dyDescent="0.3">
      <c r="A19" s="1012" t="s">
        <v>1342</v>
      </c>
      <c r="B19" s="983"/>
      <c r="D19" s="1007"/>
      <c r="E19" s="970"/>
      <c r="F19" s="1008"/>
      <c r="G19" s="970"/>
      <c r="H19" s="970"/>
      <c r="I19" s="972"/>
      <c r="J19" s="973"/>
      <c r="K19" s="973"/>
      <c r="L19" s="973"/>
      <c r="M19" s="970"/>
      <c r="N19" s="970"/>
      <c r="O19" s="970"/>
      <c r="P19" s="970"/>
      <c r="Q19" s="970"/>
      <c r="R19" s="970"/>
      <c r="S19" s="970"/>
      <c r="T19" s="977"/>
      <c r="U19" s="988"/>
      <c r="V19" s="987"/>
      <c r="W19" s="986">
        <f>+U19-V19</f>
        <v>0</v>
      </c>
      <c r="X19" s="981"/>
      <c r="Y19" s="988"/>
      <c r="Z19" s="987"/>
      <c r="AA19" s="987"/>
      <c r="AB19" s="989">
        <f>W19-SUM(Y19:AA19)</f>
        <v>0</v>
      </c>
      <c r="AC19" s="973"/>
      <c r="AD19" s="988"/>
      <c r="AE19" s="987"/>
      <c r="AF19" s="987"/>
      <c r="AG19" s="987"/>
      <c r="AH19" s="987"/>
      <c r="AI19" s="987"/>
      <c r="AJ19" s="987"/>
      <c r="AK19" s="987"/>
      <c r="AL19" s="987"/>
      <c r="AM19" s="987"/>
      <c r="AN19" s="987"/>
      <c r="AO19" s="987"/>
      <c r="AP19" s="987"/>
      <c r="AQ19" s="989"/>
    </row>
    <row r="20" spans="1:43" s="1014" customFormat="1" ht="20.100000000000001" customHeight="1" x14ac:dyDescent="0.3">
      <c r="A20" s="990"/>
      <c r="B20" s="991" t="s">
        <v>2067</v>
      </c>
      <c r="D20" s="993"/>
      <c r="E20" s="994"/>
      <c r="F20" s="995"/>
      <c r="G20" s="994"/>
      <c r="H20" s="994"/>
      <c r="I20" s="994"/>
      <c r="J20" s="994"/>
      <c r="K20" s="994"/>
      <c r="L20" s="994"/>
      <c r="M20" s="994"/>
      <c r="N20" s="996"/>
      <c r="O20" s="997"/>
      <c r="P20" s="997"/>
      <c r="Q20" s="997"/>
      <c r="R20" s="997"/>
      <c r="S20" s="997"/>
      <c r="T20" s="1015"/>
      <c r="U20" s="999">
        <f>SUM(U18:U19)</f>
        <v>0</v>
      </c>
      <c r="V20" s="1000">
        <f>SUM(V18:V19)</f>
        <v>0</v>
      </c>
      <c r="W20" s="1001">
        <f>U20-V20</f>
        <v>0</v>
      </c>
      <c r="X20" s="1002"/>
      <c r="Y20" s="1003">
        <f>SUM(Y18:Y19)</f>
        <v>0</v>
      </c>
      <c r="Z20" s="1004">
        <f>SUM(Z18:Z19)</f>
        <v>0</v>
      </c>
      <c r="AA20" s="1004">
        <f>SUM(AA18:AA19)</f>
        <v>0</v>
      </c>
      <c r="AB20" s="1005">
        <f>SUM(AB18:AB19)</f>
        <v>0</v>
      </c>
      <c r="AC20" s="1006"/>
      <c r="AD20" s="1003">
        <f>SUM(AD18:AD19)</f>
        <v>0</v>
      </c>
      <c r="AE20" s="1004">
        <f>SUM(AE18:AE19)</f>
        <v>0</v>
      </c>
      <c r="AF20" s="1004">
        <f t="shared" ref="AF20:AN20" si="2">SUM(AF18:AF19)</f>
        <v>0</v>
      </c>
      <c r="AG20" s="1004">
        <f t="shared" si="2"/>
        <v>0</v>
      </c>
      <c r="AH20" s="1004">
        <f t="shared" si="2"/>
        <v>0</v>
      </c>
      <c r="AI20" s="1004">
        <f t="shared" si="2"/>
        <v>0</v>
      </c>
      <c r="AJ20" s="1004">
        <f t="shared" si="2"/>
        <v>0</v>
      </c>
      <c r="AK20" s="1004">
        <f t="shared" si="2"/>
        <v>0</v>
      </c>
      <c r="AL20" s="1004">
        <f t="shared" si="2"/>
        <v>0</v>
      </c>
      <c r="AM20" s="1004">
        <f t="shared" si="2"/>
        <v>0</v>
      </c>
      <c r="AN20" s="1004">
        <f t="shared" si="2"/>
        <v>0</v>
      </c>
      <c r="AO20" s="1004">
        <f>SUM(AO18:AO19)</f>
        <v>0</v>
      </c>
      <c r="AP20" s="1004">
        <f>SUM(AP18:AP19)</f>
        <v>0</v>
      </c>
      <c r="AQ20" s="1005">
        <f>SUM(AQ18:AQ19)</f>
        <v>0</v>
      </c>
    </row>
    <row r="21" spans="1:43" s="968" customFormat="1" ht="4.5" customHeight="1" x14ac:dyDescent="0.3">
      <c r="A21" s="1016"/>
      <c r="D21" s="1007"/>
      <c r="E21" s="970"/>
      <c r="F21" s="1008"/>
      <c r="G21" s="970"/>
      <c r="H21" s="970"/>
      <c r="I21" s="970"/>
      <c r="J21" s="970"/>
      <c r="K21" s="970"/>
      <c r="L21" s="970"/>
      <c r="M21" s="970"/>
      <c r="N21" s="970"/>
      <c r="O21" s="970"/>
      <c r="P21" s="970"/>
      <c r="Q21" s="970"/>
      <c r="R21" s="970"/>
      <c r="S21" s="970"/>
      <c r="T21" s="977"/>
      <c r="U21" s="988"/>
      <c r="V21" s="987"/>
      <c r="W21" s="986"/>
      <c r="X21" s="981"/>
      <c r="Y21" s="988"/>
      <c r="Z21" s="987"/>
      <c r="AA21" s="987"/>
      <c r="AB21" s="989"/>
      <c r="AC21" s="973"/>
      <c r="AD21" s="988"/>
      <c r="AE21" s="987"/>
      <c r="AF21" s="987"/>
      <c r="AG21" s="987"/>
      <c r="AH21" s="987"/>
      <c r="AI21" s="987"/>
      <c r="AJ21" s="987"/>
      <c r="AK21" s="987"/>
      <c r="AL21" s="987"/>
      <c r="AM21" s="987"/>
      <c r="AN21" s="987"/>
      <c r="AO21" s="987"/>
      <c r="AP21" s="987"/>
      <c r="AQ21" s="989"/>
    </row>
    <row r="22" spans="1:43" s="968" customFormat="1" x14ac:dyDescent="0.3">
      <c r="A22" s="966" t="s">
        <v>2068</v>
      </c>
      <c r="B22" s="967"/>
      <c r="D22" s="1007"/>
      <c r="E22" s="970"/>
      <c r="F22" s="1008"/>
      <c r="G22" s="970"/>
      <c r="H22" s="970"/>
      <c r="I22" s="970"/>
      <c r="M22" s="970"/>
      <c r="N22" s="970"/>
      <c r="O22" s="970"/>
      <c r="P22" s="970"/>
      <c r="Q22" s="970"/>
      <c r="R22" s="970"/>
      <c r="S22" s="970"/>
      <c r="T22" s="977"/>
      <c r="U22" s="988"/>
      <c r="V22" s="987"/>
      <c r="W22" s="986"/>
      <c r="X22" s="981"/>
      <c r="Y22" s="988"/>
      <c r="Z22" s="987"/>
      <c r="AA22" s="987"/>
      <c r="AB22" s="989"/>
      <c r="AC22" s="973"/>
      <c r="AD22" s="988"/>
      <c r="AE22" s="987"/>
      <c r="AF22" s="987"/>
      <c r="AG22" s="987"/>
      <c r="AH22" s="987"/>
      <c r="AI22" s="987"/>
      <c r="AJ22" s="987"/>
      <c r="AK22" s="987"/>
      <c r="AL22" s="987"/>
      <c r="AM22" s="987"/>
      <c r="AN22" s="987"/>
      <c r="AO22" s="987"/>
      <c r="AP22" s="987"/>
      <c r="AQ22" s="989"/>
    </row>
    <row r="23" spans="1:43" s="968" customFormat="1" outlineLevel="1" x14ac:dyDescent="0.3">
      <c r="A23" s="1012" t="s">
        <v>2069</v>
      </c>
      <c r="B23" s="983"/>
      <c r="D23" s="969"/>
      <c r="E23" s="970"/>
      <c r="F23" s="971"/>
      <c r="G23" s="969"/>
      <c r="H23" s="972"/>
      <c r="I23" s="972"/>
      <c r="J23" s="973"/>
      <c r="K23" s="973"/>
      <c r="L23" s="973"/>
      <c r="M23" s="973"/>
      <c r="N23" s="973"/>
      <c r="O23" s="973"/>
      <c r="P23" s="973"/>
      <c r="Q23" s="973"/>
      <c r="R23" s="973"/>
      <c r="S23" s="973"/>
      <c r="T23" s="977"/>
      <c r="U23" s="988"/>
      <c r="V23" s="987"/>
      <c r="W23" s="986">
        <f>+U23-V23</f>
        <v>0</v>
      </c>
      <c r="X23" s="987"/>
      <c r="Y23" s="988"/>
      <c r="Z23" s="987"/>
      <c r="AA23" s="987"/>
      <c r="AB23" s="989">
        <f>W23-SUM(Y23:AA23)</f>
        <v>0</v>
      </c>
      <c r="AC23" s="973"/>
      <c r="AD23" s="988"/>
      <c r="AE23" s="987"/>
      <c r="AF23" s="987"/>
      <c r="AG23" s="987"/>
      <c r="AH23" s="987"/>
      <c r="AI23" s="987"/>
      <c r="AJ23" s="987"/>
      <c r="AK23" s="987"/>
      <c r="AL23" s="987"/>
      <c r="AM23" s="987"/>
      <c r="AN23" s="987"/>
      <c r="AO23" s="987"/>
      <c r="AP23" s="987"/>
      <c r="AQ23" s="989"/>
    </row>
    <row r="24" spans="1:43" s="968" customFormat="1" outlineLevel="1" x14ac:dyDescent="0.3">
      <c r="A24" s="1012" t="s">
        <v>2070</v>
      </c>
      <c r="B24" s="983"/>
      <c r="D24" s="969"/>
      <c r="E24" s="970"/>
      <c r="F24" s="971"/>
      <c r="G24" s="969"/>
      <c r="H24" s="972"/>
      <c r="I24" s="972"/>
      <c r="J24" s="973"/>
      <c r="K24" s="973"/>
      <c r="L24" s="973"/>
      <c r="M24" s="973"/>
      <c r="N24" s="973"/>
      <c r="O24" s="973"/>
      <c r="P24" s="973"/>
      <c r="Q24" s="973"/>
      <c r="R24" s="973"/>
      <c r="S24" s="973"/>
      <c r="T24" s="977"/>
      <c r="U24" s="988"/>
      <c r="V24" s="987"/>
      <c r="W24" s="986">
        <f>+U24-V24</f>
        <v>0</v>
      </c>
      <c r="X24" s="987"/>
      <c r="Y24" s="988"/>
      <c r="Z24" s="987"/>
      <c r="AA24" s="987"/>
      <c r="AB24" s="989">
        <f>W24-SUM(Y24:AA24)</f>
        <v>0</v>
      </c>
      <c r="AC24" s="973"/>
      <c r="AD24" s="988"/>
      <c r="AE24" s="987"/>
      <c r="AF24" s="987"/>
      <c r="AG24" s="987"/>
      <c r="AH24" s="987"/>
      <c r="AI24" s="987"/>
      <c r="AJ24" s="987"/>
      <c r="AK24" s="987"/>
      <c r="AL24" s="987"/>
      <c r="AM24" s="987"/>
      <c r="AN24" s="987"/>
      <c r="AO24" s="987"/>
      <c r="AP24" s="987"/>
      <c r="AQ24" s="989"/>
    </row>
    <row r="25" spans="1:43" s="1014" customFormat="1" ht="20.100000000000001" customHeight="1" x14ac:dyDescent="0.3">
      <c r="A25" s="990"/>
      <c r="B25" s="991" t="s">
        <v>2071</v>
      </c>
      <c r="D25" s="993"/>
      <c r="E25" s="994"/>
      <c r="F25" s="995"/>
      <c r="G25" s="994"/>
      <c r="H25" s="994"/>
      <c r="I25" s="994"/>
      <c r="J25" s="994"/>
      <c r="K25" s="994"/>
      <c r="L25" s="994"/>
      <c r="M25" s="994"/>
      <c r="N25" s="996"/>
      <c r="O25" s="997"/>
      <c r="P25" s="997"/>
      <c r="Q25" s="997"/>
      <c r="R25" s="997"/>
      <c r="S25" s="997"/>
      <c r="T25" s="1015"/>
      <c r="U25" s="999">
        <f>SUM(U23:U24)</f>
        <v>0</v>
      </c>
      <c r="V25" s="1000">
        <f>SUM(V23:V24)</f>
        <v>0</v>
      </c>
      <c r="W25" s="1001">
        <f>U25-V25</f>
        <v>0</v>
      </c>
      <c r="X25" s="1002"/>
      <c r="Y25" s="1003">
        <f>SUM(Y23:Y24)</f>
        <v>0</v>
      </c>
      <c r="Z25" s="1004">
        <f>SUM(Z23:Z24)</f>
        <v>0</v>
      </c>
      <c r="AA25" s="1004">
        <f>SUM(AA23:AA24)</f>
        <v>0</v>
      </c>
      <c r="AB25" s="1005">
        <f>SUM(AB23:AB24)</f>
        <v>0</v>
      </c>
      <c r="AC25" s="1006"/>
      <c r="AD25" s="1003">
        <f>SUM(AD23:AD24)</f>
        <v>0</v>
      </c>
      <c r="AE25" s="1004">
        <f>SUM(AE23:AE24)</f>
        <v>0</v>
      </c>
      <c r="AF25" s="1004">
        <f t="shared" ref="AF25:AN25" si="3">SUM(AF23:AF24)</f>
        <v>0</v>
      </c>
      <c r="AG25" s="1004">
        <f t="shared" si="3"/>
        <v>0</v>
      </c>
      <c r="AH25" s="1004">
        <f t="shared" si="3"/>
        <v>0</v>
      </c>
      <c r="AI25" s="1004">
        <f t="shared" si="3"/>
        <v>0</v>
      </c>
      <c r="AJ25" s="1004">
        <f t="shared" si="3"/>
        <v>0</v>
      </c>
      <c r="AK25" s="1004">
        <f t="shared" si="3"/>
        <v>0</v>
      </c>
      <c r="AL25" s="1004">
        <f t="shared" si="3"/>
        <v>0</v>
      </c>
      <c r="AM25" s="1004">
        <f t="shared" si="3"/>
        <v>0</v>
      </c>
      <c r="AN25" s="1004">
        <f t="shared" si="3"/>
        <v>0</v>
      </c>
      <c r="AO25" s="1004">
        <f>SUM(AO23:AO24)</f>
        <v>0</v>
      </c>
      <c r="AP25" s="1004">
        <f>SUM(AP23:AP24)</f>
        <v>0</v>
      </c>
      <c r="AQ25" s="1005">
        <f>SUM(AQ23:AQ24)</f>
        <v>0</v>
      </c>
    </row>
    <row r="26" spans="1:43" s="968" customFormat="1" x14ac:dyDescent="0.25">
      <c r="A26" s="966" t="s">
        <v>2072</v>
      </c>
      <c r="B26" s="967"/>
      <c r="D26" s="1017">
        <v>9.9504937999999998E-3</v>
      </c>
      <c r="E26" s="970" t="s">
        <v>2054</v>
      </c>
      <c r="F26" s="1008" t="s">
        <v>2073</v>
      </c>
      <c r="G26" s="970" t="s">
        <v>2074</v>
      </c>
      <c r="H26" s="970" t="s">
        <v>2075</v>
      </c>
      <c r="I26" s="972" t="s">
        <v>2043</v>
      </c>
      <c r="J26" s="973">
        <v>0</v>
      </c>
      <c r="K26" s="1009" t="s">
        <v>2043</v>
      </c>
      <c r="L26" s="1010" t="s">
        <v>2043</v>
      </c>
      <c r="M26" s="970" t="s">
        <v>2076</v>
      </c>
      <c r="N26" s="1010">
        <v>1</v>
      </c>
      <c r="O26" s="1018" t="s">
        <v>2077</v>
      </c>
      <c r="P26" s="970" t="s">
        <v>2078</v>
      </c>
      <c r="Q26" s="970" t="s">
        <v>2061</v>
      </c>
      <c r="R26" s="970" t="s">
        <v>2079</v>
      </c>
      <c r="S26" s="970" t="s">
        <v>2080</v>
      </c>
      <c r="T26" s="977"/>
      <c r="U26" s="988"/>
      <c r="V26" s="987"/>
      <c r="W26" s="986"/>
      <c r="X26" s="981"/>
      <c r="Y26" s="988"/>
      <c r="Z26" s="987"/>
      <c r="AA26" s="987"/>
      <c r="AB26" s="989"/>
      <c r="AC26" s="973"/>
      <c r="AD26" s="988"/>
      <c r="AE26" s="987"/>
      <c r="AF26" s="987"/>
      <c r="AG26" s="987"/>
      <c r="AH26" s="987"/>
      <c r="AI26" s="987"/>
      <c r="AJ26" s="987"/>
      <c r="AK26" s="987"/>
      <c r="AL26" s="987"/>
      <c r="AM26" s="987"/>
      <c r="AN26" s="987"/>
      <c r="AO26" s="987"/>
      <c r="AP26" s="987"/>
      <c r="AQ26" s="989"/>
    </row>
    <row r="27" spans="1:43" s="968" customFormat="1" ht="15.75" customHeight="1" outlineLevel="1" x14ac:dyDescent="0.3">
      <c r="A27" s="1012" t="s">
        <v>1347</v>
      </c>
      <c r="B27" s="983" t="s">
        <v>2081</v>
      </c>
      <c r="D27" s="969"/>
      <c r="E27" s="970"/>
      <c r="F27" s="1008"/>
      <c r="G27" s="970"/>
      <c r="H27" s="1013"/>
      <c r="I27" s="972"/>
      <c r="J27" s="973"/>
      <c r="K27" s="973"/>
      <c r="L27" s="973"/>
      <c r="M27" s="973"/>
      <c r="N27" s="973"/>
      <c r="O27" s="973"/>
      <c r="P27" s="973"/>
      <c r="Q27" s="973"/>
      <c r="R27" s="973"/>
      <c r="S27" s="973"/>
      <c r="T27" s="977"/>
      <c r="U27" s="988">
        <f>'Bilan-par flux'!U176</f>
        <v>188.25787299999999</v>
      </c>
      <c r="V27" s="987">
        <f>'Bilan-par flux'!E176</f>
        <v>376.51574599999998</v>
      </c>
      <c r="W27" s="986">
        <f>+U27-V27</f>
        <v>-188.25787299999999</v>
      </c>
      <c r="X27" s="981"/>
      <c r="Y27" s="988"/>
      <c r="Z27" s="987"/>
      <c r="AA27" s="987"/>
      <c r="AB27" s="989">
        <f>W27-SUM(Y27:AA27)</f>
        <v>-188.25787299999999</v>
      </c>
      <c r="AC27" s="973"/>
      <c r="AD27" s="988"/>
      <c r="AE27" s="987"/>
      <c r="AF27" s="987"/>
      <c r="AG27" s="987"/>
      <c r="AH27" s="987"/>
      <c r="AI27" s="987">
        <v>94.128936499999995</v>
      </c>
      <c r="AJ27" s="987"/>
      <c r="AK27" s="987">
        <v>94.128936499999995</v>
      </c>
      <c r="AL27" s="987"/>
      <c r="AM27" s="987">
        <v>94.128936499999995</v>
      </c>
      <c r="AN27" s="987"/>
      <c r="AO27" s="987">
        <v>94.128936499999995</v>
      </c>
      <c r="AP27" s="987">
        <f>94.1289365*4</f>
        <v>376.51574599999998</v>
      </c>
      <c r="AQ27" s="987">
        <f>94.1289365*6</f>
        <v>564.77361899999994</v>
      </c>
    </row>
    <row r="28" spans="1:43" s="968" customFormat="1" ht="15.75" customHeight="1" outlineLevel="1" x14ac:dyDescent="0.3">
      <c r="A28" s="1012" t="s">
        <v>1347</v>
      </c>
      <c r="B28" s="983"/>
      <c r="D28" s="969"/>
      <c r="E28" s="970"/>
      <c r="F28" s="1008"/>
      <c r="G28" s="970"/>
      <c r="H28" s="1013"/>
      <c r="I28" s="972"/>
      <c r="J28" s="973"/>
      <c r="K28" s="973"/>
      <c r="L28" s="973"/>
      <c r="M28" s="973"/>
      <c r="N28" s="973"/>
      <c r="O28" s="973"/>
      <c r="P28" s="973"/>
      <c r="Q28" s="973"/>
      <c r="R28" s="973"/>
      <c r="S28" s="973"/>
      <c r="T28" s="977"/>
      <c r="U28" s="988"/>
      <c r="V28" s="987"/>
      <c r="W28" s="986">
        <f>+U28-V28</f>
        <v>0</v>
      </c>
      <c r="X28" s="981"/>
      <c r="Y28" s="988"/>
      <c r="Z28" s="987"/>
      <c r="AA28" s="987"/>
      <c r="AB28" s="989">
        <f>W28-SUM(Y28:AA28)</f>
        <v>0</v>
      </c>
      <c r="AC28" s="973"/>
      <c r="AD28" s="988"/>
      <c r="AE28" s="987"/>
      <c r="AF28" s="987"/>
      <c r="AG28" s="987"/>
      <c r="AH28" s="987"/>
      <c r="AI28" s="987"/>
      <c r="AJ28" s="987"/>
      <c r="AK28" s="987"/>
      <c r="AL28" s="987"/>
      <c r="AM28" s="987"/>
      <c r="AN28" s="987"/>
      <c r="AO28" s="987"/>
      <c r="AP28" s="987"/>
      <c r="AQ28" s="989"/>
    </row>
    <row r="29" spans="1:43" s="1014" customFormat="1" ht="20.100000000000001" customHeight="1" x14ac:dyDescent="0.3">
      <c r="A29" s="990"/>
      <c r="B29" s="991" t="s">
        <v>1348</v>
      </c>
      <c r="D29" s="993"/>
      <c r="E29" s="994"/>
      <c r="F29" s="995"/>
      <c r="G29" s="994"/>
      <c r="H29" s="994"/>
      <c r="I29" s="994"/>
      <c r="J29" s="994"/>
      <c r="K29" s="994"/>
      <c r="L29" s="994"/>
      <c r="M29" s="994"/>
      <c r="N29" s="996"/>
      <c r="O29" s="997"/>
      <c r="P29" s="997"/>
      <c r="Q29" s="997"/>
      <c r="R29" s="997"/>
      <c r="S29" s="997"/>
      <c r="T29" s="1015"/>
      <c r="U29" s="1019">
        <f>SUM(U27:U28)</f>
        <v>188.25787299999999</v>
      </c>
      <c r="V29" s="1020">
        <f>SUM(V27:V28)</f>
        <v>376.51574599999998</v>
      </c>
      <c r="W29" s="1021">
        <f>U29-V29</f>
        <v>-188.25787299999999</v>
      </c>
      <c r="X29" s="1002"/>
      <c r="Y29" s="1022">
        <f>SUM(Y27:Y28)</f>
        <v>0</v>
      </c>
      <c r="Z29" s="1023">
        <f>SUM(Z27:Z28)</f>
        <v>0</v>
      </c>
      <c r="AA29" s="1023">
        <f>SUM(AA27:AA28)</f>
        <v>0</v>
      </c>
      <c r="AB29" s="1024">
        <f>SUM(AB27:AB28)</f>
        <v>-188.25787299999999</v>
      </c>
      <c r="AC29" s="1006"/>
      <c r="AD29" s="1022">
        <f>SUM(AD27:AD28)</f>
        <v>0</v>
      </c>
      <c r="AE29" s="1023">
        <f>SUM(AE27:AE28)</f>
        <v>0</v>
      </c>
      <c r="AF29" s="1023">
        <f t="shared" ref="AF29:AN29" si="4">SUM(AF27:AF28)</f>
        <v>0</v>
      </c>
      <c r="AG29" s="1023">
        <f t="shared" si="4"/>
        <v>0</v>
      </c>
      <c r="AH29" s="1023">
        <f t="shared" si="4"/>
        <v>0</v>
      </c>
      <c r="AI29" s="1023">
        <f t="shared" si="4"/>
        <v>94.128936499999995</v>
      </c>
      <c r="AJ29" s="1023">
        <f t="shared" si="4"/>
        <v>0</v>
      </c>
      <c r="AK29" s="1023">
        <f t="shared" si="4"/>
        <v>94.128936499999995</v>
      </c>
      <c r="AL29" s="1023">
        <f t="shared" si="4"/>
        <v>0</v>
      </c>
      <c r="AM29" s="1023">
        <f t="shared" si="4"/>
        <v>94.128936499999995</v>
      </c>
      <c r="AN29" s="1023">
        <f t="shared" si="4"/>
        <v>0</v>
      </c>
      <c r="AO29" s="1023">
        <f>SUM(AO27:AO28)</f>
        <v>94.128936499999995</v>
      </c>
      <c r="AP29" s="1023">
        <f>SUM(AP27:AP28)</f>
        <v>376.51574599999998</v>
      </c>
      <c r="AQ29" s="1024">
        <f>SUM(AQ27:AQ28)</f>
        <v>564.77361899999994</v>
      </c>
    </row>
    <row r="30" spans="1:43" s="968" customFormat="1" hidden="1" x14ac:dyDescent="0.3">
      <c r="A30" s="967" t="s">
        <v>2082</v>
      </c>
      <c r="B30" s="967"/>
      <c r="D30" s="1007"/>
      <c r="E30" s="970"/>
      <c r="F30" s="1008"/>
      <c r="G30" s="970"/>
      <c r="H30" s="970"/>
      <c r="I30" s="970"/>
      <c r="J30" s="970"/>
      <c r="K30" s="970"/>
      <c r="L30" s="970"/>
      <c r="M30" s="970"/>
      <c r="N30" s="970"/>
      <c r="O30" s="970"/>
      <c r="P30" s="970"/>
      <c r="Q30" s="970"/>
      <c r="R30" s="970"/>
      <c r="S30" s="970"/>
      <c r="T30" s="977"/>
      <c r="U30" s="1025"/>
      <c r="V30" s="1026"/>
      <c r="W30" s="1027"/>
      <c r="X30" s="1028"/>
      <c r="Y30" s="1025"/>
      <c r="Z30" s="1026"/>
      <c r="AA30" s="1026"/>
      <c r="AB30" s="1029"/>
      <c r="AC30" s="973"/>
      <c r="AD30" s="1025"/>
      <c r="AE30" s="1026"/>
      <c r="AF30" s="1026"/>
      <c r="AG30" s="1026"/>
      <c r="AH30" s="1026"/>
      <c r="AI30" s="1026"/>
      <c r="AJ30" s="1026"/>
      <c r="AK30" s="1026"/>
      <c r="AL30" s="1026"/>
      <c r="AM30" s="1026"/>
      <c r="AN30" s="1026"/>
      <c r="AO30" s="1026"/>
      <c r="AP30" s="1026"/>
      <c r="AQ30" s="1029"/>
    </row>
    <row r="31" spans="1:43" s="1014" customFormat="1" hidden="1" x14ac:dyDescent="0.3">
      <c r="A31" s="1030"/>
      <c r="B31" s="1031" t="s">
        <v>2083</v>
      </c>
      <c r="D31" s="1032"/>
      <c r="E31" s="1033"/>
      <c r="F31" s="1034"/>
      <c r="G31" s="1033"/>
      <c r="H31" s="1033"/>
      <c r="I31" s="1033"/>
      <c r="J31" s="1033"/>
      <c r="K31" s="1033"/>
      <c r="L31" s="1033"/>
      <c r="M31" s="1033"/>
      <c r="N31" s="1035"/>
      <c r="O31" s="997"/>
      <c r="P31" s="997"/>
      <c r="Q31" s="997"/>
      <c r="R31" s="997"/>
      <c r="S31" s="997"/>
      <c r="T31" s="1015"/>
      <c r="U31" s="1036" t="e">
        <f>SUM(#REF!)</f>
        <v>#REF!</v>
      </c>
      <c r="V31" s="1037" t="e">
        <f>SUM(#REF!)</f>
        <v>#REF!</v>
      </c>
      <c r="W31" s="1038" t="e">
        <f>SUM(#REF!)</f>
        <v>#REF!</v>
      </c>
      <c r="X31" s="1002"/>
      <c r="Y31" s="1036" t="e">
        <f>SUM(#REF!)</f>
        <v>#REF!</v>
      </c>
      <c r="Z31" s="1037" t="e">
        <f>SUM(#REF!)</f>
        <v>#REF!</v>
      </c>
      <c r="AA31" s="1037" t="e">
        <f>SUM(#REF!)</f>
        <v>#REF!</v>
      </c>
      <c r="AB31" s="1039" t="e">
        <f>SUM(#REF!)</f>
        <v>#REF!</v>
      </c>
      <c r="AC31" s="1006"/>
      <c r="AD31" s="1036"/>
      <c r="AE31" s="1037"/>
      <c r="AF31" s="1037"/>
      <c r="AG31" s="1037"/>
      <c r="AH31" s="1037"/>
      <c r="AI31" s="1037"/>
      <c r="AJ31" s="1037"/>
      <c r="AK31" s="1037"/>
      <c r="AL31" s="1037"/>
      <c r="AM31" s="1037"/>
      <c r="AN31" s="1037"/>
      <c r="AO31" s="1037"/>
      <c r="AP31" s="1037"/>
      <c r="AQ31" s="1039"/>
    </row>
    <row r="32" spans="1:43" s="968" customFormat="1" ht="13.5" customHeight="1" thickBot="1" x14ac:dyDescent="0.35">
      <c r="D32" s="1007"/>
      <c r="E32" s="970"/>
      <c r="F32" s="1008"/>
      <c r="G32" s="970"/>
      <c r="H32" s="970"/>
      <c r="I32" s="970"/>
      <c r="J32" s="970"/>
      <c r="K32" s="970"/>
      <c r="L32" s="970"/>
      <c r="M32" s="970"/>
      <c r="N32" s="970"/>
      <c r="O32" s="970"/>
      <c r="P32" s="970"/>
      <c r="Q32" s="970"/>
      <c r="R32" s="970"/>
      <c r="S32" s="970"/>
      <c r="T32" s="970"/>
      <c r="U32" s="1026"/>
      <c r="V32" s="1026"/>
      <c r="W32" s="1026"/>
      <c r="X32" s="1026"/>
      <c r="Y32" s="1026"/>
      <c r="Z32" s="1026"/>
      <c r="AA32" s="1026"/>
      <c r="AB32" s="1026"/>
      <c r="AC32" s="970"/>
      <c r="AD32" s="1026"/>
      <c r="AE32" s="1026"/>
      <c r="AF32" s="1026"/>
      <c r="AG32" s="1026"/>
      <c r="AH32" s="1026"/>
      <c r="AI32" s="1026"/>
      <c r="AJ32" s="1026"/>
      <c r="AK32" s="1026"/>
      <c r="AL32" s="1026"/>
      <c r="AM32" s="1026"/>
      <c r="AN32" s="1026"/>
      <c r="AO32" s="1026"/>
      <c r="AP32" s="1026"/>
      <c r="AQ32" s="1026"/>
    </row>
    <row r="33" spans="1:43" s="1014" customFormat="1" ht="21" customHeight="1" thickBot="1" x14ac:dyDescent="0.35">
      <c r="A33" s="1995" t="s">
        <v>48</v>
      </c>
      <c r="B33" s="1995"/>
      <c r="D33" s="1040"/>
      <c r="E33" s="1041"/>
      <c r="F33" s="1041"/>
      <c r="G33" s="1041"/>
      <c r="H33" s="1041"/>
      <c r="I33" s="1041"/>
      <c r="J33" s="1041"/>
      <c r="K33" s="1041"/>
      <c r="L33" s="1041"/>
      <c r="M33" s="1041"/>
      <c r="N33" s="1042"/>
      <c r="O33" s="997"/>
      <c r="P33" s="997"/>
      <c r="Q33" s="997"/>
      <c r="R33" s="997"/>
      <c r="S33" s="997"/>
      <c r="T33" s="1015"/>
      <c r="U33" s="1043">
        <f>SUM(U29,U25,U20,U16,U11)</f>
        <v>30487.085190394238</v>
      </c>
      <c r="V33" s="1044">
        <f>SUM(V29,V25,V20,V16,V11)</f>
        <v>37979.592807394241</v>
      </c>
      <c r="W33" s="1045">
        <f>SUM(W29,W25,W20,W16,W11)</f>
        <v>-7492.5076170000038</v>
      </c>
      <c r="X33" s="1002"/>
      <c r="Y33" s="1043">
        <f>SUM(Y29,Y25,Y20,Y16,Y11)</f>
        <v>879.58279454860167</v>
      </c>
      <c r="Z33" s="1044">
        <f>SUM(Z29,Z25,Z20,Z16,Z11)</f>
        <v>0</v>
      </c>
      <c r="AA33" s="1044">
        <f>SUM(AA29,AA25,AA20,AA16,AA11)</f>
        <v>0</v>
      </c>
      <c r="AB33" s="1045">
        <f>SUM(AB29,AB25,AB20,AB16,AB11)</f>
        <v>-8372.0904115486064</v>
      </c>
      <c r="AC33" s="1006"/>
      <c r="AD33" s="1043">
        <f>SUM(AD29,AD25,AD20,AD16,AD11)</f>
        <v>81160.022467000003</v>
      </c>
      <c r="AE33" s="1044">
        <f>SUM(AE29,AE25,AE20,AE16,AE11)</f>
        <v>0</v>
      </c>
      <c r="AF33" s="1044">
        <f t="shared" ref="AF33:AN33" si="5">SUM(AF29,AF25,AF20,AF16,AF11)</f>
        <v>0</v>
      </c>
      <c r="AG33" s="1044">
        <f t="shared" si="5"/>
        <v>0</v>
      </c>
      <c r="AH33" s="1044">
        <f t="shared" si="5"/>
        <v>0</v>
      </c>
      <c r="AI33" s="1044">
        <f t="shared" si="5"/>
        <v>94.128936499999995</v>
      </c>
      <c r="AJ33" s="1044">
        <f t="shared" si="5"/>
        <v>0</v>
      </c>
      <c r="AK33" s="1044">
        <f t="shared" si="5"/>
        <v>94.128936499999995</v>
      </c>
      <c r="AL33" s="1044">
        <f t="shared" si="5"/>
        <v>0</v>
      </c>
      <c r="AM33" s="1044">
        <f t="shared" si="5"/>
        <v>94.128936499999995</v>
      </c>
      <c r="AN33" s="1044">
        <f t="shared" si="5"/>
        <v>0</v>
      </c>
      <c r="AO33" s="1044">
        <f>SUM(AO29,AO25,AO20,AO16,AO11)</f>
        <v>94.128936499999995</v>
      </c>
      <c r="AP33" s="1044">
        <f>SUM(AP29,AP25,AP20,AP16,AP11)</f>
        <v>376.51574599999998</v>
      </c>
      <c r="AQ33" s="1045">
        <f>SUM(AQ29,AQ25,AQ20,AQ16,AQ11)</f>
        <v>564.77361899999994</v>
      </c>
    </row>
    <row r="34" spans="1:43" s="968" customFormat="1" x14ac:dyDescent="0.3">
      <c r="D34" s="1046"/>
      <c r="E34" s="970"/>
      <c r="F34" s="1008"/>
      <c r="G34" s="970"/>
      <c r="H34" s="970"/>
      <c r="I34" s="970"/>
      <c r="J34" s="970"/>
      <c r="K34" s="970"/>
      <c r="L34" s="970"/>
      <c r="M34" s="970"/>
      <c r="N34" s="970"/>
      <c r="O34" s="970"/>
      <c r="P34" s="970"/>
      <c r="Q34" s="970"/>
      <c r="R34" s="970"/>
      <c r="S34" s="970"/>
      <c r="T34" s="977"/>
      <c r="U34" s="1047"/>
      <c r="V34" s="1047"/>
      <c r="W34" s="1047"/>
      <c r="X34" s="1048"/>
      <c r="Y34" s="1047"/>
      <c r="Z34" s="1047"/>
      <c r="AA34" s="1047"/>
      <c r="AB34" s="1049"/>
    </row>
    <row r="35" spans="1:43" s="968" customFormat="1" ht="20.100000000000001" customHeight="1" x14ac:dyDescent="0.3">
      <c r="D35" s="1046"/>
      <c r="E35" s="970"/>
      <c r="F35" s="1008"/>
      <c r="G35" s="970"/>
      <c r="H35" s="970"/>
      <c r="I35" s="970"/>
      <c r="J35" s="1996" t="s">
        <v>2084</v>
      </c>
      <c r="K35" s="1996"/>
      <c r="L35" s="1996"/>
      <c r="M35" s="1996"/>
      <c r="N35" s="1996"/>
      <c r="O35" s="1050"/>
      <c r="P35" s="1050"/>
      <c r="Q35" s="1050"/>
      <c r="R35" s="1050"/>
      <c r="S35" s="1050"/>
      <c r="T35" s="1051"/>
      <c r="U35" s="1052">
        <f>U33-'Bilan-par flux'!U177</f>
        <v>-1471.4829050000008</v>
      </c>
      <c r="V35" s="1052">
        <f>V33-'Bilan-par flux'!E177</f>
        <v>-816.1176639999976</v>
      </c>
      <c r="W35" s="1053"/>
      <c r="X35" s="1054"/>
      <c r="Y35" s="1053"/>
      <c r="Z35" s="1053"/>
      <c r="AA35" s="1053"/>
      <c r="AB35" s="1055"/>
      <c r="AM35" s="968">
        <f>SUM(AI27:AK27)</f>
        <v>188.25787299999999</v>
      </c>
    </row>
    <row r="36" spans="1:43" x14ac:dyDescent="0.3">
      <c r="B36" s="1056"/>
      <c r="C36" s="1056"/>
      <c r="D36" s="1056"/>
      <c r="E36" s="1056"/>
      <c r="F36" s="1056"/>
      <c r="G36" s="1056"/>
      <c r="H36" s="1056"/>
      <c r="I36" s="1056"/>
      <c r="J36" s="1056"/>
      <c r="K36" s="1056"/>
      <c r="L36" s="1056"/>
      <c r="M36" s="1056"/>
      <c r="N36" s="1056"/>
      <c r="O36" s="1056"/>
      <c r="P36" s="1056"/>
      <c r="Q36" s="1056"/>
      <c r="R36" s="1056"/>
      <c r="S36" s="1056"/>
      <c r="T36" s="1056"/>
      <c r="U36" s="1056"/>
      <c r="V36" s="1056"/>
      <c r="W36" s="1056"/>
      <c r="X36" s="1056"/>
      <c r="Y36" s="1056"/>
      <c r="Z36" s="1056"/>
      <c r="AA36" s="1056"/>
      <c r="AB36" s="965"/>
    </row>
    <row r="39" spans="1:43" x14ac:dyDescent="0.3">
      <c r="U39" s="948">
        <f>U9+U14+U27+'FND-Dettes fi à CT'!U9+'FND-Dettes fi à CT'!U14</f>
        <v>44987.106790672624</v>
      </c>
    </row>
    <row r="40" spans="1:43" x14ac:dyDescent="0.3">
      <c r="U40" s="948">
        <f>'FND-Dettes fi à CT'!U15+'FND-Dettes fi à CT'!U10</f>
        <v>692.693489</v>
      </c>
    </row>
  </sheetData>
  <sheetProtection formatCells="0" formatColumns="0" formatRows="0" insertColumns="0" insertRows="0"/>
  <mergeCells count="5">
    <mergeCell ref="A2:G2"/>
    <mergeCell ref="B3:G3"/>
    <mergeCell ref="AD5:AQ5"/>
    <mergeCell ref="A33:B33"/>
    <mergeCell ref="J35:N35"/>
  </mergeCells>
  <dataValidations count="3">
    <dataValidation type="list" allowBlank="1" showInputMessage="1" showErrorMessage="1" sqref="J9:L10 J14:L15 J18:L19 J23:L24 J27:L28 J8 J13" xr:uid="{00000000-0002-0000-1400-000000000000}">
      <formula1>"Batiments, Terrains, Equipements, Véhicules de transport, Immobilisations, Stock, Autres"</formula1>
    </dataValidation>
    <dataValidation type="list" allowBlank="1" showInputMessage="1" showErrorMessage="1" sqref="I8:I10 I14:I15 I18:I19 I23:I24 I26:I28" xr:uid="{00000000-0002-0000-1400-000001000000}">
      <formula1>"Oui,Non"</formula1>
    </dataValidation>
    <dataValidation type="list" allowBlank="1" showInputMessage="1" showErrorMessage="1" sqref="GOS14:GOS16 GYO14:GYO16 JQ9:JQ10 TM9:TM10 ADI9:ADI10 ANE9:ANE10 AXA9:AXA10 BGW9:BGW10 BQS9:BQS10 CAO9:CAO10 CKK9:CKK10 CUG9:CUG10 DEC9:DEC10 DNY9:DNY10 DXU9:DXU10 EHQ9:EHQ10 ERM9:ERM10 FBI9:FBI10 FLE9:FLE10 FVA9:FVA10 GEW9:GEW10 GOS9:GOS10 GYO9:GYO10 HIK9:HIK10 HSG9:HSG10 ICC9:ICC10 ILY9:ILY10 IVU9:IVU10 JFQ9:JFQ10 JPM9:JPM10 JZI9:JZI10 KJE9:KJE10 KTA9:KTA10 LCW9:LCW10 LMS9:LMS10 LWO9:LWO10 MGK9:MGK10 MQG9:MQG10 NAC9:NAC10 NJY9:NJY10 NTU9:NTU10 ODQ9:ODQ10 ONM9:ONM10 OXI9:OXI10 PHE9:PHE10 PRA9:PRA10 QAW9:QAW10 QKS9:QKS10 QUO9:QUO10 REK9:REK10 ROG9:ROG10 RYC9:RYC10 SHY9:SHY10 SRU9:SRU10 TBQ9:TBQ10 TLM9:TLM10 TVI9:TVI10 UFE9:UFE10 UPA9:UPA10 UYW9:UYW10 VIS9:VIS10 VSO9:VSO10 WCK9:WCK10 WMG9:WMG10 WWC9:WWC10 WWC983056:WWC983058 WMG983056:WMG983058 WCK983056:WCK983058 VSO983056:VSO983058 VIS983056:VIS983058 UYW983056:UYW983058 UPA983056:UPA983058 UFE983056:UFE983058 TVI983056:TVI983058 TLM983056:TLM983058 TBQ983056:TBQ983058 SRU983056:SRU983058 SHY983056:SHY983058 RYC983056:RYC983058 ROG983056:ROG983058 REK983056:REK983058 QUO983056:QUO983058 QKS983056:QKS983058 QAW983056:QAW983058 PRA983056:PRA983058 PHE983056:PHE983058 OXI983056:OXI983058 ONM983056:ONM983058 ODQ983056:ODQ983058 NTU983056:NTU983058 NJY983056:NJY983058 NAC983056:NAC983058 MQG983056:MQG983058 MGK983056:MGK983058 LWO983056:LWO983058 LMS983056:LMS983058 LCW983056:LCW983058 KTA983056:KTA983058 KJE983056:KJE983058 JZI983056:JZI983058 JPM983056:JPM983058 JFQ983056:JFQ983058 IVU983056:IVU983058 ILY983056:ILY983058 ICC983056:ICC983058 HSG983056:HSG983058 HIK983056:HIK983058 GYO983056:GYO983058 GOS983056:GOS983058 GEW983056:GEW983058 FVA983056:FVA983058 FLE983056:FLE983058 FBI983056:FBI983058 ERM983056:ERM983058 EHQ983056:EHQ983058 DXU983056:DXU983058 DNY983056:DNY983058 DEC983056:DEC983058 CUG983056:CUG983058 CKK983056:CKK983058 CAO983056:CAO983058 BQS983056:BQS983058 BGW983056:BGW983058 AXA983056:AXA983058 ANE983056:ANE983058 ADI983056:ADI983058 TM983056:TM983058 JQ983056:JQ983058 HIK14:HIK16 WWC917520:WWC917522 WMG917520:WMG917522 WCK917520:WCK917522 VSO917520:VSO917522 VIS917520:VIS917522 UYW917520:UYW917522 UPA917520:UPA917522 UFE917520:UFE917522 TVI917520:TVI917522 TLM917520:TLM917522 TBQ917520:TBQ917522 SRU917520:SRU917522 SHY917520:SHY917522 RYC917520:RYC917522 ROG917520:ROG917522 REK917520:REK917522 QUO917520:QUO917522 QKS917520:QKS917522 QAW917520:QAW917522 PRA917520:PRA917522 PHE917520:PHE917522 OXI917520:OXI917522 ONM917520:ONM917522 ODQ917520:ODQ917522 NTU917520:NTU917522 NJY917520:NJY917522 NAC917520:NAC917522 MQG917520:MQG917522 MGK917520:MGK917522 LWO917520:LWO917522 LMS917520:LMS917522 LCW917520:LCW917522 KTA917520:KTA917522 KJE917520:KJE917522 JZI917520:JZI917522 JPM917520:JPM917522 JFQ917520:JFQ917522 IVU917520:IVU917522 ILY917520:ILY917522 ICC917520:ICC917522 HSG917520:HSG917522 HIK917520:HIK917522 GYO917520:GYO917522 GOS917520:GOS917522 GEW917520:GEW917522 FVA917520:FVA917522 FLE917520:FLE917522 FBI917520:FBI917522 ERM917520:ERM917522 EHQ917520:EHQ917522 DXU917520:DXU917522 DNY917520:DNY917522 DEC917520:DEC917522 CUG917520:CUG917522 CKK917520:CKK917522 CAO917520:CAO917522 BQS917520:BQS917522 BGW917520:BGW917522 AXA917520:AXA917522 ANE917520:ANE917522 ADI917520:ADI917522 TM917520:TM917522 JQ917520:JQ917522 HSG14:HSG16 WWC851984:WWC851986 WMG851984:WMG851986 WCK851984:WCK851986 VSO851984:VSO851986 VIS851984:VIS851986 UYW851984:UYW851986 UPA851984:UPA851986 UFE851984:UFE851986 TVI851984:TVI851986 TLM851984:TLM851986 TBQ851984:TBQ851986 SRU851984:SRU851986 SHY851984:SHY851986 RYC851984:RYC851986 ROG851984:ROG851986 REK851984:REK851986 QUO851984:QUO851986 QKS851984:QKS851986 QAW851984:QAW851986 PRA851984:PRA851986 PHE851984:PHE851986 OXI851984:OXI851986 ONM851984:ONM851986 ODQ851984:ODQ851986 NTU851984:NTU851986 NJY851984:NJY851986 NAC851984:NAC851986 MQG851984:MQG851986 MGK851984:MGK851986 LWO851984:LWO851986 LMS851984:LMS851986 LCW851984:LCW851986 KTA851984:KTA851986 KJE851984:KJE851986 JZI851984:JZI851986 JPM851984:JPM851986 JFQ851984:JFQ851986 IVU851984:IVU851986 ILY851984:ILY851986 ICC851984:ICC851986 HSG851984:HSG851986 HIK851984:HIK851986 GYO851984:GYO851986 GOS851984:GOS851986 GEW851984:GEW851986 FVA851984:FVA851986 FLE851984:FLE851986 FBI851984:FBI851986 ERM851984:ERM851986 EHQ851984:EHQ851986 DXU851984:DXU851986 DNY851984:DNY851986 DEC851984:DEC851986 CUG851984:CUG851986 CKK851984:CKK851986 CAO851984:CAO851986 BQS851984:BQS851986 BGW851984:BGW851986 AXA851984:AXA851986 ANE851984:ANE851986 ADI851984:ADI851986 TM851984:TM851986 JQ851984:JQ851986 ICC14:ICC16 WWC786448:WWC786450 WMG786448:WMG786450 WCK786448:WCK786450 VSO786448:VSO786450 VIS786448:VIS786450 UYW786448:UYW786450 UPA786448:UPA786450 UFE786448:UFE786450 TVI786448:TVI786450 TLM786448:TLM786450 TBQ786448:TBQ786450 SRU786448:SRU786450 SHY786448:SHY786450 RYC786448:RYC786450 ROG786448:ROG786450 REK786448:REK786450 QUO786448:QUO786450 QKS786448:QKS786450 QAW786448:QAW786450 PRA786448:PRA786450 PHE786448:PHE786450 OXI786448:OXI786450 ONM786448:ONM786450 ODQ786448:ODQ786450 NTU786448:NTU786450 NJY786448:NJY786450 NAC786448:NAC786450 MQG786448:MQG786450 MGK786448:MGK786450 LWO786448:LWO786450 LMS786448:LMS786450 LCW786448:LCW786450 KTA786448:KTA786450 KJE786448:KJE786450 JZI786448:JZI786450 JPM786448:JPM786450 JFQ786448:JFQ786450 IVU786448:IVU786450 ILY786448:ILY786450 ICC786448:ICC786450 HSG786448:HSG786450 HIK786448:HIK786450 GYO786448:GYO786450 GOS786448:GOS786450 GEW786448:GEW786450 FVA786448:FVA786450 FLE786448:FLE786450 FBI786448:FBI786450 ERM786448:ERM786450 EHQ786448:EHQ786450 DXU786448:DXU786450 DNY786448:DNY786450 DEC786448:DEC786450 CUG786448:CUG786450 CKK786448:CKK786450 CAO786448:CAO786450 BQS786448:BQS786450 BGW786448:BGW786450 AXA786448:AXA786450 ANE786448:ANE786450 ADI786448:ADI786450 TM786448:TM786450 JQ786448:JQ786450 ILY14:ILY16 WWC720912:WWC720914 WMG720912:WMG720914 WCK720912:WCK720914 VSO720912:VSO720914 VIS720912:VIS720914 UYW720912:UYW720914 UPA720912:UPA720914 UFE720912:UFE720914 TVI720912:TVI720914 TLM720912:TLM720914 TBQ720912:TBQ720914 SRU720912:SRU720914 SHY720912:SHY720914 RYC720912:RYC720914 ROG720912:ROG720914 REK720912:REK720914 QUO720912:QUO720914 QKS720912:QKS720914 QAW720912:QAW720914 PRA720912:PRA720914 PHE720912:PHE720914 OXI720912:OXI720914 ONM720912:ONM720914 ODQ720912:ODQ720914 NTU720912:NTU720914 NJY720912:NJY720914 NAC720912:NAC720914 MQG720912:MQG720914 MGK720912:MGK720914 LWO720912:LWO720914 LMS720912:LMS720914 LCW720912:LCW720914 KTA720912:KTA720914 KJE720912:KJE720914 JZI720912:JZI720914 JPM720912:JPM720914 JFQ720912:JFQ720914 IVU720912:IVU720914 ILY720912:ILY720914 ICC720912:ICC720914 HSG720912:HSG720914 HIK720912:HIK720914 GYO720912:GYO720914 GOS720912:GOS720914 GEW720912:GEW720914 FVA720912:FVA720914 FLE720912:FLE720914 FBI720912:FBI720914 ERM720912:ERM720914 EHQ720912:EHQ720914 DXU720912:DXU720914 DNY720912:DNY720914 DEC720912:DEC720914 CUG720912:CUG720914 CKK720912:CKK720914 CAO720912:CAO720914 BQS720912:BQS720914 BGW720912:BGW720914 AXA720912:AXA720914 ANE720912:ANE720914 ADI720912:ADI720914 TM720912:TM720914 JQ720912:JQ720914 IVU14:IVU16 WWC655376:WWC655378 WMG655376:WMG655378 WCK655376:WCK655378 VSO655376:VSO655378 VIS655376:VIS655378 UYW655376:UYW655378 UPA655376:UPA655378 UFE655376:UFE655378 TVI655376:TVI655378 TLM655376:TLM655378 TBQ655376:TBQ655378 SRU655376:SRU655378 SHY655376:SHY655378 RYC655376:RYC655378 ROG655376:ROG655378 REK655376:REK655378 QUO655376:QUO655378 QKS655376:QKS655378 QAW655376:QAW655378 PRA655376:PRA655378 PHE655376:PHE655378 OXI655376:OXI655378 ONM655376:ONM655378 ODQ655376:ODQ655378 NTU655376:NTU655378 NJY655376:NJY655378 NAC655376:NAC655378 MQG655376:MQG655378 MGK655376:MGK655378 LWO655376:LWO655378 LMS655376:LMS655378 LCW655376:LCW655378 KTA655376:KTA655378 KJE655376:KJE655378 JZI655376:JZI655378 JPM655376:JPM655378 JFQ655376:JFQ655378 IVU655376:IVU655378 ILY655376:ILY655378 ICC655376:ICC655378 HSG655376:HSG655378 HIK655376:HIK655378 GYO655376:GYO655378 GOS655376:GOS655378 GEW655376:GEW655378 FVA655376:FVA655378 FLE655376:FLE655378 FBI655376:FBI655378 ERM655376:ERM655378 EHQ655376:EHQ655378 DXU655376:DXU655378 DNY655376:DNY655378 DEC655376:DEC655378 CUG655376:CUG655378 CKK655376:CKK655378 CAO655376:CAO655378 BQS655376:BQS655378 BGW655376:BGW655378 AXA655376:AXA655378 ANE655376:ANE655378 ADI655376:ADI655378 TM655376:TM655378 JQ655376:JQ655378 JFQ14:JFQ16 WWC589840:WWC589842 WMG589840:WMG589842 WCK589840:WCK589842 VSO589840:VSO589842 VIS589840:VIS589842 UYW589840:UYW589842 UPA589840:UPA589842 UFE589840:UFE589842 TVI589840:TVI589842 TLM589840:TLM589842 TBQ589840:TBQ589842 SRU589840:SRU589842 SHY589840:SHY589842 RYC589840:RYC589842 ROG589840:ROG589842 REK589840:REK589842 QUO589840:QUO589842 QKS589840:QKS589842 QAW589840:QAW589842 PRA589840:PRA589842 PHE589840:PHE589842 OXI589840:OXI589842 ONM589840:ONM589842 ODQ589840:ODQ589842 NTU589840:NTU589842 NJY589840:NJY589842 NAC589840:NAC589842 MQG589840:MQG589842 MGK589840:MGK589842 LWO589840:LWO589842 LMS589840:LMS589842 LCW589840:LCW589842 KTA589840:KTA589842 KJE589840:KJE589842 JZI589840:JZI589842 JPM589840:JPM589842 JFQ589840:JFQ589842 IVU589840:IVU589842 ILY589840:ILY589842 ICC589840:ICC589842 HSG589840:HSG589842 HIK589840:HIK589842 GYO589840:GYO589842 GOS589840:GOS589842 GEW589840:GEW589842 FVA589840:FVA589842 FLE589840:FLE589842 FBI589840:FBI589842 ERM589840:ERM589842 EHQ589840:EHQ589842 DXU589840:DXU589842 DNY589840:DNY589842 DEC589840:DEC589842 CUG589840:CUG589842 CKK589840:CKK589842 CAO589840:CAO589842 BQS589840:BQS589842 BGW589840:BGW589842 AXA589840:AXA589842 ANE589840:ANE589842 ADI589840:ADI589842 TM589840:TM589842 JQ589840:JQ589842 JPM14:JPM16 WWC524304:WWC524306 WMG524304:WMG524306 WCK524304:WCK524306 VSO524304:VSO524306 VIS524304:VIS524306 UYW524304:UYW524306 UPA524304:UPA524306 UFE524304:UFE524306 TVI524304:TVI524306 TLM524304:TLM524306 TBQ524304:TBQ524306 SRU524304:SRU524306 SHY524304:SHY524306 RYC524304:RYC524306 ROG524304:ROG524306 REK524304:REK524306 QUO524304:QUO524306 QKS524304:QKS524306 QAW524304:QAW524306 PRA524304:PRA524306 PHE524304:PHE524306 OXI524304:OXI524306 ONM524304:ONM524306 ODQ524304:ODQ524306 NTU524304:NTU524306 NJY524304:NJY524306 NAC524304:NAC524306 MQG524304:MQG524306 MGK524304:MGK524306 LWO524304:LWO524306 LMS524304:LMS524306 LCW524304:LCW524306 KTA524304:KTA524306 KJE524304:KJE524306 JZI524304:JZI524306 JPM524304:JPM524306 JFQ524304:JFQ524306 IVU524304:IVU524306 ILY524304:ILY524306 ICC524304:ICC524306 HSG524304:HSG524306 HIK524304:HIK524306 GYO524304:GYO524306 GOS524304:GOS524306 GEW524304:GEW524306 FVA524304:FVA524306 FLE524304:FLE524306 FBI524304:FBI524306 ERM524304:ERM524306 EHQ524304:EHQ524306 DXU524304:DXU524306 DNY524304:DNY524306 DEC524304:DEC524306 CUG524304:CUG524306 CKK524304:CKK524306 CAO524304:CAO524306 BQS524304:BQS524306 BGW524304:BGW524306 AXA524304:AXA524306 ANE524304:ANE524306 ADI524304:ADI524306 TM524304:TM524306 JQ524304:JQ524306 JZI14:JZI16 WWC458768:WWC458770 WMG458768:WMG458770 WCK458768:WCK458770 VSO458768:VSO458770 VIS458768:VIS458770 UYW458768:UYW458770 UPA458768:UPA458770 UFE458768:UFE458770 TVI458768:TVI458770 TLM458768:TLM458770 TBQ458768:TBQ458770 SRU458768:SRU458770 SHY458768:SHY458770 RYC458768:RYC458770 ROG458768:ROG458770 REK458768:REK458770 QUO458768:QUO458770 QKS458768:QKS458770 QAW458768:QAW458770 PRA458768:PRA458770 PHE458768:PHE458770 OXI458768:OXI458770 ONM458768:ONM458770 ODQ458768:ODQ458770 NTU458768:NTU458770 NJY458768:NJY458770 NAC458768:NAC458770 MQG458768:MQG458770 MGK458768:MGK458770 LWO458768:LWO458770 LMS458768:LMS458770 LCW458768:LCW458770 KTA458768:KTA458770 KJE458768:KJE458770 JZI458768:JZI458770 JPM458768:JPM458770 JFQ458768:JFQ458770 IVU458768:IVU458770 ILY458768:ILY458770 ICC458768:ICC458770 HSG458768:HSG458770 HIK458768:HIK458770 GYO458768:GYO458770 GOS458768:GOS458770 GEW458768:GEW458770 FVA458768:FVA458770 FLE458768:FLE458770 FBI458768:FBI458770 ERM458768:ERM458770 EHQ458768:EHQ458770 DXU458768:DXU458770 DNY458768:DNY458770 DEC458768:DEC458770 CUG458768:CUG458770 CKK458768:CKK458770 CAO458768:CAO458770 BQS458768:BQS458770 BGW458768:BGW458770 AXA458768:AXA458770 ANE458768:ANE458770 ADI458768:ADI458770 TM458768:TM458770 JQ458768:JQ458770 KJE14:KJE16 WWC393232:WWC393234 WMG393232:WMG393234 WCK393232:WCK393234 VSO393232:VSO393234 VIS393232:VIS393234 UYW393232:UYW393234 UPA393232:UPA393234 UFE393232:UFE393234 TVI393232:TVI393234 TLM393232:TLM393234 TBQ393232:TBQ393234 SRU393232:SRU393234 SHY393232:SHY393234 RYC393232:RYC393234 ROG393232:ROG393234 REK393232:REK393234 QUO393232:QUO393234 QKS393232:QKS393234 QAW393232:QAW393234 PRA393232:PRA393234 PHE393232:PHE393234 OXI393232:OXI393234 ONM393232:ONM393234 ODQ393232:ODQ393234 NTU393232:NTU393234 NJY393232:NJY393234 NAC393232:NAC393234 MQG393232:MQG393234 MGK393232:MGK393234 LWO393232:LWO393234 LMS393232:LMS393234 LCW393232:LCW393234 KTA393232:KTA393234 KJE393232:KJE393234 JZI393232:JZI393234 JPM393232:JPM393234 JFQ393232:JFQ393234 IVU393232:IVU393234 ILY393232:ILY393234 ICC393232:ICC393234 HSG393232:HSG393234 HIK393232:HIK393234 GYO393232:GYO393234 GOS393232:GOS393234 GEW393232:GEW393234 FVA393232:FVA393234 FLE393232:FLE393234 FBI393232:FBI393234 ERM393232:ERM393234 EHQ393232:EHQ393234 DXU393232:DXU393234 DNY393232:DNY393234 DEC393232:DEC393234 CUG393232:CUG393234 CKK393232:CKK393234 CAO393232:CAO393234 BQS393232:BQS393234 BGW393232:BGW393234 AXA393232:AXA393234 ANE393232:ANE393234 ADI393232:ADI393234 TM393232:TM393234 JQ393232:JQ393234 KTA14:KTA16 WWC327696:WWC327698 WMG327696:WMG327698 WCK327696:WCK327698 VSO327696:VSO327698 VIS327696:VIS327698 UYW327696:UYW327698 UPA327696:UPA327698 UFE327696:UFE327698 TVI327696:TVI327698 TLM327696:TLM327698 TBQ327696:TBQ327698 SRU327696:SRU327698 SHY327696:SHY327698 RYC327696:RYC327698 ROG327696:ROG327698 REK327696:REK327698 QUO327696:QUO327698 QKS327696:QKS327698 QAW327696:QAW327698 PRA327696:PRA327698 PHE327696:PHE327698 OXI327696:OXI327698 ONM327696:ONM327698 ODQ327696:ODQ327698 NTU327696:NTU327698 NJY327696:NJY327698 NAC327696:NAC327698 MQG327696:MQG327698 MGK327696:MGK327698 LWO327696:LWO327698 LMS327696:LMS327698 LCW327696:LCW327698 KTA327696:KTA327698 KJE327696:KJE327698 JZI327696:JZI327698 JPM327696:JPM327698 JFQ327696:JFQ327698 IVU327696:IVU327698 ILY327696:ILY327698 ICC327696:ICC327698 HSG327696:HSG327698 HIK327696:HIK327698 GYO327696:GYO327698 GOS327696:GOS327698 GEW327696:GEW327698 FVA327696:FVA327698 FLE327696:FLE327698 FBI327696:FBI327698 ERM327696:ERM327698 EHQ327696:EHQ327698 DXU327696:DXU327698 DNY327696:DNY327698 DEC327696:DEC327698 CUG327696:CUG327698 CKK327696:CKK327698 CAO327696:CAO327698 BQS327696:BQS327698 BGW327696:BGW327698 AXA327696:AXA327698 ANE327696:ANE327698 ADI327696:ADI327698 TM327696:TM327698 JQ327696:JQ327698 LCW14:LCW16 WWC262160:WWC262162 WMG262160:WMG262162 WCK262160:WCK262162 VSO262160:VSO262162 VIS262160:VIS262162 UYW262160:UYW262162 UPA262160:UPA262162 UFE262160:UFE262162 TVI262160:TVI262162 TLM262160:TLM262162 TBQ262160:TBQ262162 SRU262160:SRU262162 SHY262160:SHY262162 RYC262160:RYC262162 ROG262160:ROG262162 REK262160:REK262162 QUO262160:QUO262162 QKS262160:QKS262162 QAW262160:QAW262162 PRA262160:PRA262162 PHE262160:PHE262162 OXI262160:OXI262162 ONM262160:ONM262162 ODQ262160:ODQ262162 NTU262160:NTU262162 NJY262160:NJY262162 NAC262160:NAC262162 MQG262160:MQG262162 MGK262160:MGK262162 LWO262160:LWO262162 LMS262160:LMS262162 LCW262160:LCW262162 KTA262160:KTA262162 KJE262160:KJE262162 JZI262160:JZI262162 JPM262160:JPM262162 JFQ262160:JFQ262162 IVU262160:IVU262162 ILY262160:ILY262162 ICC262160:ICC262162 HSG262160:HSG262162 HIK262160:HIK262162 GYO262160:GYO262162 GOS262160:GOS262162 GEW262160:GEW262162 FVA262160:FVA262162 FLE262160:FLE262162 FBI262160:FBI262162 ERM262160:ERM262162 EHQ262160:EHQ262162 DXU262160:DXU262162 DNY262160:DNY262162 DEC262160:DEC262162 CUG262160:CUG262162 CKK262160:CKK262162 CAO262160:CAO262162 BQS262160:BQS262162 BGW262160:BGW262162 AXA262160:AXA262162 ANE262160:ANE262162 ADI262160:ADI262162 TM262160:TM262162 JQ262160:JQ262162 LMS14:LMS16 WWC196624:WWC196626 WMG196624:WMG196626 WCK196624:WCK196626 VSO196624:VSO196626 VIS196624:VIS196626 UYW196624:UYW196626 UPA196624:UPA196626 UFE196624:UFE196626 TVI196624:TVI196626 TLM196624:TLM196626 TBQ196624:TBQ196626 SRU196624:SRU196626 SHY196624:SHY196626 RYC196624:RYC196626 ROG196624:ROG196626 REK196624:REK196626 QUO196624:QUO196626 QKS196624:QKS196626 QAW196624:QAW196626 PRA196624:PRA196626 PHE196624:PHE196626 OXI196624:OXI196626 ONM196624:ONM196626 ODQ196624:ODQ196626 NTU196624:NTU196626 NJY196624:NJY196626 NAC196624:NAC196626 MQG196624:MQG196626 MGK196624:MGK196626 LWO196624:LWO196626 LMS196624:LMS196626 LCW196624:LCW196626 KTA196624:KTA196626 KJE196624:KJE196626 JZI196624:JZI196626 JPM196624:JPM196626 JFQ196624:JFQ196626 IVU196624:IVU196626 ILY196624:ILY196626 ICC196624:ICC196626 HSG196624:HSG196626 HIK196624:HIK196626 GYO196624:GYO196626 GOS196624:GOS196626 GEW196624:GEW196626 FVA196624:FVA196626 FLE196624:FLE196626 FBI196624:FBI196626 ERM196624:ERM196626 EHQ196624:EHQ196626 DXU196624:DXU196626 DNY196624:DNY196626 DEC196624:DEC196626 CUG196624:CUG196626 CKK196624:CKK196626 CAO196624:CAO196626 BQS196624:BQS196626 BGW196624:BGW196626 AXA196624:AXA196626 ANE196624:ANE196626 ADI196624:ADI196626 TM196624:TM196626 JQ196624:JQ196626 LWO14:LWO16 WWC131088:WWC131090 WMG131088:WMG131090 WCK131088:WCK131090 VSO131088:VSO131090 VIS131088:VIS131090 UYW131088:UYW131090 UPA131088:UPA131090 UFE131088:UFE131090 TVI131088:TVI131090 TLM131088:TLM131090 TBQ131088:TBQ131090 SRU131088:SRU131090 SHY131088:SHY131090 RYC131088:RYC131090 ROG131088:ROG131090 REK131088:REK131090 QUO131088:QUO131090 QKS131088:QKS131090 QAW131088:QAW131090 PRA131088:PRA131090 PHE131088:PHE131090 OXI131088:OXI131090 ONM131088:ONM131090 ODQ131088:ODQ131090 NTU131088:NTU131090 NJY131088:NJY131090 NAC131088:NAC131090 MQG131088:MQG131090 MGK131088:MGK131090 LWO131088:LWO131090 LMS131088:LMS131090 LCW131088:LCW131090 KTA131088:KTA131090 KJE131088:KJE131090 JZI131088:JZI131090 JPM131088:JPM131090 JFQ131088:JFQ131090 IVU131088:IVU131090 ILY131088:ILY131090 ICC131088:ICC131090 HSG131088:HSG131090 HIK131088:HIK131090 GYO131088:GYO131090 GOS131088:GOS131090 GEW131088:GEW131090 FVA131088:FVA131090 FLE131088:FLE131090 FBI131088:FBI131090 ERM131088:ERM131090 EHQ131088:EHQ131090 DXU131088:DXU131090 DNY131088:DNY131090 DEC131088:DEC131090 CUG131088:CUG131090 CKK131088:CKK131090 CAO131088:CAO131090 BQS131088:BQS131090 BGW131088:BGW131090 AXA131088:AXA131090 ANE131088:ANE131090 ADI131088:ADI131090 TM131088:TM131090 JQ131088:JQ131090 MGK14:MGK16 WWC65552:WWC65554 WMG65552:WMG65554 WCK65552:WCK65554 VSO65552:VSO65554 VIS65552:VIS65554 UYW65552:UYW65554 UPA65552:UPA65554 UFE65552:UFE65554 TVI65552:TVI65554 TLM65552:TLM65554 TBQ65552:TBQ65554 SRU65552:SRU65554 SHY65552:SHY65554 RYC65552:RYC65554 ROG65552:ROG65554 REK65552:REK65554 QUO65552:QUO65554 QKS65552:QKS65554 QAW65552:QAW65554 PRA65552:PRA65554 PHE65552:PHE65554 OXI65552:OXI65554 ONM65552:ONM65554 ODQ65552:ODQ65554 NTU65552:NTU65554 NJY65552:NJY65554 NAC65552:NAC65554 MQG65552:MQG65554 MGK65552:MGK65554 LWO65552:LWO65554 LMS65552:LMS65554 LCW65552:LCW65554 KTA65552:KTA65554 KJE65552:KJE65554 JZI65552:JZI65554 JPM65552:JPM65554 JFQ65552:JFQ65554 IVU65552:IVU65554 ILY65552:ILY65554 ICC65552:ICC65554 HSG65552:HSG65554 HIK65552:HIK65554 GYO65552:GYO65554 GOS65552:GOS65554 GEW65552:GEW65554 FVA65552:FVA65554 FLE65552:FLE65554 FBI65552:FBI65554 ERM65552:ERM65554 EHQ65552:EHQ65554 DXU65552:DXU65554 DNY65552:DNY65554 DEC65552:DEC65554 CUG65552:CUG65554 CKK65552:CKK65554 CAO65552:CAO65554 BQS65552:BQS65554 BGW65552:BGW65554 AXA65552:AXA65554 ANE65552:ANE65554 ADI65552:ADI65554 TM65552:TM65554 JQ65552:JQ65554 MQG14:MQG16 WWC983050:WWC983052 WMG983050:WMG983052 WCK983050:WCK983052 VSO983050:VSO983052 VIS983050:VIS983052 UYW983050:UYW983052 UPA983050:UPA983052 UFE983050:UFE983052 TVI983050:TVI983052 TLM983050:TLM983052 TBQ983050:TBQ983052 SRU983050:SRU983052 SHY983050:SHY983052 RYC983050:RYC983052 ROG983050:ROG983052 REK983050:REK983052 QUO983050:QUO983052 QKS983050:QKS983052 QAW983050:QAW983052 PRA983050:PRA983052 PHE983050:PHE983052 OXI983050:OXI983052 ONM983050:ONM983052 ODQ983050:ODQ983052 NTU983050:NTU983052 NJY983050:NJY983052 NAC983050:NAC983052 MQG983050:MQG983052 MGK983050:MGK983052 LWO983050:LWO983052 LMS983050:LMS983052 LCW983050:LCW983052 KTA983050:KTA983052 KJE983050:KJE983052 JZI983050:JZI983052 JPM983050:JPM983052 JFQ983050:JFQ983052 IVU983050:IVU983052 ILY983050:ILY983052 ICC983050:ICC983052 HSG983050:HSG983052 HIK983050:HIK983052 GYO983050:GYO983052 GOS983050:GOS983052 GEW983050:GEW983052 FVA983050:FVA983052 FLE983050:FLE983052 FBI983050:FBI983052 ERM983050:ERM983052 EHQ983050:EHQ983052 DXU983050:DXU983052 DNY983050:DNY983052 DEC983050:DEC983052 CUG983050:CUG983052 CKK983050:CKK983052 CAO983050:CAO983052 BQS983050:BQS983052 BGW983050:BGW983052 AXA983050:AXA983052 ANE983050:ANE983052 ADI983050:ADI983052 TM983050:TM983052 JQ983050:JQ983052 NAC14:NAC16 WWC917514:WWC917516 WMG917514:WMG917516 WCK917514:WCK917516 VSO917514:VSO917516 VIS917514:VIS917516 UYW917514:UYW917516 UPA917514:UPA917516 UFE917514:UFE917516 TVI917514:TVI917516 TLM917514:TLM917516 TBQ917514:TBQ917516 SRU917514:SRU917516 SHY917514:SHY917516 RYC917514:RYC917516 ROG917514:ROG917516 REK917514:REK917516 QUO917514:QUO917516 QKS917514:QKS917516 QAW917514:QAW917516 PRA917514:PRA917516 PHE917514:PHE917516 OXI917514:OXI917516 ONM917514:ONM917516 ODQ917514:ODQ917516 NTU917514:NTU917516 NJY917514:NJY917516 NAC917514:NAC917516 MQG917514:MQG917516 MGK917514:MGK917516 LWO917514:LWO917516 LMS917514:LMS917516 LCW917514:LCW917516 KTA917514:KTA917516 KJE917514:KJE917516 JZI917514:JZI917516 JPM917514:JPM917516 JFQ917514:JFQ917516 IVU917514:IVU917516 ILY917514:ILY917516 ICC917514:ICC917516 HSG917514:HSG917516 HIK917514:HIK917516 GYO917514:GYO917516 GOS917514:GOS917516 GEW917514:GEW917516 FVA917514:FVA917516 FLE917514:FLE917516 FBI917514:FBI917516 ERM917514:ERM917516 EHQ917514:EHQ917516 DXU917514:DXU917516 DNY917514:DNY917516 DEC917514:DEC917516 CUG917514:CUG917516 CKK917514:CKK917516 CAO917514:CAO917516 BQS917514:BQS917516 BGW917514:BGW917516 AXA917514:AXA917516 ANE917514:ANE917516 ADI917514:ADI917516 TM917514:TM917516 JQ917514:JQ917516 NJY14:NJY16 WWC851978:WWC851980 WMG851978:WMG851980 WCK851978:WCK851980 VSO851978:VSO851980 VIS851978:VIS851980 UYW851978:UYW851980 UPA851978:UPA851980 UFE851978:UFE851980 TVI851978:TVI851980 TLM851978:TLM851980 TBQ851978:TBQ851980 SRU851978:SRU851980 SHY851978:SHY851980 RYC851978:RYC851980 ROG851978:ROG851980 REK851978:REK851980 QUO851978:QUO851980 QKS851978:QKS851980 QAW851978:QAW851980 PRA851978:PRA851980 PHE851978:PHE851980 OXI851978:OXI851980 ONM851978:ONM851980 ODQ851978:ODQ851980 NTU851978:NTU851980 NJY851978:NJY851980 NAC851978:NAC851980 MQG851978:MQG851980 MGK851978:MGK851980 LWO851978:LWO851980 LMS851978:LMS851980 LCW851978:LCW851980 KTA851978:KTA851980 KJE851978:KJE851980 JZI851978:JZI851980 JPM851978:JPM851980 JFQ851978:JFQ851980 IVU851978:IVU851980 ILY851978:ILY851980 ICC851978:ICC851980 HSG851978:HSG851980 HIK851978:HIK851980 GYO851978:GYO851980 GOS851978:GOS851980 GEW851978:GEW851980 FVA851978:FVA851980 FLE851978:FLE851980 FBI851978:FBI851980 ERM851978:ERM851980 EHQ851978:EHQ851980 DXU851978:DXU851980 DNY851978:DNY851980 DEC851978:DEC851980 CUG851978:CUG851980 CKK851978:CKK851980 CAO851978:CAO851980 BQS851978:BQS851980 BGW851978:BGW851980 AXA851978:AXA851980 ANE851978:ANE851980 ADI851978:ADI851980 TM851978:TM851980 JQ851978:JQ851980 NTU14:NTU16 WWC786442:WWC786444 WMG786442:WMG786444 WCK786442:WCK786444 VSO786442:VSO786444 VIS786442:VIS786444 UYW786442:UYW786444 UPA786442:UPA786444 UFE786442:UFE786444 TVI786442:TVI786444 TLM786442:TLM786444 TBQ786442:TBQ786444 SRU786442:SRU786444 SHY786442:SHY786444 RYC786442:RYC786444 ROG786442:ROG786444 REK786442:REK786444 QUO786442:QUO786444 QKS786442:QKS786444 QAW786442:QAW786444 PRA786442:PRA786444 PHE786442:PHE786444 OXI786442:OXI786444 ONM786442:ONM786444 ODQ786442:ODQ786444 NTU786442:NTU786444 NJY786442:NJY786444 NAC786442:NAC786444 MQG786442:MQG786444 MGK786442:MGK786444 LWO786442:LWO786444 LMS786442:LMS786444 LCW786442:LCW786444 KTA786442:KTA786444 KJE786442:KJE786444 JZI786442:JZI786444 JPM786442:JPM786444 JFQ786442:JFQ786444 IVU786442:IVU786444 ILY786442:ILY786444 ICC786442:ICC786444 HSG786442:HSG786444 HIK786442:HIK786444 GYO786442:GYO786444 GOS786442:GOS786444 GEW786442:GEW786444 FVA786442:FVA786444 FLE786442:FLE786444 FBI786442:FBI786444 ERM786442:ERM786444 EHQ786442:EHQ786444 DXU786442:DXU786444 DNY786442:DNY786444 DEC786442:DEC786444 CUG786442:CUG786444 CKK786442:CKK786444 CAO786442:CAO786444 BQS786442:BQS786444 BGW786442:BGW786444 AXA786442:AXA786444 ANE786442:ANE786444 ADI786442:ADI786444 TM786442:TM786444 JQ786442:JQ786444 ODQ14:ODQ16 WWC720906:WWC720908 WMG720906:WMG720908 WCK720906:WCK720908 VSO720906:VSO720908 VIS720906:VIS720908 UYW720906:UYW720908 UPA720906:UPA720908 UFE720906:UFE720908 TVI720906:TVI720908 TLM720906:TLM720908 TBQ720906:TBQ720908 SRU720906:SRU720908 SHY720906:SHY720908 RYC720906:RYC720908 ROG720906:ROG720908 REK720906:REK720908 QUO720906:QUO720908 QKS720906:QKS720908 QAW720906:QAW720908 PRA720906:PRA720908 PHE720906:PHE720908 OXI720906:OXI720908 ONM720906:ONM720908 ODQ720906:ODQ720908 NTU720906:NTU720908 NJY720906:NJY720908 NAC720906:NAC720908 MQG720906:MQG720908 MGK720906:MGK720908 LWO720906:LWO720908 LMS720906:LMS720908 LCW720906:LCW720908 KTA720906:KTA720908 KJE720906:KJE720908 JZI720906:JZI720908 JPM720906:JPM720908 JFQ720906:JFQ720908 IVU720906:IVU720908 ILY720906:ILY720908 ICC720906:ICC720908 HSG720906:HSG720908 HIK720906:HIK720908 GYO720906:GYO720908 GOS720906:GOS720908 GEW720906:GEW720908 FVA720906:FVA720908 FLE720906:FLE720908 FBI720906:FBI720908 ERM720906:ERM720908 EHQ720906:EHQ720908 DXU720906:DXU720908 DNY720906:DNY720908 DEC720906:DEC720908 CUG720906:CUG720908 CKK720906:CKK720908 CAO720906:CAO720908 BQS720906:BQS720908 BGW720906:BGW720908 AXA720906:AXA720908 ANE720906:ANE720908 ADI720906:ADI720908 TM720906:TM720908 JQ720906:JQ720908 ONM14:ONM16 WWC655370:WWC655372 WMG655370:WMG655372 WCK655370:WCK655372 VSO655370:VSO655372 VIS655370:VIS655372 UYW655370:UYW655372 UPA655370:UPA655372 UFE655370:UFE655372 TVI655370:TVI655372 TLM655370:TLM655372 TBQ655370:TBQ655372 SRU655370:SRU655372 SHY655370:SHY655372 RYC655370:RYC655372 ROG655370:ROG655372 REK655370:REK655372 QUO655370:QUO655372 QKS655370:QKS655372 QAW655370:QAW655372 PRA655370:PRA655372 PHE655370:PHE655372 OXI655370:OXI655372 ONM655370:ONM655372 ODQ655370:ODQ655372 NTU655370:NTU655372 NJY655370:NJY655372 NAC655370:NAC655372 MQG655370:MQG655372 MGK655370:MGK655372 LWO655370:LWO655372 LMS655370:LMS655372 LCW655370:LCW655372 KTA655370:KTA655372 KJE655370:KJE655372 JZI655370:JZI655372 JPM655370:JPM655372 JFQ655370:JFQ655372 IVU655370:IVU655372 ILY655370:ILY655372 ICC655370:ICC655372 HSG655370:HSG655372 HIK655370:HIK655372 GYO655370:GYO655372 GOS655370:GOS655372 GEW655370:GEW655372 FVA655370:FVA655372 FLE655370:FLE655372 FBI655370:FBI655372 ERM655370:ERM655372 EHQ655370:EHQ655372 DXU655370:DXU655372 DNY655370:DNY655372 DEC655370:DEC655372 CUG655370:CUG655372 CKK655370:CKK655372 CAO655370:CAO655372 BQS655370:BQS655372 BGW655370:BGW655372 AXA655370:AXA655372 ANE655370:ANE655372 ADI655370:ADI655372 TM655370:TM655372 JQ655370:JQ655372 OXI14:OXI16 WWC589834:WWC589836 WMG589834:WMG589836 WCK589834:WCK589836 VSO589834:VSO589836 VIS589834:VIS589836 UYW589834:UYW589836 UPA589834:UPA589836 UFE589834:UFE589836 TVI589834:TVI589836 TLM589834:TLM589836 TBQ589834:TBQ589836 SRU589834:SRU589836 SHY589834:SHY589836 RYC589834:RYC589836 ROG589834:ROG589836 REK589834:REK589836 QUO589834:QUO589836 QKS589834:QKS589836 QAW589834:QAW589836 PRA589834:PRA589836 PHE589834:PHE589836 OXI589834:OXI589836 ONM589834:ONM589836 ODQ589834:ODQ589836 NTU589834:NTU589836 NJY589834:NJY589836 NAC589834:NAC589836 MQG589834:MQG589836 MGK589834:MGK589836 LWO589834:LWO589836 LMS589834:LMS589836 LCW589834:LCW589836 KTA589834:KTA589836 KJE589834:KJE589836 JZI589834:JZI589836 JPM589834:JPM589836 JFQ589834:JFQ589836 IVU589834:IVU589836 ILY589834:ILY589836 ICC589834:ICC589836 HSG589834:HSG589836 HIK589834:HIK589836 GYO589834:GYO589836 GOS589834:GOS589836 GEW589834:GEW589836 FVA589834:FVA589836 FLE589834:FLE589836 FBI589834:FBI589836 ERM589834:ERM589836 EHQ589834:EHQ589836 DXU589834:DXU589836 DNY589834:DNY589836 DEC589834:DEC589836 CUG589834:CUG589836 CKK589834:CKK589836 CAO589834:CAO589836 BQS589834:BQS589836 BGW589834:BGW589836 AXA589834:AXA589836 ANE589834:ANE589836 ADI589834:ADI589836 TM589834:TM589836 JQ589834:JQ589836 PHE14:PHE16 WWC524298:WWC524300 WMG524298:WMG524300 WCK524298:WCK524300 VSO524298:VSO524300 VIS524298:VIS524300 UYW524298:UYW524300 UPA524298:UPA524300 UFE524298:UFE524300 TVI524298:TVI524300 TLM524298:TLM524300 TBQ524298:TBQ524300 SRU524298:SRU524300 SHY524298:SHY524300 RYC524298:RYC524300 ROG524298:ROG524300 REK524298:REK524300 QUO524298:QUO524300 QKS524298:QKS524300 QAW524298:QAW524300 PRA524298:PRA524300 PHE524298:PHE524300 OXI524298:OXI524300 ONM524298:ONM524300 ODQ524298:ODQ524300 NTU524298:NTU524300 NJY524298:NJY524300 NAC524298:NAC524300 MQG524298:MQG524300 MGK524298:MGK524300 LWO524298:LWO524300 LMS524298:LMS524300 LCW524298:LCW524300 KTA524298:KTA524300 KJE524298:KJE524300 JZI524298:JZI524300 JPM524298:JPM524300 JFQ524298:JFQ524300 IVU524298:IVU524300 ILY524298:ILY524300 ICC524298:ICC524300 HSG524298:HSG524300 HIK524298:HIK524300 GYO524298:GYO524300 GOS524298:GOS524300 GEW524298:GEW524300 FVA524298:FVA524300 FLE524298:FLE524300 FBI524298:FBI524300 ERM524298:ERM524300 EHQ524298:EHQ524300 DXU524298:DXU524300 DNY524298:DNY524300 DEC524298:DEC524300 CUG524298:CUG524300 CKK524298:CKK524300 CAO524298:CAO524300 BQS524298:BQS524300 BGW524298:BGW524300 AXA524298:AXA524300 ANE524298:ANE524300 ADI524298:ADI524300 TM524298:TM524300 JQ524298:JQ524300 PRA14:PRA16 WWC458762:WWC458764 WMG458762:WMG458764 WCK458762:WCK458764 VSO458762:VSO458764 VIS458762:VIS458764 UYW458762:UYW458764 UPA458762:UPA458764 UFE458762:UFE458764 TVI458762:TVI458764 TLM458762:TLM458764 TBQ458762:TBQ458764 SRU458762:SRU458764 SHY458762:SHY458764 RYC458762:RYC458764 ROG458762:ROG458764 REK458762:REK458764 QUO458762:QUO458764 QKS458762:QKS458764 QAW458762:QAW458764 PRA458762:PRA458764 PHE458762:PHE458764 OXI458762:OXI458764 ONM458762:ONM458764 ODQ458762:ODQ458764 NTU458762:NTU458764 NJY458762:NJY458764 NAC458762:NAC458764 MQG458762:MQG458764 MGK458762:MGK458764 LWO458762:LWO458764 LMS458762:LMS458764 LCW458762:LCW458764 KTA458762:KTA458764 KJE458762:KJE458764 JZI458762:JZI458764 JPM458762:JPM458764 JFQ458762:JFQ458764 IVU458762:IVU458764 ILY458762:ILY458764 ICC458762:ICC458764 HSG458762:HSG458764 HIK458762:HIK458764 GYO458762:GYO458764 GOS458762:GOS458764 GEW458762:GEW458764 FVA458762:FVA458764 FLE458762:FLE458764 FBI458762:FBI458764 ERM458762:ERM458764 EHQ458762:EHQ458764 DXU458762:DXU458764 DNY458762:DNY458764 DEC458762:DEC458764 CUG458762:CUG458764 CKK458762:CKK458764 CAO458762:CAO458764 BQS458762:BQS458764 BGW458762:BGW458764 AXA458762:AXA458764 ANE458762:ANE458764 ADI458762:ADI458764 TM458762:TM458764 JQ458762:JQ458764 QAW14:QAW16 WWC393226:WWC393228 WMG393226:WMG393228 WCK393226:WCK393228 VSO393226:VSO393228 VIS393226:VIS393228 UYW393226:UYW393228 UPA393226:UPA393228 UFE393226:UFE393228 TVI393226:TVI393228 TLM393226:TLM393228 TBQ393226:TBQ393228 SRU393226:SRU393228 SHY393226:SHY393228 RYC393226:RYC393228 ROG393226:ROG393228 REK393226:REK393228 QUO393226:QUO393228 QKS393226:QKS393228 QAW393226:QAW393228 PRA393226:PRA393228 PHE393226:PHE393228 OXI393226:OXI393228 ONM393226:ONM393228 ODQ393226:ODQ393228 NTU393226:NTU393228 NJY393226:NJY393228 NAC393226:NAC393228 MQG393226:MQG393228 MGK393226:MGK393228 LWO393226:LWO393228 LMS393226:LMS393228 LCW393226:LCW393228 KTA393226:KTA393228 KJE393226:KJE393228 JZI393226:JZI393228 JPM393226:JPM393228 JFQ393226:JFQ393228 IVU393226:IVU393228 ILY393226:ILY393228 ICC393226:ICC393228 HSG393226:HSG393228 HIK393226:HIK393228 GYO393226:GYO393228 GOS393226:GOS393228 GEW393226:GEW393228 FVA393226:FVA393228 FLE393226:FLE393228 FBI393226:FBI393228 ERM393226:ERM393228 EHQ393226:EHQ393228 DXU393226:DXU393228 DNY393226:DNY393228 DEC393226:DEC393228 CUG393226:CUG393228 CKK393226:CKK393228 CAO393226:CAO393228 BQS393226:BQS393228 BGW393226:BGW393228 AXA393226:AXA393228 ANE393226:ANE393228 ADI393226:ADI393228 TM393226:TM393228 JQ393226:JQ393228 QKS14:QKS16 WWC327690:WWC327692 WMG327690:WMG327692 WCK327690:WCK327692 VSO327690:VSO327692 VIS327690:VIS327692 UYW327690:UYW327692 UPA327690:UPA327692 UFE327690:UFE327692 TVI327690:TVI327692 TLM327690:TLM327692 TBQ327690:TBQ327692 SRU327690:SRU327692 SHY327690:SHY327692 RYC327690:RYC327692 ROG327690:ROG327692 REK327690:REK327692 QUO327690:QUO327692 QKS327690:QKS327692 QAW327690:QAW327692 PRA327690:PRA327692 PHE327690:PHE327692 OXI327690:OXI327692 ONM327690:ONM327692 ODQ327690:ODQ327692 NTU327690:NTU327692 NJY327690:NJY327692 NAC327690:NAC327692 MQG327690:MQG327692 MGK327690:MGK327692 LWO327690:LWO327692 LMS327690:LMS327692 LCW327690:LCW327692 KTA327690:KTA327692 KJE327690:KJE327692 JZI327690:JZI327692 JPM327690:JPM327692 JFQ327690:JFQ327692 IVU327690:IVU327692 ILY327690:ILY327692 ICC327690:ICC327692 HSG327690:HSG327692 HIK327690:HIK327692 GYO327690:GYO327692 GOS327690:GOS327692 GEW327690:GEW327692 FVA327690:FVA327692 FLE327690:FLE327692 FBI327690:FBI327692 ERM327690:ERM327692 EHQ327690:EHQ327692 DXU327690:DXU327692 DNY327690:DNY327692 DEC327690:DEC327692 CUG327690:CUG327692 CKK327690:CKK327692 CAO327690:CAO327692 BQS327690:BQS327692 BGW327690:BGW327692 AXA327690:AXA327692 ANE327690:ANE327692 ADI327690:ADI327692 TM327690:TM327692 JQ327690:JQ327692 QUO14:QUO16 WWC262154:WWC262156 WMG262154:WMG262156 WCK262154:WCK262156 VSO262154:VSO262156 VIS262154:VIS262156 UYW262154:UYW262156 UPA262154:UPA262156 UFE262154:UFE262156 TVI262154:TVI262156 TLM262154:TLM262156 TBQ262154:TBQ262156 SRU262154:SRU262156 SHY262154:SHY262156 RYC262154:RYC262156 ROG262154:ROG262156 REK262154:REK262156 QUO262154:QUO262156 QKS262154:QKS262156 QAW262154:QAW262156 PRA262154:PRA262156 PHE262154:PHE262156 OXI262154:OXI262156 ONM262154:ONM262156 ODQ262154:ODQ262156 NTU262154:NTU262156 NJY262154:NJY262156 NAC262154:NAC262156 MQG262154:MQG262156 MGK262154:MGK262156 LWO262154:LWO262156 LMS262154:LMS262156 LCW262154:LCW262156 KTA262154:KTA262156 KJE262154:KJE262156 JZI262154:JZI262156 JPM262154:JPM262156 JFQ262154:JFQ262156 IVU262154:IVU262156 ILY262154:ILY262156 ICC262154:ICC262156 HSG262154:HSG262156 HIK262154:HIK262156 GYO262154:GYO262156 GOS262154:GOS262156 GEW262154:GEW262156 FVA262154:FVA262156 FLE262154:FLE262156 FBI262154:FBI262156 ERM262154:ERM262156 EHQ262154:EHQ262156 DXU262154:DXU262156 DNY262154:DNY262156 DEC262154:DEC262156 CUG262154:CUG262156 CKK262154:CKK262156 CAO262154:CAO262156 BQS262154:BQS262156 BGW262154:BGW262156 AXA262154:AXA262156 ANE262154:ANE262156 ADI262154:ADI262156 TM262154:TM262156 JQ262154:JQ262156 REK14:REK16 WWC196618:WWC196620 WMG196618:WMG196620 WCK196618:WCK196620 VSO196618:VSO196620 VIS196618:VIS196620 UYW196618:UYW196620 UPA196618:UPA196620 UFE196618:UFE196620 TVI196618:TVI196620 TLM196618:TLM196620 TBQ196618:TBQ196620 SRU196618:SRU196620 SHY196618:SHY196620 RYC196618:RYC196620 ROG196618:ROG196620 REK196618:REK196620 QUO196618:QUO196620 QKS196618:QKS196620 QAW196618:QAW196620 PRA196618:PRA196620 PHE196618:PHE196620 OXI196618:OXI196620 ONM196618:ONM196620 ODQ196618:ODQ196620 NTU196618:NTU196620 NJY196618:NJY196620 NAC196618:NAC196620 MQG196618:MQG196620 MGK196618:MGK196620 LWO196618:LWO196620 LMS196618:LMS196620 LCW196618:LCW196620 KTA196618:KTA196620 KJE196618:KJE196620 JZI196618:JZI196620 JPM196618:JPM196620 JFQ196618:JFQ196620 IVU196618:IVU196620 ILY196618:ILY196620 ICC196618:ICC196620 HSG196618:HSG196620 HIK196618:HIK196620 GYO196618:GYO196620 GOS196618:GOS196620 GEW196618:GEW196620 FVA196618:FVA196620 FLE196618:FLE196620 FBI196618:FBI196620 ERM196618:ERM196620 EHQ196618:EHQ196620 DXU196618:DXU196620 DNY196618:DNY196620 DEC196618:DEC196620 CUG196618:CUG196620 CKK196618:CKK196620 CAO196618:CAO196620 BQS196618:BQS196620 BGW196618:BGW196620 AXA196618:AXA196620 ANE196618:ANE196620 ADI196618:ADI196620 TM196618:TM196620 JQ196618:JQ196620 ROG14:ROG16 WWC131082:WWC131084 WMG131082:WMG131084 WCK131082:WCK131084 VSO131082:VSO131084 VIS131082:VIS131084 UYW131082:UYW131084 UPA131082:UPA131084 UFE131082:UFE131084 TVI131082:TVI131084 TLM131082:TLM131084 TBQ131082:TBQ131084 SRU131082:SRU131084 SHY131082:SHY131084 RYC131082:RYC131084 ROG131082:ROG131084 REK131082:REK131084 QUO131082:QUO131084 QKS131082:QKS131084 QAW131082:QAW131084 PRA131082:PRA131084 PHE131082:PHE131084 OXI131082:OXI131084 ONM131082:ONM131084 ODQ131082:ODQ131084 NTU131082:NTU131084 NJY131082:NJY131084 NAC131082:NAC131084 MQG131082:MQG131084 MGK131082:MGK131084 LWO131082:LWO131084 LMS131082:LMS131084 LCW131082:LCW131084 KTA131082:KTA131084 KJE131082:KJE131084 JZI131082:JZI131084 JPM131082:JPM131084 JFQ131082:JFQ131084 IVU131082:IVU131084 ILY131082:ILY131084 ICC131082:ICC131084 HSG131082:HSG131084 HIK131082:HIK131084 GYO131082:GYO131084 GOS131082:GOS131084 GEW131082:GEW131084 FVA131082:FVA131084 FLE131082:FLE131084 FBI131082:FBI131084 ERM131082:ERM131084 EHQ131082:EHQ131084 DXU131082:DXU131084 DNY131082:DNY131084 DEC131082:DEC131084 CUG131082:CUG131084 CKK131082:CKK131084 CAO131082:CAO131084 BQS131082:BQS131084 BGW131082:BGW131084 AXA131082:AXA131084 ANE131082:ANE131084 ADI131082:ADI131084 TM131082:TM131084 JQ131082:JQ131084 RYC14:RYC16 WWC65546:WWC65548 WMG65546:WMG65548 WCK65546:WCK65548 VSO65546:VSO65548 VIS65546:VIS65548 UYW65546:UYW65548 UPA65546:UPA65548 UFE65546:UFE65548 TVI65546:TVI65548 TLM65546:TLM65548 TBQ65546:TBQ65548 SRU65546:SRU65548 SHY65546:SHY65548 RYC65546:RYC65548 ROG65546:ROG65548 REK65546:REK65548 QUO65546:QUO65548 QKS65546:QKS65548 QAW65546:QAW65548 PRA65546:PRA65548 PHE65546:PHE65548 OXI65546:OXI65548 ONM65546:ONM65548 ODQ65546:ODQ65548 NTU65546:NTU65548 NJY65546:NJY65548 NAC65546:NAC65548 MQG65546:MQG65548 MGK65546:MGK65548 LWO65546:LWO65548 LMS65546:LMS65548 LCW65546:LCW65548 KTA65546:KTA65548 KJE65546:KJE65548 JZI65546:JZI65548 JPM65546:JPM65548 JFQ65546:JFQ65548 IVU65546:IVU65548 ILY65546:ILY65548 ICC65546:ICC65548 HSG65546:HSG65548 HIK65546:HIK65548 GYO65546:GYO65548 GOS65546:GOS65548 GEW65546:GEW65548 FVA65546:FVA65548 FLE65546:FLE65548 FBI65546:FBI65548 ERM65546:ERM65548 EHQ65546:EHQ65548 DXU65546:DXU65548 DNY65546:DNY65548 DEC65546:DEC65548 CUG65546:CUG65548 CKK65546:CKK65548 CAO65546:CAO65548 BQS65546:BQS65548 BGW65546:BGW65548 AXA65546:AXA65548 ANE65546:ANE65548 ADI65546:ADI65548 TM65546:TM65548 JQ65546:JQ65548 SHY14:SHY16 WWC983044:WWC983046 WMG983044:WMG983046 WCK983044:WCK983046 VSO983044:VSO983046 VIS983044:VIS983046 UYW983044:UYW983046 UPA983044:UPA983046 UFE983044:UFE983046 TVI983044:TVI983046 TLM983044:TLM983046 TBQ983044:TBQ983046 SRU983044:SRU983046 SHY983044:SHY983046 RYC983044:RYC983046 ROG983044:ROG983046 REK983044:REK983046 QUO983044:QUO983046 QKS983044:QKS983046 QAW983044:QAW983046 PRA983044:PRA983046 PHE983044:PHE983046 OXI983044:OXI983046 ONM983044:ONM983046 ODQ983044:ODQ983046 NTU983044:NTU983046 NJY983044:NJY983046 NAC983044:NAC983046 MQG983044:MQG983046 MGK983044:MGK983046 LWO983044:LWO983046 LMS983044:LMS983046 LCW983044:LCW983046 KTA983044:KTA983046 KJE983044:KJE983046 JZI983044:JZI983046 JPM983044:JPM983046 JFQ983044:JFQ983046 IVU983044:IVU983046 ILY983044:ILY983046 ICC983044:ICC983046 HSG983044:HSG983046 HIK983044:HIK983046 GYO983044:GYO983046 GOS983044:GOS983046 GEW983044:GEW983046 FVA983044:FVA983046 FLE983044:FLE983046 FBI983044:FBI983046 ERM983044:ERM983046 EHQ983044:EHQ983046 DXU983044:DXU983046 DNY983044:DNY983046 DEC983044:DEC983046 CUG983044:CUG983046 CKK983044:CKK983046 CAO983044:CAO983046 BQS983044:BQS983046 BGW983044:BGW983046 AXA983044:AXA983046 ANE983044:ANE983046 ADI983044:ADI983046 TM983044:TM983046 JQ983044:JQ983046 SRU14:SRU16 WWC917508:WWC917510 WMG917508:WMG917510 WCK917508:WCK917510 VSO917508:VSO917510 VIS917508:VIS917510 UYW917508:UYW917510 UPA917508:UPA917510 UFE917508:UFE917510 TVI917508:TVI917510 TLM917508:TLM917510 TBQ917508:TBQ917510 SRU917508:SRU917510 SHY917508:SHY917510 RYC917508:RYC917510 ROG917508:ROG917510 REK917508:REK917510 QUO917508:QUO917510 QKS917508:QKS917510 QAW917508:QAW917510 PRA917508:PRA917510 PHE917508:PHE917510 OXI917508:OXI917510 ONM917508:ONM917510 ODQ917508:ODQ917510 NTU917508:NTU917510 NJY917508:NJY917510 NAC917508:NAC917510 MQG917508:MQG917510 MGK917508:MGK917510 LWO917508:LWO917510 LMS917508:LMS917510 LCW917508:LCW917510 KTA917508:KTA917510 KJE917508:KJE917510 JZI917508:JZI917510 JPM917508:JPM917510 JFQ917508:JFQ917510 IVU917508:IVU917510 ILY917508:ILY917510 ICC917508:ICC917510 HSG917508:HSG917510 HIK917508:HIK917510 GYO917508:GYO917510 GOS917508:GOS917510 GEW917508:GEW917510 FVA917508:FVA917510 FLE917508:FLE917510 FBI917508:FBI917510 ERM917508:ERM917510 EHQ917508:EHQ917510 DXU917508:DXU917510 DNY917508:DNY917510 DEC917508:DEC917510 CUG917508:CUG917510 CKK917508:CKK917510 CAO917508:CAO917510 BQS917508:BQS917510 BGW917508:BGW917510 AXA917508:AXA917510 ANE917508:ANE917510 ADI917508:ADI917510 TM917508:TM917510 JQ917508:JQ917510 TBQ14:TBQ16 WWC851972:WWC851974 WMG851972:WMG851974 WCK851972:WCK851974 VSO851972:VSO851974 VIS851972:VIS851974 UYW851972:UYW851974 UPA851972:UPA851974 UFE851972:UFE851974 TVI851972:TVI851974 TLM851972:TLM851974 TBQ851972:TBQ851974 SRU851972:SRU851974 SHY851972:SHY851974 RYC851972:RYC851974 ROG851972:ROG851974 REK851972:REK851974 QUO851972:QUO851974 QKS851972:QKS851974 QAW851972:QAW851974 PRA851972:PRA851974 PHE851972:PHE851974 OXI851972:OXI851974 ONM851972:ONM851974 ODQ851972:ODQ851974 NTU851972:NTU851974 NJY851972:NJY851974 NAC851972:NAC851974 MQG851972:MQG851974 MGK851972:MGK851974 LWO851972:LWO851974 LMS851972:LMS851974 LCW851972:LCW851974 KTA851972:KTA851974 KJE851972:KJE851974 JZI851972:JZI851974 JPM851972:JPM851974 JFQ851972:JFQ851974 IVU851972:IVU851974 ILY851972:ILY851974 ICC851972:ICC851974 HSG851972:HSG851974 HIK851972:HIK851974 GYO851972:GYO851974 GOS851972:GOS851974 GEW851972:GEW851974 FVA851972:FVA851974 FLE851972:FLE851974 FBI851972:FBI851974 ERM851972:ERM851974 EHQ851972:EHQ851974 DXU851972:DXU851974 DNY851972:DNY851974 DEC851972:DEC851974 CUG851972:CUG851974 CKK851972:CKK851974 CAO851972:CAO851974 BQS851972:BQS851974 BGW851972:BGW851974 AXA851972:AXA851974 ANE851972:ANE851974 ADI851972:ADI851974 TM851972:TM851974 JQ851972:JQ851974 TLM14:TLM16 WWC786436:WWC786438 WMG786436:WMG786438 WCK786436:WCK786438 VSO786436:VSO786438 VIS786436:VIS786438 UYW786436:UYW786438 UPA786436:UPA786438 UFE786436:UFE786438 TVI786436:TVI786438 TLM786436:TLM786438 TBQ786436:TBQ786438 SRU786436:SRU786438 SHY786436:SHY786438 RYC786436:RYC786438 ROG786436:ROG786438 REK786436:REK786438 QUO786436:QUO786438 QKS786436:QKS786438 QAW786436:QAW786438 PRA786436:PRA786438 PHE786436:PHE786438 OXI786436:OXI786438 ONM786436:ONM786438 ODQ786436:ODQ786438 NTU786436:NTU786438 NJY786436:NJY786438 NAC786436:NAC786438 MQG786436:MQG786438 MGK786436:MGK786438 LWO786436:LWO786438 LMS786436:LMS786438 LCW786436:LCW786438 KTA786436:KTA786438 KJE786436:KJE786438 JZI786436:JZI786438 JPM786436:JPM786438 JFQ786436:JFQ786438 IVU786436:IVU786438 ILY786436:ILY786438 ICC786436:ICC786438 HSG786436:HSG786438 HIK786436:HIK786438 GYO786436:GYO786438 GOS786436:GOS786438 GEW786436:GEW786438 FVA786436:FVA786438 FLE786436:FLE786438 FBI786436:FBI786438 ERM786436:ERM786438 EHQ786436:EHQ786438 DXU786436:DXU786438 DNY786436:DNY786438 DEC786436:DEC786438 CUG786436:CUG786438 CKK786436:CKK786438 CAO786436:CAO786438 BQS786436:BQS786438 BGW786436:BGW786438 AXA786436:AXA786438 ANE786436:ANE786438 ADI786436:ADI786438 TM786436:TM786438 JQ786436:JQ786438 TVI14:TVI16 WWC720900:WWC720902 WMG720900:WMG720902 WCK720900:WCK720902 VSO720900:VSO720902 VIS720900:VIS720902 UYW720900:UYW720902 UPA720900:UPA720902 UFE720900:UFE720902 TVI720900:TVI720902 TLM720900:TLM720902 TBQ720900:TBQ720902 SRU720900:SRU720902 SHY720900:SHY720902 RYC720900:RYC720902 ROG720900:ROG720902 REK720900:REK720902 QUO720900:QUO720902 QKS720900:QKS720902 QAW720900:QAW720902 PRA720900:PRA720902 PHE720900:PHE720902 OXI720900:OXI720902 ONM720900:ONM720902 ODQ720900:ODQ720902 NTU720900:NTU720902 NJY720900:NJY720902 NAC720900:NAC720902 MQG720900:MQG720902 MGK720900:MGK720902 LWO720900:LWO720902 LMS720900:LMS720902 LCW720900:LCW720902 KTA720900:KTA720902 KJE720900:KJE720902 JZI720900:JZI720902 JPM720900:JPM720902 JFQ720900:JFQ720902 IVU720900:IVU720902 ILY720900:ILY720902 ICC720900:ICC720902 HSG720900:HSG720902 HIK720900:HIK720902 GYO720900:GYO720902 GOS720900:GOS720902 GEW720900:GEW720902 FVA720900:FVA720902 FLE720900:FLE720902 FBI720900:FBI720902 ERM720900:ERM720902 EHQ720900:EHQ720902 DXU720900:DXU720902 DNY720900:DNY720902 DEC720900:DEC720902 CUG720900:CUG720902 CKK720900:CKK720902 CAO720900:CAO720902 BQS720900:BQS720902 BGW720900:BGW720902 AXA720900:AXA720902 ANE720900:ANE720902 ADI720900:ADI720902 TM720900:TM720902 JQ720900:JQ720902 UFE14:UFE16 WWC655364:WWC655366 WMG655364:WMG655366 WCK655364:WCK655366 VSO655364:VSO655366 VIS655364:VIS655366 UYW655364:UYW655366 UPA655364:UPA655366 UFE655364:UFE655366 TVI655364:TVI655366 TLM655364:TLM655366 TBQ655364:TBQ655366 SRU655364:SRU655366 SHY655364:SHY655366 RYC655364:RYC655366 ROG655364:ROG655366 REK655364:REK655366 QUO655364:QUO655366 QKS655364:QKS655366 QAW655364:QAW655366 PRA655364:PRA655366 PHE655364:PHE655366 OXI655364:OXI655366 ONM655364:ONM655366 ODQ655364:ODQ655366 NTU655364:NTU655366 NJY655364:NJY655366 NAC655364:NAC655366 MQG655364:MQG655366 MGK655364:MGK655366 LWO655364:LWO655366 LMS655364:LMS655366 LCW655364:LCW655366 KTA655364:KTA655366 KJE655364:KJE655366 JZI655364:JZI655366 JPM655364:JPM655366 JFQ655364:JFQ655366 IVU655364:IVU655366 ILY655364:ILY655366 ICC655364:ICC655366 HSG655364:HSG655366 HIK655364:HIK655366 GYO655364:GYO655366 GOS655364:GOS655366 GEW655364:GEW655366 FVA655364:FVA655366 FLE655364:FLE655366 FBI655364:FBI655366 ERM655364:ERM655366 EHQ655364:EHQ655366 DXU655364:DXU655366 DNY655364:DNY655366 DEC655364:DEC655366 CUG655364:CUG655366 CKK655364:CKK655366 CAO655364:CAO655366 BQS655364:BQS655366 BGW655364:BGW655366 AXA655364:AXA655366 ANE655364:ANE655366 ADI655364:ADI655366 TM655364:TM655366 JQ655364:JQ655366 UPA14:UPA16 WWC589828:WWC589830 WMG589828:WMG589830 WCK589828:WCK589830 VSO589828:VSO589830 VIS589828:VIS589830 UYW589828:UYW589830 UPA589828:UPA589830 UFE589828:UFE589830 TVI589828:TVI589830 TLM589828:TLM589830 TBQ589828:TBQ589830 SRU589828:SRU589830 SHY589828:SHY589830 RYC589828:RYC589830 ROG589828:ROG589830 REK589828:REK589830 QUO589828:QUO589830 QKS589828:QKS589830 QAW589828:QAW589830 PRA589828:PRA589830 PHE589828:PHE589830 OXI589828:OXI589830 ONM589828:ONM589830 ODQ589828:ODQ589830 NTU589828:NTU589830 NJY589828:NJY589830 NAC589828:NAC589830 MQG589828:MQG589830 MGK589828:MGK589830 LWO589828:LWO589830 LMS589828:LMS589830 LCW589828:LCW589830 KTA589828:KTA589830 KJE589828:KJE589830 JZI589828:JZI589830 JPM589828:JPM589830 JFQ589828:JFQ589830 IVU589828:IVU589830 ILY589828:ILY589830 ICC589828:ICC589830 HSG589828:HSG589830 HIK589828:HIK589830 GYO589828:GYO589830 GOS589828:GOS589830 GEW589828:GEW589830 FVA589828:FVA589830 FLE589828:FLE589830 FBI589828:FBI589830 ERM589828:ERM589830 EHQ589828:EHQ589830 DXU589828:DXU589830 DNY589828:DNY589830 DEC589828:DEC589830 CUG589828:CUG589830 CKK589828:CKK589830 CAO589828:CAO589830 BQS589828:BQS589830 BGW589828:BGW589830 AXA589828:AXA589830 ANE589828:ANE589830 ADI589828:ADI589830 TM589828:TM589830 JQ589828:JQ589830 UYW14:UYW16 WWC524292:WWC524294 WMG524292:WMG524294 WCK524292:WCK524294 VSO524292:VSO524294 VIS524292:VIS524294 UYW524292:UYW524294 UPA524292:UPA524294 UFE524292:UFE524294 TVI524292:TVI524294 TLM524292:TLM524294 TBQ524292:TBQ524294 SRU524292:SRU524294 SHY524292:SHY524294 RYC524292:RYC524294 ROG524292:ROG524294 REK524292:REK524294 QUO524292:QUO524294 QKS524292:QKS524294 QAW524292:QAW524294 PRA524292:PRA524294 PHE524292:PHE524294 OXI524292:OXI524294 ONM524292:ONM524294 ODQ524292:ODQ524294 NTU524292:NTU524294 NJY524292:NJY524294 NAC524292:NAC524294 MQG524292:MQG524294 MGK524292:MGK524294 LWO524292:LWO524294 LMS524292:LMS524294 LCW524292:LCW524294 KTA524292:KTA524294 KJE524292:KJE524294 JZI524292:JZI524294 JPM524292:JPM524294 JFQ524292:JFQ524294 IVU524292:IVU524294 ILY524292:ILY524294 ICC524292:ICC524294 HSG524292:HSG524294 HIK524292:HIK524294 GYO524292:GYO524294 GOS524292:GOS524294 GEW524292:GEW524294 FVA524292:FVA524294 FLE524292:FLE524294 FBI524292:FBI524294 ERM524292:ERM524294 EHQ524292:EHQ524294 DXU524292:DXU524294 DNY524292:DNY524294 DEC524292:DEC524294 CUG524292:CUG524294 CKK524292:CKK524294 CAO524292:CAO524294 BQS524292:BQS524294 BGW524292:BGW524294 AXA524292:AXA524294 ANE524292:ANE524294 ADI524292:ADI524294 TM524292:TM524294 JQ524292:JQ524294 VIS14:VIS16 WWC458756:WWC458758 WMG458756:WMG458758 WCK458756:WCK458758 VSO458756:VSO458758 VIS458756:VIS458758 UYW458756:UYW458758 UPA458756:UPA458758 UFE458756:UFE458758 TVI458756:TVI458758 TLM458756:TLM458758 TBQ458756:TBQ458758 SRU458756:SRU458758 SHY458756:SHY458758 RYC458756:RYC458758 ROG458756:ROG458758 REK458756:REK458758 QUO458756:QUO458758 QKS458756:QKS458758 QAW458756:QAW458758 PRA458756:PRA458758 PHE458756:PHE458758 OXI458756:OXI458758 ONM458756:ONM458758 ODQ458756:ODQ458758 NTU458756:NTU458758 NJY458756:NJY458758 NAC458756:NAC458758 MQG458756:MQG458758 MGK458756:MGK458758 LWO458756:LWO458758 LMS458756:LMS458758 LCW458756:LCW458758 KTA458756:KTA458758 KJE458756:KJE458758 JZI458756:JZI458758 JPM458756:JPM458758 JFQ458756:JFQ458758 IVU458756:IVU458758 ILY458756:ILY458758 ICC458756:ICC458758 HSG458756:HSG458758 HIK458756:HIK458758 GYO458756:GYO458758 GOS458756:GOS458758 GEW458756:GEW458758 FVA458756:FVA458758 FLE458756:FLE458758 FBI458756:FBI458758 ERM458756:ERM458758 EHQ458756:EHQ458758 DXU458756:DXU458758 DNY458756:DNY458758 DEC458756:DEC458758 CUG458756:CUG458758 CKK458756:CKK458758 CAO458756:CAO458758 BQS458756:BQS458758 BGW458756:BGW458758 AXA458756:AXA458758 ANE458756:ANE458758 ADI458756:ADI458758 TM458756:TM458758 JQ458756:JQ458758 VSO14:VSO16 WWC393220:WWC393222 WMG393220:WMG393222 WCK393220:WCK393222 VSO393220:VSO393222 VIS393220:VIS393222 UYW393220:UYW393222 UPA393220:UPA393222 UFE393220:UFE393222 TVI393220:TVI393222 TLM393220:TLM393222 TBQ393220:TBQ393222 SRU393220:SRU393222 SHY393220:SHY393222 RYC393220:RYC393222 ROG393220:ROG393222 REK393220:REK393222 QUO393220:QUO393222 QKS393220:QKS393222 QAW393220:QAW393222 PRA393220:PRA393222 PHE393220:PHE393222 OXI393220:OXI393222 ONM393220:ONM393222 ODQ393220:ODQ393222 NTU393220:NTU393222 NJY393220:NJY393222 NAC393220:NAC393222 MQG393220:MQG393222 MGK393220:MGK393222 LWO393220:LWO393222 LMS393220:LMS393222 LCW393220:LCW393222 KTA393220:KTA393222 KJE393220:KJE393222 JZI393220:JZI393222 JPM393220:JPM393222 JFQ393220:JFQ393222 IVU393220:IVU393222 ILY393220:ILY393222 ICC393220:ICC393222 HSG393220:HSG393222 HIK393220:HIK393222 GYO393220:GYO393222 GOS393220:GOS393222 GEW393220:GEW393222 FVA393220:FVA393222 FLE393220:FLE393222 FBI393220:FBI393222 ERM393220:ERM393222 EHQ393220:EHQ393222 DXU393220:DXU393222 DNY393220:DNY393222 DEC393220:DEC393222 CUG393220:CUG393222 CKK393220:CKK393222 CAO393220:CAO393222 BQS393220:BQS393222 BGW393220:BGW393222 AXA393220:AXA393222 ANE393220:ANE393222 ADI393220:ADI393222 TM393220:TM393222 JQ393220:JQ393222 WCK14:WCK16 WWC327684:WWC327686 WMG327684:WMG327686 WCK327684:WCK327686 VSO327684:VSO327686 VIS327684:VIS327686 UYW327684:UYW327686 UPA327684:UPA327686 UFE327684:UFE327686 TVI327684:TVI327686 TLM327684:TLM327686 TBQ327684:TBQ327686 SRU327684:SRU327686 SHY327684:SHY327686 RYC327684:RYC327686 ROG327684:ROG327686 REK327684:REK327686 QUO327684:QUO327686 QKS327684:QKS327686 QAW327684:QAW327686 PRA327684:PRA327686 PHE327684:PHE327686 OXI327684:OXI327686 ONM327684:ONM327686 ODQ327684:ODQ327686 NTU327684:NTU327686 NJY327684:NJY327686 NAC327684:NAC327686 MQG327684:MQG327686 MGK327684:MGK327686 LWO327684:LWO327686 LMS327684:LMS327686 LCW327684:LCW327686 KTA327684:KTA327686 KJE327684:KJE327686 JZI327684:JZI327686 JPM327684:JPM327686 JFQ327684:JFQ327686 IVU327684:IVU327686 ILY327684:ILY327686 ICC327684:ICC327686 HSG327684:HSG327686 HIK327684:HIK327686 GYO327684:GYO327686 GOS327684:GOS327686 GEW327684:GEW327686 FVA327684:FVA327686 FLE327684:FLE327686 FBI327684:FBI327686 ERM327684:ERM327686 EHQ327684:EHQ327686 DXU327684:DXU327686 DNY327684:DNY327686 DEC327684:DEC327686 CUG327684:CUG327686 CKK327684:CKK327686 CAO327684:CAO327686 BQS327684:BQS327686 BGW327684:BGW327686 AXA327684:AXA327686 ANE327684:ANE327686 ADI327684:ADI327686 TM327684:TM327686 JQ327684:JQ327686 WMG14:WMG16 WWC262148:WWC262150 WMG262148:WMG262150 WCK262148:WCK262150 VSO262148:VSO262150 VIS262148:VIS262150 UYW262148:UYW262150 UPA262148:UPA262150 UFE262148:UFE262150 TVI262148:TVI262150 TLM262148:TLM262150 TBQ262148:TBQ262150 SRU262148:SRU262150 SHY262148:SHY262150 RYC262148:RYC262150 ROG262148:ROG262150 REK262148:REK262150 QUO262148:QUO262150 QKS262148:QKS262150 QAW262148:QAW262150 PRA262148:PRA262150 PHE262148:PHE262150 OXI262148:OXI262150 ONM262148:ONM262150 ODQ262148:ODQ262150 NTU262148:NTU262150 NJY262148:NJY262150 NAC262148:NAC262150 MQG262148:MQG262150 MGK262148:MGK262150 LWO262148:LWO262150 LMS262148:LMS262150 LCW262148:LCW262150 KTA262148:KTA262150 KJE262148:KJE262150 JZI262148:JZI262150 JPM262148:JPM262150 JFQ262148:JFQ262150 IVU262148:IVU262150 ILY262148:ILY262150 ICC262148:ICC262150 HSG262148:HSG262150 HIK262148:HIK262150 GYO262148:GYO262150 GOS262148:GOS262150 GEW262148:GEW262150 FVA262148:FVA262150 FLE262148:FLE262150 FBI262148:FBI262150 ERM262148:ERM262150 EHQ262148:EHQ262150 DXU262148:DXU262150 DNY262148:DNY262150 DEC262148:DEC262150 CUG262148:CUG262150 CKK262148:CKK262150 CAO262148:CAO262150 BQS262148:BQS262150 BGW262148:BGW262150 AXA262148:AXA262150 ANE262148:ANE262150 ADI262148:ADI262150 TM262148:TM262150 JQ262148:JQ262150 WWC14:WWC16 WWC196612:WWC196614 WMG196612:WMG196614 WCK196612:WCK196614 VSO196612:VSO196614 VIS196612:VIS196614 UYW196612:UYW196614 UPA196612:UPA196614 UFE196612:UFE196614 TVI196612:TVI196614 TLM196612:TLM196614 TBQ196612:TBQ196614 SRU196612:SRU196614 SHY196612:SHY196614 RYC196612:RYC196614 ROG196612:ROG196614 REK196612:REK196614 QUO196612:QUO196614 QKS196612:QKS196614 QAW196612:QAW196614 PRA196612:PRA196614 PHE196612:PHE196614 OXI196612:OXI196614 ONM196612:ONM196614 ODQ196612:ODQ196614 NTU196612:NTU196614 NJY196612:NJY196614 NAC196612:NAC196614 MQG196612:MQG196614 MGK196612:MGK196614 LWO196612:LWO196614 LMS196612:LMS196614 LCW196612:LCW196614 KTA196612:KTA196614 KJE196612:KJE196614 JZI196612:JZI196614 JPM196612:JPM196614 JFQ196612:JFQ196614 IVU196612:IVU196614 ILY196612:ILY196614 ICC196612:ICC196614 HSG196612:HSG196614 HIK196612:HIK196614 GYO196612:GYO196614 GOS196612:GOS196614 GEW196612:GEW196614 FVA196612:FVA196614 FLE196612:FLE196614 FBI196612:FBI196614 ERM196612:ERM196614 EHQ196612:EHQ196614 DXU196612:DXU196614 DNY196612:DNY196614 DEC196612:DEC196614 CUG196612:CUG196614 CKK196612:CKK196614 CAO196612:CAO196614 BQS196612:BQS196614 BGW196612:BGW196614 AXA196612:AXA196614 ANE196612:ANE196614 ADI196612:ADI196614 TM196612:TM196614 JQ196612:JQ196614 WWC18:WWC19 WWC131076:WWC131078 WMG131076:WMG131078 WCK131076:WCK131078 VSO131076:VSO131078 VIS131076:VIS131078 UYW131076:UYW131078 UPA131076:UPA131078 UFE131076:UFE131078 TVI131076:TVI131078 TLM131076:TLM131078 TBQ131076:TBQ131078 SRU131076:SRU131078 SHY131076:SHY131078 RYC131076:RYC131078 ROG131076:ROG131078 REK131076:REK131078 QUO131076:QUO131078 QKS131076:QKS131078 QAW131076:QAW131078 PRA131076:PRA131078 PHE131076:PHE131078 OXI131076:OXI131078 ONM131076:ONM131078 ODQ131076:ODQ131078 NTU131076:NTU131078 NJY131076:NJY131078 NAC131076:NAC131078 MQG131076:MQG131078 MGK131076:MGK131078 LWO131076:LWO131078 LMS131076:LMS131078 LCW131076:LCW131078 KTA131076:KTA131078 KJE131076:KJE131078 JZI131076:JZI131078 JPM131076:JPM131078 JFQ131076:JFQ131078 IVU131076:IVU131078 ILY131076:ILY131078 ICC131076:ICC131078 HSG131076:HSG131078 HIK131076:HIK131078 GYO131076:GYO131078 GOS131076:GOS131078 GEW131076:GEW131078 FVA131076:FVA131078 FLE131076:FLE131078 FBI131076:FBI131078 ERM131076:ERM131078 EHQ131076:EHQ131078 DXU131076:DXU131078 DNY131076:DNY131078 DEC131076:DEC131078 CUG131076:CUG131078 CKK131076:CKK131078 CAO131076:CAO131078 BQS131076:BQS131078 BGW131076:BGW131078 AXA131076:AXA131078 ANE131076:ANE131078 ADI131076:ADI131078 TM131076:TM131078 JQ131076:JQ131078 JQ18:JQ19 WWC65540:WWC65542 WMG65540:WMG65542 WCK65540:WCK65542 VSO65540:VSO65542 VIS65540:VIS65542 UYW65540:UYW65542 UPA65540:UPA65542 UFE65540:UFE65542 TVI65540:TVI65542 TLM65540:TLM65542 TBQ65540:TBQ65542 SRU65540:SRU65542 SHY65540:SHY65542 RYC65540:RYC65542 ROG65540:ROG65542 REK65540:REK65542 QUO65540:QUO65542 QKS65540:QKS65542 QAW65540:QAW65542 PRA65540:PRA65542 PHE65540:PHE65542 OXI65540:OXI65542 ONM65540:ONM65542 ODQ65540:ODQ65542 NTU65540:NTU65542 NJY65540:NJY65542 NAC65540:NAC65542 MQG65540:MQG65542 MGK65540:MGK65542 LWO65540:LWO65542 LMS65540:LMS65542 LCW65540:LCW65542 KTA65540:KTA65542 KJE65540:KJE65542 JZI65540:JZI65542 JPM65540:JPM65542 JFQ65540:JFQ65542 IVU65540:IVU65542 ILY65540:ILY65542 ICC65540:ICC65542 HSG65540:HSG65542 HIK65540:HIK65542 GYO65540:GYO65542 GOS65540:GOS65542 GEW65540:GEW65542 FVA65540:FVA65542 FLE65540:FLE65542 FBI65540:FBI65542 ERM65540:ERM65542 EHQ65540:EHQ65542 DXU65540:DXU65542 DNY65540:DNY65542 DEC65540:DEC65542 CUG65540:CUG65542 CKK65540:CKK65542 CAO65540:CAO65542 BQS65540:BQS65542 BGW65540:BGW65542 AXA65540:AXA65542 ANE65540:ANE65542 ADI65540:ADI65542 TM65540:TM65542 JQ65540:JQ65542 TM18:TM19 WWC983035:WWC983037 WMG983035:WMG983037 WCK983035:WCK983037 VSO983035:VSO983037 VIS983035:VIS983037 UYW983035:UYW983037 UPA983035:UPA983037 UFE983035:UFE983037 TVI983035:TVI983037 TLM983035:TLM983037 TBQ983035:TBQ983037 SRU983035:SRU983037 SHY983035:SHY983037 RYC983035:RYC983037 ROG983035:ROG983037 REK983035:REK983037 QUO983035:QUO983037 QKS983035:QKS983037 QAW983035:QAW983037 PRA983035:PRA983037 PHE983035:PHE983037 OXI983035:OXI983037 ONM983035:ONM983037 ODQ983035:ODQ983037 NTU983035:NTU983037 NJY983035:NJY983037 NAC983035:NAC983037 MQG983035:MQG983037 MGK983035:MGK983037 LWO983035:LWO983037 LMS983035:LMS983037 LCW983035:LCW983037 KTA983035:KTA983037 KJE983035:KJE983037 JZI983035:JZI983037 JPM983035:JPM983037 JFQ983035:JFQ983037 IVU983035:IVU983037 ILY983035:ILY983037 ICC983035:ICC983037 HSG983035:HSG983037 HIK983035:HIK983037 GYO983035:GYO983037 GOS983035:GOS983037 GEW983035:GEW983037 FVA983035:FVA983037 FLE983035:FLE983037 FBI983035:FBI983037 ERM983035:ERM983037 EHQ983035:EHQ983037 DXU983035:DXU983037 DNY983035:DNY983037 DEC983035:DEC983037 CUG983035:CUG983037 CKK983035:CKK983037 CAO983035:CAO983037 BQS983035:BQS983037 BGW983035:BGW983037 AXA983035:AXA983037 ANE983035:ANE983037 ADI983035:ADI983037 TM983035:TM983037 JQ983035:JQ983037 ADI18:ADI19 WWC917499:WWC917501 WMG917499:WMG917501 WCK917499:WCK917501 VSO917499:VSO917501 VIS917499:VIS917501 UYW917499:UYW917501 UPA917499:UPA917501 UFE917499:UFE917501 TVI917499:TVI917501 TLM917499:TLM917501 TBQ917499:TBQ917501 SRU917499:SRU917501 SHY917499:SHY917501 RYC917499:RYC917501 ROG917499:ROG917501 REK917499:REK917501 QUO917499:QUO917501 QKS917499:QKS917501 QAW917499:QAW917501 PRA917499:PRA917501 PHE917499:PHE917501 OXI917499:OXI917501 ONM917499:ONM917501 ODQ917499:ODQ917501 NTU917499:NTU917501 NJY917499:NJY917501 NAC917499:NAC917501 MQG917499:MQG917501 MGK917499:MGK917501 LWO917499:LWO917501 LMS917499:LMS917501 LCW917499:LCW917501 KTA917499:KTA917501 KJE917499:KJE917501 JZI917499:JZI917501 JPM917499:JPM917501 JFQ917499:JFQ917501 IVU917499:IVU917501 ILY917499:ILY917501 ICC917499:ICC917501 HSG917499:HSG917501 HIK917499:HIK917501 GYO917499:GYO917501 GOS917499:GOS917501 GEW917499:GEW917501 FVA917499:FVA917501 FLE917499:FLE917501 FBI917499:FBI917501 ERM917499:ERM917501 EHQ917499:EHQ917501 DXU917499:DXU917501 DNY917499:DNY917501 DEC917499:DEC917501 CUG917499:CUG917501 CKK917499:CKK917501 CAO917499:CAO917501 BQS917499:BQS917501 BGW917499:BGW917501 AXA917499:AXA917501 ANE917499:ANE917501 ADI917499:ADI917501 TM917499:TM917501 JQ917499:JQ917501 ANE18:ANE19 WWC851963:WWC851965 WMG851963:WMG851965 WCK851963:WCK851965 VSO851963:VSO851965 VIS851963:VIS851965 UYW851963:UYW851965 UPA851963:UPA851965 UFE851963:UFE851965 TVI851963:TVI851965 TLM851963:TLM851965 TBQ851963:TBQ851965 SRU851963:SRU851965 SHY851963:SHY851965 RYC851963:RYC851965 ROG851963:ROG851965 REK851963:REK851965 QUO851963:QUO851965 QKS851963:QKS851965 QAW851963:QAW851965 PRA851963:PRA851965 PHE851963:PHE851965 OXI851963:OXI851965 ONM851963:ONM851965 ODQ851963:ODQ851965 NTU851963:NTU851965 NJY851963:NJY851965 NAC851963:NAC851965 MQG851963:MQG851965 MGK851963:MGK851965 LWO851963:LWO851965 LMS851963:LMS851965 LCW851963:LCW851965 KTA851963:KTA851965 KJE851963:KJE851965 JZI851963:JZI851965 JPM851963:JPM851965 JFQ851963:JFQ851965 IVU851963:IVU851965 ILY851963:ILY851965 ICC851963:ICC851965 HSG851963:HSG851965 HIK851963:HIK851965 GYO851963:GYO851965 GOS851963:GOS851965 GEW851963:GEW851965 FVA851963:FVA851965 FLE851963:FLE851965 FBI851963:FBI851965 ERM851963:ERM851965 EHQ851963:EHQ851965 DXU851963:DXU851965 DNY851963:DNY851965 DEC851963:DEC851965 CUG851963:CUG851965 CKK851963:CKK851965 CAO851963:CAO851965 BQS851963:BQS851965 BGW851963:BGW851965 AXA851963:AXA851965 ANE851963:ANE851965 ADI851963:ADI851965 TM851963:TM851965 JQ851963:JQ851965 AXA18:AXA19 WWC786427:WWC786429 WMG786427:WMG786429 WCK786427:WCK786429 VSO786427:VSO786429 VIS786427:VIS786429 UYW786427:UYW786429 UPA786427:UPA786429 UFE786427:UFE786429 TVI786427:TVI786429 TLM786427:TLM786429 TBQ786427:TBQ786429 SRU786427:SRU786429 SHY786427:SHY786429 RYC786427:RYC786429 ROG786427:ROG786429 REK786427:REK786429 QUO786427:QUO786429 QKS786427:QKS786429 QAW786427:QAW786429 PRA786427:PRA786429 PHE786427:PHE786429 OXI786427:OXI786429 ONM786427:ONM786429 ODQ786427:ODQ786429 NTU786427:NTU786429 NJY786427:NJY786429 NAC786427:NAC786429 MQG786427:MQG786429 MGK786427:MGK786429 LWO786427:LWO786429 LMS786427:LMS786429 LCW786427:LCW786429 KTA786427:KTA786429 KJE786427:KJE786429 JZI786427:JZI786429 JPM786427:JPM786429 JFQ786427:JFQ786429 IVU786427:IVU786429 ILY786427:ILY786429 ICC786427:ICC786429 HSG786427:HSG786429 HIK786427:HIK786429 GYO786427:GYO786429 GOS786427:GOS786429 GEW786427:GEW786429 FVA786427:FVA786429 FLE786427:FLE786429 FBI786427:FBI786429 ERM786427:ERM786429 EHQ786427:EHQ786429 DXU786427:DXU786429 DNY786427:DNY786429 DEC786427:DEC786429 CUG786427:CUG786429 CKK786427:CKK786429 CAO786427:CAO786429 BQS786427:BQS786429 BGW786427:BGW786429 AXA786427:AXA786429 ANE786427:ANE786429 ADI786427:ADI786429 TM786427:TM786429 JQ786427:JQ786429 BGW18:BGW19 WWC720891:WWC720893 WMG720891:WMG720893 WCK720891:WCK720893 VSO720891:VSO720893 VIS720891:VIS720893 UYW720891:UYW720893 UPA720891:UPA720893 UFE720891:UFE720893 TVI720891:TVI720893 TLM720891:TLM720893 TBQ720891:TBQ720893 SRU720891:SRU720893 SHY720891:SHY720893 RYC720891:RYC720893 ROG720891:ROG720893 REK720891:REK720893 QUO720891:QUO720893 QKS720891:QKS720893 QAW720891:QAW720893 PRA720891:PRA720893 PHE720891:PHE720893 OXI720891:OXI720893 ONM720891:ONM720893 ODQ720891:ODQ720893 NTU720891:NTU720893 NJY720891:NJY720893 NAC720891:NAC720893 MQG720891:MQG720893 MGK720891:MGK720893 LWO720891:LWO720893 LMS720891:LMS720893 LCW720891:LCW720893 KTA720891:KTA720893 KJE720891:KJE720893 JZI720891:JZI720893 JPM720891:JPM720893 JFQ720891:JFQ720893 IVU720891:IVU720893 ILY720891:ILY720893 ICC720891:ICC720893 HSG720891:HSG720893 HIK720891:HIK720893 GYO720891:GYO720893 GOS720891:GOS720893 GEW720891:GEW720893 FVA720891:FVA720893 FLE720891:FLE720893 FBI720891:FBI720893 ERM720891:ERM720893 EHQ720891:EHQ720893 DXU720891:DXU720893 DNY720891:DNY720893 DEC720891:DEC720893 CUG720891:CUG720893 CKK720891:CKK720893 CAO720891:CAO720893 BQS720891:BQS720893 BGW720891:BGW720893 AXA720891:AXA720893 ANE720891:ANE720893 ADI720891:ADI720893 TM720891:TM720893 JQ720891:JQ720893 BQS18:BQS19 WWC655355:WWC655357 WMG655355:WMG655357 WCK655355:WCK655357 VSO655355:VSO655357 VIS655355:VIS655357 UYW655355:UYW655357 UPA655355:UPA655357 UFE655355:UFE655357 TVI655355:TVI655357 TLM655355:TLM655357 TBQ655355:TBQ655357 SRU655355:SRU655357 SHY655355:SHY655357 RYC655355:RYC655357 ROG655355:ROG655357 REK655355:REK655357 QUO655355:QUO655357 QKS655355:QKS655357 QAW655355:QAW655357 PRA655355:PRA655357 PHE655355:PHE655357 OXI655355:OXI655357 ONM655355:ONM655357 ODQ655355:ODQ655357 NTU655355:NTU655357 NJY655355:NJY655357 NAC655355:NAC655357 MQG655355:MQG655357 MGK655355:MGK655357 LWO655355:LWO655357 LMS655355:LMS655357 LCW655355:LCW655357 KTA655355:KTA655357 KJE655355:KJE655357 JZI655355:JZI655357 JPM655355:JPM655357 JFQ655355:JFQ655357 IVU655355:IVU655357 ILY655355:ILY655357 ICC655355:ICC655357 HSG655355:HSG655357 HIK655355:HIK655357 GYO655355:GYO655357 GOS655355:GOS655357 GEW655355:GEW655357 FVA655355:FVA655357 FLE655355:FLE655357 FBI655355:FBI655357 ERM655355:ERM655357 EHQ655355:EHQ655357 DXU655355:DXU655357 DNY655355:DNY655357 DEC655355:DEC655357 CUG655355:CUG655357 CKK655355:CKK655357 CAO655355:CAO655357 BQS655355:BQS655357 BGW655355:BGW655357 AXA655355:AXA655357 ANE655355:ANE655357 ADI655355:ADI655357 TM655355:TM655357 JQ655355:JQ655357 CAO18:CAO19 WWC589819:WWC589821 WMG589819:WMG589821 WCK589819:WCK589821 VSO589819:VSO589821 VIS589819:VIS589821 UYW589819:UYW589821 UPA589819:UPA589821 UFE589819:UFE589821 TVI589819:TVI589821 TLM589819:TLM589821 TBQ589819:TBQ589821 SRU589819:SRU589821 SHY589819:SHY589821 RYC589819:RYC589821 ROG589819:ROG589821 REK589819:REK589821 QUO589819:QUO589821 QKS589819:QKS589821 QAW589819:QAW589821 PRA589819:PRA589821 PHE589819:PHE589821 OXI589819:OXI589821 ONM589819:ONM589821 ODQ589819:ODQ589821 NTU589819:NTU589821 NJY589819:NJY589821 NAC589819:NAC589821 MQG589819:MQG589821 MGK589819:MGK589821 LWO589819:LWO589821 LMS589819:LMS589821 LCW589819:LCW589821 KTA589819:KTA589821 KJE589819:KJE589821 JZI589819:JZI589821 JPM589819:JPM589821 JFQ589819:JFQ589821 IVU589819:IVU589821 ILY589819:ILY589821 ICC589819:ICC589821 HSG589819:HSG589821 HIK589819:HIK589821 GYO589819:GYO589821 GOS589819:GOS589821 GEW589819:GEW589821 FVA589819:FVA589821 FLE589819:FLE589821 FBI589819:FBI589821 ERM589819:ERM589821 EHQ589819:EHQ589821 DXU589819:DXU589821 DNY589819:DNY589821 DEC589819:DEC589821 CUG589819:CUG589821 CKK589819:CKK589821 CAO589819:CAO589821 BQS589819:BQS589821 BGW589819:BGW589821 AXA589819:AXA589821 ANE589819:ANE589821 ADI589819:ADI589821 TM589819:TM589821 JQ589819:JQ589821 CKK18:CKK19 WWC524283:WWC524285 WMG524283:WMG524285 WCK524283:WCK524285 VSO524283:VSO524285 VIS524283:VIS524285 UYW524283:UYW524285 UPA524283:UPA524285 UFE524283:UFE524285 TVI524283:TVI524285 TLM524283:TLM524285 TBQ524283:TBQ524285 SRU524283:SRU524285 SHY524283:SHY524285 RYC524283:RYC524285 ROG524283:ROG524285 REK524283:REK524285 QUO524283:QUO524285 QKS524283:QKS524285 QAW524283:QAW524285 PRA524283:PRA524285 PHE524283:PHE524285 OXI524283:OXI524285 ONM524283:ONM524285 ODQ524283:ODQ524285 NTU524283:NTU524285 NJY524283:NJY524285 NAC524283:NAC524285 MQG524283:MQG524285 MGK524283:MGK524285 LWO524283:LWO524285 LMS524283:LMS524285 LCW524283:LCW524285 KTA524283:KTA524285 KJE524283:KJE524285 JZI524283:JZI524285 JPM524283:JPM524285 JFQ524283:JFQ524285 IVU524283:IVU524285 ILY524283:ILY524285 ICC524283:ICC524285 HSG524283:HSG524285 HIK524283:HIK524285 GYO524283:GYO524285 GOS524283:GOS524285 GEW524283:GEW524285 FVA524283:FVA524285 FLE524283:FLE524285 FBI524283:FBI524285 ERM524283:ERM524285 EHQ524283:EHQ524285 DXU524283:DXU524285 DNY524283:DNY524285 DEC524283:DEC524285 CUG524283:CUG524285 CKK524283:CKK524285 CAO524283:CAO524285 BQS524283:BQS524285 BGW524283:BGW524285 AXA524283:AXA524285 ANE524283:ANE524285 ADI524283:ADI524285 TM524283:TM524285 JQ524283:JQ524285 CUG18:CUG19 WWC458747:WWC458749 WMG458747:WMG458749 WCK458747:WCK458749 VSO458747:VSO458749 VIS458747:VIS458749 UYW458747:UYW458749 UPA458747:UPA458749 UFE458747:UFE458749 TVI458747:TVI458749 TLM458747:TLM458749 TBQ458747:TBQ458749 SRU458747:SRU458749 SHY458747:SHY458749 RYC458747:RYC458749 ROG458747:ROG458749 REK458747:REK458749 QUO458747:QUO458749 QKS458747:QKS458749 QAW458747:QAW458749 PRA458747:PRA458749 PHE458747:PHE458749 OXI458747:OXI458749 ONM458747:ONM458749 ODQ458747:ODQ458749 NTU458747:NTU458749 NJY458747:NJY458749 NAC458747:NAC458749 MQG458747:MQG458749 MGK458747:MGK458749 LWO458747:LWO458749 LMS458747:LMS458749 LCW458747:LCW458749 KTA458747:KTA458749 KJE458747:KJE458749 JZI458747:JZI458749 JPM458747:JPM458749 JFQ458747:JFQ458749 IVU458747:IVU458749 ILY458747:ILY458749 ICC458747:ICC458749 HSG458747:HSG458749 HIK458747:HIK458749 GYO458747:GYO458749 GOS458747:GOS458749 GEW458747:GEW458749 FVA458747:FVA458749 FLE458747:FLE458749 FBI458747:FBI458749 ERM458747:ERM458749 EHQ458747:EHQ458749 DXU458747:DXU458749 DNY458747:DNY458749 DEC458747:DEC458749 CUG458747:CUG458749 CKK458747:CKK458749 CAO458747:CAO458749 BQS458747:BQS458749 BGW458747:BGW458749 AXA458747:AXA458749 ANE458747:ANE458749 ADI458747:ADI458749 TM458747:TM458749 JQ458747:JQ458749 DEC18:DEC19 WWC393211:WWC393213 WMG393211:WMG393213 WCK393211:WCK393213 VSO393211:VSO393213 VIS393211:VIS393213 UYW393211:UYW393213 UPA393211:UPA393213 UFE393211:UFE393213 TVI393211:TVI393213 TLM393211:TLM393213 TBQ393211:TBQ393213 SRU393211:SRU393213 SHY393211:SHY393213 RYC393211:RYC393213 ROG393211:ROG393213 REK393211:REK393213 QUO393211:QUO393213 QKS393211:QKS393213 QAW393211:QAW393213 PRA393211:PRA393213 PHE393211:PHE393213 OXI393211:OXI393213 ONM393211:ONM393213 ODQ393211:ODQ393213 NTU393211:NTU393213 NJY393211:NJY393213 NAC393211:NAC393213 MQG393211:MQG393213 MGK393211:MGK393213 LWO393211:LWO393213 LMS393211:LMS393213 LCW393211:LCW393213 KTA393211:KTA393213 KJE393211:KJE393213 JZI393211:JZI393213 JPM393211:JPM393213 JFQ393211:JFQ393213 IVU393211:IVU393213 ILY393211:ILY393213 ICC393211:ICC393213 HSG393211:HSG393213 HIK393211:HIK393213 GYO393211:GYO393213 GOS393211:GOS393213 GEW393211:GEW393213 FVA393211:FVA393213 FLE393211:FLE393213 FBI393211:FBI393213 ERM393211:ERM393213 EHQ393211:EHQ393213 DXU393211:DXU393213 DNY393211:DNY393213 DEC393211:DEC393213 CUG393211:CUG393213 CKK393211:CKK393213 CAO393211:CAO393213 BQS393211:BQS393213 BGW393211:BGW393213 AXA393211:AXA393213 ANE393211:ANE393213 ADI393211:ADI393213 TM393211:TM393213 JQ393211:JQ393213 DNY18:DNY19 WWC327675:WWC327677 WMG327675:WMG327677 WCK327675:WCK327677 VSO327675:VSO327677 VIS327675:VIS327677 UYW327675:UYW327677 UPA327675:UPA327677 UFE327675:UFE327677 TVI327675:TVI327677 TLM327675:TLM327677 TBQ327675:TBQ327677 SRU327675:SRU327677 SHY327675:SHY327677 RYC327675:RYC327677 ROG327675:ROG327677 REK327675:REK327677 QUO327675:QUO327677 QKS327675:QKS327677 QAW327675:QAW327677 PRA327675:PRA327677 PHE327675:PHE327677 OXI327675:OXI327677 ONM327675:ONM327677 ODQ327675:ODQ327677 NTU327675:NTU327677 NJY327675:NJY327677 NAC327675:NAC327677 MQG327675:MQG327677 MGK327675:MGK327677 LWO327675:LWO327677 LMS327675:LMS327677 LCW327675:LCW327677 KTA327675:KTA327677 KJE327675:KJE327677 JZI327675:JZI327677 JPM327675:JPM327677 JFQ327675:JFQ327677 IVU327675:IVU327677 ILY327675:ILY327677 ICC327675:ICC327677 HSG327675:HSG327677 HIK327675:HIK327677 GYO327675:GYO327677 GOS327675:GOS327677 GEW327675:GEW327677 FVA327675:FVA327677 FLE327675:FLE327677 FBI327675:FBI327677 ERM327675:ERM327677 EHQ327675:EHQ327677 DXU327675:DXU327677 DNY327675:DNY327677 DEC327675:DEC327677 CUG327675:CUG327677 CKK327675:CKK327677 CAO327675:CAO327677 BQS327675:BQS327677 BGW327675:BGW327677 AXA327675:AXA327677 ANE327675:ANE327677 ADI327675:ADI327677 TM327675:TM327677 JQ327675:JQ327677 DXU18:DXU19 WWC262139:WWC262141 WMG262139:WMG262141 WCK262139:WCK262141 VSO262139:VSO262141 VIS262139:VIS262141 UYW262139:UYW262141 UPA262139:UPA262141 UFE262139:UFE262141 TVI262139:TVI262141 TLM262139:TLM262141 TBQ262139:TBQ262141 SRU262139:SRU262141 SHY262139:SHY262141 RYC262139:RYC262141 ROG262139:ROG262141 REK262139:REK262141 QUO262139:QUO262141 QKS262139:QKS262141 QAW262139:QAW262141 PRA262139:PRA262141 PHE262139:PHE262141 OXI262139:OXI262141 ONM262139:ONM262141 ODQ262139:ODQ262141 NTU262139:NTU262141 NJY262139:NJY262141 NAC262139:NAC262141 MQG262139:MQG262141 MGK262139:MGK262141 LWO262139:LWO262141 LMS262139:LMS262141 LCW262139:LCW262141 KTA262139:KTA262141 KJE262139:KJE262141 JZI262139:JZI262141 JPM262139:JPM262141 JFQ262139:JFQ262141 IVU262139:IVU262141 ILY262139:ILY262141 ICC262139:ICC262141 HSG262139:HSG262141 HIK262139:HIK262141 GYO262139:GYO262141 GOS262139:GOS262141 GEW262139:GEW262141 FVA262139:FVA262141 FLE262139:FLE262141 FBI262139:FBI262141 ERM262139:ERM262141 EHQ262139:EHQ262141 DXU262139:DXU262141 DNY262139:DNY262141 DEC262139:DEC262141 CUG262139:CUG262141 CKK262139:CKK262141 CAO262139:CAO262141 BQS262139:BQS262141 BGW262139:BGW262141 AXA262139:AXA262141 ANE262139:ANE262141 ADI262139:ADI262141 TM262139:TM262141 JQ262139:JQ262141 EHQ18:EHQ19 WWC196603:WWC196605 WMG196603:WMG196605 WCK196603:WCK196605 VSO196603:VSO196605 VIS196603:VIS196605 UYW196603:UYW196605 UPA196603:UPA196605 UFE196603:UFE196605 TVI196603:TVI196605 TLM196603:TLM196605 TBQ196603:TBQ196605 SRU196603:SRU196605 SHY196603:SHY196605 RYC196603:RYC196605 ROG196603:ROG196605 REK196603:REK196605 QUO196603:QUO196605 QKS196603:QKS196605 QAW196603:QAW196605 PRA196603:PRA196605 PHE196603:PHE196605 OXI196603:OXI196605 ONM196603:ONM196605 ODQ196603:ODQ196605 NTU196603:NTU196605 NJY196603:NJY196605 NAC196603:NAC196605 MQG196603:MQG196605 MGK196603:MGK196605 LWO196603:LWO196605 LMS196603:LMS196605 LCW196603:LCW196605 KTA196603:KTA196605 KJE196603:KJE196605 JZI196603:JZI196605 JPM196603:JPM196605 JFQ196603:JFQ196605 IVU196603:IVU196605 ILY196603:ILY196605 ICC196603:ICC196605 HSG196603:HSG196605 HIK196603:HIK196605 GYO196603:GYO196605 GOS196603:GOS196605 GEW196603:GEW196605 FVA196603:FVA196605 FLE196603:FLE196605 FBI196603:FBI196605 ERM196603:ERM196605 EHQ196603:EHQ196605 DXU196603:DXU196605 DNY196603:DNY196605 DEC196603:DEC196605 CUG196603:CUG196605 CKK196603:CKK196605 CAO196603:CAO196605 BQS196603:BQS196605 BGW196603:BGW196605 AXA196603:AXA196605 ANE196603:ANE196605 ADI196603:ADI196605 TM196603:TM196605 JQ196603:JQ196605 ERM18:ERM19 WWC131067:WWC131069 WMG131067:WMG131069 WCK131067:WCK131069 VSO131067:VSO131069 VIS131067:VIS131069 UYW131067:UYW131069 UPA131067:UPA131069 UFE131067:UFE131069 TVI131067:TVI131069 TLM131067:TLM131069 TBQ131067:TBQ131069 SRU131067:SRU131069 SHY131067:SHY131069 RYC131067:RYC131069 ROG131067:ROG131069 REK131067:REK131069 QUO131067:QUO131069 QKS131067:QKS131069 QAW131067:QAW131069 PRA131067:PRA131069 PHE131067:PHE131069 OXI131067:OXI131069 ONM131067:ONM131069 ODQ131067:ODQ131069 NTU131067:NTU131069 NJY131067:NJY131069 NAC131067:NAC131069 MQG131067:MQG131069 MGK131067:MGK131069 LWO131067:LWO131069 LMS131067:LMS131069 LCW131067:LCW131069 KTA131067:KTA131069 KJE131067:KJE131069 JZI131067:JZI131069 JPM131067:JPM131069 JFQ131067:JFQ131069 IVU131067:IVU131069 ILY131067:ILY131069 ICC131067:ICC131069 HSG131067:HSG131069 HIK131067:HIK131069 GYO131067:GYO131069 GOS131067:GOS131069 GEW131067:GEW131069 FVA131067:FVA131069 FLE131067:FLE131069 FBI131067:FBI131069 ERM131067:ERM131069 EHQ131067:EHQ131069 DXU131067:DXU131069 DNY131067:DNY131069 DEC131067:DEC131069 CUG131067:CUG131069 CKK131067:CKK131069 CAO131067:CAO131069 BQS131067:BQS131069 BGW131067:BGW131069 AXA131067:AXA131069 ANE131067:ANE131069 ADI131067:ADI131069 TM131067:TM131069 JQ131067:JQ131069 FBI18:FBI19 WWC65531:WWC65533 WMG65531:WMG65533 WCK65531:WCK65533 VSO65531:VSO65533 VIS65531:VIS65533 UYW65531:UYW65533 UPA65531:UPA65533 UFE65531:UFE65533 TVI65531:TVI65533 TLM65531:TLM65533 TBQ65531:TBQ65533 SRU65531:SRU65533 SHY65531:SHY65533 RYC65531:RYC65533 ROG65531:ROG65533 REK65531:REK65533 QUO65531:QUO65533 QKS65531:QKS65533 QAW65531:QAW65533 PRA65531:PRA65533 PHE65531:PHE65533 OXI65531:OXI65533 ONM65531:ONM65533 ODQ65531:ODQ65533 NTU65531:NTU65533 NJY65531:NJY65533 NAC65531:NAC65533 MQG65531:MQG65533 MGK65531:MGK65533 LWO65531:LWO65533 LMS65531:LMS65533 LCW65531:LCW65533 KTA65531:KTA65533 KJE65531:KJE65533 JZI65531:JZI65533 JPM65531:JPM65533 JFQ65531:JFQ65533 IVU65531:IVU65533 ILY65531:ILY65533 ICC65531:ICC65533 HSG65531:HSG65533 HIK65531:HIK65533 GYO65531:GYO65533 GOS65531:GOS65533 GEW65531:GEW65533 FVA65531:FVA65533 FLE65531:FLE65533 FBI65531:FBI65533 ERM65531:ERM65533 EHQ65531:EHQ65533 DXU65531:DXU65533 DNY65531:DNY65533 DEC65531:DEC65533 CUG65531:CUG65533 CKK65531:CKK65533 CAO65531:CAO65533 BQS65531:BQS65533 BGW65531:BGW65533 AXA65531:AXA65533 ANE65531:ANE65533 ADI65531:ADI65533 TM65531:TM65533 JQ65531:JQ65533 FLE18:FLE19 WWC983030:WWC983032 WMG983030:WMG983032 WCK983030:WCK983032 VSO983030:VSO983032 VIS983030:VIS983032 UYW983030:UYW983032 UPA983030:UPA983032 UFE983030:UFE983032 TVI983030:TVI983032 TLM983030:TLM983032 TBQ983030:TBQ983032 SRU983030:SRU983032 SHY983030:SHY983032 RYC983030:RYC983032 ROG983030:ROG983032 REK983030:REK983032 QUO983030:QUO983032 QKS983030:QKS983032 QAW983030:QAW983032 PRA983030:PRA983032 PHE983030:PHE983032 OXI983030:OXI983032 ONM983030:ONM983032 ODQ983030:ODQ983032 NTU983030:NTU983032 NJY983030:NJY983032 NAC983030:NAC983032 MQG983030:MQG983032 MGK983030:MGK983032 LWO983030:LWO983032 LMS983030:LMS983032 LCW983030:LCW983032 KTA983030:KTA983032 KJE983030:KJE983032 JZI983030:JZI983032 JPM983030:JPM983032 JFQ983030:JFQ983032 IVU983030:IVU983032 ILY983030:ILY983032 ICC983030:ICC983032 HSG983030:HSG983032 HIK983030:HIK983032 GYO983030:GYO983032 GOS983030:GOS983032 GEW983030:GEW983032 FVA983030:FVA983032 FLE983030:FLE983032 FBI983030:FBI983032 ERM983030:ERM983032 EHQ983030:EHQ983032 DXU983030:DXU983032 DNY983030:DNY983032 DEC983030:DEC983032 CUG983030:CUG983032 CKK983030:CKK983032 CAO983030:CAO983032 BQS983030:BQS983032 BGW983030:BGW983032 AXA983030:AXA983032 ANE983030:ANE983032 ADI983030:ADI983032 TM983030:TM983032 JQ983030:JQ983032 FVA18:FVA19 WWC917494:WWC917496 WMG917494:WMG917496 WCK917494:WCK917496 VSO917494:VSO917496 VIS917494:VIS917496 UYW917494:UYW917496 UPA917494:UPA917496 UFE917494:UFE917496 TVI917494:TVI917496 TLM917494:TLM917496 TBQ917494:TBQ917496 SRU917494:SRU917496 SHY917494:SHY917496 RYC917494:RYC917496 ROG917494:ROG917496 REK917494:REK917496 QUO917494:QUO917496 QKS917494:QKS917496 QAW917494:QAW917496 PRA917494:PRA917496 PHE917494:PHE917496 OXI917494:OXI917496 ONM917494:ONM917496 ODQ917494:ODQ917496 NTU917494:NTU917496 NJY917494:NJY917496 NAC917494:NAC917496 MQG917494:MQG917496 MGK917494:MGK917496 LWO917494:LWO917496 LMS917494:LMS917496 LCW917494:LCW917496 KTA917494:KTA917496 KJE917494:KJE917496 JZI917494:JZI917496 JPM917494:JPM917496 JFQ917494:JFQ917496 IVU917494:IVU917496 ILY917494:ILY917496 ICC917494:ICC917496 HSG917494:HSG917496 HIK917494:HIK917496 GYO917494:GYO917496 GOS917494:GOS917496 GEW917494:GEW917496 FVA917494:FVA917496 FLE917494:FLE917496 FBI917494:FBI917496 ERM917494:ERM917496 EHQ917494:EHQ917496 DXU917494:DXU917496 DNY917494:DNY917496 DEC917494:DEC917496 CUG917494:CUG917496 CKK917494:CKK917496 CAO917494:CAO917496 BQS917494:BQS917496 BGW917494:BGW917496 AXA917494:AXA917496 ANE917494:ANE917496 ADI917494:ADI917496 TM917494:TM917496 JQ917494:JQ917496 GEW18:GEW19 WWC851958:WWC851960 WMG851958:WMG851960 WCK851958:WCK851960 VSO851958:VSO851960 VIS851958:VIS851960 UYW851958:UYW851960 UPA851958:UPA851960 UFE851958:UFE851960 TVI851958:TVI851960 TLM851958:TLM851960 TBQ851958:TBQ851960 SRU851958:SRU851960 SHY851958:SHY851960 RYC851958:RYC851960 ROG851958:ROG851960 REK851958:REK851960 QUO851958:QUO851960 QKS851958:QKS851960 QAW851958:QAW851960 PRA851958:PRA851960 PHE851958:PHE851960 OXI851958:OXI851960 ONM851958:ONM851960 ODQ851958:ODQ851960 NTU851958:NTU851960 NJY851958:NJY851960 NAC851958:NAC851960 MQG851958:MQG851960 MGK851958:MGK851960 LWO851958:LWO851960 LMS851958:LMS851960 LCW851958:LCW851960 KTA851958:KTA851960 KJE851958:KJE851960 JZI851958:JZI851960 JPM851958:JPM851960 JFQ851958:JFQ851960 IVU851958:IVU851960 ILY851958:ILY851960 ICC851958:ICC851960 HSG851958:HSG851960 HIK851958:HIK851960 GYO851958:GYO851960 GOS851958:GOS851960 GEW851958:GEW851960 FVA851958:FVA851960 FLE851958:FLE851960 FBI851958:FBI851960 ERM851958:ERM851960 EHQ851958:EHQ851960 DXU851958:DXU851960 DNY851958:DNY851960 DEC851958:DEC851960 CUG851958:CUG851960 CKK851958:CKK851960 CAO851958:CAO851960 BQS851958:BQS851960 BGW851958:BGW851960 AXA851958:AXA851960 ANE851958:ANE851960 ADI851958:ADI851960 TM851958:TM851960 JQ851958:JQ851960 GOS18:GOS19 WWC786422:WWC786424 WMG786422:WMG786424 WCK786422:WCK786424 VSO786422:VSO786424 VIS786422:VIS786424 UYW786422:UYW786424 UPA786422:UPA786424 UFE786422:UFE786424 TVI786422:TVI786424 TLM786422:TLM786424 TBQ786422:TBQ786424 SRU786422:SRU786424 SHY786422:SHY786424 RYC786422:RYC786424 ROG786422:ROG786424 REK786422:REK786424 QUO786422:QUO786424 QKS786422:QKS786424 QAW786422:QAW786424 PRA786422:PRA786424 PHE786422:PHE786424 OXI786422:OXI786424 ONM786422:ONM786424 ODQ786422:ODQ786424 NTU786422:NTU786424 NJY786422:NJY786424 NAC786422:NAC786424 MQG786422:MQG786424 MGK786422:MGK786424 LWO786422:LWO786424 LMS786422:LMS786424 LCW786422:LCW786424 KTA786422:KTA786424 KJE786422:KJE786424 JZI786422:JZI786424 JPM786422:JPM786424 JFQ786422:JFQ786424 IVU786422:IVU786424 ILY786422:ILY786424 ICC786422:ICC786424 HSG786422:HSG786424 HIK786422:HIK786424 GYO786422:GYO786424 GOS786422:GOS786424 GEW786422:GEW786424 FVA786422:FVA786424 FLE786422:FLE786424 FBI786422:FBI786424 ERM786422:ERM786424 EHQ786422:EHQ786424 DXU786422:DXU786424 DNY786422:DNY786424 DEC786422:DEC786424 CUG786422:CUG786424 CKK786422:CKK786424 CAO786422:CAO786424 BQS786422:BQS786424 BGW786422:BGW786424 AXA786422:AXA786424 ANE786422:ANE786424 ADI786422:ADI786424 TM786422:TM786424 JQ786422:JQ786424 GYO18:GYO19 WWC720886:WWC720888 WMG720886:WMG720888 WCK720886:WCK720888 VSO720886:VSO720888 VIS720886:VIS720888 UYW720886:UYW720888 UPA720886:UPA720888 UFE720886:UFE720888 TVI720886:TVI720888 TLM720886:TLM720888 TBQ720886:TBQ720888 SRU720886:SRU720888 SHY720886:SHY720888 RYC720886:RYC720888 ROG720886:ROG720888 REK720886:REK720888 QUO720886:QUO720888 QKS720886:QKS720888 QAW720886:QAW720888 PRA720886:PRA720888 PHE720886:PHE720888 OXI720886:OXI720888 ONM720886:ONM720888 ODQ720886:ODQ720888 NTU720886:NTU720888 NJY720886:NJY720888 NAC720886:NAC720888 MQG720886:MQG720888 MGK720886:MGK720888 LWO720886:LWO720888 LMS720886:LMS720888 LCW720886:LCW720888 KTA720886:KTA720888 KJE720886:KJE720888 JZI720886:JZI720888 JPM720886:JPM720888 JFQ720886:JFQ720888 IVU720886:IVU720888 ILY720886:ILY720888 ICC720886:ICC720888 HSG720886:HSG720888 HIK720886:HIK720888 GYO720886:GYO720888 GOS720886:GOS720888 GEW720886:GEW720888 FVA720886:FVA720888 FLE720886:FLE720888 FBI720886:FBI720888 ERM720886:ERM720888 EHQ720886:EHQ720888 DXU720886:DXU720888 DNY720886:DNY720888 DEC720886:DEC720888 CUG720886:CUG720888 CKK720886:CKK720888 CAO720886:CAO720888 BQS720886:BQS720888 BGW720886:BGW720888 AXA720886:AXA720888 ANE720886:ANE720888 ADI720886:ADI720888 TM720886:TM720888 JQ720886:JQ720888 HIK18:HIK19 WWC655350:WWC655352 WMG655350:WMG655352 WCK655350:WCK655352 VSO655350:VSO655352 VIS655350:VIS655352 UYW655350:UYW655352 UPA655350:UPA655352 UFE655350:UFE655352 TVI655350:TVI655352 TLM655350:TLM655352 TBQ655350:TBQ655352 SRU655350:SRU655352 SHY655350:SHY655352 RYC655350:RYC655352 ROG655350:ROG655352 REK655350:REK655352 QUO655350:QUO655352 QKS655350:QKS655352 QAW655350:QAW655352 PRA655350:PRA655352 PHE655350:PHE655352 OXI655350:OXI655352 ONM655350:ONM655352 ODQ655350:ODQ655352 NTU655350:NTU655352 NJY655350:NJY655352 NAC655350:NAC655352 MQG655350:MQG655352 MGK655350:MGK655352 LWO655350:LWO655352 LMS655350:LMS655352 LCW655350:LCW655352 KTA655350:KTA655352 KJE655350:KJE655352 JZI655350:JZI655352 JPM655350:JPM655352 JFQ655350:JFQ655352 IVU655350:IVU655352 ILY655350:ILY655352 ICC655350:ICC655352 HSG655350:HSG655352 HIK655350:HIK655352 GYO655350:GYO655352 GOS655350:GOS655352 GEW655350:GEW655352 FVA655350:FVA655352 FLE655350:FLE655352 FBI655350:FBI655352 ERM655350:ERM655352 EHQ655350:EHQ655352 DXU655350:DXU655352 DNY655350:DNY655352 DEC655350:DEC655352 CUG655350:CUG655352 CKK655350:CKK655352 CAO655350:CAO655352 BQS655350:BQS655352 BGW655350:BGW655352 AXA655350:AXA655352 ANE655350:ANE655352 ADI655350:ADI655352 TM655350:TM655352 JQ655350:JQ655352 HSG18:HSG19 WWC589814:WWC589816 WMG589814:WMG589816 WCK589814:WCK589816 VSO589814:VSO589816 VIS589814:VIS589816 UYW589814:UYW589816 UPA589814:UPA589816 UFE589814:UFE589816 TVI589814:TVI589816 TLM589814:TLM589816 TBQ589814:TBQ589816 SRU589814:SRU589816 SHY589814:SHY589816 RYC589814:RYC589816 ROG589814:ROG589816 REK589814:REK589816 QUO589814:QUO589816 QKS589814:QKS589816 QAW589814:QAW589816 PRA589814:PRA589816 PHE589814:PHE589816 OXI589814:OXI589816 ONM589814:ONM589816 ODQ589814:ODQ589816 NTU589814:NTU589816 NJY589814:NJY589816 NAC589814:NAC589816 MQG589814:MQG589816 MGK589814:MGK589816 LWO589814:LWO589816 LMS589814:LMS589816 LCW589814:LCW589816 KTA589814:KTA589816 KJE589814:KJE589816 JZI589814:JZI589816 JPM589814:JPM589816 JFQ589814:JFQ589816 IVU589814:IVU589816 ILY589814:ILY589816 ICC589814:ICC589816 HSG589814:HSG589816 HIK589814:HIK589816 GYO589814:GYO589816 GOS589814:GOS589816 GEW589814:GEW589816 FVA589814:FVA589816 FLE589814:FLE589816 FBI589814:FBI589816 ERM589814:ERM589816 EHQ589814:EHQ589816 DXU589814:DXU589816 DNY589814:DNY589816 DEC589814:DEC589816 CUG589814:CUG589816 CKK589814:CKK589816 CAO589814:CAO589816 BQS589814:BQS589816 BGW589814:BGW589816 AXA589814:AXA589816 ANE589814:ANE589816 ADI589814:ADI589816 TM589814:TM589816 JQ589814:JQ589816 ICC18:ICC19 WWC524278:WWC524280 WMG524278:WMG524280 WCK524278:WCK524280 VSO524278:VSO524280 VIS524278:VIS524280 UYW524278:UYW524280 UPA524278:UPA524280 UFE524278:UFE524280 TVI524278:TVI524280 TLM524278:TLM524280 TBQ524278:TBQ524280 SRU524278:SRU524280 SHY524278:SHY524280 RYC524278:RYC524280 ROG524278:ROG524280 REK524278:REK524280 QUO524278:QUO524280 QKS524278:QKS524280 QAW524278:QAW524280 PRA524278:PRA524280 PHE524278:PHE524280 OXI524278:OXI524280 ONM524278:ONM524280 ODQ524278:ODQ524280 NTU524278:NTU524280 NJY524278:NJY524280 NAC524278:NAC524280 MQG524278:MQG524280 MGK524278:MGK524280 LWO524278:LWO524280 LMS524278:LMS524280 LCW524278:LCW524280 KTA524278:KTA524280 KJE524278:KJE524280 JZI524278:JZI524280 JPM524278:JPM524280 JFQ524278:JFQ524280 IVU524278:IVU524280 ILY524278:ILY524280 ICC524278:ICC524280 HSG524278:HSG524280 HIK524278:HIK524280 GYO524278:GYO524280 GOS524278:GOS524280 GEW524278:GEW524280 FVA524278:FVA524280 FLE524278:FLE524280 FBI524278:FBI524280 ERM524278:ERM524280 EHQ524278:EHQ524280 DXU524278:DXU524280 DNY524278:DNY524280 DEC524278:DEC524280 CUG524278:CUG524280 CKK524278:CKK524280 CAO524278:CAO524280 BQS524278:BQS524280 BGW524278:BGW524280 AXA524278:AXA524280 ANE524278:ANE524280 ADI524278:ADI524280 TM524278:TM524280 JQ524278:JQ524280 ILY18:ILY19 WWC458742:WWC458744 WMG458742:WMG458744 WCK458742:WCK458744 VSO458742:VSO458744 VIS458742:VIS458744 UYW458742:UYW458744 UPA458742:UPA458744 UFE458742:UFE458744 TVI458742:TVI458744 TLM458742:TLM458744 TBQ458742:TBQ458744 SRU458742:SRU458744 SHY458742:SHY458744 RYC458742:RYC458744 ROG458742:ROG458744 REK458742:REK458744 QUO458742:QUO458744 QKS458742:QKS458744 QAW458742:QAW458744 PRA458742:PRA458744 PHE458742:PHE458744 OXI458742:OXI458744 ONM458742:ONM458744 ODQ458742:ODQ458744 NTU458742:NTU458744 NJY458742:NJY458744 NAC458742:NAC458744 MQG458742:MQG458744 MGK458742:MGK458744 LWO458742:LWO458744 LMS458742:LMS458744 LCW458742:LCW458744 KTA458742:KTA458744 KJE458742:KJE458744 JZI458742:JZI458744 JPM458742:JPM458744 JFQ458742:JFQ458744 IVU458742:IVU458744 ILY458742:ILY458744 ICC458742:ICC458744 HSG458742:HSG458744 HIK458742:HIK458744 GYO458742:GYO458744 GOS458742:GOS458744 GEW458742:GEW458744 FVA458742:FVA458744 FLE458742:FLE458744 FBI458742:FBI458744 ERM458742:ERM458744 EHQ458742:EHQ458744 DXU458742:DXU458744 DNY458742:DNY458744 DEC458742:DEC458744 CUG458742:CUG458744 CKK458742:CKK458744 CAO458742:CAO458744 BQS458742:BQS458744 BGW458742:BGW458744 AXA458742:AXA458744 ANE458742:ANE458744 ADI458742:ADI458744 TM458742:TM458744 JQ458742:JQ458744 IVU18:IVU19 WWC393206:WWC393208 WMG393206:WMG393208 WCK393206:WCK393208 VSO393206:VSO393208 VIS393206:VIS393208 UYW393206:UYW393208 UPA393206:UPA393208 UFE393206:UFE393208 TVI393206:TVI393208 TLM393206:TLM393208 TBQ393206:TBQ393208 SRU393206:SRU393208 SHY393206:SHY393208 RYC393206:RYC393208 ROG393206:ROG393208 REK393206:REK393208 QUO393206:QUO393208 QKS393206:QKS393208 QAW393206:QAW393208 PRA393206:PRA393208 PHE393206:PHE393208 OXI393206:OXI393208 ONM393206:ONM393208 ODQ393206:ODQ393208 NTU393206:NTU393208 NJY393206:NJY393208 NAC393206:NAC393208 MQG393206:MQG393208 MGK393206:MGK393208 LWO393206:LWO393208 LMS393206:LMS393208 LCW393206:LCW393208 KTA393206:KTA393208 KJE393206:KJE393208 JZI393206:JZI393208 JPM393206:JPM393208 JFQ393206:JFQ393208 IVU393206:IVU393208 ILY393206:ILY393208 ICC393206:ICC393208 HSG393206:HSG393208 HIK393206:HIK393208 GYO393206:GYO393208 GOS393206:GOS393208 GEW393206:GEW393208 FVA393206:FVA393208 FLE393206:FLE393208 FBI393206:FBI393208 ERM393206:ERM393208 EHQ393206:EHQ393208 DXU393206:DXU393208 DNY393206:DNY393208 DEC393206:DEC393208 CUG393206:CUG393208 CKK393206:CKK393208 CAO393206:CAO393208 BQS393206:BQS393208 BGW393206:BGW393208 AXA393206:AXA393208 ANE393206:ANE393208 ADI393206:ADI393208 TM393206:TM393208 JQ393206:JQ393208 JFQ18:JFQ19 WWC327670:WWC327672 WMG327670:WMG327672 WCK327670:WCK327672 VSO327670:VSO327672 VIS327670:VIS327672 UYW327670:UYW327672 UPA327670:UPA327672 UFE327670:UFE327672 TVI327670:TVI327672 TLM327670:TLM327672 TBQ327670:TBQ327672 SRU327670:SRU327672 SHY327670:SHY327672 RYC327670:RYC327672 ROG327670:ROG327672 REK327670:REK327672 QUO327670:QUO327672 QKS327670:QKS327672 QAW327670:QAW327672 PRA327670:PRA327672 PHE327670:PHE327672 OXI327670:OXI327672 ONM327670:ONM327672 ODQ327670:ODQ327672 NTU327670:NTU327672 NJY327670:NJY327672 NAC327670:NAC327672 MQG327670:MQG327672 MGK327670:MGK327672 LWO327670:LWO327672 LMS327670:LMS327672 LCW327670:LCW327672 KTA327670:KTA327672 KJE327670:KJE327672 JZI327670:JZI327672 JPM327670:JPM327672 JFQ327670:JFQ327672 IVU327670:IVU327672 ILY327670:ILY327672 ICC327670:ICC327672 HSG327670:HSG327672 HIK327670:HIK327672 GYO327670:GYO327672 GOS327670:GOS327672 GEW327670:GEW327672 FVA327670:FVA327672 FLE327670:FLE327672 FBI327670:FBI327672 ERM327670:ERM327672 EHQ327670:EHQ327672 DXU327670:DXU327672 DNY327670:DNY327672 DEC327670:DEC327672 CUG327670:CUG327672 CKK327670:CKK327672 CAO327670:CAO327672 BQS327670:BQS327672 BGW327670:BGW327672 AXA327670:AXA327672 ANE327670:ANE327672 ADI327670:ADI327672 TM327670:TM327672 JQ327670:JQ327672 JPM18:JPM19 WWC262134:WWC262136 WMG262134:WMG262136 WCK262134:WCK262136 VSO262134:VSO262136 VIS262134:VIS262136 UYW262134:UYW262136 UPA262134:UPA262136 UFE262134:UFE262136 TVI262134:TVI262136 TLM262134:TLM262136 TBQ262134:TBQ262136 SRU262134:SRU262136 SHY262134:SHY262136 RYC262134:RYC262136 ROG262134:ROG262136 REK262134:REK262136 QUO262134:QUO262136 QKS262134:QKS262136 QAW262134:QAW262136 PRA262134:PRA262136 PHE262134:PHE262136 OXI262134:OXI262136 ONM262134:ONM262136 ODQ262134:ODQ262136 NTU262134:NTU262136 NJY262134:NJY262136 NAC262134:NAC262136 MQG262134:MQG262136 MGK262134:MGK262136 LWO262134:LWO262136 LMS262134:LMS262136 LCW262134:LCW262136 KTA262134:KTA262136 KJE262134:KJE262136 JZI262134:JZI262136 JPM262134:JPM262136 JFQ262134:JFQ262136 IVU262134:IVU262136 ILY262134:ILY262136 ICC262134:ICC262136 HSG262134:HSG262136 HIK262134:HIK262136 GYO262134:GYO262136 GOS262134:GOS262136 GEW262134:GEW262136 FVA262134:FVA262136 FLE262134:FLE262136 FBI262134:FBI262136 ERM262134:ERM262136 EHQ262134:EHQ262136 DXU262134:DXU262136 DNY262134:DNY262136 DEC262134:DEC262136 CUG262134:CUG262136 CKK262134:CKK262136 CAO262134:CAO262136 BQS262134:BQS262136 BGW262134:BGW262136 AXA262134:AXA262136 ANE262134:ANE262136 ADI262134:ADI262136 TM262134:TM262136 JQ262134:JQ262136 JZI18:JZI19 WWC196598:WWC196600 WMG196598:WMG196600 WCK196598:WCK196600 VSO196598:VSO196600 VIS196598:VIS196600 UYW196598:UYW196600 UPA196598:UPA196600 UFE196598:UFE196600 TVI196598:TVI196600 TLM196598:TLM196600 TBQ196598:TBQ196600 SRU196598:SRU196600 SHY196598:SHY196600 RYC196598:RYC196600 ROG196598:ROG196600 REK196598:REK196600 QUO196598:QUO196600 QKS196598:QKS196600 QAW196598:QAW196600 PRA196598:PRA196600 PHE196598:PHE196600 OXI196598:OXI196600 ONM196598:ONM196600 ODQ196598:ODQ196600 NTU196598:NTU196600 NJY196598:NJY196600 NAC196598:NAC196600 MQG196598:MQG196600 MGK196598:MGK196600 LWO196598:LWO196600 LMS196598:LMS196600 LCW196598:LCW196600 KTA196598:KTA196600 KJE196598:KJE196600 JZI196598:JZI196600 JPM196598:JPM196600 JFQ196598:JFQ196600 IVU196598:IVU196600 ILY196598:ILY196600 ICC196598:ICC196600 HSG196598:HSG196600 HIK196598:HIK196600 GYO196598:GYO196600 GOS196598:GOS196600 GEW196598:GEW196600 FVA196598:FVA196600 FLE196598:FLE196600 FBI196598:FBI196600 ERM196598:ERM196600 EHQ196598:EHQ196600 DXU196598:DXU196600 DNY196598:DNY196600 DEC196598:DEC196600 CUG196598:CUG196600 CKK196598:CKK196600 CAO196598:CAO196600 BQS196598:BQS196600 BGW196598:BGW196600 AXA196598:AXA196600 ANE196598:ANE196600 ADI196598:ADI196600 TM196598:TM196600 JQ196598:JQ196600 KJE18:KJE19 WWC131062:WWC131064 WMG131062:WMG131064 WCK131062:WCK131064 VSO131062:VSO131064 VIS131062:VIS131064 UYW131062:UYW131064 UPA131062:UPA131064 UFE131062:UFE131064 TVI131062:TVI131064 TLM131062:TLM131064 TBQ131062:TBQ131064 SRU131062:SRU131064 SHY131062:SHY131064 RYC131062:RYC131064 ROG131062:ROG131064 REK131062:REK131064 QUO131062:QUO131064 QKS131062:QKS131064 QAW131062:QAW131064 PRA131062:PRA131064 PHE131062:PHE131064 OXI131062:OXI131064 ONM131062:ONM131064 ODQ131062:ODQ131064 NTU131062:NTU131064 NJY131062:NJY131064 NAC131062:NAC131064 MQG131062:MQG131064 MGK131062:MGK131064 LWO131062:LWO131064 LMS131062:LMS131064 LCW131062:LCW131064 KTA131062:KTA131064 KJE131062:KJE131064 JZI131062:JZI131064 JPM131062:JPM131064 JFQ131062:JFQ131064 IVU131062:IVU131064 ILY131062:ILY131064 ICC131062:ICC131064 HSG131062:HSG131064 HIK131062:HIK131064 GYO131062:GYO131064 GOS131062:GOS131064 GEW131062:GEW131064 FVA131062:FVA131064 FLE131062:FLE131064 FBI131062:FBI131064 ERM131062:ERM131064 EHQ131062:EHQ131064 DXU131062:DXU131064 DNY131062:DNY131064 DEC131062:DEC131064 CUG131062:CUG131064 CKK131062:CKK131064 CAO131062:CAO131064 BQS131062:BQS131064 BGW131062:BGW131064 AXA131062:AXA131064 ANE131062:ANE131064 ADI131062:ADI131064 TM131062:TM131064 JQ131062:JQ131064 KTA18:KTA19 WWC65526:WWC65528 WMG65526:WMG65528 WCK65526:WCK65528 VSO65526:VSO65528 VIS65526:VIS65528 UYW65526:UYW65528 UPA65526:UPA65528 UFE65526:UFE65528 TVI65526:TVI65528 TLM65526:TLM65528 TBQ65526:TBQ65528 SRU65526:SRU65528 SHY65526:SHY65528 RYC65526:RYC65528 ROG65526:ROG65528 REK65526:REK65528 QUO65526:QUO65528 QKS65526:QKS65528 QAW65526:QAW65528 PRA65526:PRA65528 PHE65526:PHE65528 OXI65526:OXI65528 ONM65526:ONM65528 ODQ65526:ODQ65528 NTU65526:NTU65528 NJY65526:NJY65528 NAC65526:NAC65528 MQG65526:MQG65528 MGK65526:MGK65528 LWO65526:LWO65528 LMS65526:LMS65528 LCW65526:LCW65528 KTA65526:KTA65528 KJE65526:KJE65528 JZI65526:JZI65528 JPM65526:JPM65528 JFQ65526:JFQ65528 IVU65526:IVU65528 ILY65526:ILY65528 ICC65526:ICC65528 HSG65526:HSG65528 HIK65526:HIK65528 GYO65526:GYO65528 GOS65526:GOS65528 GEW65526:GEW65528 FVA65526:FVA65528 FLE65526:FLE65528 FBI65526:FBI65528 ERM65526:ERM65528 EHQ65526:EHQ65528 DXU65526:DXU65528 DNY65526:DNY65528 DEC65526:DEC65528 CUG65526:CUG65528 CKK65526:CKK65528 CAO65526:CAO65528 BQS65526:BQS65528 BGW65526:BGW65528 AXA65526:AXA65528 ANE65526:ANE65528 ADI65526:ADI65528 TM65526:TM65528 JQ65526:JQ65528 LCW18:LCW19 WWC983024:WWC983026 WMG983024:WMG983026 WCK983024:WCK983026 VSO983024:VSO983026 VIS983024:VIS983026 UYW983024:UYW983026 UPA983024:UPA983026 UFE983024:UFE983026 TVI983024:TVI983026 TLM983024:TLM983026 TBQ983024:TBQ983026 SRU983024:SRU983026 SHY983024:SHY983026 RYC983024:RYC983026 ROG983024:ROG983026 REK983024:REK983026 QUO983024:QUO983026 QKS983024:QKS983026 QAW983024:QAW983026 PRA983024:PRA983026 PHE983024:PHE983026 OXI983024:OXI983026 ONM983024:ONM983026 ODQ983024:ODQ983026 NTU983024:NTU983026 NJY983024:NJY983026 NAC983024:NAC983026 MQG983024:MQG983026 MGK983024:MGK983026 LWO983024:LWO983026 LMS983024:LMS983026 LCW983024:LCW983026 KTA983024:KTA983026 KJE983024:KJE983026 JZI983024:JZI983026 JPM983024:JPM983026 JFQ983024:JFQ983026 IVU983024:IVU983026 ILY983024:ILY983026 ICC983024:ICC983026 HSG983024:HSG983026 HIK983024:HIK983026 GYO983024:GYO983026 GOS983024:GOS983026 GEW983024:GEW983026 FVA983024:FVA983026 FLE983024:FLE983026 FBI983024:FBI983026 ERM983024:ERM983026 EHQ983024:EHQ983026 DXU983024:DXU983026 DNY983024:DNY983026 DEC983024:DEC983026 CUG983024:CUG983026 CKK983024:CKK983026 CAO983024:CAO983026 BQS983024:BQS983026 BGW983024:BGW983026 AXA983024:AXA983026 ANE983024:ANE983026 ADI983024:ADI983026 TM983024:TM983026 JQ983024:JQ983026 LMS18:LMS19 WWC917488:WWC917490 WMG917488:WMG917490 WCK917488:WCK917490 VSO917488:VSO917490 VIS917488:VIS917490 UYW917488:UYW917490 UPA917488:UPA917490 UFE917488:UFE917490 TVI917488:TVI917490 TLM917488:TLM917490 TBQ917488:TBQ917490 SRU917488:SRU917490 SHY917488:SHY917490 RYC917488:RYC917490 ROG917488:ROG917490 REK917488:REK917490 QUO917488:QUO917490 QKS917488:QKS917490 QAW917488:QAW917490 PRA917488:PRA917490 PHE917488:PHE917490 OXI917488:OXI917490 ONM917488:ONM917490 ODQ917488:ODQ917490 NTU917488:NTU917490 NJY917488:NJY917490 NAC917488:NAC917490 MQG917488:MQG917490 MGK917488:MGK917490 LWO917488:LWO917490 LMS917488:LMS917490 LCW917488:LCW917490 KTA917488:KTA917490 KJE917488:KJE917490 JZI917488:JZI917490 JPM917488:JPM917490 JFQ917488:JFQ917490 IVU917488:IVU917490 ILY917488:ILY917490 ICC917488:ICC917490 HSG917488:HSG917490 HIK917488:HIK917490 GYO917488:GYO917490 GOS917488:GOS917490 GEW917488:GEW917490 FVA917488:FVA917490 FLE917488:FLE917490 FBI917488:FBI917490 ERM917488:ERM917490 EHQ917488:EHQ917490 DXU917488:DXU917490 DNY917488:DNY917490 DEC917488:DEC917490 CUG917488:CUG917490 CKK917488:CKK917490 CAO917488:CAO917490 BQS917488:BQS917490 BGW917488:BGW917490 AXA917488:AXA917490 ANE917488:ANE917490 ADI917488:ADI917490 TM917488:TM917490 JQ917488:JQ917490 LWO18:LWO19 WWC851952:WWC851954 WMG851952:WMG851954 WCK851952:WCK851954 VSO851952:VSO851954 VIS851952:VIS851954 UYW851952:UYW851954 UPA851952:UPA851954 UFE851952:UFE851954 TVI851952:TVI851954 TLM851952:TLM851954 TBQ851952:TBQ851954 SRU851952:SRU851954 SHY851952:SHY851954 RYC851952:RYC851954 ROG851952:ROG851954 REK851952:REK851954 QUO851952:QUO851954 QKS851952:QKS851954 QAW851952:QAW851954 PRA851952:PRA851954 PHE851952:PHE851954 OXI851952:OXI851954 ONM851952:ONM851954 ODQ851952:ODQ851954 NTU851952:NTU851954 NJY851952:NJY851954 NAC851952:NAC851954 MQG851952:MQG851954 MGK851952:MGK851954 LWO851952:LWO851954 LMS851952:LMS851954 LCW851952:LCW851954 KTA851952:KTA851954 KJE851952:KJE851954 JZI851952:JZI851954 JPM851952:JPM851954 JFQ851952:JFQ851954 IVU851952:IVU851954 ILY851952:ILY851954 ICC851952:ICC851954 HSG851952:HSG851954 HIK851952:HIK851954 GYO851952:GYO851954 GOS851952:GOS851954 GEW851952:GEW851954 FVA851952:FVA851954 FLE851952:FLE851954 FBI851952:FBI851954 ERM851952:ERM851954 EHQ851952:EHQ851954 DXU851952:DXU851954 DNY851952:DNY851954 DEC851952:DEC851954 CUG851952:CUG851954 CKK851952:CKK851954 CAO851952:CAO851954 BQS851952:BQS851954 BGW851952:BGW851954 AXA851952:AXA851954 ANE851952:ANE851954 ADI851952:ADI851954 TM851952:TM851954 JQ851952:JQ851954 MGK18:MGK19 WWC786416:WWC786418 WMG786416:WMG786418 WCK786416:WCK786418 VSO786416:VSO786418 VIS786416:VIS786418 UYW786416:UYW786418 UPA786416:UPA786418 UFE786416:UFE786418 TVI786416:TVI786418 TLM786416:TLM786418 TBQ786416:TBQ786418 SRU786416:SRU786418 SHY786416:SHY786418 RYC786416:RYC786418 ROG786416:ROG786418 REK786416:REK786418 QUO786416:QUO786418 QKS786416:QKS786418 QAW786416:QAW786418 PRA786416:PRA786418 PHE786416:PHE786418 OXI786416:OXI786418 ONM786416:ONM786418 ODQ786416:ODQ786418 NTU786416:NTU786418 NJY786416:NJY786418 NAC786416:NAC786418 MQG786416:MQG786418 MGK786416:MGK786418 LWO786416:LWO786418 LMS786416:LMS786418 LCW786416:LCW786418 KTA786416:KTA786418 KJE786416:KJE786418 JZI786416:JZI786418 JPM786416:JPM786418 JFQ786416:JFQ786418 IVU786416:IVU786418 ILY786416:ILY786418 ICC786416:ICC786418 HSG786416:HSG786418 HIK786416:HIK786418 GYO786416:GYO786418 GOS786416:GOS786418 GEW786416:GEW786418 FVA786416:FVA786418 FLE786416:FLE786418 FBI786416:FBI786418 ERM786416:ERM786418 EHQ786416:EHQ786418 DXU786416:DXU786418 DNY786416:DNY786418 DEC786416:DEC786418 CUG786416:CUG786418 CKK786416:CKK786418 CAO786416:CAO786418 BQS786416:BQS786418 BGW786416:BGW786418 AXA786416:AXA786418 ANE786416:ANE786418 ADI786416:ADI786418 TM786416:TM786418 JQ786416:JQ786418 MQG18:MQG19 WWC720880:WWC720882 WMG720880:WMG720882 WCK720880:WCK720882 VSO720880:VSO720882 VIS720880:VIS720882 UYW720880:UYW720882 UPA720880:UPA720882 UFE720880:UFE720882 TVI720880:TVI720882 TLM720880:TLM720882 TBQ720880:TBQ720882 SRU720880:SRU720882 SHY720880:SHY720882 RYC720880:RYC720882 ROG720880:ROG720882 REK720880:REK720882 QUO720880:QUO720882 QKS720880:QKS720882 QAW720880:QAW720882 PRA720880:PRA720882 PHE720880:PHE720882 OXI720880:OXI720882 ONM720880:ONM720882 ODQ720880:ODQ720882 NTU720880:NTU720882 NJY720880:NJY720882 NAC720880:NAC720882 MQG720880:MQG720882 MGK720880:MGK720882 LWO720880:LWO720882 LMS720880:LMS720882 LCW720880:LCW720882 KTA720880:KTA720882 KJE720880:KJE720882 JZI720880:JZI720882 JPM720880:JPM720882 JFQ720880:JFQ720882 IVU720880:IVU720882 ILY720880:ILY720882 ICC720880:ICC720882 HSG720880:HSG720882 HIK720880:HIK720882 GYO720880:GYO720882 GOS720880:GOS720882 GEW720880:GEW720882 FVA720880:FVA720882 FLE720880:FLE720882 FBI720880:FBI720882 ERM720880:ERM720882 EHQ720880:EHQ720882 DXU720880:DXU720882 DNY720880:DNY720882 DEC720880:DEC720882 CUG720880:CUG720882 CKK720880:CKK720882 CAO720880:CAO720882 BQS720880:BQS720882 BGW720880:BGW720882 AXA720880:AXA720882 ANE720880:ANE720882 ADI720880:ADI720882 TM720880:TM720882 JQ720880:JQ720882 NAC18:NAC19 WWC655344:WWC655346 WMG655344:WMG655346 WCK655344:WCK655346 VSO655344:VSO655346 VIS655344:VIS655346 UYW655344:UYW655346 UPA655344:UPA655346 UFE655344:UFE655346 TVI655344:TVI655346 TLM655344:TLM655346 TBQ655344:TBQ655346 SRU655344:SRU655346 SHY655344:SHY655346 RYC655344:RYC655346 ROG655344:ROG655346 REK655344:REK655346 QUO655344:QUO655346 QKS655344:QKS655346 QAW655344:QAW655346 PRA655344:PRA655346 PHE655344:PHE655346 OXI655344:OXI655346 ONM655344:ONM655346 ODQ655344:ODQ655346 NTU655344:NTU655346 NJY655344:NJY655346 NAC655344:NAC655346 MQG655344:MQG655346 MGK655344:MGK655346 LWO655344:LWO655346 LMS655344:LMS655346 LCW655344:LCW655346 KTA655344:KTA655346 KJE655344:KJE655346 JZI655344:JZI655346 JPM655344:JPM655346 JFQ655344:JFQ655346 IVU655344:IVU655346 ILY655344:ILY655346 ICC655344:ICC655346 HSG655344:HSG655346 HIK655344:HIK655346 GYO655344:GYO655346 GOS655344:GOS655346 GEW655344:GEW655346 FVA655344:FVA655346 FLE655344:FLE655346 FBI655344:FBI655346 ERM655344:ERM655346 EHQ655344:EHQ655346 DXU655344:DXU655346 DNY655344:DNY655346 DEC655344:DEC655346 CUG655344:CUG655346 CKK655344:CKK655346 CAO655344:CAO655346 BQS655344:BQS655346 BGW655344:BGW655346 AXA655344:AXA655346 ANE655344:ANE655346 ADI655344:ADI655346 TM655344:TM655346 JQ655344:JQ655346 NJY18:NJY19 WWC589808:WWC589810 WMG589808:WMG589810 WCK589808:WCK589810 VSO589808:VSO589810 VIS589808:VIS589810 UYW589808:UYW589810 UPA589808:UPA589810 UFE589808:UFE589810 TVI589808:TVI589810 TLM589808:TLM589810 TBQ589808:TBQ589810 SRU589808:SRU589810 SHY589808:SHY589810 RYC589808:RYC589810 ROG589808:ROG589810 REK589808:REK589810 QUO589808:QUO589810 QKS589808:QKS589810 QAW589808:QAW589810 PRA589808:PRA589810 PHE589808:PHE589810 OXI589808:OXI589810 ONM589808:ONM589810 ODQ589808:ODQ589810 NTU589808:NTU589810 NJY589808:NJY589810 NAC589808:NAC589810 MQG589808:MQG589810 MGK589808:MGK589810 LWO589808:LWO589810 LMS589808:LMS589810 LCW589808:LCW589810 KTA589808:KTA589810 KJE589808:KJE589810 JZI589808:JZI589810 JPM589808:JPM589810 JFQ589808:JFQ589810 IVU589808:IVU589810 ILY589808:ILY589810 ICC589808:ICC589810 HSG589808:HSG589810 HIK589808:HIK589810 GYO589808:GYO589810 GOS589808:GOS589810 GEW589808:GEW589810 FVA589808:FVA589810 FLE589808:FLE589810 FBI589808:FBI589810 ERM589808:ERM589810 EHQ589808:EHQ589810 DXU589808:DXU589810 DNY589808:DNY589810 DEC589808:DEC589810 CUG589808:CUG589810 CKK589808:CKK589810 CAO589808:CAO589810 BQS589808:BQS589810 BGW589808:BGW589810 AXA589808:AXA589810 ANE589808:ANE589810 ADI589808:ADI589810 TM589808:TM589810 JQ589808:JQ589810 NTU18:NTU19 WWC524272:WWC524274 WMG524272:WMG524274 WCK524272:WCK524274 VSO524272:VSO524274 VIS524272:VIS524274 UYW524272:UYW524274 UPA524272:UPA524274 UFE524272:UFE524274 TVI524272:TVI524274 TLM524272:TLM524274 TBQ524272:TBQ524274 SRU524272:SRU524274 SHY524272:SHY524274 RYC524272:RYC524274 ROG524272:ROG524274 REK524272:REK524274 QUO524272:QUO524274 QKS524272:QKS524274 QAW524272:QAW524274 PRA524272:PRA524274 PHE524272:PHE524274 OXI524272:OXI524274 ONM524272:ONM524274 ODQ524272:ODQ524274 NTU524272:NTU524274 NJY524272:NJY524274 NAC524272:NAC524274 MQG524272:MQG524274 MGK524272:MGK524274 LWO524272:LWO524274 LMS524272:LMS524274 LCW524272:LCW524274 KTA524272:KTA524274 KJE524272:KJE524274 JZI524272:JZI524274 JPM524272:JPM524274 JFQ524272:JFQ524274 IVU524272:IVU524274 ILY524272:ILY524274 ICC524272:ICC524274 HSG524272:HSG524274 HIK524272:HIK524274 GYO524272:GYO524274 GOS524272:GOS524274 GEW524272:GEW524274 FVA524272:FVA524274 FLE524272:FLE524274 FBI524272:FBI524274 ERM524272:ERM524274 EHQ524272:EHQ524274 DXU524272:DXU524274 DNY524272:DNY524274 DEC524272:DEC524274 CUG524272:CUG524274 CKK524272:CKK524274 CAO524272:CAO524274 BQS524272:BQS524274 BGW524272:BGW524274 AXA524272:AXA524274 ANE524272:ANE524274 ADI524272:ADI524274 TM524272:TM524274 JQ524272:JQ524274 ODQ18:ODQ19 WWC458736:WWC458738 WMG458736:WMG458738 WCK458736:WCK458738 VSO458736:VSO458738 VIS458736:VIS458738 UYW458736:UYW458738 UPA458736:UPA458738 UFE458736:UFE458738 TVI458736:TVI458738 TLM458736:TLM458738 TBQ458736:TBQ458738 SRU458736:SRU458738 SHY458736:SHY458738 RYC458736:RYC458738 ROG458736:ROG458738 REK458736:REK458738 QUO458736:QUO458738 QKS458736:QKS458738 QAW458736:QAW458738 PRA458736:PRA458738 PHE458736:PHE458738 OXI458736:OXI458738 ONM458736:ONM458738 ODQ458736:ODQ458738 NTU458736:NTU458738 NJY458736:NJY458738 NAC458736:NAC458738 MQG458736:MQG458738 MGK458736:MGK458738 LWO458736:LWO458738 LMS458736:LMS458738 LCW458736:LCW458738 KTA458736:KTA458738 KJE458736:KJE458738 JZI458736:JZI458738 JPM458736:JPM458738 JFQ458736:JFQ458738 IVU458736:IVU458738 ILY458736:ILY458738 ICC458736:ICC458738 HSG458736:HSG458738 HIK458736:HIK458738 GYO458736:GYO458738 GOS458736:GOS458738 GEW458736:GEW458738 FVA458736:FVA458738 FLE458736:FLE458738 FBI458736:FBI458738 ERM458736:ERM458738 EHQ458736:EHQ458738 DXU458736:DXU458738 DNY458736:DNY458738 DEC458736:DEC458738 CUG458736:CUG458738 CKK458736:CKK458738 CAO458736:CAO458738 BQS458736:BQS458738 BGW458736:BGW458738 AXA458736:AXA458738 ANE458736:ANE458738 ADI458736:ADI458738 TM458736:TM458738 JQ458736:JQ458738 ONM18:ONM19 WWC393200:WWC393202 WMG393200:WMG393202 WCK393200:WCK393202 VSO393200:VSO393202 VIS393200:VIS393202 UYW393200:UYW393202 UPA393200:UPA393202 UFE393200:UFE393202 TVI393200:TVI393202 TLM393200:TLM393202 TBQ393200:TBQ393202 SRU393200:SRU393202 SHY393200:SHY393202 RYC393200:RYC393202 ROG393200:ROG393202 REK393200:REK393202 QUO393200:QUO393202 QKS393200:QKS393202 QAW393200:QAW393202 PRA393200:PRA393202 PHE393200:PHE393202 OXI393200:OXI393202 ONM393200:ONM393202 ODQ393200:ODQ393202 NTU393200:NTU393202 NJY393200:NJY393202 NAC393200:NAC393202 MQG393200:MQG393202 MGK393200:MGK393202 LWO393200:LWO393202 LMS393200:LMS393202 LCW393200:LCW393202 KTA393200:KTA393202 KJE393200:KJE393202 JZI393200:JZI393202 JPM393200:JPM393202 JFQ393200:JFQ393202 IVU393200:IVU393202 ILY393200:ILY393202 ICC393200:ICC393202 HSG393200:HSG393202 HIK393200:HIK393202 GYO393200:GYO393202 GOS393200:GOS393202 GEW393200:GEW393202 FVA393200:FVA393202 FLE393200:FLE393202 FBI393200:FBI393202 ERM393200:ERM393202 EHQ393200:EHQ393202 DXU393200:DXU393202 DNY393200:DNY393202 DEC393200:DEC393202 CUG393200:CUG393202 CKK393200:CKK393202 CAO393200:CAO393202 BQS393200:BQS393202 BGW393200:BGW393202 AXA393200:AXA393202 ANE393200:ANE393202 ADI393200:ADI393202 TM393200:TM393202 JQ393200:JQ393202 OXI18:OXI19 WWC327664:WWC327666 WMG327664:WMG327666 WCK327664:WCK327666 VSO327664:VSO327666 VIS327664:VIS327666 UYW327664:UYW327666 UPA327664:UPA327666 UFE327664:UFE327666 TVI327664:TVI327666 TLM327664:TLM327666 TBQ327664:TBQ327666 SRU327664:SRU327666 SHY327664:SHY327666 RYC327664:RYC327666 ROG327664:ROG327666 REK327664:REK327666 QUO327664:QUO327666 QKS327664:QKS327666 QAW327664:QAW327666 PRA327664:PRA327666 PHE327664:PHE327666 OXI327664:OXI327666 ONM327664:ONM327666 ODQ327664:ODQ327666 NTU327664:NTU327666 NJY327664:NJY327666 NAC327664:NAC327666 MQG327664:MQG327666 MGK327664:MGK327666 LWO327664:LWO327666 LMS327664:LMS327666 LCW327664:LCW327666 KTA327664:KTA327666 KJE327664:KJE327666 JZI327664:JZI327666 JPM327664:JPM327666 JFQ327664:JFQ327666 IVU327664:IVU327666 ILY327664:ILY327666 ICC327664:ICC327666 HSG327664:HSG327666 HIK327664:HIK327666 GYO327664:GYO327666 GOS327664:GOS327666 GEW327664:GEW327666 FVA327664:FVA327666 FLE327664:FLE327666 FBI327664:FBI327666 ERM327664:ERM327666 EHQ327664:EHQ327666 DXU327664:DXU327666 DNY327664:DNY327666 DEC327664:DEC327666 CUG327664:CUG327666 CKK327664:CKK327666 CAO327664:CAO327666 BQS327664:BQS327666 BGW327664:BGW327666 AXA327664:AXA327666 ANE327664:ANE327666 ADI327664:ADI327666 TM327664:TM327666 JQ327664:JQ327666 PHE18:PHE19 WWC262128:WWC262130 WMG262128:WMG262130 WCK262128:WCK262130 VSO262128:VSO262130 VIS262128:VIS262130 UYW262128:UYW262130 UPA262128:UPA262130 UFE262128:UFE262130 TVI262128:TVI262130 TLM262128:TLM262130 TBQ262128:TBQ262130 SRU262128:SRU262130 SHY262128:SHY262130 RYC262128:RYC262130 ROG262128:ROG262130 REK262128:REK262130 QUO262128:QUO262130 QKS262128:QKS262130 QAW262128:QAW262130 PRA262128:PRA262130 PHE262128:PHE262130 OXI262128:OXI262130 ONM262128:ONM262130 ODQ262128:ODQ262130 NTU262128:NTU262130 NJY262128:NJY262130 NAC262128:NAC262130 MQG262128:MQG262130 MGK262128:MGK262130 LWO262128:LWO262130 LMS262128:LMS262130 LCW262128:LCW262130 KTA262128:KTA262130 KJE262128:KJE262130 JZI262128:JZI262130 JPM262128:JPM262130 JFQ262128:JFQ262130 IVU262128:IVU262130 ILY262128:ILY262130 ICC262128:ICC262130 HSG262128:HSG262130 HIK262128:HIK262130 GYO262128:GYO262130 GOS262128:GOS262130 GEW262128:GEW262130 FVA262128:FVA262130 FLE262128:FLE262130 FBI262128:FBI262130 ERM262128:ERM262130 EHQ262128:EHQ262130 DXU262128:DXU262130 DNY262128:DNY262130 DEC262128:DEC262130 CUG262128:CUG262130 CKK262128:CKK262130 CAO262128:CAO262130 BQS262128:BQS262130 BGW262128:BGW262130 AXA262128:AXA262130 ANE262128:ANE262130 ADI262128:ADI262130 TM262128:TM262130 JQ262128:JQ262130 PRA18:PRA19 WWC196592:WWC196594 WMG196592:WMG196594 WCK196592:WCK196594 VSO196592:VSO196594 VIS196592:VIS196594 UYW196592:UYW196594 UPA196592:UPA196594 UFE196592:UFE196594 TVI196592:TVI196594 TLM196592:TLM196594 TBQ196592:TBQ196594 SRU196592:SRU196594 SHY196592:SHY196594 RYC196592:RYC196594 ROG196592:ROG196594 REK196592:REK196594 QUO196592:QUO196594 QKS196592:QKS196594 QAW196592:QAW196594 PRA196592:PRA196594 PHE196592:PHE196594 OXI196592:OXI196594 ONM196592:ONM196594 ODQ196592:ODQ196594 NTU196592:NTU196594 NJY196592:NJY196594 NAC196592:NAC196594 MQG196592:MQG196594 MGK196592:MGK196594 LWO196592:LWO196594 LMS196592:LMS196594 LCW196592:LCW196594 KTA196592:KTA196594 KJE196592:KJE196594 JZI196592:JZI196594 JPM196592:JPM196594 JFQ196592:JFQ196594 IVU196592:IVU196594 ILY196592:ILY196594 ICC196592:ICC196594 HSG196592:HSG196594 HIK196592:HIK196594 GYO196592:GYO196594 GOS196592:GOS196594 GEW196592:GEW196594 FVA196592:FVA196594 FLE196592:FLE196594 FBI196592:FBI196594 ERM196592:ERM196594 EHQ196592:EHQ196594 DXU196592:DXU196594 DNY196592:DNY196594 DEC196592:DEC196594 CUG196592:CUG196594 CKK196592:CKK196594 CAO196592:CAO196594 BQS196592:BQS196594 BGW196592:BGW196594 AXA196592:AXA196594 ANE196592:ANE196594 ADI196592:ADI196594 TM196592:TM196594 JQ196592:JQ196594 QAW18:QAW19 WWC131056:WWC131058 WMG131056:WMG131058 WCK131056:WCK131058 VSO131056:VSO131058 VIS131056:VIS131058 UYW131056:UYW131058 UPA131056:UPA131058 UFE131056:UFE131058 TVI131056:TVI131058 TLM131056:TLM131058 TBQ131056:TBQ131058 SRU131056:SRU131058 SHY131056:SHY131058 RYC131056:RYC131058 ROG131056:ROG131058 REK131056:REK131058 QUO131056:QUO131058 QKS131056:QKS131058 QAW131056:QAW131058 PRA131056:PRA131058 PHE131056:PHE131058 OXI131056:OXI131058 ONM131056:ONM131058 ODQ131056:ODQ131058 NTU131056:NTU131058 NJY131056:NJY131058 NAC131056:NAC131058 MQG131056:MQG131058 MGK131056:MGK131058 LWO131056:LWO131058 LMS131056:LMS131058 LCW131056:LCW131058 KTA131056:KTA131058 KJE131056:KJE131058 JZI131056:JZI131058 JPM131056:JPM131058 JFQ131056:JFQ131058 IVU131056:IVU131058 ILY131056:ILY131058 ICC131056:ICC131058 HSG131056:HSG131058 HIK131056:HIK131058 GYO131056:GYO131058 GOS131056:GOS131058 GEW131056:GEW131058 FVA131056:FVA131058 FLE131056:FLE131058 FBI131056:FBI131058 ERM131056:ERM131058 EHQ131056:EHQ131058 DXU131056:DXU131058 DNY131056:DNY131058 DEC131056:DEC131058 CUG131056:CUG131058 CKK131056:CKK131058 CAO131056:CAO131058 BQS131056:BQS131058 BGW131056:BGW131058 AXA131056:AXA131058 ANE131056:ANE131058 ADI131056:ADI131058 TM131056:TM131058 JQ131056:JQ131058 QKS18:QKS19 WWC65520:WWC65522 WMG65520:WMG65522 WCK65520:WCK65522 VSO65520:VSO65522 VIS65520:VIS65522 UYW65520:UYW65522 UPA65520:UPA65522 UFE65520:UFE65522 TVI65520:TVI65522 TLM65520:TLM65522 TBQ65520:TBQ65522 SRU65520:SRU65522 SHY65520:SHY65522 RYC65520:RYC65522 ROG65520:ROG65522 REK65520:REK65522 QUO65520:QUO65522 QKS65520:QKS65522 QAW65520:QAW65522 PRA65520:PRA65522 PHE65520:PHE65522 OXI65520:OXI65522 ONM65520:ONM65522 ODQ65520:ODQ65522 NTU65520:NTU65522 NJY65520:NJY65522 NAC65520:NAC65522 MQG65520:MQG65522 MGK65520:MGK65522 LWO65520:LWO65522 LMS65520:LMS65522 LCW65520:LCW65522 KTA65520:KTA65522 KJE65520:KJE65522 JZI65520:JZI65522 JPM65520:JPM65522 JFQ65520:JFQ65522 IVU65520:IVU65522 ILY65520:ILY65522 ICC65520:ICC65522 HSG65520:HSG65522 HIK65520:HIK65522 GYO65520:GYO65522 GOS65520:GOS65522 GEW65520:GEW65522 FVA65520:FVA65522 FLE65520:FLE65522 FBI65520:FBI65522 ERM65520:ERM65522 EHQ65520:EHQ65522 DXU65520:DXU65522 DNY65520:DNY65522 DEC65520:DEC65522 CUG65520:CUG65522 CKK65520:CKK65522 CAO65520:CAO65522 BQS65520:BQS65522 BGW65520:BGW65522 AXA65520:AXA65522 ANE65520:ANE65522 ADI65520:ADI65522 TM65520:TM65522 JQ65520:JQ65522 QUO18:QUO19 WWC983016:WWC983020 WMG983016:WMG983020 WCK983016:WCK983020 VSO983016:VSO983020 VIS983016:VIS983020 UYW983016:UYW983020 UPA983016:UPA983020 UFE983016:UFE983020 TVI983016:TVI983020 TLM983016:TLM983020 TBQ983016:TBQ983020 SRU983016:SRU983020 SHY983016:SHY983020 RYC983016:RYC983020 ROG983016:ROG983020 REK983016:REK983020 QUO983016:QUO983020 QKS983016:QKS983020 QAW983016:QAW983020 PRA983016:PRA983020 PHE983016:PHE983020 OXI983016:OXI983020 ONM983016:ONM983020 ODQ983016:ODQ983020 NTU983016:NTU983020 NJY983016:NJY983020 NAC983016:NAC983020 MQG983016:MQG983020 MGK983016:MGK983020 LWO983016:LWO983020 LMS983016:LMS983020 LCW983016:LCW983020 KTA983016:KTA983020 KJE983016:KJE983020 JZI983016:JZI983020 JPM983016:JPM983020 JFQ983016:JFQ983020 IVU983016:IVU983020 ILY983016:ILY983020 ICC983016:ICC983020 HSG983016:HSG983020 HIK983016:HIK983020 GYO983016:GYO983020 GOS983016:GOS983020 GEW983016:GEW983020 FVA983016:FVA983020 FLE983016:FLE983020 FBI983016:FBI983020 ERM983016:ERM983020 EHQ983016:EHQ983020 DXU983016:DXU983020 DNY983016:DNY983020 DEC983016:DEC983020 CUG983016:CUG983020 CKK983016:CKK983020 CAO983016:CAO983020 BQS983016:BQS983020 BGW983016:BGW983020 AXA983016:AXA983020 ANE983016:ANE983020 ADI983016:ADI983020 TM983016:TM983020 JQ983016:JQ983020 REK18:REK19 WWC917480:WWC917484 WMG917480:WMG917484 WCK917480:WCK917484 VSO917480:VSO917484 VIS917480:VIS917484 UYW917480:UYW917484 UPA917480:UPA917484 UFE917480:UFE917484 TVI917480:TVI917484 TLM917480:TLM917484 TBQ917480:TBQ917484 SRU917480:SRU917484 SHY917480:SHY917484 RYC917480:RYC917484 ROG917480:ROG917484 REK917480:REK917484 QUO917480:QUO917484 QKS917480:QKS917484 QAW917480:QAW917484 PRA917480:PRA917484 PHE917480:PHE917484 OXI917480:OXI917484 ONM917480:ONM917484 ODQ917480:ODQ917484 NTU917480:NTU917484 NJY917480:NJY917484 NAC917480:NAC917484 MQG917480:MQG917484 MGK917480:MGK917484 LWO917480:LWO917484 LMS917480:LMS917484 LCW917480:LCW917484 KTA917480:KTA917484 KJE917480:KJE917484 JZI917480:JZI917484 JPM917480:JPM917484 JFQ917480:JFQ917484 IVU917480:IVU917484 ILY917480:ILY917484 ICC917480:ICC917484 HSG917480:HSG917484 HIK917480:HIK917484 GYO917480:GYO917484 GOS917480:GOS917484 GEW917480:GEW917484 FVA917480:FVA917484 FLE917480:FLE917484 FBI917480:FBI917484 ERM917480:ERM917484 EHQ917480:EHQ917484 DXU917480:DXU917484 DNY917480:DNY917484 DEC917480:DEC917484 CUG917480:CUG917484 CKK917480:CKK917484 CAO917480:CAO917484 BQS917480:BQS917484 BGW917480:BGW917484 AXA917480:AXA917484 ANE917480:ANE917484 ADI917480:ADI917484 TM917480:TM917484 JQ917480:JQ917484 ROG18:ROG19 WWC851944:WWC851948 WMG851944:WMG851948 WCK851944:WCK851948 VSO851944:VSO851948 VIS851944:VIS851948 UYW851944:UYW851948 UPA851944:UPA851948 UFE851944:UFE851948 TVI851944:TVI851948 TLM851944:TLM851948 TBQ851944:TBQ851948 SRU851944:SRU851948 SHY851944:SHY851948 RYC851944:RYC851948 ROG851944:ROG851948 REK851944:REK851948 QUO851944:QUO851948 QKS851944:QKS851948 QAW851944:QAW851948 PRA851944:PRA851948 PHE851944:PHE851948 OXI851944:OXI851948 ONM851944:ONM851948 ODQ851944:ODQ851948 NTU851944:NTU851948 NJY851944:NJY851948 NAC851944:NAC851948 MQG851944:MQG851948 MGK851944:MGK851948 LWO851944:LWO851948 LMS851944:LMS851948 LCW851944:LCW851948 KTA851944:KTA851948 KJE851944:KJE851948 JZI851944:JZI851948 JPM851944:JPM851948 JFQ851944:JFQ851948 IVU851944:IVU851948 ILY851944:ILY851948 ICC851944:ICC851948 HSG851944:HSG851948 HIK851944:HIK851948 GYO851944:GYO851948 GOS851944:GOS851948 GEW851944:GEW851948 FVA851944:FVA851948 FLE851944:FLE851948 FBI851944:FBI851948 ERM851944:ERM851948 EHQ851944:EHQ851948 DXU851944:DXU851948 DNY851944:DNY851948 DEC851944:DEC851948 CUG851944:CUG851948 CKK851944:CKK851948 CAO851944:CAO851948 BQS851944:BQS851948 BGW851944:BGW851948 AXA851944:AXA851948 ANE851944:ANE851948 ADI851944:ADI851948 TM851944:TM851948 JQ851944:JQ851948 RYC18:RYC19 WWC786408:WWC786412 WMG786408:WMG786412 WCK786408:WCK786412 VSO786408:VSO786412 VIS786408:VIS786412 UYW786408:UYW786412 UPA786408:UPA786412 UFE786408:UFE786412 TVI786408:TVI786412 TLM786408:TLM786412 TBQ786408:TBQ786412 SRU786408:SRU786412 SHY786408:SHY786412 RYC786408:RYC786412 ROG786408:ROG786412 REK786408:REK786412 QUO786408:QUO786412 QKS786408:QKS786412 QAW786408:QAW786412 PRA786408:PRA786412 PHE786408:PHE786412 OXI786408:OXI786412 ONM786408:ONM786412 ODQ786408:ODQ786412 NTU786408:NTU786412 NJY786408:NJY786412 NAC786408:NAC786412 MQG786408:MQG786412 MGK786408:MGK786412 LWO786408:LWO786412 LMS786408:LMS786412 LCW786408:LCW786412 KTA786408:KTA786412 KJE786408:KJE786412 JZI786408:JZI786412 JPM786408:JPM786412 JFQ786408:JFQ786412 IVU786408:IVU786412 ILY786408:ILY786412 ICC786408:ICC786412 HSG786408:HSG786412 HIK786408:HIK786412 GYO786408:GYO786412 GOS786408:GOS786412 GEW786408:GEW786412 FVA786408:FVA786412 FLE786408:FLE786412 FBI786408:FBI786412 ERM786408:ERM786412 EHQ786408:EHQ786412 DXU786408:DXU786412 DNY786408:DNY786412 DEC786408:DEC786412 CUG786408:CUG786412 CKK786408:CKK786412 CAO786408:CAO786412 BQS786408:BQS786412 BGW786408:BGW786412 AXA786408:AXA786412 ANE786408:ANE786412 ADI786408:ADI786412 TM786408:TM786412 JQ786408:JQ786412 SHY18:SHY19 WWC720872:WWC720876 WMG720872:WMG720876 WCK720872:WCK720876 VSO720872:VSO720876 VIS720872:VIS720876 UYW720872:UYW720876 UPA720872:UPA720876 UFE720872:UFE720876 TVI720872:TVI720876 TLM720872:TLM720876 TBQ720872:TBQ720876 SRU720872:SRU720876 SHY720872:SHY720876 RYC720872:RYC720876 ROG720872:ROG720876 REK720872:REK720876 QUO720872:QUO720876 QKS720872:QKS720876 QAW720872:QAW720876 PRA720872:PRA720876 PHE720872:PHE720876 OXI720872:OXI720876 ONM720872:ONM720876 ODQ720872:ODQ720876 NTU720872:NTU720876 NJY720872:NJY720876 NAC720872:NAC720876 MQG720872:MQG720876 MGK720872:MGK720876 LWO720872:LWO720876 LMS720872:LMS720876 LCW720872:LCW720876 KTA720872:KTA720876 KJE720872:KJE720876 JZI720872:JZI720876 JPM720872:JPM720876 JFQ720872:JFQ720876 IVU720872:IVU720876 ILY720872:ILY720876 ICC720872:ICC720876 HSG720872:HSG720876 HIK720872:HIK720876 GYO720872:GYO720876 GOS720872:GOS720876 GEW720872:GEW720876 FVA720872:FVA720876 FLE720872:FLE720876 FBI720872:FBI720876 ERM720872:ERM720876 EHQ720872:EHQ720876 DXU720872:DXU720876 DNY720872:DNY720876 DEC720872:DEC720876 CUG720872:CUG720876 CKK720872:CKK720876 CAO720872:CAO720876 BQS720872:BQS720876 BGW720872:BGW720876 AXA720872:AXA720876 ANE720872:ANE720876 ADI720872:ADI720876 TM720872:TM720876 JQ720872:JQ720876 SRU18:SRU19 WWC655336:WWC655340 WMG655336:WMG655340 WCK655336:WCK655340 VSO655336:VSO655340 VIS655336:VIS655340 UYW655336:UYW655340 UPA655336:UPA655340 UFE655336:UFE655340 TVI655336:TVI655340 TLM655336:TLM655340 TBQ655336:TBQ655340 SRU655336:SRU655340 SHY655336:SHY655340 RYC655336:RYC655340 ROG655336:ROG655340 REK655336:REK655340 QUO655336:QUO655340 QKS655336:QKS655340 QAW655336:QAW655340 PRA655336:PRA655340 PHE655336:PHE655340 OXI655336:OXI655340 ONM655336:ONM655340 ODQ655336:ODQ655340 NTU655336:NTU655340 NJY655336:NJY655340 NAC655336:NAC655340 MQG655336:MQG655340 MGK655336:MGK655340 LWO655336:LWO655340 LMS655336:LMS655340 LCW655336:LCW655340 KTA655336:KTA655340 KJE655336:KJE655340 JZI655336:JZI655340 JPM655336:JPM655340 JFQ655336:JFQ655340 IVU655336:IVU655340 ILY655336:ILY655340 ICC655336:ICC655340 HSG655336:HSG655340 HIK655336:HIK655340 GYO655336:GYO655340 GOS655336:GOS655340 GEW655336:GEW655340 FVA655336:FVA655340 FLE655336:FLE655340 FBI655336:FBI655340 ERM655336:ERM655340 EHQ655336:EHQ655340 DXU655336:DXU655340 DNY655336:DNY655340 DEC655336:DEC655340 CUG655336:CUG655340 CKK655336:CKK655340 CAO655336:CAO655340 BQS655336:BQS655340 BGW655336:BGW655340 AXA655336:AXA655340 ANE655336:ANE655340 ADI655336:ADI655340 TM655336:TM655340 JQ655336:JQ655340 TBQ18:TBQ19 WWC589800:WWC589804 WMG589800:WMG589804 WCK589800:WCK589804 VSO589800:VSO589804 VIS589800:VIS589804 UYW589800:UYW589804 UPA589800:UPA589804 UFE589800:UFE589804 TVI589800:TVI589804 TLM589800:TLM589804 TBQ589800:TBQ589804 SRU589800:SRU589804 SHY589800:SHY589804 RYC589800:RYC589804 ROG589800:ROG589804 REK589800:REK589804 QUO589800:QUO589804 QKS589800:QKS589804 QAW589800:QAW589804 PRA589800:PRA589804 PHE589800:PHE589804 OXI589800:OXI589804 ONM589800:ONM589804 ODQ589800:ODQ589804 NTU589800:NTU589804 NJY589800:NJY589804 NAC589800:NAC589804 MQG589800:MQG589804 MGK589800:MGK589804 LWO589800:LWO589804 LMS589800:LMS589804 LCW589800:LCW589804 KTA589800:KTA589804 KJE589800:KJE589804 JZI589800:JZI589804 JPM589800:JPM589804 JFQ589800:JFQ589804 IVU589800:IVU589804 ILY589800:ILY589804 ICC589800:ICC589804 HSG589800:HSG589804 HIK589800:HIK589804 GYO589800:GYO589804 GOS589800:GOS589804 GEW589800:GEW589804 FVA589800:FVA589804 FLE589800:FLE589804 FBI589800:FBI589804 ERM589800:ERM589804 EHQ589800:EHQ589804 DXU589800:DXU589804 DNY589800:DNY589804 DEC589800:DEC589804 CUG589800:CUG589804 CKK589800:CKK589804 CAO589800:CAO589804 BQS589800:BQS589804 BGW589800:BGW589804 AXA589800:AXA589804 ANE589800:ANE589804 ADI589800:ADI589804 TM589800:TM589804 JQ589800:JQ589804 TLM18:TLM19 WWC524264:WWC524268 WMG524264:WMG524268 WCK524264:WCK524268 VSO524264:VSO524268 VIS524264:VIS524268 UYW524264:UYW524268 UPA524264:UPA524268 UFE524264:UFE524268 TVI524264:TVI524268 TLM524264:TLM524268 TBQ524264:TBQ524268 SRU524264:SRU524268 SHY524264:SHY524268 RYC524264:RYC524268 ROG524264:ROG524268 REK524264:REK524268 QUO524264:QUO524268 QKS524264:QKS524268 QAW524264:QAW524268 PRA524264:PRA524268 PHE524264:PHE524268 OXI524264:OXI524268 ONM524264:ONM524268 ODQ524264:ODQ524268 NTU524264:NTU524268 NJY524264:NJY524268 NAC524264:NAC524268 MQG524264:MQG524268 MGK524264:MGK524268 LWO524264:LWO524268 LMS524264:LMS524268 LCW524264:LCW524268 KTA524264:KTA524268 KJE524264:KJE524268 JZI524264:JZI524268 JPM524264:JPM524268 JFQ524264:JFQ524268 IVU524264:IVU524268 ILY524264:ILY524268 ICC524264:ICC524268 HSG524264:HSG524268 HIK524264:HIK524268 GYO524264:GYO524268 GOS524264:GOS524268 GEW524264:GEW524268 FVA524264:FVA524268 FLE524264:FLE524268 FBI524264:FBI524268 ERM524264:ERM524268 EHQ524264:EHQ524268 DXU524264:DXU524268 DNY524264:DNY524268 DEC524264:DEC524268 CUG524264:CUG524268 CKK524264:CKK524268 CAO524264:CAO524268 BQS524264:BQS524268 BGW524264:BGW524268 AXA524264:AXA524268 ANE524264:ANE524268 ADI524264:ADI524268 TM524264:TM524268 JQ524264:JQ524268 TVI18:TVI19 WWC458728:WWC458732 WMG458728:WMG458732 WCK458728:WCK458732 VSO458728:VSO458732 VIS458728:VIS458732 UYW458728:UYW458732 UPA458728:UPA458732 UFE458728:UFE458732 TVI458728:TVI458732 TLM458728:TLM458732 TBQ458728:TBQ458732 SRU458728:SRU458732 SHY458728:SHY458732 RYC458728:RYC458732 ROG458728:ROG458732 REK458728:REK458732 QUO458728:QUO458732 QKS458728:QKS458732 QAW458728:QAW458732 PRA458728:PRA458732 PHE458728:PHE458732 OXI458728:OXI458732 ONM458728:ONM458732 ODQ458728:ODQ458732 NTU458728:NTU458732 NJY458728:NJY458732 NAC458728:NAC458732 MQG458728:MQG458732 MGK458728:MGK458732 LWO458728:LWO458732 LMS458728:LMS458732 LCW458728:LCW458732 KTA458728:KTA458732 KJE458728:KJE458732 JZI458728:JZI458732 JPM458728:JPM458732 JFQ458728:JFQ458732 IVU458728:IVU458732 ILY458728:ILY458732 ICC458728:ICC458732 HSG458728:HSG458732 HIK458728:HIK458732 GYO458728:GYO458732 GOS458728:GOS458732 GEW458728:GEW458732 FVA458728:FVA458732 FLE458728:FLE458732 FBI458728:FBI458732 ERM458728:ERM458732 EHQ458728:EHQ458732 DXU458728:DXU458732 DNY458728:DNY458732 DEC458728:DEC458732 CUG458728:CUG458732 CKK458728:CKK458732 CAO458728:CAO458732 BQS458728:BQS458732 BGW458728:BGW458732 AXA458728:AXA458732 ANE458728:ANE458732 ADI458728:ADI458732 TM458728:TM458732 JQ458728:JQ458732 UFE18:UFE19 WWC393192:WWC393196 WMG393192:WMG393196 WCK393192:WCK393196 VSO393192:VSO393196 VIS393192:VIS393196 UYW393192:UYW393196 UPA393192:UPA393196 UFE393192:UFE393196 TVI393192:TVI393196 TLM393192:TLM393196 TBQ393192:TBQ393196 SRU393192:SRU393196 SHY393192:SHY393196 RYC393192:RYC393196 ROG393192:ROG393196 REK393192:REK393196 QUO393192:QUO393196 QKS393192:QKS393196 QAW393192:QAW393196 PRA393192:PRA393196 PHE393192:PHE393196 OXI393192:OXI393196 ONM393192:ONM393196 ODQ393192:ODQ393196 NTU393192:NTU393196 NJY393192:NJY393196 NAC393192:NAC393196 MQG393192:MQG393196 MGK393192:MGK393196 LWO393192:LWO393196 LMS393192:LMS393196 LCW393192:LCW393196 KTA393192:KTA393196 KJE393192:KJE393196 JZI393192:JZI393196 JPM393192:JPM393196 JFQ393192:JFQ393196 IVU393192:IVU393196 ILY393192:ILY393196 ICC393192:ICC393196 HSG393192:HSG393196 HIK393192:HIK393196 GYO393192:GYO393196 GOS393192:GOS393196 GEW393192:GEW393196 FVA393192:FVA393196 FLE393192:FLE393196 FBI393192:FBI393196 ERM393192:ERM393196 EHQ393192:EHQ393196 DXU393192:DXU393196 DNY393192:DNY393196 DEC393192:DEC393196 CUG393192:CUG393196 CKK393192:CKK393196 CAO393192:CAO393196 BQS393192:BQS393196 BGW393192:BGW393196 AXA393192:AXA393196 ANE393192:ANE393196 ADI393192:ADI393196 TM393192:TM393196 JQ393192:JQ393196 UPA18:UPA19 WWC327656:WWC327660 WMG327656:WMG327660 WCK327656:WCK327660 VSO327656:VSO327660 VIS327656:VIS327660 UYW327656:UYW327660 UPA327656:UPA327660 UFE327656:UFE327660 TVI327656:TVI327660 TLM327656:TLM327660 TBQ327656:TBQ327660 SRU327656:SRU327660 SHY327656:SHY327660 RYC327656:RYC327660 ROG327656:ROG327660 REK327656:REK327660 QUO327656:QUO327660 QKS327656:QKS327660 QAW327656:QAW327660 PRA327656:PRA327660 PHE327656:PHE327660 OXI327656:OXI327660 ONM327656:ONM327660 ODQ327656:ODQ327660 NTU327656:NTU327660 NJY327656:NJY327660 NAC327656:NAC327660 MQG327656:MQG327660 MGK327656:MGK327660 LWO327656:LWO327660 LMS327656:LMS327660 LCW327656:LCW327660 KTA327656:KTA327660 KJE327656:KJE327660 JZI327656:JZI327660 JPM327656:JPM327660 JFQ327656:JFQ327660 IVU327656:IVU327660 ILY327656:ILY327660 ICC327656:ICC327660 HSG327656:HSG327660 HIK327656:HIK327660 GYO327656:GYO327660 GOS327656:GOS327660 GEW327656:GEW327660 FVA327656:FVA327660 FLE327656:FLE327660 FBI327656:FBI327660 ERM327656:ERM327660 EHQ327656:EHQ327660 DXU327656:DXU327660 DNY327656:DNY327660 DEC327656:DEC327660 CUG327656:CUG327660 CKK327656:CKK327660 CAO327656:CAO327660 BQS327656:BQS327660 BGW327656:BGW327660 AXA327656:AXA327660 ANE327656:ANE327660 ADI327656:ADI327660 TM327656:TM327660 JQ327656:JQ327660 UYW18:UYW19 WWC262120:WWC262124 WMG262120:WMG262124 WCK262120:WCK262124 VSO262120:VSO262124 VIS262120:VIS262124 UYW262120:UYW262124 UPA262120:UPA262124 UFE262120:UFE262124 TVI262120:TVI262124 TLM262120:TLM262124 TBQ262120:TBQ262124 SRU262120:SRU262124 SHY262120:SHY262124 RYC262120:RYC262124 ROG262120:ROG262124 REK262120:REK262124 QUO262120:QUO262124 QKS262120:QKS262124 QAW262120:QAW262124 PRA262120:PRA262124 PHE262120:PHE262124 OXI262120:OXI262124 ONM262120:ONM262124 ODQ262120:ODQ262124 NTU262120:NTU262124 NJY262120:NJY262124 NAC262120:NAC262124 MQG262120:MQG262124 MGK262120:MGK262124 LWO262120:LWO262124 LMS262120:LMS262124 LCW262120:LCW262124 KTA262120:KTA262124 KJE262120:KJE262124 JZI262120:JZI262124 JPM262120:JPM262124 JFQ262120:JFQ262124 IVU262120:IVU262124 ILY262120:ILY262124 ICC262120:ICC262124 HSG262120:HSG262124 HIK262120:HIK262124 GYO262120:GYO262124 GOS262120:GOS262124 GEW262120:GEW262124 FVA262120:FVA262124 FLE262120:FLE262124 FBI262120:FBI262124 ERM262120:ERM262124 EHQ262120:EHQ262124 DXU262120:DXU262124 DNY262120:DNY262124 DEC262120:DEC262124 CUG262120:CUG262124 CKK262120:CKK262124 CAO262120:CAO262124 BQS262120:BQS262124 BGW262120:BGW262124 AXA262120:AXA262124 ANE262120:ANE262124 ADI262120:ADI262124 TM262120:TM262124 JQ262120:JQ262124 VIS18:VIS19 WWC196584:WWC196588 WMG196584:WMG196588 WCK196584:WCK196588 VSO196584:VSO196588 VIS196584:VIS196588 UYW196584:UYW196588 UPA196584:UPA196588 UFE196584:UFE196588 TVI196584:TVI196588 TLM196584:TLM196588 TBQ196584:TBQ196588 SRU196584:SRU196588 SHY196584:SHY196588 RYC196584:RYC196588 ROG196584:ROG196588 REK196584:REK196588 QUO196584:QUO196588 QKS196584:QKS196588 QAW196584:QAW196588 PRA196584:PRA196588 PHE196584:PHE196588 OXI196584:OXI196588 ONM196584:ONM196588 ODQ196584:ODQ196588 NTU196584:NTU196588 NJY196584:NJY196588 NAC196584:NAC196588 MQG196584:MQG196588 MGK196584:MGK196588 LWO196584:LWO196588 LMS196584:LMS196588 LCW196584:LCW196588 KTA196584:KTA196588 KJE196584:KJE196588 JZI196584:JZI196588 JPM196584:JPM196588 JFQ196584:JFQ196588 IVU196584:IVU196588 ILY196584:ILY196588 ICC196584:ICC196588 HSG196584:HSG196588 HIK196584:HIK196588 GYO196584:GYO196588 GOS196584:GOS196588 GEW196584:GEW196588 FVA196584:FVA196588 FLE196584:FLE196588 FBI196584:FBI196588 ERM196584:ERM196588 EHQ196584:EHQ196588 DXU196584:DXU196588 DNY196584:DNY196588 DEC196584:DEC196588 CUG196584:CUG196588 CKK196584:CKK196588 CAO196584:CAO196588 BQS196584:BQS196588 BGW196584:BGW196588 AXA196584:AXA196588 ANE196584:ANE196588 ADI196584:ADI196588 TM196584:TM196588 JQ196584:JQ196588 VSO18:VSO19 WWC131048:WWC131052 WMG131048:WMG131052 WCK131048:WCK131052 VSO131048:VSO131052 VIS131048:VIS131052 UYW131048:UYW131052 UPA131048:UPA131052 UFE131048:UFE131052 TVI131048:TVI131052 TLM131048:TLM131052 TBQ131048:TBQ131052 SRU131048:SRU131052 SHY131048:SHY131052 RYC131048:RYC131052 ROG131048:ROG131052 REK131048:REK131052 QUO131048:QUO131052 QKS131048:QKS131052 QAW131048:QAW131052 PRA131048:PRA131052 PHE131048:PHE131052 OXI131048:OXI131052 ONM131048:ONM131052 ODQ131048:ODQ131052 NTU131048:NTU131052 NJY131048:NJY131052 NAC131048:NAC131052 MQG131048:MQG131052 MGK131048:MGK131052 LWO131048:LWO131052 LMS131048:LMS131052 LCW131048:LCW131052 KTA131048:KTA131052 KJE131048:KJE131052 JZI131048:JZI131052 JPM131048:JPM131052 JFQ131048:JFQ131052 IVU131048:IVU131052 ILY131048:ILY131052 ICC131048:ICC131052 HSG131048:HSG131052 HIK131048:HIK131052 GYO131048:GYO131052 GOS131048:GOS131052 GEW131048:GEW131052 FVA131048:FVA131052 FLE131048:FLE131052 FBI131048:FBI131052 ERM131048:ERM131052 EHQ131048:EHQ131052 DXU131048:DXU131052 DNY131048:DNY131052 DEC131048:DEC131052 CUG131048:CUG131052 CKK131048:CKK131052 CAO131048:CAO131052 BQS131048:BQS131052 BGW131048:BGW131052 AXA131048:AXA131052 ANE131048:ANE131052 ADI131048:ADI131052 TM131048:TM131052 JQ131048:JQ131052 WCK18:WCK19 WWC65512:WWC65516 WMG65512:WMG65516 WCK65512:WCK65516 VSO65512:VSO65516 VIS65512:VIS65516 UYW65512:UYW65516 UPA65512:UPA65516 UFE65512:UFE65516 TVI65512:TVI65516 TLM65512:TLM65516 TBQ65512:TBQ65516 SRU65512:SRU65516 SHY65512:SHY65516 RYC65512:RYC65516 ROG65512:ROG65516 REK65512:REK65516 QUO65512:QUO65516 QKS65512:QKS65516 QAW65512:QAW65516 PRA65512:PRA65516 PHE65512:PHE65516 OXI65512:OXI65516 ONM65512:ONM65516 ODQ65512:ODQ65516 NTU65512:NTU65516 NJY65512:NJY65516 NAC65512:NAC65516 MQG65512:MQG65516 MGK65512:MGK65516 LWO65512:LWO65516 LMS65512:LMS65516 LCW65512:LCW65516 KTA65512:KTA65516 KJE65512:KJE65516 JZI65512:JZI65516 JPM65512:JPM65516 JFQ65512:JFQ65516 IVU65512:IVU65516 ILY65512:ILY65516 ICC65512:ICC65516 HSG65512:HSG65516 HIK65512:HIK65516 GYO65512:GYO65516 GOS65512:GOS65516 GEW65512:GEW65516 FVA65512:FVA65516 FLE65512:FLE65516 FBI65512:FBI65516 ERM65512:ERM65516 EHQ65512:EHQ65516 DXU65512:DXU65516 DNY65512:DNY65516 DEC65512:DEC65516 CUG65512:CUG65516 CKK65512:CKK65516 CAO65512:CAO65516 BQS65512:BQS65516 BGW65512:BGW65516 AXA65512:AXA65516 ANE65512:ANE65516 ADI65512:ADI65516 TM65512:TM65516 JQ65512:JQ65516 JQ23:JQ29 TM23:TM29 ADI23:ADI29 ANE23:ANE29 AXA23:AXA29 BGW23:BGW29 BQS23:BQS29 CAO23:CAO29 CKK23:CKK29 CUG23:CUG29 DEC23:DEC29 DNY23:DNY29 DXU23:DXU29 EHQ23:EHQ29 ERM23:ERM29 FBI23:FBI29 FLE23:FLE29 FVA23:FVA29 GEW23:GEW29 GOS23:GOS29 GYO23:GYO29 HIK23:HIK29 HSG23:HSG29 ICC23:ICC29 ILY23:ILY29 IVU23:IVU29 JFQ23:JFQ29 JPM23:JPM29 JZI23:JZI29 KJE23:KJE29 KTA23:KTA29 LCW23:LCW29 LMS23:LMS29 LWO23:LWO29 MGK23:MGK29 MQG23:MQG29 NAC23:NAC29 NJY23:NJY29 NTU23:NTU29 ODQ23:ODQ29 ONM23:ONM29 OXI23:OXI29 PHE23:PHE29 PRA23:PRA29 QAW23:QAW29 QKS23:QKS29 QUO23:QUO29 REK23:REK29 ROG23:ROG29 RYC23:RYC29 SHY23:SHY29 SRU23:SRU29 TBQ23:TBQ29 TLM23:TLM29 TVI23:TVI29 UFE23:UFE29 UPA23:UPA29 UYW23:UYW29 VIS23:VIS29 VSO23:VSO29 WCK23:WCK29 WMG23:WMG29 WWC23:WWC29 WMG18:WMG19 JQ14:JQ16 TM14:TM16 ADI14:ADI16 ANE14:ANE16 AXA14:AXA16 BGW14:BGW16 BQS14:BQS16 CAO14:CAO16 CKK14:CKK16 CUG14:CUG16 DEC14:DEC16 DNY14:DNY16 DXU14:DXU16 EHQ14:EHQ16 ERM14:ERM16 FBI14:FBI16 FLE14:FLE16 FVA14:FVA16 GEW14:GEW16 I65512:I65516 I983056:I983058 I917520:I917522 I851984:I851986 I786448:I786450 I720912:I720914 I655376:I655378 I589840:I589842 I524304:I524306 I458768:I458770 I393232:I393234 I327696:I327698 I262160:I262162 I196624:I196626 I131088:I131090 I65552:I65554 I983050:I983052 I917514:I917516 I851978:I851980 I786442:I786444 I720906:I720908 I655370:I655372 I589834:I589836 I524298:I524300 I458762:I458764 I393226:I393228 I327690:I327692 I262154:I262156 I196618:I196620 I131082:I131084 I65546:I65548 I983044:I983046 I917508:I917510 I851972:I851974 I786436:I786438 I720900:I720902 I655364:I655366 I589828:I589830 I524292:I524294 I458756:I458758 I393220:I393222 I327684:I327686 I262148:I262150 I196612:I196614 I131076:I131078 I65540:I65542 I983035:I983037 I917499:I917501 I851963:I851965 I786427:I786429 I720891:I720893 I655355:I655357 I589819:I589821 I524283:I524285 I458747:I458749 I393211:I393213 I327675:I327677 I262139:I262141 I196603:I196605 I131067:I131069 I65531:I65533 I983030:I983032 I917494:I917496 I851958:I851960 I786422:I786424 I720886:I720888 I655350:I655352 I589814:I589816 I524278:I524280 I458742:I458744 I393206:I393208 I327670:I327672 I262134:I262136 I196598:I196600 I131062:I131064 I65526:I65528 I983024:I983026 I917488:I917490 I851952:I851954 I786416:I786418 I720880:I720882 I655344:I655346 I589808:I589810 I524272:I524274 I458736:I458738 I393200:I393202 I327664:I327666 I262128:I262130 I196592:I196594 I131056:I131058 I65520:I65522 I983016:I983020 I917480:I917484 I851944:I851948 I786408:I786412 I720872:I720876 I655336:I655340 I589800:I589804 I524264:I524268 I458728:I458732 I393192:I393196 I327656:I327660 I262120:I262124 I196584:I196588 I131048:I131052 I16 I22 I29 I25" xr:uid="{00000000-0002-0000-1400-000002000000}">
      <formula1>#REF!</formula1>
    </dataValidation>
  </dataValidations>
  <hyperlinks>
    <hyperlink ref="A1" location="Sommaire!F32" display="Sommaire" xr:uid="{00000000-0004-0000-1400-000000000000}"/>
  </hyperlinks>
  <printOptions horizontalCentered="1"/>
  <pageMargins left="0.26" right="0.25" top="0.59055118110236227" bottom="0.59055118110236227" header="0.11811023622047245" footer="0.11811023622047245"/>
  <pageSetup paperSize="9" scale="26" orientation="landscape" r:id="rId1"/>
  <headerFooter alignWithMargins="0">
    <oddFooter>&amp;L&amp;8&amp;C&amp;8&amp;P/&amp;N&amp;R&amp;8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C0099"/>
    <pageSetUpPr fitToPage="1"/>
  </sheetPr>
  <dimension ref="A1:AK51"/>
  <sheetViews>
    <sheetView showGridLines="0" view="pageBreakPreview" topLeftCell="C1" zoomScale="55" zoomScaleNormal="85" zoomScaleSheetLayoutView="55" workbookViewId="0">
      <selection activeCell="AF14" sqref="AF14"/>
    </sheetView>
  </sheetViews>
  <sheetFormatPr baseColWidth="10" defaultRowHeight="13.8" outlineLevelRow="2" x14ac:dyDescent="0.3"/>
  <cols>
    <col min="1" max="1" width="13.88671875" style="1063" customWidth="1"/>
    <col min="2" max="2" width="64.5546875" style="1058" customWidth="1"/>
    <col min="3" max="3" width="1.88671875" style="1058" customWidth="1"/>
    <col min="4" max="4" width="13" style="1057" customWidth="1"/>
    <col min="5" max="5" width="10.5546875" style="1059" customWidth="1"/>
    <col min="6" max="6" width="22.88671875" style="1059" bestFit="1" customWidth="1"/>
    <col min="7" max="19" width="10.5546875" style="1059" customWidth="1"/>
    <col min="20" max="20" width="1.5546875" style="1060" customWidth="1"/>
    <col min="21" max="22" width="15.5546875" style="1061" customWidth="1"/>
    <col min="23" max="23" width="15.5546875" style="1059" customWidth="1"/>
    <col min="24" max="24" width="1.5546875" style="1062" customWidth="1"/>
    <col min="25" max="28" width="15.5546875" style="1058" customWidth="1"/>
    <col min="29" max="29" width="1.5546875" style="1058" customWidth="1"/>
    <col min="30" max="32" width="15.5546875" style="1058" customWidth="1"/>
    <col min="33" max="33" width="11.44140625" style="1058"/>
    <col min="34" max="34" width="12.44140625" style="1058" bestFit="1" customWidth="1"/>
    <col min="35" max="35" width="13.44140625" style="1058" bestFit="1" customWidth="1"/>
    <col min="36" max="37" width="11.44140625" style="1058"/>
    <col min="38" max="38" width="5.109375" style="1058" customWidth="1"/>
    <col min="39" max="261" width="11.44140625" style="1058"/>
    <col min="262" max="262" width="9.5546875" style="1058" customWidth="1"/>
    <col min="263" max="263" width="62.109375" style="1058" customWidth="1"/>
    <col min="264" max="264" width="2.109375" style="1058" bestFit="1" customWidth="1"/>
    <col min="265" max="274" width="0" style="1058" hidden="1" customWidth="1"/>
    <col min="275" max="275" width="11.5546875" style="1058" customWidth="1"/>
    <col min="276" max="277" width="10.44140625" style="1058" customWidth="1"/>
    <col min="278" max="278" width="1.5546875" style="1058" customWidth="1"/>
    <col min="279" max="282" width="10.44140625" style="1058" customWidth="1"/>
    <col min="283" max="283" width="9.5546875" style="1058" bestFit="1" customWidth="1"/>
    <col min="284" max="284" width="10.44140625" style="1058" customWidth="1"/>
    <col min="285" max="285" width="1.5546875" style="1058" customWidth="1"/>
    <col min="286" max="288" width="10.44140625" style="1058" customWidth="1"/>
    <col min="289" max="517" width="11.44140625" style="1058"/>
    <col min="518" max="518" width="9.5546875" style="1058" customWidth="1"/>
    <col min="519" max="519" width="62.109375" style="1058" customWidth="1"/>
    <col min="520" max="520" width="2.109375" style="1058" bestFit="1" customWidth="1"/>
    <col min="521" max="530" width="0" style="1058" hidden="1" customWidth="1"/>
    <col min="531" max="531" width="11.5546875" style="1058" customWidth="1"/>
    <col min="532" max="533" width="10.44140625" style="1058" customWidth="1"/>
    <col min="534" max="534" width="1.5546875" style="1058" customWidth="1"/>
    <col min="535" max="538" width="10.44140625" style="1058" customWidth="1"/>
    <col min="539" max="539" width="9.5546875" style="1058" bestFit="1" customWidth="1"/>
    <col min="540" max="540" width="10.44140625" style="1058" customWidth="1"/>
    <col min="541" max="541" width="1.5546875" style="1058" customWidth="1"/>
    <col min="542" max="544" width="10.44140625" style="1058" customWidth="1"/>
    <col min="545" max="773" width="11.44140625" style="1058"/>
    <col min="774" max="774" width="9.5546875" style="1058" customWidth="1"/>
    <col min="775" max="775" width="62.109375" style="1058" customWidth="1"/>
    <col min="776" max="776" width="2.109375" style="1058" bestFit="1" customWidth="1"/>
    <col min="777" max="786" width="0" style="1058" hidden="1" customWidth="1"/>
    <col min="787" max="787" width="11.5546875" style="1058" customWidth="1"/>
    <col min="788" max="789" width="10.44140625" style="1058" customWidth="1"/>
    <col min="790" max="790" width="1.5546875" style="1058" customWidth="1"/>
    <col min="791" max="794" width="10.44140625" style="1058" customWidth="1"/>
    <col min="795" max="795" width="9.5546875" style="1058" bestFit="1" customWidth="1"/>
    <col min="796" max="796" width="10.44140625" style="1058" customWidth="1"/>
    <col min="797" max="797" width="1.5546875" style="1058" customWidth="1"/>
    <col min="798" max="800" width="10.44140625" style="1058" customWidth="1"/>
    <col min="801" max="1029" width="11.44140625" style="1058"/>
    <col min="1030" max="1030" width="9.5546875" style="1058" customWidth="1"/>
    <col min="1031" max="1031" width="62.109375" style="1058" customWidth="1"/>
    <col min="1032" max="1032" width="2.109375" style="1058" bestFit="1" customWidth="1"/>
    <col min="1033" max="1042" width="0" style="1058" hidden="1" customWidth="1"/>
    <col min="1043" max="1043" width="11.5546875" style="1058" customWidth="1"/>
    <col min="1044" max="1045" width="10.44140625" style="1058" customWidth="1"/>
    <col min="1046" max="1046" width="1.5546875" style="1058" customWidth="1"/>
    <col min="1047" max="1050" width="10.44140625" style="1058" customWidth="1"/>
    <col min="1051" max="1051" width="9.5546875" style="1058" bestFit="1" customWidth="1"/>
    <col min="1052" max="1052" width="10.44140625" style="1058" customWidth="1"/>
    <col min="1053" max="1053" width="1.5546875" style="1058" customWidth="1"/>
    <col min="1054" max="1056" width="10.44140625" style="1058" customWidth="1"/>
    <col min="1057" max="1285" width="11.44140625" style="1058"/>
    <col min="1286" max="1286" width="9.5546875" style="1058" customWidth="1"/>
    <col min="1287" max="1287" width="62.109375" style="1058" customWidth="1"/>
    <col min="1288" max="1288" width="2.109375" style="1058" bestFit="1" customWidth="1"/>
    <col min="1289" max="1298" width="0" style="1058" hidden="1" customWidth="1"/>
    <col min="1299" max="1299" width="11.5546875" style="1058" customWidth="1"/>
    <col min="1300" max="1301" width="10.44140625" style="1058" customWidth="1"/>
    <col min="1302" max="1302" width="1.5546875" style="1058" customWidth="1"/>
    <col min="1303" max="1306" width="10.44140625" style="1058" customWidth="1"/>
    <col min="1307" max="1307" width="9.5546875" style="1058" bestFit="1" customWidth="1"/>
    <col min="1308" max="1308" width="10.44140625" style="1058" customWidth="1"/>
    <col min="1309" max="1309" width="1.5546875" style="1058" customWidth="1"/>
    <col min="1310" max="1312" width="10.44140625" style="1058" customWidth="1"/>
    <col min="1313" max="1541" width="11.44140625" style="1058"/>
    <col min="1542" max="1542" width="9.5546875" style="1058" customWidth="1"/>
    <col min="1543" max="1543" width="62.109375" style="1058" customWidth="1"/>
    <col min="1544" max="1544" width="2.109375" style="1058" bestFit="1" customWidth="1"/>
    <col min="1545" max="1554" width="0" style="1058" hidden="1" customWidth="1"/>
    <col min="1555" max="1555" width="11.5546875" style="1058" customWidth="1"/>
    <col min="1556" max="1557" width="10.44140625" style="1058" customWidth="1"/>
    <col min="1558" max="1558" width="1.5546875" style="1058" customWidth="1"/>
    <col min="1559" max="1562" width="10.44140625" style="1058" customWidth="1"/>
    <col min="1563" max="1563" width="9.5546875" style="1058" bestFit="1" customWidth="1"/>
    <col min="1564" max="1564" width="10.44140625" style="1058" customWidth="1"/>
    <col min="1565" max="1565" width="1.5546875" style="1058" customWidth="1"/>
    <col min="1566" max="1568" width="10.44140625" style="1058" customWidth="1"/>
    <col min="1569" max="1797" width="11.44140625" style="1058"/>
    <col min="1798" max="1798" width="9.5546875" style="1058" customWidth="1"/>
    <col min="1799" max="1799" width="62.109375" style="1058" customWidth="1"/>
    <col min="1800" max="1800" width="2.109375" style="1058" bestFit="1" customWidth="1"/>
    <col min="1801" max="1810" width="0" style="1058" hidden="1" customWidth="1"/>
    <col min="1811" max="1811" width="11.5546875" style="1058" customWidth="1"/>
    <col min="1812" max="1813" width="10.44140625" style="1058" customWidth="1"/>
    <col min="1814" max="1814" width="1.5546875" style="1058" customWidth="1"/>
    <col min="1815" max="1818" width="10.44140625" style="1058" customWidth="1"/>
    <col min="1819" max="1819" width="9.5546875" style="1058" bestFit="1" customWidth="1"/>
    <col min="1820" max="1820" width="10.44140625" style="1058" customWidth="1"/>
    <col min="1821" max="1821" width="1.5546875" style="1058" customWidth="1"/>
    <col min="1822" max="1824" width="10.44140625" style="1058" customWidth="1"/>
    <col min="1825" max="2053" width="11.44140625" style="1058"/>
    <col min="2054" max="2054" width="9.5546875" style="1058" customWidth="1"/>
    <col min="2055" max="2055" width="62.109375" style="1058" customWidth="1"/>
    <col min="2056" max="2056" width="2.109375" style="1058" bestFit="1" customWidth="1"/>
    <col min="2057" max="2066" width="0" style="1058" hidden="1" customWidth="1"/>
    <col min="2067" max="2067" width="11.5546875" style="1058" customWidth="1"/>
    <col min="2068" max="2069" width="10.44140625" style="1058" customWidth="1"/>
    <col min="2070" max="2070" width="1.5546875" style="1058" customWidth="1"/>
    <col min="2071" max="2074" width="10.44140625" style="1058" customWidth="1"/>
    <col min="2075" max="2075" width="9.5546875" style="1058" bestFit="1" customWidth="1"/>
    <col min="2076" max="2076" width="10.44140625" style="1058" customWidth="1"/>
    <col min="2077" max="2077" width="1.5546875" style="1058" customWidth="1"/>
    <col min="2078" max="2080" width="10.44140625" style="1058" customWidth="1"/>
    <col min="2081" max="2309" width="11.44140625" style="1058"/>
    <col min="2310" max="2310" width="9.5546875" style="1058" customWidth="1"/>
    <col min="2311" max="2311" width="62.109375" style="1058" customWidth="1"/>
    <col min="2312" max="2312" width="2.109375" style="1058" bestFit="1" customWidth="1"/>
    <col min="2313" max="2322" width="0" style="1058" hidden="1" customWidth="1"/>
    <col min="2323" max="2323" width="11.5546875" style="1058" customWidth="1"/>
    <col min="2324" max="2325" width="10.44140625" style="1058" customWidth="1"/>
    <col min="2326" max="2326" width="1.5546875" style="1058" customWidth="1"/>
    <col min="2327" max="2330" width="10.44140625" style="1058" customWidth="1"/>
    <col min="2331" max="2331" width="9.5546875" style="1058" bestFit="1" customWidth="1"/>
    <col min="2332" max="2332" width="10.44140625" style="1058" customWidth="1"/>
    <col min="2333" max="2333" width="1.5546875" style="1058" customWidth="1"/>
    <col min="2334" max="2336" width="10.44140625" style="1058" customWidth="1"/>
    <col min="2337" max="2565" width="11.44140625" style="1058"/>
    <col min="2566" max="2566" width="9.5546875" style="1058" customWidth="1"/>
    <col min="2567" max="2567" width="62.109375" style="1058" customWidth="1"/>
    <col min="2568" max="2568" width="2.109375" style="1058" bestFit="1" customWidth="1"/>
    <col min="2569" max="2578" width="0" style="1058" hidden="1" customWidth="1"/>
    <col min="2579" max="2579" width="11.5546875" style="1058" customWidth="1"/>
    <col min="2580" max="2581" width="10.44140625" style="1058" customWidth="1"/>
    <col min="2582" max="2582" width="1.5546875" style="1058" customWidth="1"/>
    <col min="2583" max="2586" width="10.44140625" style="1058" customWidth="1"/>
    <col min="2587" max="2587" width="9.5546875" style="1058" bestFit="1" customWidth="1"/>
    <col min="2588" max="2588" width="10.44140625" style="1058" customWidth="1"/>
    <col min="2589" max="2589" width="1.5546875" style="1058" customWidth="1"/>
    <col min="2590" max="2592" width="10.44140625" style="1058" customWidth="1"/>
    <col min="2593" max="2821" width="11.44140625" style="1058"/>
    <col min="2822" max="2822" width="9.5546875" style="1058" customWidth="1"/>
    <col min="2823" max="2823" width="62.109375" style="1058" customWidth="1"/>
    <col min="2824" max="2824" width="2.109375" style="1058" bestFit="1" customWidth="1"/>
    <col min="2825" max="2834" width="0" style="1058" hidden="1" customWidth="1"/>
    <col min="2835" max="2835" width="11.5546875" style="1058" customWidth="1"/>
    <col min="2836" max="2837" width="10.44140625" style="1058" customWidth="1"/>
    <col min="2838" max="2838" width="1.5546875" style="1058" customWidth="1"/>
    <col min="2839" max="2842" width="10.44140625" style="1058" customWidth="1"/>
    <col min="2843" max="2843" width="9.5546875" style="1058" bestFit="1" customWidth="1"/>
    <col min="2844" max="2844" width="10.44140625" style="1058" customWidth="1"/>
    <col min="2845" max="2845" width="1.5546875" style="1058" customWidth="1"/>
    <col min="2846" max="2848" width="10.44140625" style="1058" customWidth="1"/>
    <col min="2849" max="3077" width="11.44140625" style="1058"/>
    <col min="3078" max="3078" width="9.5546875" style="1058" customWidth="1"/>
    <col min="3079" max="3079" width="62.109375" style="1058" customWidth="1"/>
    <col min="3080" max="3080" width="2.109375" style="1058" bestFit="1" customWidth="1"/>
    <col min="3081" max="3090" width="0" style="1058" hidden="1" customWidth="1"/>
    <col min="3091" max="3091" width="11.5546875" style="1058" customWidth="1"/>
    <col min="3092" max="3093" width="10.44140625" style="1058" customWidth="1"/>
    <col min="3094" max="3094" width="1.5546875" style="1058" customWidth="1"/>
    <col min="3095" max="3098" width="10.44140625" style="1058" customWidth="1"/>
    <col min="3099" max="3099" width="9.5546875" style="1058" bestFit="1" customWidth="1"/>
    <col min="3100" max="3100" width="10.44140625" style="1058" customWidth="1"/>
    <col min="3101" max="3101" width="1.5546875" style="1058" customWidth="1"/>
    <col min="3102" max="3104" width="10.44140625" style="1058" customWidth="1"/>
    <col min="3105" max="3333" width="11.44140625" style="1058"/>
    <col min="3334" max="3334" width="9.5546875" style="1058" customWidth="1"/>
    <col min="3335" max="3335" width="62.109375" style="1058" customWidth="1"/>
    <col min="3336" max="3336" width="2.109375" style="1058" bestFit="1" customWidth="1"/>
    <col min="3337" max="3346" width="0" style="1058" hidden="1" customWidth="1"/>
    <col min="3347" max="3347" width="11.5546875" style="1058" customWidth="1"/>
    <col min="3348" max="3349" width="10.44140625" style="1058" customWidth="1"/>
    <col min="3350" max="3350" width="1.5546875" style="1058" customWidth="1"/>
    <col min="3351" max="3354" width="10.44140625" style="1058" customWidth="1"/>
    <col min="3355" max="3355" width="9.5546875" style="1058" bestFit="1" customWidth="1"/>
    <col min="3356" max="3356" width="10.44140625" style="1058" customWidth="1"/>
    <col min="3357" max="3357" width="1.5546875" style="1058" customWidth="1"/>
    <col min="3358" max="3360" width="10.44140625" style="1058" customWidth="1"/>
    <col min="3361" max="3589" width="11.44140625" style="1058"/>
    <col min="3590" max="3590" width="9.5546875" style="1058" customWidth="1"/>
    <col min="3591" max="3591" width="62.109375" style="1058" customWidth="1"/>
    <col min="3592" max="3592" width="2.109375" style="1058" bestFit="1" customWidth="1"/>
    <col min="3593" max="3602" width="0" style="1058" hidden="1" customWidth="1"/>
    <col min="3603" max="3603" width="11.5546875" style="1058" customWidth="1"/>
    <col min="3604" max="3605" width="10.44140625" style="1058" customWidth="1"/>
    <col min="3606" max="3606" width="1.5546875" style="1058" customWidth="1"/>
    <col min="3607" max="3610" width="10.44140625" style="1058" customWidth="1"/>
    <col min="3611" max="3611" width="9.5546875" style="1058" bestFit="1" customWidth="1"/>
    <col min="3612" max="3612" width="10.44140625" style="1058" customWidth="1"/>
    <col min="3613" max="3613" width="1.5546875" style="1058" customWidth="1"/>
    <col min="3614" max="3616" width="10.44140625" style="1058" customWidth="1"/>
    <col min="3617" max="3845" width="11.44140625" style="1058"/>
    <col min="3846" max="3846" width="9.5546875" style="1058" customWidth="1"/>
    <col min="3847" max="3847" width="62.109375" style="1058" customWidth="1"/>
    <col min="3848" max="3848" width="2.109375" style="1058" bestFit="1" customWidth="1"/>
    <col min="3849" max="3858" width="0" style="1058" hidden="1" customWidth="1"/>
    <col min="3859" max="3859" width="11.5546875" style="1058" customWidth="1"/>
    <col min="3860" max="3861" width="10.44140625" style="1058" customWidth="1"/>
    <col min="3862" max="3862" width="1.5546875" style="1058" customWidth="1"/>
    <col min="3863" max="3866" width="10.44140625" style="1058" customWidth="1"/>
    <col min="3867" max="3867" width="9.5546875" style="1058" bestFit="1" customWidth="1"/>
    <col min="3868" max="3868" width="10.44140625" style="1058" customWidth="1"/>
    <col min="3869" max="3869" width="1.5546875" style="1058" customWidth="1"/>
    <col min="3870" max="3872" width="10.44140625" style="1058" customWidth="1"/>
    <col min="3873" max="4101" width="11.44140625" style="1058"/>
    <col min="4102" max="4102" width="9.5546875" style="1058" customWidth="1"/>
    <col min="4103" max="4103" width="62.109375" style="1058" customWidth="1"/>
    <col min="4104" max="4104" width="2.109375" style="1058" bestFit="1" customWidth="1"/>
    <col min="4105" max="4114" width="0" style="1058" hidden="1" customWidth="1"/>
    <col min="4115" max="4115" width="11.5546875" style="1058" customWidth="1"/>
    <col min="4116" max="4117" width="10.44140625" style="1058" customWidth="1"/>
    <col min="4118" max="4118" width="1.5546875" style="1058" customWidth="1"/>
    <col min="4119" max="4122" width="10.44140625" style="1058" customWidth="1"/>
    <col min="4123" max="4123" width="9.5546875" style="1058" bestFit="1" customWidth="1"/>
    <col min="4124" max="4124" width="10.44140625" style="1058" customWidth="1"/>
    <col min="4125" max="4125" width="1.5546875" style="1058" customWidth="1"/>
    <col min="4126" max="4128" width="10.44140625" style="1058" customWidth="1"/>
    <col min="4129" max="4357" width="11.44140625" style="1058"/>
    <col min="4358" max="4358" width="9.5546875" style="1058" customWidth="1"/>
    <col min="4359" max="4359" width="62.109375" style="1058" customWidth="1"/>
    <col min="4360" max="4360" width="2.109375" style="1058" bestFit="1" customWidth="1"/>
    <col min="4361" max="4370" width="0" style="1058" hidden="1" customWidth="1"/>
    <col min="4371" max="4371" width="11.5546875" style="1058" customWidth="1"/>
    <col min="4372" max="4373" width="10.44140625" style="1058" customWidth="1"/>
    <col min="4374" max="4374" width="1.5546875" style="1058" customWidth="1"/>
    <col min="4375" max="4378" width="10.44140625" style="1058" customWidth="1"/>
    <col min="4379" max="4379" width="9.5546875" style="1058" bestFit="1" customWidth="1"/>
    <col min="4380" max="4380" width="10.44140625" style="1058" customWidth="1"/>
    <col min="4381" max="4381" width="1.5546875" style="1058" customWidth="1"/>
    <col min="4382" max="4384" width="10.44140625" style="1058" customWidth="1"/>
    <col min="4385" max="4613" width="11.44140625" style="1058"/>
    <col min="4614" max="4614" width="9.5546875" style="1058" customWidth="1"/>
    <col min="4615" max="4615" width="62.109375" style="1058" customWidth="1"/>
    <col min="4616" max="4616" width="2.109375" style="1058" bestFit="1" customWidth="1"/>
    <col min="4617" max="4626" width="0" style="1058" hidden="1" customWidth="1"/>
    <col min="4627" max="4627" width="11.5546875" style="1058" customWidth="1"/>
    <col min="4628" max="4629" width="10.44140625" style="1058" customWidth="1"/>
    <col min="4630" max="4630" width="1.5546875" style="1058" customWidth="1"/>
    <col min="4631" max="4634" width="10.44140625" style="1058" customWidth="1"/>
    <col min="4635" max="4635" width="9.5546875" style="1058" bestFit="1" customWidth="1"/>
    <col min="4636" max="4636" width="10.44140625" style="1058" customWidth="1"/>
    <col min="4637" max="4637" width="1.5546875" style="1058" customWidth="1"/>
    <col min="4638" max="4640" width="10.44140625" style="1058" customWidth="1"/>
    <col min="4641" max="4869" width="11.44140625" style="1058"/>
    <col min="4870" max="4870" width="9.5546875" style="1058" customWidth="1"/>
    <col min="4871" max="4871" width="62.109375" style="1058" customWidth="1"/>
    <col min="4872" max="4872" width="2.109375" style="1058" bestFit="1" customWidth="1"/>
    <col min="4873" max="4882" width="0" style="1058" hidden="1" customWidth="1"/>
    <col min="4883" max="4883" width="11.5546875" style="1058" customWidth="1"/>
    <col min="4884" max="4885" width="10.44140625" style="1058" customWidth="1"/>
    <col min="4886" max="4886" width="1.5546875" style="1058" customWidth="1"/>
    <col min="4887" max="4890" width="10.44140625" style="1058" customWidth="1"/>
    <col min="4891" max="4891" width="9.5546875" style="1058" bestFit="1" customWidth="1"/>
    <col min="4892" max="4892" width="10.44140625" style="1058" customWidth="1"/>
    <col min="4893" max="4893" width="1.5546875" style="1058" customWidth="1"/>
    <col min="4894" max="4896" width="10.44140625" style="1058" customWidth="1"/>
    <col min="4897" max="5125" width="11.44140625" style="1058"/>
    <col min="5126" max="5126" width="9.5546875" style="1058" customWidth="1"/>
    <col min="5127" max="5127" width="62.109375" style="1058" customWidth="1"/>
    <col min="5128" max="5128" width="2.109375" style="1058" bestFit="1" customWidth="1"/>
    <col min="5129" max="5138" width="0" style="1058" hidden="1" customWidth="1"/>
    <col min="5139" max="5139" width="11.5546875" style="1058" customWidth="1"/>
    <col min="5140" max="5141" width="10.44140625" style="1058" customWidth="1"/>
    <col min="5142" max="5142" width="1.5546875" style="1058" customWidth="1"/>
    <col min="5143" max="5146" width="10.44140625" style="1058" customWidth="1"/>
    <col min="5147" max="5147" width="9.5546875" style="1058" bestFit="1" customWidth="1"/>
    <col min="5148" max="5148" width="10.44140625" style="1058" customWidth="1"/>
    <col min="5149" max="5149" width="1.5546875" style="1058" customWidth="1"/>
    <col min="5150" max="5152" width="10.44140625" style="1058" customWidth="1"/>
    <col min="5153" max="5381" width="11.44140625" style="1058"/>
    <col min="5382" max="5382" width="9.5546875" style="1058" customWidth="1"/>
    <col min="5383" max="5383" width="62.109375" style="1058" customWidth="1"/>
    <col min="5384" max="5384" width="2.109375" style="1058" bestFit="1" customWidth="1"/>
    <col min="5385" max="5394" width="0" style="1058" hidden="1" customWidth="1"/>
    <col min="5395" max="5395" width="11.5546875" style="1058" customWidth="1"/>
    <col min="5396" max="5397" width="10.44140625" style="1058" customWidth="1"/>
    <col min="5398" max="5398" width="1.5546875" style="1058" customWidth="1"/>
    <col min="5399" max="5402" width="10.44140625" style="1058" customWidth="1"/>
    <col min="5403" max="5403" width="9.5546875" style="1058" bestFit="1" customWidth="1"/>
    <col min="5404" max="5404" width="10.44140625" style="1058" customWidth="1"/>
    <col min="5405" max="5405" width="1.5546875" style="1058" customWidth="1"/>
    <col min="5406" max="5408" width="10.44140625" style="1058" customWidth="1"/>
    <col min="5409" max="5637" width="11.44140625" style="1058"/>
    <col min="5638" max="5638" width="9.5546875" style="1058" customWidth="1"/>
    <col min="5639" max="5639" width="62.109375" style="1058" customWidth="1"/>
    <col min="5640" max="5640" width="2.109375" style="1058" bestFit="1" customWidth="1"/>
    <col min="5641" max="5650" width="0" style="1058" hidden="1" customWidth="1"/>
    <col min="5651" max="5651" width="11.5546875" style="1058" customWidth="1"/>
    <col min="5652" max="5653" width="10.44140625" style="1058" customWidth="1"/>
    <col min="5654" max="5654" width="1.5546875" style="1058" customWidth="1"/>
    <col min="5655" max="5658" width="10.44140625" style="1058" customWidth="1"/>
    <col min="5659" max="5659" width="9.5546875" style="1058" bestFit="1" customWidth="1"/>
    <col min="5660" max="5660" width="10.44140625" style="1058" customWidth="1"/>
    <col min="5661" max="5661" width="1.5546875" style="1058" customWidth="1"/>
    <col min="5662" max="5664" width="10.44140625" style="1058" customWidth="1"/>
    <col min="5665" max="5893" width="11.44140625" style="1058"/>
    <col min="5894" max="5894" width="9.5546875" style="1058" customWidth="1"/>
    <col min="5895" max="5895" width="62.109375" style="1058" customWidth="1"/>
    <col min="5896" max="5896" width="2.109375" style="1058" bestFit="1" customWidth="1"/>
    <col min="5897" max="5906" width="0" style="1058" hidden="1" customWidth="1"/>
    <col min="5907" max="5907" width="11.5546875" style="1058" customWidth="1"/>
    <col min="5908" max="5909" width="10.44140625" style="1058" customWidth="1"/>
    <col min="5910" max="5910" width="1.5546875" style="1058" customWidth="1"/>
    <col min="5911" max="5914" width="10.44140625" style="1058" customWidth="1"/>
    <col min="5915" max="5915" width="9.5546875" style="1058" bestFit="1" customWidth="1"/>
    <col min="5916" max="5916" width="10.44140625" style="1058" customWidth="1"/>
    <col min="5917" max="5917" width="1.5546875" style="1058" customWidth="1"/>
    <col min="5918" max="5920" width="10.44140625" style="1058" customWidth="1"/>
    <col min="5921" max="6149" width="11.44140625" style="1058"/>
    <col min="6150" max="6150" width="9.5546875" style="1058" customWidth="1"/>
    <col min="6151" max="6151" width="62.109375" style="1058" customWidth="1"/>
    <col min="6152" max="6152" width="2.109375" style="1058" bestFit="1" customWidth="1"/>
    <col min="6153" max="6162" width="0" style="1058" hidden="1" customWidth="1"/>
    <col min="6163" max="6163" width="11.5546875" style="1058" customWidth="1"/>
    <col min="6164" max="6165" width="10.44140625" style="1058" customWidth="1"/>
    <col min="6166" max="6166" width="1.5546875" style="1058" customWidth="1"/>
    <col min="6167" max="6170" width="10.44140625" style="1058" customWidth="1"/>
    <col min="6171" max="6171" width="9.5546875" style="1058" bestFit="1" customWidth="1"/>
    <col min="6172" max="6172" width="10.44140625" style="1058" customWidth="1"/>
    <col min="6173" max="6173" width="1.5546875" style="1058" customWidth="1"/>
    <col min="6174" max="6176" width="10.44140625" style="1058" customWidth="1"/>
    <col min="6177" max="6405" width="11.44140625" style="1058"/>
    <col min="6406" max="6406" width="9.5546875" style="1058" customWidth="1"/>
    <col min="6407" max="6407" width="62.109375" style="1058" customWidth="1"/>
    <col min="6408" max="6408" width="2.109375" style="1058" bestFit="1" customWidth="1"/>
    <col min="6409" max="6418" width="0" style="1058" hidden="1" customWidth="1"/>
    <col min="6419" max="6419" width="11.5546875" style="1058" customWidth="1"/>
    <col min="6420" max="6421" width="10.44140625" style="1058" customWidth="1"/>
    <col min="6422" max="6422" width="1.5546875" style="1058" customWidth="1"/>
    <col min="6423" max="6426" width="10.44140625" style="1058" customWidth="1"/>
    <col min="6427" max="6427" width="9.5546875" style="1058" bestFit="1" customWidth="1"/>
    <col min="6428" max="6428" width="10.44140625" style="1058" customWidth="1"/>
    <col min="6429" max="6429" width="1.5546875" style="1058" customWidth="1"/>
    <col min="6430" max="6432" width="10.44140625" style="1058" customWidth="1"/>
    <col min="6433" max="6661" width="11.44140625" style="1058"/>
    <col min="6662" max="6662" width="9.5546875" style="1058" customWidth="1"/>
    <col min="6663" max="6663" width="62.109375" style="1058" customWidth="1"/>
    <col min="6664" max="6664" width="2.109375" style="1058" bestFit="1" customWidth="1"/>
    <col min="6665" max="6674" width="0" style="1058" hidden="1" customWidth="1"/>
    <col min="6675" max="6675" width="11.5546875" style="1058" customWidth="1"/>
    <col min="6676" max="6677" width="10.44140625" style="1058" customWidth="1"/>
    <col min="6678" max="6678" width="1.5546875" style="1058" customWidth="1"/>
    <col min="6679" max="6682" width="10.44140625" style="1058" customWidth="1"/>
    <col min="6683" max="6683" width="9.5546875" style="1058" bestFit="1" customWidth="1"/>
    <col min="6684" max="6684" width="10.44140625" style="1058" customWidth="1"/>
    <col min="6685" max="6685" width="1.5546875" style="1058" customWidth="1"/>
    <col min="6686" max="6688" width="10.44140625" style="1058" customWidth="1"/>
    <col min="6689" max="6917" width="11.44140625" style="1058"/>
    <col min="6918" max="6918" width="9.5546875" style="1058" customWidth="1"/>
    <col min="6919" max="6919" width="62.109375" style="1058" customWidth="1"/>
    <col min="6920" max="6920" width="2.109375" style="1058" bestFit="1" customWidth="1"/>
    <col min="6921" max="6930" width="0" style="1058" hidden="1" customWidth="1"/>
    <col min="6931" max="6931" width="11.5546875" style="1058" customWidth="1"/>
    <col min="6932" max="6933" width="10.44140625" style="1058" customWidth="1"/>
    <col min="6934" max="6934" width="1.5546875" style="1058" customWidth="1"/>
    <col min="6935" max="6938" width="10.44140625" style="1058" customWidth="1"/>
    <col min="6939" max="6939" width="9.5546875" style="1058" bestFit="1" customWidth="1"/>
    <col min="6940" max="6940" width="10.44140625" style="1058" customWidth="1"/>
    <col min="6941" max="6941" width="1.5546875" style="1058" customWidth="1"/>
    <col min="6942" max="6944" width="10.44140625" style="1058" customWidth="1"/>
    <col min="6945" max="7173" width="11.44140625" style="1058"/>
    <col min="7174" max="7174" width="9.5546875" style="1058" customWidth="1"/>
    <col min="7175" max="7175" width="62.109375" style="1058" customWidth="1"/>
    <col min="7176" max="7176" width="2.109375" style="1058" bestFit="1" customWidth="1"/>
    <col min="7177" max="7186" width="0" style="1058" hidden="1" customWidth="1"/>
    <col min="7187" max="7187" width="11.5546875" style="1058" customWidth="1"/>
    <col min="7188" max="7189" width="10.44140625" style="1058" customWidth="1"/>
    <col min="7190" max="7190" width="1.5546875" style="1058" customWidth="1"/>
    <col min="7191" max="7194" width="10.44140625" style="1058" customWidth="1"/>
    <col min="7195" max="7195" width="9.5546875" style="1058" bestFit="1" customWidth="1"/>
    <col min="7196" max="7196" width="10.44140625" style="1058" customWidth="1"/>
    <col min="7197" max="7197" width="1.5546875" style="1058" customWidth="1"/>
    <col min="7198" max="7200" width="10.44140625" style="1058" customWidth="1"/>
    <col min="7201" max="7429" width="11.44140625" style="1058"/>
    <col min="7430" max="7430" width="9.5546875" style="1058" customWidth="1"/>
    <col min="7431" max="7431" width="62.109375" style="1058" customWidth="1"/>
    <col min="7432" max="7432" width="2.109375" style="1058" bestFit="1" customWidth="1"/>
    <col min="7433" max="7442" width="0" style="1058" hidden="1" customWidth="1"/>
    <col min="7443" max="7443" width="11.5546875" style="1058" customWidth="1"/>
    <col min="7444" max="7445" width="10.44140625" style="1058" customWidth="1"/>
    <col min="7446" max="7446" width="1.5546875" style="1058" customWidth="1"/>
    <col min="7447" max="7450" width="10.44140625" style="1058" customWidth="1"/>
    <col min="7451" max="7451" width="9.5546875" style="1058" bestFit="1" customWidth="1"/>
    <col min="7452" max="7452" width="10.44140625" style="1058" customWidth="1"/>
    <col min="7453" max="7453" width="1.5546875" style="1058" customWidth="1"/>
    <col min="7454" max="7456" width="10.44140625" style="1058" customWidth="1"/>
    <col min="7457" max="7685" width="11.44140625" style="1058"/>
    <col min="7686" max="7686" width="9.5546875" style="1058" customWidth="1"/>
    <col min="7687" max="7687" width="62.109375" style="1058" customWidth="1"/>
    <col min="7688" max="7688" width="2.109375" style="1058" bestFit="1" customWidth="1"/>
    <col min="7689" max="7698" width="0" style="1058" hidden="1" customWidth="1"/>
    <col min="7699" max="7699" width="11.5546875" style="1058" customWidth="1"/>
    <col min="7700" max="7701" width="10.44140625" style="1058" customWidth="1"/>
    <col min="7702" max="7702" width="1.5546875" style="1058" customWidth="1"/>
    <col min="7703" max="7706" width="10.44140625" style="1058" customWidth="1"/>
    <col min="7707" max="7707" width="9.5546875" style="1058" bestFit="1" customWidth="1"/>
    <col min="7708" max="7708" width="10.44140625" style="1058" customWidth="1"/>
    <col min="7709" max="7709" width="1.5546875" style="1058" customWidth="1"/>
    <col min="7710" max="7712" width="10.44140625" style="1058" customWidth="1"/>
    <col min="7713" max="7941" width="11.44140625" style="1058"/>
    <col min="7942" max="7942" width="9.5546875" style="1058" customWidth="1"/>
    <col min="7943" max="7943" width="62.109375" style="1058" customWidth="1"/>
    <col min="7944" max="7944" width="2.109375" style="1058" bestFit="1" customWidth="1"/>
    <col min="7945" max="7954" width="0" style="1058" hidden="1" customWidth="1"/>
    <col min="7955" max="7955" width="11.5546875" style="1058" customWidth="1"/>
    <col min="7956" max="7957" width="10.44140625" style="1058" customWidth="1"/>
    <col min="7958" max="7958" width="1.5546875" style="1058" customWidth="1"/>
    <col min="7959" max="7962" width="10.44140625" style="1058" customWidth="1"/>
    <col min="7963" max="7963" width="9.5546875" style="1058" bestFit="1" customWidth="1"/>
    <col min="7964" max="7964" width="10.44140625" style="1058" customWidth="1"/>
    <col min="7965" max="7965" width="1.5546875" style="1058" customWidth="1"/>
    <col min="7966" max="7968" width="10.44140625" style="1058" customWidth="1"/>
    <col min="7969" max="8197" width="11.44140625" style="1058"/>
    <col min="8198" max="8198" width="9.5546875" style="1058" customWidth="1"/>
    <col min="8199" max="8199" width="62.109375" style="1058" customWidth="1"/>
    <col min="8200" max="8200" width="2.109375" style="1058" bestFit="1" customWidth="1"/>
    <col min="8201" max="8210" width="0" style="1058" hidden="1" customWidth="1"/>
    <col min="8211" max="8211" width="11.5546875" style="1058" customWidth="1"/>
    <col min="8212" max="8213" width="10.44140625" style="1058" customWidth="1"/>
    <col min="8214" max="8214" width="1.5546875" style="1058" customWidth="1"/>
    <col min="8215" max="8218" width="10.44140625" style="1058" customWidth="1"/>
    <col min="8219" max="8219" width="9.5546875" style="1058" bestFit="1" customWidth="1"/>
    <col min="8220" max="8220" width="10.44140625" style="1058" customWidth="1"/>
    <col min="8221" max="8221" width="1.5546875" style="1058" customWidth="1"/>
    <col min="8222" max="8224" width="10.44140625" style="1058" customWidth="1"/>
    <col min="8225" max="8453" width="11.44140625" style="1058"/>
    <col min="8454" max="8454" width="9.5546875" style="1058" customWidth="1"/>
    <col min="8455" max="8455" width="62.109375" style="1058" customWidth="1"/>
    <col min="8456" max="8456" width="2.109375" style="1058" bestFit="1" customWidth="1"/>
    <col min="8457" max="8466" width="0" style="1058" hidden="1" customWidth="1"/>
    <col min="8467" max="8467" width="11.5546875" style="1058" customWidth="1"/>
    <col min="8468" max="8469" width="10.44140625" style="1058" customWidth="1"/>
    <col min="8470" max="8470" width="1.5546875" style="1058" customWidth="1"/>
    <col min="8471" max="8474" width="10.44140625" style="1058" customWidth="1"/>
    <col min="8475" max="8475" width="9.5546875" style="1058" bestFit="1" customWidth="1"/>
    <col min="8476" max="8476" width="10.44140625" style="1058" customWidth="1"/>
    <col min="8477" max="8477" width="1.5546875" style="1058" customWidth="1"/>
    <col min="8478" max="8480" width="10.44140625" style="1058" customWidth="1"/>
    <col min="8481" max="8709" width="11.44140625" style="1058"/>
    <col min="8710" max="8710" width="9.5546875" style="1058" customWidth="1"/>
    <col min="8711" max="8711" width="62.109375" style="1058" customWidth="1"/>
    <col min="8712" max="8712" width="2.109375" style="1058" bestFit="1" customWidth="1"/>
    <col min="8713" max="8722" width="0" style="1058" hidden="1" customWidth="1"/>
    <col min="8723" max="8723" width="11.5546875" style="1058" customWidth="1"/>
    <col min="8724" max="8725" width="10.44140625" style="1058" customWidth="1"/>
    <col min="8726" max="8726" width="1.5546875" style="1058" customWidth="1"/>
    <col min="8727" max="8730" width="10.44140625" style="1058" customWidth="1"/>
    <col min="8731" max="8731" width="9.5546875" style="1058" bestFit="1" customWidth="1"/>
    <col min="8732" max="8732" width="10.44140625" style="1058" customWidth="1"/>
    <col min="8733" max="8733" width="1.5546875" style="1058" customWidth="1"/>
    <col min="8734" max="8736" width="10.44140625" style="1058" customWidth="1"/>
    <col min="8737" max="8965" width="11.44140625" style="1058"/>
    <col min="8966" max="8966" width="9.5546875" style="1058" customWidth="1"/>
    <col min="8967" max="8967" width="62.109375" style="1058" customWidth="1"/>
    <col min="8968" max="8968" width="2.109375" style="1058" bestFit="1" customWidth="1"/>
    <col min="8969" max="8978" width="0" style="1058" hidden="1" customWidth="1"/>
    <col min="8979" max="8979" width="11.5546875" style="1058" customWidth="1"/>
    <col min="8980" max="8981" width="10.44140625" style="1058" customWidth="1"/>
    <col min="8982" max="8982" width="1.5546875" style="1058" customWidth="1"/>
    <col min="8983" max="8986" width="10.44140625" style="1058" customWidth="1"/>
    <col min="8987" max="8987" width="9.5546875" style="1058" bestFit="1" customWidth="1"/>
    <col min="8988" max="8988" width="10.44140625" style="1058" customWidth="1"/>
    <col min="8989" max="8989" width="1.5546875" style="1058" customWidth="1"/>
    <col min="8990" max="8992" width="10.44140625" style="1058" customWidth="1"/>
    <col min="8993" max="9221" width="11.44140625" style="1058"/>
    <col min="9222" max="9222" width="9.5546875" style="1058" customWidth="1"/>
    <col min="9223" max="9223" width="62.109375" style="1058" customWidth="1"/>
    <col min="9224" max="9224" width="2.109375" style="1058" bestFit="1" customWidth="1"/>
    <col min="9225" max="9234" width="0" style="1058" hidden="1" customWidth="1"/>
    <col min="9235" max="9235" width="11.5546875" style="1058" customWidth="1"/>
    <col min="9236" max="9237" width="10.44140625" style="1058" customWidth="1"/>
    <col min="9238" max="9238" width="1.5546875" style="1058" customWidth="1"/>
    <col min="9239" max="9242" width="10.44140625" style="1058" customWidth="1"/>
    <col min="9243" max="9243" width="9.5546875" style="1058" bestFit="1" customWidth="1"/>
    <col min="9244" max="9244" width="10.44140625" style="1058" customWidth="1"/>
    <col min="9245" max="9245" width="1.5546875" style="1058" customWidth="1"/>
    <col min="9246" max="9248" width="10.44140625" style="1058" customWidth="1"/>
    <col min="9249" max="9477" width="11.44140625" style="1058"/>
    <col min="9478" max="9478" width="9.5546875" style="1058" customWidth="1"/>
    <col min="9479" max="9479" width="62.109375" style="1058" customWidth="1"/>
    <col min="9480" max="9480" width="2.109375" style="1058" bestFit="1" customWidth="1"/>
    <col min="9481" max="9490" width="0" style="1058" hidden="1" customWidth="1"/>
    <col min="9491" max="9491" width="11.5546875" style="1058" customWidth="1"/>
    <col min="9492" max="9493" width="10.44140625" style="1058" customWidth="1"/>
    <col min="9494" max="9494" width="1.5546875" style="1058" customWidth="1"/>
    <col min="9495" max="9498" width="10.44140625" style="1058" customWidth="1"/>
    <col min="9499" max="9499" width="9.5546875" style="1058" bestFit="1" customWidth="1"/>
    <col min="9500" max="9500" width="10.44140625" style="1058" customWidth="1"/>
    <col min="9501" max="9501" width="1.5546875" style="1058" customWidth="1"/>
    <col min="9502" max="9504" width="10.44140625" style="1058" customWidth="1"/>
    <col min="9505" max="9733" width="11.44140625" style="1058"/>
    <col min="9734" max="9734" width="9.5546875" style="1058" customWidth="1"/>
    <col min="9735" max="9735" width="62.109375" style="1058" customWidth="1"/>
    <col min="9736" max="9736" width="2.109375" style="1058" bestFit="1" customWidth="1"/>
    <col min="9737" max="9746" width="0" style="1058" hidden="1" customWidth="1"/>
    <col min="9747" max="9747" width="11.5546875" style="1058" customWidth="1"/>
    <col min="9748" max="9749" width="10.44140625" style="1058" customWidth="1"/>
    <col min="9750" max="9750" width="1.5546875" style="1058" customWidth="1"/>
    <col min="9751" max="9754" width="10.44140625" style="1058" customWidth="1"/>
    <col min="9755" max="9755" width="9.5546875" style="1058" bestFit="1" customWidth="1"/>
    <col min="9756" max="9756" width="10.44140625" style="1058" customWidth="1"/>
    <col min="9757" max="9757" width="1.5546875" style="1058" customWidth="1"/>
    <col min="9758" max="9760" width="10.44140625" style="1058" customWidth="1"/>
    <col min="9761" max="9989" width="11.44140625" style="1058"/>
    <col min="9990" max="9990" width="9.5546875" style="1058" customWidth="1"/>
    <col min="9991" max="9991" width="62.109375" style="1058" customWidth="1"/>
    <col min="9992" max="9992" width="2.109375" style="1058" bestFit="1" customWidth="1"/>
    <col min="9993" max="10002" width="0" style="1058" hidden="1" customWidth="1"/>
    <col min="10003" max="10003" width="11.5546875" style="1058" customWidth="1"/>
    <col min="10004" max="10005" width="10.44140625" style="1058" customWidth="1"/>
    <col min="10006" max="10006" width="1.5546875" style="1058" customWidth="1"/>
    <col min="10007" max="10010" width="10.44140625" style="1058" customWidth="1"/>
    <col min="10011" max="10011" width="9.5546875" style="1058" bestFit="1" customWidth="1"/>
    <col min="10012" max="10012" width="10.44140625" style="1058" customWidth="1"/>
    <col min="10013" max="10013" width="1.5546875" style="1058" customWidth="1"/>
    <col min="10014" max="10016" width="10.44140625" style="1058" customWidth="1"/>
    <col min="10017" max="10245" width="11.44140625" style="1058"/>
    <col min="10246" max="10246" width="9.5546875" style="1058" customWidth="1"/>
    <col min="10247" max="10247" width="62.109375" style="1058" customWidth="1"/>
    <col min="10248" max="10248" width="2.109375" style="1058" bestFit="1" customWidth="1"/>
    <col min="10249" max="10258" width="0" style="1058" hidden="1" customWidth="1"/>
    <col min="10259" max="10259" width="11.5546875" style="1058" customWidth="1"/>
    <col min="10260" max="10261" width="10.44140625" style="1058" customWidth="1"/>
    <col min="10262" max="10262" width="1.5546875" style="1058" customWidth="1"/>
    <col min="10263" max="10266" width="10.44140625" style="1058" customWidth="1"/>
    <col min="10267" max="10267" width="9.5546875" style="1058" bestFit="1" customWidth="1"/>
    <col min="10268" max="10268" width="10.44140625" style="1058" customWidth="1"/>
    <col min="10269" max="10269" width="1.5546875" style="1058" customWidth="1"/>
    <col min="10270" max="10272" width="10.44140625" style="1058" customWidth="1"/>
    <col min="10273" max="10501" width="11.44140625" style="1058"/>
    <col min="10502" max="10502" width="9.5546875" style="1058" customWidth="1"/>
    <col min="10503" max="10503" width="62.109375" style="1058" customWidth="1"/>
    <col min="10504" max="10504" width="2.109375" style="1058" bestFit="1" customWidth="1"/>
    <col min="10505" max="10514" width="0" style="1058" hidden="1" customWidth="1"/>
    <col min="10515" max="10515" width="11.5546875" style="1058" customWidth="1"/>
    <col min="10516" max="10517" width="10.44140625" style="1058" customWidth="1"/>
    <col min="10518" max="10518" width="1.5546875" style="1058" customWidth="1"/>
    <col min="10519" max="10522" width="10.44140625" style="1058" customWidth="1"/>
    <col min="10523" max="10523" width="9.5546875" style="1058" bestFit="1" customWidth="1"/>
    <col min="10524" max="10524" width="10.44140625" style="1058" customWidth="1"/>
    <col min="10525" max="10525" width="1.5546875" style="1058" customWidth="1"/>
    <col min="10526" max="10528" width="10.44140625" style="1058" customWidth="1"/>
    <col min="10529" max="10757" width="11.44140625" style="1058"/>
    <col min="10758" max="10758" width="9.5546875" style="1058" customWidth="1"/>
    <col min="10759" max="10759" width="62.109375" style="1058" customWidth="1"/>
    <col min="10760" max="10760" width="2.109375" style="1058" bestFit="1" customWidth="1"/>
    <col min="10761" max="10770" width="0" style="1058" hidden="1" customWidth="1"/>
    <col min="10771" max="10771" width="11.5546875" style="1058" customWidth="1"/>
    <col min="10772" max="10773" width="10.44140625" style="1058" customWidth="1"/>
    <col min="10774" max="10774" width="1.5546875" style="1058" customWidth="1"/>
    <col min="10775" max="10778" width="10.44140625" style="1058" customWidth="1"/>
    <col min="10779" max="10779" width="9.5546875" style="1058" bestFit="1" customWidth="1"/>
    <col min="10780" max="10780" width="10.44140625" style="1058" customWidth="1"/>
    <col min="10781" max="10781" width="1.5546875" style="1058" customWidth="1"/>
    <col min="10782" max="10784" width="10.44140625" style="1058" customWidth="1"/>
    <col min="10785" max="11013" width="11.44140625" style="1058"/>
    <col min="11014" max="11014" width="9.5546875" style="1058" customWidth="1"/>
    <col min="11015" max="11015" width="62.109375" style="1058" customWidth="1"/>
    <col min="11016" max="11016" width="2.109375" style="1058" bestFit="1" customWidth="1"/>
    <col min="11017" max="11026" width="0" style="1058" hidden="1" customWidth="1"/>
    <col min="11027" max="11027" width="11.5546875" style="1058" customWidth="1"/>
    <col min="11028" max="11029" width="10.44140625" style="1058" customWidth="1"/>
    <col min="11030" max="11030" width="1.5546875" style="1058" customWidth="1"/>
    <col min="11031" max="11034" width="10.44140625" style="1058" customWidth="1"/>
    <col min="11035" max="11035" width="9.5546875" style="1058" bestFit="1" customWidth="1"/>
    <col min="11036" max="11036" width="10.44140625" style="1058" customWidth="1"/>
    <col min="11037" max="11037" width="1.5546875" style="1058" customWidth="1"/>
    <col min="11038" max="11040" width="10.44140625" style="1058" customWidth="1"/>
    <col min="11041" max="11269" width="11.44140625" style="1058"/>
    <col min="11270" max="11270" width="9.5546875" style="1058" customWidth="1"/>
    <col min="11271" max="11271" width="62.109375" style="1058" customWidth="1"/>
    <col min="11272" max="11272" width="2.109375" style="1058" bestFit="1" customWidth="1"/>
    <col min="11273" max="11282" width="0" style="1058" hidden="1" customWidth="1"/>
    <col min="11283" max="11283" width="11.5546875" style="1058" customWidth="1"/>
    <col min="11284" max="11285" width="10.44140625" style="1058" customWidth="1"/>
    <col min="11286" max="11286" width="1.5546875" style="1058" customWidth="1"/>
    <col min="11287" max="11290" width="10.44140625" style="1058" customWidth="1"/>
    <col min="11291" max="11291" width="9.5546875" style="1058" bestFit="1" customWidth="1"/>
    <col min="11292" max="11292" width="10.44140625" style="1058" customWidth="1"/>
    <col min="11293" max="11293" width="1.5546875" style="1058" customWidth="1"/>
    <col min="11294" max="11296" width="10.44140625" style="1058" customWidth="1"/>
    <col min="11297" max="11525" width="11.44140625" style="1058"/>
    <col min="11526" max="11526" width="9.5546875" style="1058" customWidth="1"/>
    <col min="11527" max="11527" width="62.109375" style="1058" customWidth="1"/>
    <col min="11528" max="11528" width="2.109375" style="1058" bestFit="1" customWidth="1"/>
    <col min="11529" max="11538" width="0" style="1058" hidden="1" customWidth="1"/>
    <col min="11539" max="11539" width="11.5546875" style="1058" customWidth="1"/>
    <col min="11540" max="11541" width="10.44140625" style="1058" customWidth="1"/>
    <col min="11542" max="11542" width="1.5546875" style="1058" customWidth="1"/>
    <col min="11543" max="11546" width="10.44140625" style="1058" customWidth="1"/>
    <col min="11547" max="11547" width="9.5546875" style="1058" bestFit="1" customWidth="1"/>
    <col min="11548" max="11548" width="10.44140625" style="1058" customWidth="1"/>
    <col min="11549" max="11549" width="1.5546875" style="1058" customWidth="1"/>
    <col min="11550" max="11552" width="10.44140625" style="1058" customWidth="1"/>
    <col min="11553" max="11781" width="11.44140625" style="1058"/>
    <col min="11782" max="11782" width="9.5546875" style="1058" customWidth="1"/>
    <col min="11783" max="11783" width="62.109375" style="1058" customWidth="1"/>
    <col min="11784" max="11784" width="2.109375" style="1058" bestFit="1" customWidth="1"/>
    <col min="11785" max="11794" width="0" style="1058" hidden="1" customWidth="1"/>
    <col min="11795" max="11795" width="11.5546875" style="1058" customWidth="1"/>
    <col min="11796" max="11797" width="10.44140625" style="1058" customWidth="1"/>
    <col min="11798" max="11798" width="1.5546875" style="1058" customWidth="1"/>
    <col min="11799" max="11802" width="10.44140625" style="1058" customWidth="1"/>
    <col min="11803" max="11803" width="9.5546875" style="1058" bestFit="1" customWidth="1"/>
    <col min="11804" max="11804" width="10.44140625" style="1058" customWidth="1"/>
    <col min="11805" max="11805" width="1.5546875" style="1058" customWidth="1"/>
    <col min="11806" max="11808" width="10.44140625" style="1058" customWidth="1"/>
    <col min="11809" max="12037" width="11.44140625" style="1058"/>
    <col min="12038" max="12038" width="9.5546875" style="1058" customWidth="1"/>
    <col min="12039" max="12039" width="62.109375" style="1058" customWidth="1"/>
    <col min="12040" max="12040" width="2.109375" style="1058" bestFit="1" customWidth="1"/>
    <col min="12041" max="12050" width="0" style="1058" hidden="1" customWidth="1"/>
    <col min="12051" max="12051" width="11.5546875" style="1058" customWidth="1"/>
    <col min="12052" max="12053" width="10.44140625" style="1058" customWidth="1"/>
    <col min="12054" max="12054" width="1.5546875" style="1058" customWidth="1"/>
    <col min="12055" max="12058" width="10.44140625" style="1058" customWidth="1"/>
    <col min="12059" max="12059" width="9.5546875" style="1058" bestFit="1" customWidth="1"/>
    <col min="12060" max="12060" width="10.44140625" style="1058" customWidth="1"/>
    <col min="12061" max="12061" width="1.5546875" style="1058" customWidth="1"/>
    <col min="12062" max="12064" width="10.44140625" style="1058" customWidth="1"/>
    <col min="12065" max="12293" width="11.44140625" style="1058"/>
    <col min="12294" max="12294" width="9.5546875" style="1058" customWidth="1"/>
    <col min="12295" max="12295" width="62.109375" style="1058" customWidth="1"/>
    <col min="12296" max="12296" width="2.109375" style="1058" bestFit="1" customWidth="1"/>
    <col min="12297" max="12306" width="0" style="1058" hidden="1" customWidth="1"/>
    <col min="12307" max="12307" width="11.5546875" style="1058" customWidth="1"/>
    <col min="12308" max="12309" width="10.44140625" style="1058" customWidth="1"/>
    <col min="12310" max="12310" width="1.5546875" style="1058" customWidth="1"/>
    <col min="12311" max="12314" width="10.44140625" style="1058" customWidth="1"/>
    <col min="12315" max="12315" width="9.5546875" style="1058" bestFit="1" customWidth="1"/>
    <col min="12316" max="12316" width="10.44140625" style="1058" customWidth="1"/>
    <col min="12317" max="12317" width="1.5546875" style="1058" customWidth="1"/>
    <col min="12318" max="12320" width="10.44140625" style="1058" customWidth="1"/>
    <col min="12321" max="12549" width="11.44140625" style="1058"/>
    <col min="12550" max="12550" width="9.5546875" style="1058" customWidth="1"/>
    <col min="12551" max="12551" width="62.109375" style="1058" customWidth="1"/>
    <col min="12552" max="12552" width="2.109375" style="1058" bestFit="1" customWidth="1"/>
    <col min="12553" max="12562" width="0" style="1058" hidden="1" customWidth="1"/>
    <col min="12563" max="12563" width="11.5546875" style="1058" customWidth="1"/>
    <col min="12564" max="12565" width="10.44140625" style="1058" customWidth="1"/>
    <col min="12566" max="12566" width="1.5546875" style="1058" customWidth="1"/>
    <col min="12567" max="12570" width="10.44140625" style="1058" customWidth="1"/>
    <col min="12571" max="12571" width="9.5546875" style="1058" bestFit="1" customWidth="1"/>
    <col min="12572" max="12572" width="10.44140625" style="1058" customWidth="1"/>
    <col min="12573" max="12573" width="1.5546875" style="1058" customWidth="1"/>
    <col min="12574" max="12576" width="10.44140625" style="1058" customWidth="1"/>
    <col min="12577" max="12805" width="11.44140625" style="1058"/>
    <col min="12806" max="12806" width="9.5546875" style="1058" customWidth="1"/>
    <col min="12807" max="12807" width="62.109375" style="1058" customWidth="1"/>
    <col min="12808" max="12808" width="2.109375" style="1058" bestFit="1" customWidth="1"/>
    <col min="12809" max="12818" width="0" style="1058" hidden="1" customWidth="1"/>
    <col min="12819" max="12819" width="11.5546875" style="1058" customWidth="1"/>
    <col min="12820" max="12821" width="10.44140625" style="1058" customWidth="1"/>
    <col min="12822" max="12822" width="1.5546875" style="1058" customWidth="1"/>
    <col min="12823" max="12826" width="10.44140625" style="1058" customWidth="1"/>
    <col min="12827" max="12827" width="9.5546875" style="1058" bestFit="1" customWidth="1"/>
    <col min="12828" max="12828" width="10.44140625" style="1058" customWidth="1"/>
    <col min="12829" max="12829" width="1.5546875" style="1058" customWidth="1"/>
    <col min="12830" max="12832" width="10.44140625" style="1058" customWidth="1"/>
    <col min="12833" max="13061" width="11.44140625" style="1058"/>
    <col min="13062" max="13062" width="9.5546875" style="1058" customWidth="1"/>
    <col min="13063" max="13063" width="62.109375" style="1058" customWidth="1"/>
    <col min="13064" max="13064" width="2.109375" style="1058" bestFit="1" customWidth="1"/>
    <col min="13065" max="13074" width="0" style="1058" hidden="1" customWidth="1"/>
    <col min="13075" max="13075" width="11.5546875" style="1058" customWidth="1"/>
    <col min="13076" max="13077" width="10.44140625" style="1058" customWidth="1"/>
    <col min="13078" max="13078" width="1.5546875" style="1058" customWidth="1"/>
    <col min="13079" max="13082" width="10.44140625" style="1058" customWidth="1"/>
    <col min="13083" max="13083" width="9.5546875" style="1058" bestFit="1" customWidth="1"/>
    <col min="13084" max="13084" width="10.44140625" style="1058" customWidth="1"/>
    <col min="13085" max="13085" width="1.5546875" style="1058" customWidth="1"/>
    <col min="13086" max="13088" width="10.44140625" style="1058" customWidth="1"/>
    <col min="13089" max="13317" width="11.44140625" style="1058"/>
    <col min="13318" max="13318" width="9.5546875" style="1058" customWidth="1"/>
    <col min="13319" max="13319" width="62.109375" style="1058" customWidth="1"/>
    <col min="13320" max="13320" width="2.109375" style="1058" bestFit="1" customWidth="1"/>
    <col min="13321" max="13330" width="0" style="1058" hidden="1" customWidth="1"/>
    <col min="13331" max="13331" width="11.5546875" style="1058" customWidth="1"/>
    <col min="13332" max="13333" width="10.44140625" style="1058" customWidth="1"/>
    <col min="13334" max="13334" width="1.5546875" style="1058" customWidth="1"/>
    <col min="13335" max="13338" width="10.44140625" style="1058" customWidth="1"/>
    <col min="13339" max="13339" width="9.5546875" style="1058" bestFit="1" customWidth="1"/>
    <col min="13340" max="13340" width="10.44140625" style="1058" customWidth="1"/>
    <col min="13341" max="13341" width="1.5546875" style="1058" customWidth="1"/>
    <col min="13342" max="13344" width="10.44140625" style="1058" customWidth="1"/>
    <col min="13345" max="13573" width="11.44140625" style="1058"/>
    <col min="13574" max="13574" width="9.5546875" style="1058" customWidth="1"/>
    <col min="13575" max="13575" width="62.109375" style="1058" customWidth="1"/>
    <col min="13576" max="13576" width="2.109375" style="1058" bestFit="1" customWidth="1"/>
    <col min="13577" max="13586" width="0" style="1058" hidden="1" customWidth="1"/>
    <col min="13587" max="13587" width="11.5546875" style="1058" customWidth="1"/>
    <col min="13588" max="13589" width="10.44140625" style="1058" customWidth="1"/>
    <col min="13590" max="13590" width="1.5546875" style="1058" customWidth="1"/>
    <col min="13591" max="13594" width="10.44140625" style="1058" customWidth="1"/>
    <col min="13595" max="13595" width="9.5546875" style="1058" bestFit="1" customWidth="1"/>
    <col min="13596" max="13596" width="10.44140625" style="1058" customWidth="1"/>
    <col min="13597" max="13597" width="1.5546875" style="1058" customWidth="1"/>
    <col min="13598" max="13600" width="10.44140625" style="1058" customWidth="1"/>
    <col min="13601" max="13829" width="11.44140625" style="1058"/>
    <col min="13830" max="13830" width="9.5546875" style="1058" customWidth="1"/>
    <col min="13831" max="13831" width="62.109375" style="1058" customWidth="1"/>
    <col min="13832" max="13832" width="2.109375" style="1058" bestFit="1" customWidth="1"/>
    <col min="13833" max="13842" width="0" style="1058" hidden="1" customWidth="1"/>
    <col min="13843" max="13843" width="11.5546875" style="1058" customWidth="1"/>
    <col min="13844" max="13845" width="10.44140625" style="1058" customWidth="1"/>
    <col min="13846" max="13846" width="1.5546875" style="1058" customWidth="1"/>
    <col min="13847" max="13850" width="10.44140625" style="1058" customWidth="1"/>
    <col min="13851" max="13851" width="9.5546875" style="1058" bestFit="1" customWidth="1"/>
    <col min="13852" max="13852" width="10.44140625" style="1058" customWidth="1"/>
    <col min="13853" max="13853" width="1.5546875" style="1058" customWidth="1"/>
    <col min="13854" max="13856" width="10.44140625" style="1058" customWidth="1"/>
    <col min="13857" max="14085" width="11.44140625" style="1058"/>
    <col min="14086" max="14086" width="9.5546875" style="1058" customWidth="1"/>
    <col min="14087" max="14087" width="62.109375" style="1058" customWidth="1"/>
    <col min="14088" max="14088" width="2.109375" style="1058" bestFit="1" customWidth="1"/>
    <col min="14089" max="14098" width="0" style="1058" hidden="1" customWidth="1"/>
    <col min="14099" max="14099" width="11.5546875" style="1058" customWidth="1"/>
    <col min="14100" max="14101" width="10.44140625" style="1058" customWidth="1"/>
    <col min="14102" max="14102" width="1.5546875" style="1058" customWidth="1"/>
    <col min="14103" max="14106" width="10.44140625" style="1058" customWidth="1"/>
    <col min="14107" max="14107" width="9.5546875" style="1058" bestFit="1" customWidth="1"/>
    <col min="14108" max="14108" width="10.44140625" style="1058" customWidth="1"/>
    <col min="14109" max="14109" width="1.5546875" style="1058" customWidth="1"/>
    <col min="14110" max="14112" width="10.44140625" style="1058" customWidth="1"/>
    <col min="14113" max="14341" width="11.44140625" style="1058"/>
    <col min="14342" max="14342" width="9.5546875" style="1058" customWidth="1"/>
    <col min="14343" max="14343" width="62.109375" style="1058" customWidth="1"/>
    <col min="14344" max="14344" width="2.109375" style="1058" bestFit="1" customWidth="1"/>
    <col min="14345" max="14354" width="0" style="1058" hidden="1" customWidth="1"/>
    <col min="14355" max="14355" width="11.5546875" style="1058" customWidth="1"/>
    <col min="14356" max="14357" width="10.44140625" style="1058" customWidth="1"/>
    <col min="14358" max="14358" width="1.5546875" style="1058" customWidth="1"/>
    <col min="14359" max="14362" width="10.44140625" style="1058" customWidth="1"/>
    <col min="14363" max="14363" width="9.5546875" style="1058" bestFit="1" customWidth="1"/>
    <col min="14364" max="14364" width="10.44140625" style="1058" customWidth="1"/>
    <col min="14365" max="14365" width="1.5546875" style="1058" customWidth="1"/>
    <col min="14366" max="14368" width="10.44140625" style="1058" customWidth="1"/>
    <col min="14369" max="14597" width="11.44140625" style="1058"/>
    <col min="14598" max="14598" width="9.5546875" style="1058" customWidth="1"/>
    <col min="14599" max="14599" width="62.109375" style="1058" customWidth="1"/>
    <col min="14600" max="14600" width="2.109375" style="1058" bestFit="1" customWidth="1"/>
    <col min="14601" max="14610" width="0" style="1058" hidden="1" customWidth="1"/>
    <col min="14611" max="14611" width="11.5546875" style="1058" customWidth="1"/>
    <col min="14612" max="14613" width="10.44140625" style="1058" customWidth="1"/>
    <col min="14614" max="14614" width="1.5546875" style="1058" customWidth="1"/>
    <col min="14615" max="14618" width="10.44140625" style="1058" customWidth="1"/>
    <col min="14619" max="14619" width="9.5546875" style="1058" bestFit="1" customWidth="1"/>
    <col min="14620" max="14620" width="10.44140625" style="1058" customWidth="1"/>
    <col min="14621" max="14621" width="1.5546875" style="1058" customWidth="1"/>
    <col min="14622" max="14624" width="10.44140625" style="1058" customWidth="1"/>
    <col min="14625" max="14853" width="11.44140625" style="1058"/>
    <col min="14854" max="14854" width="9.5546875" style="1058" customWidth="1"/>
    <col min="14855" max="14855" width="62.109375" style="1058" customWidth="1"/>
    <col min="14856" max="14856" width="2.109375" style="1058" bestFit="1" customWidth="1"/>
    <col min="14857" max="14866" width="0" style="1058" hidden="1" customWidth="1"/>
    <col min="14867" max="14867" width="11.5546875" style="1058" customWidth="1"/>
    <col min="14868" max="14869" width="10.44140625" style="1058" customWidth="1"/>
    <col min="14870" max="14870" width="1.5546875" style="1058" customWidth="1"/>
    <col min="14871" max="14874" width="10.44140625" style="1058" customWidth="1"/>
    <col min="14875" max="14875" width="9.5546875" style="1058" bestFit="1" customWidth="1"/>
    <col min="14876" max="14876" width="10.44140625" style="1058" customWidth="1"/>
    <col min="14877" max="14877" width="1.5546875" style="1058" customWidth="1"/>
    <col min="14878" max="14880" width="10.44140625" style="1058" customWidth="1"/>
    <col min="14881" max="15109" width="11.44140625" style="1058"/>
    <col min="15110" max="15110" width="9.5546875" style="1058" customWidth="1"/>
    <col min="15111" max="15111" width="62.109375" style="1058" customWidth="1"/>
    <col min="15112" max="15112" width="2.109375" style="1058" bestFit="1" customWidth="1"/>
    <col min="15113" max="15122" width="0" style="1058" hidden="1" customWidth="1"/>
    <col min="15123" max="15123" width="11.5546875" style="1058" customWidth="1"/>
    <col min="15124" max="15125" width="10.44140625" style="1058" customWidth="1"/>
    <col min="15126" max="15126" width="1.5546875" style="1058" customWidth="1"/>
    <col min="15127" max="15130" width="10.44140625" style="1058" customWidth="1"/>
    <col min="15131" max="15131" width="9.5546875" style="1058" bestFit="1" customWidth="1"/>
    <col min="15132" max="15132" width="10.44140625" style="1058" customWidth="1"/>
    <col min="15133" max="15133" width="1.5546875" style="1058" customWidth="1"/>
    <col min="15134" max="15136" width="10.44140625" style="1058" customWidth="1"/>
    <col min="15137" max="15365" width="11.44140625" style="1058"/>
    <col min="15366" max="15366" width="9.5546875" style="1058" customWidth="1"/>
    <col min="15367" max="15367" width="62.109375" style="1058" customWidth="1"/>
    <col min="15368" max="15368" width="2.109375" style="1058" bestFit="1" customWidth="1"/>
    <col min="15369" max="15378" width="0" style="1058" hidden="1" customWidth="1"/>
    <col min="15379" max="15379" width="11.5546875" style="1058" customWidth="1"/>
    <col min="15380" max="15381" width="10.44140625" style="1058" customWidth="1"/>
    <col min="15382" max="15382" width="1.5546875" style="1058" customWidth="1"/>
    <col min="15383" max="15386" width="10.44140625" style="1058" customWidth="1"/>
    <col min="15387" max="15387" width="9.5546875" style="1058" bestFit="1" customWidth="1"/>
    <col min="15388" max="15388" width="10.44140625" style="1058" customWidth="1"/>
    <col min="15389" max="15389" width="1.5546875" style="1058" customWidth="1"/>
    <col min="15390" max="15392" width="10.44140625" style="1058" customWidth="1"/>
    <col min="15393" max="15621" width="11.44140625" style="1058"/>
    <col min="15622" max="15622" width="9.5546875" style="1058" customWidth="1"/>
    <col min="15623" max="15623" width="62.109375" style="1058" customWidth="1"/>
    <col min="15624" max="15624" width="2.109375" style="1058" bestFit="1" customWidth="1"/>
    <col min="15625" max="15634" width="0" style="1058" hidden="1" customWidth="1"/>
    <col min="15635" max="15635" width="11.5546875" style="1058" customWidth="1"/>
    <col min="15636" max="15637" width="10.44140625" style="1058" customWidth="1"/>
    <col min="15638" max="15638" width="1.5546875" style="1058" customWidth="1"/>
    <col min="15639" max="15642" width="10.44140625" style="1058" customWidth="1"/>
    <col min="15643" max="15643" width="9.5546875" style="1058" bestFit="1" customWidth="1"/>
    <col min="15644" max="15644" width="10.44140625" style="1058" customWidth="1"/>
    <col min="15645" max="15645" width="1.5546875" style="1058" customWidth="1"/>
    <col min="15646" max="15648" width="10.44140625" style="1058" customWidth="1"/>
    <col min="15649" max="15877" width="11.44140625" style="1058"/>
    <col min="15878" max="15878" width="9.5546875" style="1058" customWidth="1"/>
    <col min="15879" max="15879" width="62.109375" style="1058" customWidth="1"/>
    <col min="15880" max="15880" width="2.109375" style="1058" bestFit="1" customWidth="1"/>
    <col min="15881" max="15890" width="0" style="1058" hidden="1" customWidth="1"/>
    <col min="15891" max="15891" width="11.5546875" style="1058" customWidth="1"/>
    <col min="15892" max="15893" width="10.44140625" style="1058" customWidth="1"/>
    <col min="15894" max="15894" width="1.5546875" style="1058" customWidth="1"/>
    <col min="15895" max="15898" width="10.44140625" style="1058" customWidth="1"/>
    <col min="15899" max="15899" width="9.5546875" style="1058" bestFit="1" customWidth="1"/>
    <col min="15900" max="15900" width="10.44140625" style="1058" customWidth="1"/>
    <col min="15901" max="15901" width="1.5546875" style="1058" customWidth="1"/>
    <col min="15902" max="15904" width="10.44140625" style="1058" customWidth="1"/>
    <col min="15905" max="16133" width="11.44140625" style="1058"/>
    <col min="16134" max="16134" width="9.5546875" style="1058" customWidth="1"/>
    <col min="16135" max="16135" width="62.109375" style="1058" customWidth="1"/>
    <col min="16136" max="16136" width="2.109375" style="1058" bestFit="1" customWidth="1"/>
    <col min="16137" max="16146" width="0" style="1058" hidden="1" customWidth="1"/>
    <col min="16147" max="16147" width="11.5546875" style="1058" customWidth="1"/>
    <col min="16148" max="16149" width="10.44140625" style="1058" customWidth="1"/>
    <col min="16150" max="16150" width="1.5546875" style="1058" customWidth="1"/>
    <col min="16151" max="16154" width="10.44140625" style="1058" customWidth="1"/>
    <col min="16155" max="16155" width="9.5546875" style="1058" bestFit="1" customWidth="1"/>
    <col min="16156" max="16156" width="10.44140625" style="1058" customWidth="1"/>
    <col min="16157" max="16157" width="1.5546875" style="1058" customWidth="1"/>
    <col min="16158" max="16160" width="10.44140625" style="1058" customWidth="1"/>
    <col min="16161" max="16384" width="11.44140625" style="1058"/>
  </cols>
  <sheetData>
    <row r="1" spans="1:37" ht="14.4" x14ac:dyDescent="0.3">
      <c r="A1" s="942" t="s">
        <v>75</v>
      </c>
      <c r="B1" s="1057"/>
    </row>
    <row r="2" spans="1:37" s="72" customFormat="1" ht="23.25" customHeight="1" x14ac:dyDescent="0.3">
      <c r="A2" s="1992" t="s">
        <v>2085</v>
      </c>
      <c r="B2" s="1992"/>
      <c r="C2" s="1992"/>
      <c r="D2" s="1992"/>
      <c r="E2" s="1992"/>
      <c r="F2" s="1992"/>
      <c r="G2" s="1992"/>
      <c r="H2" s="458"/>
      <c r="I2" s="950"/>
      <c r="J2" s="950"/>
      <c r="K2" s="950"/>
      <c r="L2" s="950"/>
      <c r="M2" s="458"/>
      <c r="T2" s="458"/>
    </row>
    <row r="3" spans="1:37" s="951" customFormat="1" ht="29.25" customHeight="1" x14ac:dyDescent="0.3">
      <c r="A3" s="886" t="s">
        <v>1973</v>
      </c>
      <c r="B3" s="1993">
        <f>+Cover!Y18</f>
        <v>44926</v>
      </c>
      <c r="C3" s="1993"/>
      <c r="D3" s="1993"/>
      <c r="E3" s="1993"/>
      <c r="F3" s="1993"/>
      <c r="G3" s="1993"/>
      <c r="M3" s="952"/>
      <c r="T3" s="952"/>
    </row>
    <row r="4" spans="1:37" x14ac:dyDescent="0.3">
      <c r="A4" s="1058"/>
      <c r="Y4" s="1058">
        <v>7.0652249021804892E-2</v>
      </c>
    </row>
    <row r="5" spans="1:37" ht="17.25" customHeight="1" x14ac:dyDescent="0.3">
      <c r="B5" s="955" t="s">
        <v>1</v>
      </c>
      <c r="K5" s="954"/>
      <c r="L5" s="954"/>
      <c r="M5" s="954"/>
      <c r="N5" s="954"/>
      <c r="O5" s="954"/>
      <c r="P5" s="954"/>
      <c r="Q5" s="954"/>
      <c r="R5" s="954"/>
      <c r="S5" s="954"/>
      <c r="W5" s="1064"/>
      <c r="X5" s="1065"/>
      <c r="AH5" s="1998" t="s">
        <v>2000</v>
      </c>
      <c r="AI5" s="1998"/>
      <c r="AJ5" s="1998"/>
      <c r="AK5" s="1998"/>
    </row>
    <row r="6" spans="1:37" s="957" customFormat="1" ht="42" customHeight="1" x14ac:dyDescent="0.3">
      <c r="A6" s="956" t="s">
        <v>2001</v>
      </c>
      <c r="B6" s="956"/>
      <c r="D6" s="956" t="s">
        <v>2002</v>
      </c>
      <c r="E6" s="956" t="s">
        <v>2003</v>
      </c>
      <c r="F6" s="956" t="s">
        <v>2004</v>
      </c>
      <c r="G6" s="956" t="s">
        <v>2005</v>
      </c>
      <c r="H6" s="956" t="s">
        <v>2006</v>
      </c>
      <c r="I6" s="956" t="s">
        <v>2007</v>
      </c>
      <c r="J6" s="956" t="s">
        <v>2008</v>
      </c>
      <c r="K6" s="956" t="s">
        <v>2009</v>
      </c>
      <c r="L6" s="956" t="s">
        <v>2010</v>
      </c>
      <c r="M6" s="956" t="s">
        <v>2011</v>
      </c>
      <c r="N6" s="956" t="s">
        <v>2012</v>
      </c>
      <c r="O6" s="956" t="s">
        <v>2013</v>
      </c>
      <c r="P6" s="956" t="s">
        <v>2014</v>
      </c>
      <c r="Q6" s="956" t="s">
        <v>2015</v>
      </c>
      <c r="R6" s="956" t="s">
        <v>2016</v>
      </c>
      <c r="S6" s="956" t="s">
        <v>2017</v>
      </c>
      <c r="T6" s="958"/>
      <c r="U6" s="956" t="s">
        <v>2018</v>
      </c>
      <c r="V6" s="956" t="s">
        <v>2019</v>
      </c>
      <c r="W6" s="959" t="s">
        <v>744</v>
      </c>
      <c r="X6" s="960"/>
      <c r="Y6" s="956" t="s">
        <v>2020</v>
      </c>
      <c r="Z6" s="956" t="s">
        <v>2021</v>
      </c>
      <c r="AA6" s="956" t="s">
        <v>2086</v>
      </c>
      <c r="AB6" s="959" t="s">
        <v>2023</v>
      </c>
      <c r="AC6" s="333"/>
      <c r="AD6" s="959" t="s">
        <v>2087</v>
      </c>
      <c r="AE6" s="956" t="s">
        <v>2088</v>
      </c>
      <c r="AF6" s="956" t="s">
        <v>2089</v>
      </c>
      <c r="AH6" s="961" t="s">
        <v>2024</v>
      </c>
      <c r="AI6" s="961" t="s">
        <v>2025</v>
      </c>
      <c r="AJ6" s="961" t="s">
        <v>2026</v>
      </c>
      <c r="AK6" s="961" t="s">
        <v>2027</v>
      </c>
    </row>
    <row r="7" spans="1:37" s="343" customFormat="1" ht="11.25" customHeight="1" thickBot="1" x14ac:dyDescent="0.35">
      <c r="A7" s="344"/>
      <c r="D7" s="1066"/>
      <c r="E7" s="1067"/>
      <c r="F7" s="1067"/>
      <c r="G7" s="1067"/>
      <c r="H7" s="1067"/>
      <c r="I7" s="1067"/>
      <c r="J7" s="1067"/>
      <c r="K7" s="1067"/>
      <c r="L7" s="1067"/>
      <c r="M7" s="1067"/>
      <c r="N7" s="1067"/>
      <c r="O7" s="1067"/>
      <c r="P7" s="1067"/>
      <c r="Q7" s="1067"/>
      <c r="R7" s="1067"/>
      <c r="S7" s="1067"/>
      <c r="T7" s="1068"/>
      <c r="U7" s="1069"/>
      <c r="V7" s="1069"/>
      <c r="W7" s="1070"/>
      <c r="X7" s="1071"/>
      <c r="AB7" s="1072"/>
      <c r="AC7" s="333"/>
      <c r="AD7" s="1072"/>
    </row>
    <row r="8" spans="1:37" s="333" customFormat="1" ht="12.75" customHeight="1" x14ac:dyDescent="0.3">
      <c r="A8" s="1073" t="s">
        <v>2090</v>
      </c>
      <c r="B8" s="1074"/>
      <c r="C8" s="1074"/>
      <c r="D8" s="969">
        <v>0.08</v>
      </c>
      <c r="E8" s="970" t="s">
        <v>2039</v>
      </c>
      <c r="F8" s="971" t="s">
        <v>2040</v>
      </c>
      <c r="G8" s="969" t="s">
        <v>2041</v>
      </c>
      <c r="H8" s="972" t="s">
        <v>2042</v>
      </c>
      <c r="I8" s="972" t="s">
        <v>2043</v>
      </c>
      <c r="J8" s="973">
        <v>0</v>
      </c>
      <c r="K8" s="974" t="s">
        <v>2043</v>
      </c>
      <c r="L8" s="975" t="s">
        <v>2043</v>
      </c>
      <c r="M8" s="974" t="s">
        <v>2044</v>
      </c>
      <c r="N8" s="975">
        <v>1</v>
      </c>
      <c r="O8" s="976" t="s">
        <v>2045</v>
      </c>
      <c r="P8" s="970" t="s">
        <v>2046</v>
      </c>
      <c r="Q8" s="970" t="s">
        <v>2047</v>
      </c>
      <c r="R8" s="970" t="s">
        <v>2091</v>
      </c>
      <c r="S8" s="970" t="s">
        <v>2049</v>
      </c>
      <c r="T8" s="1075"/>
      <c r="U8" s="1076"/>
      <c r="V8" s="1077"/>
      <c r="W8" s="1078"/>
      <c r="X8" s="1079"/>
      <c r="Y8" s="1076"/>
      <c r="Z8" s="1077"/>
      <c r="AA8" s="1077"/>
      <c r="AB8" s="1080"/>
      <c r="AC8" s="1081"/>
      <c r="AD8" s="1082"/>
      <c r="AE8" s="1083"/>
      <c r="AF8" s="1084"/>
      <c r="AG8" s="1074"/>
      <c r="AH8" s="1085"/>
      <c r="AI8" s="1086"/>
      <c r="AJ8" s="1086"/>
      <c r="AK8" s="1087"/>
    </row>
    <row r="9" spans="1:37" s="1103" customFormat="1" ht="14.4" outlineLevel="1" x14ac:dyDescent="0.3">
      <c r="A9" s="1088" t="s">
        <v>1432</v>
      </c>
      <c r="B9" s="1089" t="s">
        <v>2051</v>
      </c>
      <c r="C9" s="1074"/>
      <c r="D9" s="1067"/>
      <c r="E9" s="1090"/>
      <c r="F9" s="1067"/>
      <c r="G9" s="1090"/>
      <c r="H9" s="1090"/>
      <c r="I9" s="972"/>
      <c r="J9" s="973"/>
      <c r="K9" s="973"/>
      <c r="L9" s="973"/>
      <c r="M9" s="1091"/>
      <c r="N9" s="1091"/>
      <c r="O9" s="1091"/>
      <c r="P9" s="1091"/>
      <c r="Q9" s="1091"/>
      <c r="R9" s="1091"/>
      <c r="S9" s="1091"/>
      <c r="T9" s="1092"/>
      <c r="U9" s="1093">
        <f>'Bilan-par flux'!U229</f>
        <v>14500.021600278385</v>
      </c>
      <c r="V9" s="1094">
        <f>'Bilan-par flux'!E229</f>
        <v>8675.7999999999993</v>
      </c>
      <c r="W9" s="1095">
        <f>U9-V9</f>
        <v>5824.2216002783862</v>
      </c>
      <c r="X9" s="1079"/>
      <c r="Y9" s="1096"/>
      <c r="Z9" s="1094">
        <f>'Bilan-par flux'!M229</f>
        <v>-8696.568467000001</v>
      </c>
      <c r="AA9" s="1097"/>
      <c r="AB9" s="1098">
        <f>W9-Y9-Z9-AA9</f>
        <v>14520.790067278387</v>
      </c>
      <c r="AC9" s="1081"/>
      <c r="AD9" s="1099">
        <f>SUM(AE9:AF9)</f>
        <v>0</v>
      </c>
      <c r="AE9" s="1094"/>
      <c r="AF9" s="1100"/>
      <c r="AG9" s="1091"/>
      <c r="AH9" s="1101">
        <f>SUM('Emprunt BABE'!A46:A48)/1000000</f>
        <v>613.66916800000001</v>
      </c>
      <c r="AI9" s="1094">
        <f>SUM('Emprunt BABE'!A49:A51)/1000000</f>
        <v>627.269136</v>
      </c>
      <c r="AJ9" s="1094">
        <f>SUM('Emprunt BABE'!A52:A54)/1000000</f>
        <v>641.17050400000005</v>
      </c>
      <c r="AK9" s="1102">
        <f>SUM('Emprunt BABE'!A56:A58)/1000000+16.3150300000002</f>
        <v>671.69498000000021</v>
      </c>
    </row>
    <row r="10" spans="1:37" s="1103" customFormat="1" ht="14.4" outlineLevel="1" x14ac:dyDescent="0.3">
      <c r="A10" s="1088" t="s">
        <v>1432</v>
      </c>
      <c r="B10" s="1089"/>
      <c r="C10" s="1074"/>
      <c r="D10" s="1067"/>
      <c r="E10" s="1090"/>
      <c r="F10" s="1067"/>
      <c r="G10" s="1090"/>
      <c r="H10" s="1090"/>
      <c r="I10" s="972"/>
      <c r="J10" s="973"/>
      <c r="K10" s="973"/>
      <c r="L10" s="973"/>
      <c r="M10" s="1091"/>
      <c r="N10" s="1091"/>
      <c r="O10" s="1091"/>
      <c r="P10" s="1091"/>
      <c r="Q10" s="1091"/>
      <c r="R10" s="1091"/>
      <c r="S10" s="1091"/>
      <c r="T10" s="1092"/>
      <c r="U10" s="1093">
        <f>'Bilan-par flux'!U230</f>
        <v>692.693489</v>
      </c>
      <c r="V10" s="1094">
        <f>'Bilan-par flux'!E230</f>
        <v>1028.5999999999999</v>
      </c>
      <c r="W10" s="1095">
        <f>U10-V10</f>
        <v>-335.90651099999991</v>
      </c>
      <c r="X10" s="1079"/>
      <c r="Y10" s="1096">
        <f>'Bilan-par flux'!K230+1.7</f>
        <v>-216.12984200000002</v>
      </c>
      <c r="Z10" s="1094">
        <f>'Bilan-par flux'!M230</f>
        <v>-118.086831</v>
      </c>
      <c r="AA10" s="1097"/>
      <c r="AB10" s="1104">
        <f>W10-Y10-Z10-AA10</f>
        <v>-1.6898379999998809</v>
      </c>
      <c r="AC10" s="1081"/>
      <c r="AD10" s="1099">
        <f>SUM(AE10:AF10)</f>
        <v>-4049.1278269999998</v>
      </c>
      <c r="AE10" s="1094"/>
      <c r="AF10" s="1100">
        <f>-SUM('BG '!J585)/10^6</f>
        <v>-4049.1278269999998</v>
      </c>
      <c r="AG10" s="1091"/>
      <c r="AH10" s="1101">
        <v>67.691525999999996</v>
      </c>
      <c r="AI10" s="1094"/>
      <c r="AJ10" s="1094"/>
      <c r="AK10" s="1102"/>
    </row>
    <row r="11" spans="1:37" s="1119" customFormat="1" ht="20.100000000000001" customHeight="1" x14ac:dyDescent="0.3">
      <c r="A11" s="1105"/>
      <c r="B11" s="1106" t="s">
        <v>2092</v>
      </c>
      <c r="C11" s="1107"/>
      <c r="D11" s="1108"/>
      <c r="E11" s="1109"/>
      <c r="F11" s="1109"/>
      <c r="G11" s="1109"/>
      <c r="H11" s="1109"/>
      <c r="I11" s="1109"/>
      <c r="J11" s="1109"/>
      <c r="K11" s="1109"/>
      <c r="L11" s="1109"/>
      <c r="M11" s="1109"/>
      <c r="N11" s="1110"/>
      <c r="O11" s="1111"/>
      <c r="P11" s="1111"/>
      <c r="Q11" s="1111"/>
      <c r="R11" s="1111"/>
      <c r="S11" s="1111"/>
      <c r="T11" s="1112"/>
      <c r="U11" s="1113">
        <f>SUM(U9:U10)</f>
        <v>15192.715089278385</v>
      </c>
      <c r="V11" s="1114">
        <f>SUM(V9:V10)</f>
        <v>9704.4</v>
      </c>
      <c r="W11" s="1115">
        <f>U11-V11</f>
        <v>5488.3150892783851</v>
      </c>
      <c r="X11" s="1079"/>
      <c r="Y11" s="1113">
        <f>SUM(Y9:Y10)</f>
        <v>-216.12984200000002</v>
      </c>
      <c r="Z11" s="1114">
        <f>SUM(Z9:Z10)</f>
        <v>-8814.6552980000015</v>
      </c>
      <c r="AA11" s="1114">
        <f>SUM(AA9:AA10)</f>
        <v>0</v>
      </c>
      <c r="AB11" s="1116">
        <f>SUM(AB9:AB10)</f>
        <v>14519.100229278387</v>
      </c>
      <c r="AC11" s="1081"/>
      <c r="AD11" s="1113">
        <f>SUM(AD9:AD10)</f>
        <v>-4049.1278269999998</v>
      </c>
      <c r="AE11" s="1114">
        <f>SUM(AE9:AE10)</f>
        <v>0</v>
      </c>
      <c r="AF11" s="1116">
        <f>SUM(AF9:AF10)</f>
        <v>-4049.1278269999998</v>
      </c>
      <c r="AG11" s="1107"/>
      <c r="AH11" s="1117">
        <f>+AH9+AH10</f>
        <v>681.36069399999997</v>
      </c>
      <c r="AI11" s="1114">
        <f>+AI9+AI10</f>
        <v>627.269136</v>
      </c>
      <c r="AJ11" s="1114">
        <f>+AJ9+AJ10</f>
        <v>641.17050400000005</v>
      </c>
      <c r="AK11" s="1118">
        <f>+AK9+AK10</f>
        <v>671.69498000000021</v>
      </c>
    </row>
    <row r="12" spans="1:37" s="333" customFormat="1" ht="6" customHeight="1" x14ac:dyDescent="0.3">
      <c r="B12" s="1074"/>
      <c r="C12" s="1074"/>
      <c r="D12" s="1074"/>
      <c r="E12" s="1074"/>
      <c r="F12" s="1074"/>
      <c r="G12" s="1074"/>
      <c r="H12" s="1074"/>
      <c r="I12" s="1074"/>
      <c r="J12" s="1074"/>
      <c r="K12" s="1074"/>
      <c r="L12" s="1074"/>
      <c r="M12" s="1074"/>
      <c r="N12" s="1074"/>
      <c r="O12" s="1074"/>
      <c r="P12" s="1074"/>
      <c r="Q12" s="1074"/>
      <c r="R12" s="1074"/>
      <c r="S12" s="1074"/>
      <c r="T12" s="1075"/>
      <c r="U12" s="1120"/>
      <c r="V12" s="1121"/>
      <c r="W12" s="1122"/>
      <c r="X12" s="1079"/>
      <c r="Y12" s="1120"/>
      <c r="Z12" s="1121"/>
      <c r="AA12" s="1121"/>
      <c r="AB12" s="1104"/>
      <c r="AC12" s="1081"/>
      <c r="AD12" s="1099"/>
      <c r="AE12" s="1121"/>
      <c r="AF12" s="1123"/>
      <c r="AG12" s="1074"/>
      <c r="AH12" s="1124"/>
      <c r="AI12" s="1121"/>
      <c r="AJ12" s="1121"/>
      <c r="AK12" s="1125"/>
    </row>
    <row r="13" spans="1:37" s="333" customFormat="1" ht="14.4" x14ac:dyDescent="0.3">
      <c r="A13" s="1126" t="s">
        <v>2093</v>
      </c>
      <c r="B13" s="1127"/>
      <c r="C13" s="1074"/>
      <c r="D13" s="1007">
        <v>0.1</v>
      </c>
      <c r="E13" s="970" t="s">
        <v>2054</v>
      </c>
      <c r="F13" s="1008" t="s">
        <v>2055</v>
      </c>
      <c r="G13" s="970" t="s">
        <v>2056</v>
      </c>
      <c r="H13" s="970" t="s">
        <v>2057</v>
      </c>
      <c r="I13" s="970" t="s">
        <v>2043</v>
      </c>
      <c r="J13" s="973">
        <v>0</v>
      </c>
      <c r="K13" s="1009" t="s">
        <v>2043</v>
      </c>
      <c r="L13" s="1010" t="s">
        <v>2043</v>
      </c>
      <c r="M13" s="1009" t="s">
        <v>2058</v>
      </c>
      <c r="N13" s="1010">
        <v>1</v>
      </c>
      <c r="O13" s="1011" t="s">
        <v>2059</v>
      </c>
      <c r="P13" s="970" t="s">
        <v>2060</v>
      </c>
      <c r="Q13" s="970" t="s">
        <v>2061</v>
      </c>
      <c r="R13" s="970" t="s">
        <v>2091</v>
      </c>
      <c r="S13" s="970" t="s">
        <v>2063</v>
      </c>
      <c r="T13" s="1075"/>
      <c r="U13" s="1120"/>
      <c r="V13" s="1121"/>
      <c r="W13" s="1122"/>
      <c r="X13" s="1079"/>
      <c r="Y13" s="1093"/>
      <c r="Z13" s="1094"/>
      <c r="AA13" s="1094"/>
      <c r="AB13" s="1128"/>
      <c r="AC13" s="1081"/>
      <c r="AD13" s="1129"/>
      <c r="AE13" s="1121"/>
      <c r="AF13" s="1123"/>
      <c r="AG13" s="1074"/>
      <c r="AH13" s="1124"/>
      <c r="AI13" s="1121"/>
      <c r="AJ13" s="1121"/>
      <c r="AK13" s="1125"/>
    </row>
    <row r="14" spans="1:37" s="333" customFormat="1" ht="15.75" customHeight="1" outlineLevel="1" x14ac:dyDescent="0.3">
      <c r="A14" s="1130" t="s">
        <v>1435</v>
      </c>
      <c r="B14" s="1089" t="s">
        <v>2064</v>
      </c>
      <c r="C14" s="1074"/>
      <c r="D14" s="1074"/>
      <c r="E14" s="1074"/>
      <c r="F14" s="1074"/>
      <c r="G14" s="1074"/>
      <c r="H14" s="1074"/>
      <c r="I14" s="972"/>
      <c r="J14" s="973"/>
      <c r="K14" s="973"/>
      <c r="L14" s="973"/>
      <c r="M14" s="1074"/>
      <c r="N14" s="1074"/>
      <c r="O14" s="1074"/>
      <c r="P14" s="1074"/>
      <c r="Q14" s="1074"/>
      <c r="R14" s="1074"/>
      <c r="S14" s="1074"/>
      <c r="T14" s="1075"/>
      <c r="U14" s="1131">
        <f>'Bilan-par flux'!U231</f>
        <v>0</v>
      </c>
      <c r="V14" s="1121">
        <f>'Bilan-par flux'!E231</f>
        <v>0</v>
      </c>
      <c r="W14" s="1122">
        <f>+U14-V14</f>
        <v>0</v>
      </c>
      <c r="X14" s="1079"/>
      <c r="Y14" s="1093"/>
      <c r="Z14" s="1094">
        <f>'Bilan-par flux'!M231</f>
        <v>0</v>
      </c>
      <c r="AA14" s="1094"/>
      <c r="AB14" s="1098">
        <f>W14-Y14-Z14-AA14</f>
        <v>0</v>
      </c>
      <c r="AC14" s="1081"/>
      <c r="AD14" s="1129"/>
      <c r="AE14" s="1094"/>
      <c r="AF14" s="1100">
        <f>-'BG '!J584/10^6+1.82167299999992</f>
        <v>1.8216729999999199</v>
      </c>
      <c r="AG14" s="1074"/>
      <c r="AH14" s="1132">
        <f>SUM('[158]New MT'!E35)/1000000</f>
        <v>50474.044281000002</v>
      </c>
      <c r="AI14" s="1094">
        <f>('[158]New MT'!$E$34/2)/1000000</f>
        <v>8986.6108999999997</v>
      </c>
      <c r="AJ14" s="1094">
        <f>('[158]New MT'!$E$34/2)/1000000</f>
        <v>8986.6108999999997</v>
      </c>
      <c r="AK14" s="1094"/>
    </row>
    <row r="15" spans="1:37" s="333" customFormat="1" ht="15.75" customHeight="1" outlineLevel="1" x14ac:dyDescent="0.3">
      <c r="A15" s="1130" t="s">
        <v>1435</v>
      </c>
      <c r="B15" s="1089"/>
      <c r="C15" s="1074"/>
      <c r="D15" s="1074"/>
      <c r="E15" s="1074"/>
      <c r="F15" s="1074"/>
      <c r="G15" s="1074"/>
      <c r="H15" s="1074"/>
      <c r="I15" s="972"/>
      <c r="J15" s="973"/>
      <c r="K15" s="973"/>
      <c r="L15" s="973"/>
      <c r="M15" s="1074"/>
      <c r="N15" s="1074"/>
      <c r="O15" s="1074"/>
      <c r="P15" s="1074"/>
      <c r="Q15" s="1074"/>
      <c r="R15" s="1074"/>
      <c r="S15" s="1074"/>
      <c r="T15" s="1075"/>
      <c r="U15" s="1131">
        <f>'Bilan-par flux'!U232</f>
        <v>0</v>
      </c>
      <c r="V15" s="1121"/>
      <c r="W15" s="1122">
        <f>+U15-V15</f>
        <v>0</v>
      </c>
      <c r="X15" s="1079"/>
      <c r="Y15" s="1093">
        <f>'Bilan-par flux'!K232</f>
        <v>0</v>
      </c>
      <c r="Z15" s="1094">
        <f>'Bilan-par flux'!M232</f>
        <v>0</v>
      </c>
      <c r="AA15" s="1094"/>
      <c r="AB15" s="1098">
        <f>W15-Y15-Z15-AA15</f>
        <v>0</v>
      </c>
      <c r="AC15" s="1081"/>
      <c r="AD15" s="1129">
        <f>SUM(AE15:AF15)</f>
        <v>0</v>
      </c>
      <c r="AE15" s="1094"/>
      <c r="AF15" s="1100"/>
      <c r="AG15" s="1074"/>
      <c r="AH15" s="1132">
        <f>U15</f>
        <v>0</v>
      </c>
      <c r="AI15" s="1094"/>
      <c r="AJ15" s="1094"/>
      <c r="AK15" s="1102"/>
    </row>
    <row r="16" spans="1:37" s="1135" customFormat="1" ht="20.100000000000001" customHeight="1" x14ac:dyDescent="0.3">
      <c r="A16" s="1105"/>
      <c r="B16" s="1106" t="s">
        <v>2094</v>
      </c>
      <c r="C16" s="1133"/>
      <c r="D16" s="1108"/>
      <c r="E16" s="1109"/>
      <c r="F16" s="1109"/>
      <c r="G16" s="1109"/>
      <c r="H16" s="1109"/>
      <c r="I16" s="1109"/>
      <c r="J16" s="1109"/>
      <c r="K16" s="1109"/>
      <c r="L16" s="1109"/>
      <c r="M16" s="1109"/>
      <c r="N16" s="1110"/>
      <c r="O16" s="1111"/>
      <c r="P16" s="1111"/>
      <c r="Q16" s="1111"/>
      <c r="R16" s="1111"/>
      <c r="S16" s="1111"/>
      <c r="T16" s="1134"/>
      <c r="U16" s="1113">
        <f>SUM(U14:U15)</f>
        <v>0</v>
      </c>
      <c r="V16" s="1114">
        <f>SUM(V14:V15)</f>
        <v>0</v>
      </c>
      <c r="W16" s="1115">
        <f>U16-V16</f>
        <v>0</v>
      </c>
      <c r="X16" s="1079"/>
      <c r="Y16" s="1113">
        <f>SUM(Y14:Y15)</f>
        <v>0</v>
      </c>
      <c r="Z16" s="1114">
        <f>SUM(Z14:Z15)</f>
        <v>0</v>
      </c>
      <c r="AA16" s="1114">
        <f>SUM(AA14:AA15)</f>
        <v>0</v>
      </c>
      <c r="AB16" s="1116">
        <f>SUM(AB14:AB15)</f>
        <v>0</v>
      </c>
      <c r="AC16" s="1081"/>
      <c r="AD16" s="1113">
        <f>SUM(AD14:AD15)</f>
        <v>0</v>
      </c>
      <c r="AE16" s="1114">
        <f>SUM(AE14:AE15)</f>
        <v>0</v>
      </c>
      <c r="AF16" s="1116">
        <f>SUM(AF14:AF15)</f>
        <v>1.8216729999999199</v>
      </c>
      <c r="AG16" s="1133"/>
      <c r="AH16" s="1117">
        <f>+AH14+AH15</f>
        <v>50474.044281000002</v>
      </c>
      <c r="AI16" s="1114">
        <f>+AI14+AI15</f>
        <v>8986.6108999999997</v>
      </c>
      <c r="AJ16" s="1114">
        <f>+AJ14+AJ15</f>
        <v>8986.6108999999997</v>
      </c>
      <c r="AK16" s="1118">
        <f>+AK14+AK15</f>
        <v>0</v>
      </c>
    </row>
    <row r="17" spans="1:37" s="333" customFormat="1" ht="6" customHeight="1" x14ac:dyDescent="0.3">
      <c r="B17" s="1074"/>
      <c r="C17" s="1074"/>
      <c r="D17" s="1074"/>
      <c r="E17" s="1074"/>
      <c r="F17" s="1074"/>
      <c r="G17" s="1074"/>
      <c r="H17" s="1074"/>
      <c r="I17" s="1074"/>
      <c r="J17" s="1074"/>
      <c r="K17" s="1074"/>
      <c r="L17" s="1074"/>
      <c r="M17" s="1074"/>
      <c r="N17" s="1074"/>
      <c r="O17" s="1074"/>
      <c r="P17" s="1074"/>
      <c r="Q17" s="1074"/>
      <c r="R17" s="1074"/>
      <c r="S17" s="1074"/>
      <c r="T17" s="1075"/>
      <c r="U17" s="1120"/>
      <c r="V17" s="1121"/>
      <c r="W17" s="1122"/>
      <c r="X17" s="1079"/>
      <c r="Y17" s="1120"/>
      <c r="Z17" s="1121"/>
      <c r="AA17" s="1121"/>
      <c r="AB17" s="1104"/>
      <c r="AC17" s="1081"/>
      <c r="AD17" s="1099"/>
      <c r="AE17" s="1121"/>
      <c r="AF17" s="1123"/>
      <c r="AG17" s="1074"/>
      <c r="AH17" s="1124"/>
      <c r="AI17" s="1121"/>
      <c r="AJ17" s="1121"/>
      <c r="AK17" s="1125"/>
    </row>
    <row r="18" spans="1:37" s="333" customFormat="1" ht="12.75" customHeight="1" x14ac:dyDescent="0.3">
      <c r="A18" s="1073" t="s">
        <v>2095</v>
      </c>
      <c r="B18" s="1074"/>
      <c r="C18" s="1074"/>
      <c r="D18" s="1074"/>
      <c r="E18" s="1074"/>
      <c r="F18" s="1074"/>
      <c r="G18" s="1074"/>
      <c r="H18" s="1074"/>
      <c r="I18" s="1074"/>
      <c r="J18" s="1074"/>
      <c r="K18" s="1074"/>
      <c r="L18" s="1074"/>
      <c r="M18" s="1074"/>
      <c r="N18" s="1074"/>
      <c r="O18" s="1074"/>
      <c r="P18" s="1074"/>
      <c r="Q18" s="1074"/>
      <c r="R18" s="1074"/>
      <c r="S18" s="1074"/>
      <c r="T18" s="1075"/>
      <c r="U18" s="1093"/>
      <c r="V18" s="1094"/>
      <c r="W18" s="1095"/>
      <c r="X18" s="1079"/>
      <c r="Y18" s="1093"/>
      <c r="Z18" s="1094"/>
      <c r="AA18" s="1094"/>
      <c r="AB18" s="1098"/>
      <c r="AC18" s="1081"/>
      <c r="AD18" s="1099"/>
      <c r="AE18" s="1121"/>
      <c r="AF18" s="1123"/>
      <c r="AG18" s="1074"/>
      <c r="AH18" s="1124"/>
      <c r="AI18" s="1121"/>
      <c r="AJ18" s="1121"/>
      <c r="AK18" s="1125"/>
    </row>
    <row r="19" spans="1:37" s="1103" customFormat="1" ht="14.4" outlineLevel="1" x14ac:dyDescent="0.3">
      <c r="A19" s="1088" t="s">
        <v>1438</v>
      </c>
      <c r="B19" s="1089"/>
      <c r="C19" s="1136"/>
      <c r="D19" s="1136"/>
      <c r="E19" s="1074"/>
      <c r="F19" s="1074"/>
      <c r="G19" s="1074"/>
      <c r="H19" s="1074"/>
      <c r="I19" s="972"/>
      <c r="J19" s="973"/>
      <c r="K19" s="973"/>
      <c r="L19" s="973"/>
      <c r="M19" s="1091"/>
      <c r="N19" s="1091"/>
      <c r="O19" s="1091"/>
      <c r="P19" s="1091"/>
      <c r="Q19" s="1091"/>
      <c r="R19" s="1091"/>
      <c r="S19" s="1091"/>
      <c r="T19" s="1092"/>
      <c r="U19" s="1120"/>
      <c r="V19" s="1121"/>
      <c r="W19" s="1122">
        <f>+U19-V19</f>
        <v>0</v>
      </c>
      <c r="X19" s="1079"/>
      <c r="Y19" s="1096"/>
      <c r="Z19" s="1094"/>
      <c r="AA19" s="1097"/>
      <c r="AB19" s="1098">
        <f>W19-Y19-Z19-AA19</f>
        <v>0</v>
      </c>
      <c r="AC19" s="1081"/>
      <c r="AD19" s="1099">
        <f>SUM(AE19:AF19)</f>
        <v>0</v>
      </c>
      <c r="AE19" s="1094"/>
      <c r="AF19" s="1100"/>
      <c r="AG19" s="1091"/>
      <c r="AH19" s="1101"/>
      <c r="AI19" s="1094"/>
      <c r="AJ19" s="1094"/>
      <c r="AK19" s="1102"/>
    </row>
    <row r="20" spans="1:37" s="1103" customFormat="1" ht="14.4" outlineLevel="1" x14ac:dyDescent="0.3">
      <c r="A20" s="1088" t="s">
        <v>1438</v>
      </c>
      <c r="B20" s="1089"/>
      <c r="C20" s="1136"/>
      <c r="D20" s="1136"/>
      <c r="E20" s="1074"/>
      <c r="F20" s="1074"/>
      <c r="G20" s="1074"/>
      <c r="H20" s="1074"/>
      <c r="I20" s="972"/>
      <c r="J20" s="973"/>
      <c r="K20" s="973"/>
      <c r="L20" s="973"/>
      <c r="M20" s="1091"/>
      <c r="N20" s="1091"/>
      <c r="O20" s="1091"/>
      <c r="P20" s="1091"/>
      <c r="Q20" s="1091"/>
      <c r="R20" s="1091"/>
      <c r="S20" s="1091"/>
      <c r="T20" s="1092"/>
      <c r="U20" s="1120"/>
      <c r="V20" s="1121"/>
      <c r="W20" s="1122">
        <f>+U20-V20</f>
        <v>0</v>
      </c>
      <c r="X20" s="1079"/>
      <c r="Y20" s="1096"/>
      <c r="Z20" s="1094"/>
      <c r="AA20" s="1097"/>
      <c r="AB20" s="1098">
        <f>W20-Y20-Z20-AA20</f>
        <v>0</v>
      </c>
      <c r="AC20" s="1081"/>
      <c r="AD20" s="1099">
        <f>SUM(AE20:AF20)</f>
        <v>0</v>
      </c>
      <c r="AE20" s="1094"/>
      <c r="AF20" s="1100"/>
      <c r="AG20" s="1091"/>
      <c r="AH20" s="1101"/>
      <c r="AI20" s="1094"/>
      <c r="AJ20" s="1094"/>
      <c r="AK20" s="1102"/>
    </row>
    <row r="21" spans="1:37" s="1135" customFormat="1" ht="20.100000000000001" customHeight="1" x14ac:dyDescent="0.3">
      <c r="A21" s="1105"/>
      <c r="B21" s="1106" t="s">
        <v>2067</v>
      </c>
      <c r="C21" s="1133"/>
      <c r="D21" s="1108"/>
      <c r="E21" s="1109"/>
      <c r="F21" s="1109"/>
      <c r="G21" s="1109"/>
      <c r="H21" s="1109"/>
      <c r="I21" s="1109"/>
      <c r="J21" s="1109"/>
      <c r="K21" s="1109"/>
      <c r="L21" s="1109"/>
      <c r="M21" s="1109"/>
      <c r="N21" s="1110"/>
      <c r="O21" s="1111"/>
      <c r="P21" s="1111"/>
      <c r="Q21" s="1111"/>
      <c r="R21" s="1111"/>
      <c r="S21" s="1111"/>
      <c r="T21" s="1134"/>
      <c r="U21" s="1113">
        <f>SUM(U19:U20)</f>
        <v>0</v>
      </c>
      <c r="V21" s="1114">
        <f>SUM(V19:V20)</f>
        <v>0</v>
      </c>
      <c r="W21" s="1115">
        <f>U21-V21</f>
        <v>0</v>
      </c>
      <c r="X21" s="1079"/>
      <c r="Y21" s="1113">
        <f>SUM(Y19:Y20)</f>
        <v>0</v>
      </c>
      <c r="Z21" s="1114">
        <f>SUM(Z19:Z20)</f>
        <v>0</v>
      </c>
      <c r="AA21" s="1114">
        <f>SUM(AA19:AA20)</f>
        <v>0</v>
      </c>
      <c r="AB21" s="1116">
        <f>SUM(AB19:AB20)</f>
        <v>0</v>
      </c>
      <c r="AC21" s="1081"/>
      <c r="AD21" s="1113">
        <f>SUM(AD19:AD20)</f>
        <v>0</v>
      </c>
      <c r="AE21" s="1114">
        <f>SUM(AE19:AE20)</f>
        <v>0</v>
      </c>
      <c r="AF21" s="1116">
        <f>SUM(AF19:AF20)</f>
        <v>0</v>
      </c>
      <c r="AG21" s="1133"/>
      <c r="AH21" s="1117">
        <f>+AH19+AH20</f>
        <v>0</v>
      </c>
      <c r="AI21" s="1114">
        <f>+AI19+AI20</f>
        <v>0</v>
      </c>
      <c r="AJ21" s="1114">
        <f>+AJ19+AJ20</f>
        <v>0</v>
      </c>
      <c r="AK21" s="1118">
        <f>+AK19+AK20</f>
        <v>0</v>
      </c>
    </row>
    <row r="22" spans="1:37" s="333" customFormat="1" ht="4.5" customHeight="1" x14ac:dyDescent="0.3">
      <c r="B22" s="1074"/>
      <c r="C22" s="1074"/>
      <c r="D22" s="1074"/>
      <c r="E22" s="1074"/>
      <c r="F22" s="1074"/>
      <c r="G22" s="1074"/>
      <c r="H22" s="1074"/>
      <c r="I22" s="1074"/>
      <c r="J22" s="1074"/>
      <c r="K22" s="1074"/>
      <c r="L22" s="1074"/>
      <c r="M22" s="1074"/>
      <c r="N22" s="1074"/>
      <c r="O22" s="1074"/>
      <c r="P22" s="1074"/>
      <c r="Q22" s="1074"/>
      <c r="R22" s="1074"/>
      <c r="S22" s="1074"/>
      <c r="T22" s="1075"/>
      <c r="U22" s="1120"/>
      <c r="V22" s="1121"/>
      <c r="W22" s="1122"/>
      <c r="X22" s="1079"/>
      <c r="Y22" s="1120"/>
      <c r="Z22" s="1121"/>
      <c r="AA22" s="1121"/>
      <c r="AB22" s="1104"/>
      <c r="AC22" s="1081"/>
      <c r="AD22" s="1099"/>
      <c r="AE22" s="1121"/>
      <c r="AF22" s="1123"/>
      <c r="AG22" s="1074"/>
      <c r="AH22" s="1124"/>
      <c r="AI22" s="1121"/>
      <c r="AJ22" s="1121"/>
      <c r="AK22" s="1125"/>
    </row>
    <row r="23" spans="1:37" s="333" customFormat="1" ht="17.25" customHeight="1" x14ac:dyDescent="0.3">
      <c r="A23" s="1126" t="s">
        <v>2096</v>
      </c>
      <c r="B23" s="1127"/>
      <c r="C23" s="1074"/>
      <c r="D23" s="1074"/>
      <c r="E23" s="1074"/>
      <c r="F23" s="1074"/>
      <c r="G23" s="1074"/>
      <c r="H23" s="1074"/>
      <c r="I23" s="1074"/>
      <c r="J23" s="1074"/>
      <c r="K23" s="1074"/>
      <c r="L23" s="1074"/>
      <c r="M23" s="1074"/>
      <c r="N23" s="1074"/>
      <c r="O23" s="1074"/>
      <c r="P23" s="1074"/>
      <c r="Q23" s="1074"/>
      <c r="R23" s="1074"/>
      <c r="S23" s="1074"/>
      <c r="T23" s="1075"/>
      <c r="U23" s="1120"/>
      <c r="V23" s="1121"/>
      <c r="W23" s="1122"/>
      <c r="X23" s="1079"/>
      <c r="Y23" s="1093"/>
      <c r="Z23" s="1094"/>
      <c r="AA23" s="1094"/>
      <c r="AB23" s="1098"/>
      <c r="AC23" s="1081"/>
      <c r="AD23" s="1099"/>
      <c r="AE23" s="1121"/>
      <c r="AF23" s="1123"/>
      <c r="AG23" s="1074"/>
      <c r="AH23" s="1124"/>
      <c r="AI23" s="1121"/>
      <c r="AJ23" s="1121"/>
      <c r="AK23" s="1125"/>
    </row>
    <row r="24" spans="1:37" s="333" customFormat="1" ht="14.4" x14ac:dyDescent="0.3">
      <c r="A24" s="1130" t="s">
        <v>100</v>
      </c>
      <c r="B24" s="1089"/>
      <c r="C24" s="1074"/>
      <c r="D24" s="1074"/>
      <c r="E24" s="1074"/>
      <c r="F24" s="1074"/>
      <c r="G24" s="1074"/>
      <c r="H24" s="1074"/>
      <c r="I24" s="972"/>
      <c r="J24" s="973"/>
      <c r="K24" s="973"/>
      <c r="L24" s="973"/>
      <c r="M24" s="1074"/>
      <c r="N24" s="1074"/>
      <c r="O24" s="1074"/>
      <c r="P24" s="1074"/>
      <c r="Q24" s="1074"/>
      <c r="R24" s="1074"/>
      <c r="S24" s="1074"/>
      <c r="T24" s="1075"/>
      <c r="U24" s="1120"/>
      <c r="V24" s="1094"/>
      <c r="W24" s="1122">
        <f>+U24-V24</f>
        <v>0</v>
      </c>
      <c r="X24" s="1079"/>
      <c r="Y24" s="1093"/>
      <c r="Z24" s="1094"/>
      <c r="AA24" s="1094"/>
      <c r="AB24" s="1098">
        <f>W24-Y24-Z24-AA24</f>
        <v>0</v>
      </c>
      <c r="AC24" s="1081"/>
      <c r="AD24" s="1129">
        <f>SUM(AE24:AF24)</f>
        <v>0</v>
      </c>
      <c r="AE24" s="1094"/>
      <c r="AF24" s="1100"/>
      <c r="AG24" s="1074"/>
      <c r="AH24" s="1101"/>
      <c r="AI24" s="1094"/>
      <c r="AJ24" s="1094"/>
      <c r="AK24" s="1102"/>
    </row>
    <row r="25" spans="1:37" s="1135" customFormat="1" ht="20.100000000000001" customHeight="1" x14ac:dyDescent="0.3">
      <c r="A25" s="1105"/>
      <c r="B25" s="1106" t="s">
        <v>2071</v>
      </c>
      <c r="C25" s="1133"/>
      <c r="D25" s="1108"/>
      <c r="E25" s="1109"/>
      <c r="F25" s="1109"/>
      <c r="G25" s="1109"/>
      <c r="H25" s="1109"/>
      <c r="I25" s="1109"/>
      <c r="J25" s="1109"/>
      <c r="K25" s="1109"/>
      <c r="L25" s="1109"/>
      <c r="M25" s="1109"/>
      <c r="N25" s="1110"/>
      <c r="O25" s="1111"/>
      <c r="P25" s="1111"/>
      <c r="Q25" s="1111"/>
      <c r="R25" s="1111"/>
      <c r="S25" s="1111"/>
      <c r="T25" s="1134"/>
      <c r="U25" s="1137">
        <f>SUM(U23:U24)</f>
        <v>0</v>
      </c>
      <c r="V25" s="1138">
        <f>SUM(V23:V24)</f>
        <v>0</v>
      </c>
      <c r="W25" s="1139">
        <f>U25-V25</f>
        <v>0</v>
      </c>
      <c r="X25" s="1079"/>
      <c r="Y25" s="1137">
        <f>SUM(Y23:Y24)</f>
        <v>0</v>
      </c>
      <c r="Z25" s="1138">
        <f>SUM(Z23:Z24)</f>
        <v>0</v>
      </c>
      <c r="AA25" s="1138">
        <f>SUM(AA23:AA24)</f>
        <v>0</v>
      </c>
      <c r="AB25" s="1140">
        <f>SUM(AB23:AB24)</f>
        <v>0</v>
      </c>
      <c r="AC25" s="1081"/>
      <c r="AD25" s="1137">
        <f>SUM(AE25:AF25)</f>
        <v>0</v>
      </c>
      <c r="AE25" s="1138">
        <f>SUM(AE23:AE24)</f>
        <v>0</v>
      </c>
      <c r="AF25" s="1140">
        <f>SUM(AF23:AF24)</f>
        <v>0</v>
      </c>
      <c r="AG25" s="1133"/>
      <c r="AH25" s="1117">
        <f>+AH24</f>
        <v>0</v>
      </c>
      <c r="AI25" s="1114">
        <f>+AI24</f>
        <v>0</v>
      </c>
      <c r="AJ25" s="1114">
        <f>+AJ24</f>
        <v>0</v>
      </c>
      <c r="AK25" s="1118">
        <f>+AK24</f>
        <v>0</v>
      </c>
    </row>
    <row r="26" spans="1:37" s="333" customFormat="1" ht="4.5" customHeight="1" x14ac:dyDescent="0.3">
      <c r="B26" s="1074"/>
      <c r="C26" s="1074"/>
      <c r="D26" s="1074"/>
      <c r="E26" s="1074"/>
      <c r="F26" s="1074"/>
      <c r="G26" s="1074"/>
      <c r="H26" s="1074"/>
      <c r="I26" s="1074"/>
      <c r="J26" s="1074"/>
      <c r="K26" s="1074"/>
      <c r="L26" s="1074"/>
      <c r="M26" s="1074"/>
      <c r="N26" s="1074"/>
      <c r="O26" s="1074"/>
      <c r="P26" s="1074"/>
      <c r="Q26" s="1074"/>
      <c r="R26" s="1074"/>
      <c r="S26" s="1074"/>
      <c r="T26" s="1075"/>
      <c r="U26" s="1120"/>
      <c r="V26" s="1121"/>
      <c r="W26" s="1122"/>
      <c r="X26" s="1079"/>
      <c r="Y26" s="1120"/>
      <c r="Z26" s="1121"/>
      <c r="AA26" s="1121"/>
      <c r="AB26" s="1141"/>
      <c r="AC26" s="1081"/>
      <c r="AD26" s="1099"/>
      <c r="AE26" s="1121"/>
      <c r="AF26" s="1123"/>
      <c r="AG26" s="1074"/>
      <c r="AH26" s="1124"/>
      <c r="AI26" s="1121"/>
      <c r="AJ26" s="1121"/>
      <c r="AK26" s="1125"/>
    </row>
    <row r="27" spans="1:37" s="333" customFormat="1" ht="15" customHeight="1" x14ac:dyDescent="0.3">
      <c r="A27" s="1126" t="s">
        <v>2097</v>
      </c>
      <c r="B27" s="1127"/>
      <c r="C27" s="1074"/>
      <c r="D27" s="1074"/>
      <c r="E27" s="1074"/>
      <c r="F27" s="1074"/>
      <c r="G27" s="1074"/>
      <c r="H27" s="1074"/>
      <c r="I27" s="1074"/>
      <c r="J27" s="1074"/>
      <c r="K27" s="1074"/>
      <c r="L27" s="1074"/>
      <c r="M27" s="1074"/>
      <c r="N27" s="1074"/>
      <c r="O27" s="1074"/>
      <c r="P27" s="1074"/>
      <c r="Q27" s="1074"/>
      <c r="R27" s="1074"/>
      <c r="S27" s="1074"/>
      <c r="T27" s="1075"/>
      <c r="U27" s="1120"/>
      <c r="V27" s="1121"/>
      <c r="W27" s="1122"/>
      <c r="X27" s="1079"/>
      <c r="Y27" s="1093"/>
      <c r="Z27" s="1094"/>
      <c r="AA27" s="1094"/>
      <c r="AB27" s="1098"/>
      <c r="AC27" s="1081"/>
      <c r="AD27" s="1099"/>
      <c r="AE27" s="1121"/>
      <c r="AF27" s="1123"/>
      <c r="AG27" s="1074"/>
      <c r="AH27" s="1124"/>
      <c r="AI27" s="1121"/>
      <c r="AJ27" s="1121"/>
      <c r="AK27" s="1125"/>
    </row>
    <row r="28" spans="1:37" s="333" customFormat="1" ht="16.5" customHeight="1" outlineLevel="1" x14ac:dyDescent="0.3">
      <c r="A28" s="1130" t="s">
        <v>1447</v>
      </c>
      <c r="B28" s="1089"/>
      <c r="C28" s="1074"/>
      <c r="D28" s="1074"/>
      <c r="E28" s="1074"/>
      <c r="F28" s="1074"/>
      <c r="G28" s="1074"/>
      <c r="H28" s="1074"/>
      <c r="I28" s="972"/>
      <c r="J28" s="973"/>
      <c r="K28" s="973"/>
      <c r="L28" s="973"/>
      <c r="M28" s="1074"/>
      <c r="N28" s="1074"/>
      <c r="O28" s="1074"/>
      <c r="P28" s="1074"/>
      <c r="Q28" s="1074"/>
      <c r="R28" s="1074"/>
      <c r="S28" s="1074"/>
      <c r="T28" s="1075"/>
      <c r="U28" s="1120"/>
      <c r="V28" s="1094"/>
      <c r="W28" s="1122">
        <f>+U28-V28</f>
        <v>0</v>
      </c>
      <c r="X28" s="1079"/>
      <c r="Y28" s="1093"/>
      <c r="Z28" s="1094"/>
      <c r="AA28" s="1094"/>
      <c r="AB28" s="1098">
        <f>W28-Y28-Z28-AA28</f>
        <v>0</v>
      </c>
      <c r="AC28" s="1081"/>
      <c r="AD28" s="1129">
        <f>SUM(AE28:AF28)</f>
        <v>0</v>
      </c>
      <c r="AE28" s="1094"/>
      <c r="AF28" s="1100"/>
      <c r="AG28" s="1074"/>
      <c r="AH28" s="1101"/>
      <c r="AI28" s="1094"/>
      <c r="AJ28" s="1094"/>
      <c r="AK28" s="1102"/>
    </row>
    <row r="29" spans="1:37" s="333" customFormat="1" ht="12" customHeight="1" outlineLevel="1" x14ac:dyDescent="0.3">
      <c r="A29" s="1130" t="s">
        <v>1447</v>
      </c>
      <c r="B29" s="1089"/>
      <c r="C29" s="1074"/>
      <c r="D29" s="1136"/>
      <c r="E29" s="1074"/>
      <c r="F29" s="1074"/>
      <c r="G29" s="1074"/>
      <c r="H29" s="1074"/>
      <c r="I29" s="972"/>
      <c r="J29" s="973"/>
      <c r="K29" s="973"/>
      <c r="L29" s="973"/>
      <c r="M29" s="1091"/>
      <c r="N29" s="1091"/>
      <c r="O29" s="1091"/>
      <c r="P29" s="1091"/>
      <c r="Q29" s="1091"/>
      <c r="R29" s="1091"/>
      <c r="S29" s="1091"/>
      <c r="T29" s="1075"/>
      <c r="U29" s="1093"/>
      <c r="V29" s="1094"/>
      <c r="W29" s="1122">
        <f>+U29-V29</f>
        <v>0</v>
      </c>
      <c r="X29" s="1079"/>
      <c r="Y29" s="1093"/>
      <c r="Z29" s="1094"/>
      <c r="AA29" s="1094"/>
      <c r="AB29" s="1098">
        <f>W29-Y29-Z29-AA29</f>
        <v>0</v>
      </c>
      <c r="AC29" s="1081"/>
      <c r="AD29" s="1129">
        <f>SUM(AE29:AF29)</f>
        <v>0</v>
      </c>
      <c r="AE29" s="1094"/>
      <c r="AF29" s="1100"/>
      <c r="AG29" s="1074"/>
      <c r="AH29" s="1101"/>
      <c r="AI29" s="1094"/>
      <c r="AJ29" s="1094"/>
      <c r="AK29" s="1102"/>
    </row>
    <row r="30" spans="1:37" s="1135" customFormat="1" ht="20.100000000000001" customHeight="1" x14ac:dyDescent="0.3">
      <c r="A30" s="1105"/>
      <c r="B30" s="1106" t="s">
        <v>2098</v>
      </c>
      <c r="C30" s="1133"/>
      <c r="D30" s="1108"/>
      <c r="E30" s="1109"/>
      <c r="F30" s="1109"/>
      <c r="G30" s="1109"/>
      <c r="H30" s="1109"/>
      <c r="I30" s="1109"/>
      <c r="J30" s="1109"/>
      <c r="K30" s="1109"/>
      <c r="L30" s="1109"/>
      <c r="M30" s="1109"/>
      <c r="N30" s="1110"/>
      <c r="O30" s="1111"/>
      <c r="P30" s="1111"/>
      <c r="Q30" s="1111"/>
      <c r="R30" s="1111"/>
      <c r="S30" s="1111"/>
      <c r="T30" s="1134"/>
      <c r="U30" s="1113">
        <f>SUM(U28:U29)</f>
        <v>0</v>
      </c>
      <c r="V30" s="1114">
        <f>SUM(V28:V29)</f>
        <v>0</v>
      </c>
      <c r="W30" s="1115">
        <f>U30-V30</f>
        <v>0</v>
      </c>
      <c r="X30" s="1079"/>
      <c r="Y30" s="1113">
        <f>SUM(Y28:Y29)</f>
        <v>0</v>
      </c>
      <c r="Z30" s="1114">
        <f>SUM(Z28:Z29)</f>
        <v>0</v>
      </c>
      <c r="AA30" s="1114">
        <f>SUM(AA28:AA29)</f>
        <v>0</v>
      </c>
      <c r="AB30" s="1116">
        <f>SUM(AB28:AB29)</f>
        <v>0</v>
      </c>
      <c r="AC30" s="1081"/>
      <c r="AD30" s="1113">
        <f>SUM(AD28:AD29)</f>
        <v>0</v>
      </c>
      <c r="AE30" s="1114">
        <f>SUM(AE28:AE29)</f>
        <v>0</v>
      </c>
      <c r="AF30" s="1116">
        <f>SUM(AF28:AF29)</f>
        <v>0</v>
      </c>
      <c r="AG30" s="1133"/>
      <c r="AH30" s="1117">
        <f>+AH28+AH29</f>
        <v>0</v>
      </c>
      <c r="AI30" s="1114">
        <f>+AI28+AI29</f>
        <v>0</v>
      </c>
      <c r="AJ30" s="1114">
        <f>+AJ28+AJ29</f>
        <v>0</v>
      </c>
      <c r="AK30" s="1118">
        <f>+AK28+AK29</f>
        <v>0</v>
      </c>
    </row>
    <row r="31" spans="1:37" s="343" customFormat="1" ht="4.5" customHeight="1" x14ac:dyDescent="0.3">
      <c r="A31" s="1142"/>
      <c r="B31" s="1067"/>
      <c r="C31" s="1067"/>
      <c r="D31" s="1067"/>
      <c r="E31" s="1067"/>
      <c r="F31" s="1067"/>
      <c r="G31" s="1067"/>
      <c r="H31" s="1067"/>
      <c r="I31" s="1067"/>
      <c r="J31" s="1067"/>
      <c r="K31" s="1067"/>
      <c r="L31" s="1067"/>
      <c r="M31" s="1067"/>
      <c r="N31" s="1067"/>
      <c r="O31" s="1067"/>
      <c r="P31" s="1067"/>
      <c r="Q31" s="1067"/>
      <c r="R31" s="1067"/>
      <c r="S31" s="1067"/>
      <c r="T31" s="1068"/>
      <c r="U31" s="1120"/>
      <c r="V31" s="1121"/>
      <c r="W31" s="1122"/>
      <c r="X31" s="1079"/>
      <c r="Y31" s="1120"/>
      <c r="Z31" s="1121"/>
      <c r="AA31" s="1121"/>
      <c r="AB31" s="1104"/>
      <c r="AC31" s="1081"/>
      <c r="AD31" s="1099"/>
      <c r="AE31" s="1121"/>
      <c r="AF31" s="1123"/>
      <c r="AG31" s="1067"/>
      <c r="AH31" s="1124"/>
      <c r="AI31" s="1121"/>
      <c r="AJ31" s="1121"/>
      <c r="AK31" s="1125"/>
    </row>
    <row r="32" spans="1:37" s="333" customFormat="1" ht="14.4" x14ac:dyDescent="0.3">
      <c r="A32" s="1073" t="s">
        <v>2099</v>
      </c>
      <c r="B32" s="1074"/>
      <c r="C32" s="1074"/>
      <c r="D32" s="1074"/>
      <c r="E32" s="1074"/>
      <c r="F32" s="1074"/>
      <c r="G32" s="1074"/>
      <c r="H32" s="1074"/>
      <c r="I32" s="1074"/>
      <c r="J32" s="1074"/>
      <c r="K32" s="1074"/>
      <c r="L32" s="1074"/>
      <c r="M32" s="1074"/>
      <c r="N32" s="1074"/>
      <c r="O32" s="1074"/>
      <c r="P32" s="1074"/>
      <c r="Q32" s="1074"/>
      <c r="R32" s="1074"/>
      <c r="S32" s="1074"/>
      <c r="T32" s="1075"/>
      <c r="U32" s="1120"/>
      <c r="V32" s="1121"/>
      <c r="W32" s="1122"/>
      <c r="X32" s="1079"/>
      <c r="Y32" s="1120"/>
      <c r="Z32" s="1121"/>
      <c r="AA32" s="1121"/>
      <c r="AB32" s="1104"/>
      <c r="AC32" s="1081"/>
      <c r="AD32" s="1099"/>
      <c r="AE32" s="1121"/>
      <c r="AF32" s="1123"/>
      <c r="AG32" s="1074"/>
      <c r="AH32" s="1124"/>
      <c r="AI32" s="1121"/>
      <c r="AJ32" s="1121"/>
      <c r="AK32" s="1125"/>
    </row>
    <row r="33" spans="1:37" s="333" customFormat="1" ht="11.25" customHeight="1" outlineLevel="2" x14ac:dyDescent="0.3">
      <c r="A33" s="1088" t="s">
        <v>1451</v>
      </c>
      <c r="B33" s="1089"/>
      <c r="C33" s="1074"/>
      <c r="D33" s="1143"/>
      <c r="E33" s="1074"/>
      <c r="F33" s="1074"/>
      <c r="G33" s="1074"/>
      <c r="H33" s="1074"/>
      <c r="I33" s="972"/>
      <c r="J33" s="973"/>
      <c r="K33" s="973"/>
      <c r="L33" s="973"/>
      <c r="M33" s="1074"/>
      <c r="N33" s="1074"/>
      <c r="O33" s="1074"/>
      <c r="P33" s="1074"/>
      <c r="Q33" s="1074"/>
      <c r="R33" s="1074"/>
      <c r="S33" s="1074"/>
      <c r="T33" s="1075"/>
      <c r="U33" s="1093"/>
      <c r="V33" s="1094"/>
      <c r="W33" s="1122">
        <f>U33-V33</f>
        <v>0</v>
      </c>
      <c r="X33" s="1079"/>
      <c r="Y33" s="1120"/>
      <c r="Z33" s="1121"/>
      <c r="AA33" s="1121"/>
      <c r="AB33" s="1098">
        <f>W33-Y33-Z33-AA33</f>
        <v>0</v>
      </c>
      <c r="AC33" s="1081"/>
      <c r="AD33" s="1099">
        <f>SUM(AE33:AF33)</f>
        <v>0</v>
      </c>
      <c r="AE33" s="1121"/>
      <c r="AF33" s="1123"/>
      <c r="AG33" s="1074"/>
      <c r="AH33" s="1124"/>
      <c r="AI33" s="1121"/>
      <c r="AJ33" s="1121"/>
      <c r="AK33" s="1125"/>
    </row>
    <row r="34" spans="1:37" s="1103" customFormat="1" ht="12" customHeight="1" outlineLevel="2" x14ac:dyDescent="0.3">
      <c r="A34" s="1088" t="s">
        <v>1451</v>
      </c>
      <c r="B34" s="1089"/>
      <c r="C34" s="1091"/>
      <c r="D34" s="1091"/>
      <c r="E34" s="1091"/>
      <c r="F34" s="1091"/>
      <c r="G34" s="1091"/>
      <c r="H34" s="1091"/>
      <c r="I34" s="972"/>
      <c r="J34" s="973"/>
      <c r="K34" s="973"/>
      <c r="L34" s="973"/>
      <c r="M34" s="1091"/>
      <c r="N34" s="1091"/>
      <c r="O34" s="1091"/>
      <c r="P34" s="1091"/>
      <c r="Q34" s="1091"/>
      <c r="R34" s="1091"/>
      <c r="S34" s="1091"/>
      <c r="T34" s="1092"/>
      <c r="U34" s="1093"/>
      <c r="V34" s="1094"/>
      <c r="W34" s="1122">
        <f>U34-V34</f>
        <v>0</v>
      </c>
      <c r="X34" s="1079"/>
      <c r="Y34" s="1120"/>
      <c r="Z34" s="1121"/>
      <c r="AA34" s="1121"/>
      <c r="AB34" s="1098">
        <f>W34-Y34-Z34-AA34</f>
        <v>0</v>
      </c>
      <c r="AC34" s="1081"/>
      <c r="AD34" s="1099">
        <f>SUM(AE34:AF34)</f>
        <v>0</v>
      </c>
      <c r="AE34" s="1121"/>
      <c r="AF34" s="1123"/>
      <c r="AG34" s="1091"/>
      <c r="AH34" s="1124"/>
      <c r="AI34" s="1121"/>
      <c r="AJ34" s="1121"/>
      <c r="AK34" s="1125"/>
    </row>
    <row r="35" spans="1:37" s="1135" customFormat="1" ht="20.100000000000001" customHeight="1" x14ac:dyDescent="0.3">
      <c r="A35" s="1105"/>
      <c r="B35" s="1106" t="s">
        <v>1452</v>
      </c>
      <c r="C35" s="1133"/>
      <c r="D35" s="1108"/>
      <c r="E35" s="1109"/>
      <c r="F35" s="1109"/>
      <c r="G35" s="1109"/>
      <c r="H35" s="1109"/>
      <c r="I35" s="1109"/>
      <c r="J35" s="1109"/>
      <c r="K35" s="1109"/>
      <c r="L35" s="1109"/>
      <c r="M35" s="1109"/>
      <c r="N35" s="1110"/>
      <c r="O35" s="1111"/>
      <c r="P35" s="1111"/>
      <c r="Q35" s="1111"/>
      <c r="R35" s="1111"/>
      <c r="S35" s="1111"/>
      <c r="T35" s="1134"/>
      <c r="U35" s="1113">
        <f>SUM(U33:U34)</f>
        <v>0</v>
      </c>
      <c r="V35" s="1114">
        <f>SUM(V33:V34)</f>
        <v>0</v>
      </c>
      <c r="W35" s="1115">
        <f>U35-V35</f>
        <v>0</v>
      </c>
      <c r="X35" s="1079"/>
      <c r="Y35" s="1113">
        <f t="shared" ref="Y35:AF35" si="0">SUM(Y33:Y34)</f>
        <v>0</v>
      </c>
      <c r="Z35" s="1114">
        <f t="shared" si="0"/>
        <v>0</v>
      </c>
      <c r="AA35" s="1114">
        <f t="shared" si="0"/>
        <v>0</v>
      </c>
      <c r="AB35" s="1116">
        <f t="shared" si="0"/>
        <v>0</v>
      </c>
      <c r="AC35" s="1081">
        <f t="shared" si="0"/>
        <v>0</v>
      </c>
      <c r="AD35" s="1113">
        <f t="shared" si="0"/>
        <v>0</v>
      </c>
      <c r="AE35" s="1114">
        <f t="shared" si="0"/>
        <v>0</v>
      </c>
      <c r="AF35" s="1116">
        <f t="shared" si="0"/>
        <v>0</v>
      </c>
      <c r="AG35" s="1133"/>
      <c r="AH35" s="1117">
        <f>+AH33+AH34</f>
        <v>0</v>
      </c>
      <c r="AI35" s="1114">
        <f>+AI33+AI34</f>
        <v>0</v>
      </c>
      <c r="AJ35" s="1114">
        <f>+AJ33+AJ34</f>
        <v>0</v>
      </c>
      <c r="AK35" s="1118">
        <f>+AK33+AK34</f>
        <v>0</v>
      </c>
    </row>
    <row r="36" spans="1:37" s="343" customFormat="1" ht="4.5" customHeight="1" x14ac:dyDescent="0.3">
      <c r="A36" s="344"/>
      <c r="B36" s="1067"/>
      <c r="C36" s="1067"/>
      <c r="D36" s="1067"/>
      <c r="E36" s="1067"/>
      <c r="F36" s="1067"/>
      <c r="G36" s="1067"/>
      <c r="H36" s="1067"/>
      <c r="I36" s="1067"/>
      <c r="J36" s="1067"/>
      <c r="K36" s="1067"/>
      <c r="L36" s="1067"/>
      <c r="M36" s="1067"/>
      <c r="N36" s="1067"/>
      <c r="O36" s="1067"/>
      <c r="P36" s="1067"/>
      <c r="Q36" s="1067"/>
      <c r="R36" s="1067"/>
      <c r="S36" s="1067"/>
      <c r="T36" s="1068"/>
      <c r="U36" s="1120"/>
      <c r="V36" s="1121"/>
      <c r="W36" s="1122"/>
      <c r="X36" s="1079"/>
      <c r="Y36" s="1120"/>
      <c r="Z36" s="1121"/>
      <c r="AA36" s="1121"/>
      <c r="AB36" s="1104"/>
      <c r="AC36" s="1081"/>
      <c r="AD36" s="1099"/>
      <c r="AE36" s="1121"/>
      <c r="AF36" s="1123"/>
      <c r="AG36" s="1067"/>
      <c r="AH36" s="1124"/>
      <c r="AI36" s="1121"/>
      <c r="AJ36" s="1121"/>
      <c r="AK36" s="1125"/>
    </row>
    <row r="37" spans="1:37" s="333" customFormat="1" ht="19.5" customHeight="1" x14ac:dyDescent="0.3">
      <c r="A37" s="1999" t="s">
        <v>2100</v>
      </c>
      <c r="B37" s="1999"/>
      <c r="C37" s="1074"/>
      <c r="D37" s="1074"/>
      <c r="E37" s="1074"/>
      <c r="F37" s="1074"/>
      <c r="G37" s="1074"/>
      <c r="H37" s="1074"/>
      <c r="I37" s="1074"/>
      <c r="J37" s="1074"/>
      <c r="K37" s="1074"/>
      <c r="L37" s="1074"/>
      <c r="M37" s="1074"/>
      <c r="N37" s="1074"/>
      <c r="O37" s="1074"/>
      <c r="P37" s="1074"/>
      <c r="Q37" s="1074"/>
      <c r="R37" s="1074"/>
      <c r="S37" s="1074"/>
      <c r="T37" s="1075"/>
      <c r="U37" s="1120"/>
      <c r="V37" s="1121"/>
      <c r="W37" s="1122"/>
      <c r="X37" s="1079"/>
      <c r="Y37" s="1120"/>
      <c r="Z37" s="1121"/>
      <c r="AA37" s="1121"/>
      <c r="AB37" s="1104"/>
      <c r="AC37" s="1081"/>
      <c r="AD37" s="1099"/>
      <c r="AE37" s="1121"/>
      <c r="AF37" s="1123"/>
      <c r="AG37" s="1074"/>
      <c r="AH37" s="1124"/>
      <c r="AI37" s="1121"/>
      <c r="AJ37" s="1121"/>
      <c r="AK37" s="1125"/>
    </row>
    <row r="38" spans="1:37" s="1103" customFormat="1" ht="14.4" outlineLevel="1" x14ac:dyDescent="0.3">
      <c r="A38" s="1088" t="s">
        <v>1455</v>
      </c>
      <c r="B38" s="1089" t="s">
        <v>2101</v>
      </c>
      <c r="C38" s="1074"/>
      <c r="D38" s="1067"/>
      <c r="E38" s="1090"/>
      <c r="F38" s="1067"/>
      <c r="G38" s="1090"/>
      <c r="H38" s="1090"/>
      <c r="I38" s="972"/>
      <c r="J38" s="973"/>
      <c r="K38" s="973"/>
      <c r="L38" s="973"/>
      <c r="M38" s="1091"/>
      <c r="N38" s="1091"/>
      <c r="O38" s="1091"/>
      <c r="P38" s="1091"/>
      <c r="Q38" s="1091"/>
      <c r="R38" s="1091"/>
      <c r="S38" s="1091"/>
      <c r="T38" s="1092"/>
      <c r="U38" s="1093">
        <f>'Bilan-par flux'!U242</f>
        <v>16096.999173</v>
      </c>
      <c r="V38" s="1094"/>
      <c r="W38" s="1122">
        <f>U38-V38</f>
        <v>16096.999173</v>
      </c>
      <c r="X38" s="1079"/>
      <c r="Y38" s="1096">
        <v>6208.9939709999999</v>
      </c>
      <c r="Z38" s="1094"/>
      <c r="AA38" s="1097"/>
      <c r="AB38" s="1098">
        <f>W38-Y38-Z38-AA38</f>
        <v>9888.0052020000003</v>
      </c>
      <c r="AC38" s="1081"/>
      <c r="AD38" s="1099">
        <f>SUM(AE38:AF38)</f>
        <v>0</v>
      </c>
      <c r="AE38" s="1094"/>
      <c r="AF38" s="1100"/>
      <c r="AG38" s="1091"/>
      <c r="AH38" s="1101"/>
      <c r="AI38" s="1094"/>
      <c r="AJ38" s="1094"/>
      <c r="AK38" s="1102"/>
    </row>
    <row r="39" spans="1:37" s="1103" customFormat="1" ht="14.4" outlineLevel="1" x14ac:dyDescent="0.3">
      <c r="A39" s="1088" t="s">
        <v>1455</v>
      </c>
      <c r="B39" s="1089"/>
      <c r="C39" s="1136"/>
      <c r="D39" s="1136"/>
      <c r="E39" s="1074"/>
      <c r="F39" s="1074"/>
      <c r="G39" s="1074"/>
      <c r="H39" s="1074"/>
      <c r="I39" s="972"/>
      <c r="J39" s="973"/>
      <c r="K39" s="973"/>
      <c r="L39" s="973"/>
      <c r="M39" s="1091"/>
      <c r="N39" s="1091"/>
      <c r="O39" s="1091"/>
      <c r="P39" s="1091"/>
      <c r="Q39" s="1091"/>
      <c r="R39" s="1091"/>
      <c r="S39" s="1091"/>
      <c r="T39" s="1092"/>
      <c r="U39" s="1120"/>
      <c r="V39" s="1094"/>
      <c r="W39" s="1122">
        <f>U39-V39</f>
        <v>0</v>
      </c>
      <c r="X39" s="1079"/>
      <c r="Y39" s="1096"/>
      <c r="Z39" s="1094"/>
      <c r="AA39" s="1097"/>
      <c r="AB39" s="1098">
        <f>W39-Y39-Z39-AA39</f>
        <v>0</v>
      </c>
      <c r="AC39" s="1081"/>
      <c r="AD39" s="1099">
        <f>SUM(AE39:AF39)</f>
        <v>0</v>
      </c>
      <c r="AE39" s="1094"/>
      <c r="AF39" s="1100"/>
      <c r="AG39" s="1091"/>
      <c r="AH39" s="1101"/>
      <c r="AI39" s="1094"/>
      <c r="AJ39" s="1094"/>
      <c r="AK39" s="1102"/>
    </row>
    <row r="40" spans="1:37" s="1119" customFormat="1" ht="20.100000000000001" customHeight="1" thickBot="1" x14ac:dyDescent="0.35">
      <c r="A40" s="1105"/>
      <c r="B40" s="1106" t="s">
        <v>1456</v>
      </c>
      <c r="C40" s="1107"/>
      <c r="D40" s="1108"/>
      <c r="E40" s="1109"/>
      <c r="F40" s="1109"/>
      <c r="G40" s="1109"/>
      <c r="H40" s="1109"/>
      <c r="I40" s="1109"/>
      <c r="J40" s="1109"/>
      <c r="K40" s="1109"/>
      <c r="L40" s="1109"/>
      <c r="M40" s="1109"/>
      <c r="N40" s="1110"/>
      <c r="O40" s="1111"/>
      <c r="P40" s="1111"/>
      <c r="Q40" s="1111"/>
      <c r="R40" s="1111"/>
      <c r="S40" s="1111"/>
      <c r="T40" s="1112"/>
      <c r="U40" s="1144">
        <f>SUM(U38:U39)</f>
        <v>16096.999173</v>
      </c>
      <c r="V40" s="1145">
        <f>SUM(V38:V39)</f>
        <v>0</v>
      </c>
      <c r="W40" s="1146">
        <f>U40-V40</f>
        <v>16096.999173</v>
      </c>
      <c r="X40" s="1079"/>
      <c r="Y40" s="1144">
        <f t="shared" ref="Y40:AF40" si="1">SUM(Y38:Y39)</f>
        <v>6208.9939709999999</v>
      </c>
      <c r="Z40" s="1145">
        <f t="shared" si="1"/>
        <v>0</v>
      </c>
      <c r="AA40" s="1145">
        <f t="shared" si="1"/>
        <v>0</v>
      </c>
      <c r="AB40" s="1147">
        <f t="shared" si="1"/>
        <v>9888.0052020000003</v>
      </c>
      <c r="AC40" s="1081">
        <f t="shared" si="1"/>
        <v>0</v>
      </c>
      <c r="AD40" s="1113">
        <f t="shared" si="1"/>
        <v>0</v>
      </c>
      <c r="AE40" s="1114">
        <f t="shared" si="1"/>
        <v>0</v>
      </c>
      <c r="AF40" s="1116">
        <f t="shared" si="1"/>
        <v>0</v>
      </c>
      <c r="AG40" s="1107"/>
      <c r="AH40" s="1117">
        <f>+AH38+AH39</f>
        <v>0</v>
      </c>
      <c r="AI40" s="1114">
        <f>+AI38+AI39</f>
        <v>0</v>
      </c>
      <c r="AJ40" s="1114">
        <f>+AJ38+AJ39</f>
        <v>0</v>
      </c>
      <c r="AK40" s="1118">
        <f>+AK38+AK39</f>
        <v>0</v>
      </c>
    </row>
    <row r="41" spans="1:37" s="333" customFormat="1" ht="15" customHeight="1" thickBot="1" x14ac:dyDescent="0.35">
      <c r="B41" s="1074"/>
      <c r="C41" s="1074"/>
      <c r="D41" s="1074"/>
      <c r="E41" s="1074"/>
      <c r="F41" s="1074"/>
      <c r="G41" s="1074"/>
      <c r="H41" s="1074"/>
      <c r="I41" s="1074"/>
      <c r="J41" s="1074"/>
      <c r="K41" s="1074"/>
      <c r="L41" s="1074"/>
      <c r="M41" s="1074"/>
      <c r="N41" s="1074"/>
      <c r="O41" s="1074"/>
      <c r="P41" s="1074"/>
      <c r="Q41" s="1074"/>
      <c r="R41" s="1074"/>
      <c r="S41" s="1074"/>
      <c r="T41" s="1074"/>
      <c r="U41" s="1148"/>
      <c r="V41" s="1148"/>
      <c r="W41" s="1149"/>
      <c r="X41" s="1079"/>
      <c r="Y41" s="1148"/>
      <c r="Z41" s="1148"/>
      <c r="AA41" s="1148"/>
      <c r="AB41" s="1149"/>
      <c r="AC41" s="1081"/>
      <c r="AD41" s="1149"/>
      <c r="AE41" s="1148"/>
      <c r="AF41" s="1148"/>
      <c r="AG41" s="1074"/>
      <c r="AH41" s="1150"/>
      <c r="AI41" s="1151"/>
      <c r="AJ41" s="1151"/>
      <c r="AK41" s="1152"/>
    </row>
    <row r="42" spans="1:37" s="1164" customFormat="1" ht="23.25" customHeight="1" thickBot="1" x14ac:dyDescent="0.35">
      <c r="A42" s="1995" t="s">
        <v>1460</v>
      </c>
      <c r="B42" s="1995"/>
      <c r="C42" s="1134"/>
      <c r="D42" s="1153"/>
      <c r="E42" s="1154"/>
      <c r="F42" s="1154"/>
      <c r="G42" s="1154"/>
      <c r="H42" s="1154"/>
      <c r="I42" s="1154"/>
      <c r="J42" s="1154"/>
      <c r="K42" s="1154"/>
      <c r="L42" s="1154"/>
      <c r="M42" s="1154"/>
      <c r="N42" s="1155"/>
      <c r="O42" s="1156"/>
      <c r="P42" s="1156"/>
      <c r="Q42" s="1156"/>
      <c r="R42" s="1156"/>
      <c r="S42" s="1156"/>
      <c r="T42" s="1134"/>
      <c r="U42" s="1157">
        <f>SUM(U40,U35,U30,U25,U21,U11,U16)</f>
        <v>31289.714262278387</v>
      </c>
      <c r="V42" s="1158">
        <f>SUM(V40,V35,V30,V25,V21,V11,V16)</f>
        <v>9704.4</v>
      </c>
      <c r="W42" s="1159">
        <f>SUM(W40,W35,W30,W25,W21,W11,W16)</f>
        <v>21585.314262278385</v>
      </c>
      <c r="X42" s="1079"/>
      <c r="Y42" s="1157">
        <f>SUM(Y40,Y35,Y30,Y25,Y21,Y11,Y16)</f>
        <v>5992.8641289999996</v>
      </c>
      <c r="Z42" s="1160">
        <f>SUM(Z40,Z35,Z30,Z25,Z21,Z11,Z16)</f>
        <v>-8814.6552980000015</v>
      </c>
      <c r="AA42" s="1160">
        <f>SUM(AA40,AA35,AA30,AA25,AA21,AA11,AA16)</f>
        <v>0</v>
      </c>
      <c r="AB42" s="1161">
        <f>SUM(AB40,AB35,AB30,AB25,AB21,AB11,AB16)</f>
        <v>24407.105431278389</v>
      </c>
      <c r="AC42" s="1081"/>
      <c r="AD42" s="1157">
        <f>SUM(AD40,AD35,AD30,AD25,AD21,AD11,AD16)</f>
        <v>-4049.1278269999998</v>
      </c>
      <c r="AE42" s="1160">
        <f>SUM(AE40,AE35,AE30,AE25,AE21,AE11,AE16)</f>
        <v>0</v>
      </c>
      <c r="AF42" s="1162">
        <f>SUM(AF40,AF35,AF30,AF25,AF21,AF11,AF16)</f>
        <v>-4047.3061539999999</v>
      </c>
      <c r="AG42" s="1134"/>
      <c r="AH42" s="1163">
        <f>+AH11+AH16+AH21+AH25+AH30+AH35+AH40</f>
        <v>51155.404975000005</v>
      </c>
      <c r="AI42" s="1163">
        <f>+AI11+AI16+AI21+AI25+AI30+AI35+AI40</f>
        <v>9613.8800360000005</v>
      </c>
      <c r="AJ42" s="1163">
        <f>+AJ11+AJ16+AJ21+AJ25+AJ30+AJ35+AJ40</f>
        <v>9627.7814039999994</v>
      </c>
      <c r="AK42" s="1163">
        <f>+AK11+AK16+AK21+AK25+AK30+AK35+AK40</f>
        <v>671.69498000000021</v>
      </c>
    </row>
    <row r="43" spans="1:37" s="333" customFormat="1" ht="14.4" x14ac:dyDescent="0.3">
      <c r="B43" s="1074"/>
      <c r="C43" s="1074"/>
      <c r="D43" s="1074"/>
      <c r="E43" s="1074"/>
      <c r="F43" s="1074"/>
      <c r="G43" s="1074"/>
      <c r="H43" s="1074"/>
      <c r="I43" s="1074"/>
      <c r="J43" s="1074"/>
      <c r="K43" s="1074"/>
      <c r="L43" s="1074"/>
      <c r="M43" s="1074"/>
      <c r="N43" s="1074"/>
      <c r="O43" s="1074"/>
      <c r="P43" s="1074"/>
      <c r="Q43" s="1074"/>
      <c r="R43" s="1074"/>
      <c r="S43" s="1074"/>
      <c r="T43" s="1075"/>
      <c r="U43" s="1056"/>
      <c r="V43" s="1056"/>
      <c r="W43" s="1056"/>
      <c r="X43" s="1056"/>
      <c r="Y43" s="1056"/>
      <c r="Z43" s="1056"/>
      <c r="AA43" s="1056"/>
      <c r="AB43" s="1056"/>
      <c r="AC43" s="1074"/>
      <c r="AD43" s="1074"/>
      <c r="AE43" s="1074"/>
      <c r="AF43" s="1074"/>
      <c r="AG43" s="1074"/>
    </row>
    <row r="44" spans="1:37" s="333" customFormat="1" ht="15" customHeight="1" x14ac:dyDescent="0.3">
      <c r="A44" s="1165"/>
      <c r="C44" s="1166"/>
      <c r="D44" s="1166"/>
      <c r="E44" s="1166"/>
      <c r="F44" s="1166"/>
      <c r="G44" s="1166"/>
      <c r="H44" s="1166"/>
      <c r="I44" s="1166"/>
      <c r="J44" s="1997" t="s">
        <v>2102</v>
      </c>
      <c r="K44" s="1997"/>
      <c r="L44" s="1997"/>
      <c r="M44" s="1997"/>
      <c r="N44" s="1997"/>
      <c r="O44" s="1167"/>
      <c r="P44" s="1167"/>
      <c r="Q44" s="1167"/>
      <c r="R44" s="1167"/>
      <c r="S44" s="1167"/>
      <c r="T44" s="1051"/>
      <c r="U44" s="1168">
        <f>U42-'Bilan-par flux'!U244</f>
        <v>-965.6341199999988</v>
      </c>
      <c r="V44" s="1168">
        <f>V42-'Bilan-par flux'!E244</f>
        <v>-14958.6</v>
      </c>
      <c r="W44" s="1166"/>
      <c r="X44" s="1166"/>
      <c r="Y44" s="1166"/>
      <c r="Z44" s="1169" t="s">
        <v>2103</v>
      </c>
      <c r="AA44" s="1169"/>
      <c r="AB44" s="1056"/>
      <c r="AC44" s="1170"/>
      <c r="AD44" s="1168">
        <f>AD42-'Passage P&amp;L-par nature'!AD128</f>
        <v>0</v>
      </c>
      <c r="AE44" s="1136"/>
      <c r="AF44" s="1171"/>
      <c r="AG44" s="1074"/>
    </row>
    <row r="45" spans="1:37" s="333" customFormat="1" ht="15" customHeight="1" x14ac:dyDescent="0.3">
      <c r="A45" s="1165"/>
      <c r="B45" s="1074"/>
      <c r="C45" s="1074"/>
      <c r="D45" s="1074"/>
      <c r="E45" s="1074"/>
      <c r="F45" s="1074"/>
      <c r="G45" s="1074"/>
      <c r="H45" s="1074"/>
      <c r="I45" s="1074"/>
      <c r="J45" s="1074"/>
      <c r="K45" s="1074"/>
      <c r="L45" s="1074"/>
      <c r="M45" s="1074"/>
      <c r="N45" s="1074"/>
      <c r="O45" s="1074"/>
      <c r="P45" s="1074"/>
      <c r="Q45" s="1074"/>
      <c r="R45" s="1074"/>
      <c r="S45" s="1074"/>
      <c r="T45" s="1075"/>
      <c r="U45" s="1171"/>
      <c r="V45" s="1171"/>
      <c r="W45" s="1074"/>
      <c r="X45" s="1172"/>
      <c r="Y45" s="1136"/>
      <c r="Z45" s="1169" t="s">
        <v>2104</v>
      </c>
      <c r="AA45" s="1173"/>
      <c r="AB45" s="1174">
        <f>AB42+'FND-Dettes Fi à LT '!AB33</f>
        <v>16035.015019729783</v>
      </c>
      <c r="AC45" s="1175"/>
      <c r="AD45" s="1074"/>
      <c r="AE45" s="1074"/>
      <c r="AF45" s="1074"/>
      <c r="AG45" s="1074"/>
    </row>
    <row r="46" spans="1:37" ht="15" customHeight="1" x14ac:dyDescent="0.25">
      <c r="B46" s="1059"/>
      <c r="C46" s="1059"/>
      <c r="D46" s="1061"/>
      <c r="W46" s="1061"/>
      <c r="X46" s="1061"/>
      <c r="Y46" s="1061"/>
      <c r="Z46" s="1061"/>
      <c r="AA46" s="1061"/>
      <c r="AB46" s="1176"/>
      <c r="AC46" s="1061"/>
      <c r="AD46" s="1177"/>
      <c r="AE46" s="1061"/>
      <c r="AF46" s="1061"/>
      <c r="AG46" s="1059"/>
    </row>
    <row r="47" spans="1:37" ht="15" customHeight="1" x14ac:dyDescent="0.3">
      <c r="B47" s="1059"/>
      <c r="C47" s="1059"/>
      <c r="D47" s="1061"/>
      <c r="X47" s="1178"/>
      <c r="Y47" s="1059"/>
      <c r="Z47" s="1059"/>
      <c r="AA47" s="1059"/>
      <c r="AB47" s="1061"/>
      <c r="AC47" s="1059"/>
      <c r="AD47" s="1177"/>
      <c r="AE47" s="1059"/>
      <c r="AF47" s="1059"/>
      <c r="AG47" s="1059"/>
    </row>
    <row r="48" spans="1:37" x14ac:dyDescent="0.3">
      <c r="B48" s="1059"/>
      <c r="C48" s="1059"/>
      <c r="D48" s="1059"/>
      <c r="X48" s="1178"/>
      <c r="Y48" s="1059"/>
      <c r="Z48" s="1059"/>
      <c r="AA48" s="1059"/>
      <c r="AB48" s="1061"/>
      <c r="AC48" s="1059"/>
      <c r="AD48" s="1059"/>
      <c r="AE48" s="1059"/>
      <c r="AF48" s="1059"/>
      <c r="AG48" s="1059"/>
    </row>
    <row r="49" spans="2:33" x14ac:dyDescent="0.3">
      <c r="B49" s="1059"/>
      <c r="C49" s="1059"/>
      <c r="D49" s="1059"/>
      <c r="X49" s="1178"/>
      <c r="Y49" s="1059"/>
      <c r="Z49" s="1059"/>
      <c r="AA49" s="1059"/>
      <c r="AB49" s="1061"/>
      <c r="AC49" s="1059"/>
      <c r="AD49" s="1059"/>
      <c r="AE49" s="1059"/>
      <c r="AF49" s="1059"/>
      <c r="AG49" s="1059"/>
    </row>
    <row r="50" spans="2:33" x14ac:dyDescent="0.3">
      <c r="B50" s="1059"/>
      <c r="C50" s="1059"/>
      <c r="D50" s="1059"/>
      <c r="X50" s="1178"/>
      <c r="Y50" s="1059"/>
      <c r="Z50" s="1059"/>
      <c r="AA50" s="1059"/>
      <c r="AB50" s="1061"/>
      <c r="AC50" s="1059"/>
      <c r="AD50" s="1059"/>
      <c r="AE50" s="1059"/>
      <c r="AF50" s="1059"/>
      <c r="AG50" s="1059"/>
    </row>
    <row r="51" spans="2:33" x14ac:dyDescent="0.3">
      <c r="AB51" s="1179"/>
    </row>
  </sheetData>
  <sheetProtection formatCells="0" formatColumns="0" formatRows="0" insertColumns="0" insertRows="0"/>
  <mergeCells count="6">
    <mergeCell ref="J44:N44"/>
    <mergeCell ref="A2:G2"/>
    <mergeCell ref="B3:G3"/>
    <mergeCell ref="AH5:AK5"/>
    <mergeCell ref="A37:B37"/>
    <mergeCell ref="A42:B42"/>
  </mergeCells>
  <dataValidations count="2">
    <dataValidation type="list" allowBlank="1" showInputMessage="1" showErrorMessage="1" sqref="I8:I10 I14:I15 I19:I20 I24 I28:I29 I33:I34 I38:I39" xr:uid="{00000000-0002-0000-1500-000000000000}">
      <formula1>"Oui,Non"</formula1>
    </dataValidation>
    <dataValidation type="list" allowBlank="1" showInputMessage="1" showErrorMessage="1" sqref="J9:L10 J14:L15 J19:L20 J24:L24 J28:L29 J33:L34 J38:L39 J8 J13" xr:uid="{00000000-0002-0000-1500-000001000000}">
      <formula1>"Batiments, Terrains, Equipements, Véhicules de transport, Immobilisations, Stock, Autres"</formula1>
    </dataValidation>
  </dataValidations>
  <hyperlinks>
    <hyperlink ref="A1" location="Sommaire!F33" display="Sommaire" xr:uid="{00000000-0004-0000-1500-000000000000}"/>
  </hyperlinks>
  <printOptions horizontalCentered="1"/>
  <pageMargins left="0.26" right="0.2" top="0.59055118110236227" bottom="0.59055118110236227" header="0.11811023622047245" footer="0.11811023622047245"/>
  <pageSetup paperSize="9" scale="29" orientation="landscape" r:id="rId1"/>
  <headerFooter alignWithMargins="0">
    <oddFooter>&amp;L&amp;8&amp;Z&amp;F&amp;A&amp;C&amp;8&amp;P/&amp;N&amp;R&amp;8LT DEBT Maroc Telecom</oddFooter>
  </headerFooter>
  <legacy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CCFF"/>
  </sheetPr>
  <dimension ref="A1:J18"/>
  <sheetViews>
    <sheetView showGridLines="0" topLeftCell="B1" zoomScaleNormal="100" zoomScaleSheetLayoutView="80" workbookViewId="0">
      <selection activeCell="D8" sqref="D8"/>
    </sheetView>
  </sheetViews>
  <sheetFormatPr baseColWidth="10" defaultColWidth="11.44140625" defaultRowHeight="14.4" x14ac:dyDescent="0.3"/>
  <cols>
    <col min="1" max="1" width="16.44140625" style="1401" bestFit="1" customWidth="1"/>
    <col min="2" max="2" width="70.5546875" style="1401" customWidth="1"/>
    <col min="3" max="3" width="3.33203125" style="1401" customWidth="1"/>
    <col min="4" max="4" width="17" style="1401" customWidth="1"/>
    <col min="5" max="5" width="4.6640625" style="1401" customWidth="1"/>
    <col min="6" max="6" width="14" style="1401" customWidth="1"/>
    <col min="7" max="7" width="4.88671875" style="1401" customWidth="1"/>
    <col min="8" max="8" width="7.5546875" style="1402" bestFit="1" customWidth="1"/>
    <col min="9" max="16384" width="11.44140625" style="1401"/>
  </cols>
  <sheetData>
    <row r="1" spans="1:10" x14ac:dyDescent="0.3">
      <c r="A1" s="1400" t="s">
        <v>75</v>
      </c>
    </row>
    <row r="2" spans="1:10" ht="21" customHeight="1" x14ac:dyDescent="0.3">
      <c r="A2" s="1403" t="s">
        <v>2331</v>
      </c>
      <c r="B2" s="2000" t="s">
        <v>2332</v>
      </c>
      <c r="C2" s="2000"/>
      <c r="D2" s="2000"/>
      <c r="E2" s="2000"/>
      <c r="F2" s="2000"/>
      <c r="G2" s="2000"/>
      <c r="I2" s="2001"/>
      <c r="J2" s="2001"/>
    </row>
    <row r="3" spans="1:10" ht="21" customHeight="1" x14ac:dyDescent="0.3">
      <c r="A3" s="1403" t="s">
        <v>1973</v>
      </c>
      <c r="B3" s="2002">
        <v>44742</v>
      </c>
      <c r="C3" s="2002"/>
      <c r="D3" s="2002"/>
      <c r="E3" s="2002"/>
      <c r="F3" s="2002"/>
      <c r="G3" s="2002"/>
      <c r="I3" s="2003"/>
      <c r="J3" s="2003"/>
    </row>
    <row r="5" spans="1:10" x14ac:dyDescent="0.3">
      <c r="B5" s="2"/>
      <c r="C5" s="467"/>
      <c r="D5" s="1404" t="s">
        <v>2333</v>
      </c>
      <c r="E5" s="1402"/>
      <c r="F5" s="1404" t="s">
        <v>2334</v>
      </c>
      <c r="G5" s="1402"/>
      <c r="H5" s="1404" t="s">
        <v>2317</v>
      </c>
      <c r="I5" s="1404" t="s">
        <v>2334</v>
      </c>
    </row>
    <row r="6" spans="1:10" x14ac:dyDescent="0.3">
      <c r="B6" s="467"/>
      <c r="C6" s="467"/>
      <c r="D6" s="1405"/>
      <c r="E6" s="1406"/>
      <c r="F6" s="1405"/>
      <c r="G6" s="1406"/>
      <c r="H6" s="1405"/>
      <c r="I6" s="1405"/>
    </row>
    <row r="7" spans="1:10" x14ac:dyDescent="0.3">
      <c r="B7" s="1186" t="s">
        <v>2106</v>
      </c>
      <c r="C7" s="1187"/>
      <c r="D7" s="1407">
        <v>541</v>
      </c>
      <c r="E7" s="1408"/>
      <c r="F7" s="1407">
        <f>+D7</f>
        <v>541</v>
      </c>
      <c r="G7" s="1408"/>
      <c r="H7" s="1409" t="s">
        <v>2335</v>
      </c>
      <c r="I7" s="1407">
        <v>541</v>
      </c>
    </row>
    <row r="8" spans="1:10" x14ac:dyDescent="0.3">
      <c r="B8" s="837" t="s">
        <v>2107</v>
      </c>
      <c r="C8" s="837"/>
      <c r="D8" s="1410">
        <f>69210837/10^6</f>
        <v>69.210836999999998</v>
      </c>
      <c r="E8" s="1408"/>
      <c r="F8" s="1410">
        <f>+D8*0.75</f>
        <v>51.908127749999998</v>
      </c>
      <c r="G8" s="1408"/>
      <c r="H8" s="1411" t="s">
        <v>2336</v>
      </c>
      <c r="I8" s="1410">
        <v>51.908127749999998</v>
      </c>
    </row>
    <row r="9" spans="1:10" x14ac:dyDescent="0.3">
      <c r="B9" s="837" t="s">
        <v>2108</v>
      </c>
      <c r="C9" s="837"/>
      <c r="D9" s="1410"/>
      <c r="E9" s="1408"/>
      <c r="F9" s="1410">
        <f>+D9*0.5</f>
        <v>0</v>
      </c>
      <c r="G9" s="1408"/>
      <c r="H9" s="1411" t="s">
        <v>2337</v>
      </c>
      <c r="I9" s="1410">
        <v>0</v>
      </c>
    </row>
    <row r="10" spans="1:10" x14ac:dyDescent="0.3">
      <c r="B10" s="1191" t="s">
        <v>2109</v>
      </c>
      <c r="C10" s="1192"/>
      <c r="D10" s="1407">
        <f>+D8+D9</f>
        <v>69.210836999999998</v>
      </c>
      <c r="E10" s="1408"/>
      <c r="F10" s="1407">
        <f>+F8+F9</f>
        <v>51.908127749999998</v>
      </c>
      <c r="G10" s="1408"/>
      <c r="H10" s="1407"/>
      <c r="I10" s="1407">
        <v>34.605418499999999</v>
      </c>
    </row>
    <row r="11" spans="1:10" x14ac:dyDescent="0.3">
      <c r="B11" s="837" t="s">
        <v>2110</v>
      </c>
      <c r="C11" s="837"/>
      <c r="D11" s="1410">
        <f>32460677/10^6</f>
        <v>32.460676999999997</v>
      </c>
      <c r="E11" s="1408"/>
      <c r="F11" s="1410">
        <f>+D11*0.75</f>
        <v>24.345507749999996</v>
      </c>
      <c r="G11" s="1408"/>
      <c r="H11" s="1411" t="s">
        <v>2338</v>
      </c>
      <c r="I11" s="1410">
        <v>24.345507749999996</v>
      </c>
    </row>
    <row r="12" spans="1:10" x14ac:dyDescent="0.3">
      <c r="B12" s="1191" t="s">
        <v>2111</v>
      </c>
      <c r="C12" s="1192"/>
      <c r="D12" s="1407">
        <f>+D10+D11</f>
        <v>101.671514</v>
      </c>
      <c r="E12" s="1408"/>
      <c r="F12" s="1407">
        <f>+F10+F11</f>
        <v>76.253635500000001</v>
      </c>
      <c r="G12" s="1408"/>
      <c r="H12" s="1407"/>
      <c r="I12" s="1407">
        <v>50.835757000000001</v>
      </c>
    </row>
    <row r="13" spans="1:10" x14ac:dyDescent="0.3">
      <c r="B13" s="837" t="s">
        <v>2112</v>
      </c>
      <c r="C13" s="837"/>
      <c r="D13" s="1410"/>
      <c r="E13" s="1408"/>
      <c r="F13" s="1410">
        <f>D13*0.5</f>
        <v>0</v>
      </c>
      <c r="G13" s="1408"/>
      <c r="H13" s="1411" t="s">
        <v>2339</v>
      </c>
      <c r="I13" s="1410">
        <v>0</v>
      </c>
    </row>
    <row r="14" spans="1:10" x14ac:dyDescent="0.3">
      <c r="B14" s="1191" t="s">
        <v>2113</v>
      </c>
      <c r="C14" s="1192"/>
      <c r="D14" s="1407">
        <f>+D13</f>
        <v>0</v>
      </c>
      <c r="E14" s="1408"/>
      <c r="F14" s="1407">
        <f>+F13</f>
        <v>0</v>
      </c>
      <c r="G14" s="1408"/>
      <c r="H14" s="1407"/>
      <c r="I14" s="1407">
        <v>0</v>
      </c>
    </row>
    <row r="15" spans="1:10" x14ac:dyDescent="0.3">
      <c r="B15" s="1191" t="s">
        <v>2114</v>
      </c>
      <c r="C15" s="1192"/>
      <c r="D15" s="1407">
        <f>+D7+D12+D14</f>
        <v>642.671514</v>
      </c>
      <c r="E15" s="1408"/>
      <c r="F15" s="1407">
        <f>+F7+F12+F14</f>
        <v>617.25363549999997</v>
      </c>
      <c r="G15" s="1408"/>
      <c r="H15" s="1407"/>
      <c r="I15" s="1407">
        <v>591.83575700000006</v>
      </c>
    </row>
    <row r="17" spans="8:8" x14ac:dyDescent="0.3">
      <c r="H17" s="1407"/>
    </row>
    <row r="18" spans="8:8" x14ac:dyDescent="0.3">
      <c r="H18" s="1412"/>
    </row>
  </sheetData>
  <mergeCells count="4">
    <mergeCell ref="B2:G2"/>
    <mergeCell ref="I2:J2"/>
    <mergeCell ref="B3:G3"/>
    <mergeCell ref="I3:J3"/>
  </mergeCells>
  <hyperlinks>
    <hyperlink ref="A1" location="Sommaire!A1" display="Sommaire" xr:uid="{00000000-0004-0000-1600-000000000000}"/>
  </hyperlinks>
  <pageMargins left="0.7" right="0.7" top="0.75" bottom="0.75" header="0.3" footer="0.3"/>
  <pageSetup paperSize="9" scale="4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CCFF"/>
  </sheetPr>
  <dimension ref="A1:J33"/>
  <sheetViews>
    <sheetView view="pageBreakPreview" topLeftCell="A7" zoomScale="80" zoomScaleNormal="100" zoomScaleSheetLayoutView="80" workbookViewId="0">
      <selection activeCell="D23" sqref="D23"/>
    </sheetView>
  </sheetViews>
  <sheetFormatPr baseColWidth="10" defaultColWidth="11.44140625" defaultRowHeight="14.4" x14ac:dyDescent="0.3"/>
  <cols>
    <col min="1" max="1" width="14.44140625" style="467" bestFit="1" customWidth="1"/>
    <col min="2" max="2" width="87" style="467" bestFit="1" customWidth="1"/>
    <col min="3" max="3" width="3.44140625" style="467" customWidth="1"/>
    <col min="4" max="4" width="15" style="467" customWidth="1"/>
    <col min="5" max="5" width="9.44140625" style="2" bestFit="1" customWidth="1"/>
    <col min="6" max="6" width="8.44140625" style="2" bestFit="1" customWidth="1"/>
    <col min="7" max="7" width="9.44140625" style="2" bestFit="1" customWidth="1"/>
    <col min="8" max="8" width="16.44140625" style="467" bestFit="1" customWidth="1"/>
    <col min="9" max="9" width="11.44140625" style="1518"/>
    <col min="10" max="16384" width="11.44140625" style="467"/>
  </cols>
  <sheetData>
    <row r="1" spans="1:10" x14ac:dyDescent="0.3">
      <c r="A1" s="1180" t="s">
        <v>75</v>
      </c>
    </row>
    <row r="2" spans="1:10" ht="18" x14ac:dyDescent="0.3">
      <c r="A2" s="2004" t="s">
        <v>2105</v>
      </c>
      <c r="B2" s="2005"/>
      <c r="C2" s="2005"/>
      <c r="D2" s="2005"/>
      <c r="E2" s="2005"/>
      <c r="F2" s="2005"/>
      <c r="G2" s="2005"/>
      <c r="H2" s="2005"/>
      <c r="I2" s="2005"/>
      <c r="J2" s="2005"/>
    </row>
    <row r="3" spans="1:10" ht="15.6" x14ac:dyDescent="0.3">
      <c r="A3" s="1181" t="s">
        <v>1973</v>
      </c>
      <c r="B3" s="2006">
        <f>+Cover!Y18</f>
        <v>44926</v>
      </c>
      <c r="C3" s="2006"/>
      <c r="D3" s="2006"/>
      <c r="E3" s="2006"/>
      <c r="F3" s="2006"/>
      <c r="G3" s="2006"/>
      <c r="H3" s="2006"/>
      <c r="I3" s="2006"/>
      <c r="J3" s="2006"/>
    </row>
    <row r="4" spans="1:10" x14ac:dyDescent="0.3">
      <c r="A4" s="1182"/>
      <c r="B4" s="1183"/>
      <c r="C4" s="1183"/>
      <c r="D4" s="1183"/>
      <c r="E4" s="1738"/>
      <c r="F4" s="1738"/>
      <c r="G4" s="1738"/>
      <c r="H4" s="1183"/>
      <c r="I4" s="1519"/>
      <c r="J4" s="1183"/>
    </row>
    <row r="5" spans="1:10" x14ac:dyDescent="0.3">
      <c r="B5" s="2"/>
      <c r="D5" s="1184" t="s">
        <v>2550</v>
      </c>
      <c r="E5" s="1739"/>
      <c r="F5" s="1739"/>
      <c r="G5" s="1739"/>
      <c r="I5" s="1519"/>
    </row>
    <row r="6" spans="1:10" x14ac:dyDescent="0.3">
      <c r="D6" s="1185"/>
      <c r="E6" s="1740"/>
      <c r="F6" s="1740"/>
      <c r="G6" s="1740"/>
      <c r="I6" s="1519"/>
    </row>
    <row r="7" spans="1:10" x14ac:dyDescent="0.3">
      <c r="B7" s="1186" t="s">
        <v>2106</v>
      </c>
      <c r="C7" s="1187"/>
      <c r="D7" s="1188">
        <v>593.79999999999995</v>
      </c>
      <c r="E7" s="1518">
        <v>566.5</v>
      </c>
      <c r="F7" s="1518">
        <v>27.3</v>
      </c>
      <c r="G7" s="1518">
        <f>+E7+F7</f>
        <v>593.79999999999995</v>
      </c>
      <c r="H7" s="467">
        <f>-('BG '!G25+'BG '!G26)/1000000</f>
        <v>636.42931399999998</v>
      </c>
      <c r="I7" s="1519">
        <f>D7-H7</f>
        <v>-42.629314000000022</v>
      </c>
      <c r="J7" s="467">
        <v>566.5</v>
      </c>
    </row>
    <row r="8" spans="1:10" x14ac:dyDescent="0.3">
      <c r="B8" s="1189" t="s">
        <v>2107</v>
      </c>
      <c r="C8" s="837"/>
      <c r="D8" s="1410">
        <v>72.599999999999994</v>
      </c>
      <c r="E8" s="1749">
        <v>68.599999999999994</v>
      </c>
      <c r="F8" s="1749">
        <v>4</v>
      </c>
      <c r="G8" s="1518">
        <f t="shared" ref="G8:G13" si="0">+E8+F8</f>
        <v>72.599999999999994</v>
      </c>
      <c r="I8" s="1519"/>
    </row>
    <row r="9" spans="1:10" x14ac:dyDescent="0.3">
      <c r="B9" s="1189" t="s">
        <v>2108</v>
      </c>
      <c r="C9" s="837"/>
      <c r="D9" s="1190">
        <v>0</v>
      </c>
      <c r="E9" s="1742"/>
      <c r="F9" s="1742"/>
      <c r="G9" s="1518">
        <f t="shared" si="0"/>
        <v>0</v>
      </c>
      <c r="I9" s="1519"/>
    </row>
    <row r="10" spans="1:10" x14ac:dyDescent="0.3">
      <c r="B10" s="1191" t="s">
        <v>2109</v>
      </c>
      <c r="C10" s="1192"/>
      <c r="D10" s="1193">
        <f>SUM(D8:D9)</f>
        <v>72.599999999999994</v>
      </c>
      <c r="E10" s="1743"/>
      <c r="F10" s="1743"/>
      <c r="G10" s="1518">
        <f t="shared" si="0"/>
        <v>0</v>
      </c>
      <c r="I10" s="1519"/>
    </row>
    <row r="11" spans="1:10" x14ac:dyDescent="0.3">
      <c r="B11" s="1189" t="s">
        <v>2110</v>
      </c>
      <c r="C11" s="837"/>
      <c r="D11" s="1410">
        <v>38.599999999999994</v>
      </c>
      <c r="E11" s="1749">
        <v>36.799999999999997</v>
      </c>
      <c r="F11" s="1749">
        <v>1.8</v>
      </c>
      <c r="G11" s="1518">
        <f t="shared" si="0"/>
        <v>38.599999999999994</v>
      </c>
      <c r="I11" s="1519"/>
    </row>
    <row r="12" spans="1:10" x14ac:dyDescent="0.3">
      <c r="B12" s="1191" t="s">
        <v>2111</v>
      </c>
      <c r="C12" s="1192"/>
      <c r="D12" s="1193">
        <f>+D11+D10</f>
        <v>111.19999999999999</v>
      </c>
      <c r="E12" s="1743">
        <f>+E11+E8</f>
        <v>105.39999999999999</v>
      </c>
      <c r="F12" s="1743">
        <f>+F11+F8</f>
        <v>5.8</v>
      </c>
      <c r="G12" s="1518">
        <f t="shared" si="0"/>
        <v>111.19999999999999</v>
      </c>
      <c r="I12" s="1519"/>
    </row>
    <row r="13" spans="1:10" x14ac:dyDescent="0.3">
      <c r="B13" s="1189" t="s">
        <v>2112</v>
      </c>
      <c r="C13" s="837"/>
      <c r="D13" s="1190">
        <v>-110.2</v>
      </c>
      <c r="E13" s="1742">
        <v>-105.7</v>
      </c>
      <c r="F13" s="1742">
        <v>-4.5</v>
      </c>
      <c r="G13" s="1518">
        <f t="shared" si="0"/>
        <v>-110.2</v>
      </c>
      <c r="I13" s="1519"/>
    </row>
    <row r="14" spans="1:10" x14ac:dyDescent="0.3">
      <c r="B14" s="1191" t="s">
        <v>2113</v>
      </c>
      <c r="C14" s="1192"/>
      <c r="D14" s="1193">
        <v>0</v>
      </c>
      <c r="E14" s="1743"/>
      <c r="F14" s="1743"/>
      <c r="G14" s="1743"/>
      <c r="I14" s="1519"/>
    </row>
    <row r="15" spans="1:10" x14ac:dyDescent="0.3">
      <c r="B15" s="1191" t="s">
        <v>2114</v>
      </c>
      <c r="C15" s="1192"/>
      <c r="D15" s="1598">
        <f>+D12+D7</f>
        <v>705</v>
      </c>
      <c r="E15" s="1193">
        <f>+E12+E7</f>
        <v>671.9</v>
      </c>
      <c r="F15" s="1193">
        <f>+F12+F7</f>
        <v>33.1</v>
      </c>
      <c r="G15" s="1193">
        <f>+G12+G7</f>
        <v>705</v>
      </c>
      <c r="I15" s="1519"/>
    </row>
    <row r="16" spans="1:10" x14ac:dyDescent="0.3">
      <c r="I16" s="1519"/>
    </row>
    <row r="17" spans="1:10" x14ac:dyDescent="0.3">
      <c r="B17" s="467" t="s">
        <v>2555</v>
      </c>
      <c r="D17" s="1517">
        <f>SUM('BG '!G25:G26)/1000000</f>
        <v>-636.42931399999998</v>
      </c>
      <c r="E17" s="637"/>
      <c r="F17" s="637"/>
      <c r="G17" s="637"/>
      <c r="H17" s="1517">
        <f>+D7</f>
        <v>593.79999999999995</v>
      </c>
    </row>
    <row r="18" spans="1:10" x14ac:dyDescent="0.3">
      <c r="A18" s="1400"/>
      <c r="B18" s="1401" t="s">
        <v>2556</v>
      </c>
      <c r="C18" s="1401"/>
      <c r="D18" s="1517">
        <f>SUM('BG '!H25:H26)/1000000</f>
        <v>69.932046999999997</v>
      </c>
      <c r="E18" s="637"/>
      <c r="F18" s="637"/>
      <c r="G18" s="637"/>
      <c r="H18" s="1645">
        <f>+D10</f>
        <v>72.599999999999994</v>
      </c>
      <c r="I18" s="2007"/>
      <c r="J18" s="1401"/>
    </row>
    <row r="19" spans="1:10" ht="18" x14ac:dyDescent="0.3">
      <c r="A19" s="1403"/>
      <c r="B19" s="1679" t="s">
        <v>2557</v>
      </c>
      <c r="C19" s="1679"/>
      <c r="D19" s="1517">
        <f>SUM('BG '!I26)/1000000</f>
        <v>-138.37507299999999</v>
      </c>
      <c r="E19" s="637"/>
      <c r="F19" s="637"/>
      <c r="G19" s="637"/>
      <c r="H19" s="1679"/>
      <c r="I19" s="2007"/>
      <c r="J19" s="1679"/>
    </row>
    <row r="20" spans="1:10" ht="18" x14ac:dyDescent="0.3">
      <c r="A20" s="1403"/>
      <c r="B20" s="467" t="s">
        <v>2555</v>
      </c>
      <c r="C20" s="1678"/>
      <c r="D20" s="1517">
        <f>SUM('BG '!K25:K26)/1000000</f>
        <v>-704.87234000000001</v>
      </c>
      <c r="E20" s="637"/>
      <c r="F20" s="637"/>
      <c r="G20" s="637"/>
      <c r="H20" s="1680">
        <f>+D15</f>
        <v>705</v>
      </c>
      <c r="I20" s="1678"/>
      <c r="J20" s="1678"/>
    </row>
    <row r="21" spans="1:10" x14ac:dyDescent="0.3">
      <c r="A21" s="1401"/>
      <c r="B21" s="1401"/>
      <c r="C21" s="1401"/>
      <c r="D21" s="1401"/>
      <c r="E21" s="1744"/>
      <c r="F21" s="1744"/>
      <c r="G21" s="1744"/>
      <c r="H21" s="1401"/>
      <c r="I21" s="1401"/>
      <c r="J21" s="1401"/>
    </row>
    <row r="22" spans="1:10" x14ac:dyDescent="0.3">
      <c r="A22" s="1401"/>
      <c r="B22" s="2"/>
      <c r="D22" s="1887"/>
      <c r="E22" s="1745"/>
      <c r="F22" s="1745"/>
      <c r="G22" s="1745"/>
      <c r="H22" s="1402"/>
      <c r="I22" s="1404"/>
      <c r="J22" s="1402"/>
    </row>
    <row r="23" spans="1:10" x14ac:dyDescent="0.3">
      <c r="A23" s="1401"/>
      <c r="D23" s="1888">
        <f>+'Passage Passif BC '!BG56</f>
        <v>613.49169521023896</v>
      </c>
      <c r="E23" s="1746"/>
      <c r="F23" s="1746"/>
      <c r="G23" s="1746"/>
      <c r="H23" s="1713"/>
      <c r="I23" s="1405"/>
      <c r="J23" s="1406"/>
    </row>
    <row r="24" spans="1:10" x14ac:dyDescent="0.3">
      <c r="A24" s="1401"/>
      <c r="B24" s="1186"/>
      <c r="C24" s="1187"/>
      <c r="D24" s="1889"/>
      <c r="E24" s="1747"/>
      <c r="F24" s="1747"/>
      <c r="G24" s="1747"/>
      <c r="H24" s="1713"/>
      <c r="I24" s="1407"/>
      <c r="J24" s="1408"/>
    </row>
    <row r="25" spans="1:10" x14ac:dyDescent="0.3">
      <c r="A25" s="1401"/>
      <c r="B25" s="837"/>
      <c r="C25" s="837"/>
      <c r="D25" s="1410">
        <f>+D15-D23</f>
        <v>91.508304789761041</v>
      </c>
      <c r="E25" s="1741"/>
      <c r="F25" s="1741"/>
      <c r="G25" s="1741"/>
      <c r="H25" s="1408">
        <v>10.175049579521801</v>
      </c>
      <c r="I25" s="1410"/>
      <c r="J25" s="1408"/>
    </row>
    <row r="26" spans="1:10" x14ac:dyDescent="0.3">
      <c r="A26" s="1401"/>
      <c r="B26" s="837"/>
      <c r="C26" s="837"/>
      <c r="D26" s="1410"/>
      <c r="E26" s="1741"/>
      <c r="F26" s="1741"/>
      <c r="G26" s="1741"/>
      <c r="H26" s="1713"/>
      <c r="I26" s="1410"/>
      <c r="J26" s="1408"/>
    </row>
    <row r="27" spans="1:10" x14ac:dyDescent="0.3">
      <c r="A27" s="1401"/>
      <c r="B27" s="1191"/>
      <c r="C27" s="1192"/>
      <c r="D27" s="1407"/>
      <c r="E27" s="1748"/>
      <c r="F27" s="1748"/>
      <c r="G27" s="1748"/>
      <c r="H27" s="1407"/>
      <c r="I27" s="1407"/>
      <c r="J27" s="1408"/>
    </row>
    <row r="28" spans="1:10" x14ac:dyDescent="0.3">
      <c r="A28" s="1401"/>
      <c r="B28" s="837"/>
      <c r="C28" s="837"/>
      <c r="D28" s="1410"/>
      <c r="E28" s="1741"/>
      <c r="F28" s="1741"/>
      <c r="G28" s="1741"/>
      <c r="H28" s="1408"/>
      <c r="I28" s="1410"/>
      <c r="J28" s="1408"/>
    </row>
    <row r="29" spans="1:10" x14ac:dyDescent="0.3">
      <c r="A29" s="1401"/>
      <c r="B29" s="1191"/>
      <c r="C29" s="1192"/>
      <c r="D29" s="1407"/>
      <c r="E29" s="1748"/>
      <c r="F29" s="1748"/>
      <c r="G29" s="1748"/>
      <c r="H29" s="1408"/>
      <c r="I29" s="1407"/>
      <c r="J29" s="1408"/>
    </row>
    <row r="30" spans="1:10" x14ac:dyDescent="0.3">
      <c r="A30" s="1401"/>
      <c r="B30" s="837"/>
      <c r="C30" s="837"/>
      <c r="D30" s="1410"/>
      <c r="E30" s="1741"/>
      <c r="F30" s="1741"/>
      <c r="G30" s="1741"/>
      <c r="H30" s="1408"/>
      <c r="I30" s="1410"/>
      <c r="J30" s="1408"/>
    </row>
    <row r="31" spans="1:10" x14ac:dyDescent="0.3">
      <c r="A31" s="1401"/>
      <c r="B31" s="1191"/>
      <c r="C31" s="1192"/>
      <c r="D31" s="1407"/>
      <c r="E31" s="1748"/>
      <c r="F31" s="1748"/>
      <c r="G31" s="1748"/>
      <c r="H31" s="1408"/>
      <c r="I31" s="1407"/>
      <c r="J31" s="1408"/>
    </row>
    <row r="32" spans="1:10" x14ac:dyDescent="0.3">
      <c r="A32" s="1401"/>
      <c r="B32" s="1191"/>
      <c r="C32" s="1192"/>
      <c r="D32" s="1407"/>
      <c r="E32" s="1748"/>
      <c r="F32" s="1748"/>
      <c r="G32" s="1748"/>
      <c r="H32" s="1408"/>
      <c r="I32" s="1407"/>
      <c r="J32" s="1408"/>
    </row>
    <row r="33" spans="1:10" x14ac:dyDescent="0.3">
      <c r="A33" s="1401"/>
      <c r="B33" s="1401"/>
      <c r="C33" s="1401"/>
      <c r="D33" s="1401"/>
      <c r="E33" s="1744"/>
      <c r="F33" s="1744"/>
      <c r="G33" s="1744"/>
      <c r="H33" s="1401"/>
      <c r="I33" s="1645"/>
      <c r="J33" s="1401"/>
    </row>
  </sheetData>
  <mergeCells count="3">
    <mergeCell ref="A2:J2"/>
    <mergeCell ref="B3:J3"/>
    <mergeCell ref="I18:I19"/>
  </mergeCells>
  <hyperlinks>
    <hyperlink ref="A1" location="Sommaire!F43" display="Sommaire" xr:uid="{00000000-0004-0000-1700-000000000000}"/>
  </hyperlinks>
  <pageMargins left="0.7" right="0.7" top="0.75" bottom="0.75" header="0.3" footer="0.3"/>
  <pageSetup paperSize="9" scale="5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AJ37"/>
  <sheetViews>
    <sheetView topLeftCell="AC7" workbookViewId="0">
      <selection activeCell="D23" sqref="D23"/>
    </sheetView>
  </sheetViews>
  <sheetFormatPr baseColWidth="10" defaultRowHeight="14.4" x14ac:dyDescent="0.3"/>
  <cols>
    <col min="1" max="1" width="36.44140625" customWidth="1"/>
    <col min="2" max="2" width="17.44140625" style="75" bestFit="1" customWidth="1"/>
    <col min="3" max="3" width="14.88671875" bestFit="1" customWidth="1"/>
    <col min="6" max="6" width="32.44140625" bestFit="1" customWidth="1"/>
    <col min="7" max="7" width="17.88671875" style="75" bestFit="1" customWidth="1"/>
    <col min="8" max="8" width="15.109375" bestFit="1" customWidth="1"/>
    <col min="9" max="9" width="16.44140625" bestFit="1" customWidth="1"/>
    <col min="10" max="10" width="14.88671875" bestFit="1" customWidth="1"/>
    <col min="12" max="12" width="30.5546875" bestFit="1" customWidth="1"/>
    <col min="13" max="13" width="16" style="75" bestFit="1" customWidth="1"/>
    <col min="14" max="14" width="14.88671875" bestFit="1" customWidth="1"/>
    <col min="16" max="16" width="30.5546875" bestFit="1" customWidth="1"/>
    <col min="17" max="17" width="17.44140625" style="98" bestFit="1" customWidth="1"/>
    <col min="18" max="18" width="14.88671875" bestFit="1" customWidth="1"/>
    <col min="20" max="20" width="32.44140625" bestFit="1" customWidth="1"/>
    <col min="24" max="24" width="33.44140625" bestFit="1" customWidth="1"/>
    <col min="25" max="26" width="17.5546875" bestFit="1" customWidth="1"/>
    <col min="28" max="28" width="33.44140625" bestFit="1" customWidth="1"/>
    <col min="32" max="32" width="33.33203125" bestFit="1" customWidth="1"/>
    <col min="33" max="34" width="17.6640625" bestFit="1" customWidth="1"/>
    <col min="35" max="36" width="31" bestFit="1" customWidth="1"/>
  </cols>
  <sheetData>
    <row r="2" spans="1:36" ht="15" thickBot="1" x14ac:dyDescent="0.35">
      <c r="A2" s="1194" t="s">
        <v>2115</v>
      </c>
      <c r="B2" s="1195" t="s">
        <v>2116</v>
      </c>
      <c r="I2" t="s">
        <v>2117</v>
      </c>
      <c r="K2" t="s">
        <v>2118</v>
      </c>
      <c r="Y2" s="1219">
        <v>44075</v>
      </c>
      <c r="AE2">
        <v>603200</v>
      </c>
      <c r="AF2" t="s">
        <v>499</v>
      </c>
      <c r="AG2" s="1438">
        <v>42041304</v>
      </c>
      <c r="AJ2" s="1434"/>
    </row>
    <row r="3" spans="1:36" x14ac:dyDescent="0.3">
      <c r="A3" s="1196" t="s">
        <v>499</v>
      </c>
      <c r="B3" s="1197">
        <v>12844874</v>
      </c>
      <c r="E3" s="105">
        <v>603200</v>
      </c>
      <c r="F3" s="105" t="s">
        <v>499</v>
      </c>
      <c r="G3" s="1197">
        <v>-23715303</v>
      </c>
      <c r="I3" s="1197">
        <f>'BG '!K459</f>
        <v>-20982830</v>
      </c>
      <c r="K3">
        <v>603200</v>
      </c>
      <c r="L3" t="s">
        <v>499</v>
      </c>
      <c r="M3" s="75">
        <v>85870026</v>
      </c>
      <c r="O3">
        <v>603200</v>
      </c>
      <c r="P3" t="s">
        <v>499</v>
      </c>
      <c r="Q3" s="98">
        <v>182658393</v>
      </c>
      <c r="S3">
        <v>603200</v>
      </c>
      <c r="T3" s="98" t="s">
        <v>499</v>
      </c>
      <c r="U3">
        <v>19857856</v>
      </c>
      <c r="W3">
        <v>603200</v>
      </c>
      <c r="X3" t="s">
        <v>499</v>
      </c>
      <c r="Y3">
        <v>47956339</v>
      </c>
      <c r="AE3">
        <v>603300</v>
      </c>
      <c r="AF3" t="s">
        <v>501</v>
      </c>
      <c r="AG3" s="1438">
        <v>14506733</v>
      </c>
      <c r="AH3" s="1274"/>
      <c r="AJ3" s="1434"/>
    </row>
    <row r="4" spans="1:36" x14ac:dyDescent="0.3">
      <c r="A4" s="1196" t="s">
        <v>501</v>
      </c>
      <c r="B4" s="1197">
        <v>4240877</v>
      </c>
      <c r="E4" s="105">
        <v>603300</v>
      </c>
      <c r="F4" s="105" t="s">
        <v>501</v>
      </c>
      <c r="G4" s="1197">
        <v>-217195143</v>
      </c>
      <c r="I4" s="1197">
        <f>'BG '!K460</f>
        <v>0</v>
      </c>
      <c r="K4">
        <v>603300</v>
      </c>
      <c r="L4" t="s">
        <v>501</v>
      </c>
      <c r="M4" s="75">
        <v>115136791</v>
      </c>
      <c r="O4">
        <v>603300</v>
      </c>
      <c r="P4" t="s">
        <v>501</v>
      </c>
      <c r="Q4" s="98">
        <v>5987793</v>
      </c>
      <c r="S4">
        <v>603300</v>
      </c>
      <c r="T4" s="98" t="s">
        <v>501</v>
      </c>
      <c r="U4">
        <v>80816488</v>
      </c>
      <c r="W4">
        <v>603300</v>
      </c>
      <c r="X4" t="s">
        <v>501</v>
      </c>
      <c r="Y4">
        <v>-104653739</v>
      </c>
      <c r="AE4">
        <v>604200</v>
      </c>
      <c r="AF4" t="s">
        <v>502</v>
      </c>
      <c r="AG4" s="1438">
        <v>34524483</v>
      </c>
      <c r="AH4" s="1274"/>
      <c r="AJ4" s="1434"/>
    </row>
    <row r="5" spans="1:36" x14ac:dyDescent="0.3">
      <c r="A5" s="1196" t="s">
        <v>502</v>
      </c>
      <c r="B5" s="1197">
        <v>23271000</v>
      </c>
      <c r="E5" s="105">
        <v>604200</v>
      </c>
      <c r="F5" s="105" t="s">
        <v>502</v>
      </c>
      <c r="G5" s="1197">
        <v>13272000</v>
      </c>
      <c r="I5" s="1197">
        <f>'BG '!J465</f>
        <v>50911283</v>
      </c>
      <c r="K5">
        <v>604200</v>
      </c>
      <c r="L5" t="s">
        <v>502</v>
      </c>
      <c r="M5" s="75">
        <v>20151000</v>
      </c>
      <c r="O5">
        <v>604200</v>
      </c>
      <c r="P5" t="s">
        <v>502</v>
      </c>
      <c r="Q5" s="98">
        <v>10500000</v>
      </c>
      <c r="S5">
        <v>604200</v>
      </c>
      <c r="T5" s="98" t="s">
        <v>502</v>
      </c>
      <c r="U5">
        <v>10500000</v>
      </c>
      <c r="W5">
        <v>604200</v>
      </c>
      <c r="X5" t="s">
        <v>502</v>
      </c>
      <c r="Y5">
        <v>25500000</v>
      </c>
      <c r="AE5">
        <v>605110</v>
      </c>
      <c r="AF5" t="s">
        <v>503</v>
      </c>
      <c r="AG5" s="1274">
        <v>11139324</v>
      </c>
      <c r="AH5" s="1274"/>
      <c r="AJ5" s="1434"/>
    </row>
    <row r="6" spans="1:36" x14ac:dyDescent="0.3">
      <c r="A6" s="1196" t="s">
        <v>503</v>
      </c>
      <c r="B6" s="1197">
        <v>14423935</v>
      </c>
      <c r="E6" s="105">
        <v>605110</v>
      </c>
      <c r="F6" s="105" t="s">
        <v>503</v>
      </c>
      <c r="G6" s="1197">
        <v>7369306</v>
      </c>
      <c r="I6" s="1197">
        <f>'BG '!J466</f>
        <v>14238369</v>
      </c>
      <c r="K6">
        <v>605110</v>
      </c>
      <c r="L6" t="s">
        <v>503</v>
      </c>
      <c r="M6" s="75">
        <v>5905213</v>
      </c>
      <c r="O6">
        <v>605110</v>
      </c>
      <c r="P6" t="s">
        <v>503</v>
      </c>
      <c r="Q6" s="98">
        <v>7111792</v>
      </c>
      <c r="S6">
        <v>605110</v>
      </c>
      <c r="T6" s="98" t="s">
        <v>503</v>
      </c>
      <c r="U6">
        <v>3516243</v>
      </c>
      <c r="W6">
        <v>605110</v>
      </c>
      <c r="X6" t="s">
        <v>503</v>
      </c>
      <c r="Y6">
        <v>12546667</v>
      </c>
      <c r="AE6">
        <v>605130</v>
      </c>
      <c r="AF6" t="s">
        <v>504</v>
      </c>
      <c r="AG6" s="1274">
        <v>3387394</v>
      </c>
      <c r="AH6" s="1274"/>
      <c r="AJ6" s="1434"/>
    </row>
    <row r="7" spans="1:36" x14ac:dyDescent="0.3">
      <c r="A7" s="1196" t="s">
        <v>504</v>
      </c>
      <c r="B7" s="1197">
        <v>1454035</v>
      </c>
      <c r="E7" s="105">
        <v>605130</v>
      </c>
      <c r="F7" s="105" t="s">
        <v>504</v>
      </c>
      <c r="G7" s="1197">
        <v>786684</v>
      </c>
      <c r="I7" s="1197">
        <f>'BG '!J467</f>
        <v>4384232</v>
      </c>
      <c r="K7">
        <v>605130</v>
      </c>
      <c r="L7" t="s">
        <v>504</v>
      </c>
      <c r="M7" s="75">
        <v>819124</v>
      </c>
      <c r="O7">
        <v>605130</v>
      </c>
      <c r="P7" t="s">
        <v>504</v>
      </c>
      <c r="Q7" s="98">
        <v>1311576</v>
      </c>
      <c r="S7">
        <v>605130</v>
      </c>
      <c r="T7" s="98" t="s">
        <v>504</v>
      </c>
      <c r="U7">
        <v>542337</v>
      </c>
      <c r="W7">
        <v>605130</v>
      </c>
      <c r="X7" t="s">
        <v>504</v>
      </c>
      <c r="Y7">
        <v>1838370</v>
      </c>
      <c r="AE7">
        <v>605210</v>
      </c>
      <c r="AF7" t="s">
        <v>505</v>
      </c>
      <c r="AG7" s="1440">
        <v>404972808</v>
      </c>
      <c r="AH7" s="1274"/>
      <c r="AJ7" s="1434"/>
    </row>
    <row r="8" spans="1:36" x14ac:dyDescent="0.3">
      <c r="A8" s="1196" t="s">
        <v>505</v>
      </c>
      <c r="B8" s="1197">
        <v>498337122</v>
      </c>
      <c r="E8" s="105">
        <v>605210</v>
      </c>
      <c r="F8" s="105" t="s">
        <v>505</v>
      </c>
      <c r="G8" s="1197">
        <v>239184490</v>
      </c>
      <c r="I8" s="1197">
        <f>'BG '!J468</f>
        <v>580434719</v>
      </c>
      <c r="K8">
        <v>605210</v>
      </c>
      <c r="L8" t="s">
        <v>505</v>
      </c>
      <c r="M8" s="75">
        <v>275471830</v>
      </c>
      <c r="O8">
        <v>605210</v>
      </c>
      <c r="P8" t="s">
        <v>505</v>
      </c>
      <c r="Q8" s="98">
        <v>312985163</v>
      </c>
      <c r="S8">
        <v>605210</v>
      </c>
      <c r="T8" s="98" t="s">
        <v>505</v>
      </c>
      <c r="U8">
        <v>154838599</v>
      </c>
      <c r="W8">
        <v>605210</v>
      </c>
      <c r="X8" t="s">
        <v>505</v>
      </c>
      <c r="Y8">
        <v>399913857</v>
      </c>
      <c r="AE8">
        <v>605240</v>
      </c>
      <c r="AF8" t="s">
        <v>506</v>
      </c>
      <c r="AG8" s="1439">
        <v>2267836462</v>
      </c>
      <c r="AH8" s="1274"/>
      <c r="AJ8" s="1434"/>
    </row>
    <row r="9" spans="1:36" x14ac:dyDescent="0.3">
      <c r="A9" s="1196" t="s">
        <v>506</v>
      </c>
      <c r="B9" s="1197">
        <v>1321766221</v>
      </c>
      <c r="E9" s="105">
        <v>605240</v>
      </c>
      <c r="F9" s="105" t="s">
        <v>506</v>
      </c>
      <c r="G9" s="1197">
        <v>925812372</v>
      </c>
      <c r="I9" s="1197">
        <f>'BG '!J469</f>
        <v>3090699411</v>
      </c>
      <c r="K9">
        <v>605240</v>
      </c>
      <c r="L9" t="s">
        <v>506</v>
      </c>
      <c r="M9" s="75">
        <v>861181168</v>
      </c>
      <c r="O9">
        <v>605240</v>
      </c>
      <c r="P9" t="s">
        <v>506</v>
      </c>
      <c r="Q9" s="98">
        <v>561166138</v>
      </c>
      <c r="S9">
        <v>605240</v>
      </c>
      <c r="T9" s="98" t="s">
        <v>506</v>
      </c>
      <c r="U9">
        <v>108348221</v>
      </c>
      <c r="W9">
        <v>605240</v>
      </c>
      <c r="X9" t="s">
        <v>506</v>
      </c>
      <c r="Y9">
        <v>729810984</v>
      </c>
      <c r="AE9">
        <v>605260</v>
      </c>
      <c r="AF9" t="s">
        <v>507</v>
      </c>
      <c r="AG9" s="1440">
        <v>15457799</v>
      </c>
      <c r="AH9" s="1274"/>
      <c r="AJ9" s="1434"/>
    </row>
    <row r="10" spans="1:36" x14ac:dyDescent="0.3">
      <c r="A10" s="1196"/>
      <c r="B10" s="1197"/>
      <c r="E10" s="105"/>
      <c r="F10" s="105"/>
      <c r="G10" s="1197"/>
      <c r="I10" s="1197"/>
      <c r="T10" s="98"/>
      <c r="AE10">
        <v>605310</v>
      </c>
      <c r="AF10" t="s">
        <v>508</v>
      </c>
      <c r="AG10" s="1440">
        <v>1651063720</v>
      </c>
      <c r="AH10" s="1274"/>
      <c r="AJ10" s="1434"/>
    </row>
    <row r="11" spans="1:36" x14ac:dyDescent="0.3">
      <c r="A11" s="1196" t="s">
        <v>508</v>
      </c>
      <c r="B11" s="1197">
        <v>1628483421</v>
      </c>
      <c r="C11" s="101">
        <f>SUM(B3:B11)</f>
        <v>3504821485</v>
      </c>
      <c r="E11" s="105">
        <v>605310</v>
      </c>
      <c r="F11" s="105" t="s">
        <v>508</v>
      </c>
      <c r="G11" s="1197">
        <v>753892299</v>
      </c>
      <c r="H11" s="101">
        <f>SUM(G3:G11)</f>
        <v>1699406705</v>
      </c>
      <c r="I11" s="1197">
        <f>'BG '!J471</f>
        <v>2406252941</v>
      </c>
      <c r="J11" s="101">
        <f>SUM(I3:I11)</f>
        <v>6125938125</v>
      </c>
      <c r="K11">
        <v>605310</v>
      </c>
      <c r="L11" t="s">
        <v>508</v>
      </c>
      <c r="M11" s="75">
        <v>746452280</v>
      </c>
      <c r="N11" s="101">
        <f>SUM(M3:M11)</f>
        <v>2110987432</v>
      </c>
      <c r="O11">
        <v>605310</v>
      </c>
      <c r="P11" t="s">
        <v>508</v>
      </c>
      <c r="Q11" s="98">
        <v>542048703</v>
      </c>
      <c r="R11" s="101">
        <f>SUM(Q3:Q11)</f>
        <v>1623769558</v>
      </c>
      <c r="S11">
        <v>605310</v>
      </c>
      <c r="T11" s="98" t="s">
        <v>508</v>
      </c>
      <c r="U11">
        <v>332767544</v>
      </c>
      <c r="W11">
        <v>605310</v>
      </c>
      <c r="X11" t="s">
        <v>508</v>
      </c>
      <c r="Y11">
        <v>1023330048</v>
      </c>
      <c r="Z11" s="1274">
        <f>SUM(Y3:Y11)</f>
        <v>2136242526</v>
      </c>
      <c r="AE11">
        <v>605400</v>
      </c>
      <c r="AF11" t="s">
        <v>2256</v>
      </c>
      <c r="AG11" s="1274">
        <v>0</v>
      </c>
      <c r="AH11" s="1274">
        <f>SUM(AG2:AG11)</f>
        <v>4444930027</v>
      </c>
      <c r="AJ11" s="1434"/>
    </row>
    <row r="12" spans="1:36" x14ac:dyDescent="0.3">
      <c r="A12" s="1196" t="s">
        <v>509</v>
      </c>
      <c r="B12" s="1198">
        <v>14797962</v>
      </c>
      <c r="E12">
        <v>605500</v>
      </c>
      <c r="F12" t="s">
        <v>509</v>
      </c>
      <c r="G12" s="75">
        <v>27328393</v>
      </c>
      <c r="T12" s="1199"/>
    </row>
    <row r="13" spans="1:36" x14ac:dyDescent="0.3">
      <c r="A13" s="1196" t="s">
        <v>510</v>
      </c>
      <c r="B13" s="1198">
        <v>46669697</v>
      </c>
      <c r="E13">
        <v>605510</v>
      </c>
      <c r="F13" t="s">
        <v>510</v>
      </c>
      <c r="G13" s="75">
        <v>37205861</v>
      </c>
    </row>
    <row r="14" spans="1:36" x14ac:dyDescent="0.3">
      <c r="A14" s="1196" t="s">
        <v>511</v>
      </c>
      <c r="B14" s="1198">
        <v>7027499</v>
      </c>
      <c r="E14">
        <v>605600</v>
      </c>
      <c r="F14" t="s">
        <v>511</v>
      </c>
      <c r="G14" s="75">
        <v>2506970</v>
      </c>
      <c r="Q14" s="98">
        <f>23000*5</f>
        <v>115000</v>
      </c>
    </row>
    <row r="15" spans="1:36" x14ac:dyDescent="0.3">
      <c r="A15" s="1196" t="s">
        <v>523</v>
      </c>
      <c r="B15" s="1198">
        <v>88800</v>
      </c>
      <c r="E15">
        <v>605800</v>
      </c>
      <c r="F15" t="s">
        <v>523</v>
      </c>
      <c r="G15" s="75">
        <v>7400</v>
      </c>
      <c r="AE15">
        <v>603200</v>
      </c>
      <c r="AF15" t="s">
        <v>499</v>
      </c>
      <c r="AG15">
        <v>42041304</v>
      </c>
      <c r="AH15">
        <v>0</v>
      </c>
    </row>
    <row r="16" spans="1:36" x14ac:dyDescent="0.3">
      <c r="A16" s="1196" t="s">
        <v>524</v>
      </c>
      <c r="B16" s="1198">
        <v>4059900</v>
      </c>
      <c r="E16">
        <v>614200</v>
      </c>
      <c r="F16" t="s">
        <v>524</v>
      </c>
      <c r="G16" s="75">
        <v>1645200</v>
      </c>
      <c r="R16">
        <f>72000*5</f>
        <v>360000</v>
      </c>
      <c r="AE16">
        <v>603300</v>
      </c>
      <c r="AF16" t="s">
        <v>501</v>
      </c>
      <c r="AG16">
        <v>14506733</v>
      </c>
      <c r="AH16">
        <v>0</v>
      </c>
    </row>
    <row r="17" spans="1:34" x14ac:dyDescent="0.3">
      <c r="A17" s="1196" t="s">
        <v>553</v>
      </c>
      <c r="B17" s="1198">
        <v>185680</v>
      </c>
      <c r="E17">
        <v>626500</v>
      </c>
      <c r="F17" t="s">
        <v>553</v>
      </c>
      <c r="G17" s="75">
        <v>81305459</v>
      </c>
      <c r="AE17">
        <v>604200</v>
      </c>
      <c r="AF17" t="s">
        <v>502</v>
      </c>
      <c r="AG17">
        <v>34524483</v>
      </c>
      <c r="AH17">
        <v>0</v>
      </c>
    </row>
    <row r="18" spans="1:34" x14ac:dyDescent="0.3">
      <c r="A18" s="1196" t="s">
        <v>554</v>
      </c>
      <c r="B18" s="1198">
        <v>83500</v>
      </c>
      <c r="E18">
        <v>626600</v>
      </c>
      <c r="F18" t="s">
        <v>554</v>
      </c>
      <c r="G18" s="75">
        <v>60000</v>
      </c>
      <c r="AE18">
        <v>605110</v>
      </c>
      <c r="AF18" t="s">
        <v>503</v>
      </c>
      <c r="AG18">
        <v>11139324</v>
      </c>
      <c r="AH18">
        <v>0</v>
      </c>
    </row>
    <row r="19" spans="1:34" x14ac:dyDescent="0.3">
      <c r="A19" s="1196" t="s">
        <v>566</v>
      </c>
      <c r="B19" s="1198">
        <v>122874064</v>
      </c>
      <c r="E19">
        <v>628110</v>
      </c>
      <c r="F19" t="s">
        <v>566</v>
      </c>
      <c r="G19" s="75">
        <v>76620054</v>
      </c>
      <c r="AE19">
        <v>605130</v>
      </c>
      <c r="AF19" t="s">
        <v>504</v>
      </c>
      <c r="AG19">
        <v>3387394</v>
      </c>
      <c r="AH19">
        <v>0</v>
      </c>
    </row>
    <row r="20" spans="1:34" x14ac:dyDescent="0.3">
      <c r="A20" s="1196" t="s">
        <v>567</v>
      </c>
      <c r="B20" s="1198">
        <v>25560</v>
      </c>
      <c r="E20">
        <v>628120</v>
      </c>
      <c r="F20" t="s">
        <v>567</v>
      </c>
      <c r="G20" s="75">
        <v>12780</v>
      </c>
      <c r="AE20">
        <v>605210</v>
      </c>
      <c r="AF20" t="s">
        <v>505</v>
      </c>
      <c r="AG20">
        <v>404972808</v>
      </c>
      <c r="AH20">
        <v>0</v>
      </c>
    </row>
    <row r="21" spans="1:34" x14ac:dyDescent="0.3">
      <c r="A21" s="1196" t="s">
        <v>568</v>
      </c>
      <c r="B21" s="1198">
        <v>160140</v>
      </c>
      <c r="E21">
        <v>628300</v>
      </c>
      <c r="F21" t="s">
        <v>568</v>
      </c>
      <c r="G21" s="75">
        <v>80070</v>
      </c>
      <c r="AE21">
        <v>605240</v>
      </c>
      <c r="AF21" t="s">
        <v>506</v>
      </c>
      <c r="AG21">
        <v>2267836462</v>
      </c>
      <c r="AH21">
        <v>0</v>
      </c>
    </row>
    <row r="22" spans="1:34" x14ac:dyDescent="0.3">
      <c r="A22" s="1196" t="s">
        <v>569</v>
      </c>
      <c r="B22" s="1198">
        <v>519000</v>
      </c>
      <c r="E22">
        <v>628800</v>
      </c>
      <c r="F22" t="s">
        <v>569</v>
      </c>
      <c r="G22" s="75">
        <v>1450600</v>
      </c>
      <c r="AE22">
        <v>605260</v>
      </c>
      <c r="AF22" t="s">
        <v>507</v>
      </c>
      <c r="AG22">
        <v>15457799</v>
      </c>
      <c r="AH22">
        <v>0</v>
      </c>
    </row>
    <row r="23" spans="1:34" x14ac:dyDescent="0.3">
      <c r="A23" s="1196" t="s">
        <v>570</v>
      </c>
      <c r="B23" s="1198">
        <v>105356172</v>
      </c>
      <c r="E23">
        <v>628810</v>
      </c>
      <c r="F23" t="s">
        <v>570</v>
      </c>
      <c r="G23" s="75">
        <v>52792086</v>
      </c>
      <c r="AE23">
        <v>605310</v>
      </c>
      <c r="AF23" t="s">
        <v>508</v>
      </c>
      <c r="AG23">
        <v>1651063720</v>
      </c>
      <c r="AH23">
        <v>0</v>
      </c>
    </row>
    <row r="24" spans="1:34" x14ac:dyDescent="0.3">
      <c r="A24" s="1196" t="s">
        <v>583</v>
      </c>
      <c r="B24" s="1198">
        <v>461011822</v>
      </c>
      <c r="E24">
        <v>632800</v>
      </c>
      <c r="F24" t="s">
        <v>583</v>
      </c>
      <c r="G24" s="75">
        <v>204356424</v>
      </c>
      <c r="AE24">
        <v>605400</v>
      </c>
      <c r="AF24" t="s">
        <v>2256</v>
      </c>
      <c r="AG24">
        <v>0</v>
      </c>
      <c r="AH24">
        <v>0</v>
      </c>
    </row>
    <row r="25" spans="1:34" x14ac:dyDescent="0.3">
      <c r="A25" s="1196" t="s">
        <v>586</v>
      </c>
      <c r="B25" s="1198">
        <v>2003550</v>
      </c>
      <c r="E25">
        <v>632840</v>
      </c>
      <c r="F25" t="s">
        <v>586</v>
      </c>
      <c r="G25" s="75">
        <v>2274788</v>
      </c>
    </row>
    <row r="26" spans="1:34" x14ac:dyDescent="0.3">
      <c r="A26" s="1196" t="s">
        <v>587</v>
      </c>
      <c r="B26" s="1198">
        <v>43426784</v>
      </c>
      <c r="E26">
        <v>633000</v>
      </c>
      <c r="F26" t="s">
        <v>587</v>
      </c>
      <c r="G26" s="75">
        <v>14209550</v>
      </c>
    </row>
    <row r="27" spans="1:34" x14ac:dyDescent="0.3">
      <c r="A27" s="1196" t="s">
        <v>591</v>
      </c>
      <c r="B27" s="1198">
        <v>70899469</v>
      </c>
      <c r="E27">
        <v>635100</v>
      </c>
      <c r="F27" t="s">
        <v>591</v>
      </c>
      <c r="G27" s="75">
        <v>34995521</v>
      </c>
    </row>
    <row r="28" spans="1:34" x14ac:dyDescent="0.3">
      <c r="A28" s="1196" t="s">
        <v>592</v>
      </c>
      <c r="B28" s="1198">
        <v>10000000</v>
      </c>
      <c r="E28">
        <v>635800</v>
      </c>
      <c r="F28" t="s">
        <v>592</v>
      </c>
      <c r="G28" s="75">
        <v>5000000</v>
      </c>
    </row>
    <row r="29" spans="1:34" x14ac:dyDescent="0.3">
      <c r="A29" s="1196" t="s">
        <v>597</v>
      </c>
      <c r="B29" s="1198">
        <v>20434760</v>
      </c>
      <c r="E29">
        <v>638310</v>
      </c>
      <c r="F29" t="s">
        <v>597</v>
      </c>
      <c r="G29" s="75">
        <v>9190397</v>
      </c>
    </row>
    <row r="30" spans="1:34" x14ac:dyDescent="0.3">
      <c r="A30" s="1196" t="s">
        <v>598</v>
      </c>
      <c r="B30" s="1198">
        <v>4423050</v>
      </c>
      <c r="E30">
        <v>638320</v>
      </c>
      <c r="F30" t="s">
        <v>598</v>
      </c>
      <c r="G30" s="75">
        <v>1699432</v>
      </c>
    </row>
    <row r="31" spans="1:34" x14ac:dyDescent="0.3">
      <c r="A31" s="1196" t="s">
        <v>599</v>
      </c>
      <c r="B31" s="1198">
        <v>120928954</v>
      </c>
      <c r="E31">
        <v>638410</v>
      </c>
      <c r="F31" t="s">
        <v>599</v>
      </c>
      <c r="G31" s="75">
        <v>74622192</v>
      </c>
    </row>
    <row r="32" spans="1:34" x14ac:dyDescent="0.3">
      <c r="A32" s="1196" t="s">
        <v>600</v>
      </c>
      <c r="B32" s="1198">
        <v>15901763</v>
      </c>
      <c r="E32">
        <v>638420</v>
      </c>
      <c r="F32" t="s">
        <v>600</v>
      </c>
      <c r="G32" s="75">
        <v>12752630</v>
      </c>
    </row>
    <row r="33" spans="1:7" customFormat="1" x14ac:dyDescent="0.3">
      <c r="A33" s="1196" t="s">
        <v>611</v>
      </c>
      <c r="B33" s="1198">
        <v>1942</v>
      </c>
      <c r="E33">
        <v>651100</v>
      </c>
      <c r="F33" t="s">
        <v>611</v>
      </c>
      <c r="G33" s="75">
        <v>-18283134</v>
      </c>
    </row>
    <row r="34" spans="1:7" customFormat="1" x14ac:dyDescent="0.3">
      <c r="A34" s="1196" t="s">
        <v>614</v>
      </c>
      <c r="B34" s="1198">
        <v>248095</v>
      </c>
      <c r="E34">
        <v>658200</v>
      </c>
      <c r="F34" t="s">
        <v>614</v>
      </c>
      <c r="G34" s="75">
        <v>0</v>
      </c>
    </row>
    <row r="35" spans="1:7" customFormat="1" x14ac:dyDescent="0.3">
      <c r="A35" s="1196" t="s">
        <v>2119</v>
      </c>
      <c r="B35" s="1198">
        <v>-128756976.00000921</v>
      </c>
      <c r="F35" s="1200" t="s">
        <v>2119</v>
      </c>
      <c r="G35" s="75"/>
    </row>
    <row r="36" spans="1:7" customFormat="1" ht="15" thickBot="1" x14ac:dyDescent="0.35">
      <c r="A36" s="1196"/>
      <c r="B36" s="1198"/>
      <c r="G36" s="75"/>
    </row>
    <row r="37" spans="1:7" customFormat="1" x14ac:dyDescent="0.3">
      <c r="A37" s="1201" t="s">
        <v>2120</v>
      </c>
      <c r="B37" s="1202">
        <f>SUM(B3:B36)</f>
        <v>4427192671.9999905</v>
      </c>
      <c r="E37" s="1201" t="s">
        <v>2120</v>
      </c>
      <c r="F37" s="1202">
        <f>SUM(F3:F36)</f>
        <v>0</v>
      </c>
      <c r="G37" s="1202">
        <f>SUM(G3:G36)</f>
        <v>2321239378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FW243"/>
  <sheetViews>
    <sheetView topLeftCell="A22" zoomScale="85" zoomScaleNormal="85" workbookViewId="0">
      <pane xSplit="7" ySplit="9" topLeftCell="CS226" activePane="bottomRight" state="frozen"/>
      <selection activeCell="A22" sqref="A22"/>
      <selection pane="topRight" activeCell="H22" sqref="H22"/>
      <selection pane="bottomLeft" activeCell="A31" sqref="A31"/>
      <selection pane="bottomRight" activeCell="DE236" sqref="DE236"/>
    </sheetView>
  </sheetViews>
  <sheetFormatPr baseColWidth="10" defaultColWidth="12.5546875" defaultRowHeight="14.4" x14ac:dyDescent="0.3"/>
  <cols>
    <col min="1" max="1" width="43.88671875" bestFit="1" customWidth="1"/>
    <col min="2" max="3" width="0" hidden="1" customWidth="1"/>
    <col min="4" max="4" width="14.109375" hidden="1" customWidth="1"/>
    <col min="5" max="5" width="15.109375" hidden="1" customWidth="1"/>
    <col min="6" max="6" width="17.88671875" hidden="1" customWidth="1"/>
    <col min="7" max="7" width="1.44140625" customWidth="1"/>
    <col min="8" max="8" width="24.44140625" customWidth="1"/>
    <col min="9" max="16" width="13.88671875" customWidth="1"/>
    <col min="17" max="29" width="15" customWidth="1"/>
    <col min="30" max="73" width="13.88671875" customWidth="1"/>
    <col min="74" max="80" width="14.88671875" customWidth="1"/>
    <col min="81" max="83" width="15.109375" customWidth="1"/>
    <col min="84" max="89" width="14.88671875" customWidth="1"/>
    <col min="90" max="91" width="14.88671875" bestFit="1" customWidth="1"/>
    <col min="92" max="92" width="13.44140625" bestFit="1" customWidth="1"/>
    <col min="93" max="93" width="14.109375" bestFit="1" customWidth="1"/>
    <col min="94" max="94" width="13.109375" bestFit="1" customWidth="1"/>
    <col min="95" max="95" width="13.44140625" customWidth="1"/>
    <col min="96" max="96" width="13.109375" bestFit="1" customWidth="1"/>
    <col min="97" max="109" width="14.88671875" bestFit="1" customWidth="1"/>
  </cols>
  <sheetData>
    <row r="2" spans="1:8" x14ac:dyDescent="0.3">
      <c r="A2" s="1203" t="s">
        <v>2121</v>
      </c>
      <c r="B2" s="1203"/>
    </row>
    <row r="4" spans="1:8" ht="30" customHeight="1" x14ac:dyDescent="0.3">
      <c r="A4" s="1204" t="s">
        <v>2122</v>
      </c>
      <c r="B4" s="2011" t="s">
        <v>2123</v>
      </c>
      <c r="C4" s="2011"/>
      <c r="D4" s="1205" t="s">
        <v>2124</v>
      </c>
      <c r="E4" s="1205" t="s">
        <v>2125</v>
      </c>
      <c r="F4" s="1205" t="s">
        <v>2126</v>
      </c>
      <c r="G4" s="1205" t="s">
        <v>2127</v>
      </c>
      <c r="H4" s="1205" t="s">
        <v>2128</v>
      </c>
    </row>
    <row r="5" spans="1:8" ht="30" customHeight="1" x14ac:dyDescent="0.3">
      <c r="A5" s="1206" t="s">
        <v>889</v>
      </c>
      <c r="B5" s="2008" t="s">
        <v>2129</v>
      </c>
      <c r="C5" s="2008"/>
      <c r="D5" s="1205">
        <v>8</v>
      </c>
      <c r="E5" s="1205" t="s">
        <v>2130</v>
      </c>
      <c r="F5" s="1207">
        <v>1</v>
      </c>
      <c r="G5" s="1208">
        <v>130580541.602</v>
      </c>
      <c r="H5" s="1209">
        <f t="shared" ref="H5:H10" si="0">G5*F5</f>
        <v>130580541.602</v>
      </c>
    </row>
    <row r="6" spans="1:8" ht="30" customHeight="1" x14ac:dyDescent="0.3">
      <c r="A6" s="1210" t="s">
        <v>889</v>
      </c>
      <c r="B6" s="2008" t="s">
        <v>2131</v>
      </c>
      <c r="C6" s="2008"/>
      <c r="D6" s="1205">
        <v>4</v>
      </c>
      <c r="E6" s="1205" t="s">
        <v>2130</v>
      </c>
      <c r="F6" s="1207">
        <v>0.5</v>
      </c>
      <c r="G6" s="1208">
        <v>92153767.621999994</v>
      </c>
      <c r="H6" s="1209">
        <f t="shared" si="0"/>
        <v>46076883.810999997</v>
      </c>
    </row>
    <row r="7" spans="1:8" ht="30" customHeight="1" x14ac:dyDescent="0.3">
      <c r="A7" s="1210" t="s">
        <v>889</v>
      </c>
      <c r="B7" s="2008" t="s">
        <v>2132</v>
      </c>
      <c r="C7" s="2008"/>
      <c r="D7" s="1205">
        <v>2</v>
      </c>
      <c r="E7" s="1205" t="s">
        <v>2043</v>
      </c>
      <c r="F7" s="1205">
        <v>0</v>
      </c>
      <c r="G7" s="1208">
        <v>7218511.1840000004</v>
      </c>
      <c r="H7" s="1209">
        <f t="shared" si="0"/>
        <v>0</v>
      </c>
    </row>
    <row r="8" spans="1:8" ht="30" customHeight="1" x14ac:dyDescent="0.3">
      <c r="A8" s="1210" t="s">
        <v>2133</v>
      </c>
      <c r="B8" s="2008" t="s">
        <v>2134</v>
      </c>
      <c r="C8" s="2008"/>
      <c r="D8" s="1205">
        <v>4</v>
      </c>
      <c r="E8" s="1205" t="s">
        <v>2130</v>
      </c>
      <c r="F8" s="1207">
        <v>1</v>
      </c>
      <c r="G8" s="1209">
        <v>123585952.55</v>
      </c>
      <c r="H8" s="1209">
        <f t="shared" si="0"/>
        <v>123585952.55</v>
      </c>
    </row>
    <row r="9" spans="1:8" ht="30" customHeight="1" x14ac:dyDescent="0.3">
      <c r="A9" s="1210" t="s">
        <v>2133</v>
      </c>
      <c r="B9" s="2008" t="s">
        <v>2135</v>
      </c>
      <c r="C9" s="2008"/>
      <c r="D9" s="1205">
        <v>9</v>
      </c>
      <c r="E9" s="1205" t="s">
        <v>2130</v>
      </c>
      <c r="F9" s="1207">
        <v>0.5</v>
      </c>
      <c r="G9" s="1209">
        <v>100952518.8</v>
      </c>
      <c r="H9" s="1209">
        <f t="shared" si="0"/>
        <v>50476259.399999999</v>
      </c>
    </row>
    <row r="10" spans="1:8" ht="30" customHeight="1" x14ac:dyDescent="0.3">
      <c r="A10" s="1210" t="s">
        <v>2133</v>
      </c>
      <c r="B10" s="2008" t="s">
        <v>2136</v>
      </c>
      <c r="C10" s="2008"/>
      <c r="D10" s="1205">
        <v>3</v>
      </c>
      <c r="E10" s="1205" t="s">
        <v>2043</v>
      </c>
      <c r="F10" s="1205">
        <v>0</v>
      </c>
      <c r="G10" s="1209">
        <v>104962689.65000001</v>
      </c>
      <c r="H10" s="1209">
        <f t="shared" si="0"/>
        <v>0</v>
      </c>
    </row>
    <row r="11" spans="1:8" ht="30" customHeight="1" x14ac:dyDescent="0.3">
      <c r="A11" s="1210"/>
      <c r="B11" s="1211"/>
      <c r="C11" s="1212"/>
      <c r="D11" s="1205"/>
      <c r="E11" s="1205"/>
      <c r="F11" s="1205"/>
      <c r="G11" s="1209"/>
      <c r="H11" s="1209"/>
    </row>
    <row r="12" spans="1:8" ht="30" customHeight="1" x14ac:dyDescent="0.3">
      <c r="A12" s="1204" t="s">
        <v>2137</v>
      </c>
      <c r="B12" s="2009"/>
      <c r="C12" s="2010"/>
      <c r="D12" s="1205">
        <f>SUM(D5:D11)</f>
        <v>30</v>
      </c>
      <c r="E12" s="1205"/>
      <c r="F12" s="1205"/>
      <c r="G12" s="1209">
        <v>486400960.40799999</v>
      </c>
      <c r="H12" s="1209">
        <f>SUM(H5:H11)</f>
        <v>350719637.36299998</v>
      </c>
    </row>
    <row r="16" spans="1:8" x14ac:dyDescent="0.3">
      <c r="A16" t="s">
        <v>2138</v>
      </c>
      <c r="H16" s="1213">
        <f>(-(H12*14%))</f>
        <v>-49100749.23082</v>
      </c>
    </row>
    <row r="19" spans="1:109" x14ac:dyDescent="0.3">
      <c r="A19" s="1214" t="s">
        <v>2139</v>
      </c>
      <c r="H19" s="1215">
        <f>+H12</f>
        <v>350719637.36299998</v>
      </c>
    </row>
    <row r="20" spans="1:109" x14ac:dyDescent="0.3">
      <c r="A20" t="s">
        <v>2140</v>
      </c>
      <c r="H20" s="1215">
        <f>H16</f>
        <v>-49100749.23082</v>
      </c>
      <c r="I20" s="1216">
        <v>0.14000000000000001</v>
      </c>
    </row>
    <row r="23" spans="1:109" x14ac:dyDescent="0.3">
      <c r="A23" t="s">
        <v>2141</v>
      </c>
      <c r="H23" s="1217">
        <f>+H19+H20</f>
        <v>301618888.13217998</v>
      </c>
    </row>
    <row r="25" spans="1:109" x14ac:dyDescent="0.3">
      <c r="A25" t="s">
        <v>2142</v>
      </c>
      <c r="H25" s="1218">
        <f>H12</f>
        <v>350719637.36299998</v>
      </c>
    </row>
    <row r="26" spans="1:109" x14ac:dyDescent="0.3">
      <c r="H26" s="101"/>
    </row>
    <row r="29" spans="1:109" x14ac:dyDescent="0.3">
      <c r="I29" s="1219">
        <v>42736</v>
      </c>
      <c r="J29" s="1219">
        <v>42767</v>
      </c>
      <c r="K29" s="1219">
        <v>42795</v>
      </c>
      <c r="L29" s="1219">
        <v>42826</v>
      </c>
      <c r="M29" s="1219">
        <v>42856</v>
      </c>
      <c r="N29" s="1219">
        <v>42887</v>
      </c>
      <c r="O29" s="1219">
        <v>42917</v>
      </c>
      <c r="P29" s="1219">
        <v>42948</v>
      </c>
      <c r="Q29" s="1219">
        <v>42979</v>
      </c>
      <c r="R29" s="1219">
        <v>43009</v>
      </c>
      <c r="S29" s="1219">
        <v>43040</v>
      </c>
      <c r="T29" s="1219">
        <v>43070</v>
      </c>
      <c r="U29" s="1219">
        <v>43101</v>
      </c>
      <c r="V29" s="1219">
        <v>43132</v>
      </c>
      <c r="W29" s="1219">
        <v>43160</v>
      </c>
      <c r="X29" s="1219">
        <v>43191</v>
      </c>
      <c r="Y29" s="1219">
        <v>43221</v>
      </c>
      <c r="Z29" s="1219">
        <v>43252</v>
      </c>
      <c r="AA29" s="1219">
        <v>43282</v>
      </c>
      <c r="AB29" s="1219">
        <v>43313</v>
      </c>
      <c r="AC29" s="1219">
        <v>43344</v>
      </c>
      <c r="AD29" s="1219">
        <v>43374</v>
      </c>
      <c r="AE29" s="1219">
        <v>43405</v>
      </c>
      <c r="AF29" s="1219">
        <v>43435</v>
      </c>
      <c r="AG29" s="1219">
        <v>43466</v>
      </c>
      <c r="AH29" s="1219">
        <v>43497</v>
      </c>
      <c r="AI29" s="1219">
        <v>43525</v>
      </c>
      <c r="AJ29" s="1219">
        <v>43556</v>
      </c>
      <c r="AK29" s="1219">
        <v>43586</v>
      </c>
      <c r="AL29" s="1219">
        <v>43617</v>
      </c>
      <c r="AM29" s="1219">
        <v>43647</v>
      </c>
      <c r="AN29" s="1219">
        <v>43678</v>
      </c>
      <c r="AO29" s="1219">
        <v>43709</v>
      </c>
      <c r="AP29" s="1219">
        <v>43739</v>
      </c>
      <c r="AQ29" s="1219">
        <v>43770</v>
      </c>
      <c r="AR29" s="1219">
        <v>43800</v>
      </c>
      <c r="AS29" s="1219">
        <v>43831</v>
      </c>
      <c r="AT29" s="1219">
        <v>43862</v>
      </c>
      <c r="AU29" s="1219">
        <v>43891</v>
      </c>
      <c r="AV29" s="1219">
        <v>43922</v>
      </c>
      <c r="AW29" s="1219">
        <v>43952</v>
      </c>
      <c r="AX29" s="1219">
        <v>43983</v>
      </c>
      <c r="AY29" s="1219">
        <v>44013</v>
      </c>
      <c r="AZ29" s="1219">
        <v>44044</v>
      </c>
      <c r="BA29" s="1219">
        <v>44075</v>
      </c>
      <c r="BB29" s="1219">
        <v>44105</v>
      </c>
      <c r="BC29" s="1219">
        <v>44136</v>
      </c>
      <c r="BD29" s="1219">
        <v>44166</v>
      </c>
      <c r="BE29" s="1219">
        <v>44197</v>
      </c>
      <c r="BF29" s="1219">
        <v>44228</v>
      </c>
      <c r="BG29" s="1219">
        <v>44256</v>
      </c>
      <c r="BH29" s="1219">
        <v>44287</v>
      </c>
      <c r="BI29" s="1219">
        <v>44317</v>
      </c>
      <c r="BJ29" s="1219">
        <v>44348</v>
      </c>
      <c r="BK29" s="1219">
        <v>44378</v>
      </c>
      <c r="BL29" s="1219">
        <v>44409</v>
      </c>
      <c r="BM29" s="1219">
        <v>44440</v>
      </c>
      <c r="BN29" s="1219">
        <v>44470</v>
      </c>
      <c r="BO29" s="1219">
        <v>44501</v>
      </c>
      <c r="BP29" s="1219">
        <v>44531</v>
      </c>
      <c r="BQ29" s="1219">
        <v>44562</v>
      </c>
      <c r="BR29" s="1219">
        <v>44593</v>
      </c>
      <c r="BS29" s="1219">
        <v>44621</v>
      </c>
      <c r="BT29" s="1219">
        <v>44652</v>
      </c>
      <c r="BU29" s="1219">
        <v>44682</v>
      </c>
      <c r="BV29" s="1219">
        <v>44713</v>
      </c>
      <c r="BW29" s="1219">
        <v>44743</v>
      </c>
      <c r="BX29" s="1219">
        <v>44774</v>
      </c>
      <c r="BY29" s="1219">
        <v>44805</v>
      </c>
      <c r="BZ29" s="1219">
        <v>44835</v>
      </c>
      <c r="CA29" s="1219">
        <v>44866</v>
      </c>
      <c r="CB29" s="1219">
        <v>44896</v>
      </c>
      <c r="CC29" s="1219">
        <v>44927</v>
      </c>
      <c r="CD29" s="1219">
        <v>44958</v>
      </c>
      <c r="CE29" s="1219">
        <v>44986</v>
      </c>
      <c r="CF29" s="1219">
        <v>45017</v>
      </c>
      <c r="CG29" s="1219">
        <v>45047</v>
      </c>
      <c r="CH29" s="1219">
        <v>45078</v>
      </c>
      <c r="CI29" s="1219">
        <v>45108</v>
      </c>
      <c r="CJ29" s="1219">
        <v>45139</v>
      </c>
      <c r="CK29" s="1219">
        <v>45170</v>
      </c>
      <c r="CL29" s="1219">
        <v>45200</v>
      </c>
      <c r="CM29" s="1219">
        <v>45231</v>
      </c>
      <c r="CN29" s="1219">
        <v>45261</v>
      </c>
      <c r="CO29" s="1219">
        <v>45292</v>
      </c>
      <c r="CP29" s="1219">
        <v>45323</v>
      </c>
      <c r="CQ29" s="1219">
        <v>45352</v>
      </c>
      <c r="CR29" s="1219">
        <v>45383</v>
      </c>
      <c r="CS29" s="1219">
        <v>45413</v>
      </c>
      <c r="CT29" s="1219">
        <v>45444</v>
      </c>
      <c r="CU29" s="1219">
        <v>45474</v>
      </c>
      <c r="CV29" s="1219">
        <v>45505</v>
      </c>
      <c r="CW29" s="1219">
        <v>45536</v>
      </c>
      <c r="CX29" s="1219">
        <v>45566</v>
      </c>
      <c r="CY29" s="1219">
        <v>45597</v>
      </c>
      <c r="CZ29" s="1219">
        <v>45627</v>
      </c>
      <c r="DA29" s="1219">
        <v>45658</v>
      </c>
      <c r="DB29" s="1219">
        <v>45689</v>
      </c>
      <c r="DC29" s="1219">
        <v>45717</v>
      </c>
      <c r="DD29" s="1219">
        <v>45748</v>
      </c>
      <c r="DE29" s="1219">
        <v>45778</v>
      </c>
    </row>
    <row r="30" spans="1:109" x14ac:dyDescent="0.3">
      <c r="A30" t="s">
        <v>2143</v>
      </c>
      <c r="I30" s="1220">
        <f>-H12*14%/12</f>
        <v>-4091729.1025683335</v>
      </c>
      <c r="J30" s="1220">
        <f>I30</f>
        <v>-4091729.1025683335</v>
      </c>
      <c r="K30" s="1220">
        <f>J30</f>
        <v>-4091729.1025683335</v>
      </c>
      <c r="L30" s="1220">
        <f t="shared" ref="L30:BW30" si="1">K30</f>
        <v>-4091729.1025683335</v>
      </c>
      <c r="M30" s="1220">
        <f t="shared" si="1"/>
        <v>-4091729.1025683335</v>
      </c>
      <c r="N30" s="1220">
        <f t="shared" si="1"/>
        <v>-4091729.1025683335</v>
      </c>
      <c r="O30" s="1220">
        <f t="shared" si="1"/>
        <v>-4091729.1025683335</v>
      </c>
      <c r="P30" s="1220">
        <f t="shared" si="1"/>
        <v>-4091729.1025683335</v>
      </c>
      <c r="Q30" s="1220">
        <f t="shared" si="1"/>
        <v>-4091729.1025683335</v>
      </c>
      <c r="R30" s="1220">
        <f t="shared" si="1"/>
        <v>-4091729.1025683335</v>
      </c>
      <c r="S30" s="1220">
        <f t="shared" si="1"/>
        <v>-4091729.1025683335</v>
      </c>
      <c r="T30" s="1220">
        <f t="shared" si="1"/>
        <v>-4091729.1025683335</v>
      </c>
      <c r="U30" s="1220">
        <f t="shared" si="1"/>
        <v>-4091729.1025683335</v>
      </c>
      <c r="V30" s="1220">
        <f t="shared" si="1"/>
        <v>-4091729.1025683335</v>
      </c>
      <c r="W30" s="1220">
        <f t="shared" si="1"/>
        <v>-4091729.1025683335</v>
      </c>
      <c r="X30" s="1220">
        <f t="shared" si="1"/>
        <v>-4091729.1025683335</v>
      </c>
      <c r="Y30" s="1220">
        <f t="shared" si="1"/>
        <v>-4091729.1025683335</v>
      </c>
      <c r="Z30" s="1220">
        <f t="shared" si="1"/>
        <v>-4091729.1025683335</v>
      </c>
      <c r="AA30" s="1220">
        <f t="shared" si="1"/>
        <v>-4091729.1025683335</v>
      </c>
      <c r="AB30" s="1220">
        <f t="shared" si="1"/>
        <v>-4091729.1025683335</v>
      </c>
      <c r="AC30" s="1220">
        <f t="shared" si="1"/>
        <v>-4091729.1025683335</v>
      </c>
      <c r="AD30" s="1220">
        <f t="shared" si="1"/>
        <v>-4091729.1025683335</v>
      </c>
      <c r="AE30" s="1220">
        <f t="shared" si="1"/>
        <v>-4091729.1025683335</v>
      </c>
      <c r="AF30" s="1220">
        <f t="shared" si="1"/>
        <v>-4091729.1025683335</v>
      </c>
      <c r="AG30" s="1220">
        <f t="shared" si="1"/>
        <v>-4091729.1025683335</v>
      </c>
      <c r="AH30" s="1220">
        <f t="shared" si="1"/>
        <v>-4091729.1025683335</v>
      </c>
      <c r="AI30" s="1220">
        <f t="shared" si="1"/>
        <v>-4091729.1025683335</v>
      </c>
      <c r="AJ30" s="1220">
        <f t="shared" si="1"/>
        <v>-4091729.1025683335</v>
      </c>
      <c r="AK30" s="1220">
        <f t="shared" si="1"/>
        <v>-4091729.1025683335</v>
      </c>
      <c r="AL30" s="1220">
        <f t="shared" si="1"/>
        <v>-4091729.1025683335</v>
      </c>
      <c r="AM30" s="1220">
        <f t="shared" si="1"/>
        <v>-4091729.1025683335</v>
      </c>
      <c r="AN30" s="1220">
        <f t="shared" si="1"/>
        <v>-4091729.1025683335</v>
      </c>
      <c r="AO30" s="1220">
        <f t="shared" si="1"/>
        <v>-4091729.1025683335</v>
      </c>
      <c r="AP30" s="1220">
        <f t="shared" si="1"/>
        <v>-4091729.1025683335</v>
      </c>
      <c r="AQ30" s="1220">
        <f t="shared" si="1"/>
        <v>-4091729.1025683335</v>
      </c>
      <c r="AR30" s="1220">
        <f t="shared" si="1"/>
        <v>-4091729.1025683335</v>
      </c>
      <c r="AS30" s="1220">
        <f t="shared" si="1"/>
        <v>-4091729.1025683335</v>
      </c>
      <c r="AT30" s="1220">
        <f t="shared" si="1"/>
        <v>-4091729.1025683335</v>
      </c>
      <c r="AU30" s="1220">
        <f t="shared" si="1"/>
        <v>-4091729.1025683335</v>
      </c>
      <c r="AV30" s="1220">
        <f t="shared" si="1"/>
        <v>-4091729.1025683335</v>
      </c>
      <c r="AW30" s="1220">
        <f t="shared" si="1"/>
        <v>-4091729.1025683335</v>
      </c>
      <c r="AX30" s="1220">
        <f t="shared" si="1"/>
        <v>-4091729.1025683335</v>
      </c>
      <c r="AY30" s="1220">
        <f t="shared" si="1"/>
        <v>-4091729.1025683335</v>
      </c>
      <c r="AZ30" s="1220">
        <f t="shared" si="1"/>
        <v>-4091729.1025683335</v>
      </c>
      <c r="BA30" s="1220">
        <f t="shared" si="1"/>
        <v>-4091729.1025683335</v>
      </c>
      <c r="BB30" s="1220">
        <f t="shared" si="1"/>
        <v>-4091729.1025683335</v>
      </c>
      <c r="BC30" s="1220">
        <f t="shared" si="1"/>
        <v>-4091729.1025683335</v>
      </c>
      <c r="BD30" s="1220">
        <f t="shared" si="1"/>
        <v>-4091729.1025683335</v>
      </c>
      <c r="BE30" s="1220">
        <f t="shared" si="1"/>
        <v>-4091729.1025683335</v>
      </c>
      <c r="BF30" s="1220">
        <f t="shared" si="1"/>
        <v>-4091729.1025683335</v>
      </c>
      <c r="BG30" s="1220">
        <f t="shared" si="1"/>
        <v>-4091729.1025683335</v>
      </c>
      <c r="BH30" s="1220">
        <f t="shared" si="1"/>
        <v>-4091729.1025683335</v>
      </c>
      <c r="BI30" s="1220">
        <f t="shared" si="1"/>
        <v>-4091729.1025683335</v>
      </c>
      <c r="BJ30" s="1220">
        <f t="shared" si="1"/>
        <v>-4091729.1025683335</v>
      </c>
      <c r="BK30" s="1220">
        <f t="shared" si="1"/>
        <v>-4091729.1025683335</v>
      </c>
      <c r="BL30" s="1220">
        <f t="shared" si="1"/>
        <v>-4091729.1025683335</v>
      </c>
      <c r="BM30" s="1220">
        <f t="shared" si="1"/>
        <v>-4091729.1025683335</v>
      </c>
      <c r="BN30" s="1220">
        <f t="shared" si="1"/>
        <v>-4091729.1025683335</v>
      </c>
      <c r="BO30" s="1220">
        <f t="shared" si="1"/>
        <v>-4091729.1025683335</v>
      </c>
      <c r="BP30" s="1220">
        <f t="shared" si="1"/>
        <v>-4091729.1025683335</v>
      </c>
      <c r="BQ30" s="1220">
        <f t="shared" si="1"/>
        <v>-4091729.1025683335</v>
      </c>
      <c r="BR30" s="1220">
        <f t="shared" si="1"/>
        <v>-4091729.1025683335</v>
      </c>
      <c r="BS30" s="1220">
        <f t="shared" si="1"/>
        <v>-4091729.1025683335</v>
      </c>
      <c r="BT30" s="1220">
        <f t="shared" si="1"/>
        <v>-4091729.1025683335</v>
      </c>
      <c r="BU30" s="1220">
        <f t="shared" si="1"/>
        <v>-4091729.1025683335</v>
      </c>
      <c r="BV30" s="1220">
        <f t="shared" si="1"/>
        <v>-4091729.1025683335</v>
      </c>
      <c r="BW30" s="1220">
        <f t="shared" si="1"/>
        <v>-4091729.1025683335</v>
      </c>
      <c r="BX30" s="1220">
        <f>BW30</f>
        <v>-4091729.1025683335</v>
      </c>
      <c r="BY30" s="1220">
        <f>BX30</f>
        <v>-4091729.1025683335</v>
      </c>
      <c r="BZ30" s="1220">
        <f>BY30</f>
        <v>-4091729.1025683335</v>
      </c>
      <c r="CA30" s="1220">
        <f>BZ30</f>
        <v>-4091729.1025683335</v>
      </c>
      <c r="CB30" s="1220">
        <f>CA30</f>
        <v>-4091729.1025683335</v>
      </c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1"/>
      <c r="DA30" s="101"/>
      <c r="DB30" s="101"/>
      <c r="DC30" s="101"/>
      <c r="DD30" s="101"/>
      <c r="DE30" s="101"/>
    </row>
    <row r="32" spans="1:109" x14ac:dyDescent="0.3">
      <c r="A32" s="1214" t="s">
        <v>2144</v>
      </c>
      <c r="H32" s="101">
        <f>H12/12</f>
        <v>29226636.446916666</v>
      </c>
    </row>
    <row r="33" spans="1:109" x14ac:dyDescent="0.3">
      <c r="I33" s="1220">
        <f>-H32*I20/12</f>
        <v>-340977.42521402781</v>
      </c>
      <c r="J33" s="1220">
        <f>I33</f>
        <v>-340977.42521402781</v>
      </c>
      <c r="K33" s="1220">
        <f>J33</f>
        <v>-340977.42521402781</v>
      </c>
      <c r="L33" s="1220">
        <f t="shared" ref="L33:BW33" si="2">K33</f>
        <v>-340977.42521402781</v>
      </c>
      <c r="M33" s="1220">
        <f t="shared" si="2"/>
        <v>-340977.42521402781</v>
      </c>
      <c r="N33" s="1220">
        <f t="shared" si="2"/>
        <v>-340977.42521402781</v>
      </c>
      <c r="O33" s="1220">
        <f t="shared" si="2"/>
        <v>-340977.42521402781</v>
      </c>
      <c r="P33" s="1220">
        <f t="shared" si="2"/>
        <v>-340977.42521402781</v>
      </c>
      <c r="Q33" s="1220">
        <f t="shared" si="2"/>
        <v>-340977.42521402781</v>
      </c>
      <c r="R33" s="1220">
        <f t="shared" si="2"/>
        <v>-340977.42521402781</v>
      </c>
      <c r="S33" s="1220">
        <f t="shared" si="2"/>
        <v>-340977.42521402781</v>
      </c>
      <c r="T33" s="1220">
        <f t="shared" si="2"/>
        <v>-340977.42521402781</v>
      </c>
      <c r="U33" s="1220">
        <f t="shared" si="2"/>
        <v>-340977.42521402781</v>
      </c>
      <c r="V33" s="1220">
        <f t="shared" si="2"/>
        <v>-340977.42521402781</v>
      </c>
      <c r="W33" s="1220">
        <f t="shared" si="2"/>
        <v>-340977.42521402781</v>
      </c>
      <c r="X33" s="1220">
        <f t="shared" si="2"/>
        <v>-340977.42521402781</v>
      </c>
      <c r="Y33" s="1220">
        <f t="shared" si="2"/>
        <v>-340977.42521402781</v>
      </c>
      <c r="Z33" s="1220">
        <f t="shared" si="2"/>
        <v>-340977.42521402781</v>
      </c>
      <c r="AA33" s="1220">
        <f t="shared" si="2"/>
        <v>-340977.42521402781</v>
      </c>
      <c r="AB33" s="1220">
        <f t="shared" si="2"/>
        <v>-340977.42521402781</v>
      </c>
      <c r="AC33" s="1220">
        <f t="shared" si="2"/>
        <v>-340977.42521402781</v>
      </c>
      <c r="AD33" s="1220">
        <f t="shared" si="2"/>
        <v>-340977.42521402781</v>
      </c>
      <c r="AE33" s="1220">
        <f t="shared" si="2"/>
        <v>-340977.42521402781</v>
      </c>
      <c r="AF33" s="1220">
        <f t="shared" si="2"/>
        <v>-340977.42521402781</v>
      </c>
      <c r="AG33" s="1220">
        <f t="shared" si="2"/>
        <v>-340977.42521402781</v>
      </c>
      <c r="AH33" s="1220">
        <f t="shared" si="2"/>
        <v>-340977.42521402781</v>
      </c>
      <c r="AI33" s="1220">
        <f t="shared" si="2"/>
        <v>-340977.42521402781</v>
      </c>
      <c r="AJ33" s="1220">
        <f t="shared" si="2"/>
        <v>-340977.42521402781</v>
      </c>
      <c r="AK33" s="1220">
        <f t="shared" si="2"/>
        <v>-340977.42521402781</v>
      </c>
      <c r="AL33" s="1220">
        <f t="shared" si="2"/>
        <v>-340977.42521402781</v>
      </c>
      <c r="AM33" s="1220">
        <f t="shared" si="2"/>
        <v>-340977.42521402781</v>
      </c>
      <c r="AN33" s="1220">
        <f t="shared" si="2"/>
        <v>-340977.42521402781</v>
      </c>
      <c r="AO33" s="1220">
        <f t="shared" si="2"/>
        <v>-340977.42521402781</v>
      </c>
      <c r="AP33" s="1220">
        <f t="shared" si="2"/>
        <v>-340977.42521402781</v>
      </c>
      <c r="AQ33" s="1220">
        <f t="shared" si="2"/>
        <v>-340977.42521402781</v>
      </c>
      <c r="AR33" s="1220">
        <f t="shared" si="2"/>
        <v>-340977.42521402781</v>
      </c>
      <c r="AS33" s="1220">
        <f t="shared" si="2"/>
        <v>-340977.42521402781</v>
      </c>
      <c r="AT33" s="1220">
        <f t="shared" si="2"/>
        <v>-340977.42521402781</v>
      </c>
      <c r="AU33" s="1220">
        <f t="shared" si="2"/>
        <v>-340977.42521402781</v>
      </c>
      <c r="AV33" s="1220">
        <f t="shared" si="2"/>
        <v>-340977.42521402781</v>
      </c>
      <c r="AW33" s="1220">
        <f t="shared" si="2"/>
        <v>-340977.42521402781</v>
      </c>
      <c r="AX33" s="1220">
        <f t="shared" si="2"/>
        <v>-340977.42521402781</v>
      </c>
      <c r="AY33" s="1220">
        <f t="shared" si="2"/>
        <v>-340977.42521402781</v>
      </c>
      <c r="AZ33" s="1220">
        <f t="shared" si="2"/>
        <v>-340977.42521402781</v>
      </c>
      <c r="BA33" s="1220">
        <f t="shared" si="2"/>
        <v>-340977.42521402781</v>
      </c>
      <c r="BB33" s="1220">
        <f t="shared" si="2"/>
        <v>-340977.42521402781</v>
      </c>
      <c r="BC33" s="1220">
        <f t="shared" si="2"/>
        <v>-340977.42521402781</v>
      </c>
      <c r="BD33" s="1220">
        <f t="shared" si="2"/>
        <v>-340977.42521402781</v>
      </c>
      <c r="BE33" s="1220">
        <f t="shared" si="2"/>
        <v>-340977.42521402781</v>
      </c>
      <c r="BF33" s="1220">
        <f t="shared" si="2"/>
        <v>-340977.42521402781</v>
      </c>
      <c r="BG33" s="1220">
        <f t="shared" si="2"/>
        <v>-340977.42521402781</v>
      </c>
      <c r="BH33" s="1220">
        <f t="shared" si="2"/>
        <v>-340977.42521402781</v>
      </c>
      <c r="BI33" s="1220">
        <f t="shared" si="2"/>
        <v>-340977.42521402781</v>
      </c>
      <c r="BJ33" s="1220">
        <f t="shared" si="2"/>
        <v>-340977.42521402781</v>
      </c>
      <c r="BK33" s="1220">
        <f t="shared" si="2"/>
        <v>-340977.42521402781</v>
      </c>
      <c r="BL33" s="1220">
        <f t="shared" si="2"/>
        <v>-340977.42521402781</v>
      </c>
      <c r="BM33" s="1220">
        <f t="shared" si="2"/>
        <v>-340977.42521402781</v>
      </c>
      <c r="BN33" s="1220">
        <f t="shared" si="2"/>
        <v>-340977.42521402781</v>
      </c>
      <c r="BO33" s="1220">
        <f t="shared" si="2"/>
        <v>-340977.42521402781</v>
      </c>
      <c r="BP33" s="1220">
        <f t="shared" si="2"/>
        <v>-340977.42521402781</v>
      </c>
      <c r="BQ33" s="1220">
        <f t="shared" si="2"/>
        <v>-340977.42521402781</v>
      </c>
      <c r="BR33" s="1220">
        <f t="shared" si="2"/>
        <v>-340977.42521402781</v>
      </c>
      <c r="BS33" s="1220">
        <f t="shared" si="2"/>
        <v>-340977.42521402781</v>
      </c>
      <c r="BT33" s="1220">
        <f t="shared" si="2"/>
        <v>-340977.42521402781</v>
      </c>
      <c r="BU33" s="1220">
        <f t="shared" si="2"/>
        <v>-340977.42521402781</v>
      </c>
      <c r="BV33" s="1220">
        <f t="shared" si="2"/>
        <v>-340977.42521402781</v>
      </c>
      <c r="BW33" s="1220">
        <f t="shared" si="2"/>
        <v>-340977.42521402781</v>
      </c>
      <c r="BX33" s="1220">
        <f t="shared" ref="BX33:CN33" si="3">BW33</f>
        <v>-340977.42521402781</v>
      </c>
      <c r="BY33" s="1220">
        <f t="shared" si="3"/>
        <v>-340977.42521402781</v>
      </c>
      <c r="BZ33" s="1220">
        <f t="shared" si="3"/>
        <v>-340977.42521402781</v>
      </c>
      <c r="CA33" s="1220">
        <f t="shared" si="3"/>
        <v>-340977.42521402781</v>
      </c>
      <c r="CB33" s="1220">
        <f t="shared" si="3"/>
        <v>-340977.42521402781</v>
      </c>
      <c r="CC33" s="1220">
        <f t="shared" si="3"/>
        <v>-340977.42521402781</v>
      </c>
      <c r="CD33" s="1220">
        <f t="shared" si="3"/>
        <v>-340977.42521402781</v>
      </c>
      <c r="CE33" s="1220">
        <f t="shared" si="3"/>
        <v>-340977.42521402781</v>
      </c>
      <c r="CF33" s="1220">
        <f t="shared" si="3"/>
        <v>-340977.42521402781</v>
      </c>
      <c r="CG33" s="1220">
        <f t="shared" si="3"/>
        <v>-340977.42521402781</v>
      </c>
      <c r="CH33" s="1220">
        <f t="shared" si="3"/>
        <v>-340977.42521402781</v>
      </c>
      <c r="CI33" s="1220">
        <f t="shared" si="3"/>
        <v>-340977.42521402781</v>
      </c>
      <c r="CJ33" s="1220">
        <f t="shared" si="3"/>
        <v>-340977.42521402781</v>
      </c>
      <c r="CK33" s="1220">
        <f t="shared" si="3"/>
        <v>-340977.42521402781</v>
      </c>
      <c r="CL33" s="1220">
        <f t="shared" si="3"/>
        <v>-340977.42521402781</v>
      </c>
      <c r="CM33" s="1220">
        <f t="shared" si="3"/>
        <v>-340977.42521402781</v>
      </c>
      <c r="CN33" s="101">
        <f t="shared" si="3"/>
        <v>-340977.42521402781</v>
      </c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</row>
    <row r="34" spans="1:109" x14ac:dyDescent="0.3">
      <c r="A34" s="1214" t="s">
        <v>2145</v>
      </c>
      <c r="H34" s="101">
        <f>52012857.5-29226636.4469167</f>
        <v>22786221.053083301</v>
      </c>
    </row>
    <row r="35" spans="1:109" x14ac:dyDescent="0.3">
      <c r="H35" s="1221"/>
      <c r="J35" s="1220">
        <f>-H34*I20/12</f>
        <v>-265839.24561930523</v>
      </c>
      <c r="K35" s="1220">
        <f>-H34*I20/12</f>
        <v>-265839.24561930523</v>
      </c>
      <c r="L35" s="1220">
        <f>K35</f>
        <v>-265839.24561930523</v>
      </c>
      <c r="M35" s="1220">
        <f t="shared" ref="M35:BX35" si="4">L35</f>
        <v>-265839.24561930523</v>
      </c>
      <c r="N35" s="1220">
        <f t="shared" si="4"/>
        <v>-265839.24561930523</v>
      </c>
      <c r="O35" s="1220">
        <f t="shared" si="4"/>
        <v>-265839.24561930523</v>
      </c>
      <c r="P35" s="1220">
        <f t="shared" si="4"/>
        <v>-265839.24561930523</v>
      </c>
      <c r="Q35" s="1220">
        <f t="shared" si="4"/>
        <v>-265839.24561930523</v>
      </c>
      <c r="R35" s="1220">
        <f t="shared" si="4"/>
        <v>-265839.24561930523</v>
      </c>
      <c r="S35" s="1220">
        <f t="shared" si="4"/>
        <v>-265839.24561930523</v>
      </c>
      <c r="T35" s="1220">
        <f t="shared" si="4"/>
        <v>-265839.24561930523</v>
      </c>
      <c r="U35" s="1220">
        <f t="shared" si="4"/>
        <v>-265839.24561930523</v>
      </c>
      <c r="V35" s="1220">
        <f t="shared" si="4"/>
        <v>-265839.24561930523</v>
      </c>
      <c r="W35" s="1220">
        <f t="shared" si="4"/>
        <v>-265839.24561930523</v>
      </c>
      <c r="X35" s="1220">
        <f t="shared" si="4"/>
        <v>-265839.24561930523</v>
      </c>
      <c r="Y35" s="1220">
        <f t="shared" si="4"/>
        <v>-265839.24561930523</v>
      </c>
      <c r="Z35" s="1220">
        <f t="shared" si="4"/>
        <v>-265839.24561930523</v>
      </c>
      <c r="AA35" s="1220">
        <f t="shared" si="4"/>
        <v>-265839.24561930523</v>
      </c>
      <c r="AB35" s="1220">
        <f t="shared" si="4"/>
        <v>-265839.24561930523</v>
      </c>
      <c r="AC35" s="1220">
        <f t="shared" si="4"/>
        <v>-265839.24561930523</v>
      </c>
      <c r="AD35" s="1220">
        <f t="shared" si="4"/>
        <v>-265839.24561930523</v>
      </c>
      <c r="AE35" s="1220">
        <f t="shared" si="4"/>
        <v>-265839.24561930523</v>
      </c>
      <c r="AF35" s="1220">
        <f t="shared" si="4"/>
        <v>-265839.24561930523</v>
      </c>
      <c r="AG35" s="1220">
        <f t="shared" si="4"/>
        <v>-265839.24561930523</v>
      </c>
      <c r="AH35" s="1220">
        <f t="shared" si="4"/>
        <v>-265839.24561930523</v>
      </c>
      <c r="AI35" s="1220">
        <f t="shared" si="4"/>
        <v>-265839.24561930523</v>
      </c>
      <c r="AJ35" s="1220">
        <f t="shared" si="4"/>
        <v>-265839.24561930523</v>
      </c>
      <c r="AK35" s="1220">
        <f t="shared" si="4"/>
        <v>-265839.24561930523</v>
      </c>
      <c r="AL35" s="1220">
        <f t="shared" si="4"/>
        <v>-265839.24561930523</v>
      </c>
      <c r="AM35" s="1220">
        <f t="shared" si="4"/>
        <v>-265839.24561930523</v>
      </c>
      <c r="AN35" s="1220">
        <f t="shared" si="4"/>
        <v>-265839.24561930523</v>
      </c>
      <c r="AO35" s="1220">
        <f t="shared" si="4"/>
        <v>-265839.24561930523</v>
      </c>
      <c r="AP35" s="1220">
        <f t="shared" si="4"/>
        <v>-265839.24561930523</v>
      </c>
      <c r="AQ35" s="1220">
        <f t="shared" si="4"/>
        <v>-265839.24561930523</v>
      </c>
      <c r="AR35" s="1220">
        <f t="shared" si="4"/>
        <v>-265839.24561930523</v>
      </c>
      <c r="AS35" s="1220">
        <f t="shared" si="4"/>
        <v>-265839.24561930523</v>
      </c>
      <c r="AT35" s="1220">
        <f t="shared" si="4"/>
        <v>-265839.24561930523</v>
      </c>
      <c r="AU35" s="1220">
        <f t="shared" si="4"/>
        <v>-265839.24561930523</v>
      </c>
      <c r="AV35" s="1220">
        <f t="shared" si="4"/>
        <v>-265839.24561930523</v>
      </c>
      <c r="AW35" s="1220">
        <f t="shared" si="4"/>
        <v>-265839.24561930523</v>
      </c>
      <c r="AX35" s="1220">
        <f t="shared" si="4"/>
        <v>-265839.24561930523</v>
      </c>
      <c r="AY35" s="1220">
        <f t="shared" si="4"/>
        <v>-265839.24561930523</v>
      </c>
      <c r="AZ35" s="1220">
        <f t="shared" si="4"/>
        <v>-265839.24561930523</v>
      </c>
      <c r="BA35" s="1220">
        <f t="shared" si="4"/>
        <v>-265839.24561930523</v>
      </c>
      <c r="BB35" s="1220">
        <f t="shared" si="4"/>
        <v>-265839.24561930523</v>
      </c>
      <c r="BC35" s="1220">
        <f t="shared" si="4"/>
        <v>-265839.24561930523</v>
      </c>
      <c r="BD35" s="1220">
        <f t="shared" si="4"/>
        <v>-265839.24561930523</v>
      </c>
      <c r="BE35" s="1220">
        <f t="shared" si="4"/>
        <v>-265839.24561930523</v>
      </c>
      <c r="BF35" s="1220">
        <f t="shared" si="4"/>
        <v>-265839.24561930523</v>
      </c>
      <c r="BG35" s="1220">
        <f t="shared" si="4"/>
        <v>-265839.24561930523</v>
      </c>
      <c r="BH35" s="1220">
        <f t="shared" si="4"/>
        <v>-265839.24561930523</v>
      </c>
      <c r="BI35" s="1220">
        <f t="shared" si="4"/>
        <v>-265839.24561930523</v>
      </c>
      <c r="BJ35" s="1220">
        <f t="shared" si="4"/>
        <v>-265839.24561930523</v>
      </c>
      <c r="BK35" s="1220">
        <f t="shared" si="4"/>
        <v>-265839.24561930523</v>
      </c>
      <c r="BL35" s="1220">
        <f t="shared" si="4"/>
        <v>-265839.24561930523</v>
      </c>
      <c r="BM35" s="1220">
        <f t="shared" si="4"/>
        <v>-265839.24561930523</v>
      </c>
      <c r="BN35" s="1220">
        <f t="shared" si="4"/>
        <v>-265839.24561930523</v>
      </c>
      <c r="BO35" s="1220">
        <f t="shared" si="4"/>
        <v>-265839.24561930523</v>
      </c>
      <c r="BP35" s="1220">
        <f t="shared" si="4"/>
        <v>-265839.24561930523</v>
      </c>
      <c r="BQ35" s="1220">
        <f t="shared" si="4"/>
        <v>-265839.24561930523</v>
      </c>
      <c r="BR35" s="1220">
        <f t="shared" si="4"/>
        <v>-265839.24561930523</v>
      </c>
      <c r="BS35" s="1220">
        <f t="shared" si="4"/>
        <v>-265839.24561930523</v>
      </c>
      <c r="BT35" s="1220">
        <f t="shared" si="4"/>
        <v>-265839.24561930523</v>
      </c>
      <c r="BU35" s="1220">
        <f t="shared" si="4"/>
        <v>-265839.24561930523</v>
      </c>
      <c r="BV35" s="1220">
        <f t="shared" si="4"/>
        <v>-265839.24561930523</v>
      </c>
      <c r="BW35" s="1220">
        <f t="shared" si="4"/>
        <v>-265839.24561930523</v>
      </c>
      <c r="BX35" s="1220">
        <f t="shared" si="4"/>
        <v>-265839.24561930523</v>
      </c>
      <c r="BY35" s="1220">
        <f t="shared" ref="BY35:CN35" si="5">BX35</f>
        <v>-265839.24561930523</v>
      </c>
      <c r="BZ35" s="1220">
        <f t="shared" si="5"/>
        <v>-265839.24561930523</v>
      </c>
      <c r="CA35" s="1220">
        <f t="shared" si="5"/>
        <v>-265839.24561930523</v>
      </c>
      <c r="CB35" s="1220">
        <f t="shared" si="5"/>
        <v>-265839.24561930523</v>
      </c>
      <c r="CC35" s="1220">
        <f t="shared" si="5"/>
        <v>-265839.24561930523</v>
      </c>
      <c r="CD35" s="1220">
        <f t="shared" si="5"/>
        <v>-265839.24561930523</v>
      </c>
      <c r="CE35" s="1220">
        <f t="shared" si="5"/>
        <v>-265839.24561930523</v>
      </c>
      <c r="CF35" s="1220">
        <f t="shared" si="5"/>
        <v>-265839.24561930523</v>
      </c>
      <c r="CG35" s="1220">
        <f t="shared" si="5"/>
        <v>-265839.24561930523</v>
      </c>
      <c r="CH35" s="1220">
        <f t="shared" si="5"/>
        <v>-265839.24561930523</v>
      </c>
      <c r="CI35" s="1220">
        <f t="shared" si="5"/>
        <v>-265839.24561930523</v>
      </c>
      <c r="CJ35" s="1220">
        <f t="shared" si="5"/>
        <v>-265839.24561930523</v>
      </c>
      <c r="CK35" s="1220">
        <f t="shared" si="5"/>
        <v>-265839.24561930523</v>
      </c>
      <c r="CL35" s="1220">
        <f t="shared" si="5"/>
        <v>-265839.24561930523</v>
      </c>
      <c r="CM35" s="1220">
        <f t="shared" si="5"/>
        <v>-265839.24561930523</v>
      </c>
      <c r="CN35" s="1220">
        <f t="shared" si="5"/>
        <v>-265839.24561930523</v>
      </c>
      <c r="CO35" s="1220"/>
    </row>
    <row r="36" spans="1:109" x14ac:dyDescent="0.3">
      <c r="A36" s="1214" t="s">
        <v>2146</v>
      </c>
      <c r="H36" s="101">
        <v>45941201.575000033</v>
      </c>
    </row>
    <row r="37" spans="1:109" x14ac:dyDescent="0.3">
      <c r="H37" s="1221"/>
      <c r="K37" s="1220">
        <f>-$H36/84</f>
        <v>-546919.06636904797</v>
      </c>
      <c r="L37" s="1220">
        <f t="shared" ref="L37:BW37" si="6">-$H36/84</f>
        <v>-546919.06636904797</v>
      </c>
      <c r="M37" s="1220">
        <f t="shared" si="6"/>
        <v>-546919.06636904797</v>
      </c>
      <c r="N37" s="1220">
        <f t="shared" si="6"/>
        <v>-546919.06636904797</v>
      </c>
      <c r="O37" s="1220">
        <f t="shared" si="6"/>
        <v>-546919.06636904797</v>
      </c>
      <c r="P37" s="1220">
        <f t="shared" si="6"/>
        <v>-546919.06636904797</v>
      </c>
      <c r="Q37" s="1220">
        <f t="shared" si="6"/>
        <v>-546919.06636904797</v>
      </c>
      <c r="R37" s="1220">
        <f t="shared" si="6"/>
        <v>-546919.06636904797</v>
      </c>
      <c r="S37" s="1220">
        <f t="shared" si="6"/>
        <v>-546919.06636904797</v>
      </c>
      <c r="T37" s="1220">
        <f t="shared" si="6"/>
        <v>-546919.06636904797</v>
      </c>
      <c r="U37" s="1220">
        <f t="shared" si="6"/>
        <v>-546919.06636904797</v>
      </c>
      <c r="V37" s="1220">
        <f t="shared" si="6"/>
        <v>-546919.06636904797</v>
      </c>
      <c r="W37" s="1220">
        <f t="shared" si="6"/>
        <v>-546919.06636904797</v>
      </c>
      <c r="X37" s="1220">
        <f t="shared" si="6"/>
        <v>-546919.06636904797</v>
      </c>
      <c r="Y37" s="1220">
        <f t="shared" si="6"/>
        <v>-546919.06636904797</v>
      </c>
      <c r="Z37" s="1220">
        <f t="shared" si="6"/>
        <v>-546919.06636904797</v>
      </c>
      <c r="AA37" s="1220">
        <f t="shared" si="6"/>
        <v>-546919.06636904797</v>
      </c>
      <c r="AB37" s="1220">
        <f t="shared" si="6"/>
        <v>-546919.06636904797</v>
      </c>
      <c r="AC37" s="1220">
        <f t="shared" si="6"/>
        <v>-546919.06636904797</v>
      </c>
      <c r="AD37" s="1220">
        <f t="shared" si="6"/>
        <v>-546919.06636904797</v>
      </c>
      <c r="AE37" s="1220">
        <f t="shared" si="6"/>
        <v>-546919.06636904797</v>
      </c>
      <c r="AF37" s="1220">
        <f t="shared" si="6"/>
        <v>-546919.06636904797</v>
      </c>
      <c r="AG37" s="1220">
        <f t="shared" si="6"/>
        <v>-546919.06636904797</v>
      </c>
      <c r="AH37" s="1220">
        <f t="shared" si="6"/>
        <v>-546919.06636904797</v>
      </c>
      <c r="AI37" s="1220">
        <f t="shared" si="6"/>
        <v>-546919.06636904797</v>
      </c>
      <c r="AJ37" s="1220">
        <f t="shared" si="6"/>
        <v>-546919.06636904797</v>
      </c>
      <c r="AK37" s="1220">
        <f t="shared" si="6"/>
        <v>-546919.06636904797</v>
      </c>
      <c r="AL37" s="1220">
        <f t="shared" si="6"/>
        <v>-546919.06636904797</v>
      </c>
      <c r="AM37" s="1220">
        <f t="shared" si="6"/>
        <v>-546919.06636904797</v>
      </c>
      <c r="AN37" s="1220">
        <f t="shared" si="6"/>
        <v>-546919.06636904797</v>
      </c>
      <c r="AO37" s="1220">
        <f t="shared" si="6"/>
        <v>-546919.06636904797</v>
      </c>
      <c r="AP37" s="1220">
        <f t="shared" si="6"/>
        <v>-546919.06636904797</v>
      </c>
      <c r="AQ37" s="1220">
        <f t="shared" si="6"/>
        <v>-546919.06636904797</v>
      </c>
      <c r="AR37" s="1220">
        <f t="shared" si="6"/>
        <v>-546919.06636904797</v>
      </c>
      <c r="AS37" s="1220">
        <f t="shared" si="6"/>
        <v>-546919.06636904797</v>
      </c>
      <c r="AT37" s="1220">
        <f t="shared" si="6"/>
        <v>-546919.06636904797</v>
      </c>
      <c r="AU37" s="1220">
        <f t="shared" si="6"/>
        <v>-546919.06636904797</v>
      </c>
      <c r="AV37" s="1220">
        <f t="shared" si="6"/>
        <v>-546919.06636904797</v>
      </c>
      <c r="AW37" s="1220">
        <f t="shared" si="6"/>
        <v>-546919.06636904797</v>
      </c>
      <c r="AX37" s="1220">
        <f t="shared" si="6"/>
        <v>-546919.06636904797</v>
      </c>
      <c r="AY37" s="1220">
        <f t="shared" si="6"/>
        <v>-546919.06636904797</v>
      </c>
      <c r="AZ37" s="1220">
        <f t="shared" si="6"/>
        <v>-546919.06636904797</v>
      </c>
      <c r="BA37" s="1220">
        <f t="shared" si="6"/>
        <v>-546919.06636904797</v>
      </c>
      <c r="BB37" s="1220">
        <f t="shared" si="6"/>
        <v>-546919.06636904797</v>
      </c>
      <c r="BC37" s="1220">
        <f t="shared" si="6"/>
        <v>-546919.06636904797</v>
      </c>
      <c r="BD37" s="1220">
        <f t="shared" si="6"/>
        <v>-546919.06636904797</v>
      </c>
      <c r="BE37" s="1220">
        <f t="shared" si="6"/>
        <v>-546919.06636904797</v>
      </c>
      <c r="BF37" s="1220">
        <f t="shared" si="6"/>
        <v>-546919.06636904797</v>
      </c>
      <c r="BG37" s="1220">
        <f t="shared" si="6"/>
        <v>-546919.06636904797</v>
      </c>
      <c r="BH37" s="1220">
        <f t="shared" si="6"/>
        <v>-546919.06636904797</v>
      </c>
      <c r="BI37" s="1220">
        <f t="shared" si="6"/>
        <v>-546919.06636904797</v>
      </c>
      <c r="BJ37" s="1220">
        <f t="shared" si="6"/>
        <v>-546919.06636904797</v>
      </c>
      <c r="BK37" s="1220">
        <f t="shared" si="6"/>
        <v>-546919.06636904797</v>
      </c>
      <c r="BL37" s="1220">
        <f t="shared" si="6"/>
        <v>-546919.06636904797</v>
      </c>
      <c r="BM37" s="1220">
        <f t="shared" si="6"/>
        <v>-546919.06636904797</v>
      </c>
      <c r="BN37" s="1220">
        <f t="shared" si="6"/>
        <v>-546919.06636904797</v>
      </c>
      <c r="BO37" s="1220">
        <f t="shared" si="6"/>
        <v>-546919.06636904797</v>
      </c>
      <c r="BP37" s="1220">
        <f t="shared" si="6"/>
        <v>-546919.06636904797</v>
      </c>
      <c r="BQ37" s="1220">
        <f t="shared" si="6"/>
        <v>-546919.06636904797</v>
      </c>
      <c r="BR37" s="1220">
        <f t="shared" si="6"/>
        <v>-546919.06636904797</v>
      </c>
      <c r="BS37" s="1220">
        <f t="shared" si="6"/>
        <v>-546919.06636904797</v>
      </c>
      <c r="BT37" s="1220">
        <f t="shared" si="6"/>
        <v>-546919.06636904797</v>
      </c>
      <c r="BU37" s="1220">
        <f t="shared" si="6"/>
        <v>-546919.06636904797</v>
      </c>
      <c r="BV37" s="1220">
        <f t="shared" si="6"/>
        <v>-546919.06636904797</v>
      </c>
      <c r="BW37" s="1220">
        <f t="shared" si="6"/>
        <v>-546919.06636904797</v>
      </c>
      <c r="BX37" s="1220">
        <f t="shared" ref="BX37:CE37" si="7">-$H36/84</f>
        <v>-546919.06636904797</v>
      </c>
      <c r="BY37" s="1220">
        <f t="shared" si="7"/>
        <v>-546919.06636904797</v>
      </c>
      <c r="BZ37" s="1220">
        <f t="shared" si="7"/>
        <v>-546919.06636904797</v>
      </c>
      <c r="CA37" s="1220">
        <f t="shared" si="7"/>
        <v>-546919.06636904797</v>
      </c>
      <c r="CB37" s="1220">
        <f t="shared" si="7"/>
        <v>-546919.06636904797</v>
      </c>
      <c r="CC37" s="1220">
        <f t="shared" si="7"/>
        <v>-546919.06636904797</v>
      </c>
      <c r="CD37" s="1220">
        <f t="shared" si="7"/>
        <v>-546919.06636904797</v>
      </c>
      <c r="CE37" s="1220">
        <f t="shared" si="7"/>
        <v>-546919.06636904797</v>
      </c>
      <c r="CF37" s="1220">
        <f>-$H36/84</f>
        <v>-546919.06636904797</v>
      </c>
      <c r="CG37" s="1220">
        <f t="shared" ref="CG37:CP37" si="8">-$H36/84</f>
        <v>-546919.06636904797</v>
      </c>
      <c r="CH37" s="1220">
        <f t="shared" si="8"/>
        <v>-546919.06636904797</v>
      </c>
      <c r="CI37" s="1220">
        <f t="shared" si="8"/>
        <v>-546919.06636904797</v>
      </c>
      <c r="CJ37" s="1220">
        <f t="shared" si="8"/>
        <v>-546919.06636904797</v>
      </c>
      <c r="CK37" s="1220">
        <f t="shared" si="8"/>
        <v>-546919.06636904797</v>
      </c>
      <c r="CL37" s="1220">
        <f t="shared" si="8"/>
        <v>-546919.06636904797</v>
      </c>
      <c r="CM37" s="1220">
        <f t="shared" si="8"/>
        <v>-546919.06636904797</v>
      </c>
      <c r="CN37" s="1220">
        <f t="shared" si="8"/>
        <v>-546919.06636904797</v>
      </c>
      <c r="CO37" s="1220">
        <f t="shared" si="8"/>
        <v>-546919.06636904797</v>
      </c>
      <c r="CP37" s="1220">
        <f t="shared" si="8"/>
        <v>-546919.06636904797</v>
      </c>
    </row>
    <row r="38" spans="1:109" x14ac:dyDescent="0.3">
      <c r="A38" s="1214" t="s">
        <v>2147</v>
      </c>
      <c r="H38" s="101">
        <f>26006428.75-164298.824999988</f>
        <v>25842129.925000012</v>
      </c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</row>
    <row r="39" spans="1:109" x14ac:dyDescent="0.3">
      <c r="H39" s="1221"/>
      <c r="L39" s="1220">
        <f>-$H38/84</f>
        <v>-307644.40386904776</v>
      </c>
      <c r="M39" s="1220">
        <f>-$H38/84</f>
        <v>-307644.40386904776</v>
      </c>
      <c r="N39" s="1220">
        <f t="shared" ref="N39:BY39" si="9">-$H38/84</f>
        <v>-307644.40386904776</v>
      </c>
      <c r="O39" s="1220">
        <f t="shared" si="9"/>
        <v>-307644.40386904776</v>
      </c>
      <c r="P39" s="1220">
        <f t="shared" si="9"/>
        <v>-307644.40386904776</v>
      </c>
      <c r="Q39" s="1220">
        <f t="shared" si="9"/>
        <v>-307644.40386904776</v>
      </c>
      <c r="R39" s="1220">
        <f t="shared" si="9"/>
        <v>-307644.40386904776</v>
      </c>
      <c r="S39" s="1220">
        <f t="shared" si="9"/>
        <v>-307644.40386904776</v>
      </c>
      <c r="T39" s="1220">
        <f t="shared" si="9"/>
        <v>-307644.40386904776</v>
      </c>
      <c r="U39" s="1220">
        <f t="shared" si="9"/>
        <v>-307644.40386904776</v>
      </c>
      <c r="V39" s="1220">
        <f t="shared" si="9"/>
        <v>-307644.40386904776</v>
      </c>
      <c r="W39" s="1220">
        <f t="shared" si="9"/>
        <v>-307644.40386904776</v>
      </c>
      <c r="X39" s="1220">
        <f t="shared" si="9"/>
        <v>-307644.40386904776</v>
      </c>
      <c r="Y39" s="1220">
        <f t="shared" si="9"/>
        <v>-307644.40386904776</v>
      </c>
      <c r="Z39" s="1220">
        <f t="shared" si="9"/>
        <v>-307644.40386904776</v>
      </c>
      <c r="AA39" s="1220">
        <f t="shared" si="9"/>
        <v>-307644.40386904776</v>
      </c>
      <c r="AB39" s="1220">
        <f t="shared" si="9"/>
        <v>-307644.40386904776</v>
      </c>
      <c r="AC39" s="1220">
        <f t="shared" si="9"/>
        <v>-307644.40386904776</v>
      </c>
      <c r="AD39" s="1220">
        <f t="shared" si="9"/>
        <v>-307644.40386904776</v>
      </c>
      <c r="AE39" s="1220">
        <f t="shared" si="9"/>
        <v>-307644.40386904776</v>
      </c>
      <c r="AF39" s="1220">
        <f t="shared" si="9"/>
        <v>-307644.40386904776</v>
      </c>
      <c r="AG39" s="1220">
        <f t="shared" si="9"/>
        <v>-307644.40386904776</v>
      </c>
      <c r="AH39" s="1220">
        <f t="shared" si="9"/>
        <v>-307644.40386904776</v>
      </c>
      <c r="AI39" s="1220">
        <f t="shared" si="9"/>
        <v>-307644.40386904776</v>
      </c>
      <c r="AJ39" s="1220">
        <f t="shared" si="9"/>
        <v>-307644.40386904776</v>
      </c>
      <c r="AK39" s="1220">
        <f t="shared" si="9"/>
        <v>-307644.40386904776</v>
      </c>
      <c r="AL39" s="1220">
        <f t="shared" si="9"/>
        <v>-307644.40386904776</v>
      </c>
      <c r="AM39" s="1220">
        <f t="shared" si="9"/>
        <v>-307644.40386904776</v>
      </c>
      <c r="AN39" s="1220">
        <f t="shared" si="9"/>
        <v>-307644.40386904776</v>
      </c>
      <c r="AO39" s="1220">
        <f t="shared" si="9"/>
        <v>-307644.40386904776</v>
      </c>
      <c r="AP39" s="1220">
        <f t="shared" si="9"/>
        <v>-307644.40386904776</v>
      </c>
      <c r="AQ39" s="1220">
        <f t="shared" si="9"/>
        <v>-307644.40386904776</v>
      </c>
      <c r="AR39" s="1220">
        <f t="shared" si="9"/>
        <v>-307644.40386904776</v>
      </c>
      <c r="AS39" s="1220">
        <f t="shared" si="9"/>
        <v>-307644.40386904776</v>
      </c>
      <c r="AT39" s="1220">
        <f t="shared" si="9"/>
        <v>-307644.40386904776</v>
      </c>
      <c r="AU39" s="1220">
        <f t="shared" si="9"/>
        <v>-307644.40386904776</v>
      </c>
      <c r="AV39" s="1220">
        <f t="shared" si="9"/>
        <v>-307644.40386904776</v>
      </c>
      <c r="AW39" s="1220">
        <f t="shared" si="9"/>
        <v>-307644.40386904776</v>
      </c>
      <c r="AX39" s="1220">
        <f t="shared" si="9"/>
        <v>-307644.40386904776</v>
      </c>
      <c r="AY39" s="1220">
        <f t="shared" si="9"/>
        <v>-307644.40386904776</v>
      </c>
      <c r="AZ39" s="1220">
        <f t="shared" si="9"/>
        <v>-307644.40386904776</v>
      </c>
      <c r="BA39" s="1220">
        <f t="shared" si="9"/>
        <v>-307644.40386904776</v>
      </c>
      <c r="BB39" s="1220">
        <f t="shared" si="9"/>
        <v>-307644.40386904776</v>
      </c>
      <c r="BC39" s="1220">
        <f t="shared" si="9"/>
        <v>-307644.40386904776</v>
      </c>
      <c r="BD39" s="1220">
        <f t="shared" si="9"/>
        <v>-307644.40386904776</v>
      </c>
      <c r="BE39" s="1220">
        <f t="shared" si="9"/>
        <v>-307644.40386904776</v>
      </c>
      <c r="BF39" s="1220">
        <f t="shared" si="9"/>
        <v>-307644.40386904776</v>
      </c>
      <c r="BG39" s="1220">
        <f t="shared" si="9"/>
        <v>-307644.40386904776</v>
      </c>
      <c r="BH39" s="1220">
        <f t="shared" si="9"/>
        <v>-307644.40386904776</v>
      </c>
      <c r="BI39" s="1220">
        <f t="shared" si="9"/>
        <v>-307644.40386904776</v>
      </c>
      <c r="BJ39" s="1220">
        <f t="shared" si="9"/>
        <v>-307644.40386904776</v>
      </c>
      <c r="BK39" s="1220">
        <f t="shared" si="9"/>
        <v>-307644.40386904776</v>
      </c>
      <c r="BL39" s="1220">
        <f t="shared" si="9"/>
        <v>-307644.40386904776</v>
      </c>
      <c r="BM39" s="1220">
        <f t="shared" si="9"/>
        <v>-307644.40386904776</v>
      </c>
      <c r="BN39" s="1220">
        <f t="shared" si="9"/>
        <v>-307644.40386904776</v>
      </c>
      <c r="BO39" s="1220">
        <f t="shared" si="9"/>
        <v>-307644.40386904776</v>
      </c>
      <c r="BP39" s="1220">
        <f t="shared" si="9"/>
        <v>-307644.40386904776</v>
      </c>
      <c r="BQ39" s="1220">
        <f t="shared" si="9"/>
        <v>-307644.40386904776</v>
      </c>
      <c r="BR39" s="1220">
        <f t="shared" si="9"/>
        <v>-307644.40386904776</v>
      </c>
      <c r="BS39" s="1220">
        <f t="shared" si="9"/>
        <v>-307644.40386904776</v>
      </c>
      <c r="BT39" s="1220">
        <f t="shared" si="9"/>
        <v>-307644.40386904776</v>
      </c>
      <c r="BU39" s="1220">
        <f t="shared" si="9"/>
        <v>-307644.40386904776</v>
      </c>
      <c r="BV39" s="1220">
        <f t="shared" si="9"/>
        <v>-307644.40386904776</v>
      </c>
      <c r="BW39" s="1220">
        <f t="shared" si="9"/>
        <v>-307644.40386904776</v>
      </c>
      <c r="BX39" s="1220">
        <f t="shared" si="9"/>
        <v>-307644.40386904776</v>
      </c>
      <c r="BY39" s="1220">
        <f t="shared" si="9"/>
        <v>-307644.40386904776</v>
      </c>
      <c r="BZ39" s="1220">
        <f t="shared" ref="BZ39:CQ39" si="10">-$H38/84</f>
        <v>-307644.40386904776</v>
      </c>
      <c r="CA39" s="1220">
        <f t="shared" si="10"/>
        <v>-307644.40386904776</v>
      </c>
      <c r="CB39" s="1220">
        <f t="shared" si="10"/>
        <v>-307644.40386904776</v>
      </c>
      <c r="CC39" s="1220">
        <f t="shared" si="10"/>
        <v>-307644.40386904776</v>
      </c>
      <c r="CD39" s="1220">
        <f t="shared" si="10"/>
        <v>-307644.40386904776</v>
      </c>
      <c r="CE39" s="1220">
        <f t="shared" si="10"/>
        <v>-307644.40386904776</v>
      </c>
      <c r="CF39" s="1220">
        <f t="shared" si="10"/>
        <v>-307644.40386904776</v>
      </c>
      <c r="CG39" s="1220">
        <f t="shared" si="10"/>
        <v>-307644.40386904776</v>
      </c>
      <c r="CH39" s="1220">
        <f t="shared" si="10"/>
        <v>-307644.40386904776</v>
      </c>
      <c r="CI39" s="1220">
        <f t="shared" si="10"/>
        <v>-307644.40386904776</v>
      </c>
      <c r="CJ39" s="1220">
        <f t="shared" si="10"/>
        <v>-307644.40386904776</v>
      </c>
      <c r="CK39" s="1220">
        <f t="shared" si="10"/>
        <v>-307644.40386904776</v>
      </c>
      <c r="CL39" s="1220">
        <f t="shared" si="10"/>
        <v>-307644.40386904776</v>
      </c>
      <c r="CM39" s="1220">
        <f t="shared" si="10"/>
        <v>-307644.40386904776</v>
      </c>
      <c r="CN39" s="1220">
        <f t="shared" si="10"/>
        <v>-307644.40386904776</v>
      </c>
      <c r="CO39" s="1220">
        <f t="shared" si="10"/>
        <v>-307644.40386904776</v>
      </c>
      <c r="CP39" s="1220">
        <f t="shared" si="10"/>
        <v>-307644.40386904776</v>
      </c>
      <c r="CQ39" s="1220">
        <f t="shared" si="10"/>
        <v>-307644.40386904776</v>
      </c>
      <c r="CR39" s="1220"/>
      <c r="CS39" s="1220"/>
      <c r="CT39" s="1220"/>
      <c r="CU39" s="1220"/>
      <c r="CV39" s="1220"/>
      <c r="CW39" s="1220"/>
      <c r="CX39" s="1220"/>
      <c r="CY39" s="1220"/>
      <c r="CZ39" s="1220"/>
      <c r="DA39" s="1220"/>
      <c r="DB39" s="1220"/>
      <c r="DC39" s="1220"/>
      <c r="DD39" s="1220"/>
      <c r="DE39" s="1220"/>
    </row>
    <row r="40" spans="1:109" x14ac:dyDescent="0.3">
      <c r="A40" s="1214" t="s">
        <v>2148</v>
      </c>
      <c r="G40" t="s">
        <v>2149</v>
      </c>
      <c r="H40" s="101">
        <f>26006428.75-164298.824999988</f>
        <v>25842129.925000012</v>
      </c>
      <c r="L40" s="1220"/>
      <c r="M40" s="1220">
        <f>-$H40/84</f>
        <v>-307644.40386904776</v>
      </c>
      <c r="N40" s="1220">
        <f t="shared" ref="N40:BY40" si="11">-$H40/84</f>
        <v>-307644.40386904776</v>
      </c>
      <c r="O40" s="1220">
        <f t="shared" si="11"/>
        <v>-307644.40386904776</v>
      </c>
      <c r="P40" s="1220">
        <f t="shared" si="11"/>
        <v>-307644.40386904776</v>
      </c>
      <c r="Q40" s="1220">
        <f t="shared" si="11"/>
        <v>-307644.40386904776</v>
      </c>
      <c r="R40" s="1220">
        <f t="shared" si="11"/>
        <v>-307644.40386904776</v>
      </c>
      <c r="S40" s="1220">
        <f t="shared" si="11"/>
        <v>-307644.40386904776</v>
      </c>
      <c r="T40" s="1220">
        <f t="shared" si="11"/>
        <v>-307644.40386904776</v>
      </c>
      <c r="U40" s="1220">
        <f t="shared" si="11"/>
        <v>-307644.40386904776</v>
      </c>
      <c r="V40" s="1220">
        <f t="shared" si="11"/>
        <v>-307644.40386904776</v>
      </c>
      <c r="W40" s="1220">
        <f t="shared" si="11"/>
        <v>-307644.40386904776</v>
      </c>
      <c r="X40" s="1220">
        <f t="shared" si="11"/>
        <v>-307644.40386904776</v>
      </c>
      <c r="Y40" s="1220">
        <f t="shared" si="11"/>
        <v>-307644.40386904776</v>
      </c>
      <c r="Z40" s="1220">
        <f t="shared" si="11"/>
        <v>-307644.40386904776</v>
      </c>
      <c r="AA40" s="1220">
        <f t="shared" si="11"/>
        <v>-307644.40386904776</v>
      </c>
      <c r="AB40" s="1220">
        <f t="shared" si="11"/>
        <v>-307644.40386904776</v>
      </c>
      <c r="AC40" s="1220">
        <f t="shared" si="11"/>
        <v>-307644.40386904776</v>
      </c>
      <c r="AD40" s="1220">
        <f t="shared" si="11"/>
        <v>-307644.40386904776</v>
      </c>
      <c r="AE40" s="1220">
        <f t="shared" si="11"/>
        <v>-307644.40386904776</v>
      </c>
      <c r="AF40" s="1220">
        <f t="shared" si="11"/>
        <v>-307644.40386904776</v>
      </c>
      <c r="AG40" s="1220">
        <f t="shared" si="11"/>
        <v>-307644.40386904776</v>
      </c>
      <c r="AH40" s="1220">
        <f t="shared" si="11"/>
        <v>-307644.40386904776</v>
      </c>
      <c r="AI40" s="1220">
        <f t="shared" si="11"/>
        <v>-307644.40386904776</v>
      </c>
      <c r="AJ40" s="1220">
        <f t="shared" si="11"/>
        <v>-307644.40386904776</v>
      </c>
      <c r="AK40" s="1220">
        <f t="shared" si="11"/>
        <v>-307644.40386904776</v>
      </c>
      <c r="AL40" s="1220">
        <f t="shared" si="11"/>
        <v>-307644.40386904776</v>
      </c>
      <c r="AM40" s="1220">
        <f t="shared" si="11"/>
        <v>-307644.40386904776</v>
      </c>
      <c r="AN40" s="1220">
        <f t="shared" si="11"/>
        <v>-307644.40386904776</v>
      </c>
      <c r="AO40" s="1220">
        <f t="shared" si="11"/>
        <v>-307644.40386904776</v>
      </c>
      <c r="AP40" s="1220">
        <f t="shared" si="11"/>
        <v>-307644.40386904776</v>
      </c>
      <c r="AQ40" s="1220">
        <f t="shared" si="11"/>
        <v>-307644.40386904776</v>
      </c>
      <c r="AR40" s="1220">
        <f t="shared" si="11"/>
        <v>-307644.40386904776</v>
      </c>
      <c r="AS40" s="1220">
        <f t="shared" si="11"/>
        <v>-307644.40386904776</v>
      </c>
      <c r="AT40" s="1220">
        <f t="shared" si="11"/>
        <v>-307644.40386904776</v>
      </c>
      <c r="AU40" s="1220">
        <f t="shared" si="11"/>
        <v>-307644.40386904776</v>
      </c>
      <c r="AV40" s="1220">
        <f t="shared" si="11"/>
        <v>-307644.40386904776</v>
      </c>
      <c r="AW40" s="1220">
        <f t="shared" si="11"/>
        <v>-307644.40386904776</v>
      </c>
      <c r="AX40" s="1220">
        <f t="shared" si="11"/>
        <v>-307644.40386904776</v>
      </c>
      <c r="AY40" s="1220">
        <f t="shared" si="11"/>
        <v>-307644.40386904776</v>
      </c>
      <c r="AZ40" s="1220">
        <f t="shared" si="11"/>
        <v>-307644.40386904776</v>
      </c>
      <c r="BA40" s="1220">
        <f t="shared" si="11"/>
        <v>-307644.40386904776</v>
      </c>
      <c r="BB40" s="1220">
        <f t="shared" si="11"/>
        <v>-307644.40386904776</v>
      </c>
      <c r="BC40" s="1220">
        <f t="shared" si="11"/>
        <v>-307644.40386904776</v>
      </c>
      <c r="BD40" s="1220">
        <f t="shared" si="11"/>
        <v>-307644.40386904776</v>
      </c>
      <c r="BE40" s="1220">
        <f t="shared" si="11"/>
        <v>-307644.40386904776</v>
      </c>
      <c r="BF40" s="1220">
        <f t="shared" si="11"/>
        <v>-307644.40386904776</v>
      </c>
      <c r="BG40" s="1220">
        <f t="shared" si="11"/>
        <v>-307644.40386904776</v>
      </c>
      <c r="BH40" s="1220">
        <f t="shared" si="11"/>
        <v>-307644.40386904776</v>
      </c>
      <c r="BI40" s="1220">
        <f t="shared" si="11"/>
        <v>-307644.40386904776</v>
      </c>
      <c r="BJ40" s="1220">
        <f t="shared" si="11"/>
        <v>-307644.40386904776</v>
      </c>
      <c r="BK40" s="1220">
        <f t="shared" si="11"/>
        <v>-307644.40386904776</v>
      </c>
      <c r="BL40" s="1220">
        <f t="shared" si="11"/>
        <v>-307644.40386904776</v>
      </c>
      <c r="BM40" s="1220">
        <f t="shared" si="11"/>
        <v>-307644.40386904776</v>
      </c>
      <c r="BN40" s="1220">
        <f t="shared" si="11"/>
        <v>-307644.40386904776</v>
      </c>
      <c r="BO40" s="1220">
        <f t="shared" si="11"/>
        <v>-307644.40386904776</v>
      </c>
      <c r="BP40" s="1220">
        <f t="shared" si="11"/>
        <v>-307644.40386904776</v>
      </c>
      <c r="BQ40" s="1220">
        <f t="shared" si="11"/>
        <v>-307644.40386904776</v>
      </c>
      <c r="BR40" s="1220">
        <f t="shared" si="11"/>
        <v>-307644.40386904776</v>
      </c>
      <c r="BS40" s="1220">
        <f t="shared" si="11"/>
        <v>-307644.40386904776</v>
      </c>
      <c r="BT40" s="1220">
        <f t="shared" si="11"/>
        <v>-307644.40386904776</v>
      </c>
      <c r="BU40" s="1220">
        <f t="shared" si="11"/>
        <v>-307644.40386904776</v>
      </c>
      <c r="BV40" s="1220">
        <f t="shared" si="11"/>
        <v>-307644.40386904776</v>
      </c>
      <c r="BW40" s="1220">
        <f t="shared" si="11"/>
        <v>-307644.40386904776</v>
      </c>
      <c r="BX40" s="1220">
        <f t="shared" si="11"/>
        <v>-307644.40386904776</v>
      </c>
      <c r="BY40" s="1220">
        <f t="shared" si="11"/>
        <v>-307644.40386904776</v>
      </c>
      <c r="BZ40" s="1220">
        <f t="shared" ref="BZ40:CR40" si="12">-$H40/84</f>
        <v>-307644.40386904776</v>
      </c>
      <c r="CA40" s="1220">
        <f t="shared" si="12"/>
        <v>-307644.40386904776</v>
      </c>
      <c r="CB40" s="1220">
        <f t="shared" si="12"/>
        <v>-307644.40386904776</v>
      </c>
      <c r="CC40" s="1220">
        <f t="shared" si="12"/>
        <v>-307644.40386904776</v>
      </c>
      <c r="CD40" s="1220">
        <f t="shared" si="12"/>
        <v>-307644.40386904776</v>
      </c>
      <c r="CE40" s="1220">
        <f t="shared" si="12"/>
        <v>-307644.40386904776</v>
      </c>
      <c r="CF40" s="1220">
        <f t="shared" si="12"/>
        <v>-307644.40386904776</v>
      </c>
      <c r="CG40" s="1220">
        <f t="shared" si="12"/>
        <v>-307644.40386904776</v>
      </c>
      <c r="CH40" s="1220">
        <f t="shared" si="12"/>
        <v>-307644.40386904776</v>
      </c>
      <c r="CI40" s="1220">
        <f t="shared" si="12"/>
        <v>-307644.40386904776</v>
      </c>
      <c r="CJ40" s="1220">
        <f t="shared" si="12"/>
        <v>-307644.40386904776</v>
      </c>
      <c r="CK40" s="1220">
        <f t="shared" si="12"/>
        <v>-307644.40386904776</v>
      </c>
      <c r="CL40" s="1220">
        <f t="shared" si="12"/>
        <v>-307644.40386904776</v>
      </c>
      <c r="CM40" s="1220">
        <f t="shared" si="12"/>
        <v>-307644.40386904776</v>
      </c>
      <c r="CN40" s="1220">
        <f t="shared" si="12"/>
        <v>-307644.40386904776</v>
      </c>
      <c r="CO40" s="1220">
        <f t="shared" si="12"/>
        <v>-307644.40386904776</v>
      </c>
      <c r="CP40" s="1220">
        <f t="shared" si="12"/>
        <v>-307644.40386904776</v>
      </c>
      <c r="CQ40" s="1220">
        <f t="shared" si="12"/>
        <v>-307644.40386904776</v>
      </c>
      <c r="CR40" s="1220">
        <f t="shared" si="12"/>
        <v>-307644.40386904776</v>
      </c>
      <c r="CS40" s="1220"/>
      <c r="CT40" s="1220"/>
      <c r="CU40" s="1220"/>
      <c r="CV40" s="1220"/>
      <c r="CW40" s="1220"/>
      <c r="CX40" s="1220"/>
      <c r="CY40" s="1220"/>
      <c r="CZ40" s="1220"/>
      <c r="DA40" s="1220"/>
      <c r="DB40" s="1220"/>
      <c r="DC40" s="1220"/>
      <c r="DD40" s="1220"/>
      <c r="DE40" s="1220"/>
    </row>
    <row r="41" spans="1:109" x14ac:dyDescent="0.3">
      <c r="H41" s="1221"/>
    </row>
    <row r="42" spans="1:109" x14ac:dyDescent="0.3">
      <c r="A42" s="1214" t="s">
        <v>2150</v>
      </c>
      <c r="G42" t="s">
        <v>2149</v>
      </c>
      <c r="H42" s="101">
        <f>26006428.75-164298.824999988</f>
        <v>25842129.925000012</v>
      </c>
      <c r="L42" s="1220"/>
      <c r="M42" s="1220"/>
      <c r="N42" s="1220">
        <f t="shared" ref="N42:AS42" si="13">-$H42/84</f>
        <v>-307644.40386904776</v>
      </c>
      <c r="O42" s="1220">
        <f t="shared" si="13"/>
        <v>-307644.40386904776</v>
      </c>
      <c r="P42" s="1220">
        <f t="shared" si="13"/>
        <v>-307644.40386904776</v>
      </c>
      <c r="Q42" s="1220">
        <f t="shared" si="13"/>
        <v>-307644.40386904776</v>
      </c>
      <c r="R42" s="1220">
        <f t="shared" si="13"/>
        <v>-307644.40386904776</v>
      </c>
      <c r="S42" s="1220">
        <f t="shared" si="13"/>
        <v>-307644.40386904776</v>
      </c>
      <c r="T42" s="1220">
        <f t="shared" si="13"/>
        <v>-307644.40386904776</v>
      </c>
      <c r="U42" s="1220">
        <f t="shared" si="13"/>
        <v>-307644.40386904776</v>
      </c>
      <c r="V42" s="1220">
        <f t="shared" si="13"/>
        <v>-307644.40386904776</v>
      </c>
      <c r="W42" s="1220">
        <f t="shared" si="13"/>
        <v>-307644.40386904776</v>
      </c>
      <c r="X42" s="1220">
        <f t="shared" si="13"/>
        <v>-307644.40386904776</v>
      </c>
      <c r="Y42" s="1220">
        <f t="shared" si="13"/>
        <v>-307644.40386904776</v>
      </c>
      <c r="Z42" s="1220">
        <f t="shared" si="13"/>
        <v>-307644.40386904776</v>
      </c>
      <c r="AA42" s="1220">
        <f t="shared" si="13"/>
        <v>-307644.40386904776</v>
      </c>
      <c r="AB42" s="1220">
        <f t="shared" si="13"/>
        <v>-307644.40386904776</v>
      </c>
      <c r="AC42" s="1220">
        <f t="shared" si="13"/>
        <v>-307644.40386904776</v>
      </c>
      <c r="AD42" s="1220">
        <f t="shared" si="13"/>
        <v>-307644.40386904776</v>
      </c>
      <c r="AE42" s="1220">
        <f t="shared" si="13"/>
        <v>-307644.40386904776</v>
      </c>
      <c r="AF42" s="1220">
        <f t="shared" si="13"/>
        <v>-307644.40386904776</v>
      </c>
      <c r="AG42" s="1220">
        <f t="shared" si="13"/>
        <v>-307644.40386904776</v>
      </c>
      <c r="AH42" s="1220">
        <f t="shared" si="13"/>
        <v>-307644.40386904776</v>
      </c>
      <c r="AI42" s="1220">
        <f t="shared" si="13"/>
        <v>-307644.40386904776</v>
      </c>
      <c r="AJ42" s="1220">
        <f t="shared" si="13"/>
        <v>-307644.40386904776</v>
      </c>
      <c r="AK42" s="1220">
        <f t="shared" si="13"/>
        <v>-307644.40386904776</v>
      </c>
      <c r="AL42" s="1220">
        <f t="shared" si="13"/>
        <v>-307644.40386904776</v>
      </c>
      <c r="AM42" s="1220">
        <f t="shared" si="13"/>
        <v>-307644.40386904776</v>
      </c>
      <c r="AN42" s="1220">
        <f t="shared" si="13"/>
        <v>-307644.40386904776</v>
      </c>
      <c r="AO42" s="1220">
        <f t="shared" si="13"/>
        <v>-307644.40386904776</v>
      </c>
      <c r="AP42" s="1220">
        <f t="shared" si="13"/>
        <v>-307644.40386904776</v>
      </c>
      <c r="AQ42" s="1220">
        <f t="shared" si="13"/>
        <v>-307644.40386904776</v>
      </c>
      <c r="AR42" s="1220">
        <f t="shared" si="13"/>
        <v>-307644.40386904776</v>
      </c>
      <c r="AS42" s="1220">
        <f t="shared" si="13"/>
        <v>-307644.40386904776</v>
      </c>
      <c r="AT42" s="1220">
        <f t="shared" ref="AT42:BZ42" si="14">-$H42/84</f>
        <v>-307644.40386904776</v>
      </c>
      <c r="AU42" s="1220">
        <f t="shared" si="14"/>
        <v>-307644.40386904776</v>
      </c>
      <c r="AV42" s="1220">
        <f t="shared" si="14"/>
        <v>-307644.40386904776</v>
      </c>
      <c r="AW42" s="1220">
        <f t="shared" si="14"/>
        <v>-307644.40386904776</v>
      </c>
      <c r="AX42" s="1220">
        <f t="shared" si="14"/>
        <v>-307644.40386904776</v>
      </c>
      <c r="AY42" s="1220">
        <f t="shared" si="14"/>
        <v>-307644.40386904776</v>
      </c>
      <c r="AZ42" s="1220">
        <f t="shared" si="14"/>
        <v>-307644.40386904776</v>
      </c>
      <c r="BA42" s="1220">
        <f t="shared" si="14"/>
        <v>-307644.40386904776</v>
      </c>
      <c r="BB42" s="1220">
        <f t="shared" si="14"/>
        <v>-307644.40386904776</v>
      </c>
      <c r="BC42" s="1220">
        <f t="shared" si="14"/>
        <v>-307644.40386904776</v>
      </c>
      <c r="BD42" s="1220">
        <f t="shared" si="14"/>
        <v>-307644.40386904776</v>
      </c>
      <c r="BE42" s="1220">
        <f t="shared" si="14"/>
        <v>-307644.40386904776</v>
      </c>
      <c r="BF42" s="1220">
        <f t="shared" si="14"/>
        <v>-307644.40386904776</v>
      </c>
      <c r="BG42" s="1220">
        <f t="shared" si="14"/>
        <v>-307644.40386904776</v>
      </c>
      <c r="BH42" s="1220">
        <f t="shared" si="14"/>
        <v>-307644.40386904776</v>
      </c>
      <c r="BI42" s="1220">
        <f t="shared" si="14"/>
        <v>-307644.40386904776</v>
      </c>
      <c r="BJ42" s="1220">
        <f t="shared" si="14"/>
        <v>-307644.40386904776</v>
      </c>
      <c r="BK42" s="1220">
        <f t="shared" si="14"/>
        <v>-307644.40386904776</v>
      </c>
      <c r="BL42" s="1220">
        <f t="shared" si="14"/>
        <v>-307644.40386904776</v>
      </c>
      <c r="BM42" s="1220">
        <f t="shared" si="14"/>
        <v>-307644.40386904776</v>
      </c>
      <c r="BN42" s="1220">
        <f t="shared" si="14"/>
        <v>-307644.40386904776</v>
      </c>
      <c r="BO42" s="1220">
        <f t="shared" si="14"/>
        <v>-307644.40386904776</v>
      </c>
      <c r="BP42" s="1220">
        <f t="shared" si="14"/>
        <v>-307644.40386904776</v>
      </c>
      <c r="BQ42" s="1220">
        <f t="shared" si="14"/>
        <v>-307644.40386904776</v>
      </c>
      <c r="BR42" s="1220">
        <f t="shared" si="14"/>
        <v>-307644.40386904776</v>
      </c>
      <c r="BS42" s="1220">
        <f t="shared" si="14"/>
        <v>-307644.40386904776</v>
      </c>
      <c r="BT42" s="1220">
        <f t="shared" si="14"/>
        <v>-307644.40386904776</v>
      </c>
      <c r="BU42" s="1220">
        <f t="shared" si="14"/>
        <v>-307644.40386904776</v>
      </c>
      <c r="BV42" s="1220">
        <f t="shared" si="14"/>
        <v>-307644.40386904776</v>
      </c>
      <c r="BW42" s="1220">
        <f t="shared" si="14"/>
        <v>-307644.40386904776</v>
      </c>
      <c r="BX42" s="1220">
        <f t="shared" si="14"/>
        <v>-307644.40386904776</v>
      </c>
      <c r="BY42" s="1220">
        <f t="shared" si="14"/>
        <v>-307644.40386904776</v>
      </c>
      <c r="BZ42" s="1220">
        <f t="shared" si="14"/>
        <v>-307644.40386904776</v>
      </c>
      <c r="CA42" s="1220">
        <f t="shared" ref="CA42:CS42" si="15">-$H42/84</f>
        <v>-307644.40386904776</v>
      </c>
      <c r="CB42" s="1220">
        <f t="shared" si="15"/>
        <v>-307644.40386904776</v>
      </c>
      <c r="CC42" s="1220">
        <f t="shared" si="15"/>
        <v>-307644.40386904776</v>
      </c>
      <c r="CD42" s="1220">
        <f t="shared" si="15"/>
        <v>-307644.40386904776</v>
      </c>
      <c r="CE42" s="1220">
        <f t="shared" si="15"/>
        <v>-307644.40386904776</v>
      </c>
      <c r="CF42" s="1220">
        <f t="shared" si="15"/>
        <v>-307644.40386904776</v>
      </c>
      <c r="CG42" s="1220">
        <f t="shared" si="15"/>
        <v>-307644.40386904776</v>
      </c>
      <c r="CH42" s="1220">
        <f t="shared" si="15"/>
        <v>-307644.40386904776</v>
      </c>
      <c r="CI42" s="1220">
        <f t="shared" si="15"/>
        <v>-307644.40386904776</v>
      </c>
      <c r="CJ42" s="1220">
        <f t="shared" si="15"/>
        <v>-307644.40386904776</v>
      </c>
      <c r="CK42" s="1220">
        <f t="shared" si="15"/>
        <v>-307644.40386904776</v>
      </c>
      <c r="CL42" s="1220">
        <f t="shared" si="15"/>
        <v>-307644.40386904776</v>
      </c>
      <c r="CM42" s="1220">
        <f t="shared" si="15"/>
        <v>-307644.40386904776</v>
      </c>
      <c r="CN42" s="1220">
        <f t="shared" si="15"/>
        <v>-307644.40386904776</v>
      </c>
      <c r="CO42" s="1220">
        <f t="shared" si="15"/>
        <v>-307644.40386904776</v>
      </c>
      <c r="CP42" s="1220">
        <f t="shared" si="15"/>
        <v>-307644.40386904776</v>
      </c>
      <c r="CQ42" s="1220">
        <f t="shared" si="15"/>
        <v>-307644.40386904776</v>
      </c>
      <c r="CR42" s="1220">
        <f t="shared" si="15"/>
        <v>-307644.40386904776</v>
      </c>
      <c r="CS42" s="1220">
        <f t="shared" si="15"/>
        <v>-307644.40386904776</v>
      </c>
      <c r="CT42" s="1220"/>
      <c r="CU42" s="1220"/>
      <c r="CV42" s="1220"/>
      <c r="CW42" s="1220"/>
      <c r="CX42" s="1220"/>
      <c r="CY42" s="1220"/>
      <c r="CZ42" s="1220"/>
      <c r="DA42" s="1220"/>
      <c r="DB42" s="1220"/>
      <c r="DC42" s="1220"/>
      <c r="DD42" s="1220"/>
      <c r="DE42" s="1220"/>
    </row>
    <row r="43" spans="1:109" x14ac:dyDescent="0.3">
      <c r="H43" s="101"/>
      <c r="L43" s="1220"/>
      <c r="M43" s="1220"/>
      <c r="N43" s="1220"/>
      <c r="O43" s="1220"/>
      <c r="P43" s="1220"/>
      <c r="Q43" s="1220"/>
      <c r="R43" s="1220"/>
      <c r="S43" s="1220"/>
      <c r="T43" s="1220"/>
      <c r="U43" s="1220"/>
      <c r="V43" s="1220"/>
      <c r="W43" s="1220"/>
      <c r="X43" s="1220"/>
      <c r="Y43" s="1220"/>
      <c r="Z43" s="1220"/>
      <c r="AA43" s="1220"/>
      <c r="AB43" s="1220"/>
      <c r="AC43" s="1220"/>
      <c r="AD43" s="1220"/>
      <c r="AE43" s="1220"/>
      <c r="AF43" s="1220"/>
      <c r="AG43" s="1220"/>
      <c r="AH43" s="1220"/>
      <c r="AI43" s="1220"/>
      <c r="AJ43" s="1220"/>
      <c r="AK43" s="1220"/>
      <c r="AL43" s="1220"/>
      <c r="AM43" s="1220"/>
      <c r="AN43" s="1220"/>
      <c r="AO43" s="1220"/>
      <c r="AP43" s="1220"/>
      <c r="AQ43" s="1220"/>
      <c r="AR43" s="1220"/>
      <c r="AS43" s="1220"/>
      <c r="AT43" s="1220"/>
      <c r="AU43" s="1220"/>
      <c r="AV43" s="1220"/>
      <c r="AW43" s="1220"/>
      <c r="AX43" s="1220"/>
      <c r="AY43" s="1220"/>
      <c r="AZ43" s="1220"/>
      <c r="BA43" s="1220"/>
      <c r="BB43" s="1220"/>
      <c r="BC43" s="1220"/>
      <c r="BD43" s="1220"/>
      <c r="BE43" s="1220"/>
      <c r="BF43" s="1220"/>
      <c r="BG43" s="1220"/>
      <c r="BH43" s="1220"/>
      <c r="BI43" s="1220"/>
      <c r="BJ43" s="1220"/>
      <c r="BK43" s="1220"/>
      <c r="BL43" s="1220"/>
      <c r="BM43" s="1220"/>
      <c r="BN43" s="1220"/>
      <c r="BO43" s="1220"/>
      <c r="BP43" s="1220"/>
      <c r="BQ43" s="1220"/>
      <c r="BR43" s="1220"/>
      <c r="BS43" s="1220"/>
      <c r="BT43" s="1220"/>
      <c r="BU43" s="1220"/>
      <c r="BV43" s="1220"/>
      <c r="BW43" s="1220"/>
      <c r="BX43" s="1220"/>
      <c r="BY43" s="1220"/>
      <c r="BZ43" s="1220"/>
      <c r="CA43" s="1220"/>
      <c r="CB43" s="1220"/>
      <c r="CC43" s="1220"/>
      <c r="CD43" s="1220"/>
      <c r="CE43" s="1220"/>
      <c r="CF43" s="1220"/>
      <c r="CG43" s="1220"/>
      <c r="CH43" s="1220"/>
      <c r="CI43" s="1220"/>
      <c r="CJ43" s="1220"/>
      <c r="CK43" s="1220"/>
      <c r="CL43" s="1220"/>
      <c r="CM43" s="1220"/>
      <c r="CN43" s="1220"/>
      <c r="CO43" s="1220"/>
      <c r="CP43" s="1220"/>
      <c r="CQ43" s="1220"/>
      <c r="CR43" s="1220"/>
      <c r="CS43" s="1220"/>
      <c r="CT43" s="1220"/>
      <c r="CU43" s="1220"/>
      <c r="CV43" s="1220"/>
      <c r="CW43" s="1220"/>
      <c r="CX43" s="1220"/>
      <c r="CY43" s="1220"/>
      <c r="CZ43" s="1220"/>
      <c r="DA43" s="1220"/>
      <c r="DB43" s="1220"/>
      <c r="DC43" s="1220"/>
      <c r="DD43" s="1220"/>
      <c r="DE43" s="1220"/>
    </row>
    <row r="44" spans="1:109" x14ac:dyDescent="0.3">
      <c r="A44" s="1214" t="s">
        <v>2151</v>
      </c>
      <c r="G44" t="s">
        <v>2149</v>
      </c>
      <c r="H44" s="101">
        <f>26006428.75-164298.824999988</f>
        <v>25842129.925000012</v>
      </c>
      <c r="L44" s="1220"/>
      <c r="M44" s="1220"/>
      <c r="N44" s="1220"/>
      <c r="O44" s="1220">
        <f t="shared" ref="O44:AT44" si="16">-$H44/84</f>
        <v>-307644.40386904776</v>
      </c>
      <c r="P44" s="1220">
        <f t="shared" si="16"/>
        <v>-307644.40386904776</v>
      </c>
      <c r="Q44" s="1220">
        <f t="shared" si="16"/>
        <v>-307644.40386904776</v>
      </c>
      <c r="R44" s="1220">
        <f t="shared" si="16"/>
        <v>-307644.40386904776</v>
      </c>
      <c r="S44" s="1220">
        <f t="shared" si="16"/>
        <v>-307644.40386904776</v>
      </c>
      <c r="T44" s="1220">
        <f t="shared" si="16"/>
        <v>-307644.40386904776</v>
      </c>
      <c r="U44" s="1220">
        <f t="shared" si="16"/>
        <v>-307644.40386904776</v>
      </c>
      <c r="V44" s="1220">
        <f t="shared" si="16"/>
        <v>-307644.40386904776</v>
      </c>
      <c r="W44" s="1220">
        <f t="shared" si="16"/>
        <v>-307644.40386904776</v>
      </c>
      <c r="X44" s="1220">
        <f t="shared" si="16"/>
        <v>-307644.40386904776</v>
      </c>
      <c r="Y44" s="1220">
        <f t="shared" si="16"/>
        <v>-307644.40386904776</v>
      </c>
      <c r="Z44" s="1220">
        <f t="shared" si="16"/>
        <v>-307644.40386904776</v>
      </c>
      <c r="AA44" s="1220">
        <f t="shared" si="16"/>
        <v>-307644.40386904776</v>
      </c>
      <c r="AB44" s="1220">
        <f t="shared" si="16"/>
        <v>-307644.40386904776</v>
      </c>
      <c r="AC44" s="1220">
        <f t="shared" si="16"/>
        <v>-307644.40386904776</v>
      </c>
      <c r="AD44" s="1220">
        <f t="shared" si="16"/>
        <v>-307644.40386904776</v>
      </c>
      <c r="AE44" s="1220">
        <f t="shared" si="16"/>
        <v>-307644.40386904776</v>
      </c>
      <c r="AF44" s="1220">
        <f t="shared" si="16"/>
        <v>-307644.40386904776</v>
      </c>
      <c r="AG44" s="1220">
        <f t="shared" si="16"/>
        <v>-307644.40386904776</v>
      </c>
      <c r="AH44" s="1220">
        <f t="shared" si="16"/>
        <v>-307644.40386904776</v>
      </c>
      <c r="AI44" s="1220">
        <f t="shared" si="16"/>
        <v>-307644.40386904776</v>
      </c>
      <c r="AJ44" s="1220">
        <f t="shared" si="16"/>
        <v>-307644.40386904776</v>
      </c>
      <c r="AK44" s="1220">
        <f t="shared" si="16"/>
        <v>-307644.40386904776</v>
      </c>
      <c r="AL44" s="1220">
        <f t="shared" si="16"/>
        <v>-307644.40386904776</v>
      </c>
      <c r="AM44" s="1220">
        <f t="shared" si="16"/>
        <v>-307644.40386904776</v>
      </c>
      <c r="AN44" s="1220">
        <f t="shared" si="16"/>
        <v>-307644.40386904776</v>
      </c>
      <c r="AO44" s="1220">
        <f t="shared" si="16"/>
        <v>-307644.40386904776</v>
      </c>
      <c r="AP44" s="1220">
        <f t="shared" si="16"/>
        <v>-307644.40386904776</v>
      </c>
      <c r="AQ44" s="1220">
        <f t="shared" si="16"/>
        <v>-307644.40386904776</v>
      </c>
      <c r="AR44" s="1220">
        <f t="shared" si="16"/>
        <v>-307644.40386904776</v>
      </c>
      <c r="AS44" s="1220">
        <f t="shared" si="16"/>
        <v>-307644.40386904776</v>
      </c>
      <c r="AT44" s="1220">
        <f t="shared" si="16"/>
        <v>-307644.40386904776</v>
      </c>
      <c r="AU44" s="1220">
        <f t="shared" ref="AU44:BZ44" si="17">-$H44/84</f>
        <v>-307644.40386904776</v>
      </c>
      <c r="AV44" s="1220">
        <f t="shared" si="17"/>
        <v>-307644.40386904776</v>
      </c>
      <c r="AW44" s="1220">
        <f t="shared" si="17"/>
        <v>-307644.40386904776</v>
      </c>
      <c r="AX44" s="1220">
        <f t="shared" si="17"/>
        <v>-307644.40386904776</v>
      </c>
      <c r="AY44" s="1220">
        <f t="shared" si="17"/>
        <v>-307644.40386904776</v>
      </c>
      <c r="AZ44" s="1220">
        <f t="shared" si="17"/>
        <v>-307644.40386904776</v>
      </c>
      <c r="BA44" s="1220">
        <f t="shared" si="17"/>
        <v>-307644.40386904776</v>
      </c>
      <c r="BB44" s="1220">
        <f t="shared" si="17"/>
        <v>-307644.40386904776</v>
      </c>
      <c r="BC44" s="1220">
        <f t="shared" si="17"/>
        <v>-307644.40386904776</v>
      </c>
      <c r="BD44" s="1220">
        <f t="shared" si="17"/>
        <v>-307644.40386904776</v>
      </c>
      <c r="BE44" s="1220">
        <f t="shared" si="17"/>
        <v>-307644.40386904776</v>
      </c>
      <c r="BF44" s="1220">
        <f t="shared" si="17"/>
        <v>-307644.40386904776</v>
      </c>
      <c r="BG44" s="1220">
        <f t="shared" si="17"/>
        <v>-307644.40386904776</v>
      </c>
      <c r="BH44" s="1220">
        <f t="shared" si="17"/>
        <v>-307644.40386904776</v>
      </c>
      <c r="BI44" s="1220">
        <f t="shared" si="17"/>
        <v>-307644.40386904776</v>
      </c>
      <c r="BJ44" s="1220">
        <f t="shared" si="17"/>
        <v>-307644.40386904776</v>
      </c>
      <c r="BK44" s="1220">
        <f t="shared" si="17"/>
        <v>-307644.40386904776</v>
      </c>
      <c r="BL44" s="1220">
        <f t="shared" si="17"/>
        <v>-307644.40386904776</v>
      </c>
      <c r="BM44" s="1220">
        <f t="shared" si="17"/>
        <v>-307644.40386904776</v>
      </c>
      <c r="BN44" s="1220">
        <f t="shared" si="17"/>
        <v>-307644.40386904776</v>
      </c>
      <c r="BO44" s="1220">
        <f t="shared" si="17"/>
        <v>-307644.40386904776</v>
      </c>
      <c r="BP44" s="1220">
        <f t="shared" si="17"/>
        <v>-307644.40386904776</v>
      </c>
      <c r="BQ44" s="1220">
        <f t="shared" si="17"/>
        <v>-307644.40386904776</v>
      </c>
      <c r="BR44" s="1220">
        <f t="shared" si="17"/>
        <v>-307644.40386904776</v>
      </c>
      <c r="BS44" s="1220">
        <f t="shared" si="17"/>
        <v>-307644.40386904776</v>
      </c>
      <c r="BT44" s="1220">
        <f t="shared" si="17"/>
        <v>-307644.40386904776</v>
      </c>
      <c r="BU44" s="1220">
        <f t="shared" si="17"/>
        <v>-307644.40386904776</v>
      </c>
      <c r="BV44" s="1220">
        <f t="shared" si="17"/>
        <v>-307644.40386904776</v>
      </c>
      <c r="BW44" s="1220">
        <f t="shared" si="17"/>
        <v>-307644.40386904776</v>
      </c>
      <c r="BX44" s="1220">
        <f t="shared" si="17"/>
        <v>-307644.40386904776</v>
      </c>
      <c r="BY44" s="1220">
        <f t="shared" si="17"/>
        <v>-307644.40386904776</v>
      </c>
      <c r="BZ44" s="1220">
        <f t="shared" si="17"/>
        <v>-307644.40386904776</v>
      </c>
      <c r="CA44" s="1220">
        <f t="shared" ref="CA44:CT44" si="18">-$H44/84</f>
        <v>-307644.40386904776</v>
      </c>
      <c r="CB44" s="1220">
        <f t="shared" si="18"/>
        <v>-307644.40386904776</v>
      </c>
      <c r="CC44" s="1220">
        <f t="shared" si="18"/>
        <v>-307644.40386904776</v>
      </c>
      <c r="CD44" s="1220">
        <f t="shared" si="18"/>
        <v>-307644.40386904776</v>
      </c>
      <c r="CE44" s="1220">
        <f t="shared" si="18"/>
        <v>-307644.40386904776</v>
      </c>
      <c r="CF44" s="1220">
        <f t="shared" si="18"/>
        <v>-307644.40386904776</v>
      </c>
      <c r="CG44" s="1220">
        <f t="shared" si="18"/>
        <v>-307644.40386904776</v>
      </c>
      <c r="CH44" s="1220">
        <f t="shared" si="18"/>
        <v>-307644.40386904776</v>
      </c>
      <c r="CI44" s="1220">
        <f t="shared" si="18"/>
        <v>-307644.40386904776</v>
      </c>
      <c r="CJ44" s="1220">
        <f t="shared" si="18"/>
        <v>-307644.40386904776</v>
      </c>
      <c r="CK44" s="1220">
        <f t="shared" si="18"/>
        <v>-307644.40386904776</v>
      </c>
      <c r="CL44" s="1220">
        <f t="shared" si="18"/>
        <v>-307644.40386904776</v>
      </c>
      <c r="CM44" s="1220">
        <f t="shared" si="18"/>
        <v>-307644.40386904776</v>
      </c>
      <c r="CN44" s="1220">
        <f t="shared" si="18"/>
        <v>-307644.40386904776</v>
      </c>
      <c r="CO44" s="1220">
        <f t="shared" si="18"/>
        <v>-307644.40386904776</v>
      </c>
      <c r="CP44" s="1220">
        <f t="shared" si="18"/>
        <v>-307644.40386904776</v>
      </c>
      <c r="CQ44" s="1220">
        <f t="shared" si="18"/>
        <v>-307644.40386904776</v>
      </c>
      <c r="CR44" s="1220">
        <f t="shared" si="18"/>
        <v>-307644.40386904776</v>
      </c>
      <c r="CS44" s="1220">
        <f t="shared" si="18"/>
        <v>-307644.40386904776</v>
      </c>
      <c r="CT44" s="1220">
        <f t="shared" si="18"/>
        <v>-307644.40386904776</v>
      </c>
      <c r="CU44" s="1220"/>
      <c r="CV44" s="1220"/>
      <c r="CW44" s="1220"/>
      <c r="CX44" s="1220"/>
      <c r="CY44" s="1220"/>
      <c r="CZ44" s="1220"/>
      <c r="DA44" s="1220"/>
      <c r="DB44" s="1220"/>
      <c r="DC44" s="1220"/>
      <c r="DD44" s="1220"/>
      <c r="DE44" s="1220"/>
    </row>
    <row r="45" spans="1:109" x14ac:dyDescent="0.3">
      <c r="H45" s="1221"/>
      <c r="L45" s="1220"/>
      <c r="M45" s="1220"/>
      <c r="N45" s="1220"/>
      <c r="O45" s="1220"/>
      <c r="P45" s="1220"/>
      <c r="Q45" s="1220"/>
      <c r="R45" s="1220"/>
      <c r="S45" s="1220"/>
      <c r="T45" s="1220"/>
      <c r="U45" s="1220"/>
      <c r="V45" s="1220"/>
      <c r="W45" s="1220"/>
      <c r="X45" s="1220"/>
      <c r="Y45" s="1220"/>
      <c r="Z45" s="1220"/>
      <c r="AA45" s="1220"/>
      <c r="AB45" s="1220"/>
      <c r="AC45" s="1220"/>
      <c r="AD45" s="1220"/>
      <c r="AE45" s="1220"/>
      <c r="AF45" s="1220"/>
      <c r="AG45" s="1220"/>
      <c r="AH45" s="1220"/>
      <c r="AI45" s="1220"/>
      <c r="AJ45" s="1220"/>
      <c r="AK45" s="1220"/>
      <c r="AL45" s="1220"/>
      <c r="AM45" s="1220"/>
      <c r="AN45" s="1220"/>
      <c r="AO45" s="1220"/>
      <c r="AP45" s="1220"/>
      <c r="AQ45" s="1220"/>
      <c r="AR45" s="1220"/>
      <c r="AS45" s="1220"/>
      <c r="AT45" s="1220"/>
      <c r="AU45" s="1220"/>
      <c r="AV45" s="1220"/>
      <c r="AW45" s="1220"/>
      <c r="AX45" s="1220"/>
      <c r="AY45" s="1220"/>
      <c r="AZ45" s="1220"/>
      <c r="BA45" s="1220"/>
      <c r="BB45" s="1220"/>
      <c r="BC45" s="1220"/>
      <c r="BD45" s="1220"/>
      <c r="BE45" s="1220"/>
      <c r="BF45" s="1220"/>
      <c r="BG45" s="1220"/>
      <c r="BH45" s="1220"/>
      <c r="BI45" s="1220"/>
      <c r="BJ45" s="1220"/>
      <c r="BK45" s="1220"/>
      <c r="BL45" s="1220"/>
      <c r="BM45" s="1220"/>
      <c r="BN45" s="1220"/>
      <c r="BO45" s="1220"/>
      <c r="BP45" s="1220"/>
      <c r="BQ45" s="1220"/>
      <c r="BR45" s="1220"/>
      <c r="BS45" s="1220"/>
      <c r="BT45" s="1220"/>
      <c r="BU45" s="1220"/>
      <c r="BV45" s="1220"/>
      <c r="BW45" s="1220"/>
      <c r="BX45" s="1220"/>
      <c r="BY45" s="1220"/>
      <c r="BZ45" s="1220"/>
      <c r="CA45" s="1220"/>
      <c r="CB45" s="1220"/>
      <c r="CC45" s="1220"/>
      <c r="CD45" s="1220"/>
      <c r="CE45" s="1220"/>
      <c r="CF45" s="1220"/>
      <c r="CG45" s="1220"/>
      <c r="CH45" s="1220"/>
      <c r="CI45" s="1220"/>
      <c r="CJ45" s="1220"/>
      <c r="CK45" s="1220"/>
      <c r="CL45" s="1220"/>
      <c r="CM45" s="1220"/>
      <c r="CN45" s="1220"/>
      <c r="CO45" s="1220"/>
      <c r="CP45" s="1220"/>
      <c r="CQ45" s="1220"/>
      <c r="CR45" s="1220"/>
      <c r="CS45" s="1220"/>
      <c r="CT45" s="1220"/>
      <c r="CU45" s="1220"/>
      <c r="CV45" s="1220"/>
      <c r="CW45" s="1220"/>
      <c r="CX45" s="1220"/>
      <c r="CY45" s="1220"/>
      <c r="CZ45" s="1220"/>
      <c r="DA45" s="1220"/>
      <c r="DB45" s="1220"/>
      <c r="DC45" s="1220"/>
      <c r="DD45" s="1220"/>
      <c r="DE45" s="1220"/>
    </row>
    <row r="46" spans="1:109" x14ac:dyDescent="0.3">
      <c r="A46" s="1214" t="s">
        <v>2152</v>
      </c>
      <c r="G46" t="s">
        <v>2149</v>
      </c>
      <c r="H46" s="101">
        <f>26006428.75-164298.824999988</f>
        <v>25842129.925000012</v>
      </c>
      <c r="L46" s="1220"/>
      <c r="M46" s="1220"/>
      <c r="N46" s="1220"/>
      <c r="O46" s="1220"/>
      <c r="P46" s="1220">
        <f t="shared" ref="P46:AU46" si="19">-$H46/84</f>
        <v>-307644.40386904776</v>
      </c>
      <c r="Q46" s="1220">
        <f t="shared" si="19"/>
        <v>-307644.40386904776</v>
      </c>
      <c r="R46" s="1220">
        <f t="shared" si="19"/>
        <v>-307644.40386904776</v>
      </c>
      <c r="S46" s="1220">
        <f t="shared" si="19"/>
        <v>-307644.40386904776</v>
      </c>
      <c r="T46" s="1220">
        <f t="shared" si="19"/>
        <v>-307644.40386904776</v>
      </c>
      <c r="U46" s="1220">
        <f t="shared" si="19"/>
        <v>-307644.40386904776</v>
      </c>
      <c r="V46" s="1220">
        <f t="shared" si="19"/>
        <v>-307644.40386904776</v>
      </c>
      <c r="W46" s="1220">
        <f t="shared" si="19"/>
        <v>-307644.40386904776</v>
      </c>
      <c r="X46" s="1220">
        <f t="shared" si="19"/>
        <v>-307644.40386904776</v>
      </c>
      <c r="Y46" s="1220">
        <f t="shared" si="19"/>
        <v>-307644.40386904776</v>
      </c>
      <c r="Z46" s="1220">
        <f t="shared" si="19"/>
        <v>-307644.40386904776</v>
      </c>
      <c r="AA46" s="1220">
        <f t="shared" si="19"/>
        <v>-307644.40386904776</v>
      </c>
      <c r="AB46" s="1220">
        <f t="shared" si="19"/>
        <v>-307644.40386904776</v>
      </c>
      <c r="AC46" s="1220">
        <f t="shared" si="19"/>
        <v>-307644.40386904776</v>
      </c>
      <c r="AD46" s="1220">
        <f t="shared" si="19"/>
        <v>-307644.40386904776</v>
      </c>
      <c r="AE46" s="1220">
        <f t="shared" si="19"/>
        <v>-307644.40386904776</v>
      </c>
      <c r="AF46" s="1220">
        <f t="shared" si="19"/>
        <v>-307644.40386904776</v>
      </c>
      <c r="AG46" s="1220">
        <f t="shared" si="19"/>
        <v>-307644.40386904776</v>
      </c>
      <c r="AH46" s="1220">
        <f t="shared" si="19"/>
        <v>-307644.40386904776</v>
      </c>
      <c r="AI46" s="1220">
        <f t="shared" si="19"/>
        <v>-307644.40386904776</v>
      </c>
      <c r="AJ46" s="1220">
        <f t="shared" si="19"/>
        <v>-307644.40386904776</v>
      </c>
      <c r="AK46" s="1220">
        <f t="shared" si="19"/>
        <v>-307644.40386904776</v>
      </c>
      <c r="AL46" s="1220">
        <f t="shared" si="19"/>
        <v>-307644.40386904776</v>
      </c>
      <c r="AM46" s="1220">
        <f t="shared" si="19"/>
        <v>-307644.40386904776</v>
      </c>
      <c r="AN46" s="1220">
        <f t="shared" si="19"/>
        <v>-307644.40386904776</v>
      </c>
      <c r="AO46" s="1220">
        <f t="shared" si="19"/>
        <v>-307644.40386904776</v>
      </c>
      <c r="AP46" s="1220">
        <f t="shared" si="19"/>
        <v>-307644.40386904776</v>
      </c>
      <c r="AQ46" s="1220">
        <f t="shared" si="19"/>
        <v>-307644.40386904776</v>
      </c>
      <c r="AR46" s="1220">
        <f t="shared" si="19"/>
        <v>-307644.40386904776</v>
      </c>
      <c r="AS46" s="1220">
        <f t="shared" si="19"/>
        <v>-307644.40386904776</v>
      </c>
      <c r="AT46" s="1220">
        <f t="shared" si="19"/>
        <v>-307644.40386904776</v>
      </c>
      <c r="AU46" s="1220">
        <f t="shared" si="19"/>
        <v>-307644.40386904776</v>
      </c>
      <c r="AV46" s="1220">
        <f t="shared" ref="AV46:BZ46" si="20">-$H46/84</f>
        <v>-307644.40386904776</v>
      </c>
      <c r="AW46" s="1220">
        <f t="shared" si="20"/>
        <v>-307644.40386904776</v>
      </c>
      <c r="AX46" s="1220">
        <f t="shared" si="20"/>
        <v>-307644.40386904776</v>
      </c>
      <c r="AY46" s="1220">
        <f t="shared" si="20"/>
        <v>-307644.40386904776</v>
      </c>
      <c r="AZ46" s="1220">
        <f t="shared" si="20"/>
        <v>-307644.40386904776</v>
      </c>
      <c r="BA46" s="1220">
        <f t="shared" si="20"/>
        <v>-307644.40386904776</v>
      </c>
      <c r="BB46" s="1220">
        <f t="shared" si="20"/>
        <v>-307644.40386904776</v>
      </c>
      <c r="BC46" s="1220">
        <f t="shared" si="20"/>
        <v>-307644.40386904776</v>
      </c>
      <c r="BD46" s="1220">
        <f t="shared" si="20"/>
        <v>-307644.40386904776</v>
      </c>
      <c r="BE46" s="1220">
        <f t="shared" si="20"/>
        <v>-307644.40386904776</v>
      </c>
      <c r="BF46" s="1220">
        <f t="shared" si="20"/>
        <v>-307644.40386904776</v>
      </c>
      <c r="BG46" s="1220">
        <f t="shared" si="20"/>
        <v>-307644.40386904776</v>
      </c>
      <c r="BH46" s="1220">
        <f t="shared" si="20"/>
        <v>-307644.40386904776</v>
      </c>
      <c r="BI46" s="1220">
        <f t="shared" si="20"/>
        <v>-307644.40386904776</v>
      </c>
      <c r="BJ46" s="1220">
        <f t="shared" si="20"/>
        <v>-307644.40386904776</v>
      </c>
      <c r="BK46" s="1220">
        <f t="shared" si="20"/>
        <v>-307644.40386904776</v>
      </c>
      <c r="BL46" s="1220">
        <f t="shared" si="20"/>
        <v>-307644.40386904776</v>
      </c>
      <c r="BM46" s="1220">
        <f t="shared" si="20"/>
        <v>-307644.40386904776</v>
      </c>
      <c r="BN46" s="1220">
        <f t="shared" si="20"/>
        <v>-307644.40386904776</v>
      </c>
      <c r="BO46" s="1220">
        <f t="shared" si="20"/>
        <v>-307644.40386904776</v>
      </c>
      <c r="BP46" s="1220">
        <f t="shared" si="20"/>
        <v>-307644.40386904776</v>
      </c>
      <c r="BQ46" s="1220">
        <f t="shared" si="20"/>
        <v>-307644.40386904776</v>
      </c>
      <c r="BR46" s="1220">
        <f t="shared" si="20"/>
        <v>-307644.40386904776</v>
      </c>
      <c r="BS46" s="1220">
        <f t="shared" si="20"/>
        <v>-307644.40386904776</v>
      </c>
      <c r="BT46" s="1220">
        <f t="shared" si="20"/>
        <v>-307644.40386904776</v>
      </c>
      <c r="BU46" s="1220">
        <f t="shared" si="20"/>
        <v>-307644.40386904776</v>
      </c>
      <c r="BV46" s="1220">
        <f t="shared" si="20"/>
        <v>-307644.40386904776</v>
      </c>
      <c r="BW46" s="1220">
        <f t="shared" si="20"/>
        <v>-307644.40386904776</v>
      </c>
      <c r="BX46" s="1220">
        <f t="shared" si="20"/>
        <v>-307644.40386904776</v>
      </c>
      <c r="BY46" s="1220">
        <f t="shared" si="20"/>
        <v>-307644.40386904776</v>
      </c>
      <c r="BZ46" s="1220">
        <f t="shared" si="20"/>
        <v>-307644.40386904776</v>
      </c>
      <c r="CA46" s="1220">
        <f t="shared" ref="CA46:CU46" si="21">-$H46/84</f>
        <v>-307644.40386904776</v>
      </c>
      <c r="CB46" s="1220">
        <f t="shared" si="21"/>
        <v>-307644.40386904776</v>
      </c>
      <c r="CC46" s="1220">
        <f t="shared" si="21"/>
        <v>-307644.40386904776</v>
      </c>
      <c r="CD46" s="1220">
        <f t="shared" si="21"/>
        <v>-307644.40386904776</v>
      </c>
      <c r="CE46" s="1220">
        <f t="shared" si="21"/>
        <v>-307644.40386904776</v>
      </c>
      <c r="CF46" s="1220">
        <f t="shared" si="21"/>
        <v>-307644.40386904776</v>
      </c>
      <c r="CG46" s="1220">
        <f t="shared" si="21"/>
        <v>-307644.40386904776</v>
      </c>
      <c r="CH46" s="1220">
        <f t="shared" si="21"/>
        <v>-307644.40386904776</v>
      </c>
      <c r="CI46" s="1220">
        <f t="shared" si="21"/>
        <v>-307644.40386904776</v>
      </c>
      <c r="CJ46" s="1220">
        <f t="shared" si="21"/>
        <v>-307644.40386904776</v>
      </c>
      <c r="CK46" s="1220">
        <f t="shared" si="21"/>
        <v>-307644.40386904776</v>
      </c>
      <c r="CL46" s="1220">
        <f t="shared" si="21"/>
        <v>-307644.40386904776</v>
      </c>
      <c r="CM46" s="1220">
        <f t="shared" si="21"/>
        <v>-307644.40386904776</v>
      </c>
      <c r="CN46" s="1220">
        <f t="shared" si="21"/>
        <v>-307644.40386904776</v>
      </c>
      <c r="CO46" s="1220">
        <f t="shared" si="21"/>
        <v>-307644.40386904776</v>
      </c>
      <c r="CP46" s="1220">
        <f t="shared" si="21"/>
        <v>-307644.40386904776</v>
      </c>
      <c r="CQ46" s="1220">
        <f t="shared" si="21"/>
        <v>-307644.40386904776</v>
      </c>
      <c r="CR46" s="1220">
        <f t="shared" si="21"/>
        <v>-307644.40386904776</v>
      </c>
      <c r="CS46" s="1220">
        <f t="shared" si="21"/>
        <v>-307644.40386904776</v>
      </c>
      <c r="CT46" s="1220">
        <f t="shared" si="21"/>
        <v>-307644.40386904776</v>
      </c>
      <c r="CU46" s="1220">
        <f t="shared" si="21"/>
        <v>-307644.40386904776</v>
      </c>
      <c r="CV46" s="1220"/>
      <c r="CW46" s="1220"/>
      <c r="CX46" s="1220"/>
      <c r="CY46" s="1220"/>
      <c r="CZ46" s="1220"/>
      <c r="DA46" s="1220"/>
      <c r="DB46" s="1220"/>
      <c r="DC46" s="1220"/>
      <c r="DD46" s="1220"/>
      <c r="DE46" s="1220"/>
    </row>
    <row r="47" spans="1:109" x14ac:dyDescent="0.3">
      <c r="H47" s="1221"/>
      <c r="L47" s="1220"/>
      <c r="M47" s="1220"/>
      <c r="N47" s="1220"/>
      <c r="O47" s="1220"/>
      <c r="P47" s="1220"/>
      <c r="Q47" s="1220"/>
      <c r="R47" s="1220"/>
      <c r="S47" s="1220"/>
      <c r="T47" s="1220"/>
      <c r="U47" s="1220"/>
      <c r="V47" s="1220"/>
      <c r="W47" s="1220"/>
      <c r="X47" s="1220"/>
      <c r="Y47" s="1220"/>
      <c r="Z47" s="1220"/>
      <c r="AA47" s="1220"/>
      <c r="AB47" s="1220"/>
      <c r="AC47" s="1220"/>
      <c r="AD47" s="1220"/>
      <c r="AE47" s="1220"/>
      <c r="AF47" s="1220"/>
      <c r="AG47" s="1220"/>
      <c r="AH47" s="1220"/>
      <c r="AI47" s="1220"/>
      <c r="AJ47" s="1220"/>
      <c r="AK47" s="1220"/>
      <c r="AL47" s="1220"/>
      <c r="AM47" s="1220"/>
      <c r="AN47" s="1220"/>
      <c r="AO47" s="1220"/>
      <c r="AP47" s="1220"/>
      <c r="AQ47" s="1220"/>
      <c r="AR47" s="1220"/>
      <c r="AS47" s="1220"/>
      <c r="AT47" s="1220"/>
      <c r="AU47" s="1220"/>
      <c r="AV47" s="1220"/>
      <c r="AW47" s="1220"/>
      <c r="AX47" s="1220"/>
      <c r="AY47" s="1220"/>
      <c r="AZ47" s="1220"/>
      <c r="BA47" s="1220"/>
      <c r="BB47" s="1220"/>
      <c r="BC47" s="1220"/>
      <c r="BD47" s="1220"/>
      <c r="BE47" s="1220"/>
      <c r="BF47" s="1220"/>
      <c r="BG47" s="1220"/>
      <c r="BH47" s="1220"/>
      <c r="BI47" s="1220"/>
      <c r="BJ47" s="1220"/>
      <c r="BK47" s="1220"/>
      <c r="BL47" s="1220"/>
      <c r="BM47" s="1220"/>
      <c r="BN47" s="1220"/>
      <c r="BO47" s="1220"/>
      <c r="BP47" s="1220"/>
      <c r="BQ47" s="1220"/>
      <c r="BR47" s="1220"/>
      <c r="BS47" s="1220"/>
      <c r="BT47" s="1220"/>
      <c r="BU47" s="1220"/>
      <c r="BV47" s="1220"/>
      <c r="BW47" s="1220"/>
      <c r="BX47" s="1220"/>
      <c r="BY47" s="1220"/>
      <c r="BZ47" s="1220"/>
      <c r="CA47" s="1220"/>
      <c r="CB47" s="1220"/>
      <c r="CC47" s="1220"/>
      <c r="CD47" s="1220"/>
      <c r="CE47" s="1220"/>
      <c r="CF47" s="1220"/>
      <c r="CG47" s="1220"/>
      <c r="CH47" s="1220"/>
      <c r="CI47" s="1220"/>
      <c r="CJ47" s="1220"/>
      <c r="CK47" s="1220"/>
      <c r="CL47" s="1220"/>
      <c r="CM47" s="1220"/>
      <c r="CN47" s="1220"/>
      <c r="CO47" s="1220"/>
      <c r="CP47" s="1220"/>
      <c r="CQ47" s="1220"/>
      <c r="CR47" s="1220"/>
      <c r="CS47" s="1220"/>
      <c r="CT47" s="1220"/>
      <c r="CU47" s="1220"/>
      <c r="CV47" s="1220"/>
      <c r="CW47" s="1220"/>
      <c r="CX47" s="1220"/>
      <c r="CY47" s="1220"/>
      <c r="CZ47" s="1220"/>
      <c r="DA47" s="1220"/>
      <c r="DB47" s="1220"/>
      <c r="DC47" s="1220"/>
      <c r="DD47" s="1220"/>
      <c r="DE47" s="1220"/>
    </row>
    <row r="48" spans="1:109" x14ac:dyDescent="0.3">
      <c r="A48" s="1214" t="s">
        <v>2153</v>
      </c>
      <c r="G48" t="s">
        <v>2149</v>
      </c>
      <c r="H48" s="101">
        <f>26006428.75-164298.824999988</f>
        <v>25842129.925000012</v>
      </c>
      <c r="L48" s="1220"/>
      <c r="M48" s="1220"/>
      <c r="N48" s="1220"/>
      <c r="O48" s="1220"/>
      <c r="P48" s="1220"/>
      <c r="Q48" s="1220">
        <f t="shared" ref="Q48:AV48" si="22">-$H48/84</f>
        <v>-307644.40386904776</v>
      </c>
      <c r="R48" s="1220">
        <f t="shared" si="22"/>
        <v>-307644.40386904776</v>
      </c>
      <c r="S48" s="1220">
        <f t="shared" si="22"/>
        <v>-307644.40386904776</v>
      </c>
      <c r="T48" s="1220">
        <f t="shared" si="22"/>
        <v>-307644.40386904776</v>
      </c>
      <c r="U48" s="1220">
        <f t="shared" si="22"/>
        <v>-307644.40386904776</v>
      </c>
      <c r="V48" s="1220">
        <f t="shared" si="22"/>
        <v>-307644.40386904776</v>
      </c>
      <c r="W48" s="1220">
        <f t="shared" si="22"/>
        <v>-307644.40386904776</v>
      </c>
      <c r="X48" s="1220">
        <f t="shared" si="22"/>
        <v>-307644.40386904776</v>
      </c>
      <c r="Y48" s="1220">
        <f t="shared" si="22"/>
        <v>-307644.40386904776</v>
      </c>
      <c r="Z48" s="1220">
        <f t="shared" si="22"/>
        <v>-307644.40386904776</v>
      </c>
      <c r="AA48" s="1220">
        <f t="shared" si="22"/>
        <v>-307644.40386904776</v>
      </c>
      <c r="AB48" s="1220">
        <f t="shared" si="22"/>
        <v>-307644.40386904776</v>
      </c>
      <c r="AC48" s="1220">
        <f t="shared" si="22"/>
        <v>-307644.40386904776</v>
      </c>
      <c r="AD48" s="1220">
        <f t="shared" si="22"/>
        <v>-307644.40386904776</v>
      </c>
      <c r="AE48" s="1220">
        <f t="shared" si="22"/>
        <v>-307644.40386904776</v>
      </c>
      <c r="AF48" s="1220">
        <f t="shared" si="22"/>
        <v>-307644.40386904776</v>
      </c>
      <c r="AG48" s="1220">
        <f t="shared" si="22"/>
        <v>-307644.40386904776</v>
      </c>
      <c r="AH48" s="1220">
        <f t="shared" si="22"/>
        <v>-307644.40386904776</v>
      </c>
      <c r="AI48" s="1220">
        <f t="shared" si="22"/>
        <v>-307644.40386904776</v>
      </c>
      <c r="AJ48" s="1220">
        <f t="shared" si="22"/>
        <v>-307644.40386904776</v>
      </c>
      <c r="AK48" s="1220">
        <f t="shared" si="22"/>
        <v>-307644.40386904776</v>
      </c>
      <c r="AL48" s="1220">
        <f t="shared" si="22"/>
        <v>-307644.40386904776</v>
      </c>
      <c r="AM48" s="1220">
        <f t="shared" si="22"/>
        <v>-307644.40386904776</v>
      </c>
      <c r="AN48" s="1220">
        <f t="shared" si="22"/>
        <v>-307644.40386904776</v>
      </c>
      <c r="AO48" s="1220">
        <f t="shared" si="22"/>
        <v>-307644.40386904776</v>
      </c>
      <c r="AP48" s="1220">
        <f t="shared" si="22"/>
        <v>-307644.40386904776</v>
      </c>
      <c r="AQ48" s="1220">
        <f t="shared" si="22"/>
        <v>-307644.40386904776</v>
      </c>
      <c r="AR48" s="1220">
        <f t="shared" si="22"/>
        <v>-307644.40386904776</v>
      </c>
      <c r="AS48" s="1220">
        <f t="shared" si="22"/>
        <v>-307644.40386904776</v>
      </c>
      <c r="AT48" s="1220">
        <f t="shared" si="22"/>
        <v>-307644.40386904776</v>
      </c>
      <c r="AU48" s="1220">
        <f t="shared" si="22"/>
        <v>-307644.40386904776</v>
      </c>
      <c r="AV48" s="1220">
        <f t="shared" si="22"/>
        <v>-307644.40386904776</v>
      </c>
      <c r="AW48" s="1220">
        <f t="shared" ref="AW48:BZ48" si="23">-$H48/84</f>
        <v>-307644.40386904776</v>
      </c>
      <c r="AX48" s="1220">
        <f t="shared" si="23"/>
        <v>-307644.40386904776</v>
      </c>
      <c r="AY48" s="1220">
        <f t="shared" si="23"/>
        <v>-307644.40386904776</v>
      </c>
      <c r="AZ48" s="1220">
        <f t="shared" si="23"/>
        <v>-307644.40386904776</v>
      </c>
      <c r="BA48" s="1220">
        <f t="shared" si="23"/>
        <v>-307644.40386904776</v>
      </c>
      <c r="BB48" s="1220">
        <f t="shared" si="23"/>
        <v>-307644.40386904776</v>
      </c>
      <c r="BC48" s="1220">
        <f t="shared" si="23"/>
        <v>-307644.40386904776</v>
      </c>
      <c r="BD48" s="1220">
        <f t="shared" si="23"/>
        <v>-307644.40386904776</v>
      </c>
      <c r="BE48" s="1220">
        <f t="shared" si="23"/>
        <v>-307644.40386904776</v>
      </c>
      <c r="BF48" s="1220">
        <f t="shared" si="23"/>
        <v>-307644.40386904776</v>
      </c>
      <c r="BG48" s="1220">
        <f t="shared" si="23"/>
        <v>-307644.40386904776</v>
      </c>
      <c r="BH48" s="1220">
        <f t="shared" si="23"/>
        <v>-307644.40386904776</v>
      </c>
      <c r="BI48" s="1220">
        <f t="shared" si="23"/>
        <v>-307644.40386904776</v>
      </c>
      <c r="BJ48" s="1220">
        <f t="shared" si="23"/>
        <v>-307644.40386904776</v>
      </c>
      <c r="BK48" s="1220">
        <f t="shared" si="23"/>
        <v>-307644.40386904776</v>
      </c>
      <c r="BL48" s="1220">
        <f t="shared" si="23"/>
        <v>-307644.40386904776</v>
      </c>
      <c r="BM48" s="1220">
        <f t="shared" si="23"/>
        <v>-307644.40386904776</v>
      </c>
      <c r="BN48" s="1220">
        <f t="shared" si="23"/>
        <v>-307644.40386904776</v>
      </c>
      <c r="BO48" s="1220">
        <f t="shared" si="23"/>
        <v>-307644.40386904776</v>
      </c>
      <c r="BP48" s="1220">
        <f t="shared" si="23"/>
        <v>-307644.40386904776</v>
      </c>
      <c r="BQ48" s="1220">
        <f t="shared" si="23"/>
        <v>-307644.40386904776</v>
      </c>
      <c r="BR48" s="1220">
        <f t="shared" si="23"/>
        <v>-307644.40386904776</v>
      </c>
      <c r="BS48" s="1220">
        <f t="shared" si="23"/>
        <v>-307644.40386904776</v>
      </c>
      <c r="BT48" s="1220">
        <f t="shared" si="23"/>
        <v>-307644.40386904776</v>
      </c>
      <c r="BU48" s="1220">
        <f t="shared" si="23"/>
        <v>-307644.40386904776</v>
      </c>
      <c r="BV48" s="1220">
        <f t="shared" si="23"/>
        <v>-307644.40386904776</v>
      </c>
      <c r="BW48" s="1220">
        <f t="shared" si="23"/>
        <v>-307644.40386904776</v>
      </c>
      <c r="BX48" s="1220">
        <f t="shared" si="23"/>
        <v>-307644.40386904776</v>
      </c>
      <c r="BY48" s="1220">
        <f t="shared" si="23"/>
        <v>-307644.40386904776</v>
      </c>
      <c r="BZ48" s="1220">
        <f t="shared" si="23"/>
        <v>-307644.40386904776</v>
      </c>
      <c r="CA48" s="1220">
        <f t="shared" ref="CA48:CV48" si="24">-$H48/84</f>
        <v>-307644.40386904776</v>
      </c>
      <c r="CB48" s="1220">
        <f t="shared" si="24"/>
        <v>-307644.40386904776</v>
      </c>
      <c r="CC48" s="1220">
        <f t="shared" si="24"/>
        <v>-307644.40386904776</v>
      </c>
      <c r="CD48" s="1220">
        <f t="shared" si="24"/>
        <v>-307644.40386904776</v>
      </c>
      <c r="CE48" s="1220">
        <f t="shared" si="24"/>
        <v>-307644.40386904776</v>
      </c>
      <c r="CF48" s="1220">
        <f t="shared" si="24"/>
        <v>-307644.40386904776</v>
      </c>
      <c r="CG48" s="1220">
        <f t="shared" si="24"/>
        <v>-307644.40386904776</v>
      </c>
      <c r="CH48" s="1220">
        <f t="shared" si="24"/>
        <v>-307644.40386904776</v>
      </c>
      <c r="CI48" s="1220">
        <f t="shared" si="24"/>
        <v>-307644.40386904776</v>
      </c>
      <c r="CJ48" s="1220">
        <f t="shared" si="24"/>
        <v>-307644.40386904776</v>
      </c>
      <c r="CK48" s="1220">
        <f t="shared" si="24"/>
        <v>-307644.40386904776</v>
      </c>
      <c r="CL48" s="1220">
        <f t="shared" si="24"/>
        <v>-307644.40386904776</v>
      </c>
      <c r="CM48" s="1220">
        <f t="shared" si="24"/>
        <v>-307644.40386904776</v>
      </c>
      <c r="CN48" s="1220">
        <f t="shared" si="24"/>
        <v>-307644.40386904776</v>
      </c>
      <c r="CO48" s="1220">
        <f t="shared" si="24"/>
        <v>-307644.40386904776</v>
      </c>
      <c r="CP48" s="1220">
        <f t="shared" si="24"/>
        <v>-307644.40386904776</v>
      </c>
      <c r="CQ48" s="1220">
        <f t="shared" si="24"/>
        <v>-307644.40386904776</v>
      </c>
      <c r="CR48" s="1220">
        <f t="shared" si="24"/>
        <v>-307644.40386904776</v>
      </c>
      <c r="CS48" s="1220">
        <f t="shared" si="24"/>
        <v>-307644.40386904776</v>
      </c>
      <c r="CT48" s="1220">
        <f t="shared" si="24"/>
        <v>-307644.40386904776</v>
      </c>
      <c r="CU48" s="1220">
        <f t="shared" si="24"/>
        <v>-307644.40386904776</v>
      </c>
      <c r="CV48" s="1220">
        <f t="shared" si="24"/>
        <v>-307644.40386904776</v>
      </c>
      <c r="CW48" s="1220"/>
      <c r="CX48" s="1220"/>
      <c r="CY48" s="1220"/>
      <c r="CZ48" s="1220"/>
      <c r="DA48" s="1220"/>
      <c r="DB48" s="1220"/>
      <c r="DC48" s="1220"/>
      <c r="DD48" s="1220"/>
      <c r="DE48" s="1220"/>
    </row>
    <row r="49" spans="1:109" x14ac:dyDescent="0.3">
      <c r="H49" s="1221"/>
      <c r="L49" s="1220"/>
      <c r="M49" s="1220"/>
      <c r="N49" s="1220"/>
      <c r="O49" s="1220"/>
      <c r="P49" s="1220"/>
      <c r="Q49" s="1220"/>
      <c r="R49" s="1220"/>
      <c r="S49" s="1220"/>
      <c r="T49" s="1220"/>
      <c r="U49" s="1220"/>
      <c r="V49" s="1220"/>
      <c r="W49" s="1220"/>
      <c r="X49" s="1220"/>
      <c r="Y49" s="1220"/>
      <c r="Z49" s="1220"/>
      <c r="AA49" s="1220"/>
      <c r="AB49" s="1220"/>
      <c r="AC49" s="1220"/>
      <c r="AD49" s="1220"/>
      <c r="AE49" s="1220"/>
      <c r="AF49" s="1220"/>
      <c r="AG49" s="1220"/>
      <c r="AH49" s="1220"/>
      <c r="AI49" s="1220"/>
      <c r="AJ49" s="1220"/>
      <c r="AK49" s="1220"/>
      <c r="AL49" s="1220"/>
      <c r="AM49" s="1220"/>
      <c r="AN49" s="1220"/>
      <c r="AO49" s="1220"/>
      <c r="AP49" s="1220"/>
      <c r="AQ49" s="1220"/>
      <c r="AR49" s="1220"/>
      <c r="AS49" s="1220"/>
      <c r="AT49" s="1220"/>
      <c r="AU49" s="1220"/>
      <c r="AV49" s="1220"/>
      <c r="AW49" s="1220"/>
      <c r="AX49" s="1220"/>
      <c r="AY49" s="1220"/>
      <c r="AZ49" s="1220"/>
      <c r="BA49" s="1220"/>
      <c r="BB49" s="1220"/>
      <c r="BC49" s="1220"/>
      <c r="BD49" s="1220"/>
      <c r="BE49" s="1220"/>
      <c r="BF49" s="1220"/>
      <c r="BG49" s="1220"/>
      <c r="BH49" s="1220"/>
      <c r="BI49" s="1220"/>
      <c r="BJ49" s="1220"/>
      <c r="BK49" s="1220"/>
      <c r="BL49" s="1220"/>
      <c r="BM49" s="1220"/>
      <c r="BN49" s="1220"/>
      <c r="BO49" s="1220"/>
      <c r="BP49" s="1220"/>
      <c r="BQ49" s="1220"/>
      <c r="BR49" s="1220"/>
      <c r="BS49" s="1220"/>
      <c r="BT49" s="1220"/>
      <c r="BU49" s="1220"/>
      <c r="BV49" s="1220"/>
      <c r="BW49" s="1220"/>
      <c r="BX49" s="1220"/>
      <c r="BY49" s="1220"/>
      <c r="BZ49" s="1220"/>
      <c r="CA49" s="1220"/>
      <c r="CB49" s="1220"/>
      <c r="CC49" s="1220"/>
      <c r="CD49" s="1220"/>
      <c r="CE49" s="1220"/>
      <c r="CF49" s="1220"/>
      <c r="CG49" s="1220"/>
      <c r="CH49" s="1220"/>
      <c r="CI49" s="1220"/>
      <c r="CJ49" s="1220"/>
      <c r="CK49" s="1220"/>
      <c r="CL49" s="1220"/>
      <c r="CM49" s="1220"/>
      <c r="CN49" s="1220"/>
      <c r="CO49" s="1220"/>
      <c r="CP49" s="1220"/>
      <c r="CQ49" s="1220"/>
      <c r="CR49" s="1220"/>
      <c r="CS49" s="1220"/>
      <c r="CT49" s="1220"/>
      <c r="CU49" s="1220"/>
      <c r="CV49" s="1220"/>
      <c r="CW49" s="1220"/>
      <c r="CX49" s="1220"/>
      <c r="CY49" s="1220"/>
      <c r="CZ49" s="1220"/>
      <c r="DA49" s="1220"/>
      <c r="DB49" s="1220"/>
      <c r="DC49" s="1220"/>
      <c r="DD49" s="1220"/>
      <c r="DE49" s="1220"/>
    </row>
    <row r="50" spans="1:109" x14ac:dyDescent="0.3">
      <c r="A50" s="1214" t="s">
        <v>2154</v>
      </c>
      <c r="G50" t="s">
        <v>2149</v>
      </c>
      <c r="H50" s="101">
        <f>26006428.75-164298.824999988</f>
        <v>25842129.925000012</v>
      </c>
      <c r="L50" s="1220"/>
      <c r="M50" s="1220"/>
      <c r="N50" s="1220"/>
      <c r="O50" s="1220"/>
      <c r="P50" s="1220"/>
      <c r="Q50" s="1220"/>
      <c r="R50" s="1220">
        <f>-$H50/84</f>
        <v>-307644.40386904776</v>
      </c>
      <c r="S50" s="1220">
        <f>-$H50/84</f>
        <v>-307644.40386904776</v>
      </c>
      <c r="T50" s="1220">
        <f t="shared" ref="T50:CE50" si="25">-$H50/84</f>
        <v>-307644.40386904776</v>
      </c>
      <c r="U50" s="1220">
        <f t="shared" si="25"/>
        <v>-307644.40386904776</v>
      </c>
      <c r="V50" s="1220">
        <f t="shared" si="25"/>
        <v>-307644.40386904776</v>
      </c>
      <c r="W50" s="1220">
        <f t="shared" si="25"/>
        <v>-307644.40386904776</v>
      </c>
      <c r="X50" s="1220">
        <f t="shared" si="25"/>
        <v>-307644.40386904776</v>
      </c>
      <c r="Y50" s="1220">
        <f t="shared" si="25"/>
        <v>-307644.40386904776</v>
      </c>
      <c r="Z50" s="1220">
        <f t="shared" si="25"/>
        <v>-307644.40386904776</v>
      </c>
      <c r="AA50" s="1220">
        <f t="shared" si="25"/>
        <v>-307644.40386904776</v>
      </c>
      <c r="AB50" s="1220">
        <f t="shared" si="25"/>
        <v>-307644.40386904776</v>
      </c>
      <c r="AC50" s="1220">
        <f t="shared" si="25"/>
        <v>-307644.40386904776</v>
      </c>
      <c r="AD50" s="1220">
        <f t="shared" si="25"/>
        <v>-307644.40386904776</v>
      </c>
      <c r="AE50" s="1220">
        <f t="shared" si="25"/>
        <v>-307644.40386904776</v>
      </c>
      <c r="AF50" s="1220">
        <f t="shared" si="25"/>
        <v>-307644.40386904776</v>
      </c>
      <c r="AG50" s="1220">
        <f t="shared" si="25"/>
        <v>-307644.40386904776</v>
      </c>
      <c r="AH50" s="1220">
        <f t="shared" si="25"/>
        <v>-307644.40386904776</v>
      </c>
      <c r="AI50" s="1220">
        <f t="shared" si="25"/>
        <v>-307644.40386904776</v>
      </c>
      <c r="AJ50" s="1220">
        <f t="shared" si="25"/>
        <v>-307644.40386904776</v>
      </c>
      <c r="AK50" s="1220">
        <f t="shared" si="25"/>
        <v>-307644.40386904776</v>
      </c>
      <c r="AL50" s="1220">
        <f t="shared" si="25"/>
        <v>-307644.40386904776</v>
      </c>
      <c r="AM50" s="1220">
        <f t="shared" si="25"/>
        <v>-307644.40386904776</v>
      </c>
      <c r="AN50" s="1220">
        <f t="shared" si="25"/>
        <v>-307644.40386904776</v>
      </c>
      <c r="AO50" s="1220">
        <f t="shared" si="25"/>
        <v>-307644.40386904776</v>
      </c>
      <c r="AP50" s="1220">
        <f t="shared" si="25"/>
        <v>-307644.40386904776</v>
      </c>
      <c r="AQ50" s="1220">
        <f t="shared" si="25"/>
        <v>-307644.40386904776</v>
      </c>
      <c r="AR50" s="1220">
        <f t="shared" si="25"/>
        <v>-307644.40386904776</v>
      </c>
      <c r="AS50" s="1220">
        <f t="shared" si="25"/>
        <v>-307644.40386904776</v>
      </c>
      <c r="AT50" s="1220">
        <f t="shared" si="25"/>
        <v>-307644.40386904776</v>
      </c>
      <c r="AU50" s="1220">
        <f t="shared" si="25"/>
        <v>-307644.40386904776</v>
      </c>
      <c r="AV50" s="1220">
        <f t="shared" si="25"/>
        <v>-307644.40386904776</v>
      </c>
      <c r="AW50" s="1220">
        <f t="shared" si="25"/>
        <v>-307644.40386904776</v>
      </c>
      <c r="AX50" s="1220">
        <f t="shared" si="25"/>
        <v>-307644.40386904776</v>
      </c>
      <c r="AY50" s="1220">
        <f t="shared" si="25"/>
        <v>-307644.40386904776</v>
      </c>
      <c r="AZ50" s="1220">
        <f t="shared" si="25"/>
        <v>-307644.40386904776</v>
      </c>
      <c r="BA50" s="1220">
        <f t="shared" si="25"/>
        <v>-307644.40386904776</v>
      </c>
      <c r="BB50" s="1220">
        <f t="shared" si="25"/>
        <v>-307644.40386904776</v>
      </c>
      <c r="BC50" s="1220">
        <f t="shared" si="25"/>
        <v>-307644.40386904776</v>
      </c>
      <c r="BD50" s="1220">
        <f t="shared" si="25"/>
        <v>-307644.40386904776</v>
      </c>
      <c r="BE50" s="1220">
        <f t="shared" si="25"/>
        <v>-307644.40386904776</v>
      </c>
      <c r="BF50" s="1220">
        <f t="shared" si="25"/>
        <v>-307644.40386904776</v>
      </c>
      <c r="BG50" s="1220">
        <f t="shared" si="25"/>
        <v>-307644.40386904776</v>
      </c>
      <c r="BH50" s="1220">
        <f t="shared" si="25"/>
        <v>-307644.40386904776</v>
      </c>
      <c r="BI50" s="1220">
        <f t="shared" si="25"/>
        <v>-307644.40386904776</v>
      </c>
      <c r="BJ50" s="1220">
        <f t="shared" si="25"/>
        <v>-307644.40386904776</v>
      </c>
      <c r="BK50" s="1220">
        <f t="shared" si="25"/>
        <v>-307644.40386904776</v>
      </c>
      <c r="BL50" s="1220">
        <f t="shared" si="25"/>
        <v>-307644.40386904776</v>
      </c>
      <c r="BM50" s="1220">
        <f t="shared" si="25"/>
        <v>-307644.40386904776</v>
      </c>
      <c r="BN50" s="1220">
        <f t="shared" si="25"/>
        <v>-307644.40386904776</v>
      </c>
      <c r="BO50" s="1220">
        <f t="shared" si="25"/>
        <v>-307644.40386904776</v>
      </c>
      <c r="BP50" s="1220">
        <f t="shared" si="25"/>
        <v>-307644.40386904776</v>
      </c>
      <c r="BQ50" s="1220">
        <f t="shared" si="25"/>
        <v>-307644.40386904776</v>
      </c>
      <c r="BR50" s="1220">
        <f t="shared" si="25"/>
        <v>-307644.40386904776</v>
      </c>
      <c r="BS50" s="1220">
        <f t="shared" si="25"/>
        <v>-307644.40386904776</v>
      </c>
      <c r="BT50" s="1220">
        <f t="shared" si="25"/>
        <v>-307644.40386904776</v>
      </c>
      <c r="BU50" s="1220">
        <f t="shared" si="25"/>
        <v>-307644.40386904776</v>
      </c>
      <c r="BV50" s="1220">
        <f t="shared" si="25"/>
        <v>-307644.40386904776</v>
      </c>
      <c r="BW50" s="1220">
        <f t="shared" si="25"/>
        <v>-307644.40386904776</v>
      </c>
      <c r="BX50" s="1220">
        <f t="shared" si="25"/>
        <v>-307644.40386904776</v>
      </c>
      <c r="BY50" s="1220">
        <f t="shared" si="25"/>
        <v>-307644.40386904776</v>
      </c>
      <c r="BZ50" s="1220">
        <f t="shared" si="25"/>
        <v>-307644.40386904776</v>
      </c>
      <c r="CA50" s="1220">
        <f t="shared" si="25"/>
        <v>-307644.40386904776</v>
      </c>
      <c r="CB50" s="1220">
        <f t="shared" si="25"/>
        <v>-307644.40386904776</v>
      </c>
      <c r="CC50" s="1220">
        <f t="shared" si="25"/>
        <v>-307644.40386904776</v>
      </c>
      <c r="CD50" s="1220">
        <f t="shared" si="25"/>
        <v>-307644.40386904776</v>
      </c>
      <c r="CE50" s="1220">
        <f t="shared" si="25"/>
        <v>-307644.40386904776</v>
      </c>
      <c r="CF50" s="1220">
        <f t="shared" ref="CF50:CW50" si="26">-$H50/84</f>
        <v>-307644.40386904776</v>
      </c>
      <c r="CG50" s="1220">
        <f t="shared" si="26"/>
        <v>-307644.40386904776</v>
      </c>
      <c r="CH50" s="1220">
        <f t="shared" si="26"/>
        <v>-307644.40386904776</v>
      </c>
      <c r="CI50" s="1220">
        <f t="shared" si="26"/>
        <v>-307644.40386904776</v>
      </c>
      <c r="CJ50" s="1220">
        <f t="shared" si="26"/>
        <v>-307644.40386904776</v>
      </c>
      <c r="CK50" s="1220">
        <f t="shared" si="26"/>
        <v>-307644.40386904776</v>
      </c>
      <c r="CL50" s="1220">
        <f t="shared" si="26"/>
        <v>-307644.40386904776</v>
      </c>
      <c r="CM50" s="1220">
        <f t="shared" si="26"/>
        <v>-307644.40386904776</v>
      </c>
      <c r="CN50" s="1220">
        <f t="shared" si="26"/>
        <v>-307644.40386904776</v>
      </c>
      <c r="CO50" s="1220">
        <f t="shared" si="26"/>
        <v>-307644.40386904776</v>
      </c>
      <c r="CP50" s="1220">
        <f t="shared" si="26"/>
        <v>-307644.40386904776</v>
      </c>
      <c r="CQ50" s="1220">
        <f t="shared" si="26"/>
        <v>-307644.40386904776</v>
      </c>
      <c r="CR50" s="1220">
        <f t="shared" si="26"/>
        <v>-307644.40386904776</v>
      </c>
      <c r="CS50" s="1220">
        <f t="shared" si="26"/>
        <v>-307644.40386904776</v>
      </c>
      <c r="CT50" s="1220">
        <f t="shared" si="26"/>
        <v>-307644.40386904776</v>
      </c>
      <c r="CU50" s="1220">
        <f t="shared" si="26"/>
        <v>-307644.40386904776</v>
      </c>
      <c r="CV50" s="1220">
        <f t="shared" si="26"/>
        <v>-307644.40386904776</v>
      </c>
      <c r="CW50" s="1220">
        <f t="shared" si="26"/>
        <v>-307644.40386904776</v>
      </c>
      <c r="CX50" s="1220"/>
      <c r="CY50" s="1220"/>
      <c r="CZ50" s="1220"/>
      <c r="DA50" s="1220"/>
      <c r="DB50" s="1220"/>
      <c r="DC50" s="1220"/>
      <c r="DD50" s="1220"/>
      <c r="DE50" s="1220"/>
    </row>
    <row r="51" spans="1:109" x14ac:dyDescent="0.3">
      <c r="H51" s="1221"/>
      <c r="L51" s="1220"/>
      <c r="M51" s="1220"/>
      <c r="N51" s="1220"/>
      <c r="O51" s="1220"/>
      <c r="P51" s="1220"/>
      <c r="Q51" s="1220"/>
      <c r="R51" s="1220"/>
      <c r="S51" s="1220"/>
      <c r="T51" s="1220"/>
      <c r="U51" s="1220"/>
      <c r="V51" s="1220"/>
      <c r="W51" s="1220"/>
      <c r="X51" s="1220"/>
      <c r="Y51" s="1220"/>
      <c r="Z51" s="1220"/>
      <c r="AA51" s="1220"/>
      <c r="AB51" s="1220"/>
      <c r="AC51" s="1220"/>
      <c r="AD51" s="1220"/>
      <c r="AE51" s="1220"/>
      <c r="AF51" s="1220"/>
      <c r="AG51" s="1220"/>
      <c r="AH51" s="1220"/>
      <c r="AI51" s="1220"/>
      <c r="AJ51" s="1220"/>
      <c r="AK51" s="1220"/>
      <c r="AL51" s="1220"/>
      <c r="AM51" s="1220"/>
      <c r="AN51" s="1220"/>
      <c r="AO51" s="1220"/>
      <c r="AP51" s="1220"/>
      <c r="AQ51" s="1220"/>
      <c r="AR51" s="1220"/>
      <c r="AS51" s="1220"/>
      <c r="AT51" s="1220"/>
      <c r="AU51" s="1220"/>
      <c r="AV51" s="1220"/>
      <c r="AW51" s="1220"/>
      <c r="AX51" s="1220"/>
      <c r="AY51" s="1220"/>
      <c r="AZ51" s="1220"/>
      <c r="BA51" s="1220"/>
      <c r="BB51" s="1220"/>
      <c r="BC51" s="1220"/>
      <c r="BD51" s="1220"/>
      <c r="BE51" s="1220"/>
      <c r="BF51" s="1220"/>
      <c r="BG51" s="1220"/>
      <c r="BH51" s="1220"/>
      <c r="BI51" s="1220"/>
      <c r="BJ51" s="1220"/>
      <c r="BK51" s="1220"/>
      <c r="BL51" s="1220"/>
      <c r="BM51" s="1220"/>
      <c r="BN51" s="1220"/>
      <c r="BO51" s="1220"/>
      <c r="BP51" s="1220"/>
      <c r="BQ51" s="1220"/>
      <c r="BR51" s="1220"/>
      <c r="BS51" s="1220"/>
      <c r="BT51" s="1220"/>
      <c r="BU51" s="1220"/>
      <c r="BV51" s="1220"/>
      <c r="BW51" s="1220"/>
      <c r="BX51" s="1220"/>
      <c r="BY51" s="1220"/>
      <c r="BZ51" s="1220"/>
      <c r="CA51" s="1220"/>
      <c r="CB51" s="1220"/>
      <c r="CC51" s="1220"/>
      <c r="CD51" s="1220"/>
      <c r="CE51" s="1220"/>
      <c r="CF51" s="1220"/>
      <c r="CG51" s="1220"/>
      <c r="CH51" s="1220"/>
      <c r="CI51" s="1220"/>
      <c r="CJ51" s="1220"/>
      <c r="CK51" s="1220"/>
      <c r="CL51" s="1220"/>
      <c r="CM51" s="1220"/>
      <c r="CN51" s="1220"/>
      <c r="CO51" s="1220"/>
      <c r="CP51" s="1220"/>
      <c r="CQ51" s="1220"/>
      <c r="CR51" s="1220"/>
      <c r="CS51" s="1220"/>
      <c r="CT51" s="1220"/>
      <c r="CU51" s="1220"/>
      <c r="CV51" s="1220"/>
      <c r="CW51" s="1220"/>
      <c r="CX51" s="1220"/>
      <c r="CY51" s="1220"/>
      <c r="CZ51" s="1220"/>
      <c r="DA51" s="1220"/>
      <c r="DB51" s="1220"/>
      <c r="DC51" s="1220"/>
      <c r="DD51" s="1220"/>
      <c r="DE51" s="1220"/>
    </row>
    <row r="52" spans="1:109" x14ac:dyDescent="0.3">
      <c r="A52" s="1214" t="s">
        <v>2155</v>
      </c>
      <c r="G52" t="s">
        <v>2149</v>
      </c>
      <c r="H52" s="101">
        <f>26006428.75-164298.824999988</f>
        <v>25842129.925000012</v>
      </c>
      <c r="L52" s="1220"/>
      <c r="M52" s="1220"/>
      <c r="N52" s="1220"/>
      <c r="O52" s="1220"/>
      <c r="P52" s="1220"/>
      <c r="Q52" s="1220"/>
      <c r="R52" s="1220"/>
      <c r="S52" s="1220">
        <f t="shared" ref="S52:CD54" si="27">-$H52/84</f>
        <v>-307644.40386904776</v>
      </c>
      <c r="T52" s="1220">
        <f t="shared" si="27"/>
        <v>-307644.40386904776</v>
      </c>
      <c r="U52" s="1220">
        <f t="shared" si="27"/>
        <v>-307644.40386904776</v>
      </c>
      <c r="V52" s="1220">
        <f t="shared" si="27"/>
        <v>-307644.40386904776</v>
      </c>
      <c r="W52" s="1220">
        <f t="shared" si="27"/>
        <v>-307644.40386904776</v>
      </c>
      <c r="X52" s="1220">
        <f t="shared" si="27"/>
        <v>-307644.40386904776</v>
      </c>
      <c r="Y52" s="1220">
        <f t="shared" si="27"/>
        <v>-307644.40386904776</v>
      </c>
      <c r="Z52" s="1220">
        <f t="shared" si="27"/>
        <v>-307644.40386904776</v>
      </c>
      <c r="AA52" s="1220">
        <f t="shared" si="27"/>
        <v>-307644.40386904776</v>
      </c>
      <c r="AB52" s="1220">
        <f t="shared" si="27"/>
        <v>-307644.40386904776</v>
      </c>
      <c r="AC52" s="1220">
        <f t="shared" si="27"/>
        <v>-307644.40386904776</v>
      </c>
      <c r="AD52" s="1220">
        <f t="shared" si="27"/>
        <v>-307644.40386904776</v>
      </c>
      <c r="AE52" s="1220">
        <f t="shared" si="27"/>
        <v>-307644.40386904776</v>
      </c>
      <c r="AF52" s="1220">
        <f t="shared" si="27"/>
        <v>-307644.40386904776</v>
      </c>
      <c r="AG52" s="1220">
        <f t="shared" si="27"/>
        <v>-307644.40386904776</v>
      </c>
      <c r="AH52" s="1220">
        <f t="shared" si="27"/>
        <v>-307644.40386904776</v>
      </c>
      <c r="AI52" s="1220">
        <f t="shared" si="27"/>
        <v>-307644.40386904776</v>
      </c>
      <c r="AJ52" s="1220">
        <f t="shared" si="27"/>
        <v>-307644.40386904776</v>
      </c>
      <c r="AK52" s="1220">
        <f t="shared" si="27"/>
        <v>-307644.40386904776</v>
      </c>
      <c r="AL52" s="1220">
        <f t="shared" si="27"/>
        <v>-307644.40386904776</v>
      </c>
      <c r="AM52" s="1220">
        <f t="shared" si="27"/>
        <v>-307644.40386904776</v>
      </c>
      <c r="AN52" s="1220">
        <f t="shared" si="27"/>
        <v>-307644.40386904776</v>
      </c>
      <c r="AO52" s="1220">
        <f t="shared" si="27"/>
        <v>-307644.40386904776</v>
      </c>
      <c r="AP52" s="1220">
        <f t="shared" si="27"/>
        <v>-307644.40386904776</v>
      </c>
      <c r="AQ52" s="1220">
        <f t="shared" si="27"/>
        <v>-307644.40386904776</v>
      </c>
      <c r="AR52" s="1220">
        <f t="shared" si="27"/>
        <v>-307644.40386904776</v>
      </c>
      <c r="AS52" s="1220">
        <f t="shared" si="27"/>
        <v>-307644.40386904776</v>
      </c>
      <c r="AT52" s="1220">
        <f t="shared" si="27"/>
        <v>-307644.40386904776</v>
      </c>
      <c r="AU52" s="1220">
        <f t="shared" si="27"/>
        <v>-307644.40386904776</v>
      </c>
      <c r="AV52" s="1220">
        <f t="shared" si="27"/>
        <v>-307644.40386904776</v>
      </c>
      <c r="AW52" s="1220">
        <f t="shared" si="27"/>
        <v>-307644.40386904776</v>
      </c>
      <c r="AX52" s="1220">
        <f t="shared" si="27"/>
        <v>-307644.40386904776</v>
      </c>
      <c r="AY52" s="1220">
        <f t="shared" si="27"/>
        <v>-307644.40386904776</v>
      </c>
      <c r="AZ52" s="1220">
        <f t="shared" si="27"/>
        <v>-307644.40386904776</v>
      </c>
      <c r="BA52" s="1220">
        <f t="shared" si="27"/>
        <v>-307644.40386904776</v>
      </c>
      <c r="BB52" s="1220">
        <f t="shared" si="27"/>
        <v>-307644.40386904776</v>
      </c>
      <c r="BC52" s="1220">
        <f t="shared" si="27"/>
        <v>-307644.40386904776</v>
      </c>
      <c r="BD52" s="1220">
        <f t="shared" si="27"/>
        <v>-307644.40386904776</v>
      </c>
      <c r="BE52" s="1220">
        <f t="shared" si="27"/>
        <v>-307644.40386904776</v>
      </c>
      <c r="BF52" s="1220">
        <f t="shared" si="27"/>
        <v>-307644.40386904776</v>
      </c>
      <c r="BG52" s="1220">
        <f t="shared" si="27"/>
        <v>-307644.40386904776</v>
      </c>
      <c r="BH52" s="1220">
        <f t="shared" si="27"/>
        <v>-307644.40386904776</v>
      </c>
      <c r="BI52" s="1220">
        <f t="shared" si="27"/>
        <v>-307644.40386904776</v>
      </c>
      <c r="BJ52" s="1220">
        <f t="shared" si="27"/>
        <v>-307644.40386904776</v>
      </c>
      <c r="BK52" s="1220">
        <f t="shared" si="27"/>
        <v>-307644.40386904776</v>
      </c>
      <c r="BL52" s="1220">
        <f t="shared" si="27"/>
        <v>-307644.40386904776</v>
      </c>
      <c r="BM52" s="1220">
        <f t="shared" si="27"/>
        <v>-307644.40386904776</v>
      </c>
      <c r="BN52" s="1220">
        <f t="shared" si="27"/>
        <v>-307644.40386904776</v>
      </c>
      <c r="BO52" s="1220">
        <f t="shared" si="27"/>
        <v>-307644.40386904776</v>
      </c>
      <c r="BP52" s="1220">
        <f t="shared" si="27"/>
        <v>-307644.40386904776</v>
      </c>
      <c r="BQ52" s="1220">
        <f t="shared" si="27"/>
        <v>-307644.40386904776</v>
      </c>
      <c r="BR52" s="1220">
        <f t="shared" si="27"/>
        <v>-307644.40386904776</v>
      </c>
      <c r="BS52" s="1220">
        <f t="shared" si="27"/>
        <v>-307644.40386904776</v>
      </c>
      <c r="BT52" s="1220">
        <f t="shared" si="27"/>
        <v>-307644.40386904776</v>
      </c>
      <c r="BU52" s="1220">
        <f t="shared" si="27"/>
        <v>-307644.40386904776</v>
      </c>
      <c r="BV52" s="1220">
        <f t="shared" si="27"/>
        <v>-307644.40386904776</v>
      </c>
      <c r="BW52" s="1220">
        <f t="shared" si="27"/>
        <v>-307644.40386904776</v>
      </c>
      <c r="BX52" s="1220">
        <f t="shared" si="27"/>
        <v>-307644.40386904776</v>
      </c>
      <c r="BY52" s="1220">
        <f t="shared" si="27"/>
        <v>-307644.40386904776</v>
      </c>
      <c r="BZ52" s="1220">
        <f t="shared" si="27"/>
        <v>-307644.40386904776</v>
      </c>
      <c r="CA52" s="1220">
        <f t="shared" si="27"/>
        <v>-307644.40386904776</v>
      </c>
      <c r="CB52" s="1220">
        <f t="shared" si="27"/>
        <v>-307644.40386904776</v>
      </c>
      <c r="CC52" s="1220">
        <f t="shared" si="27"/>
        <v>-307644.40386904776</v>
      </c>
      <c r="CD52" s="1220">
        <f t="shared" si="27"/>
        <v>-307644.40386904776</v>
      </c>
      <c r="CE52" s="1220">
        <f t="shared" ref="CE52:CX52" si="28">-$H52/84</f>
        <v>-307644.40386904776</v>
      </c>
      <c r="CF52" s="1220">
        <f t="shared" si="28"/>
        <v>-307644.40386904776</v>
      </c>
      <c r="CG52" s="1220">
        <f t="shared" si="28"/>
        <v>-307644.40386904776</v>
      </c>
      <c r="CH52" s="1220">
        <f t="shared" si="28"/>
        <v>-307644.40386904776</v>
      </c>
      <c r="CI52" s="1220">
        <f t="shared" si="28"/>
        <v>-307644.40386904776</v>
      </c>
      <c r="CJ52" s="1220">
        <f t="shared" si="28"/>
        <v>-307644.40386904776</v>
      </c>
      <c r="CK52" s="1220">
        <f t="shared" si="28"/>
        <v>-307644.40386904776</v>
      </c>
      <c r="CL52" s="1220">
        <f t="shared" si="28"/>
        <v>-307644.40386904776</v>
      </c>
      <c r="CM52" s="1220">
        <f t="shared" si="28"/>
        <v>-307644.40386904776</v>
      </c>
      <c r="CN52" s="1220">
        <f t="shared" si="28"/>
        <v>-307644.40386904776</v>
      </c>
      <c r="CO52" s="1220">
        <f t="shared" si="28"/>
        <v>-307644.40386904776</v>
      </c>
      <c r="CP52" s="1220">
        <f t="shared" si="28"/>
        <v>-307644.40386904776</v>
      </c>
      <c r="CQ52" s="1220">
        <f t="shared" si="28"/>
        <v>-307644.40386904776</v>
      </c>
      <c r="CR52" s="1220">
        <f t="shared" si="28"/>
        <v>-307644.40386904776</v>
      </c>
      <c r="CS52" s="1220">
        <f t="shared" si="28"/>
        <v>-307644.40386904776</v>
      </c>
      <c r="CT52" s="1220">
        <f t="shared" si="28"/>
        <v>-307644.40386904776</v>
      </c>
      <c r="CU52" s="1220">
        <f t="shared" si="28"/>
        <v>-307644.40386904776</v>
      </c>
      <c r="CV52" s="1220">
        <f t="shared" si="28"/>
        <v>-307644.40386904776</v>
      </c>
      <c r="CW52" s="1220">
        <f t="shared" si="28"/>
        <v>-307644.40386904776</v>
      </c>
      <c r="CX52" s="1220">
        <f t="shared" si="28"/>
        <v>-307644.40386904776</v>
      </c>
      <c r="CY52" s="1220"/>
      <c r="CZ52" s="1220"/>
      <c r="DA52" s="1220"/>
      <c r="DB52" s="1220"/>
      <c r="DC52" s="1220"/>
      <c r="DD52" s="1220"/>
      <c r="DE52" s="1220"/>
    </row>
    <row r="53" spans="1:109" x14ac:dyDescent="0.3">
      <c r="H53" s="1221"/>
      <c r="L53" s="1220"/>
      <c r="M53" s="1220"/>
      <c r="N53" s="1220"/>
      <c r="O53" s="1220"/>
      <c r="P53" s="1220"/>
      <c r="Q53" s="1220"/>
      <c r="R53" s="1220"/>
      <c r="S53" s="1220"/>
      <c r="T53" s="1220">
        <f t="shared" si="27"/>
        <v>0</v>
      </c>
      <c r="U53" s="1220"/>
      <c r="V53" s="1220"/>
      <c r="W53" s="1220"/>
      <c r="X53" s="1220"/>
      <c r="Y53" s="1220"/>
      <c r="Z53" s="1220"/>
      <c r="AA53" s="1220"/>
      <c r="AB53" s="1220"/>
      <c r="AC53" s="1220"/>
      <c r="AD53" s="1220"/>
      <c r="AE53" s="1220"/>
      <c r="AF53" s="1220"/>
      <c r="AG53" s="1220"/>
      <c r="AH53" s="1220"/>
      <c r="AI53" s="1220"/>
      <c r="AJ53" s="1220"/>
      <c r="AK53" s="1220"/>
      <c r="AL53" s="1220"/>
      <c r="AM53" s="1220"/>
      <c r="AN53" s="1220"/>
      <c r="AO53" s="1220"/>
      <c r="AP53" s="1220"/>
      <c r="AQ53" s="1220"/>
      <c r="AR53" s="1220"/>
      <c r="AS53" s="1220"/>
      <c r="AT53" s="1220"/>
      <c r="AU53" s="1220"/>
      <c r="AV53" s="1220"/>
      <c r="AW53" s="1220"/>
      <c r="AX53" s="1220"/>
      <c r="AY53" s="1220"/>
      <c r="AZ53" s="1220"/>
      <c r="BA53" s="1220"/>
      <c r="BB53" s="1220"/>
      <c r="BC53" s="1220"/>
      <c r="BD53" s="1220"/>
      <c r="BE53" s="1220"/>
      <c r="BF53" s="1220"/>
      <c r="BG53" s="1220"/>
      <c r="BH53" s="1220"/>
      <c r="BI53" s="1220"/>
      <c r="BJ53" s="1220"/>
      <c r="BK53" s="1220"/>
      <c r="BL53" s="1220"/>
      <c r="BM53" s="1220"/>
      <c r="BN53" s="1220"/>
      <c r="BO53" s="1220"/>
      <c r="BP53" s="1220"/>
      <c r="BQ53" s="1220"/>
      <c r="BR53" s="1220"/>
      <c r="BS53" s="1220"/>
      <c r="BT53" s="1220"/>
      <c r="BU53" s="1220"/>
      <c r="BV53" s="1220"/>
      <c r="BW53" s="1220"/>
      <c r="BX53" s="1220"/>
      <c r="BY53" s="1220"/>
      <c r="BZ53" s="1220"/>
      <c r="CA53" s="1220"/>
      <c r="CB53" s="1220"/>
      <c r="CC53" s="1220"/>
      <c r="CD53" s="1220"/>
      <c r="CE53" s="1220"/>
      <c r="CF53" s="1220"/>
      <c r="CG53" s="1220"/>
      <c r="CH53" s="1220"/>
      <c r="CI53" s="1220"/>
      <c r="CJ53" s="1220"/>
      <c r="CK53" s="1220"/>
      <c r="CL53" s="1220"/>
      <c r="CM53" s="1220"/>
      <c r="CN53" s="1220"/>
      <c r="CO53" s="1220"/>
      <c r="CP53" s="1220"/>
      <c r="CQ53" s="1220"/>
      <c r="CR53" s="1220"/>
      <c r="CS53" s="1220"/>
      <c r="CT53" s="1220"/>
      <c r="CU53" s="1220"/>
      <c r="CV53" s="1220"/>
      <c r="CW53" s="1220"/>
      <c r="CX53" s="1220"/>
      <c r="CY53" s="1220"/>
      <c r="CZ53" s="1220"/>
      <c r="DA53" s="1220"/>
      <c r="DB53" s="1220"/>
      <c r="DC53" s="1220"/>
      <c r="DD53" s="1220"/>
      <c r="DE53" s="1220"/>
    </row>
    <row r="54" spans="1:109" x14ac:dyDescent="0.3">
      <c r="A54" s="1214" t="s">
        <v>2156</v>
      </c>
      <c r="G54" t="s">
        <v>2149</v>
      </c>
      <c r="H54" s="101">
        <f>26006428.75-164298.824999988</f>
        <v>25842129.925000012</v>
      </c>
      <c r="L54" s="1220"/>
      <c r="M54" s="1220"/>
      <c r="N54" s="1220"/>
      <c r="O54" s="1220"/>
      <c r="P54" s="1220"/>
      <c r="Q54" s="1220"/>
      <c r="R54" s="1220"/>
      <c r="S54" s="1220"/>
      <c r="T54" s="1220">
        <f t="shared" si="27"/>
        <v>-307644.40386904776</v>
      </c>
      <c r="U54" s="1220">
        <f t="shared" si="27"/>
        <v>-307644.40386904776</v>
      </c>
      <c r="V54" s="1220">
        <f t="shared" si="27"/>
        <v>-307644.40386904776</v>
      </c>
      <c r="W54" s="1220">
        <f t="shared" si="27"/>
        <v>-307644.40386904776</v>
      </c>
      <c r="X54" s="1220">
        <f t="shared" si="27"/>
        <v>-307644.40386904776</v>
      </c>
      <c r="Y54" s="1220">
        <f t="shared" si="27"/>
        <v>-307644.40386904776</v>
      </c>
      <c r="Z54" s="1220">
        <f t="shared" si="27"/>
        <v>-307644.40386904776</v>
      </c>
      <c r="AA54" s="1220">
        <f t="shared" si="27"/>
        <v>-307644.40386904776</v>
      </c>
      <c r="AB54" s="1220">
        <f t="shared" si="27"/>
        <v>-307644.40386904776</v>
      </c>
      <c r="AC54" s="1220">
        <f t="shared" si="27"/>
        <v>-307644.40386904776</v>
      </c>
      <c r="AD54" s="1220">
        <f t="shared" si="27"/>
        <v>-307644.40386904776</v>
      </c>
      <c r="AE54" s="1220">
        <f t="shared" si="27"/>
        <v>-307644.40386904776</v>
      </c>
      <c r="AF54" s="1220">
        <f t="shared" si="27"/>
        <v>-307644.40386904776</v>
      </c>
      <c r="AG54" s="1220">
        <f t="shared" si="27"/>
        <v>-307644.40386904776</v>
      </c>
      <c r="AH54" s="1220">
        <f t="shared" si="27"/>
        <v>-307644.40386904776</v>
      </c>
      <c r="AI54" s="1220">
        <f t="shared" si="27"/>
        <v>-307644.40386904776</v>
      </c>
      <c r="AJ54" s="1220">
        <f t="shared" si="27"/>
        <v>-307644.40386904776</v>
      </c>
      <c r="AK54" s="1220">
        <f t="shared" si="27"/>
        <v>-307644.40386904776</v>
      </c>
      <c r="AL54" s="1220">
        <f t="shared" si="27"/>
        <v>-307644.40386904776</v>
      </c>
      <c r="AM54" s="1220">
        <f t="shared" si="27"/>
        <v>-307644.40386904776</v>
      </c>
      <c r="AN54" s="1220">
        <f t="shared" si="27"/>
        <v>-307644.40386904776</v>
      </c>
      <c r="AO54" s="1220">
        <f t="shared" si="27"/>
        <v>-307644.40386904776</v>
      </c>
      <c r="AP54" s="1220">
        <f t="shared" si="27"/>
        <v>-307644.40386904776</v>
      </c>
      <c r="AQ54" s="1220">
        <f t="shared" si="27"/>
        <v>-307644.40386904776</v>
      </c>
      <c r="AR54" s="1220">
        <f t="shared" si="27"/>
        <v>-307644.40386904776</v>
      </c>
      <c r="AS54" s="1220">
        <f t="shared" si="27"/>
        <v>-307644.40386904776</v>
      </c>
      <c r="AT54" s="1220">
        <f t="shared" si="27"/>
        <v>-307644.40386904776</v>
      </c>
      <c r="AU54" s="1220">
        <f t="shared" si="27"/>
        <v>-307644.40386904776</v>
      </c>
      <c r="AV54" s="1220">
        <f t="shared" si="27"/>
        <v>-307644.40386904776</v>
      </c>
      <c r="AW54" s="1220">
        <f t="shared" si="27"/>
        <v>-307644.40386904776</v>
      </c>
      <c r="AX54" s="1220">
        <f t="shared" si="27"/>
        <v>-307644.40386904776</v>
      </c>
      <c r="AY54" s="1220">
        <f t="shared" si="27"/>
        <v>-307644.40386904776</v>
      </c>
      <c r="AZ54" s="1220">
        <f t="shared" si="27"/>
        <v>-307644.40386904776</v>
      </c>
      <c r="BA54" s="1220">
        <f t="shared" si="27"/>
        <v>-307644.40386904776</v>
      </c>
      <c r="BB54" s="1220">
        <f t="shared" si="27"/>
        <v>-307644.40386904776</v>
      </c>
      <c r="BC54" s="1220">
        <f t="shared" si="27"/>
        <v>-307644.40386904776</v>
      </c>
      <c r="BD54" s="1220">
        <f t="shared" si="27"/>
        <v>-307644.40386904776</v>
      </c>
      <c r="BE54" s="1220">
        <f t="shared" si="27"/>
        <v>-307644.40386904776</v>
      </c>
      <c r="BF54" s="1220">
        <f t="shared" si="27"/>
        <v>-307644.40386904776</v>
      </c>
      <c r="BG54" s="1220">
        <f t="shared" si="27"/>
        <v>-307644.40386904776</v>
      </c>
      <c r="BH54" s="1220">
        <f t="shared" si="27"/>
        <v>-307644.40386904776</v>
      </c>
      <c r="BI54" s="1220">
        <f t="shared" si="27"/>
        <v>-307644.40386904776</v>
      </c>
      <c r="BJ54" s="1220">
        <f t="shared" si="27"/>
        <v>-307644.40386904776</v>
      </c>
      <c r="BK54" s="1220">
        <f t="shared" si="27"/>
        <v>-307644.40386904776</v>
      </c>
      <c r="BL54" s="1220">
        <f t="shared" si="27"/>
        <v>-307644.40386904776</v>
      </c>
      <c r="BM54" s="1220">
        <f t="shared" si="27"/>
        <v>-307644.40386904776</v>
      </c>
      <c r="BN54" s="1220">
        <f t="shared" si="27"/>
        <v>-307644.40386904776</v>
      </c>
      <c r="BO54" s="1220">
        <f t="shared" si="27"/>
        <v>-307644.40386904776</v>
      </c>
      <c r="BP54" s="1220">
        <f t="shared" si="27"/>
        <v>-307644.40386904776</v>
      </c>
      <c r="BQ54" s="1220">
        <f t="shared" si="27"/>
        <v>-307644.40386904776</v>
      </c>
      <c r="BR54" s="1220">
        <f t="shared" si="27"/>
        <v>-307644.40386904776</v>
      </c>
      <c r="BS54" s="1220">
        <f t="shared" si="27"/>
        <v>-307644.40386904776</v>
      </c>
      <c r="BT54" s="1220">
        <f t="shared" si="27"/>
        <v>-307644.40386904776</v>
      </c>
      <c r="BU54" s="1220">
        <f t="shared" si="27"/>
        <v>-307644.40386904776</v>
      </c>
      <c r="BV54" s="1220">
        <f t="shared" si="27"/>
        <v>-307644.40386904776</v>
      </c>
      <c r="BW54" s="1220">
        <f t="shared" si="27"/>
        <v>-307644.40386904776</v>
      </c>
      <c r="BX54" s="1220">
        <f t="shared" si="27"/>
        <v>-307644.40386904776</v>
      </c>
      <c r="BY54" s="1220">
        <f t="shared" si="27"/>
        <v>-307644.40386904776</v>
      </c>
      <c r="BZ54" s="1220">
        <f t="shared" si="27"/>
        <v>-307644.40386904776</v>
      </c>
      <c r="CA54" s="1220">
        <f t="shared" si="27"/>
        <v>-307644.40386904776</v>
      </c>
      <c r="CB54" s="1220">
        <f t="shared" si="27"/>
        <v>-307644.40386904776</v>
      </c>
      <c r="CC54" s="1220">
        <f t="shared" si="27"/>
        <v>-307644.40386904776</v>
      </c>
      <c r="CD54" s="1220">
        <f t="shared" si="27"/>
        <v>-307644.40386904776</v>
      </c>
      <c r="CE54" s="1220">
        <f t="shared" ref="CE54:CY54" si="29">-$H54/84</f>
        <v>-307644.40386904776</v>
      </c>
      <c r="CF54" s="1220">
        <f t="shared" si="29"/>
        <v>-307644.40386904776</v>
      </c>
      <c r="CG54" s="1220">
        <f t="shared" si="29"/>
        <v>-307644.40386904776</v>
      </c>
      <c r="CH54" s="1220">
        <f t="shared" si="29"/>
        <v>-307644.40386904776</v>
      </c>
      <c r="CI54" s="1220">
        <f t="shared" si="29"/>
        <v>-307644.40386904776</v>
      </c>
      <c r="CJ54" s="1220">
        <f t="shared" si="29"/>
        <v>-307644.40386904776</v>
      </c>
      <c r="CK54" s="1220">
        <f t="shared" si="29"/>
        <v>-307644.40386904776</v>
      </c>
      <c r="CL54" s="1220">
        <f t="shared" si="29"/>
        <v>-307644.40386904776</v>
      </c>
      <c r="CM54" s="1220">
        <f t="shared" si="29"/>
        <v>-307644.40386904776</v>
      </c>
      <c r="CN54" s="1220">
        <f t="shared" si="29"/>
        <v>-307644.40386904776</v>
      </c>
      <c r="CO54" s="1220">
        <f t="shared" si="29"/>
        <v>-307644.40386904776</v>
      </c>
      <c r="CP54" s="1220">
        <f t="shared" si="29"/>
        <v>-307644.40386904776</v>
      </c>
      <c r="CQ54" s="1220">
        <f t="shared" si="29"/>
        <v>-307644.40386904776</v>
      </c>
      <c r="CR54" s="1220">
        <f t="shared" si="29"/>
        <v>-307644.40386904776</v>
      </c>
      <c r="CS54" s="1220">
        <f t="shared" si="29"/>
        <v>-307644.40386904776</v>
      </c>
      <c r="CT54" s="1220">
        <f t="shared" si="29"/>
        <v>-307644.40386904776</v>
      </c>
      <c r="CU54" s="1220">
        <f t="shared" si="29"/>
        <v>-307644.40386904776</v>
      </c>
      <c r="CV54" s="1220">
        <f t="shared" si="29"/>
        <v>-307644.40386904776</v>
      </c>
      <c r="CW54" s="1220">
        <f t="shared" si="29"/>
        <v>-307644.40386904776</v>
      </c>
      <c r="CX54" s="1220">
        <f t="shared" si="29"/>
        <v>-307644.40386904776</v>
      </c>
      <c r="CY54" s="1220">
        <f t="shared" si="29"/>
        <v>-307644.40386904776</v>
      </c>
      <c r="CZ54" s="1220"/>
      <c r="DA54" s="1220"/>
      <c r="DB54" s="1220"/>
      <c r="DC54" s="1220"/>
      <c r="DD54" s="1220"/>
      <c r="DE54" s="1220"/>
    </row>
    <row r="55" spans="1:109" x14ac:dyDescent="0.3">
      <c r="H55" s="1221"/>
      <c r="L55" s="1220"/>
      <c r="M55" s="1220"/>
      <c r="N55" s="1220"/>
      <c r="O55" s="1220"/>
      <c r="P55" s="1220"/>
      <c r="Q55" s="1220"/>
      <c r="R55" s="1220"/>
      <c r="S55" s="1220"/>
      <c r="T55" s="1220"/>
      <c r="U55" s="1220"/>
      <c r="V55" s="1220"/>
      <c r="W55" s="1220"/>
      <c r="X55" s="1220"/>
      <c r="Y55" s="1220"/>
      <c r="Z55" s="1220"/>
      <c r="AA55" s="1220"/>
      <c r="AB55" s="1220"/>
      <c r="AC55" s="1220"/>
      <c r="AD55" s="1220"/>
      <c r="AE55" s="1220"/>
      <c r="AF55" s="1220"/>
      <c r="AG55" s="1220"/>
      <c r="AH55" s="1220"/>
      <c r="AI55" s="1220"/>
      <c r="AJ55" s="1220"/>
      <c r="AK55" s="1220"/>
      <c r="AL55" s="1220"/>
      <c r="AM55" s="1220"/>
      <c r="AN55" s="1220"/>
      <c r="AO55" s="1220"/>
      <c r="AP55" s="1220"/>
      <c r="AQ55" s="1220"/>
      <c r="AR55" s="1220"/>
      <c r="AS55" s="1220"/>
      <c r="AT55" s="1220"/>
      <c r="AU55" s="1220"/>
      <c r="AV55" s="1220"/>
      <c r="AW55" s="1220"/>
      <c r="AX55" s="1220"/>
      <c r="AY55" s="1220"/>
      <c r="AZ55" s="1220"/>
      <c r="BA55" s="1220"/>
      <c r="BB55" s="1220"/>
      <c r="BC55" s="1220"/>
      <c r="BD55" s="1220"/>
      <c r="BE55" s="1220"/>
      <c r="BF55" s="1220"/>
      <c r="BG55" s="1220"/>
      <c r="BH55" s="1220"/>
      <c r="BI55" s="1220"/>
      <c r="BJ55" s="1220"/>
      <c r="BK55" s="1220"/>
      <c r="BL55" s="1220"/>
      <c r="BM55" s="1220"/>
      <c r="BN55" s="1220"/>
      <c r="BO55" s="1220"/>
      <c r="BP55" s="1220"/>
      <c r="BQ55" s="1220"/>
      <c r="BR55" s="1220"/>
      <c r="BS55" s="1220"/>
      <c r="BT55" s="1220"/>
      <c r="BU55" s="1220"/>
      <c r="BV55" s="1220"/>
      <c r="BW55" s="1220"/>
      <c r="BX55" s="1220"/>
      <c r="BY55" s="1220"/>
      <c r="BZ55" s="1220"/>
      <c r="CA55" s="1220"/>
      <c r="CB55" s="1220"/>
      <c r="CC55" s="1220"/>
      <c r="CD55" s="1220"/>
      <c r="CE55" s="1220"/>
      <c r="CF55" s="1220"/>
      <c r="CG55" s="1220"/>
      <c r="CH55" s="1220"/>
      <c r="CI55" s="1220"/>
      <c r="CJ55" s="1220"/>
      <c r="CK55" s="1220"/>
      <c r="CL55" s="1220"/>
      <c r="CM55" s="1220"/>
      <c r="CN55" s="1220"/>
      <c r="CO55" s="1220"/>
      <c r="CP55" s="1220"/>
      <c r="CQ55" s="1220"/>
      <c r="CR55" s="1220"/>
      <c r="CS55" s="1220"/>
      <c r="CT55" s="1220"/>
      <c r="CU55" s="1220"/>
      <c r="CV55" s="1220"/>
      <c r="CW55" s="1220"/>
      <c r="CX55" s="1220"/>
      <c r="CY55" s="1220"/>
      <c r="CZ55" s="1220"/>
      <c r="DA55" s="1220"/>
      <c r="DB55" s="1220"/>
      <c r="DC55" s="1220"/>
      <c r="DD55" s="1220"/>
      <c r="DE55" s="1220"/>
    </row>
    <row r="56" spans="1:109" x14ac:dyDescent="0.3">
      <c r="A56" s="1214" t="s">
        <v>2157</v>
      </c>
      <c r="G56" t="s">
        <v>2149</v>
      </c>
      <c r="H56" s="1215">
        <f>26006428.75-164298.824999988</f>
        <v>25842129.925000012</v>
      </c>
      <c r="L56" s="1220"/>
      <c r="M56" s="1220"/>
      <c r="N56" s="1220"/>
      <c r="O56" s="1220"/>
      <c r="P56" s="1220"/>
      <c r="Q56" s="1220"/>
      <c r="R56" s="1220"/>
      <c r="S56" s="1220"/>
      <c r="T56" s="1220"/>
      <c r="U56" s="1220">
        <f>-$H56/84</f>
        <v>-307644.40386904776</v>
      </c>
      <c r="V56" s="1220">
        <f t="shared" ref="V56:CG60" si="30">-$H56/84</f>
        <v>-307644.40386904776</v>
      </c>
      <c r="W56" s="1220">
        <f t="shared" si="30"/>
        <v>-307644.40386904776</v>
      </c>
      <c r="X56" s="1220">
        <f t="shared" si="30"/>
        <v>-307644.40386904776</v>
      </c>
      <c r="Y56" s="1220">
        <f t="shared" si="30"/>
        <v>-307644.40386904776</v>
      </c>
      <c r="Z56" s="1220">
        <f t="shared" si="30"/>
        <v>-307644.40386904776</v>
      </c>
      <c r="AA56" s="1220">
        <f t="shared" si="30"/>
        <v>-307644.40386904776</v>
      </c>
      <c r="AB56" s="1220">
        <f t="shared" si="30"/>
        <v>-307644.40386904776</v>
      </c>
      <c r="AC56" s="1220">
        <f t="shared" si="30"/>
        <v>-307644.40386904776</v>
      </c>
      <c r="AD56" s="1220">
        <f t="shared" si="30"/>
        <v>-307644.40386904776</v>
      </c>
      <c r="AE56" s="1220">
        <f t="shared" si="30"/>
        <v>-307644.40386904776</v>
      </c>
      <c r="AF56" s="1220">
        <f t="shared" si="30"/>
        <v>-307644.40386904776</v>
      </c>
      <c r="AG56" s="1220">
        <f t="shared" si="30"/>
        <v>-307644.40386904776</v>
      </c>
      <c r="AH56" s="1220">
        <f t="shared" si="30"/>
        <v>-307644.40386904776</v>
      </c>
      <c r="AI56" s="1220">
        <f t="shared" si="30"/>
        <v>-307644.40386904776</v>
      </c>
      <c r="AJ56" s="1220">
        <f t="shared" si="30"/>
        <v>-307644.40386904776</v>
      </c>
      <c r="AK56" s="1220">
        <f t="shared" si="30"/>
        <v>-307644.40386904776</v>
      </c>
      <c r="AL56" s="1220">
        <f t="shared" si="30"/>
        <v>-307644.40386904776</v>
      </c>
      <c r="AM56" s="1220">
        <f t="shared" si="30"/>
        <v>-307644.40386904776</v>
      </c>
      <c r="AN56" s="1220">
        <f t="shared" si="30"/>
        <v>-307644.40386904776</v>
      </c>
      <c r="AO56" s="1220">
        <f t="shared" si="30"/>
        <v>-307644.40386904776</v>
      </c>
      <c r="AP56" s="1220">
        <f t="shared" si="30"/>
        <v>-307644.40386904776</v>
      </c>
      <c r="AQ56" s="1220">
        <f t="shared" si="30"/>
        <v>-307644.40386904776</v>
      </c>
      <c r="AR56" s="1220">
        <f t="shared" si="30"/>
        <v>-307644.40386904776</v>
      </c>
      <c r="AS56" s="1220">
        <f t="shared" si="30"/>
        <v>-307644.40386904776</v>
      </c>
      <c r="AT56" s="1220">
        <f t="shared" si="30"/>
        <v>-307644.40386904776</v>
      </c>
      <c r="AU56" s="1220">
        <f t="shared" si="30"/>
        <v>-307644.40386904776</v>
      </c>
      <c r="AV56" s="1220">
        <f t="shared" si="30"/>
        <v>-307644.40386904776</v>
      </c>
      <c r="AW56" s="1220">
        <f t="shared" si="30"/>
        <v>-307644.40386904776</v>
      </c>
      <c r="AX56" s="1220">
        <f t="shared" si="30"/>
        <v>-307644.40386904776</v>
      </c>
      <c r="AY56" s="1220">
        <f t="shared" si="30"/>
        <v>-307644.40386904776</v>
      </c>
      <c r="AZ56" s="1220">
        <f t="shared" si="30"/>
        <v>-307644.40386904776</v>
      </c>
      <c r="BA56" s="1220">
        <f t="shared" si="30"/>
        <v>-307644.40386904776</v>
      </c>
      <c r="BB56" s="1220">
        <f t="shared" si="30"/>
        <v>-307644.40386904776</v>
      </c>
      <c r="BC56" s="1220">
        <f t="shared" si="30"/>
        <v>-307644.40386904776</v>
      </c>
      <c r="BD56" s="1220">
        <f t="shared" si="30"/>
        <v>-307644.40386904776</v>
      </c>
      <c r="BE56" s="1220">
        <f t="shared" si="30"/>
        <v>-307644.40386904776</v>
      </c>
      <c r="BF56" s="1220">
        <f t="shared" si="30"/>
        <v>-307644.40386904776</v>
      </c>
      <c r="BG56" s="1220">
        <f t="shared" si="30"/>
        <v>-307644.40386904776</v>
      </c>
      <c r="BH56" s="1220">
        <f t="shared" si="30"/>
        <v>-307644.40386904776</v>
      </c>
      <c r="BI56" s="1220">
        <f t="shared" si="30"/>
        <v>-307644.40386904776</v>
      </c>
      <c r="BJ56" s="1220">
        <f t="shared" si="30"/>
        <v>-307644.40386904776</v>
      </c>
      <c r="BK56" s="1220">
        <f t="shared" si="30"/>
        <v>-307644.40386904776</v>
      </c>
      <c r="BL56" s="1220">
        <f t="shared" si="30"/>
        <v>-307644.40386904776</v>
      </c>
      <c r="BM56" s="1220">
        <f t="shared" si="30"/>
        <v>-307644.40386904776</v>
      </c>
      <c r="BN56" s="1220">
        <f t="shared" si="30"/>
        <v>-307644.40386904776</v>
      </c>
      <c r="BO56" s="1220">
        <f t="shared" si="30"/>
        <v>-307644.40386904776</v>
      </c>
      <c r="BP56" s="1220">
        <f t="shared" si="30"/>
        <v>-307644.40386904776</v>
      </c>
      <c r="BQ56" s="1220">
        <f t="shared" si="30"/>
        <v>-307644.40386904776</v>
      </c>
      <c r="BR56" s="1220">
        <f t="shared" si="30"/>
        <v>-307644.40386904776</v>
      </c>
      <c r="BS56" s="1220">
        <f t="shared" si="30"/>
        <v>-307644.40386904776</v>
      </c>
      <c r="BT56" s="1220">
        <f t="shared" si="30"/>
        <v>-307644.40386904776</v>
      </c>
      <c r="BU56" s="1220">
        <f t="shared" si="30"/>
        <v>-307644.40386904776</v>
      </c>
      <c r="BV56" s="1220">
        <f t="shared" si="30"/>
        <v>-307644.40386904776</v>
      </c>
      <c r="BW56" s="1220">
        <f t="shared" si="30"/>
        <v>-307644.40386904776</v>
      </c>
      <c r="BX56" s="1220">
        <f t="shared" si="30"/>
        <v>-307644.40386904776</v>
      </c>
      <c r="BY56" s="1220">
        <f t="shared" si="30"/>
        <v>-307644.40386904776</v>
      </c>
      <c r="BZ56" s="1220">
        <f t="shared" si="30"/>
        <v>-307644.40386904776</v>
      </c>
      <c r="CA56" s="1220">
        <f t="shared" si="30"/>
        <v>-307644.40386904776</v>
      </c>
      <c r="CB56" s="1220">
        <f t="shared" si="30"/>
        <v>-307644.40386904776</v>
      </c>
      <c r="CC56" s="1220">
        <f t="shared" si="30"/>
        <v>-307644.40386904776</v>
      </c>
      <c r="CD56" s="1220">
        <f t="shared" si="30"/>
        <v>-307644.40386904776</v>
      </c>
      <c r="CE56" s="1220">
        <f t="shared" si="30"/>
        <v>-307644.40386904776</v>
      </c>
      <c r="CF56" s="1220">
        <f t="shared" si="30"/>
        <v>-307644.40386904776</v>
      </c>
      <c r="CG56" s="1220">
        <f t="shared" si="30"/>
        <v>-307644.40386904776</v>
      </c>
      <c r="CH56" s="1220">
        <f t="shared" ref="CH56:CZ56" si="31">-$H56/84</f>
        <v>-307644.40386904776</v>
      </c>
      <c r="CI56" s="1220">
        <f t="shared" si="31"/>
        <v>-307644.40386904776</v>
      </c>
      <c r="CJ56" s="1220">
        <f t="shared" si="31"/>
        <v>-307644.40386904776</v>
      </c>
      <c r="CK56" s="1220">
        <f t="shared" si="31"/>
        <v>-307644.40386904776</v>
      </c>
      <c r="CL56" s="1220">
        <f t="shared" si="31"/>
        <v>-307644.40386904776</v>
      </c>
      <c r="CM56" s="1220">
        <f t="shared" si="31"/>
        <v>-307644.40386904776</v>
      </c>
      <c r="CN56" s="1220">
        <f t="shared" si="31"/>
        <v>-307644.40386904776</v>
      </c>
      <c r="CO56" s="1220">
        <f t="shared" si="31"/>
        <v>-307644.40386904776</v>
      </c>
      <c r="CP56" s="1220">
        <f t="shared" si="31"/>
        <v>-307644.40386904776</v>
      </c>
      <c r="CQ56" s="1220">
        <f t="shared" si="31"/>
        <v>-307644.40386904776</v>
      </c>
      <c r="CR56" s="1220">
        <f t="shared" si="31"/>
        <v>-307644.40386904776</v>
      </c>
      <c r="CS56" s="1220">
        <f t="shared" si="31"/>
        <v>-307644.40386904776</v>
      </c>
      <c r="CT56" s="1220">
        <f t="shared" si="31"/>
        <v>-307644.40386904776</v>
      </c>
      <c r="CU56" s="1220">
        <f t="shared" si="31"/>
        <v>-307644.40386904776</v>
      </c>
      <c r="CV56" s="1220">
        <f t="shared" si="31"/>
        <v>-307644.40386904776</v>
      </c>
      <c r="CW56" s="1220">
        <f t="shared" si="31"/>
        <v>-307644.40386904776</v>
      </c>
      <c r="CX56" s="1220">
        <f t="shared" si="31"/>
        <v>-307644.40386904776</v>
      </c>
      <c r="CY56" s="1220">
        <f t="shared" si="31"/>
        <v>-307644.40386904776</v>
      </c>
      <c r="CZ56" s="1220">
        <f t="shared" si="31"/>
        <v>-307644.40386904776</v>
      </c>
      <c r="DA56" s="1220"/>
      <c r="DB56" s="1220"/>
      <c r="DC56" s="1220"/>
      <c r="DD56" s="1220"/>
      <c r="DE56" s="1220"/>
    </row>
    <row r="57" spans="1:109" x14ac:dyDescent="0.3">
      <c r="H57" s="1218"/>
      <c r="L57" s="1220"/>
      <c r="M57" s="1220"/>
      <c r="N57" s="1220"/>
      <c r="O57" s="1220"/>
      <c r="P57" s="1220"/>
      <c r="Q57" s="1220"/>
      <c r="R57" s="1220"/>
      <c r="S57" s="1220"/>
      <c r="T57" s="1220"/>
      <c r="U57" s="1220"/>
      <c r="V57" s="1220"/>
      <c r="W57" s="1220"/>
      <c r="X57" s="1220"/>
      <c r="Y57" s="1220"/>
      <c r="Z57" s="1220"/>
      <c r="AA57" s="1220"/>
      <c r="AB57" s="1220"/>
      <c r="AC57" s="1220"/>
      <c r="AD57" s="1220"/>
      <c r="AE57" s="1220"/>
      <c r="AF57" s="1220"/>
      <c r="AG57" s="1220"/>
      <c r="AH57" s="1220"/>
      <c r="AI57" s="1220"/>
      <c r="AJ57" s="1220"/>
      <c r="AK57" s="1220"/>
      <c r="AL57" s="1220"/>
      <c r="AM57" s="1220"/>
      <c r="AN57" s="1220"/>
      <c r="AO57" s="1220"/>
      <c r="AP57" s="1220"/>
      <c r="AQ57" s="1220"/>
      <c r="AR57" s="1220"/>
      <c r="AS57" s="1220"/>
      <c r="AT57" s="1220"/>
      <c r="AU57" s="1220"/>
      <c r="AV57" s="1220"/>
      <c r="AW57" s="1220"/>
      <c r="AX57" s="1220"/>
      <c r="AY57" s="1220"/>
      <c r="AZ57" s="1220"/>
      <c r="BA57" s="1220"/>
      <c r="BB57" s="1220"/>
      <c r="BC57" s="1220"/>
      <c r="BD57" s="1220"/>
      <c r="BE57" s="1220"/>
      <c r="BF57" s="1220"/>
      <c r="BG57" s="1220"/>
      <c r="BH57" s="1220"/>
      <c r="BI57" s="1220"/>
      <c r="BJ57" s="1220"/>
      <c r="BK57" s="1220"/>
      <c r="BL57" s="1220"/>
      <c r="BM57" s="1220"/>
      <c r="BN57" s="1220"/>
      <c r="BO57" s="1220"/>
      <c r="BP57" s="1220"/>
      <c r="BQ57" s="1220"/>
      <c r="BR57" s="1220"/>
      <c r="BS57" s="1220"/>
      <c r="BT57" s="1220"/>
      <c r="BU57" s="1220"/>
      <c r="BV57" s="1220"/>
      <c r="BW57" s="1220"/>
      <c r="BX57" s="1220"/>
      <c r="BY57" s="1220"/>
      <c r="BZ57" s="1220"/>
      <c r="CA57" s="1220"/>
      <c r="CB57" s="1220"/>
      <c r="CC57" s="1220"/>
      <c r="CD57" s="1220"/>
      <c r="CE57" s="1220"/>
      <c r="CF57" s="1220"/>
      <c r="CG57" s="1220"/>
      <c r="CH57" s="1220"/>
      <c r="CI57" s="1220"/>
      <c r="CJ57" s="1220"/>
      <c r="CK57" s="1220"/>
      <c r="CL57" s="1220"/>
      <c r="CM57" s="1220"/>
      <c r="CN57" s="1220"/>
      <c r="CO57" s="1220"/>
      <c r="CP57" s="1220"/>
      <c r="CQ57" s="1220"/>
      <c r="CR57" s="1220"/>
      <c r="CS57" s="1220"/>
      <c r="CT57" s="1220"/>
      <c r="CU57" s="1220"/>
      <c r="CV57" s="1220"/>
      <c r="CW57" s="1220"/>
      <c r="CX57" s="1220"/>
      <c r="CY57" s="1220"/>
      <c r="CZ57" s="1220"/>
      <c r="DA57" s="1220"/>
      <c r="DB57" s="1220"/>
      <c r="DC57" s="1220"/>
      <c r="DD57" s="1220"/>
      <c r="DE57" s="1220"/>
    </row>
    <row r="58" spans="1:109" x14ac:dyDescent="0.3">
      <c r="A58" s="1214" t="s">
        <v>2158</v>
      </c>
      <c r="G58" t="s">
        <v>2149</v>
      </c>
      <c r="H58" s="1215">
        <f>26006428.75-164298.824999988</f>
        <v>25842129.925000012</v>
      </c>
      <c r="L58" s="1220"/>
      <c r="M58" s="1220"/>
      <c r="N58" s="1220"/>
      <c r="O58" s="1220"/>
      <c r="P58" s="1220"/>
      <c r="Q58" s="1220"/>
      <c r="R58" s="1220"/>
      <c r="S58" s="1220"/>
      <c r="T58" s="1220"/>
      <c r="U58" s="1220"/>
      <c r="V58" s="1220">
        <f t="shared" si="30"/>
        <v>-307644.40386904776</v>
      </c>
      <c r="W58" s="1220">
        <f t="shared" si="30"/>
        <v>-307644.40386904776</v>
      </c>
      <c r="X58" s="1220">
        <f t="shared" si="30"/>
        <v>-307644.40386904776</v>
      </c>
      <c r="Y58" s="1220">
        <f t="shared" si="30"/>
        <v>-307644.40386904776</v>
      </c>
      <c r="Z58" s="1220">
        <f t="shared" si="30"/>
        <v>-307644.40386904776</v>
      </c>
      <c r="AA58" s="1220">
        <f t="shared" si="30"/>
        <v>-307644.40386904776</v>
      </c>
      <c r="AB58" s="1220">
        <f t="shared" si="30"/>
        <v>-307644.40386904776</v>
      </c>
      <c r="AC58" s="1220">
        <f t="shared" si="30"/>
        <v>-307644.40386904776</v>
      </c>
      <c r="AD58" s="1220">
        <f t="shared" si="30"/>
        <v>-307644.40386904776</v>
      </c>
      <c r="AE58" s="1220">
        <f t="shared" si="30"/>
        <v>-307644.40386904776</v>
      </c>
      <c r="AF58" s="1220">
        <f t="shared" si="30"/>
        <v>-307644.40386904776</v>
      </c>
      <c r="AG58" s="1220">
        <f t="shared" si="30"/>
        <v>-307644.40386904776</v>
      </c>
      <c r="AH58" s="1220">
        <f t="shared" si="30"/>
        <v>-307644.40386904776</v>
      </c>
      <c r="AI58" s="1220">
        <f t="shared" si="30"/>
        <v>-307644.40386904776</v>
      </c>
      <c r="AJ58" s="1220">
        <f t="shared" si="30"/>
        <v>-307644.40386904776</v>
      </c>
      <c r="AK58" s="1220">
        <f t="shared" si="30"/>
        <v>-307644.40386904776</v>
      </c>
      <c r="AL58" s="1220">
        <f t="shared" si="30"/>
        <v>-307644.40386904776</v>
      </c>
      <c r="AM58" s="1220">
        <f t="shared" si="30"/>
        <v>-307644.40386904776</v>
      </c>
      <c r="AN58" s="1220">
        <f t="shared" si="30"/>
        <v>-307644.40386904776</v>
      </c>
      <c r="AO58" s="1220">
        <f t="shared" si="30"/>
        <v>-307644.40386904776</v>
      </c>
      <c r="AP58" s="1220">
        <f t="shared" si="30"/>
        <v>-307644.40386904776</v>
      </c>
      <c r="AQ58" s="1220">
        <f t="shared" si="30"/>
        <v>-307644.40386904776</v>
      </c>
      <c r="AR58" s="1220">
        <f t="shared" si="30"/>
        <v>-307644.40386904776</v>
      </c>
      <c r="AS58" s="1220">
        <f t="shared" si="30"/>
        <v>-307644.40386904776</v>
      </c>
      <c r="AT58" s="1220">
        <f t="shared" si="30"/>
        <v>-307644.40386904776</v>
      </c>
      <c r="AU58" s="1220">
        <f t="shared" si="30"/>
        <v>-307644.40386904776</v>
      </c>
      <c r="AV58" s="1220">
        <f t="shared" si="30"/>
        <v>-307644.40386904776</v>
      </c>
      <c r="AW58" s="1220">
        <f t="shared" si="30"/>
        <v>-307644.40386904776</v>
      </c>
      <c r="AX58" s="1220">
        <f t="shared" si="30"/>
        <v>-307644.40386904776</v>
      </c>
      <c r="AY58" s="1220">
        <f t="shared" si="30"/>
        <v>-307644.40386904776</v>
      </c>
      <c r="AZ58" s="1220">
        <f t="shared" si="30"/>
        <v>-307644.40386904776</v>
      </c>
      <c r="BA58" s="1220">
        <f t="shared" si="30"/>
        <v>-307644.40386904776</v>
      </c>
      <c r="BB58" s="1220">
        <f t="shared" si="30"/>
        <v>-307644.40386904776</v>
      </c>
      <c r="BC58" s="1220">
        <f t="shared" si="30"/>
        <v>-307644.40386904776</v>
      </c>
      <c r="BD58" s="1220">
        <f t="shared" si="30"/>
        <v>-307644.40386904776</v>
      </c>
      <c r="BE58" s="1220">
        <f t="shared" si="30"/>
        <v>-307644.40386904776</v>
      </c>
      <c r="BF58" s="1220">
        <f t="shared" si="30"/>
        <v>-307644.40386904776</v>
      </c>
      <c r="BG58" s="1220">
        <f t="shared" si="30"/>
        <v>-307644.40386904776</v>
      </c>
      <c r="BH58" s="1220">
        <f t="shared" si="30"/>
        <v>-307644.40386904776</v>
      </c>
      <c r="BI58" s="1220">
        <f t="shared" si="30"/>
        <v>-307644.40386904776</v>
      </c>
      <c r="BJ58" s="1220">
        <f t="shared" si="30"/>
        <v>-307644.40386904776</v>
      </c>
      <c r="BK58" s="1220">
        <f t="shared" si="30"/>
        <v>-307644.40386904776</v>
      </c>
      <c r="BL58" s="1220">
        <f t="shared" si="30"/>
        <v>-307644.40386904776</v>
      </c>
      <c r="BM58" s="1220">
        <f t="shared" si="30"/>
        <v>-307644.40386904776</v>
      </c>
      <c r="BN58" s="1220">
        <f t="shared" si="30"/>
        <v>-307644.40386904776</v>
      </c>
      <c r="BO58" s="1220">
        <f t="shared" si="30"/>
        <v>-307644.40386904776</v>
      </c>
      <c r="BP58" s="1220">
        <f t="shared" si="30"/>
        <v>-307644.40386904776</v>
      </c>
      <c r="BQ58" s="1220">
        <f t="shared" si="30"/>
        <v>-307644.40386904776</v>
      </c>
      <c r="BR58" s="1220">
        <f t="shared" si="30"/>
        <v>-307644.40386904776</v>
      </c>
      <c r="BS58" s="1220">
        <f t="shared" si="30"/>
        <v>-307644.40386904776</v>
      </c>
      <c r="BT58" s="1220">
        <f t="shared" si="30"/>
        <v>-307644.40386904776</v>
      </c>
      <c r="BU58" s="1220">
        <f t="shared" si="30"/>
        <v>-307644.40386904776</v>
      </c>
      <c r="BV58" s="1220">
        <f t="shared" si="30"/>
        <v>-307644.40386904776</v>
      </c>
      <c r="BW58" s="1220">
        <f t="shared" si="30"/>
        <v>-307644.40386904776</v>
      </c>
      <c r="BX58" s="1220">
        <f t="shared" si="30"/>
        <v>-307644.40386904776</v>
      </c>
      <c r="BY58" s="1220">
        <f t="shared" si="30"/>
        <v>-307644.40386904776</v>
      </c>
      <c r="BZ58" s="1220">
        <f t="shared" si="30"/>
        <v>-307644.40386904776</v>
      </c>
      <c r="CA58" s="1220">
        <f t="shared" si="30"/>
        <v>-307644.40386904776</v>
      </c>
      <c r="CB58" s="1220">
        <f t="shared" si="30"/>
        <v>-307644.40386904776</v>
      </c>
      <c r="CC58" s="1220">
        <f t="shared" si="30"/>
        <v>-307644.40386904776</v>
      </c>
      <c r="CD58" s="1220">
        <f t="shared" si="30"/>
        <v>-307644.40386904776</v>
      </c>
      <c r="CE58" s="1220">
        <f t="shared" si="30"/>
        <v>-307644.40386904776</v>
      </c>
      <c r="CF58" s="1220">
        <f t="shared" si="30"/>
        <v>-307644.40386904776</v>
      </c>
      <c r="CG58" s="1220">
        <f t="shared" si="30"/>
        <v>-307644.40386904776</v>
      </c>
      <c r="CH58" s="1220">
        <f t="shared" ref="CH58:DA58" si="32">-$H58/84</f>
        <v>-307644.40386904776</v>
      </c>
      <c r="CI58" s="1220">
        <f t="shared" si="32"/>
        <v>-307644.40386904776</v>
      </c>
      <c r="CJ58" s="1220">
        <f t="shared" si="32"/>
        <v>-307644.40386904776</v>
      </c>
      <c r="CK58" s="1220">
        <f t="shared" si="32"/>
        <v>-307644.40386904776</v>
      </c>
      <c r="CL58" s="1220">
        <f t="shared" si="32"/>
        <v>-307644.40386904776</v>
      </c>
      <c r="CM58" s="1220">
        <f t="shared" si="32"/>
        <v>-307644.40386904776</v>
      </c>
      <c r="CN58" s="1220">
        <f t="shared" si="32"/>
        <v>-307644.40386904776</v>
      </c>
      <c r="CO58" s="1220">
        <f t="shared" si="32"/>
        <v>-307644.40386904776</v>
      </c>
      <c r="CP58" s="1220">
        <f t="shared" si="32"/>
        <v>-307644.40386904776</v>
      </c>
      <c r="CQ58" s="1220">
        <f t="shared" si="32"/>
        <v>-307644.40386904776</v>
      </c>
      <c r="CR58" s="1220">
        <f t="shared" si="32"/>
        <v>-307644.40386904776</v>
      </c>
      <c r="CS58" s="1220">
        <f t="shared" si="32"/>
        <v>-307644.40386904776</v>
      </c>
      <c r="CT58" s="1220">
        <f t="shared" si="32"/>
        <v>-307644.40386904776</v>
      </c>
      <c r="CU58" s="1220">
        <f t="shared" si="32"/>
        <v>-307644.40386904776</v>
      </c>
      <c r="CV58" s="1220">
        <f t="shared" si="32"/>
        <v>-307644.40386904776</v>
      </c>
      <c r="CW58" s="1220">
        <f t="shared" si="32"/>
        <v>-307644.40386904776</v>
      </c>
      <c r="CX58" s="1220">
        <f t="shared" si="32"/>
        <v>-307644.40386904776</v>
      </c>
      <c r="CY58" s="1220">
        <f t="shared" si="32"/>
        <v>-307644.40386904776</v>
      </c>
      <c r="CZ58" s="1220">
        <f t="shared" si="32"/>
        <v>-307644.40386904776</v>
      </c>
      <c r="DA58" s="1220">
        <f t="shared" si="32"/>
        <v>-307644.40386904776</v>
      </c>
      <c r="DB58" s="1220"/>
      <c r="DC58" s="1220"/>
      <c r="DD58" s="1220"/>
      <c r="DE58" s="1220"/>
    </row>
    <row r="59" spans="1:109" x14ac:dyDescent="0.3">
      <c r="H59" s="1218"/>
      <c r="L59" s="1220"/>
      <c r="M59" s="1220"/>
      <c r="N59" s="1220"/>
      <c r="O59" s="1220"/>
      <c r="P59" s="1220"/>
      <c r="Q59" s="1220"/>
      <c r="R59" s="1220"/>
      <c r="S59" s="1220"/>
      <c r="T59" s="1220"/>
      <c r="U59" s="1220"/>
      <c r="V59" s="1220"/>
      <c r="W59" s="1220"/>
      <c r="X59" s="1220"/>
      <c r="Y59" s="1220"/>
      <c r="Z59" s="1220"/>
      <c r="AA59" s="1220"/>
      <c r="AB59" s="1220"/>
      <c r="AC59" s="1220"/>
      <c r="AD59" s="1220"/>
      <c r="AE59" s="1220"/>
      <c r="AF59" s="1220"/>
      <c r="AG59" s="1220"/>
      <c r="AH59" s="1220"/>
      <c r="AI59" s="1220"/>
      <c r="AJ59" s="1220"/>
      <c r="AK59" s="1220"/>
      <c r="AL59" s="1220"/>
      <c r="AM59" s="1220"/>
      <c r="AN59" s="1220"/>
      <c r="AO59" s="1220"/>
      <c r="AP59" s="1220"/>
      <c r="AQ59" s="1220"/>
      <c r="AR59" s="1220"/>
      <c r="AS59" s="1220"/>
      <c r="AT59" s="1220"/>
      <c r="AU59" s="1220"/>
      <c r="AV59" s="1220"/>
      <c r="AW59" s="1220"/>
      <c r="AX59" s="1220"/>
      <c r="AY59" s="1220"/>
      <c r="AZ59" s="1220"/>
      <c r="BA59" s="1220"/>
      <c r="BB59" s="1220"/>
      <c r="BC59" s="1220"/>
      <c r="BD59" s="1220"/>
      <c r="BE59" s="1220"/>
      <c r="BF59" s="1220"/>
      <c r="BG59" s="1220"/>
      <c r="BH59" s="1220"/>
      <c r="BI59" s="1220"/>
      <c r="BJ59" s="1220"/>
      <c r="BK59" s="1220"/>
      <c r="BL59" s="1220"/>
      <c r="BM59" s="1220"/>
      <c r="BN59" s="1220"/>
      <c r="BO59" s="1220"/>
      <c r="BP59" s="1220"/>
      <c r="BQ59" s="1220"/>
      <c r="BR59" s="1220"/>
      <c r="BS59" s="1220"/>
      <c r="BT59" s="1220"/>
      <c r="BU59" s="1220"/>
      <c r="BV59" s="1220"/>
      <c r="BW59" s="1220"/>
      <c r="BX59" s="1220"/>
      <c r="BY59" s="1220"/>
      <c r="BZ59" s="1220"/>
      <c r="CA59" s="1220"/>
      <c r="CB59" s="1220"/>
      <c r="CC59" s="1220"/>
      <c r="CD59" s="1220"/>
      <c r="CE59" s="1220"/>
      <c r="CF59" s="1220"/>
      <c r="CG59" s="1220"/>
      <c r="CH59" s="1220"/>
      <c r="CI59" s="1220"/>
      <c r="CJ59" s="1220"/>
      <c r="CK59" s="1220"/>
      <c r="CL59" s="1220"/>
      <c r="CM59" s="1220"/>
      <c r="CN59" s="1220"/>
      <c r="CO59" s="1220"/>
      <c r="CP59" s="1220"/>
      <c r="CQ59" s="1220"/>
      <c r="CR59" s="1220"/>
      <c r="CS59" s="1220"/>
      <c r="CT59" s="1220"/>
      <c r="CU59" s="1220"/>
      <c r="CV59" s="1220"/>
      <c r="CW59" s="1220"/>
      <c r="CX59" s="1220"/>
      <c r="CY59" s="1220"/>
      <c r="CZ59" s="1220"/>
      <c r="DA59" s="1220"/>
      <c r="DB59" s="1220"/>
      <c r="DC59" s="1220"/>
      <c r="DD59" s="1220"/>
      <c r="DE59" s="1220"/>
    </row>
    <row r="60" spans="1:109" x14ac:dyDescent="0.3">
      <c r="A60" s="1214" t="s">
        <v>2159</v>
      </c>
      <c r="G60" t="s">
        <v>2149</v>
      </c>
      <c r="H60" s="1215">
        <f>26006428.75-164298.824999988</f>
        <v>25842129.925000012</v>
      </c>
      <c r="L60" s="1220"/>
      <c r="M60" s="1220"/>
      <c r="N60" s="1220"/>
      <c r="O60" s="1220"/>
      <c r="P60" s="1220"/>
      <c r="Q60" s="1220"/>
      <c r="R60" s="1220"/>
      <c r="S60" s="1220"/>
      <c r="T60" s="1220"/>
      <c r="U60" s="1220"/>
      <c r="V60" s="1220"/>
      <c r="W60" s="1220">
        <f t="shared" si="30"/>
        <v>-307644.40386904776</v>
      </c>
      <c r="X60" s="1220">
        <f t="shared" si="30"/>
        <v>-307644.40386904776</v>
      </c>
      <c r="Y60" s="1220">
        <f t="shared" si="30"/>
        <v>-307644.40386904776</v>
      </c>
      <c r="Z60" s="1220">
        <f t="shared" si="30"/>
        <v>-307644.40386904776</v>
      </c>
      <c r="AA60" s="1220">
        <f t="shared" si="30"/>
        <v>-307644.40386904776</v>
      </c>
      <c r="AB60" s="1220">
        <f t="shared" si="30"/>
        <v>-307644.40386904776</v>
      </c>
      <c r="AC60" s="1220">
        <f t="shared" si="30"/>
        <v>-307644.40386904776</v>
      </c>
      <c r="AD60" s="1220">
        <f t="shared" si="30"/>
        <v>-307644.40386904776</v>
      </c>
      <c r="AE60" s="1220">
        <f t="shared" si="30"/>
        <v>-307644.40386904776</v>
      </c>
      <c r="AF60" s="1220">
        <f t="shared" si="30"/>
        <v>-307644.40386904776</v>
      </c>
      <c r="AG60" s="1220">
        <f t="shared" si="30"/>
        <v>-307644.40386904776</v>
      </c>
      <c r="AH60" s="1220">
        <f t="shared" si="30"/>
        <v>-307644.40386904776</v>
      </c>
      <c r="AI60" s="1220">
        <f t="shared" si="30"/>
        <v>-307644.40386904776</v>
      </c>
      <c r="AJ60" s="1220">
        <f t="shared" si="30"/>
        <v>-307644.40386904776</v>
      </c>
      <c r="AK60" s="1220">
        <f t="shared" si="30"/>
        <v>-307644.40386904776</v>
      </c>
      <c r="AL60" s="1220">
        <f t="shared" si="30"/>
        <v>-307644.40386904776</v>
      </c>
      <c r="AM60" s="1220">
        <f t="shared" si="30"/>
        <v>-307644.40386904776</v>
      </c>
      <c r="AN60" s="1220">
        <f t="shared" si="30"/>
        <v>-307644.40386904776</v>
      </c>
      <c r="AO60" s="1220">
        <f t="shared" si="30"/>
        <v>-307644.40386904776</v>
      </c>
      <c r="AP60" s="1220">
        <f t="shared" si="30"/>
        <v>-307644.40386904776</v>
      </c>
      <c r="AQ60" s="1220">
        <f t="shared" si="30"/>
        <v>-307644.40386904776</v>
      </c>
      <c r="AR60" s="1220">
        <f t="shared" si="30"/>
        <v>-307644.40386904776</v>
      </c>
      <c r="AS60" s="1220">
        <f t="shared" si="30"/>
        <v>-307644.40386904776</v>
      </c>
      <c r="AT60" s="1220">
        <f t="shared" si="30"/>
        <v>-307644.40386904776</v>
      </c>
      <c r="AU60" s="1220">
        <f t="shared" si="30"/>
        <v>-307644.40386904776</v>
      </c>
      <c r="AV60" s="1220">
        <f t="shared" si="30"/>
        <v>-307644.40386904776</v>
      </c>
      <c r="AW60" s="1220">
        <f t="shared" si="30"/>
        <v>-307644.40386904776</v>
      </c>
      <c r="AX60" s="1220">
        <f t="shared" si="30"/>
        <v>-307644.40386904776</v>
      </c>
      <c r="AY60" s="1220">
        <f t="shared" si="30"/>
        <v>-307644.40386904776</v>
      </c>
      <c r="AZ60" s="1220">
        <f t="shared" si="30"/>
        <v>-307644.40386904776</v>
      </c>
      <c r="BA60" s="1220">
        <f t="shared" si="30"/>
        <v>-307644.40386904776</v>
      </c>
      <c r="BB60" s="1220">
        <f t="shared" si="30"/>
        <v>-307644.40386904776</v>
      </c>
      <c r="BC60" s="1220">
        <f t="shared" si="30"/>
        <v>-307644.40386904776</v>
      </c>
      <c r="BD60" s="1220">
        <f t="shared" si="30"/>
        <v>-307644.40386904776</v>
      </c>
      <c r="BE60" s="1220">
        <f t="shared" si="30"/>
        <v>-307644.40386904776</v>
      </c>
      <c r="BF60" s="1220">
        <f t="shared" si="30"/>
        <v>-307644.40386904776</v>
      </c>
      <c r="BG60" s="1220">
        <f t="shared" si="30"/>
        <v>-307644.40386904776</v>
      </c>
      <c r="BH60" s="1220">
        <f t="shared" si="30"/>
        <v>-307644.40386904776</v>
      </c>
      <c r="BI60" s="1220">
        <f t="shared" si="30"/>
        <v>-307644.40386904776</v>
      </c>
      <c r="BJ60" s="1220">
        <f t="shared" si="30"/>
        <v>-307644.40386904776</v>
      </c>
      <c r="BK60" s="1220">
        <f t="shared" si="30"/>
        <v>-307644.40386904776</v>
      </c>
      <c r="BL60" s="1220">
        <f t="shared" si="30"/>
        <v>-307644.40386904776</v>
      </c>
      <c r="BM60" s="1220">
        <f t="shared" si="30"/>
        <v>-307644.40386904776</v>
      </c>
      <c r="BN60" s="1220">
        <f t="shared" si="30"/>
        <v>-307644.40386904776</v>
      </c>
      <c r="BO60" s="1220">
        <f t="shared" si="30"/>
        <v>-307644.40386904776</v>
      </c>
      <c r="BP60" s="1220">
        <f t="shared" si="30"/>
        <v>-307644.40386904776</v>
      </c>
      <c r="BQ60" s="1220">
        <f t="shared" si="30"/>
        <v>-307644.40386904776</v>
      </c>
      <c r="BR60" s="1220">
        <f t="shared" si="30"/>
        <v>-307644.40386904776</v>
      </c>
      <c r="BS60" s="1220">
        <f t="shared" si="30"/>
        <v>-307644.40386904776</v>
      </c>
      <c r="BT60" s="1220">
        <f t="shared" si="30"/>
        <v>-307644.40386904776</v>
      </c>
      <c r="BU60" s="1220">
        <f t="shared" si="30"/>
        <v>-307644.40386904776</v>
      </c>
      <c r="BV60" s="1220">
        <f t="shared" si="30"/>
        <v>-307644.40386904776</v>
      </c>
      <c r="BW60" s="1220">
        <f t="shared" si="30"/>
        <v>-307644.40386904776</v>
      </c>
      <c r="BX60" s="1220">
        <f t="shared" si="30"/>
        <v>-307644.40386904776</v>
      </c>
      <c r="BY60" s="1220">
        <f t="shared" si="30"/>
        <v>-307644.40386904776</v>
      </c>
      <c r="BZ60" s="1220">
        <f t="shared" si="30"/>
        <v>-307644.40386904776</v>
      </c>
      <c r="CA60" s="1220">
        <f t="shared" si="30"/>
        <v>-307644.40386904776</v>
      </c>
      <c r="CB60" s="1220">
        <f t="shared" si="30"/>
        <v>-307644.40386904776</v>
      </c>
      <c r="CC60" s="1220">
        <f t="shared" si="30"/>
        <v>-307644.40386904776</v>
      </c>
      <c r="CD60" s="1220">
        <f t="shared" si="30"/>
        <v>-307644.40386904776</v>
      </c>
      <c r="CE60" s="1220">
        <f t="shared" si="30"/>
        <v>-307644.40386904776</v>
      </c>
      <c r="CF60" s="1220">
        <f t="shared" si="30"/>
        <v>-307644.40386904776</v>
      </c>
      <c r="CG60" s="1220">
        <f t="shared" si="30"/>
        <v>-307644.40386904776</v>
      </c>
      <c r="CH60" s="1220">
        <f t="shared" ref="CH60:DB60" si="33">-$H60/84</f>
        <v>-307644.40386904776</v>
      </c>
      <c r="CI60" s="1220">
        <f t="shared" si="33"/>
        <v>-307644.40386904776</v>
      </c>
      <c r="CJ60" s="1220">
        <f t="shared" si="33"/>
        <v>-307644.40386904776</v>
      </c>
      <c r="CK60" s="1220">
        <f t="shared" si="33"/>
        <v>-307644.40386904776</v>
      </c>
      <c r="CL60" s="1220">
        <f t="shared" si="33"/>
        <v>-307644.40386904776</v>
      </c>
      <c r="CM60" s="1220">
        <f t="shared" si="33"/>
        <v>-307644.40386904776</v>
      </c>
      <c r="CN60" s="1220">
        <f t="shared" si="33"/>
        <v>-307644.40386904776</v>
      </c>
      <c r="CO60" s="1220">
        <f t="shared" si="33"/>
        <v>-307644.40386904776</v>
      </c>
      <c r="CP60" s="1220">
        <f t="shared" si="33"/>
        <v>-307644.40386904776</v>
      </c>
      <c r="CQ60" s="1220">
        <f t="shared" si="33"/>
        <v>-307644.40386904776</v>
      </c>
      <c r="CR60" s="1220">
        <f t="shared" si="33"/>
        <v>-307644.40386904776</v>
      </c>
      <c r="CS60" s="1220">
        <f t="shared" si="33"/>
        <v>-307644.40386904776</v>
      </c>
      <c r="CT60" s="1220">
        <f t="shared" si="33"/>
        <v>-307644.40386904776</v>
      </c>
      <c r="CU60" s="1220">
        <f t="shared" si="33"/>
        <v>-307644.40386904776</v>
      </c>
      <c r="CV60" s="1220">
        <f t="shared" si="33"/>
        <v>-307644.40386904776</v>
      </c>
      <c r="CW60" s="1220">
        <f t="shared" si="33"/>
        <v>-307644.40386904776</v>
      </c>
      <c r="CX60" s="1220">
        <f t="shared" si="33"/>
        <v>-307644.40386904776</v>
      </c>
      <c r="CY60" s="1220">
        <f t="shared" si="33"/>
        <v>-307644.40386904776</v>
      </c>
      <c r="CZ60" s="1220">
        <f t="shared" si="33"/>
        <v>-307644.40386904776</v>
      </c>
      <c r="DA60" s="1220">
        <f t="shared" si="33"/>
        <v>-307644.40386904776</v>
      </c>
      <c r="DB60" s="1220">
        <f t="shared" si="33"/>
        <v>-307644.40386904776</v>
      </c>
      <c r="DC60" s="1220"/>
      <c r="DD60" s="1220"/>
      <c r="DE60" s="1220"/>
    </row>
    <row r="61" spans="1:109" x14ac:dyDescent="0.3">
      <c r="H61" s="1218"/>
      <c r="L61" s="1220"/>
      <c r="M61" s="1220"/>
      <c r="N61" s="1220"/>
      <c r="O61" s="1220"/>
      <c r="P61" s="1220"/>
      <c r="Q61" s="1220"/>
      <c r="R61" s="1220"/>
      <c r="S61" s="1220"/>
      <c r="T61" s="1220"/>
      <c r="U61" s="1220"/>
      <c r="V61" s="1220"/>
      <c r="W61" s="1220"/>
      <c r="X61" s="1220"/>
      <c r="Y61" s="1220"/>
      <c r="Z61" s="1220"/>
      <c r="AA61" s="1220"/>
      <c r="AB61" s="1220"/>
      <c r="AC61" s="1220"/>
      <c r="AD61" s="1220"/>
      <c r="AE61" s="1220"/>
      <c r="AF61" s="1220"/>
      <c r="AG61" s="1220"/>
      <c r="AH61" s="1220"/>
      <c r="AI61" s="1220"/>
      <c r="AJ61" s="1220"/>
      <c r="AK61" s="1220"/>
      <c r="AL61" s="1220"/>
      <c r="AM61" s="1220"/>
      <c r="AN61" s="1220"/>
      <c r="AO61" s="1220"/>
      <c r="AP61" s="1220"/>
      <c r="AQ61" s="1220"/>
      <c r="AR61" s="1220"/>
      <c r="AS61" s="1220"/>
      <c r="AT61" s="1220"/>
      <c r="AU61" s="1220"/>
      <c r="AV61" s="1220"/>
      <c r="AW61" s="1220"/>
      <c r="AX61" s="1220"/>
      <c r="AY61" s="1220"/>
      <c r="AZ61" s="1220"/>
      <c r="BA61" s="1220"/>
      <c r="BB61" s="1220"/>
      <c r="BC61" s="1220"/>
      <c r="BD61" s="1220"/>
      <c r="BE61" s="1220"/>
      <c r="BF61" s="1220"/>
      <c r="BG61" s="1220"/>
      <c r="BH61" s="1220"/>
      <c r="BI61" s="1220"/>
      <c r="BJ61" s="1220"/>
      <c r="BK61" s="1220"/>
      <c r="BL61" s="1220"/>
      <c r="BM61" s="1220"/>
      <c r="BN61" s="1220"/>
      <c r="BO61" s="1220"/>
      <c r="BP61" s="1220"/>
      <c r="BQ61" s="1220"/>
      <c r="BR61" s="1220"/>
      <c r="BS61" s="1220"/>
      <c r="BT61" s="1220"/>
      <c r="BU61" s="1220"/>
      <c r="BV61" s="1220"/>
      <c r="BW61" s="1220"/>
      <c r="BX61" s="1220"/>
      <c r="BY61" s="1220"/>
      <c r="BZ61" s="1220"/>
      <c r="CA61" s="1220"/>
      <c r="CB61" s="1220"/>
      <c r="CC61" s="1220"/>
      <c r="CD61" s="1220"/>
      <c r="CE61" s="1220"/>
      <c r="CF61" s="1220"/>
      <c r="CG61" s="1220"/>
      <c r="CH61" s="1220"/>
      <c r="CI61" s="1220"/>
      <c r="CJ61" s="1220"/>
      <c r="CK61" s="1220"/>
      <c r="CL61" s="1220"/>
      <c r="CM61" s="1220"/>
      <c r="CN61" s="1220"/>
      <c r="CO61" s="1220"/>
      <c r="CP61" s="1220"/>
      <c r="CQ61" s="1220"/>
      <c r="CR61" s="1220"/>
      <c r="CS61" s="1220"/>
      <c r="CT61" s="1220"/>
      <c r="CU61" s="1220"/>
      <c r="CV61" s="1220"/>
      <c r="CW61" s="1220"/>
      <c r="CX61" s="1220"/>
      <c r="CY61" s="1220"/>
      <c r="CZ61" s="1220"/>
      <c r="DA61" s="1220"/>
      <c r="DB61" s="1220"/>
      <c r="DC61" s="1220"/>
      <c r="DD61" s="1220"/>
      <c r="DE61" s="1220"/>
    </row>
    <row r="62" spans="1:109" x14ac:dyDescent="0.3">
      <c r="A62" s="1214" t="s">
        <v>2160</v>
      </c>
      <c r="H62" s="1215">
        <f>26006428.75-164298.824999988</f>
        <v>25842129.925000012</v>
      </c>
      <c r="L62" s="1220"/>
      <c r="M62" s="1220"/>
      <c r="N62" s="1220"/>
      <c r="O62" s="1220"/>
      <c r="P62" s="1220"/>
      <c r="Q62" s="1220"/>
      <c r="R62" s="1220"/>
      <c r="S62" s="1220"/>
      <c r="T62" s="1220"/>
      <c r="U62" s="1220"/>
      <c r="V62" s="1220"/>
      <c r="W62" s="1220"/>
      <c r="X62" s="1220">
        <f>-$H62/84</f>
        <v>-307644.40386904776</v>
      </c>
      <c r="Y62" s="1220">
        <f t="shared" ref="Y62:CJ66" si="34">-$H62/84</f>
        <v>-307644.40386904776</v>
      </c>
      <c r="Z62" s="1220">
        <f t="shared" si="34"/>
        <v>-307644.40386904776</v>
      </c>
      <c r="AA62" s="1220">
        <f t="shared" si="34"/>
        <v>-307644.40386904776</v>
      </c>
      <c r="AB62" s="1220">
        <f t="shared" si="34"/>
        <v>-307644.40386904776</v>
      </c>
      <c r="AC62" s="1220">
        <f t="shared" si="34"/>
        <v>-307644.40386904776</v>
      </c>
      <c r="AD62" s="1220">
        <f t="shared" si="34"/>
        <v>-307644.40386904776</v>
      </c>
      <c r="AE62" s="1220">
        <f t="shared" si="34"/>
        <v>-307644.40386904776</v>
      </c>
      <c r="AF62" s="1220">
        <f t="shared" si="34"/>
        <v>-307644.40386904776</v>
      </c>
      <c r="AG62" s="1220">
        <f t="shared" si="34"/>
        <v>-307644.40386904776</v>
      </c>
      <c r="AH62" s="1220">
        <f t="shared" si="34"/>
        <v>-307644.40386904776</v>
      </c>
      <c r="AI62" s="1220">
        <f t="shared" si="34"/>
        <v>-307644.40386904776</v>
      </c>
      <c r="AJ62" s="1220">
        <f t="shared" si="34"/>
        <v>-307644.40386904776</v>
      </c>
      <c r="AK62" s="1220">
        <f t="shared" si="34"/>
        <v>-307644.40386904776</v>
      </c>
      <c r="AL62" s="1220">
        <f t="shared" si="34"/>
        <v>-307644.40386904776</v>
      </c>
      <c r="AM62" s="1220">
        <f t="shared" si="34"/>
        <v>-307644.40386904776</v>
      </c>
      <c r="AN62" s="1220">
        <f t="shared" si="34"/>
        <v>-307644.40386904776</v>
      </c>
      <c r="AO62" s="1220">
        <f t="shared" si="34"/>
        <v>-307644.40386904776</v>
      </c>
      <c r="AP62" s="1220">
        <f t="shared" si="34"/>
        <v>-307644.40386904776</v>
      </c>
      <c r="AQ62" s="1220">
        <f t="shared" si="34"/>
        <v>-307644.40386904776</v>
      </c>
      <c r="AR62" s="1220">
        <f t="shared" si="34"/>
        <v>-307644.40386904776</v>
      </c>
      <c r="AS62" s="1220">
        <f t="shared" si="34"/>
        <v>-307644.40386904776</v>
      </c>
      <c r="AT62" s="1220">
        <f t="shared" si="34"/>
        <v>-307644.40386904776</v>
      </c>
      <c r="AU62" s="1220">
        <f t="shared" si="34"/>
        <v>-307644.40386904776</v>
      </c>
      <c r="AV62" s="1220">
        <f t="shared" si="34"/>
        <v>-307644.40386904776</v>
      </c>
      <c r="AW62" s="1220">
        <f t="shared" si="34"/>
        <v>-307644.40386904776</v>
      </c>
      <c r="AX62" s="1220">
        <f t="shared" si="34"/>
        <v>-307644.40386904776</v>
      </c>
      <c r="AY62" s="1220">
        <f t="shared" si="34"/>
        <v>-307644.40386904776</v>
      </c>
      <c r="AZ62" s="1220">
        <f t="shared" si="34"/>
        <v>-307644.40386904776</v>
      </c>
      <c r="BA62" s="1220">
        <f t="shared" si="34"/>
        <v>-307644.40386904776</v>
      </c>
      <c r="BB62" s="1220">
        <f t="shared" si="34"/>
        <v>-307644.40386904776</v>
      </c>
      <c r="BC62" s="1220">
        <f t="shared" si="34"/>
        <v>-307644.40386904776</v>
      </c>
      <c r="BD62" s="1220">
        <f t="shared" si="34"/>
        <v>-307644.40386904776</v>
      </c>
      <c r="BE62" s="1220">
        <f t="shared" si="34"/>
        <v>-307644.40386904776</v>
      </c>
      <c r="BF62" s="1220">
        <f t="shared" si="34"/>
        <v>-307644.40386904776</v>
      </c>
      <c r="BG62" s="1220">
        <f t="shared" si="34"/>
        <v>-307644.40386904776</v>
      </c>
      <c r="BH62" s="1220">
        <f t="shared" si="34"/>
        <v>-307644.40386904776</v>
      </c>
      <c r="BI62" s="1220">
        <f t="shared" si="34"/>
        <v>-307644.40386904776</v>
      </c>
      <c r="BJ62" s="1220">
        <f t="shared" si="34"/>
        <v>-307644.40386904776</v>
      </c>
      <c r="BK62" s="1220">
        <f t="shared" si="34"/>
        <v>-307644.40386904776</v>
      </c>
      <c r="BL62" s="1220">
        <f t="shared" si="34"/>
        <v>-307644.40386904776</v>
      </c>
      <c r="BM62" s="1220">
        <f t="shared" si="34"/>
        <v>-307644.40386904776</v>
      </c>
      <c r="BN62" s="1220">
        <f t="shared" si="34"/>
        <v>-307644.40386904776</v>
      </c>
      <c r="BO62" s="1220">
        <f t="shared" si="34"/>
        <v>-307644.40386904776</v>
      </c>
      <c r="BP62" s="1220">
        <f t="shared" si="34"/>
        <v>-307644.40386904776</v>
      </c>
      <c r="BQ62" s="1220">
        <f t="shared" si="34"/>
        <v>-307644.40386904776</v>
      </c>
      <c r="BR62" s="1220">
        <f t="shared" si="34"/>
        <v>-307644.40386904776</v>
      </c>
      <c r="BS62" s="1220">
        <f t="shared" si="34"/>
        <v>-307644.40386904776</v>
      </c>
      <c r="BT62" s="1220">
        <f t="shared" si="34"/>
        <v>-307644.40386904776</v>
      </c>
      <c r="BU62" s="1220">
        <f t="shared" si="34"/>
        <v>-307644.40386904776</v>
      </c>
      <c r="BV62" s="1220">
        <f t="shared" si="34"/>
        <v>-307644.40386904776</v>
      </c>
      <c r="BW62" s="1220">
        <f t="shared" si="34"/>
        <v>-307644.40386904776</v>
      </c>
      <c r="BX62" s="1220">
        <f t="shared" si="34"/>
        <v>-307644.40386904776</v>
      </c>
      <c r="BY62" s="1220">
        <f t="shared" si="34"/>
        <v>-307644.40386904776</v>
      </c>
      <c r="BZ62" s="1220">
        <f t="shared" si="34"/>
        <v>-307644.40386904776</v>
      </c>
      <c r="CA62" s="1220">
        <f t="shared" si="34"/>
        <v>-307644.40386904776</v>
      </c>
      <c r="CB62" s="1220">
        <f t="shared" si="34"/>
        <v>-307644.40386904776</v>
      </c>
      <c r="CC62" s="1220">
        <f t="shared" si="34"/>
        <v>-307644.40386904776</v>
      </c>
      <c r="CD62" s="1220">
        <f t="shared" si="34"/>
        <v>-307644.40386904776</v>
      </c>
      <c r="CE62" s="1220">
        <f t="shared" si="34"/>
        <v>-307644.40386904776</v>
      </c>
      <c r="CF62" s="1220">
        <f t="shared" si="34"/>
        <v>-307644.40386904776</v>
      </c>
      <c r="CG62" s="1220">
        <f t="shared" si="34"/>
        <v>-307644.40386904776</v>
      </c>
      <c r="CH62" s="1220">
        <f t="shared" si="34"/>
        <v>-307644.40386904776</v>
      </c>
      <c r="CI62" s="1220">
        <f t="shared" si="34"/>
        <v>-307644.40386904776</v>
      </c>
      <c r="CJ62" s="1220">
        <f t="shared" si="34"/>
        <v>-307644.40386904776</v>
      </c>
      <c r="CK62" s="1220">
        <f t="shared" ref="CK62:DC62" si="35">-$H62/84</f>
        <v>-307644.40386904776</v>
      </c>
      <c r="CL62" s="1220">
        <f t="shared" si="35"/>
        <v>-307644.40386904776</v>
      </c>
      <c r="CM62" s="1220">
        <f t="shared" si="35"/>
        <v>-307644.40386904776</v>
      </c>
      <c r="CN62" s="1220">
        <f t="shared" si="35"/>
        <v>-307644.40386904776</v>
      </c>
      <c r="CO62" s="1220">
        <f t="shared" si="35"/>
        <v>-307644.40386904776</v>
      </c>
      <c r="CP62" s="1220">
        <f t="shared" si="35"/>
        <v>-307644.40386904776</v>
      </c>
      <c r="CQ62" s="1220">
        <f t="shared" si="35"/>
        <v>-307644.40386904776</v>
      </c>
      <c r="CR62" s="1220">
        <f t="shared" si="35"/>
        <v>-307644.40386904776</v>
      </c>
      <c r="CS62" s="1220">
        <f t="shared" si="35"/>
        <v>-307644.40386904776</v>
      </c>
      <c r="CT62" s="1220">
        <f t="shared" si="35"/>
        <v>-307644.40386904776</v>
      </c>
      <c r="CU62" s="1220">
        <f t="shared" si="35"/>
        <v>-307644.40386904776</v>
      </c>
      <c r="CV62" s="1220">
        <f t="shared" si="35"/>
        <v>-307644.40386904776</v>
      </c>
      <c r="CW62" s="1220">
        <f t="shared" si="35"/>
        <v>-307644.40386904776</v>
      </c>
      <c r="CX62" s="1220">
        <f t="shared" si="35"/>
        <v>-307644.40386904776</v>
      </c>
      <c r="CY62" s="1220">
        <f t="shared" si="35"/>
        <v>-307644.40386904776</v>
      </c>
      <c r="CZ62" s="1220">
        <f t="shared" si="35"/>
        <v>-307644.40386904776</v>
      </c>
      <c r="DA62" s="1220">
        <f t="shared" si="35"/>
        <v>-307644.40386904776</v>
      </c>
      <c r="DB62" s="1220">
        <f t="shared" si="35"/>
        <v>-307644.40386904776</v>
      </c>
      <c r="DC62" s="1220">
        <f t="shared" si="35"/>
        <v>-307644.40386904776</v>
      </c>
      <c r="DD62" s="1220"/>
      <c r="DE62" s="1220"/>
    </row>
    <row r="63" spans="1:109" x14ac:dyDescent="0.3">
      <c r="H63" s="1218"/>
      <c r="L63" s="1220"/>
      <c r="M63" s="1220"/>
      <c r="N63" s="1220"/>
      <c r="O63" s="1220"/>
      <c r="P63" s="1220"/>
      <c r="Q63" s="1220"/>
      <c r="R63" s="1220"/>
      <c r="S63" s="1220"/>
      <c r="T63" s="1220"/>
      <c r="U63" s="1220"/>
      <c r="V63" s="1220"/>
      <c r="W63" s="1220"/>
      <c r="X63" s="1220"/>
      <c r="Y63" s="1220"/>
      <c r="Z63" s="1220"/>
      <c r="AA63" s="1220"/>
      <c r="AB63" s="1220"/>
      <c r="AC63" s="1220"/>
      <c r="AD63" s="1220"/>
      <c r="AE63" s="1220"/>
      <c r="AF63" s="1220"/>
      <c r="AG63" s="1220"/>
      <c r="AH63" s="1220"/>
      <c r="AI63" s="1220"/>
      <c r="AJ63" s="1220"/>
      <c r="AK63" s="1220"/>
      <c r="AL63" s="1220"/>
      <c r="AM63" s="1220"/>
      <c r="AN63" s="1220"/>
      <c r="AO63" s="1220"/>
      <c r="AP63" s="1220"/>
      <c r="AQ63" s="1220"/>
      <c r="AR63" s="1220"/>
      <c r="AS63" s="1220"/>
      <c r="AT63" s="1220"/>
      <c r="AU63" s="1220"/>
      <c r="AV63" s="1220"/>
      <c r="AW63" s="1220"/>
      <c r="AX63" s="1220"/>
      <c r="AY63" s="1220"/>
      <c r="AZ63" s="1220"/>
      <c r="BA63" s="1220"/>
      <c r="BB63" s="1220"/>
      <c r="BC63" s="1220"/>
      <c r="BD63" s="1220"/>
      <c r="BE63" s="1220"/>
      <c r="BF63" s="1220"/>
      <c r="BG63" s="1220"/>
      <c r="BH63" s="1220"/>
      <c r="BI63" s="1220"/>
      <c r="BJ63" s="1220"/>
      <c r="BK63" s="1220"/>
      <c r="BL63" s="1220"/>
      <c r="BM63" s="1220"/>
      <c r="BN63" s="1220"/>
      <c r="BO63" s="1220"/>
      <c r="BP63" s="1220"/>
      <c r="BQ63" s="1220"/>
      <c r="BR63" s="1220"/>
      <c r="BS63" s="1220"/>
      <c r="BT63" s="1220"/>
      <c r="BU63" s="1220"/>
      <c r="BV63" s="1220"/>
      <c r="BW63" s="1220"/>
      <c r="BX63" s="1220"/>
      <c r="BY63" s="1220"/>
      <c r="BZ63" s="1220"/>
      <c r="CA63" s="1220"/>
      <c r="CB63" s="1220"/>
      <c r="CC63" s="1220"/>
      <c r="CD63" s="1220"/>
      <c r="CE63" s="1220"/>
      <c r="CF63" s="1220"/>
      <c r="CG63" s="1220"/>
      <c r="CH63" s="1220"/>
      <c r="CI63" s="1220"/>
      <c r="CJ63" s="1220"/>
      <c r="CK63" s="1220"/>
      <c r="CL63" s="1220"/>
      <c r="CM63" s="1220"/>
      <c r="CN63" s="1220"/>
      <c r="CO63" s="1220"/>
      <c r="CP63" s="1220"/>
      <c r="CQ63" s="1220"/>
      <c r="CR63" s="1220"/>
      <c r="CS63" s="1220"/>
      <c r="CT63" s="1220"/>
      <c r="CU63" s="1220"/>
      <c r="CV63" s="1220"/>
      <c r="CW63" s="1220"/>
      <c r="CX63" s="1220"/>
      <c r="CY63" s="1220"/>
      <c r="CZ63" s="1220"/>
      <c r="DA63" s="1220"/>
      <c r="DB63" s="1220"/>
      <c r="DC63" s="1220"/>
      <c r="DD63" s="1220"/>
      <c r="DE63" s="1220"/>
    </row>
    <row r="64" spans="1:109" x14ac:dyDescent="0.3">
      <c r="A64" s="1214" t="s">
        <v>2161</v>
      </c>
      <c r="H64" s="1215">
        <f>26006428.75-164298.824999988</f>
        <v>25842129.925000012</v>
      </c>
      <c r="L64" s="1220"/>
      <c r="M64" s="1220"/>
      <c r="N64" s="1220"/>
      <c r="O64" s="1220"/>
      <c r="P64" s="1220"/>
      <c r="Q64" s="1220"/>
      <c r="R64" s="1220"/>
      <c r="S64" s="1220"/>
      <c r="T64" s="1220"/>
      <c r="U64" s="1220"/>
      <c r="V64" s="1220"/>
      <c r="W64" s="1220"/>
      <c r="X64" s="1220"/>
      <c r="Y64" s="1220">
        <f t="shared" si="34"/>
        <v>-307644.40386904776</v>
      </c>
      <c r="Z64" s="1220">
        <f t="shared" si="34"/>
        <v>-307644.40386904776</v>
      </c>
      <c r="AA64" s="1220">
        <f t="shared" si="34"/>
        <v>-307644.40386904776</v>
      </c>
      <c r="AB64" s="1220">
        <f t="shared" si="34"/>
        <v>-307644.40386904776</v>
      </c>
      <c r="AC64" s="1220">
        <f t="shared" si="34"/>
        <v>-307644.40386904776</v>
      </c>
      <c r="AD64" s="1220">
        <f t="shared" si="34"/>
        <v>-307644.40386904776</v>
      </c>
      <c r="AE64" s="1220">
        <f t="shared" si="34"/>
        <v>-307644.40386904776</v>
      </c>
      <c r="AF64" s="1220">
        <f t="shared" si="34"/>
        <v>-307644.40386904776</v>
      </c>
      <c r="AG64" s="1220">
        <f t="shared" si="34"/>
        <v>-307644.40386904776</v>
      </c>
      <c r="AH64" s="1220">
        <f t="shared" si="34"/>
        <v>-307644.40386904776</v>
      </c>
      <c r="AI64" s="1220">
        <f t="shared" si="34"/>
        <v>-307644.40386904776</v>
      </c>
      <c r="AJ64" s="1220">
        <f t="shared" si="34"/>
        <v>-307644.40386904776</v>
      </c>
      <c r="AK64" s="1220">
        <f t="shared" si="34"/>
        <v>-307644.40386904776</v>
      </c>
      <c r="AL64" s="1220">
        <f t="shared" si="34"/>
        <v>-307644.40386904776</v>
      </c>
      <c r="AM64" s="1220">
        <f t="shared" si="34"/>
        <v>-307644.40386904776</v>
      </c>
      <c r="AN64" s="1220">
        <f t="shared" si="34"/>
        <v>-307644.40386904776</v>
      </c>
      <c r="AO64" s="1220">
        <f t="shared" si="34"/>
        <v>-307644.40386904776</v>
      </c>
      <c r="AP64" s="1220">
        <f t="shared" si="34"/>
        <v>-307644.40386904776</v>
      </c>
      <c r="AQ64" s="1220">
        <f t="shared" si="34"/>
        <v>-307644.40386904776</v>
      </c>
      <c r="AR64" s="1220">
        <f t="shared" si="34"/>
        <v>-307644.40386904776</v>
      </c>
      <c r="AS64" s="1220">
        <f t="shared" si="34"/>
        <v>-307644.40386904776</v>
      </c>
      <c r="AT64" s="1220">
        <f t="shared" si="34"/>
        <v>-307644.40386904776</v>
      </c>
      <c r="AU64" s="1220">
        <f t="shared" si="34"/>
        <v>-307644.40386904776</v>
      </c>
      <c r="AV64" s="1220">
        <f t="shared" si="34"/>
        <v>-307644.40386904776</v>
      </c>
      <c r="AW64" s="1220">
        <f t="shared" si="34"/>
        <v>-307644.40386904776</v>
      </c>
      <c r="AX64" s="1220">
        <f t="shared" si="34"/>
        <v>-307644.40386904776</v>
      </c>
      <c r="AY64" s="1220">
        <f t="shared" si="34"/>
        <v>-307644.40386904776</v>
      </c>
      <c r="AZ64" s="1220">
        <f t="shared" si="34"/>
        <v>-307644.40386904776</v>
      </c>
      <c r="BA64" s="1220">
        <f t="shared" si="34"/>
        <v>-307644.40386904776</v>
      </c>
      <c r="BB64" s="1220">
        <f t="shared" si="34"/>
        <v>-307644.40386904776</v>
      </c>
      <c r="BC64" s="1220">
        <f t="shared" si="34"/>
        <v>-307644.40386904776</v>
      </c>
      <c r="BD64" s="1220">
        <f t="shared" si="34"/>
        <v>-307644.40386904776</v>
      </c>
      <c r="BE64" s="1220">
        <f t="shared" si="34"/>
        <v>-307644.40386904776</v>
      </c>
      <c r="BF64" s="1220">
        <f t="shared" si="34"/>
        <v>-307644.40386904776</v>
      </c>
      <c r="BG64" s="1220">
        <f t="shared" si="34"/>
        <v>-307644.40386904776</v>
      </c>
      <c r="BH64" s="1220">
        <f t="shared" si="34"/>
        <v>-307644.40386904776</v>
      </c>
      <c r="BI64" s="1220">
        <f t="shared" si="34"/>
        <v>-307644.40386904776</v>
      </c>
      <c r="BJ64" s="1220">
        <f t="shared" si="34"/>
        <v>-307644.40386904776</v>
      </c>
      <c r="BK64" s="1220">
        <f t="shared" si="34"/>
        <v>-307644.40386904776</v>
      </c>
      <c r="BL64" s="1220">
        <f t="shared" si="34"/>
        <v>-307644.40386904776</v>
      </c>
      <c r="BM64" s="1220">
        <f t="shared" si="34"/>
        <v>-307644.40386904776</v>
      </c>
      <c r="BN64" s="1220">
        <f t="shared" si="34"/>
        <v>-307644.40386904776</v>
      </c>
      <c r="BO64" s="1220">
        <f t="shared" si="34"/>
        <v>-307644.40386904776</v>
      </c>
      <c r="BP64" s="1220">
        <f t="shared" si="34"/>
        <v>-307644.40386904776</v>
      </c>
      <c r="BQ64" s="1220">
        <f t="shared" si="34"/>
        <v>-307644.40386904776</v>
      </c>
      <c r="BR64" s="1220">
        <f t="shared" si="34"/>
        <v>-307644.40386904776</v>
      </c>
      <c r="BS64" s="1220">
        <f t="shared" si="34"/>
        <v>-307644.40386904776</v>
      </c>
      <c r="BT64" s="1220">
        <f t="shared" si="34"/>
        <v>-307644.40386904776</v>
      </c>
      <c r="BU64" s="1220">
        <f t="shared" si="34"/>
        <v>-307644.40386904776</v>
      </c>
      <c r="BV64" s="1220">
        <f t="shared" si="34"/>
        <v>-307644.40386904776</v>
      </c>
      <c r="BW64" s="1220">
        <f t="shared" si="34"/>
        <v>-307644.40386904776</v>
      </c>
      <c r="BX64" s="1220">
        <f t="shared" si="34"/>
        <v>-307644.40386904776</v>
      </c>
      <c r="BY64" s="1220">
        <f t="shared" si="34"/>
        <v>-307644.40386904776</v>
      </c>
      <c r="BZ64" s="1220">
        <f t="shared" si="34"/>
        <v>-307644.40386904776</v>
      </c>
      <c r="CA64" s="1220">
        <f t="shared" si="34"/>
        <v>-307644.40386904776</v>
      </c>
      <c r="CB64" s="1220">
        <f t="shared" si="34"/>
        <v>-307644.40386904776</v>
      </c>
      <c r="CC64" s="1220">
        <f t="shared" si="34"/>
        <v>-307644.40386904776</v>
      </c>
      <c r="CD64" s="1220">
        <f t="shared" si="34"/>
        <v>-307644.40386904776</v>
      </c>
      <c r="CE64" s="1220">
        <f t="shared" si="34"/>
        <v>-307644.40386904776</v>
      </c>
      <c r="CF64" s="1220">
        <f t="shared" si="34"/>
        <v>-307644.40386904776</v>
      </c>
      <c r="CG64" s="1220">
        <f t="shared" si="34"/>
        <v>-307644.40386904776</v>
      </c>
      <c r="CH64" s="1220">
        <f t="shared" si="34"/>
        <v>-307644.40386904776</v>
      </c>
      <c r="CI64" s="1220">
        <f t="shared" si="34"/>
        <v>-307644.40386904776</v>
      </c>
      <c r="CJ64" s="1220">
        <f t="shared" si="34"/>
        <v>-307644.40386904776</v>
      </c>
      <c r="CK64" s="1220">
        <f t="shared" ref="CK64:DD64" si="36">-$H64/84</f>
        <v>-307644.40386904776</v>
      </c>
      <c r="CL64" s="1220">
        <f t="shared" si="36"/>
        <v>-307644.40386904776</v>
      </c>
      <c r="CM64" s="1220">
        <f t="shared" si="36"/>
        <v>-307644.40386904776</v>
      </c>
      <c r="CN64" s="1220">
        <f t="shared" si="36"/>
        <v>-307644.40386904776</v>
      </c>
      <c r="CO64" s="1220">
        <f t="shared" si="36"/>
        <v>-307644.40386904776</v>
      </c>
      <c r="CP64" s="1220">
        <f t="shared" si="36"/>
        <v>-307644.40386904776</v>
      </c>
      <c r="CQ64" s="1220">
        <f t="shared" si="36"/>
        <v>-307644.40386904776</v>
      </c>
      <c r="CR64" s="1220">
        <f t="shared" si="36"/>
        <v>-307644.40386904776</v>
      </c>
      <c r="CS64" s="1220">
        <f t="shared" si="36"/>
        <v>-307644.40386904776</v>
      </c>
      <c r="CT64" s="1220">
        <f t="shared" si="36"/>
        <v>-307644.40386904776</v>
      </c>
      <c r="CU64" s="1220">
        <f t="shared" si="36"/>
        <v>-307644.40386904776</v>
      </c>
      <c r="CV64" s="1220">
        <f t="shared" si="36"/>
        <v>-307644.40386904776</v>
      </c>
      <c r="CW64" s="1220">
        <f t="shared" si="36"/>
        <v>-307644.40386904776</v>
      </c>
      <c r="CX64" s="1220">
        <f t="shared" si="36"/>
        <v>-307644.40386904776</v>
      </c>
      <c r="CY64" s="1220">
        <f t="shared" si="36"/>
        <v>-307644.40386904776</v>
      </c>
      <c r="CZ64" s="1220">
        <f t="shared" si="36"/>
        <v>-307644.40386904776</v>
      </c>
      <c r="DA64" s="1220">
        <f t="shared" si="36"/>
        <v>-307644.40386904776</v>
      </c>
      <c r="DB64" s="1220">
        <f t="shared" si="36"/>
        <v>-307644.40386904776</v>
      </c>
      <c r="DC64" s="1220">
        <f t="shared" si="36"/>
        <v>-307644.40386904776</v>
      </c>
      <c r="DD64" s="1220">
        <f t="shared" si="36"/>
        <v>-307644.40386904776</v>
      </c>
      <c r="DE64" s="1220"/>
    </row>
    <row r="65" spans="1:116" x14ac:dyDescent="0.3">
      <c r="H65" s="1218"/>
      <c r="L65" s="1220"/>
      <c r="M65" s="1220"/>
      <c r="N65" s="1220"/>
      <c r="O65" s="1220"/>
      <c r="P65" s="1220"/>
      <c r="Q65" s="1220"/>
      <c r="R65" s="1220"/>
      <c r="S65" s="1220"/>
      <c r="T65" s="1220"/>
      <c r="U65" s="1220"/>
      <c r="V65" s="1220"/>
      <c r="W65" s="1220"/>
      <c r="X65" s="1220"/>
      <c r="Y65" s="1220"/>
      <c r="Z65" s="1220"/>
      <c r="AA65" s="1220"/>
      <c r="AB65" s="1220"/>
      <c r="AC65" s="1220"/>
      <c r="AD65" s="1220"/>
      <c r="AE65" s="1220"/>
      <c r="AF65" s="1220"/>
      <c r="AG65" s="1220"/>
      <c r="AH65" s="1220"/>
      <c r="AI65" s="1220"/>
      <c r="AJ65" s="1220"/>
      <c r="AK65" s="1220"/>
      <c r="AL65" s="1220"/>
      <c r="AM65" s="1220"/>
      <c r="AN65" s="1220"/>
      <c r="AO65" s="1220"/>
      <c r="AP65" s="1220"/>
      <c r="AQ65" s="1220"/>
      <c r="AR65" s="1220"/>
      <c r="AS65" s="1220"/>
      <c r="AT65" s="1220"/>
      <c r="AU65" s="1220"/>
      <c r="AV65" s="1220"/>
      <c r="AW65" s="1220"/>
      <c r="AX65" s="1220"/>
      <c r="AY65" s="1220"/>
      <c r="AZ65" s="1220"/>
      <c r="BA65" s="1220"/>
      <c r="BB65" s="1220"/>
      <c r="BC65" s="1220"/>
      <c r="BD65" s="1220"/>
      <c r="BE65" s="1220"/>
      <c r="BF65" s="1220"/>
      <c r="BG65" s="1220"/>
      <c r="BH65" s="1220"/>
      <c r="BI65" s="1220"/>
      <c r="BJ65" s="1220"/>
      <c r="BK65" s="1220"/>
      <c r="BL65" s="1220"/>
      <c r="BM65" s="1220"/>
      <c r="BN65" s="1220"/>
      <c r="BO65" s="1220"/>
      <c r="BP65" s="1220"/>
      <c r="BQ65" s="1220"/>
      <c r="BR65" s="1220"/>
      <c r="BS65" s="1220"/>
      <c r="BT65" s="1220"/>
      <c r="BU65" s="1220"/>
      <c r="BV65" s="1220"/>
      <c r="BW65" s="1220"/>
      <c r="BX65" s="1220"/>
      <c r="BY65" s="1220"/>
      <c r="BZ65" s="1220"/>
      <c r="CA65" s="1220"/>
      <c r="CB65" s="1220"/>
      <c r="CC65" s="1220"/>
      <c r="CD65" s="1220"/>
      <c r="CE65" s="1220"/>
      <c r="CF65" s="1220"/>
      <c r="CG65" s="1220"/>
      <c r="CH65" s="1220"/>
      <c r="CI65" s="1220"/>
      <c r="CJ65" s="1220"/>
      <c r="CK65" s="1220"/>
      <c r="CL65" s="1220"/>
      <c r="CM65" s="1220"/>
      <c r="CN65" s="1220"/>
      <c r="CO65" s="1220"/>
      <c r="CP65" s="1220"/>
      <c r="CQ65" s="1220"/>
      <c r="CR65" s="1220"/>
      <c r="CS65" s="1220"/>
      <c r="CT65" s="1220"/>
      <c r="CU65" s="1220"/>
      <c r="CV65" s="1220"/>
      <c r="CW65" s="1220"/>
      <c r="CX65" s="1220"/>
      <c r="CY65" s="1220"/>
      <c r="CZ65" s="1220"/>
      <c r="DA65" s="1220"/>
      <c r="DB65" s="1220"/>
      <c r="DC65" s="1220"/>
      <c r="DD65" s="1220"/>
      <c r="DE65" s="1220"/>
    </row>
    <row r="66" spans="1:116" x14ac:dyDescent="0.3">
      <c r="A66" s="1214" t="s">
        <v>2162</v>
      </c>
      <c r="H66" s="1215">
        <f>26006428.75-164298.824999988</f>
        <v>25842129.925000012</v>
      </c>
      <c r="L66" s="1220"/>
      <c r="M66" s="1220"/>
      <c r="N66" s="1220"/>
      <c r="O66" s="1220"/>
      <c r="P66" s="1220"/>
      <c r="Q66" s="1220"/>
      <c r="R66" s="1220"/>
      <c r="S66" s="1220"/>
      <c r="T66" s="1220"/>
      <c r="U66" s="1220"/>
      <c r="V66" s="1220"/>
      <c r="W66" s="1220"/>
      <c r="X66" s="1220"/>
      <c r="Y66" s="1220"/>
      <c r="Z66" s="1220">
        <f t="shared" si="34"/>
        <v>-307644.40386904776</v>
      </c>
      <c r="AA66" s="1220">
        <f>-$H66/84</f>
        <v>-307644.40386904776</v>
      </c>
      <c r="AB66" s="1220">
        <f t="shared" si="34"/>
        <v>-307644.40386904776</v>
      </c>
      <c r="AC66" s="1220">
        <f t="shared" si="34"/>
        <v>-307644.40386904776</v>
      </c>
      <c r="AD66" s="1220">
        <f t="shared" si="34"/>
        <v>-307644.40386904776</v>
      </c>
      <c r="AE66" s="1220">
        <f t="shared" si="34"/>
        <v>-307644.40386904776</v>
      </c>
      <c r="AF66" s="1220">
        <f t="shared" si="34"/>
        <v>-307644.40386904776</v>
      </c>
      <c r="AG66" s="1220">
        <f t="shared" si="34"/>
        <v>-307644.40386904776</v>
      </c>
      <c r="AH66" s="1220">
        <f t="shared" si="34"/>
        <v>-307644.40386904776</v>
      </c>
      <c r="AI66" s="1220">
        <f t="shared" si="34"/>
        <v>-307644.40386904776</v>
      </c>
      <c r="AJ66" s="1220">
        <f t="shared" si="34"/>
        <v>-307644.40386904776</v>
      </c>
      <c r="AK66" s="1220">
        <f t="shared" si="34"/>
        <v>-307644.40386904776</v>
      </c>
      <c r="AL66" s="1220">
        <f t="shared" si="34"/>
        <v>-307644.40386904776</v>
      </c>
      <c r="AM66" s="1220">
        <f t="shared" si="34"/>
        <v>-307644.40386904776</v>
      </c>
      <c r="AN66" s="1220">
        <f t="shared" si="34"/>
        <v>-307644.40386904776</v>
      </c>
      <c r="AO66" s="1220">
        <f t="shared" si="34"/>
        <v>-307644.40386904776</v>
      </c>
      <c r="AP66" s="1220">
        <f t="shared" si="34"/>
        <v>-307644.40386904776</v>
      </c>
      <c r="AQ66" s="1220">
        <f t="shared" si="34"/>
        <v>-307644.40386904776</v>
      </c>
      <c r="AR66" s="1220">
        <f t="shared" si="34"/>
        <v>-307644.40386904776</v>
      </c>
      <c r="AS66" s="1220">
        <f t="shared" si="34"/>
        <v>-307644.40386904776</v>
      </c>
      <c r="AT66" s="1220">
        <f t="shared" si="34"/>
        <v>-307644.40386904776</v>
      </c>
      <c r="AU66" s="1220">
        <f t="shared" si="34"/>
        <v>-307644.40386904776</v>
      </c>
      <c r="AV66" s="1220">
        <f t="shared" si="34"/>
        <v>-307644.40386904776</v>
      </c>
      <c r="AW66" s="1220">
        <f t="shared" si="34"/>
        <v>-307644.40386904776</v>
      </c>
      <c r="AX66" s="1220">
        <f t="shared" si="34"/>
        <v>-307644.40386904776</v>
      </c>
      <c r="AY66" s="1220">
        <f t="shared" si="34"/>
        <v>-307644.40386904776</v>
      </c>
      <c r="AZ66" s="1220">
        <f t="shared" si="34"/>
        <v>-307644.40386904776</v>
      </c>
      <c r="BA66" s="1220">
        <f t="shared" si="34"/>
        <v>-307644.40386904776</v>
      </c>
      <c r="BB66" s="1220">
        <f t="shared" si="34"/>
        <v>-307644.40386904776</v>
      </c>
      <c r="BC66" s="1220">
        <f t="shared" si="34"/>
        <v>-307644.40386904776</v>
      </c>
      <c r="BD66" s="1220">
        <f t="shared" si="34"/>
        <v>-307644.40386904776</v>
      </c>
      <c r="BE66" s="1220">
        <f t="shared" si="34"/>
        <v>-307644.40386904776</v>
      </c>
      <c r="BF66" s="1220">
        <f t="shared" si="34"/>
        <v>-307644.40386904776</v>
      </c>
      <c r="BG66" s="1220">
        <f t="shared" si="34"/>
        <v>-307644.40386904776</v>
      </c>
      <c r="BH66" s="1220">
        <f t="shared" si="34"/>
        <v>-307644.40386904776</v>
      </c>
      <c r="BI66" s="1220">
        <f t="shared" si="34"/>
        <v>-307644.40386904776</v>
      </c>
      <c r="BJ66" s="1220">
        <f t="shared" si="34"/>
        <v>-307644.40386904776</v>
      </c>
      <c r="BK66" s="1220">
        <f t="shared" si="34"/>
        <v>-307644.40386904776</v>
      </c>
      <c r="BL66" s="1220">
        <f t="shared" si="34"/>
        <v>-307644.40386904776</v>
      </c>
      <c r="BM66" s="1220">
        <f t="shared" si="34"/>
        <v>-307644.40386904776</v>
      </c>
      <c r="BN66" s="1220">
        <f t="shared" si="34"/>
        <v>-307644.40386904776</v>
      </c>
      <c r="BO66" s="1220">
        <f t="shared" si="34"/>
        <v>-307644.40386904776</v>
      </c>
      <c r="BP66" s="1220">
        <f t="shared" si="34"/>
        <v>-307644.40386904776</v>
      </c>
      <c r="BQ66" s="1220">
        <f t="shared" si="34"/>
        <v>-307644.40386904776</v>
      </c>
      <c r="BR66" s="1220">
        <f t="shared" si="34"/>
        <v>-307644.40386904776</v>
      </c>
      <c r="BS66" s="1220">
        <f t="shared" si="34"/>
        <v>-307644.40386904776</v>
      </c>
      <c r="BT66" s="1220">
        <f t="shared" si="34"/>
        <v>-307644.40386904776</v>
      </c>
      <c r="BU66" s="1220">
        <f t="shared" si="34"/>
        <v>-307644.40386904776</v>
      </c>
      <c r="BV66" s="1220">
        <f t="shared" si="34"/>
        <v>-307644.40386904776</v>
      </c>
      <c r="BW66" s="1220">
        <f t="shared" si="34"/>
        <v>-307644.40386904776</v>
      </c>
      <c r="BX66" s="1220">
        <f t="shared" si="34"/>
        <v>-307644.40386904776</v>
      </c>
      <c r="BY66" s="1220">
        <f t="shared" si="34"/>
        <v>-307644.40386904776</v>
      </c>
      <c r="BZ66" s="1220">
        <f t="shared" si="34"/>
        <v>-307644.40386904776</v>
      </c>
      <c r="CA66" s="1220">
        <f t="shared" si="34"/>
        <v>-307644.40386904776</v>
      </c>
      <c r="CB66" s="1220">
        <f t="shared" si="34"/>
        <v>-307644.40386904776</v>
      </c>
      <c r="CC66" s="1220">
        <f t="shared" si="34"/>
        <v>-307644.40386904776</v>
      </c>
      <c r="CD66" s="1220">
        <f t="shared" si="34"/>
        <v>-307644.40386904776</v>
      </c>
      <c r="CE66" s="1220">
        <f t="shared" si="34"/>
        <v>-307644.40386904776</v>
      </c>
      <c r="CF66" s="1220">
        <f t="shared" si="34"/>
        <v>-307644.40386904776</v>
      </c>
      <c r="CG66" s="1220">
        <f t="shared" si="34"/>
        <v>-307644.40386904776</v>
      </c>
      <c r="CH66" s="1220">
        <f t="shared" si="34"/>
        <v>-307644.40386904776</v>
      </c>
      <c r="CI66" s="1220">
        <f t="shared" si="34"/>
        <v>-307644.40386904776</v>
      </c>
      <c r="CJ66" s="1220">
        <f t="shared" si="34"/>
        <v>-307644.40386904776</v>
      </c>
      <c r="CK66" s="1220">
        <f t="shared" ref="CK66:DE66" si="37">-$H66/84</f>
        <v>-307644.40386904776</v>
      </c>
      <c r="CL66" s="1220">
        <f t="shared" si="37"/>
        <v>-307644.40386904776</v>
      </c>
      <c r="CM66" s="1220">
        <f t="shared" si="37"/>
        <v>-307644.40386904776</v>
      </c>
      <c r="CN66" s="1220">
        <f t="shared" si="37"/>
        <v>-307644.40386904776</v>
      </c>
      <c r="CO66" s="1220">
        <f t="shared" si="37"/>
        <v>-307644.40386904776</v>
      </c>
      <c r="CP66" s="1220">
        <f t="shared" si="37"/>
        <v>-307644.40386904776</v>
      </c>
      <c r="CQ66" s="1220">
        <f t="shared" si="37"/>
        <v>-307644.40386904776</v>
      </c>
      <c r="CR66" s="1220">
        <f t="shared" si="37"/>
        <v>-307644.40386904776</v>
      </c>
      <c r="CS66" s="1220">
        <f t="shared" si="37"/>
        <v>-307644.40386904776</v>
      </c>
      <c r="CT66" s="1220">
        <f t="shared" si="37"/>
        <v>-307644.40386904776</v>
      </c>
      <c r="CU66" s="1220">
        <f t="shared" si="37"/>
        <v>-307644.40386904776</v>
      </c>
      <c r="CV66" s="1220">
        <f t="shared" si="37"/>
        <v>-307644.40386904776</v>
      </c>
      <c r="CW66" s="1220">
        <f t="shared" si="37"/>
        <v>-307644.40386904776</v>
      </c>
      <c r="CX66" s="1220">
        <f t="shared" si="37"/>
        <v>-307644.40386904776</v>
      </c>
      <c r="CY66" s="1220">
        <f t="shared" si="37"/>
        <v>-307644.40386904776</v>
      </c>
      <c r="CZ66" s="1220">
        <f t="shared" si="37"/>
        <v>-307644.40386904776</v>
      </c>
      <c r="DA66" s="1220">
        <f t="shared" si="37"/>
        <v>-307644.40386904776</v>
      </c>
      <c r="DB66" s="1220">
        <f t="shared" si="37"/>
        <v>-307644.40386904776</v>
      </c>
      <c r="DC66" s="1220">
        <f t="shared" si="37"/>
        <v>-307644.40386904776</v>
      </c>
      <c r="DD66" s="1220">
        <f t="shared" si="37"/>
        <v>-307644.40386904776</v>
      </c>
      <c r="DE66" s="1220">
        <f t="shared" si="37"/>
        <v>-307644.40386904776</v>
      </c>
    </row>
    <row r="67" spans="1:116" x14ac:dyDescent="0.3">
      <c r="H67" s="1221"/>
      <c r="L67" s="1220"/>
      <c r="M67" s="1220"/>
      <c r="N67" s="1220"/>
      <c r="O67" s="1220"/>
      <c r="P67" s="1220"/>
      <c r="Q67" s="1220"/>
      <c r="R67" s="1220"/>
      <c r="S67" s="1220"/>
      <c r="T67" s="1220"/>
      <c r="U67" s="1220"/>
      <c r="V67" s="1220"/>
      <c r="W67" s="1220"/>
      <c r="X67" s="1220"/>
      <c r="Y67" s="1220"/>
      <c r="Z67" s="1220"/>
      <c r="AA67" s="1220"/>
      <c r="AB67" s="1220"/>
      <c r="AC67" s="1220"/>
      <c r="AD67" s="1220"/>
      <c r="AE67" s="1220"/>
      <c r="AF67" s="1220"/>
      <c r="AG67" s="1220"/>
      <c r="AH67" s="1220"/>
      <c r="AI67" s="1220"/>
      <c r="AJ67" s="1220"/>
      <c r="AK67" s="1220"/>
      <c r="AL67" s="1220"/>
      <c r="AM67" s="1220"/>
      <c r="AN67" s="1220"/>
      <c r="AO67" s="1220"/>
      <c r="AP67" s="1220"/>
      <c r="AQ67" s="1220"/>
      <c r="AR67" s="1220"/>
      <c r="AS67" s="1220"/>
      <c r="AT67" s="1220"/>
      <c r="AU67" s="1220"/>
      <c r="AV67" s="1220"/>
      <c r="AW67" s="1220"/>
      <c r="AX67" s="1220"/>
      <c r="AY67" s="1220"/>
      <c r="AZ67" s="1220"/>
      <c r="BA67" s="1220"/>
      <c r="BB67" s="1220"/>
      <c r="BC67" s="1220"/>
      <c r="BD67" s="1220"/>
      <c r="BE67" s="1220"/>
      <c r="BF67" s="1220"/>
      <c r="BG67" s="1220"/>
      <c r="BH67" s="1220"/>
      <c r="BI67" s="1220"/>
      <c r="BJ67" s="1220"/>
      <c r="BK67" s="1220"/>
      <c r="BL67" s="1220"/>
      <c r="BM67" s="1220"/>
      <c r="BN67" s="1220"/>
      <c r="BO67" s="1220"/>
      <c r="BP67" s="1220"/>
      <c r="BQ67" s="1220"/>
      <c r="BR67" s="1220"/>
      <c r="BS67" s="1220"/>
      <c r="BT67" s="1220"/>
      <c r="BU67" s="1220"/>
      <c r="BV67" s="1220"/>
      <c r="BW67" s="1220"/>
      <c r="BX67" s="1220"/>
      <c r="BY67" s="1220"/>
      <c r="BZ67" s="1220"/>
      <c r="CA67" s="1220"/>
      <c r="CB67" s="1220"/>
      <c r="CC67" s="1220"/>
      <c r="CD67" s="1220"/>
      <c r="CE67" s="1220"/>
      <c r="CF67" s="1220"/>
      <c r="CG67" s="1220"/>
      <c r="CH67" s="1220"/>
      <c r="CI67" s="1220"/>
      <c r="CJ67" s="1220"/>
      <c r="CK67" s="1220"/>
      <c r="CL67" s="1220"/>
      <c r="CM67" s="1220"/>
      <c r="CN67" s="1220"/>
      <c r="CO67" s="1220"/>
      <c r="CP67" s="1220"/>
      <c r="CQ67" s="1220"/>
      <c r="CR67" s="1220"/>
      <c r="CS67" s="1220"/>
      <c r="CT67" s="1220"/>
      <c r="CU67" s="1220"/>
      <c r="CV67" s="1220"/>
      <c r="CW67" s="1220"/>
      <c r="CX67" s="1220"/>
      <c r="CY67" s="1220"/>
      <c r="CZ67" s="1220"/>
      <c r="DA67" s="1220"/>
      <c r="DB67" s="1220"/>
      <c r="DC67" s="1220"/>
      <c r="DD67" s="1220"/>
      <c r="DE67" s="1220"/>
    </row>
    <row r="68" spans="1:116" x14ac:dyDescent="0.3">
      <c r="A68" s="1214" t="s">
        <v>2163</v>
      </c>
      <c r="H68" s="1215">
        <f>26006428.75-164298.824999988</f>
        <v>25842129.925000012</v>
      </c>
      <c r="L68" s="1220"/>
      <c r="M68" s="1220"/>
      <c r="N68" s="1220"/>
      <c r="O68" s="1220"/>
      <c r="P68" s="1220"/>
      <c r="Q68" s="1220"/>
      <c r="R68" s="1220"/>
      <c r="S68" s="1220"/>
      <c r="T68" s="1220"/>
      <c r="U68" s="1220"/>
      <c r="V68" s="1220"/>
      <c r="W68" s="1220"/>
      <c r="X68" s="1220"/>
      <c r="Y68" s="1220"/>
      <c r="Z68" s="1220"/>
      <c r="AA68" s="1220">
        <f>-$H68/84</f>
        <v>-307644.40386904776</v>
      </c>
      <c r="AB68" s="1220">
        <f t="shared" ref="AB68:CM72" si="38">-$H68/84</f>
        <v>-307644.40386904776</v>
      </c>
      <c r="AC68" s="1220">
        <f t="shared" si="38"/>
        <v>-307644.40386904776</v>
      </c>
      <c r="AD68" s="1220">
        <f t="shared" si="38"/>
        <v>-307644.40386904776</v>
      </c>
      <c r="AE68" s="1220">
        <f t="shared" si="38"/>
        <v>-307644.40386904776</v>
      </c>
      <c r="AF68" s="1220">
        <f t="shared" si="38"/>
        <v>-307644.40386904776</v>
      </c>
      <c r="AG68" s="1220">
        <f t="shared" si="38"/>
        <v>-307644.40386904776</v>
      </c>
      <c r="AH68" s="1220">
        <f t="shared" si="38"/>
        <v>-307644.40386904776</v>
      </c>
      <c r="AI68" s="1220">
        <f t="shared" si="38"/>
        <v>-307644.40386904776</v>
      </c>
      <c r="AJ68" s="1220">
        <f t="shared" si="38"/>
        <v>-307644.40386904776</v>
      </c>
      <c r="AK68" s="1220">
        <f t="shared" si="38"/>
        <v>-307644.40386904776</v>
      </c>
      <c r="AL68" s="1220">
        <f t="shared" si="38"/>
        <v>-307644.40386904776</v>
      </c>
      <c r="AM68" s="1220">
        <f t="shared" si="38"/>
        <v>-307644.40386904776</v>
      </c>
      <c r="AN68" s="1220">
        <f t="shared" si="38"/>
        <v>-307644.40386904776</v>
      </c>
      <c r="AO68" s="1220">
        <f t="shared" si="38"/>
        <v>-307644.40386904776</v>
      </c>
      <c r="AP68" s="1220">
        <f t="shared" si="38"/>
        <v>-307644.40386904776</v>
      </c>
      <c r="AQ68" s="1220">
        <f t="shared" si="38"/>
        <v>-307644.40386904776</v>
      </c>
      <c r="AR68" s="1220">
        <f t="shared" si="38"/>
        <v>-307644.40386904776</v>
      </c>
      <c r="AS68" s="1220">
        <f t="shared" si="38"/>
        <v>-307644.40386904776</v>
      </c>
      <c r="AT68" s="1220">
        <f t="shared" si="38"/>
        <v>-307644.40386904776</v>
      </c>
      <c r="AU68" s="1220">
        <f t="shared" si="38"/>
        <v>-307644.40386904776</v>
      </c>
      <c r="AV68" s="1220">
        <f t="shared" si="38"/>
        <v>-307644.40386904776</v>
      </c>
      <c r="AW68" s="1220">
        <f t="shared" si="38"/>
        <v>-307644.40386904776</v>
      </c>
      <c r="AX68" s="1220">
        <f t="shared" si="38"/>
        <v>-307644.40386904776</v>
      </c>
      <c r="AY68" s="1220">
        <f t="shared" si="38"/>
        <v>-307644.40386904776</v>
      </c>
      <c r="AZ68" s="1220">
        <f t="shared" si="38"/>
        <v>-307644.40386904776</v>
      </c>
      <c r="BA68" s="1220">
        <f t="shared" si="38"/>
        <v>-307644.40386904776</v>
      </c>
      <c r="BB68" s="1220">
        <f t="shared" si="38"/>
        <v>-307644.40386904776</v>
      </c>
      <c r="BC68" s="1220">
        <f t="shared" si="38"/>
        <v>-307644.40386904776</v>
      </c>
      <c r="BD68" s="1220">
        <f t="shared" si="38"/>
        <v>-307644.40386904776</v>
      </c>
      <c r="BE68" s="1220">
        <f t="shared" si="38"/>
        <v>-307644.40386904776</v>
      </c>
      <c r="BF68" s="1220">
        <f t="shared" si="38"/>
        <v>-307644.40386904776</v>
      </c>
      <c r="BG68" s="1220">
        <f t="shared" si="38"/>
        <v>-307644.40386904776</v>
      </c>
      <c r="BH68" s="1220">
        <f t="shared" si="38"/>
        <v>-307644.40386904776</v>
      </c>
      <c r="BI68" s="1220">
        <f t="shared" si="38"/>
        <v>-307644.40386904776</v>
      </c>
      <c r="BJ68" s="1220">
        <f t="shared" si="38"/>
        <v>-307644.40386904776</v>
      </c>
      <c r="BK68" s="1220">
        <f t="shared" si="38"/>
        <v>-307644.40386904776</v>
      </c>
      <c r="BL68" s="1220">
        <f t="shared" si="38"/>
        <v>-307644.40386904776</v>
      </c>
      <c r="BM68" s="1220">
        <f t="shared" si="38"/>
        <v>-307644.40386904776</v>
      </c>
      <c r="BN68" s="1220">
        <f t="shared" si="38"/>
        <v>-307644.40386904776</v>
      </c>
      <c r="BO68" s="1220">
        <f t="shared" si="38"/>
        <v>-307644.40386904776</v>
      </c>
      <c r="BP68" s="1220">
        <f t="shared" si="38"/>
        <v>-307644.40386904776</v>
      </c>
      <c r="BQ68" s="1220">
        <f t="shared" si="38"/>
        <v>-307644.40386904776</v>
      </c>
      <c r="BR68" s="1220">
        <f t="shared" si="38"/>
        <v>-307644.40386904776</v>
      </c>
      <c r="BS68" s="1220">
        <f t="shared" si="38"/>
        <v>-307644.40386904776</v>
      </c>
      <c r="BT68" s="1220">
        <f t="shared" si="38"/>
        <v>-307644.40386904776</v>
      </c>
      <c r="BU68" s="1220">
        <f t="shared" si="38"/>
        <v>-307644.40386904776</v>
      </c>
      <c r="BV68" s="1220">
        <f t="shared" si="38"/>
        <v>-307644.40386904776</v>
      </c>
      <c r="BW68" s="1220">
        <f t="shared" si="38"/>
        <v>-307644.40386904776</v>
      </c>
      <c r="BX68" s="1220">
        <f t="shared" si="38"/>
        <v>-307644.40386904776</v>
      </c>
      <c r="BY68" s="1220">
        <f t="shared" si="38"/>
        <v>-307644.40386904776</v>
      </c>
      <c r="BZ68" s="1220">
        <f t="shared" si="38"/>
        <v>-307644.40386904776</v>
      </c>
      <c r="CA68" s="1220">
        <f t="shared" si="38"/>
        <v>-307644.40386904776</v>
      </c>
      <c r="CB68" s="1220">
        <f t="shared" si="38"/>
        <v>-307644.40386904776</v>
      </c>
      <c r="CC68" s="1220">
        <f t="shared" si="38"/>
        <v>-307644.40386904776</v>
      </c>
      <c r="CD68" s="1220">
        <f t="shared" si="38"/>
        <v>-307644.40386904776</v>
      </c>
      <c r="CE68" s="1220">
        <f t="shared" si="38"/>
        <v>-307644.40386904776</v>
      </c>
      <c r="CF68" s="1220">
        <f t="shared" si="38"/>
        <v>-307644.40386904776</v>
      </c>
      <c r="CG68" s="1220">
        <f t="shared" si="38"/>
        <v>-307644.40386904776</v>
      </c>
      <c r="CH68" s="1220">
        <f t="shared" si="38"/>
        <v>-307644.40386904776</v>
      </c>
      <c r="CI68" s="1220">
        <f t="shared" si="38"/>
        <v>-307644.40386904776</v>
      </c>
      <c r="CJ68" s="1220">
        <f t="shared" si="38"/>
        <v>-307644.40386904776</v>
      </c>
      <c r="CK68" s="1220">
        <f t="shared" si="38"/>
        <v>-307644.40386904776</v>
      </c>
      <c r="CL68" s="1220">
        <f t="shared" si="38"/>
        <v>-307644.40386904776</v>
      </c>
      <c r="CM68" s="1220">
        <f t="shared" si="38"/>
        <v>-307644.40386904776</v>
      </c>
      <c r="CN68" s="1220">
        <f t="shared" ref="CN68:DE72" si="39">-$H68/84</f>
        <v>-307644.40386904776</v>
      </c>
      <c r="CO68" s="1220">
        <f t="shared" si="39"/>
        <v>-307644.40386904776</v>
      </c>
      <c r="CP68" s="1220">
        <f t="shared" si="39"/>
        <v>-307644.40386904776</v>
      </c>
      <c r="CQ68" s="1220">
        <f t="shared" si="39"/>
        <v>-307644.40386904776</v>
      </c>
      <c r="CR68" s="1220">
        <f t="shared" si="39"/>
        <v>-307644.40386904776</v>
      </c>
      <c r="CS68" s="1220">
        <f t="shared" si="39"/>
        <v>-307644.40386904776</v>
      </c>
      <c r="CT68" s="1220">
        <f t="shared" si="39"/>
        <v>-307644.40386904776</v>
      </c>
      <c r="CU68" s="1220">
        <f t="shared" si="39"/>
        <v>-307644.40386904776</v>
      </c>
      <c r="CV68" s="1220">
        <f t="shared" si="39"/>
        <v>-307644.40386904776</v>
      </c>
      <c r="CW68" s="1220">
        <f t="shared" si="39"/>
        <v>-307644.40386904776</v>
      </c>
      <c r="CX68" s="1220">
        <f t="shared" si="39"/>
        <v>-307644.40386904776</v>
      </c>
      <c r="CY68" s="1220">
        <f t="shared" si="39"/>
        <v>-307644.40386904776</v>
      </c>
      <c r="CZ68" s="1220">
        <f t="shared" si="39"/>
        <v>-307644.40386904776</v>
      </c>
      <c r="DA68" s="1220">
        <f t="shared" si="39"/>
        <v>-307644.40386904776</v>
      </c>
      <c r="DB68" s="1220">
        <f t="shared" si="39"/>
        <v>-307644.40386904776</v>
      </c>
      <c r="DC68" s="1220">
        <f t="shared" si="39"/>
        <v>-307644.40386904776</v>
      </c>
      <c r="DD68" s="1220">
        <f t="shared" si="39"/>
        <v>-307644.40386904776</v>
      </c>
      <c r="DE68" s="1220">
        <f t="shared" si="39"/>
        <v>-307644.40386904776</v>
      </c>
      <c r="DF68" s="101"/>
    </row>
    <row r="69" spans="1:116" x14ac:dyDescent="0.3">
      <c r="H69" s="1221"/>
      <c r="L69" s="1220"/>
      <c r="M69" s="1220"/>
      <c r="N69" s="1220"/>
      <c r="O69" s="1220"/>
      <c r="P69" s="1220"/>
      <c r="Q69" s="1220"/>
      <c r="R69" s="1220"/>
      <c r="S69" s="1220"/>
      <c r="T69" s="1220"/>
      <c r="U69" s="1220"/>
      <c r="V69" s="1220"/>
      <c r="W69" s="1220"/>
      <c r="X69" s="1220"/>
      <c r="Y69" s="1220"/>
      <c r="Z69" s="1220"/>
      <c r="AA69" s="1220"/>
      <c r="AB69" s="1220"/>
      <c r="AC69" s="1220"/>
      <c r="AD69" s="1220"/>
      <c r="AE69" s="1220"/>
      <c r="AF69" s="1220"/>
      <c r="AG69" s="1220"/>
      <c r="AH69" s="1220"/>
      <c r="AI69" s="1220"/>
      <c r="AJ69" s="1220"/>
      <c r="AK69" s="1220"/>
      <c r="AL69" s="1220"/>
      <c r="AM69" s="1220"/>
      <c r="AN69" s="1220"/>
      <c r="AO69" s="1220"/>
      <c r="AP69" s="1220"/>
      <c r="AQ69" s="1220"/>
      <c r="AR69" s="1220"/>
      <c r="AS69" s="1220"/>
      <c r="AT69" s="1220"/>
      <c r="AU69" s="1220"/>
      <c r="AV69" s="1220"/>
      <c r="AW69" s="1220"/>
      <c r="AX69" s="1220"/>
      <c r="AY69" s="1220"/>
      <c r="AZ69" s="1220"/>
      <c r="BA69" s="1220"/>
      <c r="BB69" s="1220"/>
      <c r="BC69" s="1220"/>
      <c r="BD69" s="1220"/>
      <c r="BE69" s="1220"/>
      <c r="BF69" s="1220"/>
      <c r="BG69" s="1220"/>
      <c r="BH69" s="1220"/>
      <c r="BI69" s="1220"/>
      <c r="BJ69" s="1220"/>
      <c r="BK69" s="1220"/>
      <c r="BL69" s="1220"/>
      <c r="BM69" s="1220"/>
      <c r="BN69" s="1220"/>
      <c r="BO69" s="1220"/>
      <c r="BP69" s="1220"/>
      <c r="BQ69" s="1220"/>
      <c r="BR69" s="1220"/>
      <c r="BS69" s="1220"/>
      <c r="BT69" s="1220"/>
      <c r="BU69" s="1220"/>
      <c r="BV69" s="1220"/>
      <c r="BW69" s="1220"/>
      <c r="BX69" s="1220"/>
      <c r="BY69" s="1220"/>
      <c r="BZ69" s="1220"/>
      <c r="CA69" s="1220"/>
      <c r="CB69" s="1220"/>
      <c r="CC69" s="1220"/>
      <c r="CD69" s="1220"/>
      <c r="CE69" s="1220"/>
      <c r="CF69" s="1220"/>
      <c r="CG69" s="1220"/>
      <c r="CH69" s="1220"/>
      <c r="CI69" s="1220"/>
      <c r="CJ69" s="1220"/>
      <c r="CK69" s="1220"/>
      <c r="CL69" s="1220"/>
      <c r="CM69" s="1220"/>
      <c r="CN69" s="1220"/>
      <c r="CO69" s="1220"/>
      <c r="CP69" s="1220"/>
      <c r="CQ69" s="1220"/>
      <c r="CR69" s="1220"/>
      <c r="CS69" s="1220"/>
      <c r="CT69" s="1220"/>
      <c r="CU69" s="1220"/>
      <c r="CV69" s="1220"/>
      <c r="CW69" s="1220"/>
      <c r="CX69" s="1220"/>
      <c r="CY69" s="1220"/>
      <c r="CZ69" s="1220"/>
      <c r="DA69" s="1220"/>
      <c r="DB69" s="1220"/>
      <c r="DC69" s="1220"/>
      <c r="DD69" s="1220"/>
      <c r="DE69" s="1220"/>
    </row>
    <row r="70" spans="1:116" x14ac:dyDescent="0.3">
      <c r="A70" s="1214" t="s">
        <v>2164</v>
      </c>
      <c r="H70" s="1215">
        <f>26006428.75-164298.824999988</f>
        <v>25842129.925000012</v>
      </c>
      <c r="L70" s="1220"/>
      <c r="M70" s="1220"/>
      <c r="N70" s="1220"/>
      <c r="O70" s="1220"/>
      <c r="P70" s="1220"/>
      <c r="Q70" s="1220"/>
      <c r="R70" s="1220"/>
      <c r="S70" s="1220"/>
      <c r="T70" s="1220"/>
      <c r="U70" s="1220"/>
      <c r="V70" s="1220"/>
      <c r="W70" s="1220"/>
      <c r="X70" s="1220"/>
      <c r="Y70" s="1220"/>
      <c r="Z70" s="1220"/>
      <c r="AA70" s="1220"/>
      <c r="AB70" s="1220">
        <f>-$H70/84</f>
        <v>-307644.40386904776</v>
      </c>
      <c r="AC70" s="1220">
        <f t="shared" si="38"/>
        <v>-307644.40386904776</v>
      </c>
      <c r="AD70" s="1220">
        <f t="shared" si="38"/>
        <v>-307644.40386904776</v>
      </c>
      <c r="AE70" s="1220">
        <f t="shared" si="38"/>
        <v>-307644.40386904776</v>
      </c>
      <c r="AF70" s="1220">
        <f t="shared" si="38"/>
        <v>-307644.40386904776</v>
      </c>
      <c r="AG70" s="1220">
        <f t="shared" si="38"/>
        <v>-307644.40386904776</v>
      </c>
      <c r="AH70" s="1220">
        <f t="shared" si="38"/>
        <v>-307644.40386904776</v>
      </c>
      <c r="AI70" s="1220">
        <f t="shared" si="38"/>
        <v>-307644.40386904776</v>
      </c>
      <c r="AJ70" s="1220">
        <f t="shared" si="38"/>
        <v>-307644.40386904776</v>
      </c>
      <c r="AK70" s="1220">
        <f t="shared" si="38"/>
        <v>-307644.40386904776</v>
      </c>
      <c r="AL70" s="1220">
        <f t="shared" si="38"/>
        <v>-307644.40386904776</v>
      </c>
      <c r="AM70" s="1220">
        <f t="shared" si="38"/>
        <v>-307644.40386904776</v>
      </c>
      <c r="AN70" s="1220">
        <f t="shared" si="38"/>
        <v>-307644.40386904776</v>
      </c>
      <c r="AO70" s="1220">
        <f t="shared" si="38"/>
        <v>-307644.40386904776</v>
      </c>
      <c r="AP70" s="1220">
        <f t="shared" si="38"/>
        <v>-307644.40386904776</v>
      </c>
      <c r="AQ70" s="1220">
        <f t="shared" si="38"/>
        <v>-307644.40386904776</v>
      </c>
      <c r="AR70" s="1220">
        <f t="shared" si="38"/>
        <v>-307644.40386904776</v>
      </c>
      <c r="AS70" s="1220">
        <f t="shared" si="38"/>
        <v>-307644.40386904776</v>
      </c>
      <c r="AT70" s="1220">
        <f t="shared" si="38"/>
        <v>-307644.40386904776</v>
      </c>
      <c r="AU70" s="1220">
        <f t="shared" si="38"/>
        <v>-307644.40386904776</v>
      </c>
      <c r="AV70" s="1220">
        <f t="shared" si="38"/>
        <v>-307644.40386904776</v>
      </c>
      <c r="AW70" s="1220">
        <f t="shared" si="38"/>
        <v>-307644.40386904776</v>
      </c>
      <c r="AX70" s="1220">
        <f t="shared" si="38"/>
        <v>-307644.40386904776</v>
      </c>
      <c r="AY70" s="1220">
        <f t="shared" si="38"/>
        <v>-307644.40386904776</v>
      </c>
      <c r="AZ70" s="1220">
        <f t="shared" si="38"/>
        <v>-307644.40386904776</v>
      </c>
      <c r="BA70" s="1220">
        <f t="shared" si="38"/>
        <v>-307644.40386904776</v>
      </c>
      <c r="BB70" s="1220">
        <f t="shared" si="38"/>
        <v>-307644.40386904776</v>
      </c>
      <c r="BC70" s="1220">
        <f t="shared" si="38"/>
        <v>-307644.40386904776</v>
      </c>
      <c r="BD70" s="1220">
        <f t="shared" si="38"/>
        <v>-307644.40386904776</v>
      </c>
      <c r="BE70" s="1220">
        <f t="shared" si="38"/>
        <v>-307644.40386904776</v>
      </c>
      <c r="BF70" s="1220">
        <f t="shared" si="38"/>
        <v>-307644.40386904776</v>
      </c>
      <c r="BG70" s="1220">
        <f t="shared" si="38"/>
        <v>-307644.40386904776</v>
      </c>
      <c r="BH70" s="1220">
        <f t="shared" si="38"/>
        <v>-307644.40386904776</v>
      </c>
      <c r="BI70" s="1220">
        <f t="shared" si="38"/>
        <v>-307644.40386904776</v>
      </c>
      <c r="BJ70" s="1220">
        <f t="shared" si="38"/>
        <v>-307644.40386904776</v>
      </c>
      <c r="BK70" s="1220">
        <f t="shared" si="38"/>
        <v>-307644.40386904776</v>
      </c>
      <c r="BL70" s="1220">
        <f t="shared" si="38"/>
        <v>-307644.40386904776</v>
      </c>
      <c r="BM70" s="1220">
        <f t="shared" si="38"/>
        <v>-307644.40386904776</v>
      </c>
      <c r="BN70" s="1220">
        <f t="shared" si="38"/>
        <v>-307644.40386904776</v>
      </c>
      <c r="BO70" s="1220">
        <f t="shared" si="38"/>
        <v>-307644.40386904776</v>
      </c>
      <c r="BP70" s="1220">
        <f t="shared" si="38"/>
        <v>-307644.40386904776</v>
      </c>
      <c r="BQ70" s="1220">
        <f t="shared" si="38"/>
        <v>-307644.40386904776</v>
      </c>
      <c r="BR70" s="1220">
        <f t="shared" si="38"/>
        <v>-307644.40386904776</v>
      </c>
      <c r="BS70" s="1220">
        <f t="shared" si="38"/>
        <v>-307644.40386904776</v>
      </c>
      <c r="BT70" s="1220">
        <f t="shared" si="38"/>
        <v>-307644.40386904776</v>
      </c>
      <c r="BU70" s="1220">
        <f t="shared" si="38"/>
        <v>-307644.40386904776</v>
      </c>
      <c r="BV70" s="1220">
        <f t="shared" si="38"/>
        <v>-307644.40386904776</v>
      </c>
      <c r="BW70" s="1220">
        <f t="shared" si="38"/>
        <v>-307644.40386904776</v>
      </c>
      <c r="BX70" s="1220">
        <f t="shared" si="38"/>
        <v>-307644.40386904776</v>
      </c>
      <c r="BY70" s="1220">
        <f t="shared" si="38"/>
        <v>-307644.40386904776</v>
      </c>
      <c r="BZ70" s="1220">
        <f t="shared" si="38"/>
        <v>-307644.40386904776</v>
      </c>
      <c r="CA70" s="1220">
        <f t="shared" si="38"/>
        <v>-307644.40386904776</v>
      </c>
      <c r="CB70" s="1220">
        <f t="shared" si="38"/>
        <v>-307644.40386904776</v>
      </c>
      <c r="CC70" s="1220">
        <f t="shared" si="38"/>
        <v>-307644.40386904776</v>
      </c>
      <c r="CD70" s="1220">
        <f t="shared" si="38"/>
        <v>-307644.40386904776</v>
      </c>
      <c r="CE70" s="1220">
        <f t="shared" si="38"/>
        <v>-307644.40386904776</v>
      </c>
      <c r="CF70" s="1220">
        <f t="shared" si="38"/>
        <v>-307644.40386904776</v>
      </c>
      <c r="CG70" s="1220">
        <f t="shared" si="38"/>
        <v>-307644.40386904776</v>
      </c>
      <c r="CH70" s="1220">
        <f t="shared" si="38"/>
        <v>-307644.40386904776</v>
      </c>
      <c r="CI70" s="1220">
        <f t="shared" si="38"/>
        <v>-307644.40386904776</v>
      </c>
      <c r="CJ70" s="1220">
        <f t="shared" si="38"/>
        <v>-307644.40386904776</v>
      </c>
      <c r="CK70" s="1220">
        <f t="shared" si="38"/>
        <v>-307644.40386904776</v>
      </c>
      <c r="CL70" s="1220">
        <f t="shared" si="38"/>
        <v>-307644.40386904776</v>
      </c>
      <c r="CM70" s="1220">
        <f t="shared" si="38"/>
        <v>-307644.40386904776</v>
      </c>
      <c r="CN70" s="1220">
        <f>-$H70/84</f>
        <v>-307644.40386904776</v>
      </c>
      <c r="CO70" s="1220">
        <f t="shared" si="39"/>
        <v>-307644.40386904776</v>
      </c>
      <c r="CP70" s="1220">
        <f t="shared" si="39"/>
        <v>-307644.40386904776</v>
      </c>
      <c r="CQ70" s="1220">
        <f t="shared" si="39"/>
        <v>-307644.40386904776</v>
      </c>
      <c r="CR70" s="1220">
        <f t="shared" si="39"/>
        <v>-307644.40386904776</v>
      </c>
      <c r="CS70" s="1220">
        <f t="shared" si="39"/>
        <v>-307644.40386904776</v>
      </c>
      <c r="CT70" s="1220">
        <f t="shared" si="39"/>
        <v>-307644.40386904776</v>
      </c>
      <c r="CU70" s="1220">
        <f t="shared" si="39"/>
        <v>-307644.40386904776</v>
      </c>
      <c r="CV70" s="1220">
        <f t="shared" si="39"/>
        <v>-307644.40386904776</v>
      </c>
      <c r="CW70" s="1220">
        <f t="shared" si="39"/>
        <v>-307644.40386904776</v>
      </c>
      <c r="CX70" s="1220">
        <f t="shared" si="39"/>
        <v>-307644.40386904776</v>
      </c>
      <c r="CY70" s="1220">
        <f t="shared" si="39"/>
        <v>-307644.40386904776</v>
      </c>
      <c r="CZ70" s="1220">
        <f t="shared" si="39"/>
        <v>-307644.40386904776</v>
      </c>
      <c r="DA70" s="1220">
        <f t="shared" si="39"/>
        <v>-307644.40386904776</v>
      </c>
      <c r="DB70" s="1220">
        <f t="shared" si="39"/>
        <v>-307644.40386904776</v>
      </c>
      <c r="DC70" s="1220">
        <f t="shared" si="39"/>
        <v>-307644.40386904776</v>
      </c>
      <c r="DD70" s="1220">
        <f t="shared" si="39"/>
        <v>-307644.40386904776</v>
      </c>
      <c r="DE70" s="1220">
        <f t="shared" si="39"/>
        <v>-307644.40386904776</v>
      </c>
      <c r="DF70" s="101"/>
      <c r="DG70" s="101"/>
    </row>
    <row r="71" spans="1:116" x14ac:dyDescent="0.3">
      <c r="H71" s="1221"/>
      <c r="L71" s="1220"/>
      <c r="M71" s="1220"/>
      <c r="N71" s="1220"/>
      <c r="O71" s="1220"/>
      <c r="P71" s="1220"/>
      <c r="Q71" s="1220"/>
      <c r="R71" s="1220"/>
      <c r="S71" s="1220"/>
      <c r="T71" s="1220"/>
      <c r="U71" s="1220"/>
      <c r="V71" s="1220"/>
      <c r="W71" s="1220"/>
      <c r="X71" s="1220"/>
      <c r="Y71" s="1220"/>
      <c r="Z71" s="1220"/>
      <c r="AA71" s="1220"/>
      <c r="AB71" s="1220"/>
      <c r="AC71" s="1220"/>
      <c r="AD71" s="1220"/>
      <c r="AE71" s="1220"/>
      <c r="AF71" s="1220"/>
      <c r="AG71" s="1220"/>
      <c r="AH71" s="1220"/>
      <c r="AI71" s="1220"/>
      <c r="AJ71" s="1220"/>
      <c r="AK71" s="1220"/>
      <c r="AL71" s="1220"/>
      <c r="AM71" s="1220"/>
      <c r="AN71" s="1220"/>
      <c r="AO71" s="1220"/>
      <c r="AP71" s="1220"/>
      <c r="AQ71" s="1220"/>
      <c r="AR71" s="1220"/>
      <c r="AS71" s="1220"/>
      <c r="AT71" s="1220"/>
      <c r="AU71" s="1220"/>
      <c r="AV71" s="1220"/>
      <c r="AW71" s="1220"/>
      <c r="AX71" s="1220"/>
      <c r="AY71" s="1220"/>
      <c r="AZ71" s="1220"/>
      <c r="BA71" s="1220"/>
      <c r="BB71" s="1220"/>
      <c r="BC71" s="1220"/>
      <c r="BD71" s="1220"/>
      <c r="BE71" s="1220"/>
      <c r="BF71" s="1220"/>
      <c r="BG71" s="1220"/>
      <c r="BH71" s="1220"/>
      <c r="BI71" s="1220"/>
      <c r="BJ71" s="1220"/>
      <c r="BK71" s="1220"/>
      <c r="BL71" s="1220"/>
      <c r="BM71" s="1220"/>
      <c r="BN71" s="1220"/>
      <c r="BO71" s="1220"/>
      <c r="BP71" s="1220"/>
      <c r="BQ71" s="1220"/>
      <c r="BR71" s="1220"/>
      <c r="BS71" s="1220"/>
      <c r="BT71" s="1220"/>
      <c r="BU71" s="1220"/>
      <c r="BV71" s="1220"/>
      <c r="BW71" s="1220"/>
      <c r="BX71" s="1220"/>
      <c r="BY71" s="1220"/>
      <c r="BZ71" s="1220"/>
      <c r="CA71" s="1220"/>
      <c r="CB71" s="1220"/>
      <c r="CC71" s="1220"/>
      <c r="CD71" s="1220"/>
      <c r="CE71" s="1220"/>
      <c r="CF71" s="1220"/>
      <c r="CG71" s="1220"/>
      <c r="CH71" s="1220"/>
      <c r="CI71" s="1220"/>
      <c r="CJ71" s="1220"/>
      <c r="CK71" s="1220"/>
      <c r="CL71" s="1220"/>
      <c r="CM71" s="1220"/>
      <c r="CN71" s="1220"/>
      <c r="CO71" s="1220"/>
      <c r="CP71" s="1220"/>
      <c r="CQ71" s="1220"/>
      <c r="CR71" s="1220"/>
      <c r="CS71" s="1220"/>
      <c r="CT71" s="1220"/>
      <c r="CU71" s="1220"/>
      <c r="CV71" s="1220"/>
      <c r="CW71" s="1220"/>
      <c r="CX71" s="1220"/>
      <c r="CY71" s="1220"/>
      <c r="CZ71" s="1220"/>
      <c r="DA71" s="1220"/>
      <c r="DB71" s="1220"/>
      <c r="DC71" s="1220"/>
      <c r="DD71" s="1220"/>
      <c r="DE71" s="1220"/>
    </row>
    <row r="72" spans="1:116" x14ac:dyDescent="0.3">
      <c r="A72" s="1214" t="s">
        <v>2165</v>
      </c>
      <c r="H72" s="1215">
        <f>26006428.75-164298.824999988</f>
        <v>25842129.925000012</v>
      </c>
      <c r="L72" s="1220"/>
      <c r="M72" s="1220"/>
      <c r="N72" s="1220"/>
      <c r="O72" s="1220"/>
      <c r="P72" s="1220"/>
      <c r="Q72" s="1220"/>
      <c r="R72" s="1220"/>
      <c r="S72" s="1220"/>
      <c r="T72" s="1220"/>
      <c r="U72" s="1220"/>
      <c r="V72" s="1220"/>
      <c r="W72" s="1220"/>
      <c r="X72" s="1220"/>
      <c r="Y72" s="1220"/>
      <c r="Z72" s="1220"/>
      <c r="AA72" s="1220"/>
      <c r="AB72" s="1220"/>
      <c r="AC72" s="1220">
        <f>-$H72/84</f>
        <v>-307644.40386904776</v>
      </c>
      <c r="AD72" s="1220">
        <f>-$H72/84</f>
        <v>-307644.40386904776</v>
      </c>
      <c r="AE72" s="1220">
        <f t="shared" si="38"/>
        <v>-307644.40386904776</v>
      </c>
      <c r="AF72" s="1220">
        <f t="shared" si="38"/>
        <v>-307644.40386904776</v>
      </c>
      <c r="AG72" s="1220">
        <f t="shared" si="38"/>
        <v>-307644.40386904776</v>
      </c>
      <c r="AH72" s="1220">
        <f t="shared" si="38"/>
        <v>-307644.40386904776</v>
      </c>
      <c r="AI72" s="1220">
        <f t="shared" si="38"/>
        <v>-307644.40386904776</v>
      </c>
      <c r="AJ72" s="1220">
        <f t="shared" si="38"/>
        <v>-307644.40386904776</v>
      </c>
      <c r="AK72" s="1220">
        <f t="shared" si="38"/>
        <v>-307644.40386904776</v>
      </c>
      <c r="AL72" s="1220">
        <f t="shared" si="38"/>
        <v>-307644.40386904776</v>
      </c>
      <c r="AM72" s="1220">
        <f t="shared" si="38"/>
        <v>-307644.40386904776</v>
      </c>
      <c r="AN72" s="1220">
        <f t="shared" si="38"/>
        <v>-307644.40386904776</v>
      </c>
      <c r="AO72" s="1220">
        <f t="shared" si="38"/>
        <v>-307644.40386904776</v>
      </c>
      <c r="AP72" s="1220">
        <f t="shared" si="38"/>
        <v>-307644.40386904776</v>
      </c>
      <c r="AQ72" s="1220">
        <f t="shared" si="38"/>
        <v>-307644.40386904776</v>
      </c>
      <c r="AR72" s="1220">
        <f t="shared" si="38"/>
        <v>-307644.40386904776</v>
      </c>
      <c r="AS72" s="1220">
        <f t="shared" si="38"/>
        <v>-307644.40386904776</v>
      </c>
      <c r="AT72" s="1220">
        <f t="shared" si="38"/>
        <v>-307644.40386904776</v>
      </c>
      <c r="AU72" s="1220">
        <f t="shared" si="38"/>
        <v>-307644.40386904776</v>
      </c>
      <c r="AV72" s="1220">
        <f t="shared" si="38"/>
        <v>-307644.40386904776</v>
      </c>
      <c r="AW72" s="1220">
        <f t="shared" si="38"/>
        <v>-307644.40386904776</v>
      </c>
      <c r="AX72" s="1220">
        <f t="shared" si="38"/>
        <v>-307644.40386904776</v>
      </c>
      <c r="AY72" s="1220">
        <f t="shared" si="38"/>
        <v>-307644.40386904776</v>
      </c>
      <c r="AZ72" s="1220">
        <f t="shared" si="38"/>
        <v>-307644.40386904776</v>
      </c>
      <c r="BA72" s="1220">
        <f t="shared" si="38"/>
        <v>-307644.40386904776</v>
      </c>
      <c r="BB72" s="1220">
        <f t="shared" si="38"/>
        <v>-307644.40386904776</v>
      </c>
      <c r="BC72" s="1220">
        <f t="shared" si="38"/>
        <v>-307644.40386904776</v>
      </c>
      <c r="BD72" s="1220">
        <f t="shared" si="38"/>
        <v>-307644.40386904776</v>
      </c>
      <c r="BE72" s="1220">
        <f t="shared" si="38"/>
        <v>-307644.40386904776</v>
      </c>
      <c r="BF72" s="1220">
        <f t="shared" si="38"/>
        <v>-307644.40386904776</v>
      </c>
      <c r="BG72" s="1220">
        <f t="shared" si="38"/>
        <v>-307644.40386904776</v>
      </c>
      <c r="BH72" s="1220">
        <f t="shared" si="38"/>
        <v>-307644.40386904776</v>
      </c>
      <c r="BI72" s="1220">
        <f t="shared" si="38"/>
        <v>-307644.40386904776</v>
      </c>
      <c r="BJ72" s="1220">
        <f t="shared" si="38"/>
        <v>-307644.40386904776</v>
      </c>
      <c r="BK72" s="1220">
        <f t="shared" si="38"/>
        <v>-307644.40386904776</v>
      </c>
      <c r="BL72" s="1220">
        <f t="shared" si="38"/>
        <v>-307644.40386904776</v>
      </c>
      <c r="BM72" s="1220">
        <f t="shared" si="38"/>
        <v>-307644.40386904776</v>
      </c>
      <c r="BN72" s="1220">
        <f t="shared" si="38"/>
        <v>-307644.40386904776</v>
      </c>
      <c r="BO72" s="1220">
        <f t="shared" si="38"/>
        <v>-307644.40386904776</v>
      </c>
      <c r="BP72" s="1220">
        <f t="shared" si="38"/>
        <v>-307644.40386904776</v>
      </c>
      <c r="BQ72" s="1220">
        <f t="shared" si="38"/>
        <v>-307644.40386904776</v>
      </c>
      <c r="BR72" s="1220">
        <f t="shared" si="38"/>
        <v>-307644.40386904776</v>
      </c>
      <c r="BS72" s="1220">
        <f t="shared" si="38"/>
        <v>-307644.40386904776</v>
      </c>
      <c r="BT72" s="1220">
        <f t="shared" si="38"/>
        <v>-307644.40386904776</v>
      </c>
      <c r="BU72" s="1220">
        <f t="shared" si="38"/>
        <v>-307644.40386904776</v>
      </c>
      <c r="BV72" s="1220">
        <f t="shared" si="38"/>
        <v>-307644.40386904776</v>
      </c>
      <c r="BW72" s="1220">
        <f t="shared" si="38"/>
        <v>-307644.40386904776</v>
      </c>
      <c r="BX72" s="1220">
        <f t="shared" si="38"/>
        <v>-307644.40386904776</v>
      </c>
      <c r="BY72" s="1220">
        <f t="shared" si="38"/>
        <v>-307644.40386904776</v>
      </c>
      <c r="BZ72" s="1220">
        <f t="shared" si="38"/>
        <v>-307644.40386904776</v>
      </c>
      <c r="CA72" s="1220">
        <f t="shared" si="38"/>
        <v>-307644.40386904776</v>
      </c>
      <c r="CB72" s="1220">
        <f t="shared" si="38"/>
        <v>-307644.40386904776</v>
      </c>
      <c r="CC72" s="1220">
        <f t="shared" si="38"/>
        <v>-307644.40386904776</v>
      </c>
      <c r="CD72" s="1220">
        <f t="shared" si="38"/>
        <v>-307644.40386904776</v>
      </c>
      <c r="CE72" s="1220">
        <f t="shared" si="38"/>
        <v>-307644.40386904776</v>
      </c>
      <c r="CF72" s="1220">
        <f t="shared" si="38"/>
        <v>-307644.40386904776</v>
      </c>
      <c r="CG72" s="1220">
        <f t="shared" si="38"/>
        <v>-307644.40386904776</v>
      </c>
      <c r="CH72" s="1220">
        <f t="shared" si="38"/>
        <v>-307644.40386904776</v>
      </c>
      <c r="CI72" s="1220">
        <f t="shared" si="38"/>
        <v>-307644.40386904776</v>
      </c>
      <c r="CJ72" s="1220">
        <f t="shared" si="38"/>
        <v>-307644.40386904776</v>
      </c>
      <c r="CK72" s="1220">
        <f t="shared" si="38"/>
        <v>-307644.40386904776</v>
      </c>
      <c r="CL72" s="1220">
        <f t="shared" si="38"/>
        <v>-307644.40386904776</v>
      </c>
      <c r="CM72" s="1220">
        <f t="shared" si="38"/>
        <v>-307644.40386904776</v>
      </c>
      <c r="CN72" s="1220">
        <f>-$H72/84</f>
        <v>-307644.40386904776</v>
      </c>
      <c r="CO72" s="1220">
        <f>-$H72/84</f>
        <v>-307644.40386904776</v>
      </c>
      <c r="CP72" s="1220">
        <f t="shared" si="39"/>
        <v>-307644.40386904776</v>
      </c>
      <c r="CQ72" s="1220">
        <f t="shared" si="39"/>
        <v>-307644.40386904776</v>
      </c>
      <c r="CR72" s="1220">
        <f t="shared" si="39"/>
        <v>-307644.40386904776</v>
      </c>
      <c r="CS72" s="1220">
        <f t="shared" si="39"/>
        <v>-307644.40386904776</v>
      </c>
      <c r="CT72" s="1220">
        <f t="shared" si="39"/>
        <v>-307644.40386904776</v>
      </c>
      <c r="CU72" s="1220">
        <f t="shared" si="39"/>
        <v>-307644.40386904776</v>
      </c>
      <c r="CV72" s="1220">
        <f t="shared" si="39"/>
        <v>-307644.40386904776</v>
      </c>
      <c r="CW72" s="1220">
        <f t="shared" si="39"/>
        <v>-307644.40386904776</v>
      </c>
      <c r="CX72" s="1220">
        <f t="shared" si="39"/>
        <v>-307644.40386904776</v>
      </c>
      <c r="CY72" s="1220">
        <f t="shared" si="39"/>
        <v>-307644.40386904776</v>
      </c>
      <c r="CZ72" s="1220">
        <f t="shared" si="39"/>
        <v>-307644.40386904776</v>
      </c>
      <c r="DA72" s="1220">
        <f t="shared" si="39"/>
        <v>-307644.40386904776</v>
      </c>
      <c r="DB72" s="1220">
        <f t="shared" si="39"/>
        <v>-307644.40386904776</v>
      </c>
      <c r="DC72" s="1220">
        <f t="shared" si="39"/>
        <v>-307644.40386904776</v>
      </c>
      <c r="DD72" s="1220">
        <f t="shared" si="39"/>
        <v>-307644.40386904776</v>
      </c>
      <c r="DE72" s="1220">
        <f t="shared" si="39"/>
        <v>-307644.40386904776</v>
      </c>
      <c r="DF72" s="101"/>
      <c r="DG72" s="101"/>
      <c r="DH72" s="101"/>
    </row>
    <row r="73" spans="1:116" x14ac:dyDescent="0.3">
      <c r="H73" s="1221"/>
      <c r="L73" s="1220"/>
      <c r="M73" s="1220"/>
      <c r="N73" s="1220"/>
      <c r="O73" s="1220"/>
      <c r="P73" s="1220"/>
      <c r="Q73" s="1220"/>
      <c r="R73" s="1220"/>
      <c r="S73" s="1220"/>
      <c r="T73" s="1220"/>
      <c r="U73" s="1220"/>
      <c r="V73" s="1220"/>
      <c r="W73" s="1220"/>
      <c r="X73" s="1220"/>
      <c r="Y73" s="1220"/>
      <c r="Z73" s="1220"/>
      <c r="AA73" s="1220"/>
      <c r="AB73" s="1220"/>
      <c r="AC73" s="1220"/>
      <c r="AD73" s="1220"/>
      <c r="AE73" s="1220"/>
      <c r="AF73" s="1220"/>
      <c r="AG73" s="1220"/>
      <c r="AH73" s="1220"/>
      <c r="AI73" s="1220"/>
      <c r="AJ73" s="1220"/>
      <c r="AK73" s="1220"/>
      <c r="AL73" s="1220"/>
      <c r="AM73" s="1220"/>
      <c r="AN73" s="1220"/>
      <c r="AO73" s="1220"/>
      <c r="AP73" s="1220"/>
      <c r="AQ73" s="1220"/>
      <c r="AR73" s="1220"/>
      <c r="AS73" s="1220"/>
      <c r="AT73" s="1220"/>
      <c r="AU73" s="1220"/>
      <c r="AV73" s="1220"/>
      <c r="AW73" s="1220"/>
      <c r="AX73" s="1220"/>
      <c r="AY73" s="1220"/>
      <c r="AZ73" s="1220"/>
      <c r="BA73" s="1220"/>
      <c r="BB73" s="1220"/>
      <c r="BC73" s="1220"/>
      <c r="BD73" s="1220"/>
      <c r="BE73" s="1220"/>
      <c r="BF73" s="1220"/>
      <c r="BG73" s="1220"/>
      <c r="BH73" s="1220"/>
      <c r="BI73" s="1220"/>
      <c r="BJ73" s="1220"/>
      <c r="BK73" s="1220"/>
      <c r="BL73" s="1220"/>
      <c r="BM73" s="1220"/>
      <c r="BN73" s="1220"/>
      <c r="BO73" s="1220"/>
      <c r="BP73" s="1220"/>
      <c r="BQ73" s="1220"/>
      <c r="BR73" s="1220"/>
      <c r="BS73" s="1220"/>
      <c r="BT73" s="1220"/>
      <c r="BU73" s="1220"/>
      <c r="BV73" s="1220"/>
      <c r="BW73" s="1220"/>
      <c r="BX73" s="1220"/>
      <c r="BY73" s="1220"/>
      <c r="BZ73" s="1220"/>
      <c r="CA73" s="1220"/>
      <c r="CB73" s="1220"/>
      <c r="CC73" s="1220"/>
      <c r="CD73" s="1220"/>
      <c r="CE73" s="1220"/>
      <c r="CF73" s="1220"/>
      <c r="CG73" s="1220"/>
      <c r="CH73" s="1220"/>
      <c r="CI73" s="1220"/>
      <c r="CJ73" s="1220"/>
      <c r="CK73" s="1220"/>
      <c r="CL73" s="1220"/>
      <c r="CM73" s="1220"/>
      <c r="CN73" s="1220"/>
      <c r="CO73" s="1220"/>
      <c r="CP73" s="1220"/>
      <c r="CQ73" s="1220"/>
      <c r="CR73" s="1220"/>
      <c r="CS73" s="1220"/>
      <c r="CT73" s="1220"/>
      <c r="CU73" s="1220"/>
      <c r="CV73" s="1220"/>
      <c r="CW73" s="1220"/>
      <c r="CX73" s="1220"/>
      <c r="CY73" s="1220"/>
      <c r="CZ73" s="1220"/>
      <c r="DA73" s="1220"/>
      <c r="DB73" s="1220"/>
      <c r="DC73" s="1220"/>
      <c r="DD73" s="1220"/>
      <c r="DE73" s="1220"/>
    </row>
    <row r="74" spans="1:116" x14ac:dyDescent="0.3">
      <c r="A74" s="1214" t="s">
        <v>2166</v>
      </c>
      <c r="H74" s="1215">
        <f>26006428.75-164298.824999988</f>
        <v>25842129.925000012</v>
      </c>
      <c r="L74" s="1220"/>
      <c r="M74" s="1220"/>
      <c r="N74" s="1220"/>
      <c r="O74" s="1220"/>
      <c r="P74" s="1220"/>
      <c r="Q74" s="1220"/>
      <c r="R74" s="1220"/>
      <c r="S74" s="1220"/>
      <c r="T74" s="1220"/>
      <c r="U74" s="1220"/>
      <c r="V74" s="1220"/>
      <c r="W74" s="1220"/>
      <c r="X74" s="1220"/>
      <c r="Y74" s="1220"/>
      <c r="Z74" s="1220"/>
      <c r="AA74" s="1220"/>
      <c r="AB74" s="1220"/>
      <c r="AC74" s="1220"/>
      <c r="AD74" s="1220">
        <f t="shared" ref="AD74:BI74" si="40">-$H74/84</f>
        <v>-307644.40386904776</v>
      </c>
      <c r="AE74" s="1220">
        <f t="shared" si="40"/>
        <v>-307644.40386904776</v>
      </c>
      <c r="AF74" s="1220">
        <f t="shared" si="40"/>
        <v>-307644.40386904776</v>
      </c>
      <c r="AG74" s="1220">
        <f t="shared" si="40"/>
        <v>-307644.40386904776</v>
      </c>
      <c r="AH74" s="1220">
        <f t="shared" si="40"/>
        <v>-307644.40386904776</v>
      </c>
      <c r="AI74" s="1220">
        <f t="shared" si="40"/>
        <v>-307644.40386904776</v>
      </c>
      <c r="AJ74" s="1220">
        <f t="shared" si="40"/>
        <v>-307644.40386904776</v>
      </c>
      <c r="AK74" s="1220">
        <f t="shared" si="40"/>
        <v>-307644.40386904776</v>
      </c>
      <c r="AL74" s="1220">
        <f t="shared" si="40"/>
        <v>-307644.40386904776</v>
      </c>
      <c r="AM74" s="1220">
        <f t="shared" si="40"/>
        <v>-307644.40386904776</v>
      </c>
      <c r="AN74" s="1220">
        <f t="shared" si="40"/>
        <v>-307644.40386904776</v>
      </c>
      <c r="AO74" s="1220">
        <f t="shared" si="40"/>
        <v>-307644.40386904776</v>
      </c>
      <c r="AP74" s="1220">
        <f t="shared" si="40"/>
        <v>-307644.40386904776</v>
      </c>
      <c r="AQ74" s="1220">
        <f t="shared" si="40"/>
        <v>-307644.40386904776</v>
      </c>
      <c r="AR74" s="1220">
        <f t="shared" si="40"/>
        <v>-307644.40386904776</v>
      </c>
      <c r="AS74" s="1220">
        <f t="shared" si="40"/>
        <v>-307644.40386904776</v>
      </c>
      <c r="AT74" s="1220">
        <f t="shared" si="40"/>
        <v>-307644.40386904776</v>
      </c>
      <c r="AU74" s="1220">
        <f t="shared" si="40"/>
        <v>-307644.40386904776</v>
      </c>
      <c r="AV74" s="1220">
        <f t="shared" si="40"/>
        <v>-307644.40386904776</v>
      </c>
      <c r="AW74" s="1220">
        <f t="shared" si="40"/>
        <v>-307644.40386904776</v>
      </c>
      <c r="AX74" s="1220">
        <f t="shared" si="40"/>
        <v>-307644.40386904776</v>
      </c>
      <c r="AY74" s="1220">
        <f t="shared" si="40"/>
        <v>-307644.40386904776</v>
      </c>
      <c r="AZ74" s="1220">
        <f t="shared" si="40"/>
        <v>-307644.40386904776</v>
      </c>
      <c r="BA74" s="1220">
        <f t="shared" si="40"/>
        <v>-307644.40386904776</v>
      </c>
      <c r="BB74" s="1220">
        <f t="shared" si="40"/>
        <v>-307644.40386904776</v>
      </c>
      <c r="BC74" s="1220">
        <f t="shared" si="40"/>
        <v>-307644.40386904776</v>
      </c>
      <c r="BD74" s="1220">
        <f t="shared" si="40"/>
        <v>-307644.40386904776</v>
      </c>
      <c r="BE74" s="1220">
        <f t="shared" si="40"/>
        <v>-307644.40386904776</v>
      </c>
      <c r="BF74" s="1220">
        <f t="shared" si="40"/>
        <v>-307644.40386904776</v>
      </c>
      <c r="BG74" s="1220">
        <f t="shared" si="40"/>
        <v>-307644.40386904776</v>
      </c>
      <c r="BH74" s="1220">
        <f t="shared" si="40"/>
        <v>-307644.40386904776</v>
      </c>
      <c r="BI74" s="1220">
        <f t="shared" si="40"/>
        <v>-307644.40386904776</v>
      </c>
      <c r="BJ74" s="1220">
        <f t="shared" ref="BJ74:CP74" si="41">-$H74/84</f>
        <v>-307644.40386904776</v>
      </c>
      <c r="BK74" s="1220">
        <f t="shared" si="41"/>
        <v>-307644.40386904776</v>
      </c>
      <c r="BL74" s="1220">
        <f t="shared" si="41"/>
        <v>-307644.40386904776</v>
      </c>
      <c r="BM74" s="1220">
        <f t="shared" si="41"/>
        <v>-307644.40386904776</v>
      </c>
      <c r="BN74" s="1220">
        <f t="shared" si="41"/>
        <v>-307644.40386904776</v>
      </c>
      <c r="BO74" s="1220">
        <f t="shared" si="41"/>
        <v>-307644.40386904776</v>
      </c>
      <c r="BP74" s="1220">
        <f t="shared" si="41"/>
        <v>-307644.40386904776</v>
      </c>
      <c r="BQ74" s="1220">
        <f t="shared" si="41"/>
        <v>-307644.40386904776</v>
      </c>
      <c r="BR74" s="1220">
        <f t="shared" si="41"/>
        <v>-307644.40386904776</v>
      </c>
      <c r="BS74" s="1220">
        <f t="shared" si="41"/>
        <v>-307644.40386904776</v>
      </c>
      <c r="BT74" s="1220">
        <f t="shared" si="41"/>
        <v>-307644.40386904776</v>
      </c>
      <c r="BU74" s="1220">
        <f t="shared" si="41"/>
        <v>-307644.40386904776</v>
      </c>
      <c r="BV74" s="1220">
        <f t="shared" si="41"/>
        <v>-307644.40386904776</v>
      </c>
      <c r="BW74" s="1220">
        <f t="shared" si="41"/>
        <v>-307644.40386904776</v>
      </c>
      <c r="BX74" s="1220">
        <f t="shared" si="41"/>
        <v>-307644.40386904776</v>
      </c>
      <c r="BY74" s="1220">
        <f t="shared" si="41"/>
        <v>-307644.40386904776</v>
      </c>
      <c r="BZ74" s="1220">
        <f t="shared" si="41"/>
        <v>-307644.40386904776</v>
      </c>
      <c r="CA74" s="1220">
        <f t="shared" si="41"/>
        <v>-307644.40386904776</v>
      </c>
      <c r="CB74" s="1220">
        <f t="shared" si="41"/>
        <v>-307644.40386904776</v>
      </c>
      <c r="CC74" s="1220">
        <f t="shared" si="41"/>
        <v>-307644.40386904776</v>
      </c>
      <c r="CD74" s="1220">
        <f t="shared" si="41"/>
        <v>-307644.40386904776</v>
      </c>
      <c r="CE74" s="1220">
        <f t="shared" si="41"/>
        <v>-307644.40386904776</v>
      </c>
      <c r="CF74" s="1220">
        <f t="shared" si="41"/>
        <v>-307644.40386904776</v>
      </c>
      <c r="CG74" s="1220">
        <f t="shared" si="41"/>
        <v>-307644.40386904776</v>
      </c>
      <c r="CH74" s="1220">
        <f t="shared" si="41"/>
        <v>-307644.40386904776</v>
      </c>
      <c r="CI74" s="1220">
        <f t="shared" si="41"/>
        <v>-307644.40386904776</v>
      </c>
      <c r="CJ74" s="1220">
        <f t="shared" si="41"/>
        <v>-307644.40386904776</v>
      </c>
      <c r="CK74" s="1220">
        <f t="shared" si="41"/>
        <v>-307644.40386904776</v>
      </c>
      <c r="CL74" s="1220">
        <f t="shared" si="41"/>
        <v>-307644.40386904776</v>
      </c>
      <c r="CM74" s="1220">
        <f t="shared" si="41"/>
        <v>-307644.40386904776</v>
      </c>
      <c r="CN74" s="1220">
        <f t="shared" si="41"/>
        <v>-307644.40386904776</v>
      </c>
      <c r="CO74" s="1220">
        <f t="shared" si="41"/>
        <v>-307644.40386904776</v>
      </c>
      <c r="CP74" s="1220">
        <f t="shared" si="41"/>
        <v>-307644.40386904776</v>
      </c>
      <c r="CQ74" s="1220">
        <f t="shared" ref="CQ74:DE74" si="42">-$H74/84</f>
        <v>-307644.40386904776</v>
      </c>
      <c r="CR74" s="1220">
        <f t="shared" si="42"/>
        <v>-307644.40386904776</v>
      </c>
      <c r="CS74" s="1220">
        <f t="shared" si="42"/>
        <v>-307644.40386904776</v>
      </c>
      <c r="CT74" s="1220">
        <f t="shared" si="42"/>
        <v>-307644.40386904776</v>
      </c>
      <c r="CU74" s="1220">
        <f t="shared" si="42"/>
        <v>-307644.40386904776</v>
      </c>
      <c r="CV74" s="1220">
        <f t="shared" si="42"/>
        <v>-307644.40386904776</v>
      </c>
      <c r="CW74" s="1220">
        <f t="shared" si="42"/>
        <v>-307644.40386904776</v>
      </c>
      <c r="CX74" s="1220">
        <f t="shared" si="42"/>
        <v>-307644.40386904776</v>
      </c>
      <c r="CY74" s="1220">
        <f t="shared" si="42"/>
        <v>-307644.40386904776</v>
      </c>
      <c r="CZ74" s="1220">
        <f t="shared" si="42"/>
        <v>-307644.40386904776</v>
      </c>
      <c r="DA74" s="1220">
        <f t="shared" si="42"/>
        <v>-307644.40386904776</v>
      </c>
      <c r="DB74" s="1220">
        <f t="shared" si="42"/>
        <v>-307644.40386904776</v>
      </c>
      <c r="DC74" s="1220">
        <f t="shared" si="42"/>
        <v>-307644.40386904776</v>
      </c>
      <c r="DD74" s="1220">
        <f t="shared" si="42"/>
        <v>-307644.40386904776</v>
      </c>
      <c r="DE74" s="1220">
        <f t="shared" si="42"/>
        <v>-307644.40386904776</v>
      </c>
      <c r="DF74" s="101"/>
      <c r="DG74" s="101"/>
      <c r="DH74" s="101"/>
      <c r="DI74" s="101"/>
    </row>
    <row r="75" spans="1:116" x14ac:dyDescent="0.3">
      <c r="H75" s="1221"/>
      <c r="L75" s="1220"/>
      <c r="M75" s="1220"/>
      <c r="N75" s="1220"/>
      <c r="O75" s="1220"/>
      <c r="P75" s="1220"/>
      <c r="Q75" s="1220"/>
      <c r="R75" s="1220"/>
      <c r="S75" s="1220"/>
      <c r="T75" s="1220"/>
      <c r="U75" s="1220"/>
      <c r="V75" s="1220"/>
      <c r="W75" s="1220"/>
      <c r="X75" s="1220"/>
      <c r="Y75" s="1220"/>
      <c r="Z75" s="1220"/>
      <c r="AA75" s="1220"/>
      <c r="AB75" s="1220"/>
      <c r="AC75" s="1220"/>
      <c r="AD75" s="1220"/>
      <c r="AE75" s="1220"/>
      <c r="AF75" s="1220"/>
      <c r="AG75" s="1220"/>
      <c r="AH75" s="1220"/>
      <c r="AI75" s="1220"/>
      <c r="AJ75" s="1220"/>
      <c r="AK75" s="1220"/>
      <c r="AL75" s="1220"/>
      <c r="AM75" s="1220"/>
      <c r="AN75" s="1220"/>
      <c r="AO75" s="1220"/>
      <c r="AP75" s="1220"/>
      <c r="AQ75" s="1220"/>
      <c r="AR75" s="1220"/>
      <c r="AS75" s="1220"/>
      <c r="AT75" s="1220"/>
      <c r="AU75" s="1220"/>
      <c r="AV75" s="1220"/>
      <c r="AW75" s="1220"/>
      <c r="AX75" s="1220"/>
      <c r="AY75" s="1220"/>
      <c r="AZ75" s="1220"/>
      <c r="BA75" s="1220"/>
      <c r="BB75" s="1220"/>
      <c r="BC75" s="1220"/>
      <c r="BD75" s="1220"/>
      <c r="BE75" s="1220"/>
      <c r="BF75" s="1220"/>
      <c r="BG75" s="1220"/>
      <c r="BH75" s="1220"/>
      <c r="BI75" s="1220"/>
      <c r="BJ75" s="1220"/>
      <c r="BK75" s="1220"/>
      <c r="BL75" s="1220"/>
      <c r="BM75" s="1220"/>
      <c r="BN75" s="1220"/>
      <c r="BO75" s="1220"/>
      <c r="BP75" s="1220"/>
      <c r="BQ75" s="1220"/>
      <c r="BR75" s="1220"/>
      <c r="BS75" s="1220"/>
      <c r="BT75" s="1220"/>
      <c r="BU75" s="1220"/>
      <c r="BV75" s="1220"/>
      <c r="BW75" s="1220"/>
      <c r="BX75" s="1220"/>
      <c r="BY75" s="1220"/>
      <c r="BZ75" s="1220"/>
      <c r="CA75" s="1220"/>
      <c r="CB75" s="1220"/>
      <c r="CC75" s="1220"/>
      <c r="CD75" s="1220"/>
      <c r="CE75" s="1220"/>
      <c r="CF75" s="1220"/>
      <c r="CG75" s="1220"/>
      <c r="CH75" s="1220"/>
      <c r="CI75" s="1220"/>
      <c r="CJ75" s="1220"/>
      <c r="CK75" s="1220"/>
      <c r="CL75" s="1220"/>
      <c r="CM75" s="1220"/>
      <c r="CN75" s="1220"/>
      <c r="CO75" s="1220"/>
      <c r="CP75" s="1220"/>
      <c r="CQ75" s="1220"/>
      <c r="CR75" s="1220"/>
      <c r="CS75" s="1220"/>
      <c r="CT75" s="1220"/>
      <c r="CU75" s="1220"/>
      <c r="CV75" s="1220"/>
      <c r="CW75" s="1220"/>
      <c r="CX75" s="1220"/>
      <c r="CY75" s="1220"/>
      <c r="CZ75" s="1220"/>
      <c r="DA75" s="1220"/>
      <c r="DB75" s="1220"/>
      <c r="DC75" s="1220"/>
      <c r="DD75" s="1220"/>
      <c r="DE75" s="1220"/>
    </row>
    <row r="76" spans="1:116" x14ac:dyDescent="0.3">
      <c r="A76" s="1214" t="s">
        <v>2167</v>
      </c>
      <c r="H76" s="1215">
        <f>26006428.75-164298.824999988</f>
        <v>25842129.925000012</v>
      </c>
      <c r="L76" s="1220"/>
      <c r="M76" s="1220"/>
      <c r="N76" s="1220"/>
      <c r="O76" s="1220"/>
      <c r="P76" s="1220"/>
      <c r="Q76" s="1220"/>
      <c r="R76" s="1220"/>
      <c r="S76" s="1220"/>
      <c r="T76" s="1220"/>
      <c r="U76" s="1220"/>
      <c r="V76" s="1220"/>
      <c r="W76" s="1220"/>
      <c r="X76" s="1220"/>
      <c r="Y76" s="1220"/>
      <c r="Z76" s="1220"/>
      <c r="AA76" s="1220"/>
      <c r="AB76" s="1220"/>
      <c r="AC76" s="1220"/>
      <c r="AD76" s="1220"/>
      <c r="AE76" s="1220">
        <f t="shared" ref="AE76:BJ76" si="43">-$H76/84</f>
        <v>-307644.40386904776</v>
      </c>
      <c r="AF76" s="1220">
        <f t="shared" si="43"/>
        <v>-307644.40386904776</v>
      </c>
      <c r="AG76" s="1220">
        <f t="shared" si="43"/>
        <v>-307644.40386904776</v>
      </c>
      <c r="AH76" s="1220">
        <f t="shared" si="43"/>
        <v>-307644.40386904776</v>
      </c>
      <c r="AI76" s="1220">
        <f t="shared" si="43"/>
        <v>-307644.40386904776</v>
      </c>
      <c r="AJ76" s="1220">
        <f t="shared" si="43"/>
        <v>-307644.40386904776</v>
      </c>
      <c r="AK76" s="1220">
        <f t="shared" si="43"/>
        <v>-307644.40386904776</v>
      </c>
      <c r="AL76" s="1220">
        <f t="shared" si="43"/>
        <v>-307644.40386904776</v>
      </c>
      <c r="AM76" s="1220">
        <f t="shared" si="43"/>
        <v>-307644.40386904776</v>
      </c>
      <c r="AN76" s="1220">
        <f t="shared" si="43"/>
        <v>-307644.40386904776</v>
      </c>
      <c r="AO76" s="1220">
        <f t="shared" si="43"/>
        <v>-307644.40386904776</v>
      </c>
      <c r="AP76" s="1220">
        <f t="shared" si="43"/>
        <v>-307644.40386904776</v>
      </c>
      <c r="AQ76" s="1220">
        <f t="shared" si="43"/>
        <v>-307644.40386904776</v>
      </c>
      <c r="AR76" s="1220">
        <f t="shared" si="43"/>
        <v>-307644.40386904776</v>
      </c>
      <c r="AS76" s="1220">
        <f t="shared" si="43"/>
        <v>-307644.40386904776</v>
      </c>
      <c r="AT76" s="1220">
        <f t="shared" si="43"/>
        <v>-307644.40386904776</v>
      </c>
      <c r="AU76" s="1220">
        <f t="shared" si="43"/>
        <v>-307644.40386904776</v>
      </c>
      <c r="AV76" s="1220">
        <f t="shared" si="43"/>
        <v>-307644.40386904776</v>
      </c>
      <c r="AW76" s="1220">
        <f t="shared" si="43"/>
        <v>-307644.40386904776</v>
      </c>
      <c r="AX76" s="1220">
        <f t="shared" si="43"/>
        <v>-307644.40386904776</v>
      </c>
      <c r="AY76" s="1220">
        <f t="shared" si="43"/>
        <v>-307644.40386904776</v>
      </c>
      <c r="AZ76" s="1220">
        <f t="shared" si="43"/>
        <v>-307644.40386904776</v>
      </c>
      <c r="BA76" s="1220">
        <f t="shared" si="43"/>
        <v>-307644.40386904776</v>
      </c>
      <c r="BB76" s="1220">
        <f t="shared" si="43"/>
        <v>-307644.40386904776</v>
      </c>
      <c r="BC76" s="1220">
        <f t="shared" si="43"/>
        <v>-307644.40386904776</v>
      </c>
      <c r="BD76" s="1220">
        <f t="shared" si="43"/>
        <v>-307644.40386904776</v>
      </c>
      <c r="BE76" s="1220">
        <f t="shared" si="43"/>
        <v>-307644.40386904776</v>
      </c>
      <c r="BF76" s="1220">
        <f t="shared" si="43"/>
        <v>-307644.40386904776</v>
      </c>
      <c r="BG76" s="1220">
        <f t="shared" si="43"/>
        <v>-307644.40386904776</v>
      </c>
      <c r="BH76" s="1220">
        <f t="shared" si="43"/>
        <v>-307644.40386904776</v>
      </c>
      <c r="BI76" s="1220">
        <f t="shared" si="43"/>
        <v>-307644.40386904776</v>
      </c>
      <c r="BJ76" s="1220">
        <f t="shared" si="43"/>
        <v>-307644.40386904776</v>
      </c>
      <c r="BK76" s="1220">
        <f t="shared" ref="BK76:CP76" si="44">-$H76/84</f>
        <v>-307644.40386904776</v>
      </c>
      <c r="BL76" s="1220">
        <f t="shared" si="44"/>
        <v>-307644.40386904776</v>
      </c>
      <c r="BM76" s="1220">
        <f t="shared" si="44"/>
        <v>-307644.40386904776</v>
      </c>
      <c r="BN76" s="1220">
        <f t="shared" si="44"/>
        <v>-307644.40386904776</v>
      </c>
      <c r="BO76" s="1220">
        <f t="shared" si="44"/>
        <v>-307644.40386904776</v>
      </c>
      <c r="BP76" s="1220">
        <f t="shared" si="44"/>
        <v>-307644.40386904776</v>
      </c>
      <c r="BQ76" s="1220">
        <f t="shared" si="44"/>
        <v>-307644.40386904776</v>
      </c>
      <c r="BR76" s="1220">
        <f t="shared" si="44"/>
        <v>-307644.40386904776</v>
      </c>
      <c r="BS76" s="1220">
        <f t="shared" si="44"/>
        <v>-307644.40386904776</v>
      </c>
      <c r="BT76" s="1220">
        <f t="shared" si="44"/>
        <v>-307644.40386904776</v>
      </c>
      <c r="BU76" s="1220">
        <f t="shared" si="44"/>
        <v>-307644.40386904776</v>
      </c>
      <c r="BV76" s="1220">
        <f t="shared" si="44"/>
        <v>-307644.40386904776</v>
      </c>
      <c r="BW76" s="1220">
        <f t="shared" si="44"/>
        <v>-307644.40386904776</v>
      </c>
      <c r="BX76" s="1220">
        <f t="shared" si="44"/>
        <v>-307644.40386904776</v>
      </c>
      <c r="BY76" s="1220">
        <f t="shared" si="44"/>
        <v>-307644.40386904776</v>
      </c>
      <c r="BZ76" s="1220">
        <f t="shared" si="44"/>
        <v>-307644.40386904776</v>
      </c>
      <c r="CA76" s="1220">
        <f t="shared" si="44"/>
        <v>-307644.40386904776</v>
      </c>
      <c r="CB76" s="1220">
        <f t="shared" si="44"/>
        <v>-307644.40386904776</v>
      </c>
      <c r="CC76" s="1220">
        <f t="shared" si="44"/>
        <v>-307644.40386904776</v>
      </c>
      <c r="CD76" s="1220">
        <f t="shared" si="44"/>
        <v>-307644.40386904776</v>
      </c>
      <c r="CE76" s="1220">
        <f t="shared" si="44"/>
        <v>-307644.40386904776</v>
      </c>
      <c r="CF76" s="1220">
        <f t="shared" si="44"/>
        <v>-307644.40386904776</v>
      </c>
      <c r="CG76" s="1220">
        <f t="shared" si="44"/>
        <v>-307644.40386904776</v>
      </c>
      <c r="CH76" s="1220">
        <f t="shared" si="44"/>
        <v>-307644.40386904776</v>
      </c>
      <c r="CI76" s="1220">
        <f t="shared" si="44"/>
        <v>-307644.40386904776</v>
      </c>
      <c r="CJ76" s="1220">
        <f t="shared" si="44"/>
        <v>-307644.40386904776</v>
      </c>
      <c r="CK76" s="1220">
        <f t="shared" si="44"/>
        <v>-307644.40386904776</v>
      </c>
      <c r="CL76" s="1220">
        <f t="shared" si="44"/>
        <v>-307644.40386904776</v>
      </c>
      <c r="CM76" s="1220">
        <f t="shared" si="44"/>
        <v>-307644.40386904776</v>
      </c>
      <c r="CN76" s="1220">
        <f t="shared" si="44"/>
        <v>-307644.40386904776</v>
      </c>
      <c r="CO76" s="1220">
        <f t="shared" si="44"/>
        <v>-307644.40386904776</v>
      </c>
      <c r="CP76" s="1220">
        <f t="shared" si="44"/>
        <v>-307644.40386904776</v>
      </c>
      <c r="CQ76" s="1220">
        <f t="shared" ref="CQ76:DE76" si="45">-$H76/84</f>
        <v>-307644.40386904776</v>
      </c>
      <c r="CR76" s="1220">
        <f t="shared" si="45"/>
        <v>-307644.40386904776</v>
      </c>
      <c r="CS76" s="1220">
        <f t="shared" si="45"/>
        <v>-307644.40386904776</v>
      </c>
      <c r="CT76" s="1220">
        <f t="shared" si="45"/>
        <v>-307644.40386904776</v>
      </c>
      <c r="CU76" s="1220">
        <f t="shared" si="45"/>
        <v>-307644.40386904776</v>
      </c>
      <c r="CV76" s="1220">
        <f t="shared" si="45"/>
        <v>-307644.40386904776</v>
      </c>
      <c r="CW76" s="1220">
        <f t="shared" si="45"/>
        <v>-307644.40386904776</v>
      </c>
      <c r="CX76" s="1220">
        <f t="shared" si="45"/>
        <v>-307644.40386904776</v>
      </c>
      <c r="CY76" s="1220">
        <f t="shared" si="45"/>
        <v>-307644.40386904776</v>
      </c>
      <c r="CZ76" s="1220">
        <f t="shared" si="45"/>
        <v>-307644.40386904776</v>
      </c>
      <c r="DA76" s="1220">
        <f t="shared" si="45"/>
        <v>-307644.40386904776</v>
      </c>
      <c r="DB76" s="1220">
        <f t="shared" si="45"/>
        <v>-307644.40386904776</v>
      </c>
      <c r="DC76" s="1220">
        <f t="shared" si="45"/>
        <v>-307644.40386904776</v>
      </c>
      <c r="DD76" s="1220">
        <f t="shared" si="45"/>
        <v>-307644.40386904776</v>
      </c>
      <c r="DE76" s="1220">
        <f t="shared" si="45"/>
        <v>-307644.40386904776</v>
      </c>
      <c r="DF76" s="101"/>
      <c r="DG76" s="101"/>
      <c r="DH76" s="101"/>
      <c r="DI76" s="101"/>
      <c r="DJ76" s="101"/>
    </row>
    <row r="77" spans="1:116" x14ac:dyDescent="0.3">
      <c r="H77" s="1221"/>
      <c r="L77" s="1220"/>
      <c r="M77" s="1220"/>
      <c r="N77" s="1220"/>
      <c r="O77" s="1220"/>
      <c r="P77" s="1220"/>
      <c r="Q77" s="1220"/>
      <c r="R77" s="1220"/>
      <c r="S77" s="1220"/>
      <c r="T77" s="1220"/>
      <c r="U77" s="1220"/>
      <c r="V77" s="1220"/>
      <c r="W77" s="1220"/>
      <c r="X77" s="1220"/>
      <c r="Y77" s="1220"/>
      <c r="Z77" s="1220"/>
      <c r="AA77" s="1220"/>
      <c r="AB77" s="1220"/>
      <c r="AC77" s="1220"/>
      <c r="AD77" s="1220"/>
      <c r="AE77" s="1220"/>
      <c r="AF77" s="1220"/>
      <c r="AG77" s="1220"/>
      <c r="AH77" s="1220"/>
      <c r="AI77" s="1220"/>
      <c r="AJ77" s="1220"/>
      <c r="AK77" s="1220"/>
      <c r="AL77" s="1220"/>
      <c r="AM77" s="1220"/>
      <c r="AN77" s="1220"/>
      <c r="AO77" s="1220"/>
      <c r="AP77" s="1220"/>
      <c r="AQ77" s="1220"/>
      <c r="AR77" s="1220"/>
      <c r="AS77" s="1220"/>
      <c r="AT77" s="1220"/>
      <c r="AU77" s="1220"/>
      <c r="AV77" s="1220"/>
      <c r="AW77" s="1220"/>
      <c r="AX77" s="1220"/>
      <c r="AY77" s="1220"/>
      <c r="AZ77" s="1220"/>
      <c r="BA77" s="1220"/>
      <c r="BB77" s="1220"/>
      <c r="BC77" s="1220"/>
      <c r="BD77" s="1220"/>
      <c r="BE77" s="1220"/>
      <c r="BF77" s="1220"/>
      <c r="BG77" s="1220"/>
      <c r="BH77" s="1220"/>
      <c r="BI77" s="1220"/>
      <c r="BJ77" s="1220"/>
      <c r="BK77" s="1220"/>
      <c r="BL77" s="1220"/>
      <c r="BM77" s="1220"/>
      <c r="BN77" s="1220"/>
      <c r="BO77" s="1220"/>
      <c r="BP77" s="1220"/>
      <c r="BQ77" s="1220"/>
      <c r="BR77" s="1220"/>
      <c r="BS77" s="1220"/>
      <c r="BT77" s="1220"/>
      <c r="BU77" s="1220"/>
      <c r="BV77" s="1220"/>
      <c r="BW77" s="1220"/>
      <c r="BX77" s="1220"/>
      <c r="BY77" s="1220"/>
      <c r="BZ77" s="1220"/>
      <c r="CA77" s="1220"/>
      <c r="CB77" s="1220"/>
      <c r="CC77" s="1220"/>
      <c r="CD77" s="1220"/>
      <c r="CE77" s="1220"/>
      <c r="CF77" s="1220"/>
      <c r="CG77" s="1220"/>
      <c r="CH77" s="1220"/>
      <c r="CI77" s="1220"/>
      <c r="CJ77" s="1220"/>
      <c r="CK77" s="1220"/>
      <c r="CL77" s="1220"/>
      <c r="CM77" s="1220"/>
      <c r="CN77" s="1220"/>
      <c r="CO77" s="1220"/>
      <c r="CP77" s="1220"/>
      <c r="CQ77" s="1220"/>
      <c r="CR77" s="1220"/>
      <c r="CS77" s="1220"/>
      <c r="CT77" s="1220"/>
      <c r="CU77" s="1220"/>
      <c r="CV77" s="1220"/>
      <c r="CW77" s="1220"/>
      <c r="CX77" s="1220"/>
      <c r="CY77" s="1220"/>
      <c r="CZ77" s="1220"/>
      <c r="DA77" s="1220"/>
      <c r="DB77" s="1220"/>
      <c r="DC77" s="1220"/>
      <c r="DD77" s="1220"/>
      <c r="DE77" s="1220"/>
    </row>
    <row r="78" spans="1:116" x14ac:dyDescent="0.3">
      <c r="A78" s="1214" t="s">
        <v>2168</v>
      </c>
      <c r="H78" s="1215">
        <f>26006428.75-164298.824999988</f>
        <v>25842129.925000012</v>
      </c>
      <c r="L78" s="1220"/>
      <c r="M78" s="1220"/>
      <c r="N78" s="1220"/>
      <c r="O78" s="1220"/>
      <c r="P78" s="1220"/>
      <c r="Q78" s="1220"/>
      <c r="R78" s="1220"/>
      <c r="S78" s="1220"/>
      <c r="T78" s="1220"/>
      <c r="U78" s="1220"/>
      <c r="V78" s="1220"/>
      <c r="W78" s="1220"/>
      <c r="X78" s="1220"/>
      <c r="Y78" s="1220"/>
      <c r="Z78" s="1220"/>
      <c r="AA78" s="1220"/>
      <c r="AB78" s="1220"/>
      <c r="AC78" s="1220"/>
      <c r="AD78" s="1220"/>
      <c r="AE78" s="1220"/>
      <c r="AF78" s="1220">
        <f t="shared" ref="AF78:BK78" si="46">-$H78/84</f>
        <v>-307644.40386904776</v>
      </c>
      <c r="AG78" s="1220">
        <f t="shared" si="46"/>
        <v>-307644.40386904776</v>
      </c>
      <c r="AH78" s="1220">
        <f t="shared" si="46"/>
        <v>-307644.40386904776</v>
      </c>
      <c r="AI78" s="1220">
        <f t="shared" si="46"/>
        <v>-307644.40386904776</v>
      </c>
      <c r="AJ78" s="1220">
        <f t="shared" si="46"/>
        <v>-307644.40386904776</v>
      </c>
      <c r="AK78" s="1220">
        <f t="shared" si="46"/>
        <v>-307644.40386904776</v>
      </c>
      <c r="AL78" s="1220">
        <f t="shared" si="46"/>
        <v>-307644.40386904776</v>
      </c>
      <c r="AM78" s="1220">
        <f t="shared" si="46"/>
        <v>-307644.40386904776</v>
      </c>
      <c r="AN78" s="1220">
        <f t="shared" si="46"/>
        <v>-307644.40386904776</v>
      </c>
      <c r="AO78" s="1220">
        <f t="shared" si="46"/>
        <v>-307644.40386904776</v>
      </c>
      <c r="AP78" s="1220">
        <f t="shared" si="46"/>
        <v>-307644.40386904776</v>
      </c>
      <c r="AQ78" s="1220">
        <f t="shared" si="46"/>
        <v>-307644.40386904776</v>
      </c>
      <c r="AR78" s="1220">
        <f t="shared" si="46"/>
        <v>-307644.40386904776</v>
      </c>
      <c r="AS78" s="1220">
        <f t="shared" si="46"/>
        <v>-307644.40386904776</v>
      </c>
      <c r="AT78" s="1220">
        <f t="shared" si="46"/>
        <v>-307644.40386904776</v>
      </c>
      <c r="AU78" s="1220">
        <f t="shared" si="46"/>
        <v>-307644.40386904776</v>
      </c>
      <c r="AV78" s="1220">
        <f t="shared" si="46"/>
        <v>-307644.40386904776</v>
      </c>
      <c r="AW78" s="1220">
        <f t="shared" si="46"/>
        <v>-307644.40386904776</v>
      </c>
      <c r="AX78" s="1220">
        <f t="shared" si="46"/>
        <v>-307644.40386904776</v>
      </c>
      <c r="AY78" s="1220">
        <f t="shared" si="46"/>
        <v>-307644.40386904776</v>
      </c>
      <c r="AZ78" s="1220">
        <f t="shared" si="46"/>
        <v>-307644.40386904776</v>
      </c>
      <c r="BA78" s="1220">
        <f t="shared" si="46"/>
        <v>-307644.40386904776</v>
      </c>
      <c r="BB78" s="1220">
        <f t="shared" si="46"/>
        <v>-307644.40386904776</v>
      </c>
      <c r="BC78" s="1220">
        <f t="shared" si="46"/>
        <v>-307644.40386904776</v>
      </c>
      <c r="BD78" s="1220">
        <f t="shared" si="46"/>
        <v>-307644.40386904776</v>
      </c>
      <c r="BE78" s="1220">
        <f t="shared" si="46"/>
        <v>-307644.40386904776</v>
      </c>
      <c r="BF78" s="1220">
        <f t="shared" si="46"/>
        <v>-307644.40386904776</v>
      </c>
      <c r="BG78" s="1220">
        <f t="shared" si="46"/>
        <v>-307644.40386904776</v>
      </c>
      <c r="BH78" s="1220">
        <f t="shared" si="46"/>
        <v>-307644.40386904776</v>
      </c>
      <c r="BI78" s="1220">
        <f t="shared" si="46"/>
        <v>-307644.40386904776</v>
      </c>
      <c r="BJ78" s="1220">
        <f t="shared" si="46"/>
        <v>-307644.40386904776</v>
      </c>
      <c r="BK78" s="1220">
        <f t="shared" si="46"/>
        <v>-307644.40386904776</v>
      </c>
      <c r="BL78" s="1220">
        <f t="shared" ref="BL78:CP78" si="47">-$H78/84</f>
        <v>-307644.40386904776</v>
      </c>
      <c r="BM78" s="1220">
        <f t="shared" si="47"/>
        <v>-307644.40386904776</v>
      </c>
      <c r="BN78" s="1220">
        <f t="shared" si="47"/>
        <v>-307644.40386904776</v>
      </c>
      <c r="BO78" s="1220">
        <f t="shared" si="47"/>
        <v>-307644.40386904776</v>
      </c>
      <c r="BP78" s="1220">
        <f t="shared" si="47"/>
        <v>-307644.40386904776</v>
      </c>
      <c r="BQ78" s="1220">
        <f t="shared" si="47"/>
        <v>-307644.40386904776</v>
      </c>
      <c r="BR78" s="1220">
        <f t="shared" si="47"/>
        <v>-307644.40386904776</v>
      </c>
      <c r="BS78" s="1220">
        <f t="shared" si="47"/>
        <v>-307644.40386904776</v>
      </c>
      <c r="BT78" s="1220">
        <f t="shared" si="47"/>
        <v>-307644.40386904776</v>
      </c>
      <c r="BU78" s="1220">
        <f t="shared" si="47"/>
        <v>-307644.40386904776</v>
      </c>
      <c r="BV78" s="1220">
        <f t="shared" si="47"/>
        <v>-307644.40386904776</v>
      </c>
      <c r="BW78" s="1220">
        <f t="shared" si="47"/>
        <v>-307644.40386904776</v>
      </c>
      <c r="BX78" s="1220">
        <f t="shared" si="47"/>
        <v>-307644.40386904776</v>
      </c>
      <c r="BY78" s="1220">
        <f t="shared" si="47"/>
        <v>-307644.40386904776</v>
      </c>
      <c r="BZ78" s="1220">
        <f t="shared" si="47"/>
        <v>-307644.40386904776</v>
      </c>
      <c r="CA78" s="1220">
        <f t="shared" si="47"/>
        <v>-307644.40386904776</v>
      </c>
      <c r="CB78" s="1220">
        <f t="shared" si="47"/>
        <v>-307644.40386904776</v>
      </c>
      <c r="CC78" s="1220">
        <f t="shared" si="47"/>
        <v>-307644.40386904776</v>
      </c>
      <c r="CD78" s="1220">
        <f t="shared" si="47"/>
        <v>-307644.40386904776</v>
      </c>
      <c r="CE78" s="1220">
        <f t="shared" si="47"/>
        <v>-307644.40386904776</v>
      </c>
      <c r="CF78" s="1220">
        <f t="shared" si="47"/>
        <v>-307644.40386904776</v>
      </c>
      <c r="CG78" s="1220">
        <f t="shared" si="47"/>
        <v>-307644.40386904776</v>
      </c>
      <c r="CH78" s="1220">
        <f t="shared" si="47"/>
        <v>-307644.40386904776</v>
      </c>
      <c r="CI78" s="1220">
        <f t="shared" si="47"/>
        <v>-307644.40386904776</v>
      </c>
      <c r="CJ78" s="1220">
        <f t="shared" si="47"/>
        <v>-307644.40386904776</v>
      </c>
      <c r="CK78" s="1220">
        <f t="shared" si="47"/>
        <v>-307644.40386904776</v>
      </c>
      <c r="CL78" s="1220">
        <f t="shared" si="47"/>
        <v>-307644.40386904776</v>
      </c>
      <c r="CM78" s="1220">
        <f t="shared" si="47"/>
        <v>-307644.40386904776</v>
      </c>
      <c r="CN78" s="1220">
        <f t="shared" si="47"/>
        <v>-307644.40386904776</v>
      </c>
      <c r="CO78" s="1220">
        <f t="shared" si="47"/>
        <v>-307644.40386904776</v>
      </c>
      <c r="CP78" s="1220">
        <f t="shared" si="47"/>
        <v>-307644.40386904776</v>
      </c>
      <c r="CQ78" s="1220">
        <f t="shared" ref="CQ78:DE78" si="48">-$H78/84</f>
        <v>-307644.40386904776</v>
      </c>
      <c r="CR78" s="1220">
        <f t="shared" si="48"/>
        <v>-307644.40386904776</v>
      </c>
      <c r="CS78" s="1220">
        <f t="shared" si="48"/>
        <v>-307644.40386904776</v>
      </c>
      <c r="CT78" s="1220">
        <f t="shared" si="48"/>
        <v>-307644.40386904776</v>
      </c>
      <c r="CU78" s="1220">
        <f t="shared" si="48"/>
        <v>-307644.40386904776</v>
      </c>
      <c r="CV78" s="1220">
        <f t="shared" si="48"/>
        <v>-307644.40386904776</v>
      </c>
      <c r="CW78" s="1220">
        <f t="shared" si="48"/>
        <v>-307644.40386904776</v>
      </c>
      <c r="CX78" s="1220">
        <f t="shared" si="48"/>
        <v>-307644.40386904776</v>
      </c>
      <c r="CY78" s="1220">
        <f t="shared" si="48"/>
        <v>-307644.40386904776</v>
      </c>
      <c r="CZ78" s="1220">
        <f t="shared" si="48"/>
        <v>-307644.40386904776</v>
      </c>
      <c r="DA78" s="1220">
        <f t="shared" si="48"/>
        <v>-307644.40386904776</v>
      </c>
      <c r="DB78" s="1220">
        <f t="shared" si="48"/>
        <v>-307644.40386904776</v>
      </c>
      <c r="DC78" s="1220">
        <f t="shared" si="48"/>
        <v>-307644.40386904776</v>
      </c>
      <c r="DD78" s="1220">
        <f t="shared" si="48"/>
        <v>-307644.40386904776</v>
      </c>
      <c r="DE78" s="1220">
        <f t="shared" si="48"/>
        <v>-307644.40386904776</v>
      </c>
      <c r="DF78" s="101"/>
      <c r="DG78" s="101"/>
      <c r="DH78" s="101"/>
      <c r="DI78" s="101"/>
      <c r="DJ78" s="101"/>
      <c r="DK78" s="101"/>
    </row>
    <row r="79" spans="1:116" x14ac:dyDescent="0.3">
      <c r="H79" s="1215"/>
      <c r="L79" s="1220"/>
      <c r="M79" s="1220"/>
      <c r="N79" s="1220"/>
      <c r="O79" s="1220"/>
      <c r="P79" s="1220"/>
      <c r="Q79" s="1220"/>
      <c r="R79" s="1220"/>
      <c r="S79" s="1220"/>
      <c r="T79" s="1220"/>
      <c r="U79" s="1220"/>
      <c r="V79" s="1220"/>
      <c r="W79" s="1220"/>
      <c r="X79" s="1220"/>
      <c r="Y79" s="1220"/>
      <c r="Z79" s="1220"/>
      <c r="AA79" s="1220"/>
      <c r="AB79" s="1220"/>
      <c r="AC79" s="1220"/>
      <c r="AD79" s="1220"/>
      <c r="AE79" s="1220"/>
      <c r="AF79" s="1220"/>
      <c r="AG79" s="1220"/>
      <c r="AH79" s="1220"/>
      <c r="AI79" s="1220"/>
      <c r="AJ79" s="1220"/>
      <c r="AK79" s="1220"/>
      <c r="AL79" s="1220"/>
      <c r="AM79" s="1220"/>
      <c r="AN79" s="1220"/>
      <c r="AO79" s="1220"/>
      <c r="AP79" s="1220"/>
      <c r="AQ79" s="1220"/>
      <c r="AR79" s="1220"/>
      <c r="AS79" s="1220"/>
      <c r="AT79" s="1220"/>
      <c r="AU79" s="1220"/>
      <c r="AV79" s="1220"/>
      <c r="AW79" s="1220"/>
      <c r="AX79" s="1220"/>
      <c r="AY79" s="1220"/>
      <c r="AZ79" s="1220"/>
      <c r="BA79" s="1220"/>
      <c r="BB79" s="1220"/>
      <c r="BC79" s="1220"/>
      <c r="BD79" s="1220"/>
      <c r="BE79" s="1220"/>
      <c r="BF79" s="1220"/>
      <c r="BG79" s="1220"/>
      <c r="BH79" s="1220"/>
      <c r="BI79" s="1220"/>
      <c r="BJ79" s="1220"/>
      <c r="BK79" s="1220"/>
      <c r="BL79" s="1220"/>
      <c r="BM79" s="1220"/>
      <c r="BN79" s="1220"/>
      <c r="BO79" s="1220"/>
      <c r="BP79" s="1220"/>
      <c r="BQ79" s="1220"/>
      <c r="BR79" s="1220"/>
      <c r="BS79" s="1220"/>
      <c r="BT79" s="1220"/>
      <c r="BU79" s="1220"/>
      <c r="BV79" s="1220"/>
      <c r="BW79" s="1220"/>
      <c r="BX79" s="1220"/>
      <c r="BY79" s="1220"/>
      <c r="BZ79" s="1220"/>
      <c r="CA79" s="1220"/>
      <c r="CB79" s="1220"/>
      <c r="CC79" s="1220"/>
      <c r="CD79" s="1220"/>
      <c r="CE79" s="1220"/>
      <c r="CF79" s="1220"/>
      <c r="CG79" s="1220"/>
      <c r="CH79" s="1220"/>
      <c r="CI79" s="1220"/>
      <c r="CJ79" s="1220"/>
      <c r="CK79" s="1220"/>
      <c r="CL79" s="1220"/>
      <c r="CM79" s="1220"/>
      <c r="CN79" s="1220"/>
      <c r="CO79" s="1220"/>
      <c r="CP79" s="1220"/>
      <c r="CQ79" s="1220"/>
      <c r="CR79" s="1220"/>
      <c r="CS79" s="1220"/>
      <c r="CT79" s="1220"/>
      <c r="CU79" s="1220"/>
      <c r="CV79" s="1220"/>
      <c r="CW79" s="1220"/>
      <c r="CX79" s="1220"/>
      <c r="CY79" s="1220"/>
      <c r="CZ79" s="1220"/>
      <c r="DA79" s="1220"/>
      <c r="DB79" s="1220"/>
      <c r="DC79" s="1220"/>
      <c r="DD79" s="1220"/>
      <c r="DE79" s="1220"/>
    </row>
    <row r="80" spans="1:116" x14ac:dyDescent="0.3">
      <c r="A80" s="1214" t="s">
        <v>2169</v>
      </c>
      <c r="H80" s="1215">
        <f>26006428.75-164298.824999988</f>
        <v>25842129.925000012</v>
      </c>
      <c r="L80" s="1220"/>
      <c r="M80" s="1220"/>
      <c r="N80" s="1220"/>
      <c r="O80" s="1220"/>
      <c r="P80" s="1220"/>
      <c r="Q80" s="1220"/>
      <c r="R80" s="1220"/>
      <c r="S80" s="1220"/>
      <c r="T80" s="1220"/>
      <c r="U80" s="1220"/>
      <c r="V80" s="1220"/>
      <c r="W80" s="1220"/>
      <c r="X80" s="1220"/>
      <c r="Y80" s="1220"/>
      <c r="Z80" s="1220"/>
      <c r="AA80" s="1220"/>
      <c r="AB80" s="1220"/>
      <c r="AC80" s="1220"/>
      <c r="AD80" s="1220"/>
      <c r="AE80" s="1220"/>
      <c r="AF80" s="1220"/>
      <c r="AG80" s="1220">
        <f t="shared" ref="AG80:BL80" si="49">-$H80/84</f>
        <v>-307644.40386904776</v>
      </c>
      <c r="AH80" s="1220">
        <f t="shared" si="49"/>
        <v>-307644.40386904776</v>
      </c>
      <c r="AI80" s="1220">
        <f t="shared" si="49"/>
        <v>-307644.40386904776</v>
      </c>
      <c r="AJ80" s="1220">
        <f t="shared" si="49"/>
        <v>-307644.40386904776</v>
      </c>
      <c r="AK80" s="1220">
        <f t="shared" si="49"/>
        <v>-307644.40386904776</v>
      </c>
      <c r="AL80" s="1220">
        <f t="shared" si="49"/>
        <v>-307644.40386904776</v>
      </c>
      <c r="AM80" s="1220">
        <f t="shared" si="49"/>
        <v>-307644.40386904776</v>
      </c>
      <c r="AN80" s="1220">
        <f t="shared" si="49"/>
        <v>-307644.40386904776</v>
      </c>
      <c r="AO80" s="1220">
        <f t="shared" si="49"/>
        <v>-307644.40386904776</v>
      </c>
      <c r="AP80" s="1220">
        <f t="shared" si="49"/>
        <v>-307644.40386904776</v>
      </c>
      <c r="AQ80" s="1220">
        <f t="shared" si="49"/>
        <v>-307644.40386904776</v>
      </c>
      <c r="AR80" s="1220">
        <f t="shared" si="49"/>
        <v>-307644.40386904776</v>
      </c>
      <c r="AS80" s="1220">
        <f t="shared" si="49"/>
        <v>-307644.40386904776</v>
      </c>
      <c r="AT80" s="1220">
        <f t="shared" si="49"/>
        <v>-307644.40386904776</v>
      </c>
      <c r="AU80" s="1220">
        <f t="shared" si="49"/>
        <v>-307644.40386904776</v>
      </c>
      <c r="AV80" s="1220">
        <f t="shared" si="49"/>
        <v>-307644.40386904776</v>
      </c>
      <c r="AW80" s="1220">
        <f t="shared" si="49"/>
        <v>-307644.40386904776</v>
      </c>
      <c r="AX80" s="1220">
        <f t="shared" si="49"/>
        <v>-307644.40386904776</v>
      </c>
      <c r="AY80" s="1220">
        <f t="shared" si="49"/>
        <v>-307644.40386904776</v>
      </c>
      <c r="AZ80" s="1220">
        <f t="shared" si="49"/>
        <v>-307644.40386904776</v>
      </c>
      <c r="BA80" s="1220">
        <f t="shared" si="49"/>
        <v>-307644.40386904776</v>
      </c>
      <c r="BB80" s="1220">
        <f t="shared" si="49"/>
        <v>-307644.40386904776</v>
      </c>
      <c r="BC80" s="1220">
        <f t="shared" si="49"/>
        <v>-307644.40386904776</v>
      </c>
      <c r="BD80" s="1220">
        <f t="shared" si="49"/>
        <v>-307644.40386904776</v>
      </c>
      <c r="BE80" s="1220">
        <f t="shared" si="49"/>
        <v>-307644.40386904776</v>
      </c>
      <c r="BF80" s="1220">
        <f t="shared" si="49"/>
        <v>-307644.40386904776</v>
      </c>
      <c r="BG80" s="1220">
        <f t="shared" si="49"/>
        <v>-307644.40386904776</v>
      </c>
      <c r="BH80" s="1220">
        <f t="shared" si="49"/>
        <v>-307644.40386904776</v>
      </c>
      <c r="BI80" s="1220">
        <f t="shared" si="49"/>
        <v>-307644.40386904776</v>
      </c>
      <c r="BJ80" s="1220">
        <f t="shared" si="49"/>
        <v>-307644.40386904776</v>
      </c>
      <c r="BK80" s="1220">
        <f t="shared" si="49"/>
        <v>-307644.40386904776</v>
      </c>
      <c r="BL80" s="1220">
        <f t="shared" si="49"/>
        <v>-307644.40386904776</v>
      </c>
      <c r="BM80" s="1220">
        <f t="shared" ref="BM80:CP80" si="50">-$H80/84</f>
        <v>-307644.40386904776</v>
      </c>
      <c r="BN80" s="1220">
        <f t="shared" si="50"/>
        <v>-307644.40386904776</v>
      </c>
      <c r="BO80" s="1220">
        <f t="shared" si="50"/>
        <v>-307644.40386904776</v>
      </c>
      <c r="BP80" s="1220">
        <f t="shared" si="50"/>
        <v>-307644.40386904776</v>
      </c>
      <c r="BQ80" s="1220">
        <f t="shared" si="50"/>
        <v>-307644.40386904776</v>
      </c>
      <c r="BR80" s="1220">
        <f t="shared" si="50"/>
        <v>-307644.40386904776</v>
      </c>
      <c r="BS80" s="1220">
        <f t="shared" si="50"/>
        <v>-307644.40386904776</v>
      </c>
      <c r="BT80" s="1220">
        <f t="shared" si="50"/>
        <v>-307644.40386904776</v>
      </c>
      <c r="BU80" s="1220">
        <f t="shared" si="50"/>
        <v>-307644.40386904776</v>
      </c>
      <c r="BV80" s="1220">
        <f t="shared" si="50"/>
        <v>-307644.40386904776</v>
      </c>
      <c r="BW80" s="1220">
        <f t="shared" si="50"/>
        <v>-307644.40386904776</v>
      </c>
      <c r="BX80" s="1220">
        <f t="shared" si="50"/>
        <v>-307644.40386904776</v>
      </c>
      <c r="BY80" s="1220">
        <f t="shared" si="50"/>
        <v>-307644.40386904776</v>
      </c>
      <c r="BZ80" s="1220">
        <f t="shared" si="50"/>
        <v>-307644.40386904776</v>
      </c>
      <c r="CA80" s="1220">
        <f t="shared" si="50"/>
        <v>-307644.40386904776</v>
      </c>
      <c r="CB80" s="1220">
        <f t="shared" si="50"/>
        <v>-307644.40386904776</v>
      </c>
      <c r="CC80" s="1220">
        <f t="shared" si="50"/>
        <v>-307644.40386904776</v>
      </c>
      <c r="CD80" s="1220">
        <f t="shared" si="50"/>
        <v>-307644.40386904776</v>
      </c>
      <c r="CE80" s="1220">
        <f t="shared" si="50"/>
        <v>-307644.40386904776</v>
      </c>
      <c r="CF80" s="1220">
        <f t="shared" si="50"/>
        <v>-307644.40386904776</v>
      </c>
      <c r="CG80" s="1220">
        <f t="shared" si="50"/>
        <v>-307644.40386904776</v>
      </c>
      <c r="CH80" s="1220">
        <f t="shared" si="50"/>
        <v>-307644.40386904776</v>
      </c>
      <c r="CI80" s="1220">
        <f t="shared" si="50"/>
        <v>-307644.40386904776</v>
      </c>
      <c r="CJ80" s="1220">
        <f t="shared" si="50"/>
        <v>-307644.40386904776</v>
      </c>
      <c r="CK80" s="1220">
        <f t="shared" si="50"/>
        <v>-307644.40386904776</v>
      </c>
      <c r="CL80" s="1220">
        <f t="shared" si="50"/>
        <v>-307644.40386904776</v>
      </c>
      <c r="CM80" s="1220">
        <f t="shared" si="50"/>
        <v>-307644.40386904776</v>
      </c>
      <c r="CN80" s="1220">
        <f t="shared" si="50"/>
        <v>-307644.40386904776</v>
      </c>
      <c r="CO80" s="1220">
        <f t="shared" si="50"/>
        <v>-307644.40386904776</v>
      </c>
      <c r="CP80" s="1220">
        <f t="shared" si="50"/>
        <v>-307644.40386904776</v>
      </c>
      <c r="CQ80" s="1220">
        <f t="shared" ref="CQ80:DE80" si="51">-$H80/84</f>
        <v>-307644.40386904776</v>
      </c>
      <c r="CR80" s="1220">
        <f t="shared" si="51"/>
        <v>-307644.40386904776</v>
      </c>
      <c r="CS80" s="1220">
        <f t="shared" si="51"/>
        <v>-307644.40386904776</v>
      </c>
      <c r="CT80" s="1220">
        <f t="shared" si="51"/>
        <v>-307644.40386904776</v>
      </c>
      <c r="CU80" s="1220">
        <f t="shared" si="51"/>
        <v>-307644.40386904776</v>
      </c>
      <c r="CV80" s="1220">
        <f t="shared" si="51"/>
        <v>-307644.40386904776</v>
      </c>
      <c r="CW80" s="1220">
        <f t="shared" si="51"/>
        <v>-307644.40386904776</v>
      </c>
      <c r="CX80" s="1220">
        <f t="shared" si="51"/>
        <v>-307644.40386904776</v>
      </c>
      <c r="CY80" s="1220">
        <f t="shared" si="51"/>
        <v>-307644.40386904776</v>
      </c>
      <c r="CZ80" s="1220">
        <f t="shared" si="51"/>
        <v>-307644.40386904776</v>
      </c>
      <c r="DA80" s="1220">
        <f t="shared" si="51"/>
        <v>-307644.40386904776</v>
      </c>
      <c r="DB80" s="1220">
        <f t="shared" si="51"/>
        <v>-307644.40386904776</v>
      </c>
      <c r="DC80" s="1220">
        <f t="shared" si="51"/>
        <v>-307644.40386904776</v>
      </c>
      <c r="DD80" s="1220">
        <f t="shared" si="51"/>
        <v>-307644.40386904776</v>
      </c>
      <c r="DE80" s="1220">
        <f t="shared" si="51"/>
        <v>-307644.40386904776</v>
      </c>
      <c r="DF80" s="101"/>
      <c r="DG80" s="101"/>
      <c r="DH80" s="101"/>
      <c r="DI80" s="101"/>
      <c r="DJ80" s="101"/>
      <c r="DK80" s="101"/>
      <c r="DL80" s="101"/>
    </row>
    <row r="81" spans="1:124" x14ac:dyDescent="0.3">
      <c r="H81" s="1215"/>
      <c r="L81" s="1220"/>
      <c r="M81" s="1220"/>
      <c r="N81" s="1220"/>
      <c r="O81" s="1220"/>
      <c r="P81" s="1220"/>
      <c r="Q81" s="1220"/>
      <c r="R81" s="1220"/>
      <c r="S81" s="1220"/>
      <c r="T81" s="1220"/>
      <c r="U81" s="1220"/>
      <c r="V81" s="1220"/>
      <c r="W81" s="1220"/>
      <c r="X81" s="1220"/>
      <c r="Y81" s="1220"/>
      <c r="Z81" s="1220"/>
      <c r="AA81" s="1220"/>
      <c r="AB81" s="1220"/>
      <c r="AC81" s="1220"/>
      <c r="AD81" s="1220"/>
      <c r="AE81" s="1220"/>
      <c r="AF81" s="1220"/>
      <c r="AG81" s="1220"/>
      <c r="AH81" s="1220">
        <f>-$H81/84</f>
        <v>0</v>
      </c>
      <c r="AI81" s="1220"/>
      <c r="AJ81" s="1220"/>
      <c r="AK81" s="1220"/>
      <c r="AL81" s="1220"/>
      <c r="AM81" s="1220"/>
      <c r="AN81" s="1220"/>
      <c r="AO81" s="1220"/>
      <c r="AP81" s="1220"/>
      <c r="AQ81" s="1220"/>
      <c r="AR81" s="1220"/>
      <c r="AS81" s="1220"/>
      <c r="AT81" s="1220"/>
      <c r="AU81" s="1220"/>
      <c r="AV81" s="1220"/>
      <c r="AW81" s="1220"/>
      <c r="AX81" s="1220"/>
      <c r="AY81" s="1220"/>
      <c r="AZ81" s="1220"/>
      <c r="BA81" s="1220"/>
      <c r="BB81" s="1220"/>
      <c r="BC81" s="1220"/>
      <c r="BD81" s="1220"/>
      <c r="BE81" s="1220"/>
      <c r="BF81" s="1220"/>
      <c r="BG81" s="1220"/>
      <c r="BH81" s="1220"/>
      <c r="BI81" s="1220"/>
      <c r="BJ81" s="1220"/>
      <c r="BK81" s="1220"/>
      <c r="BL81" s="1220"/>
      <c r="BM81" s="1220"/>
      <c r="BN81" s="1220"/>
      <c r="BO81" s="1220"/>
      <c r="BP81" s="1220"/>
      <c r="BQ81" s="1220"/>
      <c r="BR81" s="1220"/>
      <c r="BS81" s="1220"/>
      <c r="BT81" s="1220"/>
      <c r="BU81" s="1220"/>
      <c r="BV81" s="1220"/>
      <c r="BW81" s="1220"/>
      <c r="BX81" s="1220"/>
      <c r="BY81" s="1220"/>
      <c r="BZ81" s="1220"/>
      <c r="CA81" s="1220"/>
      <c r="CB81" s="1220"/>
      <c r="CC81" s="1220"/>
      <c r="CD81" s="1220"/>
      <c r="CE81" s="1220"/>
      <c r="CF81" s="1220"/>
      <c r="CG81" s="1220"/>
      <c r="CH81" s="1220"/>
      <c r="CI81" s="1220"/>
      <c r="CJ81" s="1220"/>
      <c r="CK81" s="1220"/>
      <c r="CL81" s="1220"/>
      <c r="CM81" s="1220"/>
      <c r="CN81" s="1220"/>
      <c r="CO81" s="1220"/>
      <c r="CP81" s="1220"/>
      <c r="CQ81" s="1220"/>
      <c r="CR81" s="1220"/>
      <c r="CS81" s="1220"/>
      <c r="CT81" s="1220"/>
      <c r="CU81" s="1220"/>
      <c r="CV81" s="1220"/>
      <c r="CW81" s="1220"/>
      <c r="CX81" s="1220"/>
      <c r="CY81" s="1220"/>
      <c r="CZ81" s="1220"/>
      <c r="DA81" s="1220"/>
      <c r="DB81" s="1220"/>
      <c r="DC81" s="1220"/>
      <c r="DD81" s="1220"/>
      <c r="DE81" s="1220"/>
    </row>
    <row r="82" spans="1:124" x14ac:dyDescent="0.3">
      <c r="A82" s="1214" t="s">
        <v>2170</v>
      </c>
      <c r="H82" s="1215">
        <f>26006428.75-164298.824999988</f>
        <v>25842129.925000012</v>
      </c>
      <c r="L82" s="1220"/>
      <c r="M82" s="1220"/>
      <c r="N82" s="1220"/>
      <c r="O82" s="1220"/>
      <c r="P82" s="1220"/>
      <c r="Q82" s="1220"/>
      <c r="R82" s="1220"/>
      <c r="S82" s="1220"/>
      <c r="T82" s="1220"/>
      <c r="U82" s="1220"/>
      <c r="V82" s="1220"/>
      <c r="W82" s="1220"/>
      <c r="X82" s="1220"/>
      <c r="Y82" s="1220"/>
      <c r="Z82" s="1220"/>
      <c r="AA82" s="1220"/>
      <c r="AB82" s="1220"/>
      <c r="AC82" s="1220"/>
      <c r="AD82" s="1220"/>
      <c r="AE82" s="1220"/>
      <c r="AF82" s="1220"/>
      <c r="AG82" s="1220"/>
      <c r="AH82" s="1220">
        <f>-$H82/84</f>
        <v>-307644.40386904776</v>
      </c>
      <c r="AI82" s="1220">
        <f>-$H82/84</f>
        <v>-307644.40386904776</v>
      </c>
      <c r="AJ82" s="1220">
        <f>-$H82/84</f>
        <v>-307644.40386904776</v>
      </c>
      <c r="AK82" s="1220">
        <f t="shared" ref="AK82:DE82" si="52">-$H82/84</f>
        <v>-307644.40386904776</v>
      </c>
      <c r="AL82" s="1220">
        <f t="shared" si="52"/>
        <v>-307644.40386904776</v>
      </c>
      <c r="AM82" s="1220">
        <f t="shared" si="52"/>
        <v>-307644.40386904776</v>
      </c>
      <c r="AN82" s="1220">
        <f t="shared" si="52"/>
        <v>-307644.40386904776</v>
      </c>
      <c r="AO82" s="1220">
        <f t="shared" si="52"/>
        <v>-307644.40386904776</v>
      </c>
      <c r="AP82" s="1220">
        <f t="shared" si="52"/>
        <v>-307644.40386904776</v>
      </c>
      <c r="AQ82" s="1220">
        <f t="shared" si="52"/>
        <v>-307644.40386904776</v>
      </c>
      <c r="AR82" s="1220">
        <f t="shared" si="52"/>
        <v>-307644.40386904776</v>
      </c>
      <c r="AS82" s="1220">
        <f t="shared" si="52"/>
        <v>-307644.40386904776</v>
      </c>
      <c r="AT82" s="1220">
        <f t="shared" si="52"/>
        <v>-307644.40386904776</v>
      </c>
      <c r="AU82" s="1220">
        <f t="shared" si="52"/>
        <v>-307644.40386904776</v>
      </c>
      <c r="AV82" s="1220">
        <f t="shared" si="52"/>
        <v>-307644.40386904776</v>
      </c>
      <c r="AW82" s="1220">
        <f t="shared" si="52"/>
        <v>-307644.40386904776</v>
      </c>
      <c r="AX82" s="1220">
        <f t="shared" si="52"/>
        <v>-307644.40386904776</v>
      </c>
      <c r="AY82" s="1220">
        <f t="shared" si="52"/>
        <v>-307644.40386904776</v>
      </c>
      <c r="AZ82" s="1220">
        <f t="shared" si="52"/>
        <v>-307644.40386904776</v>
      </c>
      <c r="BA82" s="1220">
        <f t="shared" si="52"/>
        <v>-307644.40386904776</v>
      </c>
      <c r="BB82" s="1220">
        <f t="shared" si="52"/>
        <v>-307644.40386904776</v>
      </c>
      <c r="BC82" s="1220">
        <f t="shared" si="52"/>
        <v>-307644.40386904776</v>
      </c>
      <c r="BD82" s="1220">
        <f t="shared" si="52"/>
        <v>-307644.40386904776</v>
      </c>
      <c r="BE82" s="1220">
        <f t="shared" si="52"/>
        <v>-307644.40386904776</v>
      </c>
      <c r="BF82" s="1220">
        <f t="shared" si="52"/>
        <v>-307644.40386904776</v>
      </c>
      <c r="BG82" s="1220">
        <f t="shared" si="52"/>
        <v>-307644.40386904776</v>
      </c>
      <c r="BH82" s="1220">
        <f t="shared" si="52"/>
        <v>-307644.40386904776</v>
      </c>
      <c r="BI82" s="1220">
        <f t="shared" si="52"/>
        <v>-307644.40386904776</v>
      </c>
      <c r="BJ82" s="1220">
        <f t="shared" si="52"/>
        <v>-307644.40386904776</v>
      </c>
      <c r="BK82" s="1220">
        <f t="shared" si="52"/>
        <v>-307644.40386904776</v>
      </c>
      <c r="BL82" s="1220">
        <f t="shared" si="52"/>
        <v>-307644.40386904776</v>
      </c>
      <c r="BM82" s="1220">
        <f t="shared" si="52"/>
        <v>-307644.40386904776</v>
      </c>
      <c r="BN82" s="1220">
        <f t="shared" si="52"/>
        <v>-307644.40386904776</v>
      </c>
      <c r="BO82" s="1220">
        <f t="shared" si="52"/>
        <v>-307644.40386904776</v>
      </c>
      <c r="BP82" s="1220">
        <f t="shared" si="52"/>
        <v>-307644.40386904776</v>
      </c>
      <c r="BQ82" s="1220">
        <f t="shared" si="52"/>
        <v>-307644.40386904776</v>
      </c>
      <c r="BR82" s="1220">
        <f t="shared" si="52"/>
        <v>-307644.40386904776</v>
      </c>
      <c r="BS82" s="1220">
        <f t="shared" si="52"/>
        <v>-307644.40386904776</v>
      </c>
      <c r="BT82" s="1220">
        <f t="shared" si="52"/>
        <v>-307644.40386904776</v>
      </c>
      <c r="BU82" s="1220">
        <f t="shared" si="52"/>
        <v>-307644.40386904776</v>
      </c>
      <c r="BV82" s="1220">
        <f t="shared" si="52"/>
        <v>-307644.40386904776</v>
      </c>
      <c r="BW82" s="1220">
        <f t="shared" si="52"/>
        <v>-307644.40386904776</v>
      </c>
      <c r="BX82" s="1220">
        <f t="shared" si="52"/>
        <v>-307644.40386904776</v>
      </c>
      <c r="BY82" s="1220">
        <f t="shared" si="52"/>
        <v>-307644.40386904776</v>
      </c>
      <c r="BZ82" s="1220">
        <f t="shared" si="52"/>
        <v>-307644.40386904776</v>
      </c>
      <c r="CA82" s="1220">
        <f t="shared" si="52"/>
        <v>-307644.40386904776</v>
      </c>
      <c r="CB82" s="1220">
        <f t="shared" si="52"/>
        <v>-307644.40386904776</v>
      </c>
      <c r="CC82" s="1220">
        <f t="shared" si="52"/>
        <v>-307644.40386904776</v>
      </c>
      <c r="CD82" s="1220">
        <f t="shared" si="52"/>
        <v>-307644.40386904776</v>
      </c>
      <c r="CE82" s="1220">
        <f t="shared" si="52"/>
        <v>-307644.40386904776</v>
      </c>
      <c r="CF82" s="1220">
        <f t="shared" si="52"/>
        <v>-307644.40386904776</v>
      </c>
      <c r="CG82" s="1220">
        <f t="shared" si="52"/>
        <v>-307644.40386904776</v>
      </c>
      <c r="CH82" s="1220">
        <f t="shared" si="52"/>
        <v>-307644.40386904776</v>
      </c>
      <c r="CI82" s="1220">
        <f t="shared" si="52"/>
        <v>-307644.40386904776</v>
      </c>
      <c r="CJ82" s="1220">
        <f t="shared" si="52"/>
        <v>-307644.40386904776</v>
      </c>
      <c r="CK82" s="1220">
        <f t="shared" si="52"/>
        <v>-307644.40386904776</v>
      </c>
      <c r="CL82" s="1220">
        <f t="shared" si="52"/>
        <v>-307644.40386904776</v>
      </c>
      <c r="CM82" s="1220">
        <f t="shared" si="52"/>
        <v>-307644.40386904776</v>
      </c>
      <c r="CN82" s="1220">
        <f t="shared" si="52"/>
        <v>-307644.40386904776</v>
      </c>
      <c r="CO82" s="1220">
        <f t="shared" si="52"/>
        <v>-307644.40386904776</v>
      </c>
      <c r="CP82" s="1220">
        <f t="shared" si="52"/>
        <v>-307644.40386904776</v>
      </c>
      <c r="CQ82" s="1220">
        <f t="shared" si="52"/>
        <v>-307644.40386904776</v>
      </c>
      <c r="CR82" s="1220">
        <f t="shared" si="52"/>
        <v>-307644.40386904776</v>
      </c>
      <c r="CS82" s="1220">
        <f t="shared" si="52"/>
        <v>-307644.40386904776</v>
      </c>
      <c r="CT82" s="1220">
        <f t="shared" si="52"/>
        <v>-307644.40386904776</v>
      </c>
      <c r="CU82" s="1220">
        <f t="shared" si="52"/>
        <v>-307644.40386904776</v>
      </c>
      <c r="CV82" s="1220">
        <f t="shared" si="52"/>
        <v>-307644.40386904776</v>
      </c>
      <c r="CW82" s="1220">
        <f t="shared" si="52"/>
        <v>-307644.40386904776</v>
      </c>
      <c r="CX82" s="1220">
        <f t="shared" si="52"/>
        <v>-307644.40386904776</v>
      </c>
      <c r="CY82" s="1220">
        <f t="shared" si="52"/>
        <v>-307644.40386904776</v>
      </c>
      <c r="CZ82" s="1220">
        <f t="shared" si="52"/>
        <v>-307644.40386904776</v>
      </c>
      <c r="DA82" s="1220">
        <f t="shared" si="52"/>
        <v>-307644.40386904776</v>
      </c>
      <c r="DB82" s="1220">
        <f t="shared" si="52"/>
        <v>-307644.40386904776</v>
      </c>
      <c r="DC82" s="1220">
        <f t="shared" si="52"/>
        <v>-307644.40386904776</v>
      </c>
      <c r="DD82" s="1220">
        <f t="shared" si="52"/>
        <v>-307644.40386904776</v>
      </c>
      <c r="DE82" s="1220">
        <f t="shared" si="52"/>
        <v>-307644.40386904776</v>
      </c>
      <c r="DF82" s="101"/>
      <c r="DG82" s="101"/>
      <c r="DH82" s="101"/>
      <c r="DI82" s="101"/>
      <c r="DJ82" s="101"/>
      <c r="DK82" s="101"/>
      <c r="DL82" s="101"/>
      <c r="DM82" s="101"/>
    </row>
    <row r="83" spans="1:124" x14ac:dyDescent="0.3">
      <c r="H83" s="1215"/>
      <c r="L83" s="1220"/>
      <c r="M83" s="1220"/>
      <c r="N83" s="1220"/>
      <c r="O83" s="1220"/>
      <c r="P83" s="1220"/>
      <c r="Q83" s="1220"/>
      <c r="R83" s="1220"/>
      <c r="S83" s="1220"/>
      <c r="T83" s="1220"/>
      <c r="U83" s="1220"/>
      <c r="V83" s="1220"/>
      <c r="W83" s="1220"/>
      <c r="X83" s="1220"/>
      <c r="Y83" s="1220"/>
      <c r="Z83" s="1220"/>
      <c r="AA83" s="1220"/>
      <c r="AB83" s="1220"/>
      <c r="AC83" s="1220"/>
      <c r="AD83" s="1220"/>
      <c r="AE83" s="1220"/>
      <c r="AF83" s="1220"/>
      <c r="AG83" s="1220"/>
      <c r="AH83" s="1220"/>
      <c r="AI83" s="1220">
        <f>-$H83/84</f>
        <v>0</v>
      </c>
      <c r="AJ83" s="1220"/>
      <c r="AK83" s="1220"/>
      <c r="AL83" s="1220"/>
      <c r="AM83" s="1220"/>
      <c r="AN83" s="1220"/>
      <c r="AO83" s="1220"/>
      <c r="AP83" s="1220"/>
      <c r="AQ83" s="1220"/>
      <c r="AR83" s="1220"/>
      <c r="AS83" s="1220"/>
      <c r="AT83" s="1220"/>
      <c r="AU83" s="1220"/>
      <c r="AV83" s="1220"/>
      <c r="AW83" s="1220"/>
      <c r="AX83" s="1220"/>
      <c r="AY83" s="1220"/>
      <c r="AZ83" s="1220"/>
      <c r="BA83" s="1220"/>
      <c r="BB83" s="1220"/>
      <c r="BC83" s="1220"/>
      <c r="BD83" s="1220"/>
      <c r="BE83" s="1220"/>
      <c r="BF83" s="1220"/>
      <c r="BG83" s="1220"/>
      <c r="BH83" s="1220"/>
      <c r="BI83" s="1220"/>
      <c r="BJ83" s="1220"/>
      <c r="BK83" s="1220"/>
      <c r="BL83" s="1220"/>
      <c r="BM83" s="1220"/>
      <c r="BN83" s="1220"/>
      <c r="BO83" s="1220"/>
      <c r="BP83" s="1220"/>
      <c r="BQ83" s="1220"/>
      <c r="BR83" s="1220"/>
      <c r="BS83" s="1220"/>
      <c r="BT83" s="1220"/>
      <c r="BU83" s="1220"/>
      <c r="BV83" s="1220"/>
      <c r="BW83" s="1220"/>
      <c r="BX83" s="1220"/>
      <c r="BY83" s="1220"/>
      <c r="BZ83" s="1220"/>
      <c r="CA83" s="1220"/>
      <c r="CB83" s="1220"/>
      <c r="CC83" s="1220"/>
      <c r="CD83" s="1220"/>
      <c r="CE83" s="1220"/>
      <c r="CF83" s="1220"/>
      <c r="CG83" s="1220"/>
      <c r="CH83" s="1220"/>
      <c r="CI83" s="1220"/>
      <c r="CJ83" s="1220"/>
      <c r="CK83" s="1220"/>
      <c r="CL83" s="1220"/>
      <c r="CM83" s="1220"/>
      <c r="CN83" s="1220"/>
      <c r="CO83" s="1220"/>
      <c r="CP83" s="1220"/>
      <c r="CQ83" s="1220"/>
      <c r="CR83" s="1220"/>
      <c r="CS83" s="1220"/>
      <c r="CT83" s="1220"/>
      <c r="CU83" s="1220"/>
      <c r="CV83" s="1220"/>
      <c r="CW83" s="1220"/>
      <c r="CX83" s="1220"/>
      <c r="CY83" s="1220"/>
      <c r="CZ83" s="1220"/>
      <c r="DA83" s="1220"/>
      <c r="DB83" s="1220"/>
      <c r="DC83" s="1220"/>
      <c r="DD83" s="1220"/>
      <c r="DE83" s="1220"/>
    </row>
    <row r="84" spans="1:124" x14ac:dyDescent="0.3">
      <c r="A84" s="1214" t="s">
        <v>2171</v>
      </c>
      <c r="H84" s="1215">
        <f>26006428.75-164298.824999988</f>
        <v>25842129.925000012</v>
      </c>
      <c r="L84" s="1220"/>
      <c r="M84" s="1220"/>
      <c r="N84" s="1220"/>
      <c r="O84" s="1220"/>
      <c r="P84" s="1220"/>
      <c r="Q84" s="1220"/>
      <c r="R84" s="1220"/>
      <c r="S84" s="1220"/>
      <c r="T84" s="1220"/>
      <c r="U84" s="1220"/>
      <c r="V84" s="1220"/>
      <c r="W84" s="1220"/>
      <c r="X84" s="1220"/>
      <c r="Y84" s="1220"/>
      <c r="Z84" s="1220"/>
      <c r="AA84" s="1220"/>
      <c r="AB84" s="1220"/>
      <c r="AC84" s="1220"/>
      <c r="AD84" s="1220"/>
      <c r="AE84" s="1220"/>
      <c r="AF84" s="1220"/>
      <c r="AG84" s="1220"/>
      <c r="AH84" s="1220"/>
      <c r="AI84" s="1220">
        <f>-$H84/84</f>
        <v>-307644.40386904776</v>
      </c>
      <c r="AJ84" s="1220">
        <f t="shared" ref="AJ84:AX84" si="53">-$H84/84</f>
        <v>-307644.40386904776</v>
      </c>
      <c r="AK84" s="1220">
        <f t="shared" si="53"/>
        <v>-307644.40386904776</v>
      </c>
      <c r="AL84" s="1220">
        <f t="shared" si="53"/>
        <v>-307644.40386904776</v>
      </c>
      <c r="AM84" s="1220">
        <f t="shared" si="53"/>
        <v>-307644.40386904776</v>
      </c>
      <c r="AN84" s="1220">
        <f t="shared" si="53"/>
        <v>-307644.40386904776</v>
      </c>
      <c r="AO84" s="1220">
        <f t="shared" si="53"/>
        <v>-307644.40386904776</v>
      </c>
      <c r="AP84" s="1220">
        <f t="shared" si="53"/>
        <v>-307644.40386904776</v>
      </c>
      <c r="AQ84" s="1220">
        <f t="shared" si="53"/>
        <v>-307644.40386904776</v>
      </c>
      <c r="AR84" s="1220">
        <f t="shared" si="53"/>
        <v>-307644.40386904776</v>
      </c>
      <c r="AS84" s="1220">
        <f t="shared" si="53"/>
        <v>-307644.40386904776</v>
      </c>
      <c r="AT84" s="1220">
        <f t="shared" si="53"/>
        <v>-307644.40386904776</v>
      </c>
      <c r="AU84" s="1220">
        <f t="shared" si="53"/>
        <v>-307644.40386904776</v>
      </c>
      <c r="AV84" s="1220">
        <f t="shared" si="53"/>
        <v>-307644.40386904776</v>
      </c>
      <c r="AW84" s="1220">
        <f t="shared" si="53"/>
        <v>-307644.40386904776</v>
      </c>
      <c r="AX84" s="1220">
        <f t="shared" si="53"/>
        <v>-307644.40386904776</v>
      </c>
      <c r="AY84" s="1220">
        <f t="shared" ref="AY84:DE84" si="54">-$H84/84</f>
        <v>-307644.40386904776</v>
      </c>
      <c r="AZ84" s="1220">
        <f t="shared" si="54"/>
        <v>-307644.40386904776</v>
      </c>
      <c r="BA84" s="1220">
        <f t="shared" si="54"/>
        <v>-307644.40386904776</v>
      </c>
      <c r="BB84" s="1220">
        <f t="shared" si="54"/>
        <v>-307644.40386904776</v>
      </c>
      <c r="BC84" s="1220">
        <f t="shared" si="54"/>
        <v>-307644.40386904776</v>
      </c>
      <c r="BD84" s="1220">
        <f t="shared" si="54"/>
        <v>-307644.40386904776</v>
      </c>
      <c r="BE84" s="1220">
        <f t="shared" si="54"/>
        <v>-307644.40386904776</v>
      </c>
      <c r="BF84" s="1220">
        <f t="shared" si="54"/>
        <v>-307644.40386904776</v>
      </c>
      <c r="BG84" s="1220">
        <f t="shared" si="54"/>
        <v>-307644.40386904776</v>
      </c>
      <c r="BH84" s="1220">
        <f t="shared" si="54"/>
        <v>-307644.40386904776</v>
      </c>
      <c r="BI84" s="1220">
        <f t="shared" si="54"/>
        <v>-307644.40386904776</v>
      </c>
      <c r="BJ84" s="1220">
        <f t="shared" si="54"/>
        <v>-307644.40386904776</v>
      </c>
      <c r="BK84" s="1220">
        <f t="shared" si="54"/>
        <v>-307644.40386904776</v>
      </c>
      <c r="BL84" s="1220">
        <f t="shared" si="54"/>
        <v>-307644.40386904776</v>
      </c>
      <c r="BM84" s="1220">
        <f t="shared" si="54"/>
        <v>-307644.40386904776</v>
      </c>
      <c r="BN84" s="1220">
        <f t="shared" si="54"/>
        <v>-307644.40386904776</v>
      </c>
      <c r="BO84" s="1220">
        <f t="shared" si="54"/>
        <v>-307644.40386904776</v>
      </c>
      <c r="BP84" s="1220">
        <f t="shared" si="54"/>
        <v>-307644.40386904776</v>
      </c>
      <c r="BQ84" s="1220">
        <f t="shared" si="54"/>
        <v>-307644.40386904776</v>
      </c>
      <c r="BR84" s="1220">
        <f t="shared" si="54"/>
        <v>-307644.40386904776</v>
      </c>
      <c r="BS84" s="1220">
        <f t="shared" si="54"/>
        <v>-307644.40386904776</v>
      </c>
      <c r="BT84" s="1220">
        <f t="shared" si="54"/>
        <v>-307644.40386904776</v>
      </c>
      <c r="BU84" s="1220">
        <f t="shared" si="54"/>
        <v>-307644.40386904776</v>
      </c>
      <c r="BV84" s="1220">
        <f t="shared" si="54"/>
        <v>-307644.40386904776</v>
      </c>
      <c r="BW84" s="1220">
        <f t="shared" si="54"/>
        <v>-307644.40386904776</v>
      </c>
      <c r="BX84" s="1220">
        <f t="shared" si="54"/>
        <v>-307644.40386904776</v>
      </c>
      <c r="BY84" s="1220">
        <f t="shared" si="54"/>
        <v>-307644.40386904776</v>
      </c>
      <c r="BZ84" s="1220">
        <f t="shared" si="54"/>
        <v>-307644.40386904776</v>
      </c>
      <c r="CA84" s="1220">
        <f t="shared" si="54"/>
        <v>-307644.40386904776</v>
      </c>
      <c r="CB84" s="1220">
        <f t="shared" si="54"/>
        <v>-307644.40386904776</v>
      </c>
      <c r="CC84" s="1220">
        <f t="shared" si="54"/>
        <v>-307644.40386904776</v>
      </c>
      <c r="CD84" s="1220">
        <f t="shared" si="54"/>
        <v>-307644.40386904776</v>
      </c>
      <c r="CE84" s="1220">
        <f t="shared" si="54"/>
        <v>-307644.40386904776</v>
      </c>
      <c r="CF84" s="1220">
        <f t="shared" si="54"/>
        <v>-307644.40386904776</v>
      </c>
      <c r="CG84" s="1220">
        <f t="shared" si="54"/>
        <v>-307644.40386904776</v>
      </c>
      <c r="CH84" s="1220">
        <f t="shared" si="54"/>
        <v>-307644.40386904776</v>
      </c>
      <c r="CI84" s="1220">
        <f t="shared" si="54"/>
        <v>-307644.40386904776</v>
      </c>
      <c r="CJ84" s="1220">
        <f t="shared" si="54"/>
        <v>-307644.40386904776</v>
      </c>
      <c r="CK84" s="1220">
        <f t="shared" si="54"/>
        <v>-307644.40386904776</v>
      </c>
      <c r="CL84" s="1220">
        <f t="shared" si="54"/>
        <v>-307644.40386904776</v>
      </c>
      <c r="CM84" s="1220">
        <f t="shared" si="54"/>
        <v>-307644.40386904776</v>
      </c>
      <c r="CN84" s="1220">
        <f t="shared" si="54"/>
        <v>-307644.40386904776</v>
      </c>
      <c r="CO84" s="1220">
        <f t="shared" si="54"/>
        <v>-307644.40386904776</v>
      </c>
      <c r="CP84" s="1220">
        <f t="shared" si="54"/>
        <v>-307644.40386904776</v>
      </c>
      <c r="CQ84" s="1220">
        <f t="shared" si="54"/>
        <v>-307644.40386904776</v>
      </c>
      <c r="CR84" s="1220">
        <f t="shared" si="54"/>
        <v>-307644.40386904776</v>
      </c>
      <c r="CS84" s="1220">
        <f t="shared" si="54"/>
        <v>-307644.40386904776</v>
      </c>
      <c r="CT84" s="1220">
        <f t="shared" si="54"/>
        <v>-307644.40386904776</v>
      </c>
      <c r="CU84" s="1220">
        <f t="shared" si="54"/>
        <v>-307644.40386904776</v>
      </c>
      <c r="CV84" s="1220">
        <f t="shared" si="54"/>
        <v>-307644.40386904776</v>
      </c>
      <c r="CW84" s="1220">
        <f t="shared" si="54"/>
        <v>-307644.40386904776</v>
      </c>
      <c r="CX84" s="1220">
        <f t="shared" si="54"/>
        <v>-307644.40386904776</v>
      </c>
      <c r="CY84" s="1220">
        <f t="shared" si="54"/>
        <v>-307644.40386904776</v>
      </c>
      <c r="CZ84" s="1220">
        <f t="shared" si="54"/>
        <v>-307644.40386904776</v>
      </c>
      <c r="DA84" s="1220">
        <f t="shared" si="54"/>
        <v>-307644.40386904776</v>
      </c>
      <c r="DB84" s="1220">
        <f t="shared" si="54"/>
        <v>-307644.40386904776</v>
      </c>
      <c r="DC84" s="1220">
        <f t="shared" si="54"/>
        <v>-307644.40386904776</v>
      </c>
      <c r="DD84" s="1220">
        <f t="shared" si="54"/>
        <v>-307644.40386904776</v>
      </c>
      <c r="DE84" s="1220">
        <f t="shared" si="54"/>
        <v>-307644.40386904776</v>
      </c>
      <c r="DF84" s="101"/>
      <c r="DG84" s="101"/>
      <c r="DH84" s="101"/>
      <c r="DI84" s="101"/>
      <c r="DJ84" s="101"/>
      <c r="DK84" s="101"/>
      <c r="DL84" s="101"/>
      <c r="DM84" s="101"/>
      <c r="DN84" s="101"/>
    </row>
    <row r="85" spans="1:124" x14ac:dyDescent="0.3">
      <c r="H85" s="1221"/>
      <c r="L85" s="1220"/>
      <c r="M85" s="1220"/>
      <c r="N85" s="1220"/>
      <c r="O85" s="1220"/>
      <c r="P85" s="1220"/>
      <c r="Q85" s="1220"/>
      <c r="R85" s="1220"/>
      <c r="S85" s="1220"/>
      <c r="T85" s="1220"/>
      <c r="U85" s="1220"/>
      <c r="V85" s="1220"/>
      <c r="W85" s="1220"/>
      <c r="X85" s="1220"/>
      <c r="Y85" s="1220"/>
      <c r="Z85" s="1220"/>
      <c r="AA85" s="1220"/>
      <c r="AB85" s="1220"/>
      <c r="AC85" s="1220"/>
      <c r="AD85" s="1220"/>
      <c r="AE85" s="1220"/>
      <c r="AF85" s="1220"/>
      <c r="AG85" s="1220"/>
      <c r="AH85" s="1220"/>
      <c r="AI85" s="1220"/>
      <c r="AJ85" s="1220">
        <f>-$H85/84</f>
        <v>0</v>
      </c>
      <c r="AK85" s="1220"/>
      <c r="AL85" s="1220"/>
      <c r="AM85" s="1220"/>
      <c r="AN85" s="1220"/>
      <c r="AO85" s="1220"/>
      <c r="AP85" s="1220"/>
      <c r="AQ85" s="1220"/>
      <c r="AR85" s="1220"/>
      <c r="AS85" s="1220"/>
      <c r="AT85" s="1220"/>
      <c r="AU85" s="1220"/>
      <c r="AV85" s="1220"/>
      <c r="AW85" s="1220"/>
      <c r="AX85" s="1220"/>
      <c r="AY85" s="1220"/>
      <c r="AZ85" s="1220"/>
      <c r="BA85" s="1220"/>
      <c r="BB85" s="1220"/>
      <c r="BC85" s="1220"/>
      <c r="BD85" s="1220"/>
      <c r="BE85" s="1220"/>
      <c r="BF85" s="1220"/>
      <c r="BG85" s="1220"/>
      <c r="BH85" s="1220"/>
      <c r="BI85" s="1220"/>
      <c r="BJ85" s="1220"/>
      <c r="BK85" s="1220"/>
      <c r="BL85" s="1220"/>
      <c r="BM85" s="1220"/>
      <c r="BN85" s="1220"/>
      <c r="BO85" s="1220"/>
      <c r="BP85" s="1220"/>
      <c r="BQ85" s="1220"/>
      <c r="BR85" s="1220"/>
      <c r="BS85" s="1220"/>
      <c r="BT85" s="1220"/>
      <c r="BU85" s="1220"/>
      <c r="BV85" s="1220"/>
      <c r="BW85" s="1220"/>
      <c r="BX85" s="1220"/>
      <c r="BY85" s="1220"/>
      <c r="BZ85" s="1220"/>
      <c r="CA85" s="1220"/>
      <c r="CB85" s="1220"/>
      <c r="CC85" s="1220"/>
      <c r="CD85" s="1220"/>
      <c r="CE85" s="1220"/>
      <c r="CF85" s="1220"/>
      <c r="CG85" s="1220"/>
      <c r="CH85" s="1220"/>
      <c r="CI85" s="1220"/>
      <c r="CJ85" s="1220"/>
      <c r="CK85" s="1220"/>
      <c r="CL85" s="1220"/>
      <c r="CM85" s="1220"/>
      <c r="CN85" s="1220"/>
      <c r="CO85" s="1220"/>
      <c r="CP85" s="1220"/>
      <c r="CQ85" s="1220"/>
      <c r="CR85" s="1220"/>
      <c r="CS85" s="1220"/>
      <c r="CT85" s="1220"/>
      <c r="CU85" s="1220"/>
      <c r="CV85" s="1220"/>
      <c r="CW85" s="1220"/>
      <c r="CX85" s="1220"/>
      <c r="CY85" s="1220"/>
      <c r="CZ85" s="1220"/>
      <c r="DA85" s="1220"/>
      <c r="DB85" s="1220"/>
      <c r="DC85" s="1220"/>
      <c r="DD85" s="1220"/>
      <c r="DE85" s="1220"/>
    </row>
    <row r="86" spans="1:124" x14ac:dyDescent="0.3">
      <c r="A86" s="1214" t="s">
        <v>2172</v>
      </c>
      <c r="H86" s="1215">
        <f>26006428.75-164298.824999988</f>
        <v>25842129.925000012</v>
      </c>
      <c r="L86" s="1220"/>
      <c r="M86" s="1220"/>
      <c r="N86" s="1220"/>
      <c r="O86" s="1220"/>
      <c r="P86" s="1220"/>
      <c r="Q86" s="1220"/>
      <c r="R86" s="1220"/>
      <c r="S86" s="1220"/>
      <c r="T86" s="1220"/>
      <c r="U86" s="1220"/>
      <c r="V86" s="1220"/>
      <c r="W86" s="1220"/>
      <c r="X86" s="1220"/>
      <c r="Y86" s="1220"/>
      <c r="Z86" s="1220"/>
      <c r="AA86" s="1220"/>
      <c r="AB86" s="1220"/>
      <c r="AC86" s="1220"/>
      <c r="AD86" s="1220"/>
      <c r="AE86" s="1220"/>
      <c r="AF86" s="1220"/>
      <c r="AG86" s="1220"/>
      <c r="AH86" s="1220"/>
      <c r="AI86" s="1220"/>
      <c r="AJ86" s="1220">
        <f>-$H86/84</f>
        <v>-307644.40386904776</v>
      </c>
      <c r="AK86" s="1220">
        <f t="shared" ref="AK86:AX86" si="55">-$H86/84</f>
        <v>-307644.40386904776</v>
      </c>
      <c r="AL86" s="1220">
        <f t="shared" si="55"/>
        <v>-307644.40386904776</v>
      </c>
      <c r="AM86" s="1220">
        <f t="shared" si="55"/>
        <v>-307644.40386904776</v>
      </c>
      <c r="AN86" s="1220">
        <f t="shared" si="55"/>
        <v>-307644.40386904776</v>
      </c>
      <c r="AO86" s="1220">
        <f t="shared" si="55"/>
        <v>-307644.40386904776</v>
      </c>
      <c r="AP86" s="1220">
        <f t="shared" si="55"/>
        <v>-307644.40386904776</v>
      </c>
      <c r="AQ86" s="1220">
        <f t="shared" si="55"/>
        <v>-307644.40386904776</v>
      </c>
      <c r="AR86" s="1220">
        <f t="shared" si="55"/>
        <v>-307644.40386904776</v>
      </c>
      <c r="AS86" s="1220">
        <f t="shared" si="55"/>
        <v>-307644.40386904776</v>
      </c>
      <c r="AT86" s="1220">
        <f t="shared" si="55"/>
        <v>-307644.40386904776</v>
      </c>
      <c r="AU86" s="1220">
        <f t="shared" si="55"/>
        <v>-307644.40386904776</v>
      </c>
      <c r="AV86" s="1220">
        <f t="shared" si="55"/>
        <v>-307644.40386904776</v>
      </c>
      <c r="AW86" s="1220">
        <f t="shared" si="55"/>
        <v>-307644.40386904776</v>
      </c>
      <c r="AX86" s="1220">
        <f t="shared" si="55"/>
        <v>-307644.40386904776</v>
      </c>
      <c r="AY86" s="1220">
        <f t="shared" ref="AY86:DE86" si="56">-$H86/84</f>
        <v>-307644.40386904776</v>
      </c>
      <c r="AZ86" s="1220">
        <f t="shared" si="56"/>
        <v>-307644.40386904776</v>
      </c>
      <c r="BA86" s="1220">
        <f t="shared" si="56"/>
        <v>-307644.40386904776</v>
      </c>
      <c r="BB86" s="1220">
        <f t="shared" si="56"/>
        <v>-307644.40386904776</v>
      </c>
      <c r="BC86" s="1220">
        <f t="shared" si="56"/>
        <v>-307644.40386904776</v>
      </c>
      <c r="BD86" s="1220">
        <f t="shared" si="56"/>
        <v>-307644.40386904776</v>
      </c>
      <c r="BE86" s="1220">
        <f t="shared" si="56"/>
        <v>-307644.40386904776</v>
      </c>
      <c r="BF86" s="1220">
        <f t="shared" si="56"/>
        <v>-307644.40386904776</v>
      </c>
      <c r="BG86" s="1220">
        <f t="shared" si="56"/>
        <v>-307644.40386904776</v>
      </c>
      <c r="BH86" s="1220">
        <f t="shared" si="56"/>
        <v>-307644.40386904776</v>
      </c>
      <c r="BI86" s="1220">
        <f t="shared" si="56"/>
        <v>-307644.40386904776</v>
      </c>
      <c r="BJ86" s="1220">
        <f t="shared" si="56"/>
        <v>-307644.40386904776</v>
      </c>
      <c r="BK86" s="1220">
        <f t="shared" si="56"/>
        <v>-307644.40386904776</v>
      </c>
      <c r="BL86" s="1220">
        <f t="shared" si="56"/>
        <v>-307644.40386904776</v>
      </c>
      <c r="BM86" s="1220">
        <f t="shared" si="56"/>
        <v>-307644.40386904776</v>
      </c>
      <c r="BN86" s="1220">
        <f t="shared" si="56"/>
        <v>-307644.40386904776</v>
      </c>
      <c r="BO86" s="1220">
        <f t="shared" si="56"/>
        <v>-307644.40386904776</v>
      </c>
      <c r="BP86" s="1220">
        <f t="shared" si="56"/>
        <v>-307644.40386904776</v>
      </c>
      <c r="BQ86" s="1220">
        <f t="shared" si="56"/>
        <v>-307644.40386904776</v>
      </c>
      <c r="BR86" s="1220">
        <f t="shared" si="56"/>
        <v>-307644.40386904776</v>
      </c>
      <c r="BS86" s="1220">
        <f t="shared" si="56"/>
        <v>-307644.40386904776</v>
      </c>
      <c r="BT86" s="1220">
        <f t="shared" si="56"/>
        <v>-307644.40386904776</v>
      </c>
      <c r="BU86" s="1220">
        <f t="shared" si="56"/>
        <v>-307644.40386904776</v>
      </c>
      <c r="BV86" s="1220">
        <f t="shared" si="56"/>
        <v>-307644.40386904776</v>
      </c>
      <c r="BW86" s="1220">
        <f t="shared" si="56"/>
        <v>-307644.40386904776</v>
      </c>
      <c r="BX86" s="1220">
        <f t="shared" si="56"/>
        <v>-307644.40386904776</v>
      </c>
      <c r="BY86" s="1220">
        <f t="shared" si="56"/>
        <v>-307644.40386904776</v>
      </c>
      <c r="BZ86" s="1220">
        <f t="shared" si="56"/>
        <v>-307644.40386904776</v>
      </c>
      <c r="CA86" s="1220">
        <f t="shared" si="56"/>
        <v>-307644.40386904776</v>
      </c>
      <c r="CB86" s="1220">
        <f t="shared" si="56"/>
        <v>-307644.40386904776</v>
      </c>
      <c r="CC86" s="1220">
        <f t="shared" si="56"/>
        <v>-307644.40386904776</v>
      </c>
      <c r="CD86" s="1220">
        <f t="shared" si="56"/>
        <v>-307644.40386904776</v>
      </c>
      <c r="CE86" s="1220">
        <f t="shared" si="56"/>
        <v>-307644.40386904776</v>
      </c>
      <c r="CF86" s="1220">
        <f t="shared" si="56"/>
        <v>-307644.40386904776</v>
      </c>
      <c r="CG86" s="1220">
        <f t="shared" si="56"/>
        <v>-307644.40386904776</v>
      </c>
      <c r="CH86" s="1220">
        <f t="shared" si="56"/>
        <v>-307644.40386904776</v>
      </c>
      <c r="CI86" s="1220">
        <f t="shared" si="56"/>
        <v>-307644.40386904776</v>
      </c>
      <c r="CJ86" s="1220">
        <f t="shared" si="56"/>
        <v>-307644.40386904776</v>
      </c>
      <c r="CK86" s="1220">
        <f t="shared" si="56"/>
        <v>-307644.40386904776</v>
      </c>
      <c r="CL86" s="1220">
        <f t="shared" si="56"/>
        <v>-307644.40386904776</v>
      </c>
      <c r="CM86" s="1220">
        <f t="shared" si="56"/>
        <v>-307644.40386904776</v>
      </c>
      <c r="CN86" s="1220">
        <f t="shared" si="56"/>
        <v>-307644.40386904776</v>
      </c>
      <c r="CO86" s="1220">
        <f t="shared" si="56"/>
        <v>-307644.40386904776</v>
      </c>
      <c r="CP86" s="1220">
        <f t="shared" si="56"/>
        <v>-307644.40386904776</v>
      </c>
      <c r="CQ86" s="1220">
        <f t="shared" si="56"/>
        <v>-307644.40386904776</v>
      </c>
      <c r="CR86" s="1220">
        <f t="shared" si="56"/>
        <v>-307644.40386904776</v>
      </c>
      <c r="CS86" s="1220">
        <f t="shared" si="56"/>
        <v>-307644.40386904776</v>
      </c>
      <c r="CT86" s="1220">
        <f t="shared" si="56"/>
        <v>-307644.40386904776</v>
      </c>
      <c r="CU86" s="1220">
        <f t="shared" si="56"/>
        <v>-307644.40386904776</v>
      </c>
      <c r="CV86" s="1220">
        <f t="shared" si="56"/>
        <v>-307644.40386904776</v>
      </c>
      <c r="CW86" s="1220">
        <f t="shared" si="56"/>
        <v>-307644.40386904776</v>
      </c>
      <c r="CX86" s="1220">
        <f t="shared" si="56"/>
        <v>-307644.40386904776</v>
      </c>
      <c r="CY86" s="1220">
        <f t="shared" si="56"/>
        <v>-307644.40386904776</v>
      </c>
      <c r="CZ86" s="1220">
        <f t="shared" si="56"/>
        <v>-307644.40386904776</v>
      </c>
      <c r="DA86" s="1220">
        <f t="shared" si="56"/>
        <v>-307644.40386904776</v>
      </c>
      <c r="DB86" s="1220">
        <f t="shared" si="56"/>
        <v>-307644.40386904776</v>
      </c>
      <c r="DC86" s="1220">
        <f t="shared" si="56"/>
        <v>-307644.40386904776</v>
      </c>
      <c r="DD86" s="1220">
        <f t="shared" si="56"/>
        <v>-307644.40386904776</v>
      </c>
      <c r="DE86" s="1220">
        <f t="shared" si="56"/>
        <v>-307644.40386904776</v>
      </c>
      <c r="DF86" s="101"/>
      <c r="DG86" s="101"/>
      <c r="DH86" s="101"/>
      <c r="DI86" s="101"/>
      <c r="DJ86" s="101"/>
      <c r="DK86" s="101"/>
      <c r="DL86" s="101"/>
      <c r="DM86" s="101"/>
      <c r="DN86" s="101"/>
      <c r="DO86" s="101"/>
    </row>
    <row r="87" spans="1:124" x14ac:dyDescent="0.3">
      <c r="H87" s="1221"/>
      <c r="L87" s="1220"/>
      <c r="M87" s="1220"/>
      <c r="N87" s="1220"/>
      <c r="O87" s="1220"/>
      <c r="P87" s="1220"/>
      <c r="Q87" s="1220"/>
      <c r="R87" s="1220"/>
      <c r="S87" s="1220"/>
      <c r="T87" s="1220"/>
      <c r="U87" s="1220"/>
      <c r="V87" s="1220"/>
      <c r="W87" s="1220"/>
      <c r="X87" s="1220"/>
      <c r="Y87" s="1220"/>
      <c r="Z87" s="1220"/>
      <c r="AA87" s="1220"/>
      <c r="AB87" s="1220"/>
      <c r="AC87" s="1220"/>
      <c r="AD87" s="1220"/>
      <c r="AE87" s="1220"/>
      <c r="AF87" s="1220"/>
      <c r="AG87" s="1220"/>
      <c r="AH87" s="1220"/>
      <c r="AI87" s="1220"/>
      <c r="AJ87" s="1220"/>
      <c r="AK87" s="1220">
        <f>-$H87/84</f>
        <v>0</v>
      </c>
      <c r="AL87" s="1220"/>
      <c r="AM87" s="1220"/>
      <c r="AN87" s="1220"/>
      <c r="AO87" s="1220"/>
      <c r="AP87" s="1220"/>
      <c r="AQ87" s="1220"/>
      <c r="AR87" s="1220"/>
      <c r="AS87" s="1220"/>
      <c r="AT87" s="1220"/>
      <c r="AU87" s="1220"/>
      <c r="AV87" s="1220"/>
      <c r="AW87" s="1220"/>
      <c r="AX87" s="1220"/>
      <c r="AY87" s="1220"/>
      <c r="AZ87" s="1220"/>
      <c r="BA87" s="1220"/>
      <c r="BB87" s="1220"/>
      <c r="BC87" s="1220"/>
      <c r="BD87" s="1220"/>
      <c r="BE87" s="1220"/>
      <c r="BF87" s="1220"/>
      <c r="BG87" s="1220"/>
      <c r="BH87" s="1220"/>
      <c r="BI87" s="1220"/>
      <c r="BJ87" s="1220"/>
      <c r="BK87" s="1220"/>
      <c r="BL87" s="1220"/>
      <c r="BM87" s="1220"/>
      <c r="BN87" s="1220"/>
      <c r="BO87" s="1220"/>
      <c r="BP87" s="1220"/>
      <c r="BQ87" s="1220"/>
      <c r="BR87" s="1220"/>
      <c r="BS87" s="1220"/>
      <c r="BT87" s="1220"/>
      <c r="BU87" s="1220"/>
      <c r="BV87" s="1220"/>
      <c r="BW87" s="1220"/>
      <c r="BX87" s="1220"/>
      <c r="BY87" s="1220"/>
      <c r="BZ87" s="1220"/>
      <c r="CA87" s="1220"/>
      <c r="CB87" s="1220"/>
      <c r="CC87" s="1220"/>
      <c r="CD87" s="1220"/>
      <c r="CE87" s="1220"/>
      <c r="CF87" s="1220"/>
      <c r="CG87" s="1220"/>
      <c r="CH87" s="1220"/>
      <c r="CI87" s="1220"/>
      <c r="CJ87" s="1220"/>
      <c r="CK87" s="1220"/>
      <c r="CL87" s="1220"/>
      <c r="CM87" s="1220"/>
      <c r="CN87" s="1220"/>
      <c r="CO87" s="1220"/>
      <c r="CP87" s="1220"/>
      <c r="CQ87" s="1220"/>
      <c r="CR87" s="1220"/>
      <c r="CS87" s="1220"/>
      <c r="CT87" s="1220"/>
      <c r="CU87" s="1220"/>
      <c r="CV87" s="1220"/>
      <c r="CW87" s="1220"/>
      <c r="CX87" s="1220"/>
      <c r="CY87" s="1220"/>
      <c r="CZ87" s="1220"/>
      <c r="DA87" s="1220"/>
      <c r="DB87" s="1220"/>
      <c r="DC87" s="1220"/>
      <c r="DD87" s="1220"/>
      <c r="DE87" s="1220"/>
    </row>
    <row r="88" spans="1:124" x14ac:dyDescent="0.3">
      <c r="A88" s="1214" t="s">
        <v>2173</v>
      </c>
      <c r="H88" s="1215">
        <f>26006428.75-164298.824999988</f>
        <v>25842129.925000012</v>
      </c>
      <c r="L88" s="1220"/>
      <c r="M88" s="1220"/>
      <c r="N88" s="1220"/>
      <c r="O88" s="1220"/>
      <c r="P88" s="1220"/>
      <c r="Q88" s="1220"/>
      <c r="R88" s="1220"/>
      <c r="S88" s="1220"/>
      <c r="T88" s="1220"/>
      <c r="U88" s="1220"/>
      <c r="V88" s="1220"/>
      <c r="W88" s="1220"/>
      <c r="X88" s="1220"/>
      <c r="Y88" s="1220"/>
      <c r="Z88" s="1220"/>
      <c r="AA88" s="1220"/>
      <c r="AB88" s="1220"/>
      <c r="AC88" s="1220"/>
      <c r="AD88" s="1220"/>
      <c r="AE88" s="1220"/>
      <c r="AF88" s="1220"/>
      <c r="AG88" s="1220"/>
      <c r="AH88" s="1220"/>
      <c r="AI88" s="1220"/>
      <c r="AJ88" s="1220"/>
      <c r="AK88" s="1220">
        <f>-$H88/84</f>
        <v>-307644.40386904776</v>
      </c>
      <c r="AL88" s="1220">
        <f t="shared" ref="AL88:AX88" si="57">-$H88/84</f>
        <v>-307644.40386904776</v>
      </c>
      <c r="AM88" s="1220">
        <f t="shared" si="57"/>
        <v>-307644.40386904776</v>
      </c>
      <c r="AN88" s="1220">
        <f t="shared" si="57"/>
        <v>-307644.40386904776</v>
      </c>
      <c r="AO88" s="1220">
        <f t="shared" si="57"/>
        <v>-307644.40386904776</v>
      </c>
      <c r="AP88" s="1220">
        <f t="shared" si="57"/>
        <v>-307644.40386904776</v>
      </c>
      <c r="AQ88" s="1220">
        <f t="shared" si="57"/>
        <v>-307644.40386904776</v>
      </c>
      <c r="AR88" s="1220">
        <f t="shared" si="57"/>
        <v>-307644.40386904776</v>
      </c>
      <c r="AS88" s="1220">
        <f t="shared" si="57"/>
        <v>-307644.40386904776</v>
      </c>
      <c r="AT88" s="1220">
        <f t="shared" si="57"/>
        <v>-307644.40386904776</v>
      </c>
      <c r="AU88" s="1220">
        <f t="shared" si="57"/>
        <v>-307644.40386904776</v>
      </c>
      <c r="AV88" s="1220">
        <f t="shared" si="57"/>
        <v>-307644.40386904776</v>
      </c>
      <c r="AW88" s="1220">
        <f t="shared" si="57"/>
        <v>-307644.40386904776</v>
      </c>
      <c r="AX88" s="1220">
        <f t="shared" si="57"/>
        <v>-307644.40386904776</v>
      </c>
      <c r="AY88" s="1220">
        <f t="shared" ref="AY88:DE88" si="58">-$H88/84</f>
        <v>-307644.40386904776</v>
      </c>
      <c r="AZ88" s="1220">
        <f t="shared" si="58"/>
        <v>-307644.40386904776</v>
      </c>
      <c r="BA88" s="1220">
        <f t="shared" si="58"/>
        <v>-307644.40386904776</v>
      </c>
      <c r="BB88" s="1220">
        <f t="shared" si="58"/>
        <v>-307644.40386904776</v>
      </c>
      <c r="BC88" s="1220">
        <f t="shared" si="58"/>
        <v>-307644.40386904776</v>
      </c>
      <c r="BD88" s="1220">
        <f t="shared" si="58"/>
        <v>-307644.40386904776</v>
      </c>
      <c r="BE88" s="1220">
        <f t="shared" si="58"/>
        <v>-307644.40386904776</v>
      </c>
      <c r="BF88" s="1220">
        <f t="shared" si="58"/>
        <v>-307644.40386904776</v>
      </c>
      <c r="BG88" s="1220">
        <f t="shared" si="58"/>
        <v>-307644.40386904776</v>
      </c>
      <c r="BH88" s="1220">
        <f t="shared" si="58"/>
        <v>-307644.40386904776</v>
      </c>
      <c r="BI88" s="1220">
        <f t="shared" si="58"/>
        <v>-307644.40386904776</v>
      </c>
      <c r="BJ88" s="1220">
        <f t="shared" si="58"/>
        <v>-307644.40386904776</v>
      </c>
      <c r="BK88" s="1220">
        <f t="shared" si="58"/>
        <v>-307644.40386904776</v>
      </c>
      <c r="BL88" s="1220">
        <f t="shared" si="58"/>
        <v>-307644.40386904776</v>
      </c>
      <c r="BM88" s="1220">
        <f t="shared" si="58"/>
        <v>-307644.40386904776</v>
      </c>
      <c r="BN88" s="1220">
        <f t="shared" si="58"/>
        <v>-307644.40386904776</v>
      </c>
      <c r="BO88" s="1220">
        <f t="shared" si="58"/>
        <v>-307644.40386904776</v>
      </c>
      <c r="BP88" s="1220">
        <f t="shared" si="58"/>
        <v>-307644.40386904776</v>
      </c>
      <c r="BQ88" s="1220">
        <f t="shared" si="58"/>
        <v>-307644.40386904776</v>
      </c>
      <c r="BR88" s="1220">
        <f t="shared" si="58"/>
        <v>-307644.40386904776</v>
      </c>
      <c r="BS88" s="1220">
        <f t="shared" si="58"/>
        <v>-307644.40386904776</v>
      </c>
      <c r="BT88" s="1220">
        <f t="shared" si="58"/>
        <v>-307644.40386904776</v>
      </c>
      <c r="BU88" s="1220">
        <f t="shared" si="58"/>
        <v>-307644.40386904776</v>
      </c>
      <c r="BV88" s="1220">
        <f t="shared" si="58"/>
        <v>-307644.40386904776</v>
      </c>
      <c r="BW88" s="1220">
        <f t="shared" si="58"/>
        <v>-307644.40386904776</v>
      </c>
      <c r="BX88" s="1220">
        <f t="shared" si="58"/>
        <v>-307644.40386904776</v>
      </c>
      <c r="BY88" s="1220">
        <f t="shared" si="58"/>
        <v>-307644.40386904776</v>
      </c>
      <c r="BZ88" s="1220">
        <f t="shared" si="58"/>
        <v>-307644.40386904776</v>
      </c>
      <c r="CA88" s="1220">
        <f t="shared" si="58"/>
        <v>-307644.40386904776</v>
      </c>
      <c r="CB88" s="1220">
        <f t="shared" si="58"/>
        <v>-307644.40386904776</v>
      </c>
      <c r="CC88" s="1220">
        <f t="shared" si="58"/>
        <v>-307644.40386904776</v>
      </c>
      <c r="CD88" s="1220">
        <f t="shared" si="58"/>
        <v>-307644.40386904776</v>
      </c>
      <c r="CE88" s="1220">
        <f t="shared" si="58"/>
        <v>-307644.40386904776</v>
      </c>
      <c r="CF88" s="1220">
        <f t="shared" si="58"/>
        <v>-307644.40386904776</v>
      </c>
      <c r="CG88" s="1220">
        <f t="shared" si="58"/>
        <v>-307644.40386904776</v>
      </c>
      <c r="CH88" s="1220">
        <f t="shared" si="58"/>
        <v>-307644.40386904776</v>
      </c>
      <c r="CI88" s="1220">
        <f t="shared" si="58"/>
        <v>-307644.40386904776</v>
      </c>
      <c r="CJ88" s="1220">
        <f t="shared" si="58"/>
        <v>-307644.40386904776</v>
      </c>
      <c r="CK88" s="1220">
        <f t="shared" si="58"/>
        <v>-307644.40386904776</v>
      </c>
      <c r="CL88" s="1220">
        <f t="shared" si="58"/>
        <v>-307644.40386904776</v>
      </c>
      <c r="CM88" s="1220">
        <f t="shared" si="58"/>
        <v>-307644.40386904776</v>
      </c>
      <c r="CN88" s="1220">
        <f t="shared" si="58"/>
        <v>-307644.40386904776</v>
      </c>
      <c r="CO88" s="1220">
        <f t="shared" si="58"/>
        <v>-307644.40386904776</v>
      </c>
      <c r="CP88" s="1220">
        <f t="shared" si="58"/>
        <v>-307644.40386904776</v>
      </c>
      <c r="CQ88" s="1220">
        <f t="shared" si="58"/>
        <v>-307644.40386904776</v>
      </c>
      <c r="CR88" s="1220">
        <f t="shared" si="58"/>
        <v>-307644.40386904776</v>
      </c>
      <c r="CS88" s="1220">
        <f t="shared" si="58"/>
        <v>-307644.40386904776</v>
      </c>
      <c r="CT88" s="1220">
        <f t="shared" si="58"/>
        <v>-307644.40386904776</v>
      </c>
      <c r="CU88" s="1220">
        <f t="shared" si="58"/>
        <v>-307644.40386904776</v>
      </c>
      <c r="CV88" s="1220">
        <f t="shared" si="58"/>
        <v>-307644.40386904776</v>
      </c>
      <c r="CW88" s="1220">
        <f t="shared" si="58"/>
        <v>-307644.40386904776</v>
      </c>
      <c r="CX88" s="1220">
        <f t="shared" si="58"/>
        <v>-307644.40386904776</v>
      </c>
      <c r="CY88" s="1220">
        <f t="shared" si="58"/>
        <v>-307644.40386904776</v>
      </c>
      <c r="CZ88" s="1220">
        <f t="shared" si="58"/>
        <v>-307644.40386904776</v>
      </c>
      <c r="DA88" s="1220">
        <f t="shared" si="58"/>
        <v>-307644.40386904776</v>
      </c>
      <c r="DB88" s="1220">
        <f t="shared" si="58"/>
        <v>-307644.40386904776</v>
      </c>
      <c r="DC88" s="1220">
        <f t="shared" si="58"/>
        <v>-307644.40386904776</v>
      </c>
      <c r="DD88" s="1220">
        <f t="shared" si="58"/>
        <v>-307644.40386904776</v>
      </c>
      <c r="DE88" s="1220">
        <f t="shared" si="58"/>
        <v>-307644.40386904776</v>
      </c>
      <c r="DF88" s="101"/>
      <c r="DG88" s="101"/>
      <c r="DH88" s="101"/>
      <c r="DI88" s="101"/>
      <c r="DJ88" s="101"/>
      <c r="DK88" s="101"/>
      <c r="DL88" s="101"/>
      <c r="DM88" s="101"/>
      <c r="DN88" s="101"/>
      <c r="DO88" s="101"/>
      <c r="DP88" s="101"/>
    </row>
    <row r="89" spans="1:124" x14ac:dyDescent="0.3">
      <c r="H89" s="1221"/>
      <c r="L89" s="1220"/>
      <c r="M89" s="1220"/>
      <c r="N89" s="1220"/>
      <c r="O89" s="1220"/>
      <c r="P89" s="1220"/>
      <c r="Q89" s="1220"/>
      <c r="R89" s="1220"/>
      <c r="S89" s="1220"/>
      <c r="T89" s="1220"/>
      <c r="U89" s="1220"/>
      <c r="V89" s="1220"/>
      <c r="W89" s="1220"/>
      <c r="X89" s="1220"/>
      <c r="Y89" s="1220"/>
      <c r="Z89" s="1220"/>
      <c r="AA89" s="1220"/>
      <c r="AB89" s="1220"/>
      <c r="AC89" s="1220"/>
      <c r="AD89" s="1220"/>
      <c r="AE89" s="1220"/>
      <c r="AF89" s="1220"/>
      <c r="AG89" s="1220"/>
      <c r="AH89" s="1220"/>
      <c r="AI89" s="1220"/>
      <c r="AJ89" s="1220"/>
      <c r="AK89" s="1220"/>
      <c r="AL89" s="1220">
        <f>-$H89/84</f>
        <v>0</v>
      </c>
      <c r="AM89" s="1220"/>
      <c r="AN89" s="1220"/>
      <c r="AO89" s="1220"/>
      <c r="AP89" s="1220"/>
      <c r="AQ89" s="1220"/>
      <c r="AR89" s="1220"/>
      <c r="AS89" s="1220"/>
      <c r="AT89" s="1220"/>
      <c r="AU89" s="1220"/>
      <c r="AV89" s="1220"/>
      <c r="AW89" s="1220"/>
      <c r="AX89" s="1220"/>
      <c r="AY89" s="1220"/>
      <c r="AZ89" s="1220"/>
      <c r="BA89" s="1220"/>
      <c r="BB89" s="1220"/>
      <c r="BC89" s="1220"/>
      <c r="BD89" s="1220"/>
      <c r="BE89" s="1220"/>
      <c r="BF89" s="1220"/>
      <c r="BG89" s="1220"/>
      <c r="BH89" s="1220"/>
      <c r="BI89" s="1220"/>
      <c r="BJ89" s="1220"/>
      <c r="BK89" s="1220"/>
      <c r="BL89" s="1220"/>
      <c r="BM89" s="1220"/>
      <c r="BN89" s="1220"/>
      <c r="BO89" s="1220"/>
      <c r="BP89" s="1220"/>
      <c r="BQ89" s="1220"/>
      <c r="BR89" s="1220"/>
      <c r="BS89" s="1220"/>
      <c r="BT89" s="1220"/>
      <c r="BU89" s="1220"/>
      <c r="BV89" s="1220"/>
      <c r="BW89" s="1220"/>
      <c r="BX89" s="1220"/>
      <c r="BY89" s="1220"/>
      <c r="BZ89" s="1220"/>
      <c r="CA89" s="1220"/>
      <c r="CB89" s="1220"/>
      <c r="CC89" s="1220"/>
      <c r="CD89" s="1220"/>
      <c r="CE89" s="1220"/>
      <c r="CF89" s="1220"/>
      <c r="CG89" s="1220"/>
      <c r="CH89" s="1220"/>
      <c r="CI89" s="1220"/>
      <c r="CJ89" s="1220"/>
      <c r="CK89" s="1220"/>
      <c r="CL89" s="1220"/>
      <c r="CM89" s="1220"/>
      <c r="CN89" s="1220"/>
      <c r="CO89" s="1220"/>
      <c r="CP89" s="1220"/>
      <c r="CQ89" s="1220"/>
      <c r="CR89" s="1220"/>
      <c r="CS89" s="1220"/>
      <c r="CT89" s="1220"/>
      <c r="CU89" s="1220"/>
      <c r="CV89" s="1220"/>
      <c r="CW89" s="1220"/>
      <c r="CX89" s="1220"/>
      <c r="CY89" s="1220"/>
      <c r="CZ89" s="1220"/>
      <c r="DA89" s="1220"/>
      <c r="DB89" s="1220"/>
      <c r="DC89" s="1220"/>
      <c r="DD89" s="1220"/>
      <c r="DE89" s="1220"/>
    </row>
    <row r="90" spans="1:124" x14ac:dyDescent="0.3">
      <c r="A90" s="1214" t="s">
        <v>2174</v>
      </c>
      <c r="H90" s="1215">
        <f>26006428.75-164298.824999988</f>
        <v>25842129.925000012</v>
      </c>
      <c r="L90" s="1220"/>
      <c r="M90" s="1220"/>
      <c r="N90" s="1220"/>
      <c r="O90" s="1220"/>
      <c r="P90" s="1220"/>
      <c r="Q90" s="1220"/>
      <c r="R90" s="1220"/>
      <c r="S90" s="1220"/>
      <c r="T90" s="1220"/>
      <c r="U90" s="1220"/>
      <c r="V90" s="1220"/>
      <c r="W90" s="1220"/>
      <c r="X90" s="1220"/>
      <c r="Y90" s="1220"/>
      <c r="Z90" s="1220"/>
      <c r="AA90" s="1220"/>
      <c r="AB90" s="1220"/>
      <c r="AC90" s="1220"/>
      <c r="AD90" s="1220"/>
      <c r="AE90" s="1220"/>
      <c r="AF90" s="1220"/>
      <c r="AG90" s="1220"/>
      <c r="AH90" s="1220"/>
      <c r="AI90" s="1220"/>
      <c r="AJ90" s="1220"/>
      <c r="AK90" s="1220"/>
      <c r="AL90" s="1220">
        <f>-$H90/84</f>
        <v>-307644.40386904776</v>
      </c>
      <c r="AM90" s="1220">
        <f t="shared" ref="AM90:AX90" si="59">-$H90/84</f>
        <v>-307644.40386904776</v>
      </c>
      <c r="AN90" s="1220">
        <f t="shared" si="59"/>
        <v>-307644.40386904776</v>
      </c>
      <c r="AO90" s="1220">
        <f t="shared" si="59"/>
        <v>-307644.40386904776</v>
      </c>
      <c r="AP90" s="1220">
        <f t="shared" si="59"/>
        <v>-307644.40386904776</v>
      </c>
      <c r="AQ90" s="1220">
        <f t="shared" si="59"/>
        <v>-307644.40386904776</v>
      </c>
      <c r="AR90" s="1220">
        <f t="shared" si="59"/>
        <v>-307644.40386904776</v>
      </c>
      <c r="AS90" s="1220">
        <f t="shared" si="59"/>
        <v>-307644.40386904776</v>
      </c>
      <c r="AT90" s="1220">
        <f t="shared" si="59"/>
        <v>-307644.40386904776</v>
      </c>
      <c r="AU90" s="1220">
        <f t="shared" si="59"/>
        <v>-307644.40386904776</v>
      </c>
      <c r="AV90" s="1220">
        <f t="shared" si="59"/>
        <v>-307644.40386904776</v>
      </c>
      <c r="AW90" s="1220">
        <f t="shared" si="59"/>
        <v>-307644.40386904776</v>
      </c>
      <c r="AX90" s="1220">
        <f t="shared" si="59"/>
        <v>-307644.40386904776</v>
      </c>
      <c r="AY90" s="1220">
        <f t="shared" ref="AY90:DE90" si="60">-$H90/84</f>
        <v>-307644.40386904776</v>
      </c>
      <c r="AZ90" s="1220">
        <f t="shared" si="60"/>
        <v>-307644.40386904776</v>
      </c>
      <c r="BA90" s="1220">
        <f t="shared" si="60"/>
        <v>-307644.40386904776</v>
      </c>
      <c r="BB90" s="1220">
        <f t="shared" si="60"/>
        <v>-307644.40386904776</v>
      </c>
      <c r="BC90" s="1220">
        <f t="shared" si="60"/>
        <v>-307644.40386904776</v>
      </c>
      <c r="BD90" s="1220">
        <f t="shared" si="60"/>
        <v>-307644.40386904776</v>
      </c>
      <c r="BE90" s="1220">
        <f t="shared" si="60"/>
        <v>-307644.40386904776</v>
      </c>
      <c r="BF90" s="1220">
        <f t="shared" si="60"/>
        <v>-307644.40386904776</v>
      </c>
      <c r="BG90" s="1220">
        <f t="shared" si="60"/>
        <v>-307644.40386904776</v>
      </c>
      <c r="BH90" s="1220">
        <f t="shared" si="60"/>
        <v>-307644.40386904776</v>
      </c>
      <c r="BI90" s="1220">
        <f t="shared" si="60"/>
        <v>-307644.40386904776</v>
      </c>
      <c r="BJ90" s="1220">
        <f t="shared" si="60"/>
        <v>-307644.40386904776</v>
      </c>
      <c r="BK90" s="1220">
        <f t="shared" si="60"/>
        <v>-307644.40386904776</v>
      </c>
      <c r="BL90" s="1220">
        <f t="shared" si="60"/>
        <v>-307644.40386904776</v>
      </c>
      <c r="BM90" s="1220">
        <f t="shared" si="60"/>
        <v>-307644.40386904776</v>
      </c>
      <c r="BN90" s="1220">
        <f t="shared" si="60"/>
        <v>-307644.40386904776</v>
      </c>
      <c r="BO90" s="1220">
        <f t="shared" si="60"/>
        <v>-307644.40386904776</v>
      </c>
      <c r="BP90" s="1220">
        <f t="shared" si="60"/>
        <v>-307644.40386904776</v>
      </c>
      <c r="BQ90" s="1220">
        <f t="shared" si="60"/>
        <v>-307644.40386904776</v>
      </c>
      <c r="BR90" s="1220">
        <f t="shared" si="60"/>
        <v>-307644.40386904776</v>
      </c>
      <c r="BS90" s="1220">
        <f t="shared" si="60"/>
        <v>-307644.40386904776</v>
      </c>
      <c r="BT90" s="1220">
        <f t="shared" si="60"/>
        <v>-307644.40386904776</v>
      </c>
      <c r="BU90" s="1220">
        <f t="shared" si="60"/>
        <v>-307644.40386904776</v>
      </c>
      <c r="BV90" s="1220">
        <f t="shared" si="60"/>
        <v>-307644.40386904776</v>
      </c>
      <c r="BW90" s="1220">
        <f t="shared" si="60"/>
        <v>-307644.40386904776</v>
      </c>
      <c r="BX90" s="1220">
        <f t="shared" si="60"/>
        <v>-307644.40386904776</v>
      </c>
      <c r="BY90" s="1220">
        <f t="shared" si="60"/>
        <v>-307644.40386904776</v>
      </c>
      <c r="BZ90" s="1220">
        <f t="shared" si="60"/>
        <v>-307644.40386904776</v>
      </c>
      <c r="CA90" s="1220">
        <f t="shared" si="60"/>
        <v>-307644.40386904776</v>
      </c>
      <c r="CB90" s="1220">
        <f t="shared" si="60"/>
        <v>-307644.40386904776</v>
      </c>
      <c r="CC90" s="1220">
        <f t="shared" si="60"/>
        <v>-307644.40386904776</v>
      </c>
      <c r="CD90" s="1220">
        <f t="shared" si="60"/>
        <v>-307644.40386904776</v>
      </c>
      <c r="CE90" s="1220">
        <f t="shared" si="60"/>
        <v>-307644.40386904776</v>
      </c>
      <c r="CF90" s="1220">
        <f t="shared" si="60"/>
        <v>-307644.40386904776</v>
      </c>
      <c r="CG90" s="1220">
        <f t="shared" si="60"/>
        <v>-307644.40386904776</v>
      </c>
      <c r="CH90" s="1220">
        <f t="shared" si="60"/>
        <v>-307644.40386904776</v>
      </c>
      <c r="CI90" s="1220">
        <f t="shared" si="60"/>
        <v>-307644.40386904776</v>
      </c>
      <c r="CJ90" s="1220">
        <f t="shared" si="60"/>
        <v>-307644.40386904776</v>
      </c>
      <c r="CK90" s="1220">
        <f t="shared" si="60"/>
        <v>-307644.40386904776</v>
      </c>
      <c r="CL90" s="1220">
        <f t="shared" si="60"/>
        <v>-307644.40386904776</v>
      </c>
      <c r="CM90" s="1220">
        <f t="shared" si="60"/>
        <v>-307644.40386904776</v>
      </c>
      <c r="CN90" s="1220">
        <f t="shared" si="60"/>
        <v>-307644.40386904776</v>
      </c>
      <c r="CO90" s="1220">
        <f t="shared" si="60"/>
        <v>-307644.40386904776</v>
      </c>
      <c r="CP90" s="1220">
        <f t="shared" si="60"/>
        <v>-307644.40386904776</v>
      </c>
      <c r="CQ90" s="1220">
        <f t="shared" si="60"/>
        <v>-307644.40386904776</v>
      </c>
      <c r="CR90" s="1220">
        <f t="shared" si="60"/>
        <v>-307644.40386904776</v>
      </c>
      <c r="CS90" s="1220">
        <f t="shared" si="60"/>
        <v>-307644.40386904776</v>
      </c>
      <c r="CT90" s="1220">
        <f t="shared" si="60"/>
        <v>-307644.40386904776</v>
      </c>
      <c r="CU90" s="1220">
        <f t="shared" si="60"/>
        <v>-307644.40386904776</v>
      </c>
      <c r="CV90" s="1220">
        <f t="shared" si="60"/>
        <v>-307644.40386904776</v>
      </c>
      <c r="CW90" s="1220">
        <f t="shared" si="60"/>
        <v>-307644.40386904776</v>
      </c>
      <c r="CX90" s="1220">
        <f t="shared" si="60"/>
        <v>-307644.40386904776</v>
      </c>
      <c r="CY90" s="1220">
        <f t="shared" si="60"/>
        <v>-307644.40386904776</v>
      </c>
      <c r="CZ90" s="1220">
        <f t="shared" si="60"/>
        <v>-307644.40386904776</v>
      </c>
      <c r="DA90" s="1220">
        <f t="shared" si="60"/>
        <v>-307644.40386904776</v>
      </c>
      <c r="DB90" s="1220">
        <f t="shared" si="60"/>
        <v>-307644.40386904776</v>
      </c>
      <c r="DC90" s="1220">
        <f t="shared" si="60"/>
        <v>-307644.40386904776</v>
      </c>
      <c r="DD90" s="1220">
        <f t="shared" si="60"/>
        <v>-307644.40386904776</v>
      </c>
      <c r="DE90" s="1220">
        <f t="shared" si="60"/>
        <v>-307644.40386904776</v>
      </c>
      <c r="DF90" s="101"/>
      <c r="DG90" s="101"/>
      <c r="DH90" s="101"/>
      <c r="DI90" s="101"/>
      <c r="DJ90" s="101"/>
      <c r="DK90" s="101"/>
      <c r="DL90" s="101"/>
      <c r="DM90" s="101"/>
      <c r="DN90" s="101"/>
      <c r="DO90" s="101"/>
      <c r="DP90" s="101"/>
      <c r="DQ90" s="101"/>
    </row>
    <row r="91" spans="1:124" x14ac:dyDescent="0.3">
      <c r="H91" s="1221"/>
      <c r="L91" s="1220"/>
      <c r="M91" s="1220"/>
      <c r="N91" s="1220"/>
      <c r="O91" s="1220"/>
      <c r="P91" s="1220"/>
      <c r="Q91" s="1220"/>
      <c r="R91" s="1220"/>
      <c r="S91" s="1220"/>
      <c r="T91" s="1220"/>
      <c r="U91" s="1220"/>
      <c r="V91" s="1220"/>
      <c r="W91" s="1220"/>
      <c r="X91" s="1220"/>
      <c r="Y91" s="1220"/>
      <c r="Z91" s="1220"/>
      <c r="AA91" s="1220"/>
      <c r="AB91" s="1220"/>
      <c r="AC91" s="1220"/>
      <c r="AD91" s="1220"/>
      <c r="AE91" s="1220"/>
      <c r="AF91" s="1220"/>
      <c r="AG91" s="1220"/>
      <c r="AH91" s="1220"/>
      <c r="AI91" s="1220"/>
      <c r="AJ91" s="1220"/>
      <c r="AK91" s="1220"/>
      <c r="AL91" s="1220"/>
      <c r="AM91" s="1220">
        <f>-$H91/84</f>
        <v>0</v>
      </c>
      <c r="AN91" s="1220"/>
      <c r="AO91" s="1220"/>
      <c r="AP91" s="1220"/>
      <c r="AQ91" s="1220"/>
      <c r="AR91" s="1220"/>
      <c r="AS91" s="1220"/>
      <c r="AT91" s="1220"/>
      <c r="AU91" s="1220"/>
      <c r="AV91" s="1220"/>
      <c r="AW91" s="1220"/>
      <c r="AX91" s="1220"/>
      <c r="AY91" s="1220"/>
      <c r="AZ91" s="1220"/>
      <c r="BA91" s="1220"/>
      <c r="BB91" s="1220"/>
      <c r="BC91" s="1220"/>
      <c r="BD91" s="1220"/>
      <c r="BE91" s="1220"/>
      <c r="BF91" s="1220"/>
      <c r="BG91" s="1220"/>
      <c r="BH91" s="1220"/>
      <c r="BI91" s="1220"/>
      <c r="BJ91" s="1220"/>
      <c r="BK91" s="1220"/>
      <c r="BL91" s="1220"/>
      <c r="BM91" s="1220"/>
      <c r="BN91" s="1220"/>
      <c r="BO91" s="1220"/>
      <c r="BP91" s="1220"/>
      <c r="BQ91" s="1220"/>
      <c r="BR91" s="1220"/>
      <c r="BS91" s="1220"/>
      <c r="BT91" s="1220"/>
      <c r="BU91" s="1220"/>
      <c r="BV91" s="1220"/>
      <c r="BW91" s="1220"/>
      <c r="BX91" s="1220"/>
      <c r="BY91" s="1220"/>
      <c r="BZ91" s="1220"/>
      <c r="CA91" s="1220"/>
      <c r="CB91" s="1220"/>
      <c r="CC91" s="1220"/>
      <c r="CD91" s="1220"/>
      <c r="CE91" s="1220"/>
      <c r="CF91" s="1220"/>
      <c r="CG91" s="1220"/>
      <c r="CH91" s="1220"/>
      <c r="CI91" s="1220"/>
      <c r="CJ91" s="1220"/>
      <c r="CK91" s="1220"/>
      <c r="CL91" s="1220"/>
      <c r="CM91" s="1220"/>
      <c r="CN91" s="1220"/>
      <c r="CO91" s="1220"/>
      <c r="CP91" s="1220"/>
      <c r="CQ91" s="1220"/>
      <c r="CR91" s="1220"/>
      <c r="CS91" s="1220"/>
      <c r="CT91" s="1220"/>
      <c r="CU91" s="1220"/>
      <c r="CV91" s="1220"/>
      <c r="CW91" s="1220"/>
      <c r="CX91" s="1220"/>
      <c r="CY91" s="1220"/>
      <c r="CZ91" s="1220"/>
      <c r="DA91" s="1220"/>
      <c r="DB91" s="1220"/>
      <c r="DC91" s="1220"/>
      <c r="DD91" s="1220"/>
      <c r="DE91" s="1220"/>
    </row>
    <row r="92" spans="1:124" x14ac:dyDescent="0.3">
      <c r="A92" s="1214" t="s">
        <v>2175</v>
      </c>
      <c r="H92" s="1215">
        <f>26006428.75-164298.824999988</f>
        <v>25842129.925000012</v>
      </c>
      <c r="L92" s="1220"/>
      <c r="M92" s="1220"/>
      <c r="N92" s="1220"/>
      <c r="O92" s="1220"/>
      <c r="P92" s="1220"/>
      <c r="Q92" s="1220"/>
      <c r="R92" s="1220"/>
      <c r="S92" s="1220"/>
      <c r="T92" s="1220"/>
      <c r="U92" s="1220"/>
      <c r="V92" s="1220"/>
      <c r="W92" s="1220"/>
      <c r="X92" s="1220"/>
      <c r="Y92" s="1220"/>
      <c r="Z92" s="1220"/>
      <c r="AA92" s="1220"/>
      <c r="AB92" s="1220"/>
      <c r="AC92" s="1220"/>
      <c r="AD92" s="1220"/>
      <c r="AE92" s="1220"/>
      <c r="AF92" s="1220"/>
      <c r="AG92" s="1220"/>
      <c r="AH92" s="1220"/>
      <c r="AI92" s="1220"/>
      <c r="AJ92" s="1220"/>
      <c r="AK92" s="1220"/>
      <c r="AL92" s="1220"/>
      <c r="AM92" s="1220">
        <f>-$H92/84</f>
        <v>-307644.40386904776</v>
      </c>
      <c r="AN92" s="1220">
        <f t="shared" ref="AN92:AX92" si="61">-$H92/84</f>
        <v>-307644.40386904776</v>
      </c>
      <c r="AO92" s="1220">
        <f t="shared" si="61"/>
        <v>-307644.40386904776</v>
      </c>
      <c r="AP92" s="1220">
        <f t="shared" si="61"/>
        <v>-307644.40386904776</v>
      </c>
      <c r="AQ92" s="1220">
        <f t="shared" si="61"/>
        <v>-307644.40386904776</v>
      </c>
      <c r="AR92" s="1220">
        <f t="shared" si="61"/>
        <v>-307644.40386904776</v>
      </c>
      <c r="AS92" s="1220">
        <f t="shared" si="61"/>
        <v>-307644.40386904776</v>
      </c>
      <c r="AT92" s="1220">
        <f t="shared" si="61"/>
        <v>-307644.40386904776</v>
      </c>
      <c r="AU92" s="1220">
        <f t="shared" si="61"/>
        <v>-307644.40386904776</v>
      </c>
      <c r="AV92" s="1220">
        <f t="shared" si="61"/>
        <v>-307644.40386904776</v>
      </c>
      <c r="AW92" s="1220">
        <f t="shared" si="61"/>
        <v>-307644.40386904776</v>
      </c>
      <c r="AX92" s="1220">
        <f t="shared" si="61"/>
        <v>-307644.40386904776</v>
      </c>
      <c r="AY92" s="1220">
        <f t="shared" ref="AY92:DE92" si="62">-$H92/84</f>
        <v>-307644.40386904776</v>
      </c>
      <c r="AZ92" s="1220">
        <f t="shared" si="62"/>
        <v>-307644.40386904776</v>
      </c>
      <c r="BA92" s="1220">
        <f t="shared" si="62"/>
        <v>-307644.40386904776</v>
      </c>
      <c r="BB92" s="1220">
        <f t="shared" si="62"/>
        <v>-307644.40386904776</v>
      </c>
      <c r="BC92" s="1220">
        <f t="shared" si="62"/>
        <v>-307644.40386904776</v>
      </c>
      <c r="BD92" s="1220">
        <f t="shared" si="62"/>
        <v>-307644.40386904776</v>
      </c>
      <c r="BE92" s="1220">
        <f t="shared" si="62"/>
        <v>-307644.40386904776</v>
      </c>
      <c r="BF92" s="1220">
        <f t="shared" si="62"/>
        <v>-307644.40386904776</v>
      </c>
      <c r="BG92" s="1220">
        <f t="shared" si="62"/>
        <v>-307644.40386904776</v>
      </c>
      <c r="BH92" s="1220">
        <f t="shared" si="62"/>
        <v>-307644.40386904776</v>
      </c>
      <c r="BI92" s="1220">
        <f t="shared" si="62"/>
        <v>-307644.40386904776</v>
      </c>
      <c r="BJ92" s="1220">
        <f t="shared" si="62"/>
        <v>-307644.40386904776</v>
      </c>
      <c r="BK92" s="1220">
        <f t="shared" si="62"/>
        <v>-307644.40386904776</v>
      </c>
      <c r="BL92" s="1220">
        <f t="shared" si="62"/>
        <v>-307644.40386904776</v>
      </c>
      <c r="BM92" s="1220">
        <f t="shared" si="62"/>
        <v>-307644.40386904776</v>
      </c>
      <c r="BN92" s="1220">
        <f t="shared" si="62"/>
        <v>-307644.40386904776</v>
      </c>
      <c r="BO92" s="1220">
        <f t="shared" si="62"/>
        <v>-307644.40386904776</v>
      </c>
      <c r="BP92" s="1220">
        <f t="shared" si="62"/>
        <v>-307644.40386904776</v>
      </c>
      <c r="BQ92" s="1220">
        <f t="shared" si="62"/>
        <v>-307644.40386904776</v>
      </c>
      <c r="BR92" s="1220">
        <f t="shared" si="62"/>
        <v>-307644.40386904776</v>
      </c>
      <c r="BS92" s="1220">
        <f t="shared" si="62"/>
        <v>-307644.40386904776</v>
      </c>
      <c r="BT92" s="1220">
        <f t="shared" si="62"/>
        <v>-307644.40386904776</v>
      </c>
      <c r="BU92" s="1220">
        <f t="shared" si="62"/>
        <v>-307644.40386904776</v>
      </c>
      <c r="BV92" s="1220">
        <f t="shared" si="62"/>
        <v>-307644.40386904776</v>
      </c>
      <c r="BW92" s="1220">
        <f t="shared" si="62"/>
        <v>-307644.40386904776</v>
      </c>
      <c r="BX92" s="1220">
        <f t="shared" si="62"/>
        <v>-307644.40386904776</v>
      </c>
      <c r="BY92" s="1220">
        <f t="shared" si="62"/>
        <v>-307644.40386904776</v>
      </c>
      <c r="BZ92" s="1220">
        <f t="shared" si="62"/>
        <v>-307644.40386904776</v>
      </c>
      <c r="CA92" s="1220">
        <f t="shared" si="62"/>
        <v>-307644.40386904776</v>
      </c>
      <c r="CB92" s="1220">
        <f t="shared" si="62"/>
        <v>-307644.40386904776</v>
      </c>
      <c r="CC92" s="1220">
        <f t="shared" si="62"/>
        <v>-307644.40386904776</v>
      </c>
      <c r="CD92" s="1220">
        <f t="shared" si="62"/>
        <v>-307644.40386904776</v>
      </c>
      <c r="CE92" s="1220">
        <f t="shared" si="62"/>
        <v>-307644.40386904776</v>
      </c>
      <c r="CF92" s="1220">
        <f t="shared" si="62"/>
        <v>-307644.40386904776</v>
      </c>
      <c r="CG92" s="1220">
        <f t="shared" si="62"/>
        <v>-307644.40386904776</v>
      </c>
      <c r="CH92" s="1220">
        <f t="shared" si="62"/>
        <v>-307644.40386904776</v>
      </c>
      <c r="CI92" s="1220">
        <f t="shared" si="62"/>
        <v>-307644.40386904776</v>
      </c>
      <c r="CJ92" s="1220">
        <f t="shared" si="62"/>
        <v>-307644.40386904776</v>
      </c>
      <c r="CK92" s="1220">
        <f t="shared" si="62"/>
        <v>-307644.40386904776</v>
      </c>
      <c r="CL92" s="1220">
        <f t="shared" si="62"/>
        <v>-307644.40386904776</v>
      </c>
      <c r="CM92" s="1220">
        <f t="shared" si="62"/>
        <v>-307644.40386904776</v>
      </c>
      <c r="CN92" s="1220">
        <f t="shared" si="62"/>
        <v>-307644.40386904776</v>
      </c>
      <c r="CO92" s="1220">
        <f t="shared" si="62"/>
        <v>-307644.40386904776</v>
      </c>
      <c r="CP92" s="1220">
        <f t="shared" si="62"/>
        <v>-307644.40386904776</v>
      </c>
      <c r="CQ92" s="1220">
        <f t="shared" si="62"/>
        <v>-307644.40386904776</v>
      </c>
      <c r="CR92" s="1220">
        <f t="shared" si="62"/>
        <v>-307644.40386904776</v>
      </c>
      <c r="CS92" s="1220">
        <f t="shared" si="62"/>
        <v>-307644.40386904776</v>
      </c>
      <c r="CT92" s="1220">
        <f t="shared" si="62"/>
        <v>-307644.40386904776</v>
      </c>
      <c r="CU92" s="1220">
        <f t="shared" si="62"/>
        <v>-307644.40386904776</v>
      </c>
      <c r="CV92" s="1220">
        <f t="shared" si="62"/>
        <v>-307644.40386904776</v>
      </c>
      <c r="CW92" s="1220">
        <f t="shared" si="62"/>
        <v>-307644.40386904776</v>
      </c>
      <c r="CX92" s="1220">
        <f t="shared" si="62"/>
        <v>-307644.40386904776</v>
      </c>
      <c r="CY92" s="1220">
        <f t="shared" si="62"/>
        <v>-307644.40386904776</v>
      </c>
      <c r="CZ92" s="1220">
        <f t="shared" si="62"/>
        <v>-307644.40386904776</v>
      </c>
      <c r="DA92" s="1220">
        <f t="shared" si="62"/>
        <v>-307644.40386904776</v>
      </c>
      <c r="DB92" s="1220">
        <f t="shared" si="62"/>
        <v>-307644.40386904776</v>
      </c>
      <c r="DC92" s="1220">
        <f t="shared" si="62"/>
        <v>-307644.40386904776</v>
      </c>
      <c r="DD92" s="1220">
        <f t="shared" si="62"/>
        <v>-307644.40386904776</v>
      </c>
      <c r="DE92" s="1220">
        <f t="shared" si="62"/>
        <v>-307644.40386904776</v>
      </c>
      <c r="DF92" s="101"/>
      <c r="DG92" s="101"/>
      <c r="DH92" s="101"/>
      <c r="DI92" s="101"/>
      <c r="DJ92" s="101"/>
      <c r="DK92" s="101"/>
      <c r="DL92" s="101"/>
      <c r="DM92" s="101"/>
      <c r="DN92" s="101"/>
      <c r="DO92" s="101"/>
      <c r="DP92" s="101"/>
      <c r="DQ92" s="101"/>
      <c r="DR92" s="101"/>
    </row>
    <row r="93" spans="1:124" x14ac:dyDescent="0.3">
      <c r="H93" s="1221"/>
      <c r="L93" s="1220"/>
      <c r="M93" s="1220"/>
      <c r="N93" s="1220"/>
      <c r="O93" s="1220"/>
      <c r="P93" s="1220"/>
      <c r="Q93" s="1220"/>
      <c r="R93" s="1220"/>
      <c r="S93" s="1220"/>
      <c r="T93" s="1220"/>
      <c r="U93" s="1220"/>
      <c r="V93" s="1220"/>
      <c r="W93" s="1220"/>
      <c r="X93" s="1220"/>
      <c r="Y93" s="1220"/>
      <c r="Z93" s="1220"/>
      <c r="AA93" s="1220"/>
      <c r="AB93" s="1220"/>
      <c r="AC93" s="1220"/>
      <c r="AD93" s="1220"/>
      <c r="AE93" s="1220"/>
      <c r="AF93" s="1220"/>
      <c r="AG93" s="1220"/>
      <c r="AH93" s="1220"/>
      <c r="AI93" s="1220"/>
      <c r="AJ93" s="1220"/>
      <c r="AK93" s="1220"/>
      <c r="AL93" s="1220"/>
      <c r="AM93" s="1220"/>
      <c r="AN93" s="1220">
        <f>-$H93/84</f>
        <v>0</v>
      </c>
      <c r="AO93" s="1220"/>
      <c r="AP93" s="1220"/>
      <c r="AQ93" s="1220"/>
      <c r="AR93" s="1220"/>
      <c r="AS93" s="1220"/>
      <c r="AT93" s="1220"/>
      <c r="AU93" s="1220"/>
      <c r="AV93" s="1220"/>
      <c r="AW93" s="1220"/>
      <c r="AX93" s="1220"/>
      <c r="AY93" s="1220"/>
      <c r="AZ93" s="1220"/>
      <c r="BA93" s="1220"/>
      <c r="BB93" s="1220"/>
      <c r="BC93" s="1220"/>
      <c r="BD93" s="1220"/>
      <c r="BE93" s="1220"/>
      <c r="BF93" s="1220"/>
      <c r="BG93" s="1220"/>
      <c r="BH93" s="1220"/>
      <c r="BI93" s="1220"/>
      <c r="BJ93" s="1220"/>
      <c r="BK93" s="1220"/>
      <c r="BL93" s="1220"/>
      <c r="BM93" s="1220"/>
      <c r="BN93" s="1220"/>
      <c r="BO93" s="1220"/>
      <c r="BP93" s="1220"/>
      <c r="BQ93" s="1220"/>
      <c r="BR93" s="1220"/>
      <c r="BS93" s="1220"/>
      <c r="BT93" s="1220"/>
      <c r="BU93" s="1220"/>
      <c r="BV93" s="1220"/>
      <c r="BW93" s="1220"/>
      <c r="BX93" s="1220"/>
      <c r="BY93" s="1220"/>
      <c r="BZ93" s="1220"/>
      <c r="CA93" s="1220"/>
      <c r="CB93" s="1220"/>
      <c r="CC93" s="1220"/>
      <c r="CD93" s="1220"/>
      <c r="CE93" s="1220"/>
      <c r="CF93" s="1220"/>
      <c r="CG93" s="1220"/>
      <c r="CH93" s="1220"/>
      <c r="CI93" s="1220"/>
      <c r="CJ93" s="1220"/>
      <c r="CK93" s="1220"/>
      <c r="CL93" s="1220"/>
      <c r="CM93" s="1220"/>
      <c r="CN93" s="1220"/>
      <c r="CO93" s="1220"/>
      <c r="CP93" s="1220"/>
      <c r="CQ93" s="1220"/>
      <c r="CR93" s="1220"/>
      <c r="CS93" s="1220"/>
      <c r="CT93" s="1220"/>
      <c r="CU93" s="1220"/>
      <c r="CV93" s="1220"/>
      <c r="CW93" s="1220"/>
      <c r="CX93" s="1220"/>
      <c r="CY93" s="1220"/>
      <c r="CZ93" s="1220"/>
      <c r="DA93" s="1220"/>
      <c r="DB93" s="1220"/>
      <c r="DC93" s="1220"/>
      <c r="DD93" s="1220"/>
      <c r="DE93" s="1220"/>
    </row>
    <row r="94" spans="1:124" x14ac:dyDescent="0.3">
      <c r="A94" s="1214" t="s">
        <v>2176</v>
      </c>
      <c r="H94" s="1215">
        <f>26006428.75-164298.824999988</f>
        <v>25842129.925000012</v>
      </c>
      <c r="L94" s="1220"/>
      <c r="M94" s="1220"/>
      <c r="N94" s="1220"/>
      <c r="O94" s="1220"/>
      <c r="P94" s="1220"/>
      <c r="Q94" s="1220"/>
      <c r="R94" s="1220"/>
      <c r="S94" s="1220"/>
      <c r="T94" s="1220"/>
      <c r="U94" s="1220"/>
      <c r="V94" s="1220"/>
      <c r="W94" s="1220"/>
      <c r="X94" s="1220"/>
      <c r="Y94" s="1220"/>
      <c r="Z94" s="1220"/>
      <c r="AA94" s="1220"/>
      <c r="AB94" s="1220"/>
      <c r="AC94" s="1220"/>
      <c r="AD94" s="1220"/>
      <c r="AE94" s="1220"/>
      <c r="AF94" s="1220"/>
      <c r="AG94" s="1220"/>
      <c r="AH94" s="1220"/>
      <c r="AI94" s="1220"/>
      <c r="AJ94" s="1220"/>
      <c r="AK94" s="1220"/>
      <c r="AL94" s="1220"/>
      <c r="AM94" s="1220"/>
      <c r="AN94" s="1220">
        <f>-$H94/84</f>
        <v>-307644.40386904776</v>
      </c>
      <c r="AO94" s="1220">
        <f t="shared" ref="AO94:AX94" si="63">-$H94/84</f>
        <v>-307644.40386904776</v>
      </c>
      <c r="AP94" s="1220">
        <f t="shared" si="63"/>
        <v>-307644.40386904776</v>
      </c>
      <c r="AQ94" s="1220">
        <f t="shared" si="63"/>
        <v>-307644.40386904776</v>
      </c>
      <c r="AR94" s="1220">
        <f t="shared" si="63"/>
        <v>-307644.40386904776</v>
      </c>
      <c r="AS94" s="1220">
        <f t="shared" si="63"/>
        <v>-307644.40386904776</v>
      </c>
      <c r="AT94" s="1220">
        <f t="shared" si="63"/>
        <v>-307644.40386904776</v>
      </c>
      <c r="AU94" s="1220">
        <f t="shared" si="63"/>
        <v>-307644.40386904776</v>
      </c>
      <c r="AV94" s="1220">
        <f t="shared" si="63"/>
        <v>-307644.40386904776</v>
      </c>
      <c r="AW94" s="1220">
        <f t="shared" si="63"/>
        <v>-307644.40386904776</v>
      </c>
      <c r="AX94" s="1220">
        <f t="shared" si="63"/>
        <v>-307644.40386904776</v>
      </c>
      <c r="AY94" s="1220">
        <f t="shared" ref="AY94:DE94" si="64">-$H94/84</f>
        <v>-307644.40386904776</v>
      </c>
      <c r="AZ94" s="1220">
        <f t="shared" si="64"/>
        <v>-307644.40386904776</v>
      </c>
      <c r="BA94" s="1220">
        <f t="shared" si="64"/>
        <v>-307644.40386904776</v>
      </c>
      <c r="BB94" s="1220">
        <f t="shared" si="64"/>
        <v>-307644.40386904776</v>
      </c>
      <c r="BC94" s="1220">
        <f t="shared" si="64"/>
        <v>-307644.40386904776</v>
      </c>
      <c r="BD94" s="1220">
        <f t="shared" si="64"/>
        <v>-307644.40386904776</v>
      </c>
      <c r="BE94" s="1220">
        <f t="shared" si="64"/>
        <v>-307644.40386904776</v>
      </c>
      <c r="BF94" s="1220">
        <f t="shared" si="64"/>
        <v>-307644.40386904776</v>
      </c>
      <c r="BG94" s="1220">
        <f t="shared" si="64"/>
        <v>-307644.40386904776</v>
      </c>
      <c r="BH94" s="1220">
        <f t="shared" si="64"/>
        <v>-307644.40386904776</v>
      </c>
      <c r="BI94" s="1220">
        <f t="shared" si="64"/>
        <v>-307644.40386904776</v>
      </c>
      <c r="BJ94" s="1220">
        <f t="shared" si="64"/>
        <v>-307644.40386904776</v>
      </c>
      <c r="BK94" s="1220">
        <f t="shared" si="64"/>
        <v>-307644.40386904776</v>
      </c>
      <c r="BL94" s="1220">
        <f t="shared" si="64"/>
        <v>-307644.40386904776</v>
      </c>
      <c r="BM94" s="1220">
        <f t="shared" si="64"/>
        <v>-307644.40386904776</v>
      </c>
      <c r="BN94" s="1220">
        <f t="shared" si="64"/>
        <v>-307644.40386904776</v>
      </c>
      <c r="BO94" s="1220">
        <f t="shared" si="64"/>
        <v>-307644.40386904776</v>
      </c>
      <c r="BP94" s="1220">
        <f t="shared" si="64"/>
        <v>-307644.40386904776</v>
      </c>
      <c r="BQ94" s="1220">
        <f t="shared" si="64"/>
        <v>-307644.40386904776</v>
      </c>
      <c r="BR94" s="1220">
        <f t="shared" si="64"/>
        <v>-307644.40386904776</v>
      </c>
      <c r="BS94" s="1220">
        <f t="shared" si="64"/>
        <v>-307644.40386904776</v>
      </c>
      <c r="BT94" s="1220">
        <f t="shared" si="64"/>
        <v>-307644.40386904776</v>
      </c>
      <c r="BU94" s="1220">
        <f t="shared" si="64"/>
        <v>-307644.40386904776</v>
      </c>
      <c r="BV94" s="1220">
        <f t="shared" si="64"/>
        <v>-307644.40386904776</v>
      </c>
      <c r="BW94" s="1220">
        <f t="shared" si="64"/>
        <v>-307644.40386904776</v>
      </c>
      <c r="BX94" s="1220">
        <f t="shared" si="64"/>
        <v>-307644.40386904776</v>
      </c>
      <c r="BY94" s="1220">
        <f t="shared" si="64"/>
        <v>-307644.40386904776</v>
      </c>
      <c r="BZ94" s="1220">
        <f t="shared" si="64"/>
        <v>-307644.40386904776</v>
      </c>
      <c r="CA94" s="1220">
        <f t="shared" si="64"/>
        <v>-307644.40386904776</v>
      </c>
      <c r="CB94" s="1220">
        <f t="shared" si="64"/>
        <v>-307644.40386904776</v>
      </c>
      <c r="CC94" s="1220">
        <f t="shared" si="64"/>
        <v>-307644.40386904776</v>
      </c>
      <c r="CD94" s="1220">
        <f t="shared" si="64"/>
        <v>-307644.40386904776</v>
      </c>
      <c r="CE94" s="1220">
        <f t="shared" si="64"/>
        <v>-307644.40386904776</v>
      </c>
      <c r="CF94" s="1220">
        <f t="shared" si="64"/>
        <v>-307644.40386904776</v>
      </c>
      <c r="CG94" s="1220">
        <f t="shared" si="64"/>
        <v>-307644.40386904776</v>
      </c>
      <c r="CH94" s="1220">
        <f t="shared" si="64"/>
        <v>-307644.40386904776</v>
      </c>
      <c r="CI94" s="1220">
        <f t="shared" si="64"/>
        <v>-307644.40386904776</v>
      </c>
      <c r="CJ94" s="1220">
        <f t="shared" si="64"/>
        <v>-307644.40386904776</v>
      </c>
      <c r="CK94" s="1220">
        <f t="shared" si="64"/>
        <v>-307644.40386904776</v>
      </c>
      <c r="CL94" s="1220">
        <f t="shared" si="64"/>
        <v>-307644.40386904776</v>
      </c>
      <c r="CM94" s="1220">
        <f t="shared" si="64"/>
        <v>-307644.40386904776</v>
      </c>
      <c r="CN94" s="1220">
        <f t="shared" si="64"/>
        <v>-307644.40386904776</v>
      </c>
      <c r="CO94" s="1220">
        <f t="shared" si="64"/>
        <v>-307644.40386904776</v>
      </c>
      <c r="CP94" s="1220">
        <f t="shared" si="64"/>
        <v>-307644.40386904776</v>
      </c>
      <c r="CQ94" s="1220">
        <f t="shared" si="64"/>
        <v>-307644.40386904776</v>
      </c>
      <c r="CR94" s="1220">
        <f t="shared" si="64"/>
        <v>-307644.40386904776</v>
      </c>
      <c r="CS94" s="1220">
        <f t="shared" si="64"/>
        <v>-307644.40386904776</v>
      </c>
      <c r="CT94" s="1220">
        <f t="shared" si="64"/>
        <v>-307644.40386904776</v>
      </c>
      <c r="CU94" s="1220">
        <f t="shared" si="64"/>
        <v>-307644.40386904776</v>
      </c>
      <c r="CV94" s="1220">
        <f t="shared" si="64"/>
        <v>-307644.40386904776</v>
      </c>
      <c r="CW94" s="1220">
        <f t="shared" si="64"/>
        <v>-307644.40386904776</v>
      </c>
      <c r="CX94" s="1220">
        <f t="shared" si="64"/>
        <v>-307644.40386904776</v>
      </c>
      <c r="CY94" s="1220">
        <f t="shared" si="64"/>
        <v>-307644.40386904776</v>
      </c>
      <c r="CZ94" s="1220">
        <f t="shared" si="64"/>
        <v>-307644.40386904776</v>
      </c>
      <c r="DA94" s="1220">
        <f t="shared" si="64"/>
        <v>-307644.40386904776</v>
      </c>
      <c r="DB94" s="1220">
        <f t="shared" si="64"/>
        <v>-307644.40386904776</v>
      </c>
      <c r="DC94" s="1220">
        <f t="shared" si="64"/>
        <v>-307644.40386904776</v>
      </c>
      <c r="DD94" s="1220">
        <f t="shared" si="64"/>
        <v>-307644.40386904776</v>
      </c>
      <c r="DE94" s="1220">
        <f t="shared" si="64"/>
        <v>-307644.40386904776</v>
      </c>
      <c r="DF94" s="101"/>
      <c r="DG94" s="101"/>
      <c r="DH94" s="101"/>
      <c r="DI94" s="101"/>
      <c r="DJ94" s="101"/>
      <c r="DK94" s="101"/>
      <c r="DL94" s="101"/>
      <c r="DM94" s="101"/>
      <c r="DN94" s="101"/>
      <c r="DO94" s="101"/>
      <c r="DP94" s="101"/>
      <c r="DQ94" s="101"/>
      <c r="DR94" s="101"/>
      <c r="DS94" s="101"/>
    </row>
    <row r="95" spans="1:124" x14ac:dyDescent="0.3">
      <c r="H95" s="1221"/>
      <c r="L95" s="1220"/>
      <c r="M95" s="1220"/>
      <c r="N95" s="1220"/>
      <c r="O95" s="1220"/>
      <c r="P95" s="1220"/>
      <c r="Q95" s="1220"/>
      <c r="R95" s="1220"/>
      <c r="S95" s="1220"/>
      <c r="T95" s="1220"/>
      <c r="U95" s="1220"/>
      <c r="V95" s="1220"/>
      <c r="W95" s="1220"/>
      <c r="X95" s="1220"/>
      <c r="Y95" s="1220"/>
      <c r="Z95" s="1220"/>
      <c r="AA95" s="1220"/>
      <c r="AB95" s="1220"/>
      <c r="AC95" s="1220"/>
      <c r="AD95" s="1220"/>
      <c r="AE95" s="1220"/>
      <c r="AF95" s="1220"/>
      <c r="AG95" s="1220"/>
      <c r="AH95" s="1220"/>
      <c r="AI95" s="1220"/>
      <c r="AJ95" s="1220"/>
      <c r="AK95" s="1220"/>
      <c r="AL95" s="1220"/>
      <c r="AM95" s="1220"/>
      <c r="AN95" s="1220"/>
      <c r="AO95" s="1220">
        <f>-$H95/84</f>
        <v>0</v>
      </c>
      <c r="AP95" s="1220"/>
      <c r="AQ95" s="1220"/>
      <c r="AR95" s="1220"/>
      <c r="AS95" s="1220"/>
      <c r="AT95" s="1220"/>
      <c r="AU95" s="1220"/>
      <c r="AV95" s="1220"/>
      <c r="AW95" s="1220"/>
      <c r="AX95" s="1220"/>
      <c r="AY95" s="1220"/>
      <c r="AZ95" s="1220"/>
      <c r="BA95" s="1220"/>
      <c r="BB95" s="1220"/>
      <c r="BC95" s="1220"/>
      <c r="BD95" s="1220"/>
      <c r="BE95" s="1220"/>
      <c r="BF95" s="1220"/>
      <c r="BG95" s="1220"/>
      <c r="BH95" s="1220"/>
      <c r="BI95" s="1220"/>
      <c r="BJ95" s="1220"/>
      <c r="BK95" s="1220"/>
      <c r="BL95" s="1220"/>
      <c r="BM95" s="1220"/>
      <c r="BN95" s="1220"/>
      <c r="BO95" s="1220"/>
      <c r="BP95" s="1220"/>
      <c r="BQ95" s="1220"/>
      <c r="BR95" s="1220"/>
      <c r="BS95" s="1220"/>
      <c r="BT95" s="1220"/>
      <c r="BU95" s="1220"/>
      <c r="BV95" s="1220"/>
      <c r="BW95" s="1220"/>
      <c r="BX95" s="1220"/>
      <c r="BY95" s="1220"/>
      <c r="BZ95" s="1220"/>
      <c r="CA95" s="1220"/>
      <c r="CB95" s="1220"/>
      <c r="CC95" s="1220"/>
      <c r="CD95" s="1220"/>
      <c r="CE95" s="1220"/>
      <c r="CF95" s="1220"/>
      <c r="CG95" s="1220"/>
      <c r="CH95" s="1220"/>
      <c r="CI95" s="1220"/>
      <c r="CJ95" s="1220"/>
      <c r="CK95" s="1220"/>
      <c r="CL95" s="1220"/>
      <c r="CM95" s="1220"/>
      <c r="CN95" s="1220"/>
      <c r="CO95" s="1220"/>
      <c r="CP95" s="1220"/>
      <c r="CQ95" s="1220"/>
      <c r="CR95" s="1220"/>
      <c r="CS95" s="1220"/>
      <c r="CT95" s="1220"/>
      <c r="CU95" s="1220"/>
      <c r="CV95" s="1220"/>
      <c r="CW95" s="1220"/>
      <c r="CX95" s="1220"/>
      <c r="CY95" s="1220"/>
      <c r="CZ95" s="1220"/>
      <c r="DA95" s="1220"/>
      <c r="DB95" s="1220"/>
      <c r="DC95" s="1220"/>
      <c r="DD95" s="1220"/>
      <c r="DE95" s="1220"/>
    </row>
    <row r="96" spans="1:124" x14ac:dyDescent="0.3">
      <c r="A96" s="1214" t="s">
        <v>2177</v>
      </c>
      <c r="H96" s="1215">
        <f>26006428.75-164298.824999988</f>
        <v>25842129.925000012</v>
      </c>
      <c r="L96" s="1220"/>
      <c r="M96" s="1220"/>
      <c r="N96" s="1220"/>
      <c r="O96" s="1220"/>
      <c r="P96" s="1220"/>
      <c r="Q96" s="1220"/>
      <c r="R96" s="1220"/>
      <c r="S96" s="1220"/>
      <c r="T96" s="1220"/>
      <c r="U96" s="1220"/>
      <c r="V96" s="1220"/>
      <c r="W96" s="1220"/>
      <c r="X96" s="1220"/>
      <c r="Y96" s="1220"/>
      <c r="Z96" s="1220"/>
      <c r="AA96" s="1220"/>
      <c r="AB96" s="1220"/>
      <c r="AC96" s="1220"/>
      <c r="AD96" s="1220"/>
      <c r="AE96" s="1220"/>
      <c r="AF96" s="1220"/>
      <c r="AG96" s="1220"/>
      <c r="AH96" s="1220"/>
      <c r="AI96" s="1220"/>
      <c r="AJ96" s="1220"/>
      <c r="AK96" s="1220"/>
      <c r="AL96" s="1220"/>
      <c r="AM96" s="1220"/>
      <c r="AN96" s="1220"/>
      <c r="AO96" s="1220">
        <f>-$H96/84</f>
        <v>-307644.40386904776</v>
      </c>
      <c r="AP96" s="1220">
        <f t="shared" ref="AP96:AX96" si="65">-$H96/84</f>
        <v>-307644.40386904776</v>
      </c>
      <c r="AQ96" s="1220">
        <f t="shared" si="65"/>
        <v>-307644.40386904776</v>
      </c>
      <c r="AR96" s="1220">
        <f t="shared" si="65"/>
        <v>-307644.40386904776</v>
      </c>
      <c r="AS96" s="1220">
        <f t="shared" si="65"/>
        <v>-307644.40386904776</v>
      </c>
      <c r="AT96" s="1220">
        <f t="shared" si="65"/>
        <v>-307644.40386904776</v>
      </c>
      <c r="AU96" s="1220">
        <f t="shared" si="65"/>
        <v>-307644.40386904776</v>
      </c>
      <c r="AV96" s="1220">
        <f t="shared" si="65"/>
        <v>-307644.40386904776</v>
      </c>
      <c r="AW96" s="1220">
        <f t="shared" si="65"/>
        <v>-307644.40386904776</v>
      </c>
      <c r="AX96" s="1220">
        <f t="shared" si="65"/>
        <v>-307644.40386904776</v>
      </c>
      <c r="AY96" s="1220">
        <f t="shared" ref="AY96:DE96" si="66">-$H96/84</f>
        <v>-307644.40386904776</v>
      </c>
      <c r="AZ96" s="1220">
        <f t="shared" si="66"/>
        <v>-307644.40386904776</v>
      </c>
      <c r="BA96" s="1220">
        <f t="shared" si="66"/>
        <v>-307644.40386904776</v>
      </c>
      <c r="BB96" s="1220">
        <f t="shared" si="66"/>
        <v>-307644.40386904776</v>
      </c>
      <c r="BC96" s="1220">
        <f t="shared" si="66"/>
        <v>-307644.40386904776</v>
      </c>
      <c r="BD96" s="1220">
        <f t="shared" si="66"/>
        <v>-307644.40386904776</v>
      </c>
      <c r="BE96" s="1220">
        <f t="shared" si="66"/>
        <v>-307644.40386904776</v>
      </c>
      <c r="BF96" s="1220">
        <f t="shared" si="66"/>
        <v>-307644.40386904776</v>
      </c>
      <c r="BG96" s="1220">
        <f t="shared" si="66"/>
        <v>-307644.40386904776</v>
      </c>
      <c r="BH96" s="1220">
        <f t="shared" si="66"/>
        <v>-307644.40386904776</v>
      </c>
      <c r="BI96" s="1220">
        <f t="shared" si="66"/>
        <v>-307644.40386904776</v>
      </c>
      <c r="BJ96" s="1220">
        <f t="shared" si="66"/>
        <v>-307644.40386904776</v>
      </c>
      <c r="BK96" s="1220">
        <f t="shared" si="66"/>
        <v>-307644.40386904776</v>
      </c>
      <c r="BL96" s="1220">
        <f t="shared" si="66"/>
        <v>-307644.40386904776</v>
      </c>
      <c r="BM96" s="1220">
        <f t="shared" si="66"/>
        <v>-307644.40386904776</v>
      </c>
      <c r="BN96" s="1220">
        <f t="shared" si="66"/>
        <v>-307644.40386904776</v>
      </c>
      <c r="BO96" s="1220">
        <f t="shared" si="66"/>
        <v>-307644.40386904776</v>
      </c>
      <c r="BP96" s="1220">
        <f t="shared" si="66"/>
        <v>-307644.40386904776</v>
      </c>
      <c r="BQ96" s="1220">
        <f t="shared" si="66"/>
        <v>-307644.40386904776</v>
      </c>
      <c r="BR96" s="1220">
        <f t="shared" si="66"/>
        <v>-307644.40386904776</v>
      </c>
      <c r="BS96" s="1220">
        <f t="shared" si="66"/>
        <v>-307644.40386904776</v>
      </c>
      <c r="BT96" s="1220">
        <f t="shared" si="66"/>
        <v>-307644.40386904776</v>
      </c>
      <c r="BU96" s="1220">
        <f t="shared" si="66"/>
        <v>-307644.40386904776</v>
      </c>
      <c r="BV96" s="1220">
        <f t="shared" si="66"/>
        <v>-307644.40386904776</v>
      </c>
      <c r="BW96" s="1220">
        <f t="shared" si="66"/>
        <v>-307644.40386904776</v>
      </c>
      <c r="BX96" s="1220">
        <f t="shared" si="66"/>
        <v>-307644.40386904776</v>
      </c>
      <c r="BY96" s="1220">
        <f t="shared" si="66"/>
        <v>-307644.40386904776</v>
      </c>
      <c r="BZ96" s="1220">
        <f t="shared" si="66"/>
        <v>-307644.40386904776</v>
      </c>
      <c r="CA96" s="1220">
        <f t="shared" si="66"/>
        <v>-307644.40386904776</v>
      </c>
      <c r="CB96" s="1220">
        <f t="shared" si="66"/>
        <v>-307644.40386904776</v>
      </c>
      <c r="CC96" s="1220">
        <f t="shared" si="66"/>
        <v>-307644.40386904776</v>
      </c>
      <c r="CD96" s="1220">
        <f t="shared" si="66"/>
        <v>-307644.40386904776</v>
      </c>
      <c r="CE96" s="1220">
        <f t="shared" si="66"/>
        <v>-307644.40386904776</v>
      </c>
      <c r="CF96" s="1220">
        <f t="shared" si="66"/>
        <v>-307644.40386904776</v>
      </c>
      <c r="CG96" s="1220">
        <f t="shared" si="66"/>
        <v>-307644.40386904776</v>
      </c>
      <c r="CH96" s="1220">
        <f t="shared" si="66"/>
        <v>-307644.40386904776</v>
      </c>
      <c r="CI96" s="1220">
        <f t="shared" si="66"/>
        <v>-307644.40386904776</v>
      </c>
      <c r="CJ96" s="1220">
        <f t="shared" si="66"/>
        <v>-307644.40386904776</v>
      </c>
      <c r="CK96" s="1220">
        <f t="shared" si="66"/>
        <v>-307644.40386904776</v>
      </c>
      <c r="CL96" s="1220">
        <f t="shared" si="66"/>
        <v>-307644.40386904776</v>
      </c>
      <c r="CM96" s="1220">
        <f t="shared" si="66"/>
        <v>-307644.40386904776</v>
      </c>
      <c r="CN96" s="1220">
        <f t="shared" si="66"/>
        <v>-307644.40386904776</v>
      </c>
      <c r="CO96" s="1220">
        <f t="shared" si="66"/>
        <v>-307644.40386904776</v>
      </c>
      <c r="CP96" s="1220">
        <f t="shared" si="66"/>
        <v>-307644.40386904776</v>
      </c>
      <c r="CQ96" s="1220">
        <f t="shared" si="66"/>
        <v>-307644.40386904776</v>
      </c>
      <c r="CR96" s="1220">
        <f t="shared" si="66"/>
        <v>-307644.40386904776</v>
      </c>
      <c r="CS96" s="1220">
        <f t="shared" si="66"/>
        <v>-307644.40386904776</v>
      </c>
      <c r="CT96" s="1220">
        <f t="shared" si="66"/>
        <v>-307644.40386904776</v>
      </c>
      <c r="CU96" s="1220">
        <f t="shared" si="66"/>
        <v>-307644.40386904776</v>
      </c>
      <c r="CV96" s="1220">
        <f t="shared" si="66"/>
        <v>-307644.40386904776</v>
      </c>
      <c r="CW96" s="1220">
        <f t="shared" si="66"/>
        <v>-307644.40386904776</v>
      </c>
      <c r="CX96" s="1220">
        <f t="shared" si="66"/>
        <v>-307644.40386904776</v>
      </c>
      <c r="CY96" s="1220">
        <f t="shared" si="66"/>
        <v>-307644.40386904776</v>
      </c>
      <c r="CZ96" s="1220">
        <f t="shared" si="66"/>
        <v>-307644.40386904776</v>
      </c>
      <c r="DA96" s="1220">
        <f t="shared" si="66"/>
        <v>-307644.40386904776</v>
      </c>
      <c r="DB96" s="1220">
        <f t="shared" si="66"/>
        <v>-307644.40386904776</v>
      </c>
      <c r="DC96" s="1220">
        <f t="shared" si="66"/>
        <v>-307644.40386904776</v>
      </c>
      <c r="DD96" s="1220">
        <f t="shared" si="66"/>
        <v>-307644.40386904776</v>
      </c>
      <c r="DE96" s="1220">
        <f t="shared" si="66"/>
        <v>-307644.40386904776</v>
      </c>
      <c r="DF96" s="101"/>
      <c r="DG96" s="101"/>
      <c r="DH96" s="101"/>
      <c r="DI96" s="101"/>
      <c r="DJ96" s="101"/>
      <c r="DK96" s="101"/>
      <c r="DL96" s="101"/>
      <c r="DM96" s="101"/>
      <c r="DN96" s="101"/>
      <c r="DO96" s="101"/>
      <c r="DP96" s="101"/>
      <c r="DQ96" s="101"/>
      <c r="DR96" s="101"/>
      <c r="DS96" s="101"/>
      <c r="DT96" s="101"/>
    </row>
    <row r="97" spans="1:132" x14ac:dyDescent="0.3">
      <c r="H97" s="1221"/>
      <c r="L97" s="1220"/>
      <c r="M97" s="1220"/>
      <c r="N97" s="1220"/>
      <c r="O97" s="1220"/>
      <c r="P97" s="1220"/>
      <c r="Q97" s="1220"/>
      <c r="R97" s="1220"/>
      <c r="S97" s="1220"/>
      <c r="T97" s="1220"/>
      <c r="U97" s="1220"/>
      <c r="V97" s="1220"/>
      <c r="W97" s="1220"/>
      <c r="X97" s="1220"/>
      <c r="Y97" s="1220"/>
      <c r="Z97" s="1220"/>
      <c r="AA97" s="1220"/>
      <c r="AB97" s="1220"/>
      <c r="AC97" s="1220"/>
      <c r="AD97" s="1220"/>
      <c r="AE97" s="1220"/>
      <c r="AF97" s="1220"/>
      <c r="AG97" s="1220"/>
      <c r="AH97" s="1220"/>
      <c r="AI97" s="1220"/>
      <c r="AJ97" s="1220"/>
      <c r="AK97" s="1220"/>
      <c r="AL97" s="1220"/>
      <c r="AM97" s="1220"/>
      <c r="AN97" s="1220"/>
      <c r="AO97" s="1220"/>
      <c r="AP97" s="1220">
        <f>-$H97/84</f>
        <v>0</v>
      </c>
      <c r="AQ97" s="1220"/>
      <c r="AR97" s="1220"/>
      <c r="AS97" s="1220"/>
      <c r="AT97" s="1220"/>
      <c r="AU97" s="1220"/>
      <c r="AV97" s="1220"/>
      <c r="AW97" s="1220"/>
      <c r="AX97" s="1220"/>
      <c r="AY97" s="1220"/>
      <c r="AZ97" s="1220"/>
      <c r="BA97" s="1220"/>
      <c r="BB97" s="1220"/>
      <c r="BC97" s="1220"/>
      <c r="BD97" s="1220"/>
      <c r="BE97" s="1220"/>
      <c r="BF97" s="1220"/>
      <c r="BG97" s="1220"/>
      <c r="BH97" s="1220"/>
      <c r="BI97" s="1220"/>
      <c r="BJ97" s="1220"/>
      <c r="BK97" s="1220"/>
      <c r="BL97" s="1220"/>
      <c r="BM97" s="1220"/>
      <c r="BN97" s="1220"/>
      <c r="BO97" s="1220"/>
      <c r="BP97" s="1220"/>
      <c r="BQ97" s="1220"/>
      <c r="BR97" s="1220"/>
      <c r="BS97" s="1220"/>
      <c r="BT97" s="1220"/>
      <c r="BU97" s="1220"/>
      <c r="BV97" s="1220"/>
      <c r="BW97" s="1220"/>
      <c r="BX97" s="1220"/>
      <c r="BY97" s="1220"/>
      <c r="BZ97" s="1220"/>
      <c r="CA97" s="1220"/>
      <c r="CB97" s="1220"/>
      <c r="CC97" s="1220"/>
      <c r="CD97" s="1220"/>
      <c r="CE97" s="1220"/>
      <c r="CF97" s="1220"/>
      <c r="CG97" s="1220"/>
      <c r="CH97" s="1220"/>
      <c r="CI97" s="1220"/>
      <c r="CJ97" s="1220"/>
      <c r="CK97" s="1220"/>
      <c r="CL97" s="1220"/>
      <c r="CM97" s="1220"/>
      <c r="CN97" s="1220"/>
      <c r="CO97" s="1220"/>
      <c r="CP97" s="1220"/>
      <c r="CQ97" s="1220"/>
      <c r="CR97" s="1220"/>
      <c r="CS97" s="1220"/>
      <c r="CT97" s="1220"/>
      <c r="CU97" s="1220"/>
      <c r="CV97" s="1220"/>
      <c r="CW97" s="1220"/>
      <c r="CX97" s="1220"/>
      <c r="CY97" s="1220"/>
      <c r="CZ97" s="1220"/>
      <c r="DA97" s="1220"/>
      <c r="DB97" s="1220"/>
      <c r="DC97" s="1220"/>
      <c r="DD97" s="1220"/>
      <c r="DE97" s="1220"/>
    </row>
    <row r="98" spans="1:132" x14ac:dyDescent="0.3">
      <c r="A98" s="1214" t="s">
        <v>2178</v>
      </c>
      <c r="H98" s="1215">
        <f>26006428.75-164298.824999988</f>
        <v>25842129.925000012</v>
      </c>
      <c r="L98" s="1220"/>
      <c r="M98" s="1220"/>
      <c r="N98" s="1220"/>
      <c r="O98" s="1220"/>
      <c r="P98" s="1220"/>
      <c r="Q98" s="1220"/>
      <c r="R98" s="1220"/>
      <c r="S98" s="1220"/>
      <c r="T98" s="1220"/>
      <c r="U98" s="1220"/>
      <c r="V98" s="1220"/>
      <c r="W98" s="1220"/>
      <c r="X98" s="1220"/>
      <c r="Y98" s="1220"/>
      <c r="Z98" s="1220"/>
      <c r="AA98" s="1220"/>
      <c r="AB98" s="1220"/>
      <c r="AC98" s="1220"/>
      <c r="AD98" s="1220"/>
      <c r="AE98" s="1220"/>
      <c r="AF98" s="1220"/>
      <c r="AG98" s="1220"/>
      <c r="AH98" s="1220"/>
      <c r="AI98" s="1220"/>
      <c r="AJ98" s="1220"/>
      <c r="AK98" s="1220"/>
      <c r="AL98" s="1220"/>
      <c r="AM98" s="1220"/>
      <c r="AN98" s="1220"/>
      <c r="AO98" s="1220"/>
      <c r="AP98" s="1220">
        <f>-$H98/84</f>
        <v>-307644.40386904776</v>
      </c>
      <c r="AQ98" s="1220">
        <f t="shared" ref="AQ98:DE102" si="67">-$H98/84</f>
        <v>-307644.40386904776</v>
      </c>
      <c r="AR98" s="1220">
        <f t="shared" si="67"/>
        <v>-307644.40386904776</v>
      </c>
      <c r="AS98" s="1220">
        <f t="shared" si="67"/>
        <v>-307644.40386904776</v>
      </c>
      <c r="AT98" s="1220">
        <f t="shared" si="67"/>
        <v>-307644.40386904776</v>
      </c>
      <c r="AU98" s="1220">
        <f t="shared" si="67"/>
        <v>-307644.40386904776</v>
      </c>
      <c r="AV98" s="1220">
        <f t="shared" si="67"/>
        <v>-307644.40386904776</v>
      </c>
      <c r="AW98" s="1220">
        <f t="shared" si="67"/>
        <v>-307644.40386904776</v>
      </c>
      <c r="AX98" s="1220">
        <f t="shared" si="67"/>
        <v>-307644.40386904776</v>
      </c>
      <c r="AY98" s="1220">
        <f t="shared" si="67"/>
        <v>-307644.40386904776</v>
      </c>
      <c r="AZ98" s="1220">
        <f t="shared" si="67"/>
        <v>-307644.40386904776</v>
      </c>
      <c r="BA98" s="1220">
        <f t="shared" si="67"/>
        <v>-307644.40386904776</v>
      </c>
      <c r="BB98" s="1220">
        <f t="shared" si="67"/>
        <v>-307644.40386904776</v>
      </c>
      <c r="BC98" s="1220">
        <f t="shared" si="67"/>
        <v>-307644.40386904776</v>
      </c>
      <c r="BD98" s="1220">
        <f t="shared" si="67"/>
        <v>-307644.40386904776</v>
      </c>
      <c r="BE98" s="1220">
        <f t="shared" si="67"/>
        <v>-307644.40386904776</v>
      </c>
      <c r="BF98" s="1220">
        <f t="shared" si="67"/>
        <v>-307644.40386904776</v>
      </c>
      <c r="BG98" s="1220">
        <f t="shared" si="67"/>
        <v>-307644.40386904776</v>
      </c>
      <c r="BH98" s="1220">
        <f t="shared" si="67"/>
        <v>-307644.40386904776</v>
      </c>
      <c r="BI98" s="1220">
        <f t="shared" si="67"/>
        <v>-307644.40386904776</v>
      </c>
      <c r="BJ98" s="1220">
        <f t="shared" si="67"/>
        <v>-307644.40386904776</v>
      </c>
      <c r="BK98" s="1220">
        <f t="shared" si="67"/>
        <v>-307644.40386904776</v>
      </c>
      <c r="BL98" s="1220">
        <f t="shared" si="67"/>
        <v>-307644.40386904776</v>
      </c>
      <c r="BM98" s="1220">
        <f t="shared" si="67"/>
        <v>-307644.40386904776</v>
      </c>
      <c r="BN98" s="1220">
        <f t="shared" si="67"/>
        <v>-307644.40386904776</v>
      </c>
      <c r="BO98" s="1220">
        <f t="shared" si="67"/>
        <v>-307644.40386904776</v>
      </c>
      <c r="BP98" s="1220">
        <f t="shared" si="67"/>
        <v>-307644.40386904776</v>
      </c>
      <c r="BQ98" s="1220">
        <f t="shared" si="67"/>
        <v>-307644.40386904776</v>
      </c>
      <c r="BR98" s="1220">
        <f t="shared" si="67"/>
        <v>-307644.40386904776</v>
      </c>
      <c r="BS98" s="1220">
        <f t="shared" si="67"/>
        <v>-307644.40386904776</v>
      </c>
      <c r="BT98" s="1220">
        <f t="shared" si="67"/>
        <v>-307644.40386904776</v>
      </c>
      <c r="BU98" s="1220">
        <f t="shared" si="67"/>
        <v>-307644.40386904776</v>
      </c>
      <c r="BV98" s="1220">
        <f t="shared" si="67"/>
        <v>-307644.40386904776</v>
      </c>
      <c r="BW98" s="1220">
        <f t="shared" si="67"/>
        <v>-307644.40386904776</v>
      </c>
      <c r="BX98" s="1220">
        <f t="shared" si="67"/>
        <v>-307644.40386904776</v>
      </c>
      <c r="BY98" s="1220">
        <f t="shared" si="67"/>
        <v>-307644.40386904776</v>
      </c>
      <c r="BZ98" s="1220">
        <f t="shared" si="67"/>
        <v>-307644.40386904776</v>
      </c>
      <c r="CA98" s="1220">
        <f t="shared" si="67"/>
        <v>-307644.40386904776</v>
      </c>
      <c r="CB98" s="1220">
        <f t="shared" si="67"/>
        <v>-307644.40386904776</v>
      </c>
      <c r="CC98" s="1220">
        <f t="shared" si="67"/>
        <v>-307644.40386904776</v>
      </c>
      <c r="CD98" s="1220">
        <f t="shared" si="67"/>
        <v>-307644.40386904776</v>
      </c>
      <c r="CE98" s="1220">
        <f t="shared" si="67"/>
        <v>-307644.40386904776</v>
      </c>
      <c r="CF98" s="1220">
        <f t="shared" si="67"/>
        <v>-307644.40386904776</v>
      </c>
      <c r="CG98" s="1220">
        <f t="shared" si="67"/>
        <v>-307644.40386904776</v>
      </c>
      <c r="CH98" s="1220">
        <f t="shared" si="67"/>
        <v>-307644.40386904776</v>
      </c>
      <c r="CI98" s="1220">
        <f t="shared" si="67"/>
        <v>-307644.40386904776</v>
      </c>
      <c r="CJ98" s="1220">
        <f t="shared" si="67"/>
        <v>-307644.40386904776</v>
      </c>
      <c r="CK98" s="1220">
        <f t="shared" si="67"/>
        <v>-307644.40386904776</v>
      </c>
      <c r="CL98" s="1220">
        <f t="shared" si="67"/>
        <v>-307644.40386904776</v>
      </c>
      <c r="CM98" s="1220">
        <f t="shared" si="67"/>
        <v>-307644.40386904776</v>
      </c>
      <c r="CN98" s="1220">
        <f t="shared" si="67"/>
        <v>-307644.40386904776</v>
      </c>
      <c r="CO98" s="1220">
        <f t="shared" si="67"/>
        <v>-307644.40386904776</v>
      </c>
      <c r="CP98" s="1220">
        <f t="shared" si="67"/>
        <v>-307644.40386904776</v>
      </c>
      <c r="CQ98" s="1220">
        <f t="shared" si="67"/>
        <v>-307644.40386904776</v>
      </c>
      <c r="CR98" s="1220">
        <f t="shared" si="67"/>
        <v>-307644.40386904776</v>
      </c>
      <c r="CS98" s="1220">
        <f t="shared" si="67"/>
        <v>-307644.40386904776</v>
      </c>
      <c r="CT98" s="1220">
        <f t="shared" si="67"/>
        <v>-307644.40386904776</v>
      </c>
      <c r="CU98" s="1220">
        <f t="shared" si="67"/>
        <v>-307644.40386904776</v>
      </c>
      <c r="CV98" s="1220">
        <f t="shared" si="67"/>
        <v>-307644.40386904776</v>
      </c>
      <c r="CW98" s="1220">
        <f t="shared" si="67"/>
        <v>-307644.40386904776</v>
      </c>
      <c r="CX98" s="1220">
        <f t="shared" si="67"/>
        <v>-307644.40386904776</v>
      </c>
      <c r="CY98" s="1220">
        <f t="shared" si="67"/>
        <v>-307644.40386904776</v>
      </c>
      <c r="CZ98" s="1220">
        <f t="shared" si="67"/>
        <v>-307644.40386904776</v>
      </c>
      <c r="DA98" s="1220">
        <f t="shared" si="67"/>
        <v>-307644.40386904776</v>
      </c>
      <c r="DB98" s="1220">
        <f t="shared" si="67"/>
        <v>-307644.40386904776</v>
      </c>
      <c r="DC98" s="1220">
        <f t="shared" si="67"/>
        <v>-307644.40386904776</v>
      </c>
      <c r="DD98" s="1220">
        <f t="shared" si="67"/>
        <v>-307644.40386904776</v>
      </c>
      <c r="DE98" s="1220">
        <f t="shared" si="67"/>
        <v>-307644.40386904776</v>
      </c>
      <c r="DF98" s="101"/>
      <c r="DG98" s="101"/>
      <c r="DH98" s="101"/>
      <c r="DI98" s="101"/>
      <c r="DJ98" s="101"/>
      <c r="DK98" s="101"/>
      <c r="DL98" s="101"/>
      <c r="DM98" s="101"/>
      <c r="DN98" s="101"/>
      <c r="DO98" s="101"/>
      <c r="DP98" s="101"/>
      <c r="DQ98" s="101"/>
      <c r="DR98" s="101"/>
      <c r="DS98" s="101"/>
      <c r="DT98" s="101"/>
      <c r="DU98" s="101"/>
    </row>
    <row r="99" spans="1:132" x14ac:dyDescent="0.3">
      <c r="H99" s="1221"/>
      <c r="L99" s="1220"/>
      <c r="M99" s="1220"/>
      <c r="N99" s="1220"/>
      <c r="O99" s="1220"/>
      <c r="P99" s="1220"/>
      <c r="Q99" s="1220"/>
      <c r="R99" s="1220"/>
      <c r="S99" s="1220"/>
      <c r="T99" s="1220"/>
      <c r="U99" s="1220"/>
      <c r="V99" s="1220"/>
      <c r="W99" s="1220"/>
      <c r="X99" s="1220"/>
      <c r="Y99" s="1220"/>
      <c r="Z99" s="1220"/>
      <c r="AA99" s="1220"/>
      <c r="AB99" s="1220"/>
      <c r="AC99" s="1220"/>
      <c r="AD99" s="1220"/>
      <c r="AE99" s="1220"/>
      <c r="AF99" s="1220"/>
      <c r="AG99" s="1220"/>
      <c r="AH99" s="1220"/>
      <c r="AI99" s="1220"/>
      <c r="AJ99" s="1220"/>
      <c r="AK99" s="1220"/>
      <c r="AL99" s="1220"/>
      <c r="AM99" s="1220"/>
      <c r="AN99" s="1220"/>
      <c r="AO99" s="1220"/>
      <c r="AP99" s="1220"/>
      <c r="AQ99" s="1220">
        <f t="shared" si="67"/>
        <v>0</v>
      </c>
      <c r="AR99" s="1220"/>
      <c r="AS99" s="1220"/>
      <c r="AT99" s="1220"/>
      <c r="AU99" s="1220"/>
      <c r="AV99" s="1220"/>
      <c r="AW99" s="1220"/>
      <c r="AX99" s="1220"/>
      <c r="AY99" s="1220"/>
      <c r="AZ99" s="1220"/>
      <c r="BA99" s="1220"/>
      <c r="BB99" s="1220"/>
      <c r="BC99" s="1220"/>
      <c r="BD99" s="1220"/>
      <c r="BE99" s="1220"/>
      <c r="BF99" s="1220"/>
      <c r="BG99" s="1220"/>
      <c r="BH99" s="1220"/>
      <c r="BI99" s="1220"/>
      <c r="BJ99" s="1220"/>
      <c r="BK99" s="1220"/>
      <c r="BL99" s="1220"/>
      <c r="BM99" s="1220"/>
      <c r="BN99" s="1220"/>
      <c r="BO99" s="1220"/>
      <c r="BP99" s="1220"/>
      <c r="BQ99" s="1220"/>
      <c r="BR99" s="1220"/>
      <c r="BS99" s="1220"/>
      <c r="BT99" s="1220"/>
      <c r="BU99" s="1220"/>
      <c r="BV99" s="1220"/>
      <c r="BW99" s="1220"/>
      <c r="BX99" s="1220"/>
      <c r="BY99" s="1220"/>
      <c r="BZ99" s="1220"/>
      <c r="CA99" s="1220"/>
      <c r="CB99" s="1220"/>
      <c r="CC99" s="1220"/>
      <c r="CD99" s="1220"/>
      <c r="CE99" s="1220"/>
      <c r="CF99" s="1220"/>
      <c r="CG99" s="1220"/>
      <c r="CH99" s="1220"/>
      <c r="CI99" s="1220"/>
      <c r="CJ99" s="1220"/>
      <c r="CK99" s="1220"/>
      <c r="CL99" s="1220"/>
      <c r="CM99" s="1220"/>
      <c r="CN99" s="1220"/>
      <c r="CO99" s="1220"/>
      <c r="CP99" s="1220"/>
      <c r="CQ99" s="1220"/>
      <c r="CR99" s="1220"/>
      <c r="CS99" s="1220"/>
      <c r="CT99" s="1220"/>
      <c r="CU99" s="1220"/>
      <c r="CV99" s="1220"/>
      <c r="CW99" s="1220"/>
      <c r="CX99" s="1220"/>
      <c r="CY99" s="1220"/>
      <c r="CZ99" s="1220"/>
      <c r="DA99" s="1220"/>
      <c r="DB99" s="1220"/>
      <c r="DC99" s="1220"/>
      <c r="DD99" s="1220"/>
      <c r="DE99" s="1220"/>
    </row>
    <row r="100" spans="1:132" x14ac:dyDescent="0.3">
      <c r="A100" s="1214" t="s">
        <v>2179</v>
      </c>
      <c r="H100" s="1215">
        <f>26006428.75-164298.824999988</f>
        <v>25842129.925000012</v>
      </c>
      <c r="L100" s="1220"/>
      <c r="M100" s="1220"/>
      <c r="N100" s="1220"/>
      <c r="O100" s="1220"/>
      <c r="P100" s="1220"/>
      <c r="Q100" s="1220"/>
      <c r="R100" s="1220"/>
      <c r="S100" s="1220"/>
      <c r="T100" s="1220"/>
      <c r="U100" s="1220"/>
      <c r="V100" s="1220"/>
      <c r="W100" s="1220"/>
      <c r="X100" s="1220"/>
      <c r="Y100" s="1220"/>
      <c r="Z100" s="1220"/>
      <c r="AA100" s="1220"/>
      <c r="AB100" s="1220"/>
      <c r="AC100" s="1220"/>
      <c r="AD100" s="1220"/>
      <c r="AE100" s="1220"/>
      <c r="AF100" s="1220"/>
      <c r="AG100" s="1220"/>
      <c r="AH100" s="1220"/>
      <c r="AI100" s="1220"/>
      <c r="AJ100" s="1220"/>
      <c r="AK100" s="1220"/>
      <c r="AL100" s="1220"/>
      <c r="AM100" s="1220"/>
      <c r="AN100" s="1220"/>
      <c r="AO100" s="1220"/>
      <c r="AP100" s="1220"/>
      <c r="AQ100" s="1220">
        <f t="shared" si="67"/>
        <v>-307644.40386904776</v>
      </c>
      <c r="AR100" s="1220">
        <f t="shared" si="67"/>
        <v>-307644.40386904776</v>
      </c>
      <c r="AS100" s="1220">
        <f t="shared" si="67"/>
        <v>-307644.40386904776</v>
      </c>
      <c r="AT100" s="1220">
        <f t="shared" si="67"/>
        <v>-307644.40386904776</v>
      </c>
      <c r="AU100" s="1220">
        <f t="shared" si="67"/>
        <v>-307644.40386904776</v>
      </c>
      <c r="AV100" s="1220">
        <f t="shared" si="67"/>
        <v>-307644.40386904776</v>
      </c>
      <c r="AW100" s="1220">
        <f t="shared" si="67"/>
        <v>-307644.40386904776</v>
      </c>
      <c r="AX100" s="1220">
        <f t="shared" si="67"/>
        <v>-307644.40386904776</v>
      </c>
      <c r="AY100" s="1220">
        <f t="shared" si="67"/>
        <v>-307644.40386904776</v>
      </c>
      <c r="AZ100" s="1220">
        <f t="shared" si="67"/>
        <v>-307644.40386904776</v>
      </c>
      <c r="BA100" s="1220">
        <f t="shared" si="67"/>
        <v>-307644.40386904776</v>
      </c>
      <c r="BB100" s="1220">
        <f t="shared" si="67"/>
        <v>-307644.40386904776</v>
      </c>
      <c r="BC100" s="1220">
        <f t="shared" si="67"/>
        <v>-307644.40386904776</v>
      </c>
      <c r="BD100" s="1220">
        <f t="shared" si="67"/>
        <v>-307644.40386904776</v>
      </c>
      <c r="BE100" s="1220">
        <f t="shared" si="67"/>
        <v>-307644.40386904776</v>
      </c>
      <c r="BF100" s="1220">
        <f t="shared" si="67"/>
        <v>-307644.40386904776</v>
      </c>
      <c r="BG100" s="1220">
        <f t="shared" si="67"/>
        <v>-307644.40386904776</v>
      </c>
      <c r="BH100" s="1220">
        <f t="shared" si="67"/>
        <v>-307644.40386904776</v>
      </c>
      <c r="BI100" s="1220">
        <f t="shared" si="67"/>
        <v>-307644.40386904776</v>
      </c>
      <c r="BJ100" s="1220">
        <f t="shared" si="67"/>
        <v>-307644.40386904776</v>
      </c>
      <c r="BK100" s="1220">
        <f t="shared" si="67"/>
        <v>-307644.40386904776</v>
      </c>
      <c r="BL100" s="1220">
        <f t="shared" si="67"/>
        <v>-307644.40386904776</v>
      </c>
      <c r="BM100" s="1220">
        <f t="shared" si="67"/>
        <v>-307644.40386904776</v>
      </c>
      <c r="BN100" s="1220">
        <f t="shared" si="67"/>
        <v>-307644.40386904776</v>
      </c>
      <c r="BO100" s="1220">
        <f t="shared" si="67"/>
        <v>-307644.40386904776</v>
      </c>
      <c r="BP100" s="1220">
        <f t="shared" si="67"/>
        <v>-307644.40386904776</v>
      </c>
      <c r="BQ100" s="1220">
        <f t="shared" si="67"/>
        <v>-307644.40386904776</v>
      </c>
      <c r="BR100" s="1220">
        <f t="shared" si="67"/>
        <v>-307644.40386904776</v>
      </c>
      <c r="BS100" s="1220">
        <f t="shared" si="67"/>
        <v>-307644.40386904776</v>
      </c>
      <c r="BT100" s="1220">
        <f t="shared" si="67"/>
        <v>-307644.40386904776</v>
      </c>
      <c r="BU100" s="1220">
        <f t="shared" si="67"/>
        <v>-307644.40386904776</v>
      </c>
      <c r="BV100" s="1220">
        <f t="shared" si="67"/>
        <v>-307644.40386904776</v>
      </c>
      <c r="BW100" s="1220">
        <f t="shared" si="67"/>
        <v>-307644.40386904776</v>
      </c>
      <c r="BX100" s="1220">
        <f t="shared" si="67"/>
        <v>-307644.40386904776</v>
      </c>
      <c r="BY100" s="1220">
        <f t="shared" si="67"/>
        <v>-307644.40386904776</v>
      </c>
      <c r="BZ100" s="1220">
        <f t="shared" si="67"/>
        <v>-307644.40386904776</v>
      </c>
      <c r="CA100" s="1220">
        <f t="shared" si="67"/>
        <v>-307644.40386904776</v>
      </c>
      <c r="CB100" s="1220">
        <f t="shared" si="67"/>
        <v>-307644.40386904776</v>
      </c>
      <c r="CC100" s="1220">
        <f t="shared" si="67"/>
        <v>-307644.40386904776</v>
      </c>
      <c r="CD100" s="1220">
        <f t="shared" si="67"/>
        <v>-307644.40386904776</v>
      </c>
      <c r="CE100" s="1220">
        <f t="shared" si="67"/>
        <v>-307644.40386904776</v>
      </c>
      <c r="CF100" s="1220">
        <f t="shared" si="67"/>
        <v>-307644.40386904776</v>
      </c>
      <c r="CG100" s="1220">
        <f t="shared" si="67"/>
        <v>-307644.40386904776</v>
      </c>
      <c r="CH100" s="1220">
        <f t="shared" si="67"/>
        <v>-307644.40386904776</v>
      </c>
      <c r="CI100" s="1220">
        <f t="shared" si="67"/>
        <v>-307644.40386904776</v>
      </c>
      <c r="CJ100" s="1220">
        <f t="shared" si="67"/>
        <v>-307644.40386904776</v>
      </c>
      <c r="CK100" s="1220">
        <f t="shared" si="67"/>
        <v>-307644.40386904776</v>
      </c>
      <c r="CL100" s="1220">
        <f t="shared" si="67"/>
        <v>-307644.40386904776</v>
      </c>
      <c r="CM100" s="1220">
        <f t="shared" si="67"/>
        <v>-307644.40386904776</v>
      </c>
      <c r="CN100" s="1220">
        <f t="shared" si="67"/>
        <v>-307644.40386904776</v>
      </c>
      <c r="CO100" s="1220">
        <f t="shared" si="67"/>
        <v>-307644.40386904776</v>
      </c>
      <c r="CP100" s="1220">
        <f t="shared" si="67"/>
        <v>-307644.40386904776</v>
      </c>
      <c r="CQ100" s="1220">
        <f t="shared" si="67"/>
        <v>-307644.40386904776</v>
      </c>
      <c r="CR100" s="1220">
        <f t="shared" si="67"/>
        <v>-307644.40386904776</v>
      </c>
      <c r="CS100" s="1220">
        <f t="shared" si="67"/>
        <v>-307644.40386904776</v>
      </c>
      <c r="CT100" s="1220">
        <f t="shared" si="67"/>
        <v>-307644.40386904776</v>
      </c>
      <c r="CU100" s="1220">
        <f t="shared" si="67"/>
        <v>-307644.40386904776</v>
      </c>
      <c r="CV100" s="1220">
        <f t="shared" si="67"/>
        <v>-307644.40386904776</v>
      </c>
      <c r="CW100" s="1220">
        <f t="shared" si="67"/>
        <v>-307644.40386904776</v>
      </c>
      <c r="CX100" s="1220">
        <f t="shared" si="67"/>
        <v>-307644.40386904776</v>
      </c>
      <c r="CY100" s="1220">
        <f t="shared" si="67"/>
        <v>-307644.40386904776</v>
      </c>
      <c r="CZ100" s="1220">
        <f t="shared" si="67"/>
        <v>-307644.40386904776</v>
      </c>
      <c r="DA100" s="1220">
        <f t="shared" si="67"/>
        <v>-307644.40386904776</v>
      </c>
      <c r="DB100" s="1220">
        <f t="shared" si="67"/>
        <v>-307644.40386904776</v>
      </c>
      <c r="DC100" s="1220">
        <f t="shared" si="67"/>
        <v>-307644.40386904776</v>
      </c>
      <c r="DD100" s="1220">
        <f t="shared" si="67"/>
        <v>-307644.40386904776</v>
      </c>
      <c r="DE100" s="1220">
        <f t="shared" si="67"/>
        <v>-307644.40386904776</v>
      </c>
      <c r="DF100" s="101"/>
      <c r="DG100" s="101"/>
      <c r="DH100" s="101"/>
      <c r="DI100" s="101"/>
      <c r="DJ100" s="101"/>
      <c r="DK100" s="101"/>
      <c r="DL100" s="101"/>
      <c r="DM100" s="101"/>
      <c r="DN100" s="101"/>
      <c r="DO100" s="101"/>
      <c r="DP100" s="101"/>
      <c r="DQ100" s="101"/>
      <c r="DR100" s="101"/>
      <c r="DS100" s="101"/>
      <c r="DT100" s="101"/>
      <c r="DU100" s="101"/>
      <c r="DV100" s="101"/>
    </row>
    <row r="101" spans="1:132" x14ac:dyDescent="0.3">
      <c r="H101" s="1221"/>
      <c r="L101" s="1220"/>
      <c r="M101" s="1220"/>
      <c r="N101" s="1220"/>
      <c r="O101" s="1220"/>
      <c r="P101" s="1220"/>
      <c r="Q101" s="1220"/>
      <c r="R101" s="1220"/>
      <c r="S101" s="1220"/>
      <c r="T101" s="1220"/>
      <c r="U101" s="1220"/>
      <c r="V101" s="1220"/>
      <c r="W101" s="1220"/>
      <c r="X101" s="1220"/>
      <c r="Y101" s="1220"/>
      <c r="Z101" s="1220"/>
      <c r="AA101" s="1220"/>
      <c r="AB101" s="1220"/>
      <c r="AC101" s="1220"/>
      <c r="AD101" s="1220"/>
      <c r="AE101" s="1220"/>
      <c r="AF101" s="1220"/>
      <c r="AG101" s="1220"/>
      <c r="AH101" s="1220"/>
      <c r="AI101" s="1220"/>
      <c r="AJ101" s="1220"/>
      <c r="AK101" s="1220"/>
      <c r="AL101" s="1220"/>
      <c r="AM101" s="1220"/>
      <c r="AN101" s="1220"/>
      <c r="AO101" s="1220"/>
      <c r="AP101" s="1220"/>
      <c r="AQ101" s="1220"/>
      <c r="AR101" s="1220">
        <f t="shared" si="67"/>
        <v>0</v>
      </c>
      <c r="AS101" s="1220"/>
      <c r="AT101" s="1220"/>
      <c r="AU101" s="1220"/>
      <c r="AV101" s="1220"/>
      <c r="AW101" s="1220"/>
      <c r="AX101" s="1220"/>
      <c r="AY101" s="1220"/>
      <c r="AZ101" s="1220"/>
      <c r="BA101" s="1220"/>
      <c r="BB101" s="1220"/>
      <c r="BC101" s="1220"/>
      <c r="BD101" s="1220"/>
      <c r="BE101" s="1220"/>
      <c r="BF101" s="1220"/>
      <c r="BG101" s="1220"/>
      <c r="BH101" s="1220"/>
      <c r="BI101" s="1220"/>
      <c r="BJ101" s="1220"/>
      <c r="BK101" s="1220"/>
      <c r="BL101" s="1220"/>
      <c r="BM101" s="1220"/>
      <c r="BN101" s="1220"/>
      <c r="BO101" s="1220"/>
      <c r="BP101" s="1220"/>
      <c r="BQ101" s="1220"/>
      <c r="BR101" s="1220"/>
      <c r="BS101" s="1220"/>
      <c r="BT101" s="1220"/>
      <c r="BU101" s="1220"/>
      <c r="BV101" s="1220"/>
      <c r="BW101" s="1220"/>
      <c r="BX101" s="1220"/>
      <c r="BY101" s="1220"/>
      <c r="BZ101" s="1220"/>
      <c r="CA101" s="1220"/>
      <c r="CB101" s="1220"/>
      <c r="CC101" s="1220"/>
      <c r="CD101" s="1220"/>
      <c r="CE101" s="1220"/>
      <c r="CF101" s="1220"/>
      <c r="CG101" s="1220"/>
      <c r="CH101" s="1220"/>
      <c r="CI101" s="1220"/>
      <c r="CJ101" s="1220"/>
      <c r="CK101" s="1220"/>
      <c r="CL101" s="1220"/>
      <c r="CM101" s="1220"/>
      <c r="CN101" s="1220"/>
      <c r="CO101" s="1220"/>
      <c r="CP101" s="1220"/>
      <c r="CQ101" s="1220"/>
      <c r="CR101" s="1220"/>
      <c r="CS101" s="1220"/>
      <c r="CT101" s="1220"/>
      <c r="CU101" s="1220"/>
      <c r="CV101" s="1220"/>
      <c r="CW101" s="1220"/>
      <c r="CX101" s="1220"/>
      <c r="CY101" s="1220"/>
      <c r="CZ101" s="1220"/>
      <c r="DA101" s="1220"/>
      <c r="DB101" s="1220"/>
      <c r="DC101" s="1220"/>
      <c r="DD101" s="1220"/>
      <c r="DE101" s="1220"/>
    </row>
    <row r="102" spans="1:132" x14ac:dyDescent="0.3">
      <c r="A102" s="1214" t="s">
        <v>2180</v>
      </c>
      <c r="H102" s="1215">
        <f>26006428.75-164298.824999988</f>
        <v>25842129.925000012</v>
      </c>
      <c r="L102" s="1220"/>
      <c r="M102" s="1220"/>
      <c r="N102" s="1220"/>
      <c r="O102" s="1220"/>
      <c r="P102" s="1220"/>
      <c r="Q102" s="1220"/>
      <c r="R102" s="1220"/>
      <c r="S102" s="1220"/>
      <c r="T102" s="1220"/>
      <c r="U102" s="1220"/>
      <c r="V102" s="1220"/>
      <c r="W102" s="1220"/>
      <c r="X102" s="1220"/>
      <c r="Y102" s="1220"/>
      <c r="Z102" s="1220"/>
      <c r="AA102" s="1220"/>
      <c r="AB102" s="1220"/>
      <c r="AC102" s="1220"/>
      <c r="AD102" s="1220"/>
      <c r="AE102" s="1220"/>
      <c r="AF102" s="1220"/>
      <c r="AG102" s="1220"/>
      <c r="AH102" s="1220"/>
      <c r="AI102" s="1220"/>
      <c r="AJ102" s="1220"/>
      <c r="AK102" s="1220"/>
      <c r="AL102" s="1220"/>
      <c r="AM102" s="1220"/>
      <c r="AN102" s="1220"/>
      <c r="AO102" s="1220"/>
      <c r="AP102" s="1220"/>
      <c r="AQ102" s="1220"/>
      <c r="AR102" s="1220">
        <f t="shared" si="67"/>
        <v>-307644.40386904776</v>
      </c>
      <c r="AS102" s="1220">
        <f t="shared" si="67"/>
        <v>-307644.40386904776</v>
      </c>
      <c r="AT102" s="1220">
        <f t="shared" si="67"/>
        <v>-307644.40386904776</v>
      </c>
      <c r="AU102" s="1220">
        <f t="shared" si="67"/>
        <v>-307644.40386904776</v>
      </c>
      <c r="AV102" s="1220">
        <f t="shared" si="67"/>
        <v>-307644.40386904776</v>
      </c>
      <c r="AW102" s="1220">
        <f t="shared" si="67"/>
        <v>-307644.40386904776</v>
      </c>
      <c r="AX102" s="1220">
        <f t="shared" si="67"/>
        <v>-307644.40386904776</v>
      </c>
      <c r="AY102" s="1220">
        <f t="shared" si="67"/>
        <v>-307644.40386904776</v>
      </c>
      <c r="AZ102" s="1220">
        <f t="shared" si="67"/>
        <v>-307644.40386904776</v>
      </c>
      <c r="BA102" s="1220">
        <f t="shared" si="67"/>
        <v>-307644.40386904776</v>
      </c>
      <c r="BB102" s="1220">
        <f t="shared" si="67"/>
        <v>-307644.40386904776</v>
      </c>
      <c r="BC102" s="1220">
        <f t="shared" si="67"/>
        <v>-307644.40386904776</v>
      </c>
      <c r="BD102" s="1220">
        <f t="shared" si="67"/>
        <v>-307644.40386904776</v>
      </c>
      <c r="BE102" s="1220">
        <f t="shared" si="67"/>
        <v>-307644.40386904776</v>
      </c>
      <c r="BF102" s="1220">
        <f t="shared" si="67"/>
        <v>-307644.40386904776</v>
      </c>
      <c r="BG102" s="1220">
        <f t="shared" si="67"/>
        <v>-307644.40386904776</v>
      </c>
      <c r="BH102" s="1220">
        <f t="shared" si="67"/>
        <v>-307644.40386904776</v>
      </c>
      <c r="BI102" s="1220">
        <f t="shared" si="67"/>
        <v>-307644.40386904776</v>
      </c>
      <c r="BJ102" s="1220">
        <f t="shared" si="67"/>
        <v>-307644.40386904776</v>
      </c>
      <c r="BK102" s="1220">
        <f t="shared" si="67"/>
        <v>-307644.40386904776</v>
      </c>
      <c r="BL102" s="1220">
        <f t="shared" si="67"/>
        <v>-307644.40386904776</v>
      </c>
      <c r="BM102" s="1220">
        <f t="shared" si="67"/>
        <v>-307644.40386904776</v>
      </c>
      <c r="BN102" s="1220">
        <f t="shared" si="67"/>
        <v>-307644.40386904776</v>
      </c>
      <c r="BO102" s="1220">
        <f t="shared" si="67"/>
        <v>-307644.40386904776</v>
      </c>
      <c r="BP102" s="1220">
        <f t="shared" si="67"/>
        <v>-307644.40386904776</v>
      </c>
      <c r="BQ102" s="1220">
        <f t="shared" si="67"/>
        <v>-307644.40386904776</v>
      </c>
      <c r="BR102" s="1220">
        <f t="shared" si="67"/>
        <v>-307644.40386904776</v>
      </c>
      <c r="BS102" s="1220">
        <f t="shared" si="67"/>
        <v>-307644.40386904776</v>
      </c>
      <c r="BT102" s="1220">
        <f t="shared" si="67"/>
        <v>-307644.40386904776</v>
      </c>
      <c r="BU102" s="1220">
        <f t="shared" si="67"/>
        <v>-307644.40386904776</v>
      </c>
      <c r="BV102" s="1220">
        <f t="shared" si="67"/>
        <v>-307644.40386904776</v>
      </c>
      <c r="BW102" s="1220">
        <f t="shared" si="67"/>
        <v>-307644.40386904776</v>
      </c>
      <c r="BX102" s="1220">
        <f t="shared" si="67"/>
        <v>-307644.40386904776</v>
      </c>
      <c r="BY102" s="1220">
        <f t="shared" si="67"/>
        <v>-307644.40386904776</v>
      </c>
      <c r="BZ102" s="1220">
        <f t="shared" si="67"/>
        <v>-307644.40386904776</v>
      </c>
      <c r="CA102" s="1220">
        <f t="shared" si="67"/>
        <v>-307644.40386904776</v>
      </c>
      <c r="CB102" s="1220">
        <f t="shared" si="67"/>
        <v>-307644.40386904776</v>
      </c>
      <c r="CC102" s="1220">
        <f t="shared" si="67"/>
        <v>-307644.40386904776</v>
      </c>
      <c r="CD102" s="1220">
        <f t="shared" si="67"/>
        <v>-307644.40386904776</v>
      </c>
      <c r="CE102" s="1220">
        <f t="shared" si="67"/>
        <v>-307644.40386904776</v>
      </c>
      <c r="CF102" s="1220">
        <f t="shared" si="67"/>
        <v>-307644.40386904776</v>
      </c>
      <c r="CG102" s="1220">
        <f t="shared" si="67"/>
        <v>-307644.40386904776</v>
      </c>
      <c r="CH102" s="1220">
        <f t="shared" si="67"/>
        <v>-307644.40386904776</v>
      </c>
      <c r="CI102" s="1220">
        <f t="shared" si="67"/>
        <v>-307644.40386904776</v>
      </c>
      <c r="CJ102" s="1220">
        <f t="shared" si="67"/>
        <v>-307644.40386904776</v>
      </c>
      <c r="CK102" s="1220">
        <f t="shared" si="67"/>
        <v>-307644.40386904776</v>
      </c>
      <c r="CL102" s="1220">
        <f t="shared" si="67"/>
        <v>-307644.40386904776</v>
      </c>
      <c r="CM102" s="1220">
        <f t="shared" si="67"/>
        <v>-307644.40386904776</v>
      </c>
      <c r="CN102" s="1220">
        <f t="shared" si="67"/>
        <v>-307644.40386904776</v>
      </c>
      <c r="CO102" s="1220">
        <f t="shared" si="67"/>
        <v>-307644.40386904776</v>
      </c>
      <c r="CP102" s="1220">
        <f t="shared" si="67"/>
        <v>-307644.40386904776</v>
      </c>
      <c r="CQ102" s="1220">
        <f t="shared" si="67"/>
        <v>-307644.40386904776</v>
      </c>
      <c r="CR102" s="1220">
        <f t="shared" si="67"/>
        <v>-307644.40386904776</v>
      </c>
      <c r="CS102" s="1220">
        <f t="shared" si="67"/>
        <v>-307644.40386904776</v>
      </c>
      <c r="CT102" s="1220">
        <f t="shared" si="67"/>
        <v>-307644.40386904776</v>
      </c>
      <c r="CU102" s="1220">
        <f t="shared" si="67"/>
        <v>-307644.40386904776</v>
      </c>
      <c r="CV102" s="1220">
        <f t="shared" si="67"/>
        <v>-307644.40386904776</v>
      </c>
      <c r="CW102" s="1220">
        <f t="shared" si="67"/>
        <v>-307644.40386904776</v>
      </c>
      <c r="CX102" s="1220">
        <f t="shared" si="67"/>
        <v>-307644.40386904776</v>
      </c>
      <c r="CY102" s="1220">
        <f t="shared" si="67"/>
        <v>-307644.40386904776</v>
      </c>
      <c r="CZ102" s="1220">
        <f t="shared" si="67"/>
        <v>-307644.40386904776</v>
      </c>
      <c r="DA102" s="1220">
        <f t="shared" si="67"/>
        <v>-307644.40386904776</v>
      </c>
      <c r="DB102" s="1220">
        <f t="shared" si="67"/>
        <v>-307644.40386904776</v>
      </c>
      <c r="DC102" s="1220">
        <f t="shared" si="67"/>
        <v>-307644.40386904776</v>
      </c>
      <c r="DD102" s="1220">
        <f t="shared" si="67"/>
        <v>-307644.40386904776</v>
      </c>
      <c r="DE102" s="1220">
        <f t="shared" si="67"/>
        <v>-307644.40386904776</v>
      </c>
      <c r="DF102" s="101"/>
      <c r="DG102" s="101"/>
      <c r="DH102" s="101"/>
      <c r="DI102" s="101"/>
      <c r="DJ102" s="101"/>
      <c r="DK102" s="101"/>
      <c r="DL102" s="101"/>
      <c r="DM102" s="101"/>
      <c r="DN102" s="101"/>
      <c r="DO102" s="101"/>
      <c r="DP102" s="101"/>
      <c r="DQ102" s="101"/>
      <c r="DR102" s="101"/>
      <c r="DS102" s="101"/>
      <c r="DT102" s="101"/>
      <c r="DU102" s="101"/>
      <c r="DV102" s="101"/>
      <c r="DW102" s="101"/>
    </row>
    <row r="103" spans="1:132" x14ac:dyDescent="0.3">
      <c r="H103" s="1221"/>
      <c r="L103" s="1220"/>
      <c r="M103" s="1220"/>
      <c r="N103" s="1220"/>
      <c r="O103" s="1220"/>
      <c r="P103" s="1220"/>
      <c r="Q103" s="1220"/>
      <c r="R103" s="1220"/>
      <c r="S103" s="1220"/>
      <c r="T103" s="1220"/>
      <c r="U103" s="1220"/>
      <c r="V103" s="1220"/>
      <c r="W103" s="1220"/>
      <c r="X103" s="1220"/>
      <c r="Y103" s="1220"/>
      <c r="Z103" s="1220"/>
      <c r="AA103" s="1220"/>
      <c r="AB103" s="1220"/>
      <c r="AC103" s="1220"/>
      <c r="AD103" s="1220"/>
      <c r="AE103" s="1220"/>
      <c r="AF103" s="1220"/>
      <c r="AG103" s="1220"/>
      <c r="AH103" s="1220"/>
      <c r="AI103" s="1220"/>
      <c r="AJ103" s="1220"/>
      <c r="AK103" s="1220"/>
      <c r="AL103" s="1220"/>
      <c r="AM103" s="1220"/>
      <c r="AN103" s="1220"/>
      <c r="AO103" s="1220"/>
      <c r="AP103" s="1220"/>
      <c r="AQ103" s="1220"/>
      <c r="AR103" s="1220"/>
      <c r="AS103" s="1220"/>
      <c r="AT103" s="1220"/>
      <c r="AU103" s="1220"/>
      <c r="AV103" s="1220"/>
      <c r="AW103" s="1220"/>
      <c r="AX103" s="1220"/>
      <c r="AY103" s="1220"/>
      <c r="AZ103" s="1220"/>
      <c r="BA103" s="1220"/>
      <c r="BB103" s="1220"/>
      <c r="BC103" s="1220"/>
      <c r="BD103" s="1220"/>
      <c r="BE103" s="1220"/>
      <c r="BF103" s="1220"/>
      <c r="BG103" s="1220"/>
      <c r="BH103" s="1220"/>
      <c r="BI103" s="1220"/>
      <c r="BJ103" s="1220"/>
      <c r="BK103" s="1220"/>
      <c r="BL103" s="1220"/>
      <c r="BM103" s="1220"/>
      <c r="BN103" s="1220"/>
      <c r="BO103" s="1220"/>
      <c r="BP103" s="1220"/>
      <c r="BQ103" s="1220"/>
      <c r="BR103" s="1220"/>
      <c r="BS103" s="1220"/>
      <c r="BT103" s="1220"/>
      <c r="BU103" s="1220"/>
      <c r="BV103" s="1220"/>
      <c r="BW103" s="1220"/>
      <c r="BX103" s="1220"/>
      <c r="BY103" s="1220"/>
      <c r="BZ103" s="1220"/>
      <c r="CA103" s="1220"/>
      <c r="CB103" s="1220"/>
      <c r="CC103" s="1220"/>
      <c r="CD103" s="1220"/>
      <c r="CE103" s="1220"/>
      <c r="CF103" s="1220"/>
      <c r="CG103" s="1220"/>
      <c r="CH103" s="1220"/>
      <c r="CI103" s="1220"/>
      <c r="CJ103" s="1220"/>
      <c r="CK103" s="1220"/>
      <c r="CL103" s="1220"/>
      <c r="CM103" s="1220"/>
      <c r="CN103" s="1220"/>
      <c r="CO103" s="1220"/>
      <c r="CP103" s="1220"/>
      <c r="CQ103" s="1220"/>
      <c r="CR103" s="1220"/>
      <c r="CS103" s="1220"/>
      <c r="CT103" s="1220"/>
      <c r="CU103" s="1220"/>
      <c r="CV103" s="1220"/>
      <c r="CW103" s="1220"/>
      <c r="CX103" s="1220"/>
      <c r="CY103" s="1220"/>
      <c r="CZ103" s="1220"/>
      <c r="DA103" s="1220"/>
      <c r="DB103" s="1220"/>
      <c r="DC103" s="1220"/>
      <c r="DD103" s="1220"/>
      <c r="DE103" s="1220"/>
    </row>
    <row r="104" spans="1:132" x14ac:dyDescent="0.3">
      <c r="A104" s="1214" t="s">
        <v>2181</v>
      </c>
      <c r="H104" s="1215">
        <v>25842129.925000012</v>
      </c>
      <c r="L104" s="1220"/>
      <c r="M104" s="1220"/>
      <c r="N104" s="1220"/>
      <c r="O104" s="1220"/>
      <c r="P104" s="1220"/>
      <c r="Q104" s="1220"/>
      <c r="R104" s="1220"/>
      <c r="S104" s="1220"/>
      <c r="T104" s="1220"/>
      <c r="U104" s="1220"/>
      <c r="V104" s="1220"/>
      <c r="W104" s="1220"/>
      <c r="X104" s="1220"/>
      <c r="Y104" s="1220"/>
      <c r="Z104" s="1220"/>
      <c r="AA104" s="1220"/>
      <c r="AB104" s="1220"/>
      <c r="AC104" s="1220"/>
      <c r="AD104" s="1220"/>
      <c r="AE104" s="1220"/>
      <c r="AF104" s="1220"/>
      <c r="AG104" s="1220"/>
      <c r="AH104" s="1220"/>
      <c r="AI104" s="1220"/>
      <c r="AJ104" s="1220"/>
      <c r="AK104" s="1220"/>
      <c r="AL104" s="1220"/>
      <c r="AM104" s="1220"/>
      <c r="AN104" s="1220"/>
      <c r="AO104" s="1220"/>
      <c r="AP104" s="1220"/>
      <c r="AQ104" s="1220"/>
      <c r="AR104" s="1220"/>
      <c r="AS104" s="1220">
        <f t="shared" ref="AS104:BX104" si="68">-$H104/84</f>
        <v>-307644.40386904776</v>
      </c>
      <c r="AT104" s="1220">
        <f t="shared" si="68"/>
        <v>-307644.40386904776</v>
      </c>
      <c r="AU104" s="1220">
        <f t="shared" si="68"/>
        <v>-307644.40386904776</v>
      </c>
      <c r="AV104" s="1220">
        <f t="shared" si="68"/>
        <v>-307644.40386904776</v>
      </c>
      <c r="AW104" s="1220">
        <f t="shared" si="68"/>
        <v>-307644.40386904776</v>
      </c>
      <c r="AX104" s="1220">
        <f t="shared" si="68"/>
        <v>-307644.40386904776</v>
      </c>
      <c r="AY104" s="1220">
        <f t="shared" si="68"/>
        <v>-307644.40386904776</v>
      </c>
      <c r="AZ104" s="1220">
        <f t="shared" si="68"/>
        <v>-307644.40386904776</v>
      </c>
      <c r="BA104" s="1220">
        <f t="shared" si="68"/>
        <v>-307644.40386904776</v>
      </c>
      <c r="BB104" s="1220">
        <f t="shared" si="68"/>
        <v>-307644.40386904776</v>
      </c>
      <c r="BC104" s="1220">
        <f t="shared" si="68"/>
        <v>-307644.40386904776</v>
      </c>
      <c r="BD104" s="1220">
        <f t="shared" si="68"/>
        <v>-307644.40386904776</v>
      </c>
      <c r="BE104" s="1220">
        <f t="shared" si="68"/>
        <v>-307644.40386904776</v>
      </c>
      <c r="BF104" s="1220">
        <f t="shared" si="68"/>
        <v>-307644.40386904776</v>
      </c>
      <c r="BG104" s="1220">
        <f t="shared" si="68"/>
        <v>-307644.40386904776</v>
      </c>
      <c r="BH104" s="1220">
        <f t="shared" si="68"/>
        <v>-307644.40386904776</v>
      </c>
      <c r="BI104" s="1220">
        <f t="shared" si="68"/>
        <v>-307644.40386904776</v>
      </c>
      <c r="BJ104" s="1220">
        <f t="shared" si="68"/>
        <v>-307644.40386904776</v>
      </c>
      <c r="BK104" s="1220">
        <f t="shared" si="68"/>
        <v>-307644.40386904776</v>
      </c>
      <c r="BL104" s="1220">
        <f t="shared" si="68"/>
        <v>-307644.40386904776</v>
      </c>
      <c r="BM104" s="1220">
        <f t="shared" si="68"/>
        <v>-307644.40386904776</v>
      </c>
      <c r="BN104" s="1220">
        <f t="shared" si="68"/>
        <v>-307644.40386904776</v>
      </c>
      <c r="BO104" s="1220">
        <f t="shared" si="68"/>
        <v>-307644.40386904776</v>
      </c>
      <c r="BP104" s="1220">
        <f t="shared" si="68"/>
        <v>-307644.40386904776</v>
      </c>
      <c r="BQ104" s="1220">
        <f t="shared" si="68"/>
        <v>-307644.40386904776</v>
      </c>
      <c r="BR104" s="1220">
        <f t="shared" si="68"/>
        <v>-307644.40386904776</v>
      </c>
      <c r="BS104" s="1220">
        <f t="shared" si="68"/>
        <v>-307644.40386904776</v>
      </c>
      <c r="BT104" s="1220">
        <f t="shared" si="68"/>
        <v>-307644.40386904776</v>
      </c>
      <c r="BU104" s="1220">
        <f t="shared" si="68"/>
        <v>-307644.40386904776</v>
      </c>
      <c r="BV104" s="1220">
        <f t="shared" si="68"/>
        <v>-307644.40386904776</v>
      </c>
      <c r="BW104" s="1220">
        <f t="shared" si="68"/>
        <v>-307644.40386904776</v>
      </c>
      <c r="BX104" s="1220">
        <f t="shared" si="68"/>
        <v>-307644.40386904776</v>
      </c>
      <c r="BY104" s="1220">
        <f t="shared" ref="BY104:DE104" si="69">-$H104/84</f>
        <v>-307644.40386904776</v>
      </c>
      <c r="BZ104" s="1220">
        <f t="shared" si="69"/>
        <v>-307644.40386904776</v>
      </c>
      <c r="CA104" s="1220">
        <f t="shared" si="69"/>
        <v>-307644.40386904776</v>
      </c>
      <c r="CB104" s="1220">
        <f t="shared" si="69"/>
        <v>-307644.40386904776</v>
      </c>
      <c r="CC104" s="1220">
        <f t="shared" si="69"/>
        <v>-307644.40386904776</v>
      </c>
      <c r="CD104" s="1220">
        <f t="shared" si="69"/>
        <v>-307644.40386904776</v>
      </c>
      <c r="CE104" s="1220">
        <f t="shared" si="69"/>
        <v>-307644.40386904776</v>
      </c>
      <c r="CF104" s="1220">
        <f t="shared" si="69"/>
        <v>-307644.40386904776</v>
      </c>
      <c r="CG104" s="1220">
        <f t="shared" si="69"/>
        <v>-307644.40386904776</v>
      </c>
      <c r="CH104" s="1220">
        <f t="shared" si="69"/>
        <v>-307644.40386904776</v>
      </c>
      <c r="CI104" s="1220">
        <f t="shared" si="69"/>
        <v>-307644.40386904776</v>
      </c>
      <c r="CJ104" s="1220">
        <f t="shared" si="69"/>
        <v>-307644.40386904776</v>
      </c>
      <c r="CK104" s="1220">
        <f t="shared" si="69"/>
        <v>-307644.40386904776</v>
      </c>
      <c r="CL104" s="1220">
        <f t="shared" si="69"/>
        <v>-307644.40386904776</v>
      </c>
      <c r="CM104" s="1220">
        <f t="shared" si="69"/>
        <v>-307644.40386904776</v>
      </c>
      <c r="CN104" s="1220">
        <f t="shared" si="69"/>
        <v>-307644.40386904776</v>
      </c>
      <c r="CO104" s="1220">
        <f t="shared" si="69"/>
        <v>-307644.40386904776</v>
      </c>
      <c r="CP104" s="1220">
        <f t="shared" si="69"/>
        <v>-307644.40386904776</v>
      </c>
      <c r="CQ104" s="1220">
        <f t="shared" si="69"/>
        <v>-307644.40386904776</v>
      </c>
      <c r="CR104" s="1220">
        <f t="shared" si="69"/>
        <v>-307644.40386904776</v>
      </c>
      <c r="CS104" s="1220">
        <f t="shared" si="69"/>
        <v>-307644.40386904776</v>
      </c>
      <c r="CT104" s="1220">
        <f t="shared" si="69"/>
        <v>-307644.40386904776</v>
      </c>
      <c r="CU104" s="1220">
        <f t="shared" si="69"/>
        <v>-307644.40386904776</v>
      </c>
      <c r="CV104" s="1220">
        <f t="shared" si="69"/>
        <v>-307644.40386904776</v>
      </c>
      <c r="CW104" s="1220">
        <f t="shared" si="69"/>
        <v>-307644.40386904776</v>
      </c>
      <c r="CX104" s="1220">
        <f t="shared" si="69"/>
        <v>-307644.40386904776</v>
      </c>
      <c r="CY104" s="1220">
        <f t="shared" si="69"/>
        <v>-307644.40386904776</v>
      </c>
      <c r="CZ104" s="1220">
        <f t="shared" si="69"/>
        <v>-307644.40386904776</v>
      </c>
      <c r="DA104" s="1220">
        <f t="shared" si="69"/>
        <v>-307644.40386904776</v>
      </c>
      <c r="DB104" s="1220">
        <f t="shared" si="69"/>
        <v>-307644.40386904776</v>
      </c>
      <c r="DC104" s="1220">
        <f t="shared" si="69"/>
        <v>-307644.40386904776</v>
      </c>
      <c r="DD104" s="1220">
        <f t="shared" si="69"/>
        <v>-307644.40386904776</v>
      </c>
      <c r="DE104" s="1220">
        <f t="shared" si="69"/>
        <v>-307644.40386904776</v>
      </c>
      <c r="DF104" s="101"/>
      <c r="DG104" s="101"/>
      <c r="DH104" s="101"/>
      <c r="DI104" s="101"/>
      <c r="DJ104" s="101"/>
      <c r="DK104" s="101"/>
      <c r="DL104" s="101"/>
      <c r="DM104" s="101"/>
      <c r="DN104" s="101"/>
      <c r="DO104" s="101"/>
      <c r="DP104" s="101"/>
      <c r="DQ104" s="101"/>
      <c r="DR104" s="101"/>
      <c r="DS104" s="101"/>
      <c r="DT104" s="101"/>
      <c r="DU104" s="101"/>
      <c r="DV104" s="101"/>
      <c r="DW104" s="101"/>
      <c r="DX104" s="101"/>
    </row>
    <row r="105" spans="1:132" x14ac:dyDescent="0.3">
      <c r="H105" s="1221"/>
      <c r="L105" s="1220"/>
      <c r="M105" s="1220"/>
      <c r="N105" s="1220"/>
      <c r="O105" s="1220"/>
      <c r="P105" s="1220"/>
      <c r="Q105" s="1220"/>
      <c r="R105" s="1220"/>
      <c r="S105" s="1220"/>
      <c r="T105" s="1220"/>
      <c r="U105" s="1220"/>
      <c r="V105" s="1220"/>
      <c r="W105" s="1220"/>
      <c r="X105" s="1220"/>
      <c r="Y105" s="1220"/>
      <c r="Z105" s="1220"/>
      <c r="AA105" s="1220"/>
      <c r="AB105" s="1220"/>
      <c r="AC105" s="1220"/>
      <c r="AD105" s="1220"/>
      <c r="AE105" s="1220"/>
      <c r="AF105" s="1220"/>
      <c r="AG105" s="1220"/>
      <c r="AH105" s="1220"/>
      <c r="AI105" s="1220"/>
      <c r="AJ105" s="1220"/>
      <c r="AK105" s="1220"/>
      <c r="AL105" s="1220"/>
      <c r="AM105" s="1220"/>
      <c r="AN105" s="1220"/>
      <c r="AO105" s="1220"/>
      <c r="AP105" s="1220"/>
      <c r="AQ105" s="1220"/>
      <c r="AR105" s="1220"/>
      <c r="AS105" s="1220"/>
      <c r="AT105" s="1220"/>
      <c r="AU105" s="1220"/>
      <c r="AV105" s="1220"/>
      <c r="AW105" s="1220"/>
      <c r="AX105" s="1220"/>
      <c r="AY105" s="1220"/>
      <c r="AZ105" s="1220"/>
      <c r="BA105" s="1220"/>
      <c r="BB105" s="1220"/>
      <c r="BC105" s="1220"/>
      <c r="BD105" s="1220"/>
      <c r="BE105" s="1220"/>
      <c r="BF105" s="1220"/>
      <c r="BG105" s="1220"/>
      <c r="BH105" s="1220"/>
      <c r="BI105" s="1220"/>
      <c r="BJ105" s="1220"/>
      <c r="BK105" s="1220"/>
      <c r="BL105" s="1220"/>
      <c r="BM105" s="1220"/>
      <c r="BN105" s="1220"/>
      <c r="BO105" s="1220"/>
      <c r="BP105" s="1220"/>
      <c r="BQ105" s="1220"/>
      <c r="BR105" s="1220"/>
      <c r="BS105" s="1220"/>
      <c r="BT105" s="1220"/>
      <c r="BU105" s="1220"/>
      <c r="BV105" s="1220"/>
      <c r="BW105" s="1220"/>
      <c r="BX105" s="1220"/>
      <c r="BY105" s="1220"/>
      <c r="BZ105" s="1220"/>
      <c r="CA105" s="1220"/>
      <c r="CB105" s="1220"/>
      <c r="CC105" s="1220"/>
      <c r="CD105" s="1220"/>
      <c r="CE105" s="1220"/>
      <c r="CF105" s="1220"/>
      <c r="CG105" s="1220"/>
      <c r="CH105" s="1220"/>
      <c r="CI105" s="1220"/>
      <c r="CJ105" s="1220"/>
      <c r="CK105" s="1220"/>
      <c r="CL105" s="1220"/>
      <c r="CM105" s="1220"/>
      <c r="CN105" s="1220"/>
      <c r="CO105" s="1220"/>
      <c r="CP105" s="1220"/>
      <c r="CQ105" s="1220"/>
      <c r="CR105" s="1220"/>
      <c r="CS105" s="1220"/>
      <c r="CT105" s="1220"/>
      <c r="CU105" s="1220"/>
      <c r="CV105" s="1220"/>
      <c r="CW105" s="1220"/>
      <c r="CX105" s="1220"/>
      <c r="CY105" s="1220"/>
      <c r="CZ105" s="1220"/>
      <c r="DA105" s="1220"/>
      <c r="DB105" s="1220"/>
      <c r="DC105" s="1220"/>
      <c r="DD105" s="1220"/>
      <c r="DE105" s="1220"/>
    </row>
    <row r="106" spans="1:132" x14ac:dyDescent="0.3">
      <c r="A106" s="1214" t="s">
        <v>2182</v>
      </c>
      <c r="H106" s="1215">
        <v>25842129.925000012</v>
      </c>
      <c r="L106" s="1220"/>
      <c r="M106" s="1220"/>
      <c r="N106" s="1220"/>
      <c r="O106" s="1220"/>
      <c r="P106" s="1220"/>
      <c r="Q106" s="1220"/>
      <c r="R106" s="1220"/>
      <c r="S106" s="1220"/>
      <c r="T106" s="1220"/>
      <c r="U106" s="1220"/>
      <c r="V106" s="1220"/>
      <c r="W106" s="1220"/>
      <c r="X106" s="1220"/>
      <c r="Y106" s="1220"/>
      <c r="Z106" s="1220"/>
      <c r="AA106" s="1220"/>
      <c r="AB106" s="1220"/>
      <c r="AC106" s="1220"/>
      <c r="AD106" s="1220"/>
      <c r="AE106" s="1220"/>
      <c r="AF106" s="1220"/>
      <c r="AG106" s="1220"/>
      <c r="AH106" s="1220"/>
      <c r="AI106" s="1220"/>
      <c r="AJ106" s="1220"/>
      <c r="AK106" s="1220"/>
      <c r="AL106" s="1220"/>
      <c r="AM106" s="1220"/>
      <c r="AN106" s="1220"/>
      <c r="AO106" s="1220"/>
      <c r="AP106" s="1220"/>
      <c r="AQ106" s="1220"/>
      <c r="AR106" s="1220"/>
      <c r="AS106" s="1220"/>
      <c r="AT106" s="1220">
        <f t="shared" ref="AT106:BY106" si="70">-$H106/84</f>
        <v>-307644.40386904776</v>
      </c>
      <c r="AU106" s="1220">
        <f t="shared" si="70"/>
        <v>-307644.40386904776</v>
      </c>
      <c r="AV106" s="1220">
        <f t="shared" si="70"/>
        <v>-307644.40386904776</v>
      </c>
      <c r="AW106" s="1220">
        <f t="shared" si="70"/>
        <v>-307644.40386904776</v>
      </c>
      <c r="AX106" s="1220">
        <f t="shared" si="70"/>
        <v>-307644.40386904776</v>
      </c>
      <c r="AY106" s="1220">
        <f t="shared" si="70"/>
        <v>-307644.40386904776</v>
      </c>
      <c r="AZ106" s="1220">
        <f t="shared" si="70"/>
        <v>-307644.40386904776</v>
      </c>
      <c r="BA106" s="1220">
        <f t="shared" si="70"/>
        <v>-307644.40386904776</v>
      </c>
      <c r="BB106" s="1220">
        <f t="shared" si="70"/>
        <v>-307644.40386904776</v>
      </c>
      <c r="BC106" s="1220">
        <f t="shared" si="70"/>
        <v>-307644.40386904776</v>
      </c>
      <c r="BD106" s="1220">
        <f t="shared" si="70"/>
        <v>-307644.40386904776</v>
      </c>
      <c r="BE106" s="1220">
        <f t="shared" si="70"/>
        <v>-307644.40386904776</v>
      </c>
      <c r="BF106" s="1220">
        <f t="shared" si="70"/>
        <v>-307644.40386904776</v>
      </c>
      <c r="BG106" s="1220">
        <f t="shared" si="70"/>
        <v>-307644.40386904776</v>
      </c>
      <c r="BH106" s="1220">
        <f t="shared" si="70"/>
        <v>-307644.40386904776</v>
      </c>
      <c r="BI106" s="1220">
        <f t="shared" si="70"/>
        <v>-307644.40386904776</v>
      </c>
      <c r="BJ106" s="1220">
        <f t="shared" si="70"/>
        <v>-307644.40386904776</v>
      </c>
      <c r="BK106" s="1220">
        <f t="shared" si="70"/>
        <v>-307644.40386904776</v>
      </c>
      <c r="BL106" s="1220">
        <f t="shared" si="70"/>
        <v>-307644.40386904776</v>
      </c>
      <c r="BM106" s="1220">
        <f t="shared" si="70"/>
        <v>-307644.40386904776</v>
      </c>
      <c r="BN106" s="1220">
        <f t="shared" si="70"/>
        <v>-307644.40386904776</v>
      </c>
      <c r="BO106" s="1220">
        <f t="shared" si="70"/>
        <v>-307644.40386904776</v>
      </c>
      <c r="BP106" s="1220">
        <f t="shared" si="70"/>
        <v>-307644.40386904776</v>
      </c>
      <c r="BQ106" s="1220">
        <f t="shared" si="70"/>
        <v>-307644.40386904776</v>
      </c>
      <c r="BR106" s="1220">
        <f t="shared" si="70"/>
        <v>-307644.40386904776</v>
      </c>
      <c r="BS106" s="1220">
        <f t="shared" si="70"/>
        <v>-307644.40386904776</v>
      </c>
      <c r="BT106" s="1220">
        <f t="shared" si="70"/>
        <v>-307644.40386904776</v>
      </c>
      <c r="BU106" s="1220">
        <f t="shared" si="70"/>
        <v>-307644.40386904776</v>
      </c>
      <c r="BV106" s="1220">
        <f t="shared" si="70"/>
        <v>-307644.40386904776</v>
      </c>
      <c r="BW106" s="1220">
        <f t="shared" si="70"/>
        <v>-307644.40386904776</v>
      </c>
      <c r="BX106" s="1220">
        <f t="shared" si="70"/>
        <v>-307644.40386904776</v>
      </c>
      <c r="BY106" s="1220">
        <f t="shared" si="70"/>
        <v>-307644.40386904776</v>
      </c>
      <c r="BZ106" s="1220">
        <f t="shared" ref="BZ106:DE106" si="71">-$H106/84</f>
        <v>-307644.40386904776</v>
      </c>
      <c r="CA106" s="1220">
        <f t="shared" si="71"/>
        <v>-307644.40386904776</v>
      </c>
      <c r="CB106" s="1220">
        <f t="shared" si="71"/>
        <v>-307644.40386904776</v>
      </c>
      <c r="CC106" s="1220">
        <f t="shared" si="71"/>
        <v>-307644.40386904776</v>
      </c>
      <c r="CD106" s="1220">
        <f t="shared" si="71"/>
        <v>-307644.40386904776</v>
      </c>
      <c r="CE106" s="1220">
        <f t="shared" si="71"/>
        <v>-307644.40386904776</v>
      </c>
      <c r="CF106" s="1220">
        <f t="shared" si="71"/>
        <v>-307644.40386904776</v>
      </c>
      <c r="CG106" s="1220">
        <f t="shared" si="71"/>
        <v>-307644.40386904776</v>
      </c>
      <c r="CH106" s="1220">
        <f t="shared" si="71"/>
        <v>-307644.40386904776</v>
      </c>
      <c r="CI106" s="1220">
        <f t="shared" si="71"/>
        <v>-307644.40386904776</v>
      </c>
      <c r="CJ106" s="1220">
        <f t="shared" si="71"/>
        <v>-307644.40386904776</v>
      </c>
      <c r="CK106" s="1220">
        <f t="shared" si="71"/>
        <v>-307644.40386904776</v>
      </c>
      <c r="CL106" s="1220">
        <f t="shared" si="71"/>
        <v>-307644.40386904776</v>
      </c>
      <c r="CM106" s="1220">
        <f t="shared" si="71"/>
        <v>-307644.40386904776</v>
      </c>
      <c r="CN106" s="1220">
        <f t="shared" si="71"/>
        <v>-307644.40386904776</v>
      </c>
      <c r="CO106" s="1220">
        <f t="shared" si="71"/>
        <v>-307644.40386904776</v>
      </c>
      <c r="CP106" s="1220">
        <f t="shared" si="71"/>
        <v>-307644.40386904776</v>
      </c>
      <c r="CQ106" s="1220">
        <f t="shared" si="71"/>
        <v>-307644.40386904776</v>
      </c>
      <c r="CR106" s="1220">
        <f t="shared" si="71"/>
        <v>-307644.40386904776</v>
      </c>
      <c r="CS106" s="1220">
        <f t="shared" si="71"/>
        <v>-307644.40386904776</v>
      </c>
      <c r="CT106" s="1220">
        <f t="shared" si="71"/>
        <v>-307644.40386904776</v>
      </c>
      <c r="CU106" s="1220">
        <f t="shared" si="71"/>
        <v>-307644.40386904776</v>
      </c>
      <c r="CV106" s="1220">
        <f t="shared" si="71"/>
        <v>-307644.40386904776</v>
      </c>
      <c r="CW106" s="1220">
        <f t="shared" si="71"/>
        <v>-307644.40386904776</v>
      </c>
      <c r="CX106" s="1220">
        <f t="shared" si="71"/>
        <v>-307644.40386904776</v>
      </c>
      <c r="CY106" s="1220">
        <f t="shared" si="71"/>
        <v>-307644.40386904776</v>
      </c>
      <c r="CZ106" s="1220">
        <f t="shared" si="71"/>
        <v>-307644.40386904776</v>
      </c>
      <c r="DA106" s="1220">
        <f t="shared" si="71"/>
        <v>-307644.40386904776</v>
      </c>
      <c r="DB106" s="1220">
        <f t="shared" si="71"/>
        <v>-307644.40386904776</v>
      </c>
      <c r="DC106" s="1220">
        <f t="shared" si="71"/>
        <v>-307644.40386904776</v>
      </c>
      <c r="DD106" s="1220">
        <f t="shared" si="71"/>
        <v>-307644.40386904776</v>
      </c>
      <c r="DE106" s="1220">
        <f t="shared" si="71"/>
        <v>-307644.40386904776</v>
      </c>
      <c r="DF106" s="101"/>
      <c r="DG106" s="101"/>
      <c r="DH106" s="101"/>
      <c r="DI106" s="101"/>
      <c r="DJ106" s="101"/>
      <c r="DK106" s="101"/>
      <c r="DL106" s="101"/>
      <c r="DM106" s="101"/>
      <c r="DN106" s="101"/>
      <c r="DO106" s="101"/>
      <c r="DP106" s="101"/>
      <c r="DQ106" s="101"/>
      <c r="DR106" s="101"/>
      <c r="DS106" s="101"/>
      <c r="DT106" s="101"/>
      <c r="DU106" s="101"/>
      <c r="DV106" s="101"/>
      <c r="DW106" s="101"/>
      <c r="DX106" s="101"/>
      <c r="DY106" s="101"/>
    </row>
    <row r="107" spans="1:132" x14ac:dyDescent="0.3">
      <c r="H107" s="1221"/>
      <c r="L107" s="1220"/>
      <c r="M107" s="1220"/>
      <c r="N107" s="1220"/>
      <c r="O107" s="1220"/>
      <c r="P107" s="1220"/>
      <c r="Q107" s="1220"/>
      <c r="R107" s="1220"/>
      <c r="S107" s="1220"/>
      <c r="T107" s="1220"/>
      <c r="U107" s="1220"/>
      <c r="V107" s="1220"/>
      <c r="W107" s="1220"/>
      <c r="X107" s="1220"/>
      <c r="Y107" s="1220"/>
      <c r="Z107" s="1220"/>
      <c r="AA107" s="1220"/>
      <c r="AB107" s="1220"/>
      <c r="AC107" s="1220"/>
      <c r="AD107" s="1220"/>
      <c r="AE107" s="1220"/>
      <c r="AF107" s="1220"/>
      <c r="AG107" s="1220"/>
      <c r="AH107" s="1220"/>
      <c r="AI107" s="1220"/>
      <c r="AJ107" s="1220"/>
      <c r="AK107" s="1220"/>
      <c r="AL107" s="1220"/>
      <c r="AM107" s="1220"/>
      <c r="AN107" s="1220"/>
      <c r="AO107" s="1220"/>
      <c r="AP107" s="1220"/>
      <c r="AQ107" s="1220"/>
      <c r="AR107" s="1220"/>
      <c r="AS107" s="1220"/>
      <c r="AT107" s="1220"/>
      <c r="AU107" s="1220"/>
      <c r="AV107" s="1220"/>
      <c r="AW107" s="1220"/>
      <c r="AX107" s="1220"/>
      <c r="AY107" s="1220"/>
      <c r="AZ107" s="1220"/>
      <c r="BA107" s="1220"/>
      <c r="BB107" s="1220"/>
      <c r="BC107" s="1220"/>
      <c r="BD107" s="1220"/>
      <c r="BE107" s="1220"/>
      <c r="BF107" s="1220"/>
      <c r="BG107" s="1220"/>
      <c r="BH107" s="1220"/>
      <c r="BI107" s="1220"/>
      <c r="BJ107" s="1220"/>
      <c r="BK107" s="1220"/>
      <c r="BL107" s="1220"/>
      <c r="BM107" s="1220"/>
      <c r="BN107" s="1220"/>
      <c r="BO107" s="1220"/>
      <c r="BP107" s="1220"/>
      <c r="BQ107" s="1220"/>
      <c r="BR107" s="1220"/>
      <c r="BS107" s="1220"/>
      <c r="BT107" s="1220"/>
      <c r="BU107" s="1220"/>
      <c r="BV107" s="1220"/>
      <c r="BW107" s="1220"/>
      <c r="BX107" s="1220"/>
      <c r="BY107" s="1220"/>
      <c r="BZ107" s="1220"/>
      <c r="CA107" s="1220"/>
      <c r="CB107" s="1220"/>
      <c r="CC107" s="1220"/>
      <c r="CD107" s="1220"/>
      <c r="CE107" s="1220"/>
      <c r="CF107" s="1220"/>
      <c r="CG107" s="1220"/>
      <c r="CH107" s="1220"/>
      <c r="CI107" s="1220"/>
      <c r="CJ107" s="1220"/>
      <c r="CK107" s="1220"/>
      <c r="CL107" s="1220"/>
      <c r="CM107" s="1220"/>
      <c r="CN107" s="1220"/>
      <c r="CO107" s="1220"/>
      <c r="CP107" s="1220"/>
      <c r="CQ107" s="1220"/>
      <c r="CR107" s="1220"/>
      <c r="CS107" s="1220"/>
      <c r="CT107" s="1220"/>
      <c r="CU107" s="1220"/>
      <c r="CV107" s="1220"/>
      <c r="CW107" s="1220"/>
      <c r="CX107" s="1220"/>
      <c r="CY107" s="1220"/>
      <c r="CZ107" s="1220"/>
      <c r="DA107" s="1220"/>
      <c r="DB107" s="1220"/>
      <c r="DC107" s="1220"/>
      <c r="DD107" s="1220"/>
      <c r="DE107" s="1220"/>
    </row>
    <row r="108" spans="1:132" x14ac:dyDescent="0.3">
      <c r="A108" s="1214" t="s">
        <v>2183</v>
      </c>
      <c r="H108" s="1215">
        <v>25842129.925000012</v>
      </c>
      <c r="L108" s="1220"/>
      <c r="M108" s="1220"/>
      <c r="N108" s="1220"/>
      <c r="O108" s="1220"/>
      <c r="P108" s="1220"/>
      <c r="Q108" s="1220"/>
      <c r="R108" s="1220"/>
      <c r="S108" s="1220"/>
      <c r="T108" s="1220"/>
      <c r="U108" s="1220"/>
      <c r="V108" s="1220"/>
      <c r="W108" s="1220"/>
      <c r="X108" s="1220"/>
      <c r="Y108" s="1220"/>
      <c r="Z108" s="1220"/>
      <c r="AA108" s="1220"/>
      <c r="AB108" s="1220"/>
      <c r="AC108" s="1220"/>
      <c r="AD108" s="1220"/>
      <c r="AE108" s="1220"/>
      <c r="AF108" s="1220"/>
      <c r="AG108" s="1220"/>
      <c r="AH108" s="1220"/>
      <c r="AI108" s="1220"/>
      <c r="AJ108" s="1220"/>
      <c r="AK108" s="1220"/>
      <c r="AL108" s="1220"/>
      <c r="AM108" s="1220"/>
      <c r="AN108" s="1220"/>
      <c r="AO108" s="1220"/>
      <c r="AP108" s="1220"/>
      <c r="AQ108" s="1220"/>
      <c r="AR108" s="1220"/>
      <c r="AS108" s="1220"/>
      <c r="AT108" s="1220"/>
      <c r="AU108" s="1220">
        <f t="shared" ref="AU108:BZ108" si="72">-$H108/84</f>
        <v>-307644.40386904776</v>
      </c>
      <c r="AV108" s="1220">
        <f t="shared" si="72"/>
        <v>-307644.40386904776</v>
      </c>
      <c r="AW108" s="1220">
        <f t="shared" si="72"/>
        <v>-307644.40386904776</v>
      </c>
      <c r="AX108" s="1220">
        <f t="shared" si="72"/>
        <v>-307644.40386904776</v>
      </c>
      <c r="AY108" s="1220">
        <f t="shared" si="72"/>
        <v>-307644.40386904776</v>
      </c>
      <c r="AZ108" s="1220">
        <f t="shared" si="72"/>
        <v>-307644.40386904776</v>
      </c>
      <c r="BA108" s="1220">
        <f t="shared" si="72"/>
        <v>-307644.40386904776</v>
      </c>
      <c r="BB108" s="1220">
        <f t="shared" si="72"/>
        <v>-307644.40386904776</v>
      </c>
      <c r="BC108" s="1220">
        <f t="shared" si="72"/>
        <v>-307644.40386904776</v>
      </c>
      <c r="BD108" s="1220">
        <f t="shared" si="72"/>
        <v>-307644.40386904776</v>
      </c>
      <c r="BE108" s="1220">
        <f t="shared" si="72"/>
        <v>-307644.40386904776</v>
      </c>
      <c r="BF108" s="1220">
        <f t="shared" si="72"/>
        <v>-307644.40386904776</v>
      </c>
      <c r="BG108" s="1220">
        <f t="shared" si="72"/>
        <v>-307644.40386904776</v>
      </c>
      <c r="BH108" s="1220">
        <f t="shared" si="72"/>
        <v>-307644.40386904776</v>
      </c>
      <c r="BI108" s="1220">
        <f t="shared" si="72"/>
        <v>-307644.40386904776</v>
      </c>
      <c r="BJ108" s="1220">
        <f t="shared" si="72"/>
        <v>-307644.40386904776</v>
      </c>
      <c r="BK108" s="1220">
        <f t="shared" si="72"/>
        <v>-307644.40386904776</v>
      </c>
      <c r="BL108" s="1220">
        <f t="shared" si="72"/>
        <v>-307644.40386904776</v>
      </c>
      <c r="BM108" s="1220">
        <f t="shared" si="72"/>
        <v>-307644.40386904776</v>
      </c>
      <c r="BN108" s="1220">
        <f t="shared" si="72"/>
        <v>-307644.40386904776</v>
      </c>
      <c r="BO108" s="1220">
        <f t="shared" si="72"/>
        <v>-307644.40386904776</v>
      </c>
      <c r="BP108" s="1220">
        <f t="shared" si="72"/>
        <v>-307644.40386904776</v>
      </c>
      <c r="BQ108" s="1220">
        <f t="shared" si="72"/>
        <v>-307644.40386904776</v>
      </c>
      <c r="BR108" s="1220">
        <f t="shared" si="72"/>
        <v>-307644.40386904776</v>
      </c>
      <c r="BS108" s="1220">
        <f t="shared" si="72"/>
        <v>-307644.40386904776</v>
      </c>
      <c r="BT108" s="1220">
        <f t="shared" si="72"/>
        <v>-307644.40386904776</v>
      </c>
      <c r="BU108" s="1220">
        <f t="shared" si="72"/>
        <v>-307644.40386904776</v>
      </c>
      <c r="BV108" s="1220">
        <f t="shared" si="72"/>
        <v>-307644.40386904776</v>
      </c>
      <c r="BW108" s="1220">
        <f t="shared" si="72"/>
        <v>-307644.40386904776</v>
      </c>
      <c r="BX108" s="1220">
        <f t="shared" si="72"/>
        <v>-307644.40386904776</v>
      </c>
      <c r="BY108" s="1220">
        <f t="shared" si="72"/>
        <v>-307644.40386904776</v>
      </c>
      <c r="BZ108" s="1220">
        <f t="shared" si="72"/>
        <v>-307644.40386904776</v>
      </c>
      <c r="CA108" s="1220">
        <f t="shared" ref="CA108:DE108" si="73">-$H108/84</f>
        <v>-307644.40386904776</v>
      </c>
      <c r="CB108" s="1220">
        <f t="shared" si="73"/>
        <v>-307644.40386904776</v>
      </c>
      <c r="CC108" s="1220">
        <f t="shared" si="73"/>
        <v>-307644.40386904776</v>
      </c>
      <c r="CD108" s="1220">
        <f t="shared" si="73"/>
        <v>-307644.40386904776</v>
      </c>
      <c r="CE108" s="1220">
        <f t="shared" si="73"/>
        <v>-307644.40386904776</v>
      </c>
      <c r="CF108" s="1220">
        <f t="shared" si="73"/>
        <v>-307644.40386904776</v>
      </c>
      <c r="CG108" s="1220">
        <f t="shared" si="73"/>
        <v>-307644.40386904776</v>
      </c>
      <c r="CH108" s="1220">
        <f t="shared" si="73"/>
        <v>-307644.40386904776</v>
      </c>
      <c r="CI108" s="1220">
        <f t="shared" si="73"/>
        <v>-307644.40386904776</v>
      </c>
      <c r="CJ108" s="1220">
        <f t="shared" si="73"/>
        <v>-307644.40386904776</v>
      </c>
      <c r="CK108" s="1220">
        <f t="shared" si="73"/>
        <v>-307644.40386904776</v>
      </c>
      <c r="CL108" s="1220">
        <f t="shared" si="73"/>
        <v>-307644.40386904776</v>
      </c>
      <c r="CM108" s="1220">
        <f t="shared" si="73"/>
        <v>-307644.40386904776</v>
      </c>
      <c r="CN108" s="1220">
        <f t="shared" si="73"/>
        <v>-307644.40386904776</v>
      </c>
      <c r="CO108" s="1220">
        <f t="shared" si="73"/>
        <v>-307644.40386904776</v>
      </c>
      <c r="CP108" s="1220">
        <f t="shared" si="73"/>
        <v>-307644.40386904776</v>
      </c>
      <c r="CQ108" s="1220">
        <f t="shared" si="73"/>
        <v>-307644.40386904776</v>
      </c>
      <c r="CR108" s="1220">
        <f t="shared" si="73"/>
        <v>-307644.40386904776</v>
      </c>
      <c r="CS108" s="1220">
        <f t="shared" si="73"/>
        <v>-307644.40386904776</v>
      </c>
      <c r="CT108" s="1220">
        <f t="shared" si="73"/>
        <v>-307644.40386904776</v>
      </c>
      <c r="CU108" s="1220">
        <f t="shared" si="73"/>
        <v>-307644.40386904776</v>
      </c>
      <c r="CV108" s="1220">
        <f t="shared" si="73"/>
        <v>-307644.40386904776</v>
      </c>
      <c r="CW108" s="1220">
        <f t="shared" si="73"/>
        <v>-307644.40386904776</v>
      </c>
      <c r="CX108" s="1220">
        <f t="shared" si="73"/>
        <v>-307644.40386904776</v>
      </c>
      <c r="CY108" s="1220">
        <f t="shared" si="73"/>
        <v>-307644.40386904776</v>
      </c>
      <c r="CZ108" s="1220">
        <f t="shared" si="73"/>
        <v>-307644.40386904776</v>
      </c>
      <c r="DA108" s="1220">
        <f t="shared" si="73"/>
        <v>-307644.40386904776</v>
      </c>
      <c r="DB108" s="1220">
        <f t="shared" si="73"/>
        <v>-307644.40386904776</v>
      </c>
      <c r="DC108" s="1220">
        <f t="shared" si="73"/>
        <v>-307644.40386904776</v>
      </c>
      <c r="DD108" s="1220">
        <f t="shared" si="73"/>
        <v>-307644.40386904776</v>
      </c>
      <c r="DE108" s="1220">
        <f t="shared" si="73"/>
        <v>-307644.40386904776</v>
      </c>
      <c r="DF108" s="101"/>
      <c r="DG108" s="101"/>
      <c r="DH108" s="101"/>
      <c r="DI108" s="101"/>
      <c r="DJ108" s="101"/>
      <c r="DK108" s="101"/>
      <c r="DL108" s="101"/>
      <c r="DM108" s="101"/>
      <c r="DN108" s="101"/>
      <c r="DO108" s="101"/>
      <c r="DP108" s="101"/>
      <c r="DQ108" s="101"/>
      <c r="DR108" s="101"/>
      <c r="DS108" s="101"/>
      <c r="DT108" s="101"/>
      <c r="DU108" s="101"/>
      <c r="DV108" s="101"/>
      <c r="DW108" s="101"/>
      <c r="DX108" s="101"/>
      <c r="DY108" s="101"/>
      <c r="DZ108" s="101"/>
    </row>
    <row r="109" spans="1:132" x14ac:dyDescent="0.3">
      <c r="H109" s="1215"/>
      <c r="L109" s="1220"/>
      <c r="M109" s="1220"/>
      <c r="N109" s="1220"/>
      <c r="O109" s="1220"/>
      <c r="P109" s="1220"/>
      <c r="Q109" s="1220"/>
      <c r="R109" s="1220"/>
      <c r="S109" s="1220"/>
      <c r="T109" s="1220"/>
      <c r="U109" s="1220"/>
      <c r="V109" s="1220"/>
      <c r="W109" s="1220"/>
      <c r="X109" s="1220"/>
      <c r="Y109" s="1220"/>
      <c r="Z109" s="1220"/>
      <c r="AA109" s="1220"/>
      <c r="AB109" s="1220"/>
      <c r="AC109" s="1220"/>
      <c r="AD109" s="1220"/>
      <c r="AE109" s="1220"/>
      <c r="AF109" s="1220"/>
      <c r="AG109" s="1220"/>
      <c r="AH109" s="1220"/>
      <c r="AI109" s="1220"/>
      <c r="AJ109" s="1220"/>
      <c r="AK109" s="1220"/>
      <c r="AL109" s="1220"/>
      <c r="AM109" s="1220"/>
      <c r="AN109" s="1220"/>
      <c r="AO109" s="1220"/>
      <c r="AP109" s="1220"/>
      <c r="AQ109" s="1220"/>
      <c r="AR109" s="1220"/>
      <c r="AS109" s="1220"/>
      <c r="AT109" s="1220"/>
      <c r="AU109" s="1220"/>
      <c r="AV109" s="1220"/>
      <c r="AW109" s="1220"/>
      <c r="AX109" s="1220"/>
      <c r="AY109" s="1220"/>
      <c r="AZ109" s="1220"/>
      <c r="BA109" s="1220"/>
      <c r="BB109" s="1220"/>
      <c r="BC109" s="1220"/>
      <c r="BD109" s="1220"/>
      <c r="BE109" s="1220"/>
      <c r="BF109" s="1220"/>
      <c r="BG109" s="1220"/>
      <c r="BH109" s="1220"/>
      <c r="BI109" s="1220"/>
      <c r="BJ109" s="1220"/>
      <c r="BK109" s="1220"/>
      <c r="BL109" s="1220"/>
      <c r="BM109" s="1220"/>
      <c r="BN109" s="1220"/>
      <c r="BO109" s="1220"/>
      <c r="BP109" s="1220"/>
      <c r="BQ109" s="1220"/>
      <c r="BR109" s="1220"/>
      <c r="BS109" s="1220"/>
      <c r="BT109" s="1220"/>
      <c r="BU109" s="1220"/>
      <c r="BV109" s="1220"/>
      <c r="BW109" s="1220"/>
      <c r="BX109" s="1220"/>
      <c r="BY109" s="1220"/>
      <c r="BZ109" s="1220"/>
      <c r="CA109" s="1220"/>
      <c r="CB109" s="1220"/>
      <c r="CC109" s="1220"/>
      <c r="CD109" s="1220"/>
      <c r="CE109" s="1220"/>
      <c r="CF109" s="1220"/>
      <c r="CG109" s="1220"/>
      <c r="CH109" s="1220"/>
      <c r="CI109" s="1220"/>
      <c r="CJ109" s="1220"/>
      <c r="CK109" s="1220"/>
      <c r="CL109" s="1220"/>
      <c r="CM109" s="1220"/>
      <c r="CN109" s="1220"/>
      <c r="CO109" s="1220"/>
      <c r="CP109" s="1220"/>
      <c r="CQ109" s="1220"/>
      <c r="CR109" s="1220"/>
      <c r="CS109" s="1220"/>
      <c r="CT109" s="1220"/>
      <c r="CU109" s="1220"/>
      <c r="CV109" s="1220"/>
      <c r="CW109" s="1220"/>
      <c r="CX109" s="1220"/>
      <c r="CY109" s="1220"/>
      <c r="CZ109" s="1220"/>
      <c r="DA109" s="1220"/>
      <c r="DB109" s="1220"/>
      <c r="DC109" s="1220"/>
      <c r="DD109" s="1220"/>
      <c r="DE109" s="1220"/>
      <c r="DF109" s="101"/>
      <c r="DG109" s="101"/>
      <c r="DH109" s="101"/>
      <c r="DI109" s="101"/>
      <c r="DJ109" s="101"/>
      <c r="DK109" s="101"/>
      <c r="DL109" s="101"/>
      <c r="DM109" s="101"/>
      <c r="DN109" s="101"/>
      <c r="DO109" s="101"/>
      <c r="DP109" s="101"/>
      <c r="DQ109" s="101"/>
      <c r="DR109" s="101"/>
      <c r="DS109" s="101"/>
      <c r="DT109" s="101"/>
      <c r="DU109" s="101"/>
      <c r="DV109" s="101"/>
      <c r="DW109" s="101"/>
      <c r="DX109" s="101"/>
      <c r="DY109" s="101"/>
      <c r="DZ109" s="101"/>
    </row>
    <row r="110" spans="1:132" x14ac:dyDescent="0.3">
      <c r="A110" s="1214" t="s">
        <v>2213</v>
      </c>
      <c r="H110" s="1215">
        <v>25842129.925000012</v>
      </c>
      <c r="L110" s="1220"/>
      <c r="M110" s="1220"/>
      <c r="N110" s="1220"/>
      <c r="O110" s="1220"/>
      <c r="P110" s="1220"/>
      <c r="Q110" s="1220"/>
      <c r="R110" s="1220"/>
      <c r="S110" s="1220"/>
      <c r="T110" s="1220"/>
      <c r="U110" s="1220"/>
      <c r="V110" s="1220"/>
      <c r="W110" s="1220"/>
      <c r="X110" s="1220"/>
      <c r="Y110" s="1220"/>
      <c r="Z110" s="1220"/>
      <c r="AA110" s="1220"/>
      <c r="AB110" s="1220"/>
      <c r="AC110" s="1220"/>
      <c r="AD110" s="1220"/>
      <c r="AE110" s="1220"/>
      <c r="AF110" s="1220"/>
      <c r="AG110" s="1220"/>
      <c r="AH110" s="1220"/>
      <c r="AI110" s="1220"/>
      <c r="AJ110" s="1220"/>
      <c r="AK110" s="1220"/>
      <c r="AL110" s="1220"/>
      <c r="AM110" s="1220"/>
      <c r="AN110" s="1220"/>
      <c r="AO110" s="1220"/>
      <c r="AP110" s="1220"/>
      <c r="AQ110" s="1220"/>
      <c r="AR110" s="1220"/>
      <c r="AS110" s="1220"/>
      <c r="AT110" s="1220"/>
      <c r="AU110" s="1220"/>
      <c r="AV110" s="1220">
        <f t="shared" ref="AV110:CA110" si="74">-$H110/84</f>
        <v>-307644.40386904776</v>
      </c>
      <c r="AW110" s="1220">
        <f t="shared" si="74"/>
        <v>-307644.40386904776</v>
      </c>
      <c r="AX110" s="1220">
        <f t="shared" si="74"/>
        <v>-307644.40386904776</v>
      </c>
      <c r="AY110" s="1220">
        <f t="shared" si="74"/>
        <v>-307644.40386904776</v>
      </c>
      <c r="AZ110" s="1220">
        <f t="shared" si="74"/>
        <v>-307644.40386904776</v>
      </c>
      <c r="BA110" s="1220">
        <f t="shared" si="74"/>
        <v>-307644.40386904776</v>
      </c>
      <c r="BB110" s="1220">
        <f t="shared" si="74"/>
        <v>-307644.40386904776</v>
      </c>
      <c r="BC110" s="1220">
        <f t="shared" si="74"/>
        <v>-307644.40386904776</v>
      </c>
      <c r="BD110" s="1220">
        <f t="shared" si="74"/>
        <v>-307644.40386904776</v>
      </c>
      <c r="BE110" s="1220">
        <f t="shared" si="74"/>
        <v>-307644.40386904776</v>
      </c>
      <c r="BF110" s="1220">
        <f t="shared" si="74"/>
        <v>-307644.40386904776</v>
      </c>
      <c r="BG110" s="1220">
        <f t="shared" si="74"/>
        <v>-307644.40386904776</v>
      </c>
      <c r="BH110" s="1220">
        <f t="shared" si="74"/>
        <v>-307644.40386904776</v>
      </c>
      <c r="BI110" s="1220">
        <f t="shared" si="74"/>
        <v>-307644.40386904776</v>
      </c>
      <c r="BJ110" s="1220">
        <f t="shared" si="74"/>
        <v>-307644.40386904776</v>
      </c>
      <c r="BK110" s="1220">
        <f t="shared" si="74"/>
        <v>-307644.40386904776</v>
      </c>
      <c r="BL110" s="1220">
        <f t="shared" si="74"/>
        <v>-307644.40386904776</v>
      </c>
      <c r="BM110" s="1220">
        <f t="shared" si="74"/>
        <v>-307644.40386904776</v>
      </c>
      <c r="BN110" s="1220">
        <f t="shared" si="74"/>
        <v>-307644.40386904776</v>
      </c>
      <c r="BO110" s="1220">
        <f t="shared" si="74"/>
        <v>-307644.40386904776</v>
      </c>
      <c r="BP110" s="1220">
        <f t="shared" si="74"/>
        <v>-307644.40386904776</v>
      </c>
      <c r="BQ110" s="1220">
        <f t="shared" si="74"/>
        <v>-307644.40386904776</v>
      </c>
      <c r="BR110" s="1220">
        <f t="shared" si="74"/>
        <v>-307644.40386904776</v>
      </c>
      <c r="BS110" s="1220">
        <f t="shared" si="74"/>
        <v>-307644.40386904776</v>
      </c>
      <c r="BT110" s="1220">
        <f t="shared" si="74"/>
        <v>-307644.40386904776</v>
      </c>
      <c r="BU110" s="1220">
        <f t="shared" si="74"/>
        <v>-307644.40386904776</v>
      </c>
      <c r="BV110" s="1220">
        <f t="shared" si="74"/>
        <v>-307644.40386904776</v>
      </c>
      <c r="BW110" s="1220">
        <f t="shared" si="74"/>
        <v>-307644.40386904776</v>
      </c>
      <c r="BX110" s="1220">
        <f t="shared" si="74"/>
        <v>-307644.40386904776</v>
      </c>
      <c r="BY110" s="1220">
        <f t="shared" si="74"/>
        <v>-307644.40386904776</v>
      </c>
      <c r="BZ110" s="1220">
        <f t="shared" si="74"/>
        <v>-307644.40386904776</v>
      </c>
      <c r="CA110" s="1220">
        <f t="shared" si="74"/>
        <v>-307644.40386904776</v>
      </c>
      <c r="CB110" s="1220">
        <f t="shared" ref="CB110:DE110" si="75">-$H110/84</f>
        <v>-307644.40386904776</v>
      </c>
      <c r="CC110" s="1220">
        <f t="shared" si="75"/>
        <v>-307644.40386904776</v>
      </c>
      <c r="CD110" s="1220">
        <f t="shared" si="75"/>
        <v>-307644.40386904776</v>
      </c>
      <c r="CE110" s="1220">
        <f t="shared" si="75"/>
        <v>-307644.40386904776</v>
      </c>
      <c r="CF110" s="1220">
        <f t="shared" si="75"/>
        <v>-307644.40386904776</v>
      </c>
      <c r="CG110" s="1220">
        <f t="shared" si="75"/>
        <v>-307644.40386904776</v>
      </c>
      <c r="CH110" s="1220">
        <f t="shared" si="75"/>
        <v>-307644.40386904776</v>
      </c>
      <c r="CI110" s="1220">
        <f t="shared" si="75"/>
        <v>-307644.40386904776</v>
      </c>
      <c r="CJ110" s="1220">
        <f t="shared" si="75"/>
        <v>-307644.40386904776</v>
      </c>
      <c r="CK110" s="1220">
        <f t="shared" si="75"/>
        <v>-307644.40386904776</v>
      </c>
      <c r="CL110" s="1220">
        <f t="shared" si="75"/>
        <v>-307644.40386904776</v>
      </c>
      <c r="CM110" s="1220">
        <f t="shared" si="75"/>
        <v>-307644.40386904776</v>
      </c>
      <c r="CN110" s="1220">
        <f t="shared" si="75"/>
        <v>-307644.40386904776</v>
      </c>
      <c r="CO110" s="1220">
        <f t="shared" si="75"/>
        <v>-307644.40386904776</v>
      </c>
      <c r="CP110" s="1220">
        <f t="shared" si="75"/>
        <v>-307644.40386904776</v>
      </c>
      <c r="CQ110" s="1220">
        <f t="shared" si="75"/>
        <v>-307644.40386904776</v>
      </c>
      <c r="CR110" s="1220">
        <f t="shared" si="75"/>
        <v>-307644.40386904776</v>
      </c>
      <c r="CS110" s="1220">
        <f t="shared" si="75"/>
        <v>-307644.40386904776</v>
      </c>
      <c r="CT110" s="1220">
        <f t="shared" si="75"/>
        <v>-307644.40386904776</v>
      </c>
      <c r="CU110" s="1220">
        <f t="shared" si="75"/>
        <v>-307644.40386904776</v>
      </c>
      <c r="CV110" s="1220">
        <f t="shared" si="75"/>
        <v>-307644.40386904776</v>
      </c>
      <c r="CW110" s="1220">
        <f t="shared" si="75"/>
        <v>-307644.40386904776</v>
      </c>
      <c r="CX110" s="1220">
        <f t="shared" si="75"/>
        <v>-307644.40386904776</v>
      </c>
      <c r="CY110" s="1220">
        <f t="shared" si="75"/>
        <v>-307644.40386904776</v>
      </c>
      <c r="CZ110" s="1220">
        <f t="shared" si="75"/>
        <v>-307644.40386904776</v>
      </c>
      <c r="DA110" s="1220">
        <f t="shared" si="75"/>
        <v>-307644.40386904776</v>
      </c>
      <c r="DB110" s="1220">
        <f t="shared" si="75"/>
        <v>-307644.40386904776</v>
      </c>
      <c r="DC110" s="1220">
        <f t="shared" si="75"/>
        <v>-307644.40386904776</v>
      </c>
      <c r="DD110" s="1220">
        <f t="shared" si="75"/>
        <v>-307644.40386904776</v>
      </c>
      <c r="DE110" s="1220">
        <f t="shared" si="75"/>
        <v>-307644.40386904776</v>
      </c>
      <c r="DF110" s="101"/>
      <c r="DG110" s="101"/>
      <c r="DH110" s="101"/>
      <c r="DI110" s="101"/>
      <c r="DJ110" s="101"/>
      <c r="DK110" s="101"/>
      <c r="DL110" s="101"/>
      <c r="DM110" s="101"/>
      <c r="DN110" s="101"/>
      <c r="DO110" s="101"/>
      <c r="DP110" s="101"/>
      <c r="DQ110" s="101"/>
      <c r="DR110" s="101"/>
      <c r="DS110" s="101"/>
      <c r="DT110" s="101"/>
      <c r="DU110" s="101"/>
      <c r="DV110" s="101"/>
      <c r="DW110" s="101"/>
      <c r="DX110" s="101"/>
      <c r="DY110" s="101"/>
      <c r="DZ110" s="101"/>
      <c r="EA110" s="101"/>
    </row>
    <row r="111" spans="1:132" x14ac:dyDescent="0.3">
      <c r="H111" s="1215"/>
      <c r="L111" s="1220"/>
      <c r="M111" s="1220"/>
      <c r="N111" s="1220"/>
      <c r="O111" s="1220"/>
      <c r="P111" s="1220"/>
      <c r="Q111" s="1220"/>
      <c r="R111" s="1220"/>
      <c r="S111" s="1220"/>
      <c r="T111" s="1220"/>
      <c r="U111" s="1220"/>
      <c r="V111" s="1220"/>
      <c r="W111" s="1220"/>
      <c r="X111" s="1220"/>
      <c r="Y111" s="1220"/>
      <c r="Z111" s="1220"/>
      <c r="AA111" s="1220"/>
      <c r="AB111" s="1220"/>
      <c r="AC111" s="1220"/>
      <c r="AD111" s="1220"/>
      <c r="AE111" s="1220"/>
      <c r="AF111" s="1220"/>
      <c r="AG111" s="1220"/>
      <c r="AH111" s="1220"/>
      <c r="AI111" s="1220"/>
      <c r="AJ111" s="1220"/>
      <c r="AK111" s="1220"/>
      <c r="AL111" s="1220"/>
      <c r="AM111" s="1220"/>
      <c r="AN111" s="1220"/>
      <c r="AO111" s="1220"/>
      <c r="AP111" s="1220"/>
      <c r="AQ111" s="1220"/>
      <c r="AR111" s="1220"/>
      <c r="AS111" s="1220"/>
      <c r="AT111" s="1220"/>
      <c r="AU111" s="1220"/>
      <c r="AV111" s="1220"/>
      <c r="AW111" s="1220"/>
      <c r="AX111" s="1220"/>
      <c r="AY111" s="1220"/>
      <c r="AZ111" s="1220"/>
      <c r="BA111" s="1220"/>
      <c r="BB111" s="1220"/>
      <c r="BC111" s="1220"/>
      <c r="BD111" s="1220"/>
      <c r="BE111" s="1220"/>
      <c r="BF111" s="1220"/>
      <c r="BG111" s="1220"/>
      <c r="BH111" s="1220"/>
      <c r="BI111" s="1220"/>
      <c r="BJ111" s="1220"/>
      <c r="BK111" s="1220"/>
      <c r="BL111" s="1220"/>
      <c r="BM111" s="1220"/>
      <c r="BN111" s="1220"/>
      <c r="BO111" s="1220"/>
      <c r="BP111" s="1220"/>
      <c r="BQ111" s="1220"/>
      <c r="BR111" s="1220"/>
      <c r="BS111" s="1220"/>
      <c r="BT111" s="1220"/>
      <c r="BU111" s="1220"/>
      <c r="BV111" s="1220"/>
      <c r="BW111" s="1220"/>
      <c r="BX111" s="1220"/>
      <c r="BY111" s="1220"/>
      <c r="BZ111" s="1220"/>
      <c r="CA111" s="1220"/>
      <c r="CB111" s="1220"/>
      <c r="CC111" s="1220"/>
      <c r="CD111" s="1220"/>
      <c r="CE111" s="1220"/>
      <c r="CF111" s="1220"/>
      <c r="CG111" s="1220"/>
      <c r="CH111" s="1220"/>
      <c r="CI111" s="1220"/>
      <c r="CJ111" s="1220"/>
      <c r="CK111" s="1220"/>
      <c r="CL111" s="1220"/>
      <c r="CM111" s="1220"/>
      <c r="CN111" s="1220"/>
      <c r="CO111" s="1220"/>
      <c r="CP111" s="1220"/>
      <c r="CQ111" s="1220"/>
      <c r="CR111" s="1220"/>
      <c r="CS111" s="1220"/>
      <c r="CT111" s="1220"/>
      <c r="CU111" s="1220"/>
      <c r="CV111" s="1220"/>
      <c r="CW111" s="1220"/>
      <c r="CX111" s="1220"/>
      <c r="CY111" s="1220"/>
      <c r="CZ111" s="1220"/>
      <c r="DA111" s="1220"/>
      <c r="DB111" s="1220"/>
      <c r="DC111" s="1220"/>
      <c r="DD111" s="1220"/>
      <c r="DE111" s="1220"/>
      <c r="DF111" s="101"/>
      <c r="DG111" s="101"/>
      <c r="DH111" s="101"/>
      <c r="DI111" s="101"/>
      <c r="DJ111" s="101"/>
      <c r="DK111" s="101"/>
      <c r="DL111" s="101"/>
      <c r="DM111" s="101"/>
      <c r="DN111" s="101"/>
      <c r="DO111" s="101"/>
      <c r="DP111" s="101"/>
      <c r="DQ111" s="101"/>
      <c r="DR111" s="101"/>
      <c r="DS111" s="101"/>
      <c r="DT111" s="101"/>
      <c r="DU111" s="101"/>
      <c r="DV111" s="101"/>
      <c r="DW111" s="101"/>
      <c r="DX111" s="101"/>
      <c r="DY111" s="101"/>
      <c r="DZ111" s="101"/>
      <c r="EA111" s="101"/>
    </row>
    <row r="112" spans="1:132" x14ac:dyDescent="0.3">
      <c r="A112" s="1214" t="s">
        <v>2214</v>
      </c>
      <c r="H112" s="1215">
        <v>25842129.925000012</v>
      </c>
      <c r="L112" s="1220"/>
      <c r="M112" s="1220"/>
      <c r="N112" s="1220"/>
      <c r="O112" s="1220"/>
      <c r="P112" s="1220"/>
      <c r="Q112" s="1220"/>
      <c r="R112" s="1220"/>
      <c r="S112" s="1220"/>
      <c r="T112" s="1220"/>
      <c r="U112" s="1220"/>
      <c r="V112" s="1220"/>
      <c r="W112" s="1220"/>
      <c r="X112" s="1220"/>
      <c r="Y112" s="1220"/>
      <c r="Z112" s="1220"/>
      <c r="AA112" s="1220"/>
      <c r="AB112" s="1220"/>
      <c r="AC112" s="1220"/>
      <c r="AD112" s="1220"/>
      <c r="AE112" s="1220"/>
      <c r="AF112" s="1220"/>
      <c r="AG112" s="1220"/>
      <c r="AH112" s="1220"/>
      <c r="AI112" s="1220"/>
      <c r="AJ112" s="1220"/>
      <c r="AK112" s="1220"/>
      <c r="AL112" s="1220"/>
      <c r="AM112" s="1220"/>
      <c r="AN112" s="1220"/>
      <c r="AO112" s="1220"/>
      <c r="AP112" s="1220"/>
      <c r="AQ112" s="1220"/>
      <c r="AR112" s="1220"/>
      <c r="AS112" s="1220"/>
      <c r="AT112" s="1220"/>
      <c r="AU112" s="1220"/>
      <c r="AV112" s="1220"/>
      <c r="AW112" s="1220">
        <f>-$H112/84</f>
        <v>-307644.40386904776</v>
      </c>
      <c r="AX112" s="1220">
        <f>-$H112/84</f>
        <v>-307644.40386904776</v>
      </c>
      <c r="AY112" s="1220">
        <f t="shared" ref="AY112:DE112" si="76">-$H112/84</f>
        <v>-307644.40386904776</v>
      </c>
      <c r="AZ112" s="1220">
        <f t="shared" si="76"/>
        <v>-307644.40386904776</v>
      </c>
      <c r="BA112" s="1220">
        <f t="shared" si="76"/>
        <v>-307644.40386904776</v>
      </c>
      <c r="BB112" s="1220">
        <f t="shared" si="76"/>
        <v>-307644.40386904776</v>
      </c>
      <c r="BC112" s="1220">
        <f t="shared" si="76"/>
        <v>-307644.40386904776</v>
      </c>
      <c r="BD112" s="1220">
        <f t="shared" si="76"/>
        <v>-307644.40386904776</v>
      </c>
      <c r="BE112" s="1220">
        <f t="shared" si="76"/>
        <v>-307644.40386904776</v>
      </c>
      <c r="BF112" s="1220">
        <f t="shared" si="76"/>
        <v>-307644.40386904776</v>
      </c>
      <c r="BG112" s="1220">
        <f t="shared" si="76"/>
        <v>-307644.40386904776</v>
      </c>
      <c r="BH112" s="1220">
        <f t="shared" si="76"/>
        <v>-307644.40386904776</v>
      </c>
      <c r="BI112" s="1220">
        <f t="shared" si="76"/>
        <v>-307644.40386904776</v>
      </c>
      <c r="BJ112" s="1220">
        <f t="shared" si="76"/>
        <v>-307644.40386904776</v>
      </c>
      <c r="BK112" s="1220">
        <f t="shared" si="76"/>
        <v>-307644.40386904776</v>
      </c>
      <c r="BL112" s="1220">
        <f t="shared" si="76"/>
        <v>-307644.40386904776</v>
      </c>
      <c r="BM112" s="1220">
        <f t="shared" si="76"/>
        <v>-307644.40386904776</v>
      </c>
      <c r="BN112" s="1220">
        <f t="shared" si="76"/>
        <v>-307644.40386904776</v>
      </c>
      <c r="BO112" s="1220">
        <f t="shared" si="76"/>
        <v>-307644.40386904776</v>
      </c>
      <c r="BP112" s="1220">
        <f t="shared" si="76"/>
        <v>-307644.40386904776</v>
      </c>
      <c r="BQ112" s="1220">
        <f t="shared" si="76"/>
        <v>-307644.40386904776</v>
      </c>
      <c r="BR112" s="1220">
        <f t="shared" si="76"/>
        <v>-307644.40386904776</v>
      </c>
      <c r="BS112" s="1220">
        <f t="shared" si="76"/>
        <v>-307644.40386904776</v>
      </c>
      <c r="BT112" s="1220">
        <f t="shared" si="76"/>
        <v>-307644.40386904776</v>
      </c>
      <c r="BU112" s="1220">
        <f t="shared" si="76"/>
        <v>-307644.40386904776</v>
      </c>
      <c r="BV112" s="1220">
        <f t="shared" si="76"/>
        <v>-307644.40386904776</v>
      </c>
      <c r="BW112" s="1220">
        <f t="shared" si="76"/>
        <v>-307644.40386904776</v>
      </c>
      <c r="BX112" s="1220">
        <f t="shared" si="76"/>
        <v>-307644.40386904776</v>
      </c>
      <c r="BY112" s="1220">
        <f t="shared" si="76"/>
        <v>-307644.40386904776</v>
      </c>
      <c r="BZ112" s="1220">
        <f t="shared" si="76"/>
        <v>-307644.40386904776</v>
      </c>
      <c r="CA112" s="1220">
        <f t="shared" si="76"/>
        <v>-307644.40386904776</v>
      </c>
      <c r="CB112" s="1220">
        <f t="shared" si="76"/>
        <v>-307644.40386904776</v>
      </c>
      <c r="CC112" s="1220">
        <f t="shared" si="76"/>
        <v>-307644.40386904776</v>
      </c>
      <c r="CD112" s="1220">
        <f t="shared" si="76"/>
        <v>-307644.40386904776</v>
      </c>
      <c r="CE112" s="1220">
        <f t="shared" si="76"/>
        <v>-307644.40386904776</v>
      </c>
      <c r="CF112" s="1220">
        <f t="shared" si="76"/>
        <v>-307644.40386904776</v>
      </c>
      <c r="CG112" s="1220">
        <f t="shared" si="76"/>
        <v>-307644.40386904776</v>
      </c>
      <c r="CH112" s="1220">
        <f t="shared" si="76"/>
        <v>-307644.40386904776</v>
      </c>
      <c r="CI112" s="1220">
        <f t="shared" si="76"/>
        <v>-307644.40386904776</v>
      </c>
      <c r="CJ112" s="1220">
        <f t="shared" si="76"/>
        <v>-307644.40386904776</v>
      </c>
      <c r="CK112" s="1220">
        <f t="shared" si="76"/>
        <v>-307644.40386904776</v>
      </c>
      <c r="CL112" s="1220">
        <f t="shared" si="76"/>
        <v>-307644.40386904776</v>
      </c>
      <c r="CM112" s="1220">
        <f t="shared" si="76"/>
        <v>-307644.40386904776</v>
      </c>
      <c r="CN112" s="1220">
        <f t="shared" si="76"/>
        <v>-307644.40386904776</v>
      </c>
      <c r="CO112" s="1220">
        <f t="shared" si="76"/>
        <v>-307644.40386904776</v>
      </c>
      <c r="CP112" s="1220">
        <f t="shared" si="76"/>
        <v>-307644.40386904776</v>
      </c>
      <c r="CQ112" s="1220">
        <f t="shared" si="76"/>
        <v>-307644.40386904776</v>
      </c>
      <c r="CR112" s="1220">
        <f t="shared" si="76"/>
        <v>-307644.40386904776</v>
      </c>
      <c r="CS112" s="1220">
        <f t="shared" si="76"/>
        <v>-307644.40386904776</v>
      </c>
      <c r="CT112" s="1220">
        <f t="shared" si="76"/>
        <v>-307644.40386904776</v>
      </c>
      <c r="CU112" s="1220">
        <f t="shared" si="76"/>
        <v>-307644.40386904776</v>
      </c>
      <c r="CV112" s="1220">
        <f t="shared" si="76"/>
        <v>-307644.40386904776</v>
      </c>
      <c r="CW112" s="1220">
        <f t="shared" si="76"/>
        <v>-307644.40386904776</v>
      </c>
      <c r="CX112" s="1220">
        <f t="shared" si="76"/>
        <v>-307644.40386904776</v>
      </c>
      <c r="CY112" s="1220">
        <f t="shared" si="76"/>
        <v>-307644.40386904776</v>
      </c>
      <c r="CZ112" s="1220">
        <f t="shared" si="76"/>
        <v>-307644.40386904776</v>
      </c>
      <c r="DA112" s="1220">
        <f t="shared" si="76"/>
        <v>-307644.40386904776</v>
      </c>
      <c r="DB112" s="1220">
        <f t="shared" si="76"/>
        <v>-307644.40386904776</v>
      </c>
      <c r="DC112" s="1220">
        <f t="shared" si="76"/>
        <v>-307644.40386904776</v>
      </c>
      <c r="DD112" s="1220">
        <f t="shared" si="76"/>
        <v>-307644.40386904776</v>
      </c>
      <c r="DE112" s="1220">
        <f t="shared" si="76"/>
        <v>-307644.40386904776</v>
      </c>
      <c r="DF112" s="101"/>
      <c r="DG112" s="101"/>
      <c r="DH112" s="101"/>
      <c r="DI112" s="101"/>
      <c r="DJ112" s="101"/>
      <c r="DK112" s="101"/>
      <c r="DL112" s="101"/>
      <c r="DM112" s="101"/>
      <c r="DN112" s="101"/>
      <c r="DO112" s="101"/>
      <c r="DP112" s="101"/>
      <c r="DQ112" s="101"/>
      <c r="DR112" s="101"/>
      <c r="DS112" s="101"/>
      <c r="DT112" s="101"/>
      <c r="DU112" s="101"/>
      <c r="DV112" s="101"/>
      <c r="DW112" s="101"/>
      <c r="DX112" s="101"/>
      <c r="DY112" s="101"/>
      <c r="DZ112" s="101"/>
      <c r="EA112" s="101"/>
      <c r="EB112" s="101"/>
    </row>
    <row r="113" spans="1:140" x14ac:dyDescent="0.3">
      <c r="H113" s="1215"/>
      <c r="L113" s="1220"/>
      <c r="M113" s="1220"/>
      <c r="N113" s="1220"/>
      <c r="O113" s="1220"/>
      <c r="P113" s="1220"/>
      <c r="Q113" s="1220"/>
      <c r="R113" s="1220"/>
      <c r="S113" s="1220"/>
      <c r="T113" s="1220"/>
      <c r="U113" s="1220"/>
      <c r="V113" s="1220"/>
      <c r="W113" s="1220"/>
      <c r="X113" s="1220"/>
      <c r="Y113" s="1220"/>
      <c r="Z113" s="1220"/>
      <c r="AA113" s="1220"/>
      <c r="AB113" s="1220"/>
      <c r="AC113" s="1220"/>
      <c r="AD113" s="1220"/>
      <c r="AE113" s="1220"/>
      <c r="AF113" s="1220"/>
      <c r="AG113" s="1220"/>
      <c r="AH113" s="1220"/>
      <c r="AI113" s="1220"/>
      <c r="AJ113" s="1220"/>
      <c r="AK113" s="1220"/>
      <c r="AL113" s="1220"/>
      <c r="AM113" s="1220"/>
      <c r="AN113" s="1220"/>
      <c r="AO113" s="1220"/>
      <c r="AP113" s="1220"/>
      <c r="AQ113" s="1220"/>
      <c r="AR113" s="1220"/>
      <c r="AS113" s="1220"/>
      <c r="AT113" s="1220"/>
      <c r="AU113" s="1220"/>
      <c r="AV113" s="1220"/>
      <c r="AW113" s="1220"/>
      <c r="AX113" s="1220"/>
      <c r="AY113" s="1220"/>
      <c r="AZ113" s="1220"/>
      <c r="BA113" s="1220"/>
      <c r="BB113" s="1220"/>
      <c r="BC113" s="1220"/>
      <c r="BD113" s="1220"/>
      <c r="BE113" s="1220"/>
      <c r="BF113" s="1220"/>
      <c r="BG113" s="1220"/>
      <c r="BH113" s="1220"/>
      <c r="BI113" s="1220"/>
      <c r="BJ113" s="1220"/>
      <c r="BK113" s="1220"/>
      <c r="BL113" s="1220"/>
      <c r="BM113" s="1220"/>
      <c r="BN113" s="1220"/>
      <c r="BO113" s="1220"/>
      <c r="BP113" s="1220"/>
      <c r="BQ113" s="1220"/>
      <c r="BR113" s="1220"/>
      <c r="BS113" s="1220"/>
      <c r="BT113" s="1220"/>
      <c r="BU113" s="1220"/>
      <c r="BV113" s="1220"/>
      <c r="BW113" s="1220"/>
      <c r="BX113" s="1220"/>
      <c r="BY113" s="1220"/>
      <c r="BZ113" s="1220"/>
      <c r="CA113" s="1220"/>
      <c r="CB113" s="1220"/>
      <c r="CC113" s="1220"/>
      <c r="CD113" s="1220"/>
      <c r="CE113" s="1220"/>
      <c r="CF113" s="1220"/>
      <c r="CG113" s="1220"/>
      <c r="CH113" s="1220"/>
      <c r="CI113" s="1220"/>
      <c r="CJ113" s="1220"/>
      <c r="CK113" s="1220"/>
      <c r="CL113" s="1220"/>
      <c r="CM113" s="1220"/>
      <c r="CN113" s="1220"/>
      <c r="CO113" s="1220"/>
      <c r="CP113" s="1220"/>
      <c r="CQ113" s="1220"/>
      <c r="CR113" s="1220"/>
      <c r="CS113" s="1220"/>
      <c r="CT113" s="1220"/>
      <c r="CU113" s="1220"/>
      <c r="CV113" s="1220"/>
      <c r="CW113" s="1220"/>
      <c r="CX113" s="1220"/>
      <c r="CY113" s="1220"/>
      <c r="CZ113" s="1220"/>
      <c r="DA113" s="1220"/>
      <c r="DB113" s="1220"/>
      <c r="DC113" s="1220"/>
      <c r="DD113" s="1220"/>
      <c r="DE113" s="1220"/>
      <c r="DF113" s="101"/>
      <c r="DG113" s="101"/>
      <c r="DH113" s="101"/>
      <c r="DI113" s="101"/>
      <c r="DJ113" s="101"/>
      <c r="DK113" s="101"/>
      <c r="DL113" s="101"/>
      <c r="DM113" s="101"/>
      <c r="DN113" s="101"/>
      <c r="DO113" s="101"/>
      <c r="DP113" s="101"/>
      <c r="DQ113" s="101"/>
      <c r="DR113" s="101"/>
      <c r="DS113" s="101"/>
      <c r="DT113" s="101"/>
      <c r="DU113" s="101"/>
      <c r="DV113" s="101"/>
      <c r="DW113" s="101"/>
      <c r="DX113" s="101"/>
      <c r="DY113" s="101"/>
      <c r="DZ113" s="101"/>
      <c r="EA113" s="101"/>
      <c r="EB113" s="101"/>
    </row>
    <row r="114" spans="1:140" x14ac:dyDescent="0.3">
      <c r="A114" s="1214" t="s">
        <v>2215</v>
      </c>
      <c r="H114" s="1215">
        <v>25842129.925000012</v>
      </c>
      <c r="L114" s="1220"/>
      <c r="M114" s="1220"/>
      <c r="N114" s="1220"/>
      <c r="O114" s="1220"/>
      <c r="P114" s="1220"/>
      <c r="Q114" s="1220"/>
      <c r="R114" s="1220"/>
      <c r="S114" s="1220"/>
      <c r="T114" s="1220"/>
      <c r="U114" s="1220"/>
      <c r="V114" s="1220"/>
      <c r="W114" s="1220"/>
      <c r="X114" s="1220"/>
      <c r="Y114" s="1220"/>
      <c r="Z114" s="1220"/>
      <c r="AA114" s="1220"/>
      <c r="AB114" s="1220"/>
      <c r="AC114" s="1220"/>
      <c r="AD114" s="1220"/>
      <c r="AE114" s="1220"/>
      <c r="AF114" s="1220"/>
      <c r="AG114" s="1220"/>
      <c r="AH114" s="1220"/>
      <c r="AI114" s="1220"/>
      <c r="AJ114" s="1220"/>
      <c r="AK114" s="1220"/>
      <c r="AL114" s="1220"/>
      <c r="AM114" s="1220"/>
      <c r="AN114" s="1220"/>
      <c r="AO114" s="1220"/>
      <c r="AP114" s="1220"/>
      <c r="AQ114" s="1220"/>
      <c r="AR114" s="1220"/>
      <c r="AS114" s="1220"/>
      <c r="AT114" s="1220"/>
      <c r="AU114" s="1220"/>
      <c r="AV114" s="1220"/>
      <c r="AW114" s="1220"/>
      <c r="AX114" s="1220">
        <f t="shared" ref="AX114:DE120" si="77">-$H114/84</f>
        <v>-307644.40386904776</v>
      </c>
      <c r="AY114" s="1220">
        <f t="shared" si="77"/>
        <v>-307644.40386904776</v>
      </c>
      <c r="AZ114" s="1220">
        <f t="shared" si="77"/>
        <v>-307644.40386904776</v>
      </c>
      <c r="BA114" s="1220">
        <f t="shared" si="77"/>
        <v>-307644.40386904776</v>
      </c>
      <c r="BB114" s="1220">
        <f t="shared" si="77"/>
        <v>-307644.40386904776</v>
      </c>
      <c r="BC114" s="1220">
        <f t="shared" si="77"/>
        <v>-307644.40386904776</v>
      </c>
      <c r="BD114" s="1220">
        <f t="shared" si="77"/>
        <v>-307644.40386904776</v>
      </c>
      <c r="BE114" s="1220">
        <f t="shared" si="77"/>
        <v>-307644.40386904776</v>
      </c>
      <c r="BF114" s="1220">
        <f t="shared" si="77"/>
        <v>-307644.40386904776</v>
      </c>
      <c r="BG114" s="1220">
        <f t="shared" si="77"/>
        <v>-307644.40386904776</v>
      </c>
      <c r="BH114" s="1220">
        <f t="shared" si="77"/>
        <v>-307644.40386904776</v>
      </c>
      <c r="BI114" s="1220">
        <f t="shared" si="77"/>
        <v>-307644.40386904776</v>
      </c>
      <c r="BJ114" s="1220">
        <f t="shared" si="77"/>
        <v>-307644.40386904776</v>
      </c>
      <c r="BK114" s="1220">
        <f t="shared" si="77"/>
        <v>-307644.40386904776</v>
      </c>
      <c r="BL114" s="1220">
        <f t="shared" si="77"/>
        <v>-307644.40386904776</v>
      </c>
      <c r="BM114" s="1220">
        <f t="shared" si="77"/>
        <v>-307644.40386904776</v>
      </c>
      <c r="BN114" s="1220">
        <f t="shared" si="77"/>
        <v>-307644.40386904776</v>
      </c>
      <c r="BO114" s="1220">
        <f t="shared" si="77"/>
        <v>-307644.40386904776</v>
      </c>
      <c r="BP114" s="1220">
        <f t="shared" si="77"/>
        <v>-307644.40386904776</v>
      </c>
      <c r="BQ114" s="1220">
        <f t="shared" si="77"/>
        <v>-307644.40386904776</v>
      </c>
      <c r="BR114" s="1220">
        <f t="shared" si="77"/>
        <v>-307644.40386904776</v>
      </c>
      <c r="BS114" s="1220">
        <f t="shared" si="77"/>
        <v>-307644.40386904776</v>
      </c>
      <c r="BT114" s="1220">
        <f t="shared" si="77"/>
        <v>-307644.40386904776</v>
      </c>
      <c r="BU114" s="1220">
        <f t="shared" si="77"/>
        <v>-307644.40386904776</v>
      </c>
      <c r="BV114" s="1220">
        <f t="shared" si="77"/>
        <v>-307644.40386904776</v>
      </c>
      <c r="BW114" s="1220">
        <f t="shared" si="77"/>
        <v>-307644.40386904776</v>
      </c>
      <c r="BX114" s="1220">
        <f t="shared" si="77"/>
        <v>-307644.40386904776</v>
      </c>
      <c r="BY114" s="1220">
        <f t="shared" si="77"/>
        <v>-307644.40386904776</v>
      </c>
      <c r="BZ114" s="1220">
        <f t="shared" si="77"/>
        <v>-307644.40386904776</v>
      </c>
      <c r="CA114" s="1220">
        <f t="shared" si="77"/>
        <v>-307644.40386904776</v>
      </c>
      <c r="CB114" s="1220">
        <f t="shared" si="77"/>
        <v>-307644.40386904776</v>
      </c>
      <c r="CC114" s="1220">
        <f t="shared" si="77"/>
        <v>-307644.40386904776</v>
      </c>
      <c r="CD114" s="1220">
        <f t="shared" si="77"/>
        <v>-307644.40386904776</v>
      </c>
      <c r="CE114" s="1220">
        <f t="shared" si="77"/>
        <v>-307644.40386904776</v>
      </c>
      <c r="CF114" s="1220">
        <f t="shared" si="77"/>
        <v>-307644.40386904776</v>
      </c>
      <c r="CG114" s="1220">
        <f t="shared" si="77"/>
        <v>-307644.40386904776</v>
      </c>
      <c r="CH114" s="1220">
        <f t="shared" si="77"/>
        <v>-307644.40386904776</v>
      </c>
      <c r="CI114" s="1220">
        <f t="shared" si="77"/>
        <v>-307644.40386904776</v>
      </c>
      <c r="CJ114" s="1220">
        <f t="shared" si="77"/>
        <v>-307644.40386904776</v>
      </c>
      <c r="CK114" s="1220">
        <f t="shared" si="77"/>
        <v>-307644.40386904776</v>
      </c>
      <c r="CL114" s="1220">
        <f t="shared" si="77"/>
        <v>-307644.40386904776</v>
      </c>
      <c r="CM114" s="1220">
        <f t="shared" si="77"/>
        <v>-307644.40386904776</v>
      </c>
      <c r="CN114" s="1220">
        <f t="shared" si="77"/>
        <v>-307644.40386904776</v>
      </c>
      <c r="CO114" s="1220">
        <f t="shared" si="77"/>
        <v>-307644.40386904776</v>
      </c>
      <c r="CP114" s="1220">
        <f t="shared" si="77"/>
        <v>-307644.40386904776</v>
      </c>
      <c r="CQ114" s="1220">
        <f t="shared" si="77"/>
        <v>-307644.40386904776</v>
      </c>
      <c r="CR114" s="1220">
        <f t="shared" si="77"/>
        <v>-307644.40386904776</v>
      </c>
      <c r="CS114" s="1220">
        <f t="shared" si="77"/>
        <v>-307644.40386904776</v>
      </c>
      <c r="CT114" s="1220">
        <f t="shared" si="77"/>
        <v>-307644.40386904776</v>
      </c>
      <c r="CU114" s="1220">
        <f t="shared" si="77"/>
        <v>-307644.40386904776</v>
      </c>
      <c r="CV114" s="1220">
        <f t="shared" si="77"/>
        <v>-307644.40386904776</v>
      </c>
      <c r="CW114" s="1220">
        <f t="shared" si="77"/>
        <v>-307644.40386904776</v>
      </c>
      <c r="CX114" s="1220">
        <f t="shared" si="77"/>
        <v>-307644.40386904776</v>
      </c>
      <c r="CY114" s="1220">
        <f t="shared" si="77"/>
        <v>-307644.40386904776</v>
      </c>
      <c r="CZ114" s="1220">
        <f t="shared" si="77"/>
        <v>-307644.40386904776</v>
      </c>
      <c r="DA114" s="1220">
        <f t="shared" si="77"/>
        <v>-307644.40386904776</v>
      </c>
      <c r="DB114" s="1220">
        <f t="shared" si="77"/>
        <v>-307644.40386904776</v>
      </c>
      <c r="DC114" s="1220">
        <f t="shared" si="77"/>
        <v>-307644.40386904776</v>
      </c>
      <c r="DD114" s="1220">
        <f t="shared" si="77"/>
        <v>-307644.40386904776</v>
      </c>
      <c r="DE114" s="1220">
        <f t="shared" si="77"/>
        <v>-307644.40386904776</v>
      </c>
      <c r="DF114" s="101"/>
      <c r="DG114" s="101"/>
      <c r="DH114" s="101"/>
      <c r="DI114" s="101"/>
      <c r="DJ114" s="101"/>
      <c r="DK114" s="101"/>
      <c r="DL114" s="101"/>
      <c r="DM114" s="101"/>
      <c r="DN114" s="101"/>
      <c r="DO114" s="101"/>
      <c r="DP114" s="101"/>
      <c r="DQ114" s="101"/>
      <c r="DR114" s="101"/>
      <c r="DS114" s="101"/>
      <c r="DT114" s="101"/>
      <c r="DU114" s="101"/>
      <c r="DV114" s="101"/>
      <c r="DW114" s="101"/>
      <c r="DX114" s="101"/>
      <c r="DY114" s="101"/>
      <c r="DZ114" s="101"/>
      <c r="EA114" s="101"/>
      <c r="EB114" s="101"/>
      <c r="EC114" s="101"/>
    </row>
    <row r="115" spans="1:140" x14ac:dyDescent="0.3">
      <c r="H115" s="1215"/>
      <c r="L115" s="1220"/>
      <c r="M115" s="1220"/>
      <c r="N115" s="1220"/>
      <c r="O115" s="1220"/>
      <c r="P115" s="1220"/>
      <c r="Q115" s="1220"/>
      <c r="R115" s="1220"/>
      <c r="S115" s="1220"/>
      <c r="T115" s="1220"/>
      <c r="U115" s="1220"/>
      <c r="V115" s="1220"/>
      <c r="W115" s="1220"/>
      <c r="X115" s="1220"/>
      <c r="Y115" s="1220"/>
      <c r="Z115" s="1220"/>
      <c r="AA115" s="1220"/>
      <c r="AB115" s="1220"/>
      <c r="AC115" s="1220"/>
      <c r="AD115" s="1220"/>
      <c r="AE115" s="1220"/>
      <c r="AF115" s="1220"/>
      <c r="AG115" s="1220"/>
      <c r="AH115" s="1220"/>
      <c r="AI115" s="1220"/>
      <c r="AJ115" s="1220"/>
      <c r="AK115" s="1220"/>
      <c r="AL115" s="1220"/>
      <c r="AM115" s="1220"/>
      <c r="AN115" s="1220"/>
      <c r="AO115" s="1220"/>
      <c r="AP115" s="1220"/>
      <c r="AQ115" s="1220"/>
      <c r="AR115" s="1220"/>
      <c r="AS115" s="1220"/>
      <c r="AT115" s="1220"/>
      <c r="AU115" s="1220"/>
      <c r="AV115" s="1220"/>
      <c r="AW115" s="1220"/>
      <c r="AX115" s="1220"/>
      <c r="AY115" s="1220"/>
      <c r="AZ115" s="1220"/>
      <c r="BA115" s="1220"/>
      <c r="BB115" s="1220"/>
      <c r="BC115" s="1220"/>
      <c r="BD115" s="1220"/>
      <c r="BE115" s="1220"/>
      <c r="BF115" s="1220"/>
      <c r="BG115" s="1220"/>
      <c r="BH115" s="1220"/>
      <c r="BI115" s="1220"/>
      <c r="BJ115" s="1220"/>
      <c r="BK115" s="1220"/>
      <c r="BL115" s="1220"/>
      <c r="BM115" s="1220"/>
      <c r="BN115" s="1220"/>
      <c r="BO115" s="1220"/>
      <c r="BP115" s="1220"/>
      <c r="BQ115" s="1220"/>
      <c r="BR115" s="1220"/>
      <c r="BS115" s="1220"/>
      <c r="BT115" s="1220"/>
      <c r="BU115" s="1220"/>
      <c r="BV115" s="1220"/>
      <c r="BW115" s="1220"/>
      <c r="BX115" s="1220"/>
      <c r="BY115" s="1220"/>
      <c r="BZ115" s="1220"/>
      <c r="CA115" s="1220"/>
      <c r="CB115" s="1220"/>
      <c r="CC115" s="1220"/>
      <c r="CD115" s="1220"/>
      <c r="CE115" s="1220"/>
      <c r="CF115" s="1220"/>
      <c r="CG115" s="1220"/>
      <c r="CH115" s="1220"/>
      <c r="CI115" s="1220"/>
      <c r="CJ115" s="1220"/>
      <c r="CK115" s="1220"/>
      <c r="CL115" s="1220"/>
      <c r="CM115" s="1220"/>
      <c r="CN115" s="1220"/>
      <c r="CO115" s="1220"/>
      <c r="CP115" s="1220"/>
      <c r="CQ115" s="1220"/>
      <c r="CR115" s="1220"/>
      <c r="CS115" s="1220"/>
      <c r="CT115" s="1220"/>
      <c r="CU115" s="1220"/>
      <c r="CV115" s="1220"/>
      <c r="CW115" s="1220"/>
      <c r="CX115" s="1220"/>
      <c r="CY115" s="1220"/>
      <c r="CZ115" s="1220"/>
      <c r="DA115" s="1220"/>
      <c r="DB115" s="1220"/>
      <c r="DC115" s="1220"/>
      <c r="DD115" s="1220"/>
      <c r="DE115" s="1220"/>
      <c r="DF115" s="101"/>
      <c r="DG115" s="101"/>
      <c r="DH115" s="101"/>
      <c r="DI115" s="101"/>
      <c r="DJ115" s="101"/>
      <c r="DK115" s="101"/>
      <c r="DL115" s="101"/>
      <c r="DM115" s="101"/>
      <c r="DN115" s="101"/>
      <c r="DO115" s="101"/>
      <c r="DP115" s="101"/>
      <c r="DQ115" s="101"/>
      <c r="DR115" s="101"/>
      <c r="DS115" s="101"/>
      <c r="DT115" s="101"/>
      <c r="DU115" s="101"/>
      <c r="DV115" s="101"/>
      <c r="DW115" s="101"/>
      <c r="DX115" s="101"/>
      <c r="DY115" s="101"/>
      <c r="DZ115" s="101"/>
      <c r="EA115" s="101"/>
      <c r="EB115" s="101"/>
      <c r="EC115" s="101"/>
    </row>
    <row r="116" spans="1:140" x14ac:dyDescent="0.3">
      <c r="A116" s="1214" t="s">
        <v>2217</v>
      </c>
      <c r="H116" s="1215">
        <v>25842129.925000012</v>
      </c>
      <c r="L116" s="1220"/>
      <c r="M116" s="1220"/>
      <c r="N116" s="1220"/>
      <c r="O116" s="1220"/>
      <c r="P116" s="1220"/>
      <c r="Q116" s="1220"/>
      <c r="R116" s="1220"/>
      <c r="S116" s="1220"/>
      <c r="T116" s="1220"/>
      <c r="U116" s="1220"/>
      <c r="V116" s="1220"/>
      <c r="W116" s="1220"/>
      <c r="X116" s="1220"/>
      <c r="Y116" s="1220"/>
      <c r="Z116" s="1220"/>
      <c r="AA116" s="1220"/>
      <c r="AB116" s="1220"/>
      <c r="AC116" s="1220"/>
      <c r="AD116" s="1220"/>
      <c r="AE116" s="1220"/>
      <c r="AF116" s="1220"/>
      <c r="AG116" s="1220"/>
      <c r="AH116" s="1220"/>
      <c r="AI116" s="1220"/>
      <c r="AJ116" s="1220"/>
      <c r="AK116" s="1220"/>
      <c r="AL116" s="1220"/>
      <c r="AM116" s="1220"/>
      <c r="AN116" s="1220"/>
      <c r="AO116" s="1220"/>
      <c r="AP116" s="1220"/>
      <c r="AQ116" s="1220"/>
      <c r="AR116" s="1220"/>
      <c r="AS116" s="1220"/>
      <c r="AT116" s="1220"/>
      <c r="AU116" s="1220"/>
      <c r="AV116" s="1220"/>
      <c r="AW116" s="1220"/>
      <c r="AX116" s="1220"/>
      <c r="AY116" s="1220">
        <f t="shared" si="77"/>
        <v>-307644.40386904776</v>
      </c>
      <c r="AZ116" s="1220">
        <f t="shared" si="77"/>
        <v>-307644.40386904776</v>
      </c>
      <c r="BA116" s="1220">
        <f t="shared" si="77"/>
        <v>-307644.40386904776</v>
      </c>
      <c r="BB116" s="1220">
        <f t="shared" si="77"/>
        <v>-307644.40386904776</v>
      </c>
      <c r="BC116" s="1220">
        <f t="shared" si="77"/>
        <v>-307644.40386904776</v>
      </c>
      <c r="BD116" s="1220">
        <f t="shared" si="77"/>
        <v>-307644.40386904776</v>
      </c>
      <c r="BE116" s="1220">
        <f t="shared" si="77"/>
        <v>-307644.40386904776</v>
      </c>
      <c r="BF116" s="1220">
        <f t="shared" si="77"/>
        <v>-307644.40386904776</v>
      </c>
      <c r="BG116" s="1220">
        <f t="shared" si="77"/>
        <v>-307644.40386904776</v>
      </c>
      <c r="BH116" s="1220">
        <f t="shared" si="77"/>
        <v>-307644.40386904776</v>
      </c>
      <c r="BI116" s="1220">
        <f t="shared" si="77"/>
        <v>-307644.40386904776</v>
      </c>
      <c r="BJ116" s="1220">
        <f t="shared" si="77"/>
        <v>-307644.40386904776</v>
      </c>
      <c r="BK116" s="1220">
        <f t="shared" si="77"/>
        <v>-307644.40386904776</v>
      </c>
      <c r="BL116" s="1220">
        <f t="shared" si="77"/>
        <v>-307644.40386904776</v>
      </c>
      <c r="BM116" s="1220">
        <f t="shared" si="77"/>
        <v>-307644.40386904776</v>
      </c>
      <c r="BN116" s="1220">
        <f t="shared" si="77"/>
        <v>-307644.40386904776</v>
      </c>
      <c r="BO116" s="1220">
        <f t="shared" si="77"/>
        <v>-307644.40386904776</v>
      </c>
      <c r="BP116" s="1220">
        <f t="shared" si="77"/>
        <v>-307644.40386904776</v>
      </c>
      <c r="BQ116" s="1220">
        <f t="shared" si="77"/>
        <v>-307644.40386904776</v>
      </c>
      <c r="BR116" s="1220">
        <f t="shared" si="77"/>
        <v>-307644.40386904776</v>
      </c>
      <c r="BS116" s="1220">
        <f t="shared" si="77"/>
        <v>-307644.40386904776</v>
      </c>
      <c r="BT116" s="1220">
        <f t="shared" si="77"/>
        <v>-307644.40386904776</v>
      </c>
      <c r="BU116" s="1220">
        <f t="shared" si="77"/>
        <v>-307644.40386904776</v>
      </c>
      <c r="BV116" s="1220">
        <f t="shared" si="77"/>
        <v>-307644.40386904776</v>
      </c>
      <c r="BW116" s="1220">
        <f t="shared" si="77"/>
        <v>-307644.40386904776</v>
      </c>
      <c r="BX116" s="1220">
        <f t="shared" si="77"/>
        <v>-307644.40386904776</v>
      </c>
      <c r="BY116" s="1220">
        <f t="shared" si="77"/>
        <v>-307644.40386904776</v>
      </c>
      <c r="BZ116" s="1220">
        <f t="shared" si="77"/>
        <v>-307644.40386904776</v>
      </c>
      <c r="CA116" s="1220">
        <f t="shared" si="77"/>
        <v>-307644.40386904776</v>
      </c>
      <c r="CB116" s="1220">
        <f t="shared" si="77"/>
        <v>-307644.40386904776</v>
      </c>
      <c r="CC116" s="1220">
        <f t="shared" si="77"/>
        <v>-307644.40386904776</v>
      </c>
      <c r="CD116" s="1220">
        <f t="shared" si="77"/>
        <v>-307644.40386904776</v>
      </c>
      <c r="CE116" s="1220">
        <f t="shared" si="77"/>
        <v>-307644.40386904776</v>
      </c>
      <c r="CF116" s="1220">
        <f t="shared" si="77"/>
        <v>-307644.40386904776</v>
      </c>
      <c r="CG116" s="1220">
        <f t="shared" si="77"/>
        <v>-307644.40386904776</v>
      </c>
      <c r="CH116" s="1220">
        <f t="shared" si="77"/>
        <v>-307644.40386904776</v>
      </c>
      <c r="CI116" s="1220">
        <f t="shared" si="77"/>
        <v>-307644.40386904776</v>
      </c>
      <c r="CJ116" s="1220">
        <f t="shared" si="77"/>
        <v>-307644.40386904776</v>
      </c>
      <c r="CK116" s="1220">
        <f t="shared" si="77"/>
        <v>-307644.40386904776</v>
      </c>
      <c r="CL116" s="1220">
        <f t="shared" si="77"/>
        <v>-307644.40386904776</v>
      </c>
      <c r="CM116" s="1220">
        <f t="shared" si="77"/>
        <v>-307644.40386904776</v>
      </c>
      <c r="CN116" s="1220">
        <f t="shared" si="77"/>
        <v>-307644.40386904776</v>
      </c>
      <c r="CO116" s="1220">
        <f t="shared" si="77"/>
        <v>-307644.40386904776</v>
      </c>
      <c r="CP116" s="1220">
        <f t="shared" si="77"/>
        <v>-307644.40386904776</v>
      </c>
      <c r="CQ116" s="1220">
        <f t="shared" si="77"/>
        <v>-307644.40386904776</v>
      </c>
      <c r="CR116" s="1220">
        <f t="shared" si="77"/>
        <v>-307644.40386904776</v>
      </c>
      <c r="CS116" s="1220">
        <f t="shared" si="77"/>
        <v>-307644.40386904776</v>
      </c>
      <c r="CT116" s="1220">
        <f t="shared" si="77"/>
        <v>-307644.40386904776</v>
      </c>
      <c r="CU116" s="1220">
        <f t="shared" si="77"/>
        <v>-307644.40386904776</v>
      </c>
      <c r="CV116" s="1220">
        <f t="shared" si="77"/>
        <v>-307644.40386904776</v>
      </c>
      <c r="CW116" s="1220">
        <f t="shared" si="77"/>
        <v>-307644.40386904776</v>
      </c>
      <c r="CX116" s="1220">
        <f t="shared" si="77"/>
        <v>-307644.40386904776</v>
      </c>
      <c r="CY116" s="1220">
        <f t="shared" si="77"/>
        <v>-307644.40386904776</v>
      </c>
      <c r="CZ116" s="1220">
        <f t="shared" si="77"/>
        <v>-307644.40386904776</v>
      </c>
      <c r="DA116" s="1220">
        <f t="shared" si="77"/>
        <v>-307644.40386904776</v>
      </c>
      <c r="DB116" s="1220">
        <f t="shared" si="77"/>
        <v>-307644.40386904776</v>
      </c>
      <c r="DC116" s="1220">
        <f t="shared" si="77"/>
        <v>-307644.40386904776</v>
      </c>
      <c r="DD116" s="1220">
        <f t="shared" si="77"/>
        <v>-307644.40386904776</v>
      </c>
      <c r="DE116" s="1220">
        <f t="shared" si="77"/>
        <v>-307644.40386904776</v>
      </c>
      <c r="DF116" s="101"/>
      <c r="DG116" s="101"/>
      <c r="DH116" s="101"/>
      <c r="DI116" s="101"/>
      <c r="DJ116" s="101"/>
      <c r="DK116" s="101"/>
      <c r="DL116" s="101"/>
      <c r="DM116" s="101"/>
      <c r="DN116" s="101"/>
      <c r="DO116" s="101"/>
      <c r="DP116" s="101"/>
      <c r="DQ116" s="101"/>
      <c r="DR116" s="101"/>
      <c r="DS116" s="101"/>
      <c r="DT116" s="101"/>
      <c r="DU116" s="101"/>
      <c r="DV116" s="101"/>
      <c r="DW116" s="101"/>
      <c r="DX116" s="101"/>
      <c r="DY116" s="101"/>
      <c r="DZ116" s="101"/>
      <c r="EA116" s="101"/>
      <c r="EB116" s="101"/>
      <c r="EC116" s="101"/>
      <c r="ED116" s="101"/>
    </row>
    <row r="117" spans="1:140" x14ac:dyDescent="0.3">
      <c r="H117" s="1215"/>
      <c r="L117" s="1220"/>
      <c r="M117" s="1220"/>
      <c r="N117" s="1220"/>
      <c r="O117" s="1220"/>
      <c r="P117" s="1220"/>
      <c r="Q117" s="1220"/>
      <c r="R117" s="1220"/>
      <c r="S117" s="1220"/>
      <c r="T117" s="1220"/>
      <c r="U117" s="1220"/>
      <c r="V117" s="1220"/>
      <c r="W117" s="1220"/>
      <c r="X117" s="1220"/>
      <c r="Y117" s="1220"/>
      <c r="Z117" s="1220"/>
      <c r="AA117" s="1220"/>
      <c r="AB117" s="1220"/>
      <c r="AC117" s="1220"/>
      <c r="AD117" s="1220"/>
      <c r="AE117" s="1220"/>
      <c r="AF117" s="1220"/>
      <c r="AG117" s="1220"/>
      <c r="AH117" s="1220"/>
      <c r="AI117" s="1220"/>
      <c r="AJ117" s="1220"/>
      <c r="AK117" s="1220"/>
      <c r="AL117" s="1220"/>
      <c r="AM117" s="1220"/>
      <c r="AN117" s="1220"/>
      <c r="AO117" s="1220"/>
      <c r="AP117" s="1220"/>
      <c r="AQ117" s="1220"/>
      <c r="AR117" s="1220"/>
      <c r="AS117" s="1220"/>
      <c r="AT117" s="1220"/>
      <c r="AU117" s="1220"/>
      <c r="AV117" s="1220"/>
      <c r="AW117" s="1220"/>
      <c r="AX117" s="1220"/>
      <c r="AY117" s="1220"/>
      <c r="AZ117" s="1220"/>
      <c r="BA117" s="1220"/>
      <c r="BB117" s="1220"/>
      <c r="BC117" s="1220"/>
      <c r="BD117" s="1220"/>
      <c r="BE117" s="1220"/>
      <c r="BF117" s="1220"/>
      <c r="BG117" s="1220"/>
      <c r="BH117" s="1220"/>
      <c r="BI117" s="1220"/>
      <c r="BJ117" s="1220"/>
      <c r="BK117" s="1220"/>
      <c r="BL117" s="1220"/>
      <c r="BM117" s="1220"/>
      <c r="BN117" s="1220"/>
      <c r="BO117" s="1220"/>
      <c r="BP117" s="1220"/>
      <c r="BQ117" s="1220"/>
      <c r="BR117" s="1220"/>
      <c r="BS117" s="1220"/>
      <c r="BT117" s="1220"/>
      <c r="BU117" s="1220"/>
      <c r="BV117" s="1220"/>
      <c r="BW117" s="1220"/>
      <c r="BX117" s="1220"/>
      <c r="BY117" s="1220"/>
      <c r="BZ117" s="1220"/>
      <c r="CA117" s="1220"/>
      <c r="CB117" s="1220"/>
      <c r="CC117" s="1220"/>
      <c r="CD117" s="1220"/>
      <c r="CE117" s="1220"/>
      <c r="CF117" s="1220"/>
      <c r="CG117" s="1220"/>
      <c r="CH117" s="1220"/>
      <c r="CI117" s="1220"/>
      <c r="CJ117" s="1220"/>
      <c r="CK117" s="1220"/>
      <c r="CL117" s="1220"/>
      <c r="CM117" s="1220"/>
      <c r="CN117" s="1220"/>
      <c r="CO117" s="1220"/>
      <c r="CP117" s="1220"/>
      <c r="CQ117" s="1220"/>
      <c r="CR117" s="1220"/>
      <c r="CS117" s="1220"/>
      <c r="CT117" s="1220"/>
      <c r="CU117" s="1220"/>
      <c r="CV117" s="1220"/>
      <c r="CW117" s="1220"/>
      <c r="CX117" s="1220"/>
      <c r="CY117" s="1220"/>
      <c r="CZ117" s="1220"/>
      <c r="DA117" s="1220"/>
      <c r="DB117" s="1220"/>
      <c r="DC117" s="1220"/>
      <c r="DD117" s="1220"/>
      <c r="DE117" s="1220"/>
      <c r="DF117" s="101"/>
      <c r="DG117" s="101"/>
      <c r="DH117" s="101"/>
      <c r="DI117" s="101"/>
      <c r="DJ117" s="101"/>
      <c r="DK117" s="101"/>
      <c r="DL117" s="101"/>
      <c r="DM117" s="101"/>
      <c r="DN117" s="101"/>
      <c r="DO117" s="101"/>
      <c r="DP117" s="101"/>
      <c r="DQ117" s="101"/>
      <c r="DR117" s="101"/>
      <c r="DS117" s="101"/>
      <c r="DT117" s="101"/>
      <c r="DU117" s="101"/>
      <c r="DV117" s="101"/>
      <c r="DW117" s="101"/>
      <c r="DX117" s="101"/>
      <c r="DY117" s="101"/>
      <c r="DZ117" s="101"/>
      <c r="EA117" s="101"/>
      <c r="EB117" s="101"/>
      <c r="EC117" s="101"/>
      <c r="ED117" s="101"/>
    </row>
    <row r="118" spans="1:140" x14ac:dyDescent="0.3">
      <c r="A118" s="1214" t="s">
        <v>2218</v>
      </c>
      <c r="H118" s="1215">
        <v>25842129.925000012</v>
      </c>
      <c r="L118" s="1220"/>
      <c r="M118" s="1220"/>
      <c r="N118" s="1220"/>
      <c r="O118" s="1220"/>
      <c r="P118" s="1220"/>
      <c r="Q118" s="1220"/>
      <c r="R118" s="1220"/>
      <c r="S118" s="1220"/>
      <c r="T118" s="1220"/>
      <c r="U118" s="1220"/>
      <c r="V118" s="1220"/>
      <c r="W118" s="1220"/>
      <c r="X118" s="1220"/>
      <c r="Y118" s="1220"/>
      <c r="Z118" s="1220"/>
      <c r="AA118" s="1220"/>
      <c r="AB118" s="1220"/>
      <c r="AC118" s="1220"/>
      <c r="AD118" s="1220"/>
      <c r="AE118" s="1220"/>
      <c r="AF118" s="1220"/>
      <c r="AG118" s="1220"/>
      <c r="AH118" s="1220"/>
      <c r="AI118" s="1220"/>
      <c r="AJ118" s="1220"/>
      <c r="AK118" s="1220"/>
      <c r="AL118" s="1220"/>
      <c r="AM118" s="1220"/>
      <c r="AN118" s="1220"/>
      <c r="AO118" s="1220"/>
      <c r="AP118" s="1220"/>
      <c r="AQ118" s="1220"/>
      <c r="AR118" s="1220"/>
      <c r="AS118" s="1220"/>
      <c r="AT118" s="1220"/>
      <c r="AU118" s="1220"/>
      <c r="AV118" s="1220"/>
      <c r="AW118" s="1220"/>
      <c r="AX118" s="1220"/>
      <c r="AY118" s="1220"/>
      <c r="AZ118" s="1220">
        <f t="shared" si="77"/>
        <v>-307644.40386904776</v>
      </c>
      <c r="BA118" s="1220">
        <f t="shared" si="77"/>
        <v>-307644.40386904776</v>
      </c>
      <c r="BB118" s="1220">
        <f t="shared" si="77"/>
        <v>-307644.40386904776</v>
      </c>
      <c r="BC118" s="1220">
        <f t="shared" si="77"/>
        <v>-307644.40386904776</v>
      </c>
      <c r="BD118" s="1220">
        <f t="shared" si="77"/>
        <v>-307644.40386904776</v>
      </c>
      <c r="BE118" s="1220">
        <f t="shared" si="77"/>
        <v>-307644.40386904776</v>
      </c>
      <c r="BF118" s="1220">
        <f t="shared" si="77"/>
        <v>-307644.40386904776</v>
      </c>
      <c r="BG118" s="1220">
        <f t="shared" si="77"/>
        <v>-307644.40386904776</v>
      </c>
      <c r="BH118" s="1220">
        <f t="shared" si="77"/>
        <v>-307644.40386904776</v>
      </c>
      <c r="BI118" s="1220">
        <f t="shared" si="77"/>
        <v>-307644.40386904776</v>
      </c>
      <c r="BJ118" s="1220">
        <f t="shared" si="77"/>
        <v>-307644.40386904776</v>
      </c>
      <c r="BK118" s="1220">
        <f t="shared" si="77"/>
        <v>-307644.40386904776</v>
      </c>
      <c r="BL118" s="1220">
        <f t="shared" si="77"/>
        <v>-307644.40386904776</v>
      </c>
      <c r="BM118" s="1220">
        <f t="shared" si="77"/>
        <v>-307644.40386904776</v>
      </c>
      <c r="BN118" s="1220">
        <f t="shared" si="77"/>
        <v>-307644.40386904776</v>
      </c>
      <c r="BO118" s="1220">
        <f t="shared" si="77"/>
        <v>-307644.40386904776</v>
      </c>
      <c r="BP118" s="1220">
        <f t="shared" si="77"/>
        <v>-307644.40386904776</v>
      </c>
      <c r="BQ118" s="1220">
        <f t="shared" si="77"/>
        <v>-307644.40386904776</v>
      </c>
      <c r="BR118" s="1220">
        <f t="shared" si="77"/>
        <v>-307644.40386904776</v>
      </c>
      <c r="BS118" s="1220">
        <f t="shared" si="77"/>
        <v>-307644.40386904776</v>
      </c>
      <c r="BT118" s="1220">
        <f t="shared" si="77"/>
        <v>-307644.40386904776</v>
      </c>
      <c r="BU118" s="1220">
        <f t="shared" si="77"/>
        <v>-307644.40386904776</v>
      </c>
      <c r="BV118" s="1220">
        <f t="shared" si="77"/>
        <v>-307644.40386904776</v>
      </c>
      <c r="BW118" s="1220">
        <f t="shared" si="77"/>
        <v>-307644.40386904776</v>
      </c>
      <c r="BX118" s="1220">
        <f t="shared" si="77"/>
        <v>-307644.40386904776</v>
      </c>
      <c r="BY118" s="1220">
        <f t="shared" si="77"/>
        <v>-307644.40386904776</v>
      </c>
      <c r="BZ118" s="1220">
        <f t="shared" si="77"/>
        <v>-307644.40386904776</v>
      </c>
      <c r="CA118" s="1220">
        <f t="shared" si="77"/>
        <v>-307644.40386904776</v>
      </c>
      <c r="CB118" s="1220">
        <f t="shared" si="77"/>
        <v>-307644.40386904776</v>
      </c>
      <c r="CC118" s="1220">
        <f t="shared" si="77"/>
        <v>-307644.40386904776</v>
      </c>
      <c r="CD118" s="1220">
        <f t="shared" si="77"/>
        <v>-307644.40386904776</v>
      </c>
      <c r="CE118" s="1220">
        <f t="shared" si="77"/>
        <v>-307644.40386904776</v>
      </c>
      <c r="CF118" s="1220">
        <f t="shared" si="77"/>
        <v>-307644.40386904776</v>
      </c>
      <c r="CG118" s="1220">
        <f t="shared" si="77"/>
        <v>-307644.40386904776</v>
      </c>
      <c r="CH118" s="1220">
        <f t="shared" si="77"/>
        <v>-307644.40386904776</v>
      </c>
      <c r="CI118" s="1220">
        <f t="shared" si="77"/>
        <v>-307644.40386904776</v>
      </c>
      <c r="CJ118" s="1220">
        <f t="shared" si="77"/>
        <v>-307644.40386904776</v>
      </c>
      <c r="CK118" s="1220">
        <f t="shared" si="77"/>
        <v>-307644.40386904776</v>
      </c>
      <c r="CL118" s="1220">
        <f t="shared" si="77"/>
        <v>-307644.40386904776</v>
      </c>
      <c r="CM118" s="1220">
        <f t="shared" si="77"/>
        <v>-307644.40386904776</v>
      </c>
      <c r="CN118" s="1220">
        <f t="shared" si="77"/>
        <v>-307644.40386904776</v>
      </c>
      <c r="CO118" s="1220">
        <f t="shared" si="77"/>
        <v>-307644.40386904776</v>
      </c>
      <c r="CP118" s="1220">
        <f t="shared" si="77"/>
        <v>-307644.40386904776</v>
      </c>
      <c r="CQ118" s="1220">
        <f t="shared" si="77"/>
        <v>-307644.40386904776</v>
      </c>
      <c r="CR118" s="1220">
        <f t="shared" si="77"/>
        <v>-307644.40386904776</v>
      </c>
      <c r="CS118" s="1220">
        <f t="shared" si="77"/>
        <v>-307644.40386904776</v>
      </c>
      <c r="CT118" s="1220">
        <f t="shared" si="77"/>
        <v>-307644.40386904776</v>
      </c>
      <c r="CU118" s="1220">
        <f t="shared" si="77"/>
        <v>-307644.40386904776</v>
      </c>
      <c r="CV118" s="1220">
        <f t="shared" si="77"/>
        <v>-307644.40386904776</v>
      </c>
      <c r="CW118" s="1220">
        <f t="shared" si="77"/>
        <v>-307644.40386904776</v>
      </c>
      <c r="CX118" s="1220">
        <f t="shared" si="77"/>
        <v>-307644.40386904776</v>
      </c>
      <c r="CY118" s="1220">
        <f t="shared" si="77"/>
        <v>-307644.40386904776</v>
      </c>
      <c r="CZ118" s="1220">
        <f t="shared" si="77"/>
        <v>-307644.40386904776</v>
      </c>
      <c r="DA118" s="1220">
        <f t="shared" si="77"/>
        <v>-307644.40386904776</v>
      </c>
      <c r="DB118" s="1220">
        <f t="shared" si="77"/>
        <v>-307644.40386904776</v>
      </c>
      <c r="DC118" s="1220">
        <f t="shared" si="77"/>
        <v>-307644.40386904776</v>
      </c>
      <c r="DD118" s="1220">
        <f t="shared" si="77"/>
        <v>-307644.40386904776</v>
      </c>
      <c r="DE118" s="1220">
        <f t="shared" si="77"/>
        <v>-307644.40386904776</v>
      </c>
      <c r="DF118" s="101"/>
      <c r="DG118" s="101"/>
      <c r="DH118" s="101"/>
      <c r="DI118" s="101"/>
      <c r="DJ118" s="101"/>
      <c r="DK118" s="101"/>
      <c r="DL118" s="101"/>
      <c r="DM118" s="101"/>
      <c r="DN118" s="101"/>
      <c r="DO118" s="101"/>
      <c r="DP118" s="101"/>
      <c r="DQ118" s="101"/>
      <c r="DR118" s="101"/>
      <c r="DS118" s="101"/>
      <c r="DT118" s="101"/>
      <c r="DU118" s="101"/>
      <c r="DV118" s="101"/>
      <c r="DW118" s="101"/>
      <c r="DX118" s="101"/>
      <c r="DY118" s="101"/>
      <c r="DZ118" s="101"/>
      <c r="EA118" s="101"/>
      <c r="EB118" s="101"/>
      <c r="EC118" s="101"/>
      <c r="ED118" s="101"/>
      <c r="EE118" s="101"/>
    </row>
    <row r="119" spans="1:140" x14ac:dyDescent="0.3">
      <c r="H119" s="1215"/>
      <c r="L119" s="1220"/>
      <c r="M119" s="1220"/>
      <c r="N119" s="1220"/>
      <c r="O119" s="1220"/>
      <c r="P119" s="1220"/>
      <c r="Q119" s="1220"/>
      <c r="R119" s="1220"/>
      <c r="S119" s="1220"/>
      <c r="T119" s="1220"/>
      <c r="U119" s="1220"/>
      <c r="V119" s="1220"/>
      <c r="W119" s="1220"/>
      <c r="X119" s="1220"/>
      <c r="Y119" s="1220"/>
      <c r="Z119" s="1220"/>
      <c r="AA119" s="1220"/>
      <c r="AB119" s="1220"/>
      <c r="AC119" s="1220"/>
      <c r="AD119" s="1220"/>
      <c r="AE119" s="1220"/>
      <c r="AF119" s="1220"/>
      <c r="AG119" s="1220"/>
      <c r="AH119" s="1220"/>
      <c r="AI119" s="1220"/>
      <c r="AJ119" s="1220"/>
      <c r="AK119" s="1220"/>
      <c r="AL119" s="1220"/>
      <c r="AM119" s="1220"/>
      <c r="AN119" s="1220"/>
      <c r="AO119" s="1220"/>
      <c r="AP119" s="1220"/>
      <c r="AQ119" s="1220"/>
      <c r="AR119" s="1220"/>
      <c r="AS119" s="1220"/>
      <c r="AT119" s="1220"/>
      <c r="AU119" s="1220"/>
      <c r="AV119" s="1220"/>
      <c r="AW119" s="1220"/>
      <c r="AX119" s="1220"/>
      <c r="AY119" s="1220"/>
      <c r="AZ119" s="1220"/>
      <c r="BA119" s="1220"/>
      <c r="BB119" s="1220"/>
      <c r="BC119" s="1220"/>
      <c r="BD119" s="1220"/>
      <c r="BE119" s="1220"/>
      <c r="BF119" s="1220"/>
      <c r="BG119" s="1220"/>
      <c r="BH119" s="1220"/>
      <c r="BI119" s="1220"/>
      <c r="BJ119" s="1220"/>
      <c r="BK119" s="1220"/>
      <c r="BL119" s="1220"/>
      <c r="BM119" s="1220"/>
      <c r="BN119" s="1220"/>
      <c r="BO119" s="1220"/>
      <c r="BP119" s="1220"/>
      <c r="BQ119" s="1220"/>
      <c r="BR119" s="1220"/>
      <c r="BS119" s="1220"/>
      <c r="BT119" s="1220"/>
      <c r="BU119" s="1220"/>
      <c r="BV119" s="1220"/>
      <c r="BW119" s="1220"/>
      <c r="BX119" s="1220"/>
      <c r="BY119" s="1220"/>
      <c r="BZ119" s="1220"/>
      <c r="CA119" s="1220"/>
      <c r="CB119" s="1220"/>
      <c r="CC119" s="1220"/>
      <c r="CD119" s="1220"/>
      <c r="CE119" s="1220"/>
      <c r="CF119" s="1220"/>
      <c r="CG119" s="1220"/>
      <c r="CH119" s="1220"/>
      <c r="CI119" s="1220"/>
      <c r="CJ119" s="1220"/>
      <c r="CK119" s="1220"/>
      <c r="CL119" s="1220"/>
      <c r="CM119" s="1220"/>
      <c r="CN119" s="1220"/>
      <c r="CO119" s="1220"/>
      <c r="CP119" s="1220"/>
      <c r="CQ119" s="1220"/>
      <c r="CR119" s="1220"/>
      <c r="CS119" s="1220"/>
      <c r="CT119" s="1220"/>
      <c r="CU119" s="1220"/>
      <c r="CV119" s="1220"/>
      <c r="CW119" s="1220"/>
      <c r="CX119" s="1220"/>
      <c r="CY119" s="1220"/>
      <c r="CZ119" s="1220"/>
      <c r="DA119" s="1220"/>
      <c r="DB119" s="1220"/>
      <c r="DC119" s="1220"/>
      <c r="DD119" s="1220"/>
      <c r="DE119" s="1220"/>
      <c r="DF119" s="101"/>
      <c r="DG119" s="101"/>
      <c r="DH119" s="101"/>
      <c r="DI119" s="101"/>
      <c r="DJ119" s="101"/>
      <c r="DK119" s="101"/>
      <c r="DL119" s="101"/>
      <c r="DM119" s="101"/>
      <c r="DN119" s="101"/>
      <c r="DO119" s="101"/>
      <c r="DP119" s="101"/>
      <c r="DQ119" s="101"/>
      <c r="DR119" s="101"/>
      <c r="DS119" s="101"/>
      <c r="DT119" s="101"/>
      <c r="DU119" s="101"/>
      <c r="DV119" s="101"/>
      <c r="DW119" s="101"/>
      <c r="DX119" s="101"/>
      <c r="DY119" s="101"/>
      <c r="DZ119" s="101"/>
      <c r="EA119" s="101"/>
      <c r="EB119" s="101"/>
      <c r="EC119" s="101"/>
      <c r="ED119" s="101"/>
      <c r="EE119" s="101"/>
    </row>
    <row r="120" spans="1:140" x14ac:dyDescent="0.3">
      <c r="A120" s="1214" t="s">
        <v>2219</v>
      </c>
      <c r="H120" s="1215">
        <v>25842129.925000012</v>
      </c>
      <c r="L120" s="1220"/>
      <c r="M120" s="1220"/>
      <c r="N120" s="1220"/>
      <c r="O120" s="1220"/>
      <c r="P120" s="1220"/>
      <c r="Q120" s="1220"/>
      <c r="R120" s="1220"/>
      <c r="S120" s="1220"/>
      <c r="T120" s="1220"/>
      <c r="U120" s="1220"/>
      <c r="V120" s="1220"/>
      <c r="W120" s="1220"/>
      <c r="X120" s="1220"/>
      <c r="Y120" s="1220"/>
      <c r="Z120" s="1220"/>
      <c r="AA120" s="1220"/>
      <c r="AB120" s="1220"/>
      <c r="AC120" s="1220"/>
      <c r="AD120" s="1220"/>
      <c r="AE120" s="1220"/>
      <c r="AF120" s="1220"/>
      <c r="AG120" s="1220"/>
      <c r="AH120" s="1220"/>
      <c r="AI120" s="1220"/>
      <c r="AJ120" s="1220"/>
      <c r="AK120" s="1220"/>
      <c r="AL120" s="1220"/>
      <c r="AM120" s="1220"/>
      <c r="AN120" s="1220"/>
      <c r="AO120" s="1220"/>
      <c r="AP120" s="1220"/>
      <c r="AQ120" s="1220"/>
      <c r="AR120" s="1220"/>
      <c r="AS120" s="1220"/>
      <c r="AT120" s="1220"/>
      <c r="AU120" s="1220"/>
      <c r="AV120" s="1220"/>
      <c r="AW120" s="1220"/>
      <c r="AX120" s="1220"/>
      <c r="AY120" s="1220"/>
      <c r="AZ120" s="1220"/>
      <c r="BA120" s="1220">
        <f t="shared" si="77"/>
        <v>-307644.40386904776</v>
      </c>
      <c r="BB120" s="1220">
        <f t="shared" si="77"/>
        <v>-307644.40386904776</v>
      </c>
      <c r="BC120" s="1220">
        <f t="shared" si="77"/>
        <v>-307644.40386904776</v>
      </c>
      <c r="BD120" s="1220">
        <f t="shared" si="77"/>
        <v>-307644.40386904776</v>
      </c>
      <c r="BE120" s="1220">
        <f t="shared" si="77"/>
        <v>-307644.40386904776</v>
      </c>
      <c r="BF120" s="1220">
        <f t="shared" si="77"/>
        <v>-307644.40386904776</v>
      </c>
      <c r="BG120" s="1220">
        <f t="shared" si="77"/>
        <v>-307644.40386904776</v>
      </c>
      <c r="BH120" s="1220">
        <f t="shared" si="77"/>
        <v>-307644.40386904776</v>
      </c>
      <c r="BI120" s="1220">
        <f t="shared" si="77"/>
        <v>-307644.40386904776</v>
      </c>
      <c r="BJ120" s="1220">
        <f t="shared" si="77"/>
        <v>-307644.40386904776</v>
      </c>
      <c r="BK120" s="1220">
        <f t="shared" si="77"/>
        <v>-307644.40386904776</v>
      </c>
      <c r="BL120" s="1220">
        <f t="shared" si="77"/>
        <v>-307644.40386904776</v>
      </c>
      <c r="BM120" s="1220">
        <f t="shared" si="77"/>
        <v>-307644.40386904776</v>
      </c>
      <c r="BN120" s="1220">
        <f t="shared" si="77"/>
        <v>-307644.40386904776</v>
      </c>
      <c r="BO120" s="1220">
        <f t="shared" si="77"/>
        <v>-307644.40386904776</v>
      </c>
      <c r="BP120" s="1220">
        <f t="shared" si="77"/>
        <v>-307644.40386904776</v>
      </c>
      <c r="BQ120" s="1220">
        <f t="shared" si="77"/>
        <v>-307644.40386904776</v>
      </c>
      <c r="BR120" s="1220">
        <f t="shared" si="77"/>
        <v>-307644.40386904776</v>
      </c>
      <c r="BS120" s="1220">
        <f t="shared" si="77"/>
        <v>-307644.40386904776</v>
      </c>
      <c r="BT120" s="1220">
        <f t="shared" si="77"/>
        <v>-307644.40386904776</v>
      </c>
      <c r="BU120" s="1220">
        <f t="shared" si="77"/>
        <v>-307644.40386904776</v>
      </c>
      <c r="BV120" s="1220">
        <f t="shared" si="77"/>
        <v>-307644.40386904776</v>
      </c>
      <c r="BW120" s="1220">
        <f t="shared" si="77"/>
        <v>-307644.40386904776</v>
      </c>
      <c r="BX120" s="1220">
        <f t="shared" si="77"/>
        <v>-307644.40386904776</v>
      </c>
      <c r="BY120" s="1220">
        <f t="shared" si="77"/>
        <v>-307644.40386904776</v>
      </c>
      <c r="BZ120" s="1220">
        <f t="shared" si="77"/>
        <v>-307644.40386904776</v>
      </c>
      <c r="CA120" s="1220">
        <f t="shared" si="77"/>
        <v>-307644.40386904776</v>
      </c>
      <c r="CB120" s="1220">
        <f t="shared" si="77"/>
        <v>-307644.40386904776</v>
      </c>
      <c r="CC120" s="1220">
        <f t="shared" si="77"/>
        <v>-307644.40386904776</v>
      </c>
      <c r="CD120" s="1220">
        <f t="shared" si="77"/>
        <v>-307644.40386904776</v>
      </c>
      <c r="CE120" s="1220">
        <f t="shared" si="77"/>
        <v>-307644.40386904776</v>
      </c>
      <c r="CF120" s="1220">
        <f t="shared" si="77"/>
        <v>-307644.40386904776</v>
      </c>
      <c r="CG120" s="1220">
        <f t="shared" si="77"/>
        <v>-307644.40386904776</v>
      </c>
      <c r="CH120" s="1220">
        <f t="shared" si="77"/>
        <v>-307644.40386904776</v>
      </c>
      <c r="CI120" s="1220">
        <f t="shared" si="77"/>
        <v>-307644.40386904776</v>
      </c>
      <c r="CJ120" s="1220">
        <f t="shared" si="77"/>
        <v>-307644.40386904776</v>
      </c>
      <c r="CK120" s="1220">
        <f t="shared" si="77"/>
        <v>-307644.40386904776</v>
      </c>
      <c r="CL120" s="1220">
        <f t="shared" si="77"/>
        <v>-307644.40386904776</v>
      </c>
      <c r="CM120" s="1220">
        <f t="shared" si="77"/>
        <v>-307644.40386904776</v>
      </c>
      <c r="CN120" s="1220">
        <f t="shared" si="77"/>
        <v>-307644.40386904776</v>
      </c>
      <c r="CO120" s="1220">
        <f t="shared" si="77"/>
        <v>-307644.40386904776</v>
      </c>
      <c r="CP120" s="1220">
        <f t="shared" si="77"/>
        <v>-307644.40386904776</v>
      </c>
      <c r="CQ120" s="1220">
        <f t="shared" si="77"/>
        <v>-307644.40386904776</v>
      </c>
      <c r="CR120" s="1220">
        <f t="shared" si="77"/>
        <v>-307644.40386904776</v>
      </c>
      <c r="CS120" s="1220">
        <f t="shared" si="77"/>
        <v>-307644.40386904776</v>
      </c>
      <c r="CT120" s="1220">
        <f t="shared" si="77"/>
        <v>-307644.40386904776</v>
      </c>
      <c r="CU120" s="1220">
        <f t="shared" si="77"/>
        <v>-307644.40386904776</v>
      </c>
      <c r="CV120" s="1220">
        <f t="shared" si="77"/>
        <v>-307644.40386904776</v>
      </c>
      <c r="CW120" s="1220">
        <f t="shared" si="77"/>
        <v>-307644.40386904776</v>
      </c>
      <c r="CX120" s="1220">
        <f t="shared" si="77"/>
        <v>-307644.40386904776</v>
      </c>
      <c r="CY120" s="1220">
        <f t="shared" si="77"/>
        <v>-307644.40386904776</v>
      </c>
      <c r="CZ120" s="1220">
        <f t="shared" si="77"/>
        <v>-307644.40386904776</v>
      </c>
      <c r="DA120" s="1220">
        <f t="shared" si="77"/>
        <v>-307644.40386904776</v>
      </c>
      <c r="DB120" s="1220">
        <f t="shared" si="77"/>
        <v>-307644.40386904776</v>
      </c>
      <c r="DC120" s="1220">
        <f t="shared" si="77"/>
        <v>-307644.40386904776</v>
      </c>
      <c r="DD120" s="1220">
        <f t="shared" si="77"/>
        <v>-307644.40386904776</v>
      </c>
      <c r="DE120" s="1220">
        <f t="shared" si="77"/>
        <v>-307644.40386904776</v>
      </c>
      <c r="DF120" s="101"/>
      <c r="DG120" s="101"/>
      <c r="DH120" s="101"/>
      <c r="DI120" s="101"/>
      <c r="DJ120" s="101"/>
      <c r="DK120" s="101"/>
      <c r="DL120" s="101"/>
      <c r="DM120" s="101"/>
      <c r="DN120" s="101"/>
      <c r="DO120" s="101"/>
      <c r="DP120" s="101"/>
      <c r="DQ120" s="101"/>
      <c r="DR120" s="101"/>
      <c r="DS120" s="101"/>
      <c r="DT120" s="101"/>
      <c r="DU120" s="101"/>
      <c r="DV120" s="101"/>
      <c r="DW120" s="101"/>
      <c r="DX120" s="101"/>
      <c r="DY120" s="101"/>
      <c r="DZ120" s="101"/>
      <c r="EA120" s="101"/>
      <c r="EB120" s="101"/>
      <c r="EC120" s="101"/>
      <c r="ED120" s="101"/>
      <c r="EE120" s="101"/>
      <c r="EF120" s="101"/>
    </row>
    <row r="121" spans="1:140" x14ac:dyDescent="0.3">
      <c r="H121" s="1215"/>
      <c r="L121" s="1220"/>
      <c r="M121" s="1220"/>
      <c r="N121" s="1220"/>
      <c r="O121" s="1220"/>
      <c r="P121" s="1220"/>
      <c r="Q121" s="1220"/>
      <c r="R121" s="1220"/>
      <c r="S121" s="1220"/>
      <c r="T121" s="1220"/>
      <c r="U121" s="1220"/>
      <c r="V121" s="1220"/>
      <c r="W121" s="1220"/>
      <c r="X121" s="1220"/>
      <c r="Y121" s="1220"/>
      <c r="Z121" s="1220"/>
      <c r="AA121" s="1220"/>
      <c r="AB121" s="1220"/>
      <c r="AC121" s="1220"/>
      <c r="AD121" s="1220"/>
      <c r="AE121" s="1220"/>
      <c r="AF121" s="1220"/>
      <c r="AG121" s="1220"/>
      <c r="AH121" s="1220"/>
      <c r="AI121" s="1220"/>
      <c r="AJ121" s="1220"/>
      <c r="AK121" s="1220"/>
      <c r="AL121" s="1220"/>
      <c r="AM121" s="1220"/>
      <c r="AN121" s="1220"/>
      <c r="AO121" s="1220"/>
      <c r="AP121" s="1220"/>
      <c r="AQ121" s="1220"/>
      <c r="AR121" s="1220"/>
      <c r="AS121" s="1220"/>
      <c r="AT121" s="1220"/>
      <c r="AU121" s="1220"/>
      <c r="AV121" s="1220"/>
      <c r="AW121" s="1220"/>
      <c r="AX121" s="1220"/>
      <c r="AY121" s="1220"/>
      <c r="AZ121" s="1220"/>
      <c r="BA121" s="1220"/>
      <c r="BB121" s="1220"/>
      <c r="BC121" s="1220"/>
      <c r="BD121" s="1220"/>
      <c r="BE121" s="1220"/>
      <c r="BF121" s="1220"/>
      <c r="BG121" s="1220"/>
      <c r="BH121" s="1220"/>
      <c r="BI121" s="1220"/>
      <c r="BJ121" s="1220"/>
      <c r="BK121" s="1220"/>
      <c r="BL121" s="1220"/>
      <c r="BM121" s="1220"/>
      <c r="BN121" s="1220"/>
      <c r="BO121" s="1220"/>
      <c r="BP121" s="1220"/>
      <c r="BQ121" s="1220"/>
      <c r="BR121" s="1220"/>
      <c r="BS121" s="1220"/>
      <c r="BT121" s="1220"/>
      <c r="BU121" s="1220"/>
      <c r="BV121" s="1220"/>
      <c r="BW121" s="1220"/>
      <c r="BX121" s="1220"/>
      <c r="BY121" s="1220"/>
      <c r="BZ121" s="1220"/>
      <c r="CA121" s="1220"/>
      <c r="CB121" s="1220"/>
      <c r="CC121" s="1220"/>
      <c r="CD121" s="1220"/>
      <c r="CE121" s="1220"/>
      <c r="CF121" s="1220"/>
      <c r="CG121" s="1220"/>
      <c r="CH121" s="1220"/>
      <c r="CI121" s="1220"/>
      <c r="CJ121" s="1220"/>
      <c r="CK121" s="1220"/>
      <c r="CL121" s="1220"/>
      <c r="CM121" s="1220"/>
      <c r="CN121" s="1220"/>
      <c r="CO121" s="1220"/>
      <c r="CP121" s="1220"/>
      <c r="CQ121" s="1220"/>
      <c r="CR121" s="1220"/>
      <c r="CS121" s="1220"/>
      <c r="CT121" s="1220"/>
      <c r="CU121" s="1220"/>
      <c r="CV121" s="1220"/>
      <c r="CW121" s="1220"/>
      <c r="CX121" s="1220"/>
      <c r="CY121" s="1220"/>
      <c r="CZ121" s="1220"/>
      <c r="DA121" s="1220"/>
      <c r="DB121" s="1220"/>
      <c r="DC121" s="1220"/>
      <c r="DD121" s="1220"/>
      <c r="DE121" s="1220"/>
      <c r="DF121" s="101"/>
      <c r="DG121" s="101"/>
      <c r="DH121" s="101"/>
      <c r="DI121" s="101"/>
      <c r="DJ121" s="101"/>
      <c r="DK121" s="101"/>
      <c r="DL121" s="101"/>
      <c r="DM121" s="101"/>
      <c r="DN121" s="101"/>
      <c r="DO121" s="101"/>
      <c r="DP121" s="101"/>
      <c r="DQ121" s="101"/>
      <c r="DR121" s="101"/>
      <c r="DS121" s="101"/>
      <c r="DT121" s="101"/>
      <c r="DU121" s="101"/>
      <c r="DV121" s="101"/>
      <c r="DW121" s="101"/>
      <c r="DX121" s="101"/>
      <c r="DY121" s="101"/>
      <c r="DZ121" s="101"/>
      <c r="EA121" s="101"/>
      <c r="EB121" s="101"/>
      <c r="EC121" s="101"/>
      <c r="ED121" s="101"/>
      <c r="EE121" s="101"/>
      <c r="EF121" s="101"/>
    </row>
    <row r="122" spans="1:140" x14ac:dyDescent="0.3">
      <c r="A122" s="1214" t="s">
        <v>2235</v>
      </c>
      <c r="H122" s="1215">
        <v>25842129.925000012</v>
      </c>
      <c r="L122" s="1220"/>
      <c r="M122" s="1220"/>
      <c r="N122" s="1220"/>
      <c r="O122" s="1220"/>
      <c r="P122" s="1220"/>
      <c r="Q122" s="1220"/>
      <c r="R122" s="1220"/>
      <c r="S122" s="1220"/>
      <c r="T122" s="1220"/>
      <c r="U122" s="1220"/>
      <c r="V122" s="1220"/>
      <c r="W122" s="1220"/>
      <c r="X122" s="1220"/>
      <c r="Y122" s="1220"/>
      <c r="Z122" s="1220"/>
      <c r="AA122" s="1220"/>
      <c r="AB122" s="1220"/>
      <c r="AC122" s="1220"/>
      <c r="AD122" s="1220"/>
      <c r="AE122" s="1220"/>
      <c r="AF122" s="1220"/>
      <c r="AG122" s="1220"/>
      <c r="AH122" s="1220"/>
      <c r="AI122" s="1220"/>
      <c r="AJ122" s="1220"/>
      <c r="AK122" s="1220"/>
      <c r="AL122" s="1220"/>
      <c r="AM122" s="1220"/>
      <c r="AN122" s="1220"/>
      <c r="AO122" s="1220"/>
      <c r="AP122" s="1220"/>
      <c r="AQ122" s="1220"/>
      <c r="AR122" s="1220"/>
      <c r="AS122" s="1220"/>
      <c r="AT122" s="1220"/>
      <c r="AU122" s="1220"/>
      <c r="AV122" s="1220"/>
      <c r="AW122" s="1220"/>
      <c r="AX122" s="1220"/>
      <c r="AY122" s="1220"/>
      <c r="AZ122" s="1220"/>
      <c r="BA122" s="1220"/>
      <c r="BB122" s="1220">
        <f>-$H122/84</f>
        <v>-307644.40386904776</v>
      </c>
      <c r="BC122" s="1220">
        <f t="shared" ref="BC122:DE126" si="78">-$H122/84</f>
        <v>-307644.40386904776</v>
      </c>
      <c r="BD122" s="1220">
        <f t="shared" si="78"/>
        <v>-307644.40386904776</v>
      </c>
      <c r="BE122" s="1220">
        <f t="shared" si="78"/>
        <v>-307644.40386904776</v>
      </c>
      <c r="BF122" s="1220">
        <f t="shared" si="78"/>
        <v>-307644.40386904776</v>
      </c>
      <c r="BG122" s="1220">
        <f t="shared" si="78"/>
        <v>-307644.40386904776</v>
      </c>
      <c r="BH122" s="1220">
        <f t="shared" si="78"/>
        <v>-307644.40386904776</v>
      </c>
      <c r="BI122" s="1220">
        <f t="shared" si="78"/>
        <v>-307644.40386904776</v>
      </c>
      <c r="BJ122" s="1220">
        <f t="shared" si="78"/>
        <v>-307644.40386904776</v>
      </c>
      <c r="BK122" s="1220">
        <f t="shared" si="78"/>
        <v>-307644.40386904776</v>
      </c>
      <c r="BL122" s="1220">
        <f t="shared" si="78"/>
        <v>-307644.40386904776</v>
      </c>
      <c r="BM122" s="1220">
        <f t="shared" si="78"/>
        <v>-307644.40386904776</v>
      </c>
      <c r="BN122" s="1220">
        <f t="shared" si="78"/>
        <v>-307644.40386904776</v>
      </c>
      <c r="BO122" s="1220">
        <f t="shared" si="78"/>
        <v>-307644.40386904776</v>
      </c>
      <c r="BP122" s="1220">
        <f t="shared" si="78"/>
        <v>-307644.40386904776</v>
      </c>
      <c r="BQ122" s="1220">
        <f t="shared" si="78"/>
        <v>-307644.40386904776</v>
      </c>
      <c r="BR122" s="1220">
        <f t="shared" si="78"/>
        <v>-307644.40386904776</v>
      </c>
      <c r="BS122" s="1220">
        <f t="shared" si="78"/>
        <v>-307644.40386904776</v>
      </c>
      <c r="BT122" s="1220">
        <f t="shared" si="78"/>
        <v>-307644.40386904776</v>
      </c>
      <c r="BU122" s="1220">
        <f t="shared" si="78"/>
        <v>-307644.40386904776</v>
      </c>
      <c r="BV122" s="1220">
        <f t="shared" si="78"/>
        <v>-307644.40386904776</v>
      </c>
      <c r="BW122" s="1220">
        <f t="shared" si="78"/>
        <v>-307644.40386904776</v>
      </c>
      <c r="BX122" s="1220">
        <f t="shared" si="78"/>
        <v>-307644.40386904776</v>
      </c>
      <c r="BY122" s="1220">
        <f t="shared" si="78"/>
        <v>-307644.40386904776</v>
      </c>
      <c r="BZ122" s="1220">
        <f t="shared" si="78"/>
        <v>-307644.40386904776</v>
      </c>
      <c r="CA122" s="1220">
        <f t="shared" si="78"/>
        <v>-307644.40386904776</v>
      </c>
      <c r="CB122" s="1220">
        <f t="shared" si="78"/>
        <v>-307644.40386904776</v>
      </c>
      <c r="CC122" s="1220">
        <f t="shared" si="78"/>
        <v>-307644.40386904776</v>
      </c>
      <c r="CD122" s="1220">
        <f t="shared" si="78"/>
        <v>-307644.40386904776</v>
      </c>
      <c r="CE122" s="1220">
        <f t="shared" si="78"/>
        <v>-307644.40386904776</v>
      </c>
      <c r="CF122" s="1220">
        <f t="shared" si="78"/>
        <v>-307644.40386904776</v>
      </c>
      <c r="CG122" s="1220">
        <f t="shared" si="78"/>
        <v>-307644.40386904776</v>
      </c>
      <c r="CH122" s="1220">
        <f t="shared" si="78"/>
        <v>-307644.40386904776</v>
      </c>
      <c r="CI122" s="1220">
        <f t="shared" si="78"/>
        <v>-307644.40386904776</v>
      </c>
      <c r="CJ122" s="1220">
        <f t="shared" si="78"/>
        <v>-307644.40386904776</v>
      </c>
      <c r="CK122" s="1220">
        <f t="shared" si="78"/>
        <v>-307644.40386904776</v>
      </c>
      <c r="CL122" s="1220">
        <f t="shared" si="78"/>
        <v>-307644.40386904776</v>
      </c>
      <c r="CM122" s="1220">
        <f t="shared" si="78"/>
        <v>-307644.40386904776</v>
      </c>
      <c r="CN122" s="1220">
        <f t="shared" si="78"/>
        <v>-307644.40386904776</v>
      </c>
      <c r="CO122" s="1220">
        <f t="shared" si="78"/>
        <v>-307644.40386904776</v>
      </c>
      <c r="CP122" s="1220">
        <f t="shared" si="78"/>
        <v>-307644.40386904776</v>
      </c>
      <c r="CQ122" s="1220">
        <f t="shared" si="78"/>
        <v>-307644.40386904776</v>
      </c>
      <c r="CR122" s="1220">
        <f t="shared" si="78"/>
        <v>-307644.40386904776</v>
      </c>
      <c r="CS122" s="1220">
        <f t="shared" si="78"/>
        <v>-307644.40386904776</v>
      </c>
      <c r="CT122" s="1220">
        <f t="shared" si="78"/>
        <v>-307644.40386904776</v>
      </c>
      <c r="CU122" s="1220">
        <f t="shared" si="78"/>
        <v>-307644.40386904776</v>
      </c>
      <c r="CV122" s="1220">
        <f t="shared" si="78"/>
        <v>-307644.40386904776</v>
      </c>
      <c r="CW122" s="1220">
        <f t="shared" si="78"/>
        <v>-307644.40386904776</v>
      </c>
      <c r="CX122" s="1220">
        <f t="shared" si="78"/>
        <v>-307644.40386904776</v>
      </c>
      <c r="CY122" s="1220">
        <f t="shared" si="78"/>
        <v>-307644.40386904776</v>
      </c>
      <c r="CZ122" s="1220">
        <f t="shared" si="78"/>
        <v>-307644.40386904776</v>
      </c>
      <c r="DA122" s="1220">
        <f t="shared" si="78"/>
        <v>-307644.40386904776</v>
      </c>
      <c r="DB122" s="1220">
        <f t="shared" si="78"/>
        <v>-307644.40386904776</v>
      </c>
      <c r="DC122" s="1220">
        <f t="shared" si="78"/>
        <v>-307644.40386904776</v>
      </c>
      <c r="DD122" s="1220">
        <f t="shared" si="78"/>
        <v>-307644.40386904776</v>
      </c>
      <c r="DE122" s="1220">
        <f t="shared" si="78"/>
        <v>-307644.40386904776</v>
      </c>
      <c r="DF122" s="101"/>
      <c r="DG122" s="101"/>
      <c r="DH122" s="101"/>
      <c r="DI122" s="101"/>
      <c r="DJ122" s="101"/>
      <c r="DK122" s="101"/>
      <c r="DL122" s="101"/>
      <c r="DM122" s="101"/>
      <c r="DN122" s="101"/>
      <c r="DO122" s="101"/>
      <c r="DP122" s="101"/>
      <c r="DQ122" s="101"/>
      <c r="DR122" s="101"/>
      <c r="DS122" s="101"/>
      <c r="DT122" s="101"/>
      <c r="DU122" s="101"/>
      <c r="DV122" s="101"/>
      <c r="DW122" s="101"/>
      <c r="DX122" s="101"/>
      <c r="DY122" s="101"/>
      <c r="DZ122" s="101"/>
      <c r="EA122" s="101"/>
      <c r="EB122" s="101"/>
      <c r="EC122" s="101"/>
      <c r="ED122" s="101"/>
      <c r="EE122" s="101"/>
      <c r="EF122" s="101"/>
      <c r="EG122" s="101"/>
    </row>
    <row r="123" spans="1:140" x14ac:dyDescent="0.3">
      <c r="H123" s="1215"/>
      <c r="L123" s="1220"/>
      <c r="M123" s="1220"/>
      <c r="N123" s="1220"/>
      <c r="O123" s="1220"/>
      <c r="P123" s="1220"/>
      <c r="Q123" s="1220"/>
      <c r="R123" s="1220"/>
      <c r="S123" s="1220"/>
      <c r="T123" s="1220"/>
      <c r="U123" s="1220"/>
      <c r="V123" s="1220"/>
      <c r="W123" s="1220"/>
      <c r="X123" s="1220"/>
      <c r="Y123" s="1220"/>
      <c r="Z123" s="1220"/>
      <c r="AA123" s="1220"/>
      <c r="AB123" s="1220"/>
      <c r="AC123" s="1220"/>
      <c r="AD123" s="1220"/>
      <c r="AE123" s="1220"/>
      <c r="AF123" s="1220"/>
      <c r="AG123" s="1220"/>
      <c r="AH123" s="1220"/>
      <c r="AI123" s="1220"/>
      <c r="AJ123" s="1220"/>
      <c r="AK123" s="1220"/>
      <c r="AL123" s="1220"/>
      <c r="AM123" s="1220"/>
      <c r="AN123" s="1220"/>
      <c r="AO123" s="1220"/>
      <c r="AP123" s="1220"/>
      <c r="AQ123" s="1220"/>
      <c r="AR123" s="1220"/>
      <c r="AS123" s="1220"/>
      <c r="AT123" s="1220"/>
      <c r="AU123" s="1220"/>
      <c r="AV123" s="1220"/>
      <c r="AW123" s="1220"/>
      <c r="AX123" s="1220"/>
      <c r="AY123" s="1220"/>
      <c r="AZ123" s="1220"/>
      <c r="BA123" s="1220"/>
      <c r="BB123" s="1220"/>
      <c r="BC123" s="1220"/>
      <c r="BD123" s="1220"/>
      <c r="BE123" s="1220"/>
      <c r="BF123" s="1220"/>
      <c r="BG123" s="1220"/>
      <c r="BH123" s="1220"/>
      <c r="BI123" s="1220"/>
      <c r="BJ123" s="1220"/>
      <c r="BK123" s="1220"/>
      <c r="BL123" s="1220"/>
      <c r="BM123" s="1220"/>
      <c r="BN123" s="1220"/>
      <c r="BO123" s="1220"/>
      <c r="BP123" s="1220"/>
      <c r="BQ123" s="1220"/>
      <c r="BR123" s="1220"/>
      <c r="BS123" s="1220"/>
      <c r="BT123" s="1220"/>
      <c r="BU123" s="1220"/>
      <c r="BV123" s="1220"/>
      <c r="BW123" s="1220"/>
      <c r="BX123" s="1220"/>
      <c r="BY123" s="1220"/>
      <c r="BZ123" s="1220"/>
      <c r="CA123" s="1220"/>
      <c r="CB123" s="1220"/>
      <c r="CC123" s="1220"/>
      <c r="CD123" s="1220"/>
      <c r="CE123" s="1220"/>
      <c r="CF123" s="1220"/>
      <c r="CG123" s="1220"/>
      <c r="CH123" s="1220"/>
      <c r="CI123" s="1220"/>
      <c r="CJ123" s="1220"/>
      <c r="CK123" s="1220"/>
      <c r="CL123" s="1220"/>
      <c r="CM123" s="1220"/>
      <c r="CN123" s="1220"/>
      <c r="CO123" s="1220"/>
      <c r="CP123" s="1220"/>
      <c r="CQ123" s="1220"/>
      <c r="CR123" s="1220"/>
      <c r="CS123" s="1220"/>
      <c r="CT123" s="1220"/>
      <c r="CU123" s="1220"/>
      <c r="CV123" s="1220"/>
      <c r="CW123" s="1220"/>
      <c r="CX123" s="1220"/>
      <c r="CY123" s="1220"/>
      <c r="CZ123" s="1220"/>
      <c r="DA123" s="1220"/>
      <c r="DB123" s="1220"/>
      <c r="DC123" s="1220"/>
      <c r="DD123" s="1220"/>
      <c r="DE123" s="1220"/>
      <c r="DF123" s="101"/>
      <c r="DG123" s="101"/>
      <c r="DH123" s="101"/>
      <c r="DI123" s="101"/>
      <c r="DJ123" s="101"/>
      <c r="DK123" s="101"/>
      <c r="DL123" s="101"/>
      <c r="DM123" s="101"/>
      <c r="DN123" s="101"/>
      <c r="DO123" s="101"/>
      <c r="DP123" s="101"/>
      <c r="DQ123" s="101"/>
      <c r="DR123" s="101"/>
      <c r="DS123" s="101"/>
      <c r="DT123" s="101"/>
      <c r="DU123" s="101"/>
      <c r="DV123" s="101"/>
      <c r="DW123" s="101"/>
      <c r="DX123" s="101"/>
      <c r="DY123" s="101"/>
      <c r="DZ123" s="101"/>
      <c r="EA123" s="101"/>
      <c r="EB123" s="101"/>
      <c r="EC123" s="101"/>
      <c r="ED123" s="101"/>
      <c r="EE123" s="101"/>
      <c r="EF123" s="101"/>
      <c r="EG123" s="101"/>
    </row>
    <row r="124" spans="1:140" x14ac:dyDescent="0.3">
      <c r="A124" s="1214" t="s">
        <v>2236</v>
      </c>
      <c r="H124" s="1215">
        <v>25842129.925000012</v>
      </c>
      <c r="L124" s="1220"/>
      <c r="M124" s="1220"/>
      <c r="N124" s="1220"/>
      <c r="O124" s="1220"/>
      <c r="P124" s="1220"/>
      <c r="Q124" s="1220"/>
      <c r="R124" s="1220"/>
      <c r="S124" s="1220"/>
      <c r="T124" s="1220"/>
      <c r="U124" s="1220"/>
      <c r="V124" s="1220"/>
      <c r="W124" s="1220"/>
      <c r="X124" s="1220"/>
      <c r="Y124" s="1220"/>
      <c r="Z124" s="1220"/>
      <c r="AA124" s="1220"/>
      <c r="AB124" s="1220"/>
      <c r="AC124" s="1220"/>
      <c r="AD124" s="1220"/>
      <c r="AE124" s="1220"/>
      <c r="AF124" s="1220"/>
      <c r="AG124" s="1220"/>
      <c r="AH124" s="1220"/>
      <c r="AI124" s="1220"/>
      <c r="AJ124" s="1220"/>
      <c r="AK124" s="1220"/>
      <c r="AL124" s="1220"/>
      <c r="AM124" s="1220"/>
      <c r="AN124" s="1220"/>
      <c r="AO124" s="1220"/>
      <c r="AP124" s="1220"/>
      <c r="AQ124" s="1220"/>
      <c r="AR124" s="1220"/>
      <c r="AS124" s="1220"/>
      <c r="AT124" s="1220"/>
      <c r="AU124" s="1220"/>
      <c r="AV124" s="1220"/>
      <c r="AW124" s="1220"/>
      <c r="AX124" s="1220"/>
      <c r="AY124" s="1220"/>
      <c r="AZ124" s="1220"/>
      <c r="BA124" s="1220"/>
      <c r="BB124" s="1220"/>
      <c r="BC124" s="1220">
        <f t="shared" si="78"/>
        <v>-307644.40386904776</v>
      </c>
      <c r="BD124" s="1220">
        <f t="shared" si="78"/>
        <v>-307644.40386904776</v>
      </c>
      <c r="BE124" s="1220">
        <f t="shared" si="78"/>
        <v>-307644.40386904776</v>
      </c>
      <c r="BF124" s="1220">
        <f t="shared" si="78"/>
        <v>-307644.40386904776</v>
      </c>
      <c r="BG124" s="1220">
        <f t="shared" si="78"/>
        <v>-307644.40386904776</v>
      </c>
      <c r="BH124" s="1220">
        <f t="shared" si="78"/>
        <v>-307644.40386904776</v>
      </c>
      <c r="BI124" s="1220">
        <f t="shared" si="78"/>
        <v>-307644.40386904776</v>
      </c>
      <c r="BJ124" s="1220">
        <f t="shared" si="78"/>
        <v>-307644.40386904776</v>
      </c>
      <c r="BK124" s="1220">
        <f t="shared" si="78"/>
        <v>-307644.40386904776</v>
      </c>
      <c r="BL124" s="1220">
        <f t="shared" si="78"/>
        <v>-307644.40386904776</v>
      </c>
      <c r="BM124" s="1220">
        <f t="shared" si="78"/>
        <v>-307644.40386904776</v>
      </c>
      <c r="BN124" s="1220">
        <f t="shared" si="78"/>
        <v>-307644.40386904776</v>
      </c>
      <c r="BO124" s="1220">
        <f t="shared" si="78"/>
        <v>-307644.40386904776</v>
      </c>
      <c r="BP124" s="1220">
        <f t="shared" si="78"/>
        <v>-307644.40386904776</v>
      </c>
      <c r="BQ124" s="1220">
        <f t="shared" si="78"/>
        <v>-307644.40386904776</v>
      </c>
      <c r="BR124" s="1220">
        <f t="shared" si="78"/>
        <v>-307644.40386904776</v>
      </c>
      <c r="BS124" s="1220">
        <f t="shared" si="78"/>
        <v>-307644.40386904776</v>
      </c>
      <c r="BT124" s="1220">
        <f t="shared" si="78"/>
        <v>-307644.40386904776</v>
      </c>
      <c r="BU124" s="1220">
        <f t="shared" si="78"/>
        <v>-307644.40386904776</v>
      </c>
      <c r="BV124" s="1220">
        <f t="shared" si="78"/>
        <v>-307644.40386904776</v>
      </c>
      <c r="BW124" s="1220">
        <f t="shared" si="78"/>
        <v>-307644.40386904776</v>
      </c>
      <c r="BX124" s="1220">
        <f t="shared" si="78"/>
        <v>-307644.40386904776</v>
      </c>
      <c r="BY124" s="1220">
        <f t="shared" si="78"/>
        <v>-307644.40386904776</v>
      </c>
      <c r="BZ124" s="1220">
        <f t="shared" si="78"/>
        <v>-307644.40386904776</v>
      </c>
      <c r="CA124" s="1220">
        <f t="shared" si="78"/>
        <v>-307644.40386904776</v>
      </c>
      <c r="CB124" s="1220">
        <f t="shared" si="78"/>
        <v>-307644.40386904776</v>
      </c>
      <c r="CC124" s="1220">
        <f t="shared" si="78"/>
        <v>-307644.40386904776</v>
      </c>
      <c r="CD124" s="1220">
        <f t="shared" si="78"/>
        <v>-307644.40386904776</v>
      </c>
      <c r="CE124" s="1220">
        <f t="shared" si="78"/>
        <v>-307644.40386904776</v>
      </c>
      <c r="CF124" s="1220">
        <f t="shared" si="78"/>
        <v>-307644.40386904776</v>
      </c>
      <c r="CG124" s="1220">
        <f t="shared" si="78"/>
        <v>-307644.40386904776</v>
      </c>
      <c r="CH124" s="1220">
        <f t="shared" si="78"/>
        <v>-307644.40386904776</v>
      </c>
      <c r="CI124" s="1220">
        <f t="shared" si="78"/>
        <v>-307644.40386904776</v>
      </c>
      <c r="CJ124" s="1220">
        <f t="shared" si="78"/>
        <v>-307644.40386904776</v>
      </c>
      <c r="CK124" s="1220">
        <f t="shared" si="78"/>
        <v>-307644.40386904776</v>
      </c>
      <c r="CL124" s="1220">
        <f t="shared" si="78"/>
        <v>-307644.40386904776</v>
      </c>
      <c r="CM124" s="1220">
        <f t="shared" si="78"/>
        <v>-307644.40386904776</v>
      </c>
      <c r="CN124" s="1220">
        <f t="shared" si="78"/>
        <v>-307644.40386904776</v>
      </c>
      <c r="CO124" s="1220">
        <f t="shared" si="78"/>
        <v>-307644.40386904776</v>
      </c>
      <c r="CP124" s="1220">
        <f t="shared" si="78"/>
        <v>-307644.40386904776</v>
      </c>
      <c r="CQ124" s="1220">
        <f t="shared" si="78"/>
        <v>-307644.40386904776</v>
      </c>
      <c r="CR124" s="1220">
        <f t="shared" si="78"/>
        <v>-307644.40386904776</v>
      </c>
      <c r="CS124" s="1220">
        <f t="shared" si="78"/>
        <v>-307644.40386904776</v>
      </c>
      <c r="CT124" s="1220">
        <f t="shared" si="78"/>
        <v>-307644.40386904776</v>
      </c>
      <c r="CU124" s="1220">
        <f t="shared" si="78"/>
        <v>-307644.40386904776</v>
      </c>
      <c r="CV124" s="1220">
        <f t="shared" si="78"/>
        <v>-307644.40386904776</v>
      </c>
      <c r="CW124" s="1220">
        <f t="shared" si="78"/>
        <v>-307644.40386904776</v>
      </c>
      <c r="CX124" s="1220">
        <f t="shared" si="78"/>
        <v>-307644.40386904776</v>
      </c>
      <c r="CY124" s="1220">
        <f t="shared" si="78"/>
        <v>-307644.40386904776</v>
      </c>
      <c r="CZ124" s="1220">
        <f t="shared" si="78"/>
        <v>-307644.40386904776</v>
      </c>
      <c r="DA124" s="1220">
        <f t="shared" si="78"/>
        <v>-307644.40386904776</v>
      </c>
      <c r="DB124" s="1220">
        <f t="shared" si="78"/>
        <v>-307644.40386904776</v>
      </c>
      <c r="DC124" s="1220">
        <f t="shared" si="78"/>
        <v>-307644.40386904776</v>
      </c>
      <c r="DD124" s="1220">
        <f t="shared" si="78"/>
        <v>-307644.40386904776</v>
      </c>
      <c r="DE124" s="1220">
        <f t="shared" si="78"/>
        <v>-307644.40386904776</v>
      </c>
      <c r="DF124" s="101"/>
      <c r="DG124" s="101"/>
      <c r="DH124" s="101"/>
      <c r="DI124" s="101"/>
      <c r="DJ124" s="101"/>
      <c r="DK124" s="101"/>
      <c r="DL124" s="101"/>
      <c r="DM124" s="101"/>
      <c r="DN124" s="101"/>
      <c r="DO124" s="101"/>
      <c r="DP124" s="101"/>
      <c r="DQ124" s="101"/>
      <c r="DR124" s="101"/>
      <c r="DS124" s="101"/>
      <c r="DT124" s="101"/>
      <c r="DU124" s="101"/>
      <c r="DV124" s="101"/>
      <c r="DW124" s="101"/>
      <c r="DX124" s="101"/>
      <c r="DY124" s="101"/>
      <c r="DZ124" s="101"/>
      <c r="EA124" s="101"/>
      <c r="EB124" s="101"/>
      <c r="EC124" s="101"/>
      <c r="ED124" s="101"/>
      <c r="EE124" s="101"/>
      <c r="EF124" s="101"/>
      <c r="EG124" s="101"/>
      <c r="EH124" s="101"/>
    </row>
    <row r="125" spans="1:140" x14ac:dyDescent="0.3">
      <c r="H125" s="1215"/>
      <c r="L125" s="1220"/>
      <c r="M125" s="1220"/>
      <c r="N125" s="1220"/>
      <c r="O125" s="1220"/>
      <c r="P125" s="1220"/>
      <c r="Q125" s="1220"/>
      <c r="R125" s="1220"/>
      <c r="S125" s="1220"/>
      <c r="T125" s="1220"/>
      <c r="U125" s="1220"/>
      <c r="V125" s="1220"/>
      <c r="W125" s="1220"/>
      <c r="X125" s="1220"/>
      <c r="Y125" s="1220"/>
      <c r="Z125" s="1220"/>
      <c r="AA125" s="1220"/>
      <c r="AB125" s="1220"/>
      <c r="AC125" s="1220"/>
      <c r="AD125" s="1220"/>
      <c r="AE125" s="1220"/>
      <c r="AF125" s="1220"/>
      <c r="AG125" s="1220"/>
      <c r="AH125" s="1220"/>
      <c r="AI125" s="1220"/>
      <c r="AJ125" s="1220"/>
      <c r="AK125" s="1220"/>
      <c r="AL125" s="1220"/>
      <c r="AM125" s="1220"/>
      <c r="AN125" s="1220"/>
      <c r="AO125" s="1220"/>
      <c r="AP125" s="1220"/>
      <c r="AQ125" s="1220"/>
      <c r="AR125" s="1220"/>
      <c r="AS125" s="1220"/>
      <c r="AT125" s="1220"/>
      <c r="AU125" s="1220"/>
      <c r="AV125" s="1220"/>
      <c r="AW125" s="1220"/>
      <c r="AX125" s="1220"/>
      <c r="AY125" s="1220"/>
      <c r="AZ125" s="1220"/>
      <c r="BA125" s="1220"/>
      <c r="BB125" s="1220"/>
      <c r="BC125" s="1220"/>
      <c r="BD125" s="1220"/>
      <c r="BE125" s="1220"/>
      <c r="BF125" s="1220"/>
      <c r="BG125" s="1220"/>
      <c r="BH125" s="1220"/>
      <c r="BI125" s="1220"/>
      <c r="BJ125" s="1220"/>
      <c r="BK125" s="1220"/>
      <c r="BL125" s="1220"/>
      <c r="BM125" s="1220"/>
      <c r="BN125" s="1220"/>
      <c r="BO125" s="1220"/>
      <c r="BP125" s="1220"/>
      <c r="BQ125" s="1220"/>
      <c r="BR125" s="1220"/>
      <c r="BS125" s="1220"/>
      <c r="BT125" s="1220"/>
      <c r="BU125" s="1220"/>
      <c r="BV125" s="1220"/>
      <c r="BW125" s="1220"/>
      <c r="BX125" s="1220"/>
      <c r="BY125" s="1220"/>
      <c r="BZ125" s="1220"/>
      <c r="CA125" s="1220"/>
      <c r="CB125" s="1220"/>
      <c r="CC125" s="1220"/>
      <c r="CD125" s="1220"/>
      <c r="CE125" s="1220"/>
      <c r="CF125" s="1220"/>
      <c r="CG125" s="1220"/>
      <c r="CH125" s="1220"/>
      <c r="CI125" s="1220"/>
      <c r="CJ125" s="1220"/>
      <c r="CK125" s="1220"/>
      <c r="CL125" s="1220"/>
      <c r="CM125" s="1220"/>
      <c r="CN125" s="1220"/>
      <c r="CO125" s="1220"/>
      <c r="CP125" s="1220"/>
      <c r="CQ125" s="1220"/>
      <c r="CR125" s="1220"/>
      <c r="CS125" s="1220"/>
      <c r="CT125" s="1220"/>
      <c r="CU125" s="1220"/>
      <c r="CV125" s="1220"/>
      <c r="CW125" s="1220"/>
      <c r="CX125" s="1220"/>
      <c r="CY125" s="1220"/>
      <c r="CZ125" s="1220"/>
      <c r="DA125" s="1220"/>
      <c r="DB125" s="1220"/>
      <c r="DC125" s="1220"/>
      <c r="DD125" s="1220"/>
      <c r="DE125" s="1220"/>
      <c r="DF125" s="101"/>
      <c r="DG125" s="101"/>
      <c r="DH125" s="101"/>
      <c r="DI125" s="101"/>
      <c r="DJ125" s="101"/>
      <c r="DK125" s="101"/>
      <c r="DL125" s="101"/>
      <c r="DM125" s="101"/>
      <c r="DN125" s="101"/>
      <c r="DO125" s="101"/>
      <c r="DP125" s="101"/>
      <c r="DQ125" s="101"/>
      <c r="DR125" s="101"/>
      <c r="DS125" s="101"/>
      <c r="DT125" s="101"/>
      <c r="DU125" s="101"/>
      <c r="DV125" s="101"/>
      <c r="DW125" s="101"/>
      <c r="DX125" s="101"/>
      <c r="DY125" s="101"/>
      <c r="DZ125" s="101"/>
      <c r="EA125" s="101"/>
      <c r="EB125" s="101"/>
      <c r="EC125" s="101"/>
      <c r="ED125" s="101"/>
      <c r="EE125" s="101"/>
      <c r="EF125" s="101"/>
      <c r="EG125" s="101"/>
      <c r="EH125" s="101"/>
    </row>
    <row r="126" spans="1:140" x14ac:dyDescent="0.3">
      <c r="A126" s="1214" t="s">
        <v>2237</v>
      </c>
      <c r="H126" s="1215">
        <v>25842129.925000012</v>
      </c>
      <c r="L126" s="1220"/>
      <c r="M126" s="1220"/>
      <c r="N126" s="1220"/>
      <c r="O126" s="1220"/>
      <c r="P126" s="1220"/>
      <c r="Q126" s="1220"/>
      <c r="R126" s="1220"/>
      <c r="S126" s="1220"/>
      <c r="T126" s="1220"/>
      <c r="U126" s="1220"/>
      <c r="V126" s="1220"/>
      <c r="W126" s="1220"/>
      <c r="X126" s="1220"/>
      <c r="Y126" s="1220"/>
      <c r="Z126" s="1220"/>
      <c r="AA126" s="1220"/>
      <c r="AB126" s="1220"/>
      <c r="AC126" s="1220"/>
      <c r="AD126" s="1220"/>
      <c r="AE126" s="1220"/>
      <c r="AF126" s="1220"/>
      <c r="AG126" s="1220"/>
      <c r="AH126" s="1220"/>
      <c r="AI126" s="1220"/>
      <c r="AJ126" s="1220"/>
      <c r="AK126" s="1220"/>
      <c r="AL126" s="1220"/>
      <c r="AM126" s="1220"/>
      <c r="AN126" s="1220"/>
      <c r="AO126" s="1220"/>
      <c r="AP126" s="1220"/>
      <c r="AQ126" s="1220"/>
      <c r="AR126" s="1220"/>
      <c r="AS126" s="1220"/>
      <c r="AT126" s="1220"/>
      <c r="AU126" s="1220"/>
      <c r="AV126" s="1220"/>
      <c r="AW126" s="1220"/>
      <c r="AX126" s="1220"/>
      <c r="AY126" s="1220"/>
      <c r="AZ126" s="1220"/>
      <c r="BA126" s="1220"/>
      <c r="BB126" s="1220"/>
      <c r="BC126" s="1220"/>
      <c r="BD126" s="1220">
        <f t="shared" si="78"/>
        <v>-307644.40386904776</v>
      </c>
      <c r="BE126" s="1220">
        <f t="shared" si="78"/>
        <v>-307644.40386904776</v>
      </c>
      <c r="BF126" s="1220">
        <f t="shared" si="78"/>
        <v>-307644.40386904776</v>
      </c>
      <c r="BG126" s="1220">
        <f t="shared" si="78"/>
        <v>-307644.40386904776</v>
      </c>
      <c r="BH126" s="1220">
        <f t="shared" si="78"/>
        <v>-307644.40386904776</v>
      </c>
      <c r="BI126" s="1220">
        <f t="shared" si="78"/>
        <v>-307644.40386904776</v>
      </c>
      <c r="BJ126" s="1220">
        <f t="shared" si="78"/>
        <v>-307644.40386904776</v>
      </c>
      <c r="BK126" s="1220">
        <f t="shared" si="78"/>
        <v>-307644.40386904776</v>
      </c>
      <c r="BL126" s="1220">
        <f t="shared" si="78"/>
        <v>-307644.40386904776</v>
      </c>
      <c r="BM126" s="1220">
        <f t="shared" si="78"/>
        <v>-307644.40386904776</v>
      </c>
      <c r="BN126" s="1220">
        <f t="shared" si="78"/>
        <v>-307644.40386904776</v>
      </c>
      <c r="BO126" s="1220">
        <f t="shared" si="78"/>
        <v>-307644.40386904776</v>
      </c>
      <c r="BP126" s="1220">
        <f t="shared" si="78"/>
        <v>-307644.40386904776</v>
      </c>
      <c r="BQ126" s="1220">
        <f t="shared" si="78"/>
        <v>-307644.40386904776</v>
      </c>
      <c r="BR126" s="1220">
        <f t="shared" si="78"/>
        <v>-307644.40386904776</v>
      </c>
      <c r="BS126" s="1220">
        <f t="shared" si="78"/>
        <v>-307644.40386904776</v>
      </c>
      <c r="BT126" s="1220">
        <f t="shared" si="78"/>
        <v>-307644.40386904776</v>
      </c>
      <c r="BU126" s="1220">
        <f t="shared" si="78"/>
        <v>-307644.40386904776</v>
      </c>
      <c r="BV126" s="1220">
        <f t="shared" si="78"/>
        <v>-307644.40386904776</v>
      </c>
      <c r="BW126" s="1220">
        <f t="shared" si="78"/>
        <v>-307644.40386904776</v>
      </c>
      <c r="BX126" s="1220">
        <f t="shared" si="78"/>
        <v>-307644.40386904776</v>
      </c>
      <c r="BY126" s="1220">
        <f t="shared" si="78"/>
        <v>-307644.40386904776</v>
      </c>
      <c r="BZ126" s="1220">
        <f t="shared" si="78"/>
        <v>-307644.40386904776</v>
      </c>
      <c r="CA126" s="1220">
        <f t="shared" si="78"/>
        <v>-307644.40386904776</v>
      </c>
      <c r="CB126" s="1220">
        <f t="shared" si="78"/>
        <v>-307644.40386904776</v>
      </c>
      <c r="CC126" s="1220">
        <f t="shared" si="78"/>
        <v>-307644.40386904776</v>
      </c>
      <c r="CD126" s="1220">
        <f t="shared" si="78"/>
        <v>-307644.40386904776</v>
      </c>
      <c r="CE126" s="1220">
        <f t="shared" si="78"/>
        <v>-307644.40386904776</v>
      </c>
      <c r="CF126" s="1220">
        <f t="shared" si="78"/>
        <v>-307644.40386904776</v>
      </c>
      <c r="CG126" s="1220">
        <f t="shared" si="78"/>
        <v>-307644.40386904776</v>
      </c>
      <c r="CH126" s="1220">
        <f t="shared" si="78"/>
        <v>-307644.40386904776</v>
      </c>
      <c r="CI126" s="1220">
        <f t="shared" si="78"/>
        <v>-307644.40386904776</v>
      </c>
      <c r="CJ126" s="1220">
        <f t="shared" si="78"/>
        <v>-307644.40386904776</v>
      </c>
      <c r="CK126" s="1220">
        <f t="shared" si="78"/>
        <v>-307644.40386904776</v>
      </c>
      <c r="CL126" s="1220">
        <f t="shared" si="78"/>
        <v>-307644.40386904776</v>
      </c>
      <c r="CM126" s="1220">
        <f t="shared" si="78"/>
        <v>-307644.40386904776</v>
      </c>
      <c r="CN126" s="1220">
        <f t="shared" si="78"/>
        <v>-307644.40386904776</v>
      </c>
      <c r="CO126" s="1220">
        <f t="shared" si="78"/>
        <v>-307644.40386904776</v>
      </c>
      <c r="CP126" s="1220">
        <f t="shared" si="78"/>
        <v>-307644.40386904776</v>
      </c>
      <c r="CQ126" s="1220">
        <f t="shared" si="78"/>
        <v>-307644.40386904776</v>
      </c>
      <c r="CR126" s="1220">
        <f t="shared" si="78"/>
        <v>-307644.40386904776</v>
      </c>
      <c r="CS126" s="1220">
        <f t="shared" si="78"/>
        <v>-307644.40386904776</v>
      </c>
      <c r="CT126" s="1220">
        <f t="shared" si="78"/>
        <v>-307644.40386904776</v>
      </c>
      <c r="CU126" s="1220">
        <f t="shared" si="78"/>
        <v>-307644.40386904776</v>
      </c>
      <c r="CV126" s="1220">
        <f t="shared" si="78"/>
        <v>-307644.40386904776</v>
      </c>
      <c r="CW126" s="1220">
        <f t="shared" si="78"/>
        <v>-307644.40386904776</v>
      </c>
      <c r="CX126" s="1220">
        <f t="shared" si="78"/>
        <v>-307644.40386904776</v>
      </c>
      <c r="CY126" s="1220">
        <f t="shared" si="78"/>
        <v>-307644.40386904776</v>
      </c>
      <c r="CZ126" s="1220">
        <f t="shared" si="78"/>
        <v>-307644.40386904776</v>
      </c>
      <c r="DA126" s="1220">
        <f t="shared" si="78"/>
        <v>-307644.40386904776</v>
      </c>
      <c r="DB126" s="1220">
        <f t="shared" si="78"/>
        <v>-307644.40386904776</v>
      </c>
      <c r="DC126" s="1220">
        <f t="shared" si="78"/>
        <v>-307644.40386904776</v>
      </c>
      <c r="DD126" s="1220">
        <f t="shared" si="78"/>
        <v>-307644.40386904776</v>
      </c>
      <c r="DE126" s="1220">
        <f t="shared" si="78"/>
        <v>-307644.40386904776</v>
      </c>
      <c r="DF126" s="101"/>
      <c r="DG126" s="101"/>
      <c r="DH126" s="101"/>
      <c r="DI126" s="101"/>
      <c r="DJ126" s="101"/>
      <c r="DK126" s="101"/>
      <c r="DL126" s="101"/>
      <c r="DM126" s="101"/>
      <c r="DN126" s="101"/>
      <c r="DO126" s="101"/>
      <c r="DP126" s="101"/>
      <c r="DQ126" s="101"/>
      <c r="DR126" s="101"/>
      <c r="DS126" s="101"/>
      <c r="DT126" s="101"/>
      <c r="DU126" s="101"/>
      <c r="DV126" s="101"/>
      <c r="DW126" s="101"/>
      <c r="DX126" s="101"/>
      <c r="DY126" s="101"/>
      <c r="DZ126" s="101"/>
      <c r="EA126" s="101"/>
      <c r="EB126" s="101"/>
      <c r="EC126" s="101"/>
      <c r="ED126" s="101"/>
      <c r="EE126" s="101"/>
      <c r="EF126" s="101"/>
      <c r="EG126" s="101"/>
      <c r="EH126" s="101"/>
      <c r="EI126" s="101"/>
    </row>
    <row r="127" spans="1:140" x14ac:dyDescent="0.3">
      <c r="H127" s="1215"/>
      <c r="L127" s="1220"/>
      <c r="M127" s="1220"/>
      <c r="N127" s="1220"/>
      <c r="O127" s="1220"/>
      <c r="P127" s="1220"/>
      <c r="Q127" s="1220"/>
      <c r="R127" s="1220"/>
      <c r="S127" s="1220"/>
      <c r="T127" s="1220"/>
      <c r="U127" s="1220"/>
      <c r="V127" s="1220"/>
      <c r="W127" s="1220"/>
      <c r="X127" s="1220"/>
      <c r="Y127" s="1220"/>
      <c r="Z127" s="1220"/>
      <c r="AA127" s="1220"/>
      <c r="AB127" s="1220"/>
      <c r="AC127" s="1220"/>
      <c r="AD127" s="1220"/>
      <c r="AE127" s="1220"/>
      <c r="AF127" s="1220"/>
      <c r="AG127" s="1220"/>
      <c r="AH127" s="1220"/>
      <c r="AI127" s="1220"/>
      <c r="AJ127" s="1220"/>
      <c r="AK127" s="1220"/>
      <c r="AL127" s="1220"/>
      <c r="AM127" s="1220"/>
      <c r="AN127" s="1220"/>
      <c r="AO127" s="1220"/>
      <c r="AP127" s="1220"/>
      <c r="AQ127" s="1220"/>
      <c r="AR127" s="1220"/>
      <c r="AS127" s="1220"/>
      <c r="AT127" s="1220"/>
      <c r="AU127" s="1220"/>
      <c r="AV127" s="1220"/>
      <c r="AW127" s="1220"/>
      <c r="AX127" s="1220"/>
      <c r="AY127" s="1220"/>
      <c r="AZ127" s="1220"/>
      <c r="BA127" s="1220"/>
      <c r="BB127" s="1220"/>
      <c r="BC127" s="1220"/>
      <c r="BD127" s="1220"/>
      <c r="BE127" s="1220"/>
      <c r="BF127" s="1220"/>
      <c r="BG127" s="1220"/>
      <c r="BH127" s="1220"/>
      <c r="BI127" s="1220"/>
      <c r="BJ127" s="1220"/>
      <c r="BK127" s="1220"/>
      <c r="BL127" s="1220"/>
      <c r="BM127" s="1220"/>
      <c r="BN127" s="1220"/>
      <c r="BO127" s="1220"/>
      <c r="BP127" s="1220"/>
      <c r="BQ127" s="1220"/>
      <c r="BR127" s="1220"/>
      <c r="BS127" s="1220"/>
      <c r="BT127" s="1220"/>
      <c r="BU127" s="1220"/>
      <c r="BV127" s="1220"/>
      <c r="BW127" s="1220"/>
      <c r="BX127" s="1220"/>
      <c r="BY127" s="1220"/>
      <c r="BZ127" s="1220"/>
      <c r="CA127" s="1220"/>
      <c r="CB127" s="1220"/>
      <c r="CC127" s="1220"/>
      <c r="CD127" s="1220"/>
      <c r="CE127" s="1220"/>
      <c r="CF127" s="1220"/>
      <c r="CG127" s="1220"/>
      <c r="CH127" s="1220"/>
      <c r="CI127" s="1220"/>
      <c r="CJ127" s="1220"/>
      <c r="CK127" s="1220"/>
      <c r="CL127" s="1220"/>
      <c r="CM127" s="1220"/>
      <c r="CN127" s="1220"/>
      <c r="CO127" s="1220"/>
      <c r="CP127" s="1220"/>
      <c r="CQ127" s="1220"/>
      <c r="CR127" s="1220"/>
      <c r="CS127" s="1220"/>
      <c r="CT127" s="1220"/>
      <c r="CU127" s="1220"/>
      <c r="CV127" s="1220"/>
      <c r="CW127" s="1220"/>
      <c r="CX127" s="1220"/>
      <c r="CY127" s="1220"/>
      <c r="CZ127" s="1220"/>
      <c r="DA127" s="1220"/>
      <c r="DB127" s="1220"/>
      <c r="DC127" s="1220"/>
      <c r="DD127" s="1220"/>
      <c r="DE127" s="1220"/>
      <c r="DF127" s="101"/>
      <c r="DG127" s="101"/>
      <c r="DH127" s="101"/>
      <c r="DI127" s="101"/>
      <c r="DJ127" s="101"/>
      <c r="DK127" s="101"/>
      <c r="DL127" s="101"/>
      <c r="DM127" s="101"/>
      <c r="DN127" s="101"/>
      <c r="DO127" s="101"/>
      <c r="DP127" s="101"/>
      <c r="DQ127" s="101"/>
      <c r="DR127" s="101"/>
      <c r="DS127" s="101"/>
      <c r="DT127" s="101"/>
      <c r="DU127" s="101"/>
      <c r="DV127" s="101"/>
      <c r="DW127" s="101"/>
      <c r="DX127" s="101"/>
      <c r="DY127" s="101"/>
      <c r="DZ127" s="101"/>
      <c r="EA127" s="101"/>
      <c r="EB127" s="101"/>
      <c r="EC127" s="101"/>
      <c r="ED127" s="101"/>
      <c r="EE127" s="101"/>
      <c r="EF127" s="101"/>
      <c r="EG127" s="101"/>
      <c r="EH127" s="101"/>
      <c r="EI127" s="101"/>
    </row>
    <row r="128" spans="1:140" x14ac:dyDescent="0.3">
      <c r="A128" s="1214" t="s">
        <v>2246</v>
      </c>
      <c r="H128" s="1215">
        <v>25842129.925000012</v>
      </c>
      <c r="L128" s="1220"/>
      <c r="M128" s="1220"/>
      <c r="N128" s="1220"/>
      <c r="O128" s="1220"/>
      <c r="P128" s="1220"/>
      <c r="Q128" s="1220"/>
      <c r="R128" s="1220"/>
      <c r="S128" s="1220"/>
      <c r="T128" s="1220"/>
      <c r="U128" s="1220"/>
      <c r="V128" s="1220"/>
      <c r="W128" s="1220"/>
      <c r="X128" s="1220"/>
      <c r="Y128" s="1220"/>
      <c r="Z128" s="1220"/>
      <c r="AA128" s="1220"/>
      <c r="AB128" s="1220"/>
      <c r="AC128" s="1220"/>
      <c r="AD128" s="1220"/>
      <c r="AE128" s="1220"/>
      <c r="AF128" s="1220"/>
      <c r="AG128" s="1220"/>
      <c r="AH128" s="1220"/>
      <c r="AI128" s="1220"/>
      <c r="AJ128" s="1220"/>
      <c r="AK128" s="1220"/>
      <c r="AL128" s="1220"/>
      <c r="AM128" s="1220"/>
      <c r="AN128" s="1220"/>
      <c r="AO128" s="1220"/>
      <c r="AP128" s="1220"/>
      <c r="AQ128" s="1220"/>
      <c r="AR128" s="1220"/>
      <c r="AS128" s="1220"/>
      <c r="AT128" s="1220"/>
      <c r="AU128" s="1220"/>
      <c r="AV128" s="1220"/>
      <c r="AW128" s="1220"/>
      <c r="AX128" s="1220"/>
      <c r="AY128" s="1220"/>
      <c r="AZ128" s="1220"/>
      <c r="BA128" s="1220"/>
      <c r="BB128" s="1220"/>
      <c r="BC128" s="1220"/>
      <c r="BD128" s="1220"/>
      <c r="BE128" s="1220">
        <f>-$H128/84</f>
        <v>-307644.40386904776</v>
      </c>
      <c r="BF128" s="1220">
        <f t="shared" ref="BF128:DE132" si="79">-$H128/84</f>
        <v>-307644.40386904776</v>
      </c>
      <c r="BG128" s="1220">
        <f t="shared" si="79"/>
        <v>-307644.40386904776</v>
      </c>
      <c r="BH128" s="1220">
        <f t="shared" si="79"/>
        <v>-307644.40386904776</v>
      </c>
      <c r="BI128" s="1220">
        <f t="shared" si="79"/>
        <v>-307644.40386904776</v>
      </c>
      <c r="BJ128" s="1220">
        <f t="shared" si="79"/>
        <v>-307644.40386904776</v>
      </c>
      <c r="BK128" s="1220">
        <f t="shared" si="79"/>
        <v>-307644.40386904776</v>
      </c>
      <c r="BL128" s="1220">
        <f t="shared" si="79"/>
        <v>-307644.40386904776</v>
      </c>
      <c r="BM128" s="1220">
        <f t="shared" si="79"/>
        <v>-307644.40386904776</v>
      </c>
      <c r="BN128" s="1220">
        <f t="shared" si="79"/>
        <v>-307644.40386904776</v>
      </c>
      <c r="BO128" s="1220">
        <f t="shared" si="79"/>
        <v>-307644.40386904776</v>
      </c>
      <c r="BP128" s="1220">
        <f t="shared" si="79"/>
        <v>-307644.40386904776</v>
      </c>
      <c r="BQ128" s="1220">
        <f t="shared" si="79"/>
        <v>-307644.40386904776</v>
      </c>
      <c r="BR128" s="1220">
        <f t="shared" si="79"/>
        <v>-307644.40386904776</v>
      </c>
      <c r="BS128" s="1220">
        <f t="shared" si="79"/>
        <v>-307644.40386904776</v>
      </c>
      <c r="BT128" s="1220">
        <f t="shared" si="79"/>
        <v>-307644.40386904776</v>
      </c>
      <c r="BU128" s="1220">
        <f t="shared" si="79"/>
        <v>-307644.40386904776</v>
      </c>
      <c r="BV128" s="1220">
        <f t="shared" si="79"/>
        <v>-307644.40386904776</v>
      </c>
      <c r="BW128" s="1220">
        <f t="shared" si="79"/>
        <v>-307644.40386904776</v>
      </c>
      <c r="BX128" s="1220">
        <f t="shared" si="79"/>
        <v>-307644.40386904776</v>
      </c>
      <c r="BY128" s="1220">
        <f t="shared" si="79"/>
        <v>-307644.40386904776</v>
      </c>
      <c r="BZ128" s="1220">
        <f t="shared" si="79"/>
        <v>-307644.40386904776</v>
      </c>
      <c r="CA128" s="1220">
        <f t="shared" si="79"/>
        <v>-307644.40386904776</v>
      </c>
      <c r="CB128" s="1220">
        <f t="shared" si="79"/>
        <v>-307644.40386904776</v>
      </c>
      <c r="CC128" s="1220">
        <f t="shared" si="79"/>
        <v>-307644.40386904776</v>
      </c>
      <c r="CD128" s="1220">
        <f t="shared" si="79"/>
        <v>-307644.40386904776</v>
      </c>
      <c r="CE128" s="1220">
        <f t="shared" si="79"/>
        <v>-307644.40386904776</v>
      </c>
      <c r="CF128" s="1220">
        <f t="shared" si="79"/>
        <v>-307644.40386904776</v>
      </c>
      <c r="CG128" s="1220">
        <f t="shared" si="79"/>
        <v>-307644.40386904776</v>
      </c>
      <c r="CH128" s="1220">
        <f t="shared" si="79"/>
        <v>-307644.40386904776</v>
      </c>
      <c r="CI128" s="1220">
        <f t="shared" si="79"/>
        <v>-307644.40386904776</v>
      </c>
      <c r="CJ128" s="1220">
        <f t="shared" si="79"/>
        <v>-307644.40386904776</v>
      </c>
      <c r="CK128" s="1220">
        <f t="shared" si="79"/>
        <v>-307644.40386904776</v>
      </c>
      <c r="CL128" s="1220">
        <f t="shared" si="79"/>
        <v>-307644.40386904776</v>
      </c>
      <c r="CM128" s="1220">
        <f t="shared" si="79"/>
        <v>-307644.40386904776</v>
      </c>
      <c r="CN128" s="1220">
        <f t="shared" si="79"/>
        <v>-307644.40386904776</v>
      </c>
      <c r="CO128" s="1220">
        <f t="shared" si="79"/>
        <v>-307644.40386904776</v>
      </c>
      <c r="CP128" s="1220">
        <f t="shared" si="79"/>
        <v>-307644.40386904776</v>
      </c>
      <c r="CQ128" s="1220">
        <f t="shared" si="79"/>
        <v>-307644.40386904776</v>
      </c>
      <c r="CR128" s="1220">
        <f t="shared" si="79"/>
        <v>-307644.40386904776</v>
      </c>
      <c r="CS128" s="1220">
        <f t="shared" si="79"/>
        <v>-307644.40386904776</v>
      </c>
      <c r="CT128" s="1220">
        <f t="shared" si="79"/>
        <v>-307644.40386904776</v>
      </c>
      <c r="CU128" s="1220">
        <f t="shared" si="79"/>
        <v>-307644.40386904776</v>
      </c>
      <c r="CV128" s="1220">
        <f t="shared" si="79"/>
        <v>-307644.40386904776</v>
      </c>
      <c r="CW128" s="1220">
        <f t="shared" si="79"/>
        <v>-307644.40386904776</v>
      </c>
      <c r="CX128" s="1220">
        <f t="shared" si="79"/>
        <v>-307644.40386904776</v>
      </c>
      <c r="CY128" s="1220">
        <f t="shared" si="79"/>
        <v>-307644.40386904776</v>
      </c>
      <c r="CZ128" s="1220">
        <f t="shared" si="79"/>
        <v>-307644.40386904776</v>
      </c>
      <c r="DA128" s="1220">
        <f t="shared" si="79"/>
        <v>-307644.40386904776</v>
      </c>
      <c r="DB128" s="1220">
        <f t="shared" si="79"/>
        <v>-307644.40386904776</v>
      </c>
      <c r="DC128" s="1220">
        <f t="shared" si="79"/>
        <v>-307644.40386904776</v>
      </c>
      <c r="DD128" s="1220">
        <f t="shared" si="79"/>
        <v>-307644.40386904776</v>
      </c>
      <c r="DE128" s="1220">
        <f t="shared" si="79"/>
        <v>-307644.40386904776</v>
      </c>
      <c r="DF128" s="101"/>
      <c r="DG128" s="101"/>
      <c r="DH128" s="101"/>
      <c r="DI128" s="101"/>
      <c r="DJ128" s="101"/>
      <c r="DK128" s="101"/>
      <c r="DL128" s="101"/>
      <c r="DM128" s="101"/>
      <c r="DN128" s="101"/>
      <c r="DO128" s="101"/>
      <c r="DP128" s="101"/>
      <c r="DQ128" s="101"/>
      <c r="DR128" s="101"/>
      <c r="DS128" s="101"/>
      <c r="DT128" s="101"/>
      <c r="DU128" s="101"/>
      <c r="DV128" s="101"/>
      <c r="DW128" s="101"/>
      <c r="DX128" s="101"/>
      <c r="DY128" s="101"/>
      <c r="DZ128" s="101"/>
      <c r="EA128" s="101"/>
      <c r="EB128" s="101"/>
      <c r="EC128" s="101"/>
      <c r="ED128" s="101"/>
      <c r="EE128" s="101"/>
      <c r="EF128" s="101"/>
      <c r="EG128" s="101"/>
      <c r="EH128" s="101"/>
      <c r="EI128" s="101"/>
      <c r="EJ128" s="101"/>
    </row>
    <row r="129" spans="1:148" x14ac:dyDescent="0.3">
      <c r="H129" s="1215"/>
      <c r="L129" s="1220"/>
      <c r="M129" s="1220"/>
      <c r="N129" s="1220"/>
      <c r="O129" s="1220"/>
      <c r="P129" s="1220"/>
      <c r="Q129" s="1220"/>
      <c r="R129" s="1220"/>
      <c r="S129" s="1220"/>
      <c r="T129" s="1220"/>
      <c r="U129" s="1220"/>
      <c r="V129" s="1220"/>
      <c r="W129" s="1220"/>
      <c r="X129" s="1220"/>
      <c r="Y129" s="1220"/>
      <c r="Z129" s="1220"/>
      <c r="AA129" s="1220"/>
      <c r="AB129" s="1220"/>
      <c r="AC129" s="1220"/>
      <c r="AD129" s="1220"/>
      <c r="AE129" s="1220"/>
      <c r="AF129" s="1220"/>
      <c r="AG129" s="1220"/>
      <c r="AH129" s="1220"/>
      <c r="AI129" s="1220"/>
      <c r="AJ129" s="1220"/>
      <c r="AK129" s="1220"/>
      <c r="AL129" s="1220"/>
      <c r="AM129" s="1220"/>
      <c r="AN129" s="1220"/>
      <c r="AO129" s="1220"/>
      <c r="AP129" s="1220"/>
      <c r="AQ129" s="1220"/>
      <c r="AR129" s="1220"/>
      <c r="AS129" s="1220"/>
      <c r="AT129" s="1220"/>
      <c r="AU129" s="1220"/>
      <c r="AV129" s="1220"/>
      <c r="AW129" s="1220"/>
      <c r="AX129" s="1220"/>
      <c r="AY129" s="1220"/>
      <c r="AZ129" s="1220"/>
      <c r="BA129" s="1220"/>
      <c r="BB129" s="1220"/>
      <c r="BC129" s="1220"/>
      <c r="BD129" s="1220"/>
      <c r="BE129" s="1220"/>
      <c r="BF129" s="1220"/>
      <c r="BG129" s="1220"/>
      <c r="BH129" s="1220"/>
      <c r="BI129" s="1220"/>
      <c r="BJ129" s="1220"/>
      <c r="BK129" s="1220"/>
      <c r="BL129" s="1220"/>
      <c r="BM129" s="1220"/>
      <c r="BN129" s="1220"/>
      <c r="BO129" s="1220"/>
      <c r="BP129" s="1220"/>
      <c r="BQ129" s="1220"/>
      <c r="BR129" s="1220"/>
      <c r="BS129" s="1220"/>
      <c r="BT129" s="1220"/>
      <c r="BU129" s="1220"/>
      <c r="BV129" s="1220"/>
      <c r="BW129" s="1220"/>
      <c r="BX129" s="1220"/>
      <c r="BY129" s="1220"/>
      <c r="BZ129" s="1220"/>
      <c r="CA129" s="1220"/>
      <c r="CB129" s="1220"/>
      <c r="CC129" s="1220"/>
      <c r="CD129" s="1220"/>
      <c r="CE129" s="1220"/>
      <c r="CF129" s="1220"/>
      <c r="CG129" s="1220"/>
      <c r="CH129" s="1220"/>
      <c r="CI129" s="1220"/>
      <c r="CJ129" s="1220"/>
      <c r="CK129" s="1220"/>
      <c r="CL129" s="1220"/>
      <c r="CM129" s="1220"/>
      <c r="CN129" s="1220"/>
      <c r="CO129" s="1220"/>
      <c r="CP129" s="1220"/>
      <c r="CQ129" s="1220"/>
      <c r="CR129" s="1220"/>
      <c r="CS129" s="1220"/>
      <c r="CT129" s="1220"/>
      <c r="CU129" s="1220"/>
      <c r="CV129" s="1220"/>
      <c r="CW129" s="1220"/>
      <c r="CX129" s="1220"/>
      <c r="CY129" s="1220"/>
      <c r="CZ129" s="1220"/>
      <c r="DA129" s="1220"/>
      <c r="DB129" s="1220"/>
      <c r="DC129" s="1220"/>
      <c r="DD129" s="1220"/>
      <c r="DE129" s="1220"/>
      <c r="DF129" s="101"/>
      <c r="DG129" s="101"/>
      <c r="DH129" s="101"/>
      <c r="DI129" s="101"/>
      <c r="DJ129" s="101"/>
      <c r="DK129" s="101"/>
      <c r="DL129" s="101"/>
      <c r="DM129" s="101"/>
      <c r="DN129" s="101"/>
      <c r="DO129" s="101"/>
      <c r="DP129" s="101"/>
      <c r="DQ129" s="101"/>
      <c r="DR129" s="101"/>
      <c r="DS129" s="101"/>
      <c r="DT129" s="101"/>
      <c r="DU129" s="101"/>
      <c r="DV129" s="101"/>
      <c r="DW129" s="101"/>
      <c r="DX129" s="101"/>
      <c r="DY129" s="101"/>
      <c r="DZ129" s="101"/>
      <c r="EA129" s="101"/>
      <c r="EB129" s="101"/>
      <c r="EC129" s="101"/>
      <c r="ED129" s="101"/>
      <c r="EE129" s="101"/>
      <c r="EF129" s="101"/>
      <c r="EG129" s="101"/>
      <c r="EH129" s="101"/>
      <c r="EI129" s="101"/>
    </row>
    <row r="130" spans="1:148" x14ac:dyDescent="0.3">
      <c r="A130" s="1214" t="s">
        <v>2247</v>
      </c>
      <c r="H130" s="1215">
        <v>25842129.925000012</v>
      </c>
      <c r="L130" s="1220"/>
      <c r="M130" s="1220"/>
      <c r="N130" s="1220"/>
      <c r="O130" s="1220"/>
      <c r="P130" s="1220"/>
      <c r="Q130" s="1220"/>
      <c r="R130" s="1220"/>
      <c r="S130" s="1220"/>
      <c r="T130" s="1220"/>
      <c r="U130" s="1220"/>
      <c r="V130" s="1220"/>
      <c r="W130" s="1220"/>
      <c r="X130" s="1220"/>
      <c r="Y130" s="1220"/>
      <c r="Z130" s="1220"/>
      <c r="AA130" s="1220"/>
      <c r="AB130" s="1220"/>
      <c r="AC130" s="1220"/>
      <c r="AD130" s="1220"/>
      <c r="AE130" s="1220"/>
      <c r="AF130" s="1220"/>
      <c r="AG130" s="1220"/>
      <c r="AH130" s="1220"/>
      <c r="AI130" s="1220"/>
      <c r="AJ130" s="1220"/>
      <c r="AK130" s="1220"/>
      <c r="AL130" s="1220"/>
      <c r="AM130" s="1220"/>
      <c r="AN130" s="1220"/>
      <c r="AO130" s="1220"/>
      <c r="AP130" s="1220"/>
      <c r="AQ130" s="1220"/>
      <c r="AR130" s="1220"/>
      <c r="AS130" s="1220"/>
      <c r="AT130" s="1220"/>
      <c r="AU130" s="1220"/>
      <c r="AV130" s="1220"/>
      <c r="AW130" s="1220"/>
      <c r="AX130" s="1220"/>
      <c r="AY130" s="1220"/>
      <c r="AZ130" s="1220"/>
      <c r="BA130" s="1220"/>
      <c r="BB130" s="1220"/>
      <c r="BC130" s="1220"/>
      <c r="BD130" s="1220"/>
      <c r="BE130" s="1220"/>
      <c r="BF130" s="1220">
        <f t="shared" si="79"/>
        <v>-307644.40386904776</v>
      </c>
      <c r="BG130" s="1220">
        <f t="shared" si="79"/>
        <v>-307644.40386904776</v>
      </c>
      <c r="BH130" s="1220">
        <f t="shared" si="79"/>
        <v>-307644.40386904776</v>
      </c>
      <c r="BI130" s="1220">
        <f t="shared" si="79"/>
        <v>-307644.40386904776</v>
      </c>
      <c r="BJ130" s="1220">
        <f t="shared" si="79"/>
        <v>-307644.40386904776</v>
      </c>
      <c r="BK130" s="1220">
        <f t="shared" si="79"/>
        <v>-307644.40386904776</v>
      </c>
      <c r="BL130" s="1220">
        <f t="shared" si="79"/>
        <v>-307644.40386904776</v>
      </c>
      <c r="BM130" s="1220">
        <f t="shared" si="79"/>
        <v>-307644.40386904776</v>
      </c>
      <c r="BN130" s="1220">
        <f t="shared" si="79"/>
        <v>-307644.40386904776</v>
      </c>
      <c r="BO130" s="1220">
        <f t="shared" si="79"/>
        <v>-307644.40386904776</v>
      </c>
      <c r="BP130" s="1220">
        <f t="shared" si="79"/>
        <v>-307644.40386904776</v>
      </c>
      <c r="BQ130" s="1220">
        <f t="shared" si="79"/>
        <v>-307644.40386904776</v>
      </c>
      <c r="BR130" s="1220">
        <f t="shared" si="79"/>
        <v>-307644.40386904776</v>
      </c>
      <c r="BS130" s="1220">
        <f t="shared" si="79"/>
        <v>-307644.40386904776</v>
      </c>
      <c r="BT130" s="1220">
        <f t="shared" si="79"/>
        <v>-307644.40386904776</v>
      </c>
      <c r="BU130" s="1220">
        <f t="shared" si="79"/>
        <v>-307644.40386904776</v>
      </c>
      <c r="BV130" s="1220">
        <f t="shared" si="79"/>
        <v>-307644.40386904776</v>
      </c>
      <c r="BW130" s="1220">
        <f t="shared" si="79"/>
        <v>-307644.40386904776</v>
      </c>
      <c r="BX130" s="1220">
        <f t="shared" si="79"/>
        <v>-307644.40386904776</v>
      </c>
      <c r="BY130" s="1220">
        <f t="shared" si="79"/>
        <v>-307644.40386904776</v>
      </c>
      <c r="BZ130" s="1220">
        <f t="shared" si="79"/>
        <v>-307644.40386904776</v>
      </c>
      <c r="CA130" s="1220">
        <f t="shared" si="79"/>
        <v>-307644.40386904776</v>
      </c>
      <c r="CB130" s="1220">
        <f t="shared" si="79"/>
        <v>-307644.40386904776</v>
      </c>
      <c r="CC130" s="1220">
        <f t="shared" si="79"/>
        <v>-307644.40386904776</v>
      </c>
      <c r="CD130" s="1220">
        <f t="shared" si="79"/>
        <v>-307644.40386904776</v>
      </c>
      <c r="CE130" s="1220">
        <f t="shared" si="79"/>
        <v>-307644.40386904776</v>
      </c>
      <c r="CF130" s="1220">
        <f t="shared" si="79"/>
        <v>-307644.40386904776</v>
      </c>
      <c r="CG130" s="1220">
        <f t="shared" si="79"/>
        <v>-307644.40386904776</v>
      </c>
      <c r="CH130" s="1220">
        <f t="shared" si="79"/>
        <v>-307644.40386904776</v>
      </c>
      <c r="CI130" s="1220">
        <f t="shared" si="79"/>
        <v>-307644.40386904776</v>
      </c>
      <c r="CJ130" s="1220">
        <f t="shared" si="79"/>
        <v>-307644.40386904776</v>
      </c>
      <c r="CK130" s="1220">
        <f t="shared" si="79"/>
        <v>-307644.40386904776</v>
      </c>
      <c r="CL130" s="1220">
        <f t="shared" si="79"/>
        <v>-307644.40386904776</v>
      </c>
      <c r="CM130" s="1220">
        <f t="shared" si="79"/>
        <v>-307644.40386904776</v>
      </c>
      <c r="CN130" s="1220">
        <f t="shared" si="79"/>
        <v>-307644.40386904776</v>
      </c>
      <c r="CO130" s="1220">
        <f t="shared" si="79"/>
        <v>-307644.40386904776</v>
      </c>
      <c r="CP130" s="1220">
        <f t="shared" si="79"/>
        <v>-307644.40386904776</v>
      </c>
      <c r="CQ130" s="1220">
        <f t="shared" si="79"/>
        <v>-307644.40386904776</v>
      </c>
      <c r="CR130" s="1220">
        <f t="shared" si="79"/>
        <v>-307644.40386904776</v>
      </c>
      <c r="CS130" s="1220">
        <f t="shared" si="79"/>
        <v>-307644.40386904776</v>
      </c>
      <c r="CT130" s="1220">
        <f t="shared" si="79"/>
        <v>-307644.40386904776</v>
      </c>
      <c r="CU130" s="1220">
        <f t="shared" si="79"/>
        <v>-307644.40386904776</v>
      </c>
      <c r="CV130" s="1220">
        <f t="shared" si="79"/>
        <v>-307644.40386904776</v>
      </c>
      <c r="CW130" s="1220">
        <f t="shared" si="79"/>
        <v>-307644.40386904776</v>
      </c>
      <c r="CX130" s="1220">
        <f t="shared" si="79"/>
        <v>-307644.40386904776</v>
      </c>
      <c r="CY130" s="1220">
        <f t="shared" si="79"/>
        <v>-307644.40386904776</v>
      </c>
      <c r="CZ130" s="1220">
        <f t="shared" si="79"/>
        <v>-307644.40386904776</v>
      </c>
      <c r="DA130" s="1220">
        <f t="shared" si="79"/>
        <v>-307644.40386904776</v>
      </c>
      <c r="DB130" s="1220">
        <f t="shared" si="79"/>
        <v>-307644.40386904776</v>
      </c>
      <c r="DC130" s="1220">
        <f t="shared" si="79"/>
        <v>-307644.40386904776</v>
      </c>
      <c r="DD130" s="1220">
        <f t="shared" si="79"/>
        <v>-307644.40386904776</v>
      </c>
      <c r="DE130" s="1220">
        <f t="shared" si="79"/>
        <v>-307644.40386904776</v>
      </c>
      <c r="DF130" s="101"/>
      <c r="DG130" s="101"/>
      <c r="DH130" s="101"/>
      <c r="DI130" s="101"/>
      <c r="DJ130" s="101"/>
      <c r="DK130" s="101"/>
      <c r="DL130" s="101"/>
      <c r="DM130" s="101"/>
      <c r="DN130" s="101"/>
      <c r="DO130" s="101"/>
      <c r="DP130" s="101"/>
      <c r="DQ130" s="101"/>
      <c r="DR130" s="101"/>
      <c r="DS130" s="101"/>
      <c r="DT130" s="101"/>
      <c r="DU130" s="101"/>
      <c r="DV130" s="101"/>
      <c r="DW130" s="101"/>
      <c r="DX130" s="101"/>
      <c r="DY130" s="101"/>
      <c r="DZ130" s="101"/>
      <c r="EA130" s="101"/>
      <c r="EB130" s="101"/>
      <c r="EC130" s="101"/>
      <c r="ED130" s="101"/>
      <c r="EE130" s="101"/>
      <c r="EF130" s="101"/>
      <c r="EG130" s="101"/>
      <c r="EH130" s="101"/>
      <c r="EI130" s="101"/>
      <c r="EJ130" s="101"/>
      <c r="EK130" s="101"/>
    </row>
    <row r="131" spans="1:148" x14ac:dyDescent="0.3">
      <c r="H131" s="1215"/>
      <c r="L131" s="1220"/>
      <c r="M131" s="1220"/>
      <c r="N131" s="1220"/>
      <c r="O131" s="1220"/>
      <c r="P131" s="1220"/>
      <c r="Q131" s="1220"/>
      <c r="R131" s="1220"/>
      <c r="S131" s="1220"/>
      <c r="T131" s="1220"/>
      <c r="U131" s="1220"/>
      <c r="V131" s="1220"/>
      <c r="W131" s="1220"/>
      <c r="X131" s="1220"/>
      <c r="Y131" s="1220"/>
      <c r="Z131" s="1220"/>
      <c r="AA131" s="1220"/>
      <c r="AB131" s="1220"/>
      <c r="AC131" s="1220"/>
      <c r="AD131" s="1220"/>
      <c r="AE131" s="1220"/>
      <c r="AF131" s="1220"/>
      <c r="AG131" s="1220"/>
      <c r="AH131" s="1220"/>
      <c r="AI131" s="1220"/>
      <c r="AJ131" s="1220"/>
      <c r="AK131" s="1220"/>
      <c r="AL131" s="1220"/>
      <c r="AM131" s="1220"/>
      <c r="AN131" s="1220"/>
      <c r="AO131" s="1220"/>
      <c r="AP131" s="1220"/>
      <c r="AQ131" s="1220"/>
      <c r="AR131" s="1220"/>
      <c r="AS131" s="1220"/>
      <c r="AT131" s="1220"/>
      <c r="AU131" s="1220"/>
      <c r="AV131" s="1220"/>
      <c r="AW131" s="1220"/>
      <c r="AX131" s="1220"/>
      <c r="AY131" s="1220"/>
      <c r="AZ131" s="1220"/>
      <c r="BA131" s="1220"/>
      <c r="BB131" s="1220"/>
      <c r="BC131" s="1220"/>
      <c r="BD131" s="1220"/>
      <c r="BE131" s="1220"/>
      <c r="BF131" s="1220"/>
      <c r="BG131" s="1220"/>
      <c r="BH131" s="1220"/>
      <c r="BI131" s="1220"/>
      <c r="BJ131" s="1220"/>
      <c r="BK131" s="1220"/>
      <c r="BL131" s="1220"/>
      <c r="BM131" s="1220"/>
      <c r="BN131" s="1220"/>
      <c r="BO131" s="1220"/>
      <c r="BP131" s="1220"/>
      <c r="BQ131" s="1220"/>
      <c r="BR131" s="1220"/>
      <c r="BS131" s="1220"/>
      <c r="BT131" s="1220"/>
      <c r="BU131" s="1220"/>
      <c r="BV131" s="1220"/>
      <c r="BW131" s="1220"/>
      <c r="BX131" s="1220"/>
      <c r="BY131" s="1220"/>
      <c r="BZ131" s="1220"/>
      <c r="CA131" s="1220"/>
      <c r="CB131" s="1220"/>
      <c r="CC131" s="1220"/>
      <c r="CD131" s="1220"/>
      <c r="CE131" s="1220"/>
      <c r="CF131" s="1220"/>
      <c r="CG131" s="1220"/>
      <c r="CH131" s="1220"/>
      <c r="CI131" s="1220"/>
      <c r="CJ131" s="1220"/>
      <c r="CK131" s="1220"/>
      <c r="CL131" s="1220"/>
      <c r="CM131" s="1220"/>
      <c r="CN131" s="1220"/>
      <c r="CO131" s="1220"/>
      <c r="CP131" s="1220"/>
      <c r="CQ131" s="1220"/>
      <c r="CR131" s="1220"/>
      <c r="CS131" s="1220"/>
      <c r="CT131" s="1220"/>
      <c r="CU131" s="1220"/>
      <c r="CV131" s="1220"/>
      <c r="CW131" s="1220"/>
      <c r="CX131" s="1220"/>
      <c r="CY131" s="1220"/>
      <c r="CZ131" s="1220"/>
      <c r="DA131" s="1220"/>
      <c r="DB131" s="1220"/>
      <c r="DC131" s="1220"/>
      <c r="DD131" s="1220"/>
      <c r="DE131" s="1220"/>
      <c r="DF131" s="101"/>
      <c r="DG131" s="101"/>
      <c r="DH131" s="101"/>
      <c r="DI131" s="101"/>
      <c r="DJ131" s="101"/>
      <c r="DK131" s="101"/>
      <c r="DL131" s="101"/>
      <c r="DM131" s="101"/>
      <c r="DN131" s="101"/>
      <c r="DO131" s="101"/>
      <c r="DP131" s="101"/>
      <c r="DQ131" s="101"/>
      <c r="DR131" s="101"/>
      <c r="DS131" s="101"/>
      <c r="DT131" s="101"/>
      <c r="DU131" s="101"/>
      <c r="DV131" s="101"/>
      <c r="DW131" s="101"/>
      <c r="DX131" s="101"/>
      <c r="DY131" s="101"/>
      <c r="DZ131" s="101"/>
      <c r="EA131" s="101"/>
      <c r="EB131" s="101"/>
      <c r="EC131" s="101"/>
      <c r="ED131" s="101"/>
      <c r="EE131" s="101"/>
      <c r="EF131" s="101"/>
      <c r="EG131" s="101"/>
      <c r="EH131" s="101"/>
      <c r="EI131" s="101"/>
    </row>
    <row r="132" spans="1:148" x14ac:dyDescent="0.3">
      <c r="A132" s="1214" t="s">
        <v>2248</v>
      </c>
      <c r="H132" s="1215">
        <v>25842129.925000012</v>
      </c>
      <c r="L132" s="1220"/>
      <c r="M132" s="1220"/>
      <c r="N132" s="1220"/>
      <c r="O132" s="1220"/>
      <c r="P132" s="1220"/>
      <c r="Q132" s="1220"/>
      <c r="R132" s="1220"/>
      <c r="S132" s="1220"/>
      <c r="T132" s="1220"/>
      <c r="U132" s="1220"/>
      <c r="V132" s="1220"/>
      <c r="W132" s="1220"/>
      <c r="X132" s="1220"/>
      <c r="Y132" s="1220"/>
      <c r="Z132" s="1220"/>
      <c r="AA132" s="1220"/>
      <c r="AB132" s="1220"/>
      <c r="AC132" s="1220"/>
      <c r="AD132" s="1220"/>
      <c r="AE132" s="1220"/>
      <c r="AF132" s="1220"/>
      <c r="AG132" s="1220"/>
      <c r="AH132" s="1220"/>
      <c r="AI132" s="1220"/>
      <c r="AJ132" s="1220"/>
      <c r="AK132" s="1220"/>
      <c r="AL132" s="1220"/>
      <c r="AM132" s="1220"/>
      <c r="AN132" s="1220"/>
      <c r="AO132" s="1220"/>
      <c r="AP132" s="1220"/>
      <c r="AQ132" s="1220"/>
      <c r="AR132" s="1220"/>
      <c r="AS132" s="1220"/>
      <c r="AT132" s="1220"/>
      <c r="AU132" s="1220"/>
      <c r="AV132" s="1220"/>
      <c r="AW132" s="1220"/>
      <c r="AX132" s="1220"/>
      <c r="AY132" s="1220"/>
      <c r="AZ132" s="1220"/>
      <c r="BA132" s="1220"/>
      <c r="BB132" s="1220"/>
      <c r="BC132" s="1220"/>
      <c r="BD132" s="1220"/>
      <c r="BE132" s="1220"/>
      <c r="BF132" s="1220"/>
      <c r="BG132" s="1220">
        <f t="shared" si="79"/>
        <v>-307644.40386904776</v>
      </c>
      <c r="BH132" s="1220">
        <f t="shared" si="79"/>
        <v>-307644.40386904776</v>
      </c>
      <c r="BI132" s="1220">
        <f t="shared" si="79"/>
        <v>-307644.40386904776</v>
      </c>
      <c r="BJ132" s="1220">
        <f t="shared" si="79"/>
        <v>-307644.40386904776</v>
      </c>
      <c r="BK132" s="1220">
        <f t="shared" si="79"/>
        <v>-307644.40386904776</v>
      </c>
      <c r="BL132" s="1220">
        <f t="shared" si="79"/>
        <v>-307644.40386904776</v>
      </c>
      <c r="BM132" s="1220">
        <f t="shared" si="79"/>
        <v>-307644.40386904776</v>
      </c>
      <c r="BN132" s="1220">
        <f t="shared" si="79"/>
        <v>-307644.40386904776</v>
      </c>
      <c r="BO132" s="1220">
        <f t="shared" si="79"/>
        <v>-307644.40386904776</v>
      </c>
      <c r="BP132" s="1220">
        <f t="shared" si="79"/>
        <v>-307644.40386904776</v>
      </c>
      <c r="BQ132" s="1220">
        <f t="shared" si="79"/>
        <v>-307644.40386904776</v>
      </c>
      <c r="BR132" s="1220">
        <f t="shared" si="79"/>
        <v>-307644.40386904776</v>
      </c>
      <c r="BS132" s="1220">
        <f t="shared" si="79"/>
        <v>-307644.40386904776</v>
      </c>
      <c r="BT132" s="1220">
        <f t="shared" si="79"/>
        <v>-307644.40386904776</v>
      </c>
      <c r="BU132" s="1220">
        <f t="shared" si="79"/>
        <v>-307644.40386904776</v>
      </c>
      <c r="BV132" s="1220">
        <f t="shared" si="79"/>
        <v>-307644.40386904776</v>
      </c>
      <c r="BW132" s="1220">
        <f t="shared" si="79"/>
        <v>-307644.40386904776</v>
      </c>
      <c r="BX132" s="1220">
        <f t="shared" si="79"/>
        <v>-307644.40386904776</v>
      </c>
      <c r="BY132" s="1220">
        <f t="shared" si="79"/>
        <v>-307644.40386904776</v>
      </c>
      <c r="BZ132" s="1220">
        <f t="shared" si="79"/>
        <v>-307644.40386904776</v>
      </c>
      <c r="CA132" s="1220">
        <f t="shared" si="79"/>
        <v>-307644.40386904776</v>
      </c>
      <c r="CB132" s="1220">
        <f t="shared" si="79"/>
        <v>-307644.40386904776</v>
      </c>
      <c r="CC132" s="1220">
        <f t="shared" si="79"/>
        <v>-307644.40386904776</v>
      </c>
      <c r="CD132" s="1220">
        <f t="shared" si="79"/>
        <v>-307644.40386904776</v>
      </c>
      <c r="CE132" s="1220">
        <f t="shared" si="79"/>
        <v>-307644.40386904776</v>
      </c>
      <c r="CF132" s="1220">
        <f t="shared" si="79"/>
        <v>-307644.40386904776</v>
      </c>
      <c r="CG132" s="1220">
        <f t="shared" si="79"/>
        <v>-307644.40386904776</v>
      </c>
      <c r="CH132" s="1220">
        <f t="shared" si="79"/>
        <v>-307644.40386904776</v>
      </c>
      <c r="CI132" s="1220">
        <f t="shared" si="79"/>
        <v>-307644.40386904776</v>
      </c>
      <c r="CJ132" s="1220">
        <f t="shared" si="79"/>
        <v>-307644.40386904776</v>
      </c>
      <c r="CK132" s="1220">
        <f t="shared" si="79"/>
        <v>-307644.40386904776</v>
      </c>
      <c r="CL132" s="1220">
        <f t="shared" si="79"/>
        <v>-307644.40386904776</v>
      </c>
      <c r="CM132" s="1220">
        <f t="shared" si="79"/>
        <v>-307644.40386904776</v>
      </c>
      <c r="CN132" s="1220">
        <f t="shared" si="79"/>
        <v>-307644.40386904776</v>
      </c>
      <c r="CO132" s="1220">
        <f t="shared" si="79"/>
        <v>-307644.40386904776</v>
      </c>
      <c r="CP132" s="1220">
        <f t="shared" si="79"/>
        <v>-307644.40386904776</v>
      </c>
      <c r="CQ132" s="1220">
        <f t="shared" si="79"/>
        <v>-307644.40386904776</v>
      </c>
      <c r="CR132" s="1220">
        <f t="shared" si="79"/>
        <v>-307644.40386904776</v>
      </c>
      <c r="CS132" s="1220">
        <f t="shared" si="79"/>
        <v>-307644.40386904776</v>
      </c>
      <c r="CT132" s="1220">
        <f t="shared" si="79"/>
        <v>-307644.40386904776</v>
      </c>
      <c r="CU132" s="1220">
        <f t="shared" si="79"/>
        <v>-307644.40386904776</v>
      </c>
      <c r="CV132" s="1220">
        <f t="shared" si="79"/>
        <v>-307644.40386904776</v>
      </c>
      <c r="CW132" s="1220">
        <f t="shared" si="79"/>
        <v>-307644.40386904776</v>
      </c>
      <c r="CX132" s="1220">
        <f t="shared" si="79"/>
        <v>-307644.40386904776</v>
      </c>
      <c r="CY132" s="1220">
        <f t="shared" si="79"/>
        <v>-307644.40386904776</v>
      </c>
      <c r="CZ132" s="1220">
        <f t="shared" si="79"/>
        <v>-307644.40386904776</v>
      </c>
      <c r="DA132" s="1220">
        <f t="shared" si="79"/>
        <v>-307644.40386904776</v>
      </c>
      <c r="DB132" s="1220">
        <f t="shared" si="79"/>
        <v>-307644.40386904776</v>
      </c>
      <c r="DC132" s="1220">
        <f t="shared" si="79"/>
        <v>-307644.40386904776</v>
      </c>
      <c r="DD132" s="1220">
        <f t="shared" si="79"/>
        <v>-307644.40386904776</v>
      </c>
      <c r="DE132" s="1220">
        <f t="shared" si="79"/>
        <v>-307644.40386904776</v>
      </c>
      <c r="DF132" s="101"/>
      <c r="DG132" s="101"/>
      <c r="DH132" s="101"/>
      <c r="DI132" s="101"/>
      <c r="DJ132" s="101"/>
      <c r="DK132" s="101"/>
      <c r="DL132" s="101"/>
      <c r="DM132" s="101"/>
      <c r="DN132" s="101"/>
      <c r="DO132" s="101"/>
      <c r="DP132" s="101"/>
      <c r="DQ132" s="101"/>
      <c r="DR132" s="101"/>
      <c r="DS132" s="101"/>
      <c r="DT132" s="101"/>
      <c r="DU132" s="101"/>
      <c r="DV132" s="101"/>
      <c r="DW132" s="101"/>
      <c r="DX132" s="101"/>
      <c r="DY132" s="101"/>
      <c r="DZ132" s="101"/>
      <c r="EA132" s="101"/>
      <c r="EB132" s="101"/>
      <c r="EC132" s="101"/>
      <c r="ED132" s="101"/>
      <c r="EE132" s="101"/>
      <c r="EF132" s="101"/>
      <c r="EG132" s="101"/>
      <c r="EH132" s="101"/>
      <c r="EI132" s="101"/>
      <c r="EJ132" s="101"/>
      <c r="EK132" s="101"/>
      <c r="EL132" s="101"/>
    </row>
    <row r="133" spans="1:148" x14ac:dyDescent="0.3">
      <c r="A133" s="1214"/>
      <c r="H133" s="1215"/>
      <c r="L133" s="1220"/>
      <c r="M133" s="1220"/>
      <c r="N133" s="1220"/>
      <c r="O133" s="1220"/>
      <c r="P133" s="1220"/>
      <c r="Q133" s="1220"/>
      <c r="R133" s="1220"/>
      <c r="S133" s="1220"/>
      <c r="T133" s="1220"/>
      <c r="U133" s="1220"/>
      <c r="V133" s="1220"/>
      <c r="W133" s="1220"/>
      <c r="X133" s="1220"/>
      <c r="Y133" s="1220"/>
      <c r="Z133" s="1220"/>
      <c r="AA133" s="1220"/>
      <c r="AB133" s="1220"/>
      <c r="AC133" s="1220"/>
      <c r="AD133" s="1220"/>
      <c r="AE133" s="1220"/>
      <c r="AF133" s="1220"/>
      <c r="AG133" s="1220"/>
      <c r="AH133" s="1220"/>
      <c r="AI133" s="1220"/>
      <c r="AJ133" s="1220"/>
      <c r="AK133" s="1220"/>
      <c r="AL133" s="1220"/>
      <c r="AM133" s="1220"/>
      <c r="AN133" s="1220"/>
      <c r="AO133" s="1220"/>
      <c r="AP133" s="1220"/>
      <c r="AQ133" s="1220"/>
      <c r="AR133" s="1220"/>
      <c r="AS133" s="1220"/>
      <c r="AT133" s="1220"/>
      <c r="AU133" s="1220"/>
      <c r="AV133" s="1220"/>
      <c r="AW133" s="1220"/>
      <c r="AX133" s="1220"/>
      <c r="AY133" s="1220"/>
      <c r="AZ133" s="1220"/>
      <c r="BA133" s="1220"/>
      <c r="BB133" s="1220"/>
      <c r="BC133" s="1220"/>
      <c r="BD133" s="1220"/>
      <c r="BE133" s="1220"/>
      <c r="BF133" s="1220"/>
      <c r="BG133" s="1220"/>
      <c r="BH133" s="1220"/>
      <c r="BI133" s="1220"/>
      <c r="BJ133" s="1220"/>
      <c r="BK133" s="1220"/>
      <c r="BL133" s="1220"/>
      <c r="BM133" s="1220"/>
      <c r="BN133" s="1220"/>
      <c r="BO133" s="1220"/>
      <c r="BP133" s="1220"/>
      <c r="BQ133" s="1220"/>
      <c r="BR133" s="1220"/>
      <c r="BS133" s="1220"/>
      <c r="BT133" s="1220"/>
      <c r="BU133" s="1220"/>
      <c r="BV133" s="1220"/>
      <c r="BW133" s="1220"/>
      <c r="BX133" s="1220"/>
      <c r="BY133" s="1220"/>
      <c r="BZ133" s="1220"/>
      <c r="CA133" s="1220"/>
      <c r="CB133" s="1220"/>
      <c r="CC133" s="1220"/>
      <c r="CD133" s="1220"/>
      <c r="CE133" s="1220"/>
      <c r="CF133" s="1220"/>
      <c r="CG133" s="1220"/>
      <c r="CH133" s="1220"/>
      <c r="CI133" s="1220"/>
      <c r="CJ133" s="1220"/>
      <c r="CK133" s="1220"/>
      <c r="CL133" s="1220"/>
      <c r="CM133" s="1220"/>
      <c r="CN133" s="1220"/>
      <c r="CO133" s="1220"/>
      <c r="CP133" s="1220"/>
      <c r="CQ133" s="1220"/>
      <c r="CR133" s="1220"/>
      <c r="CS133" s="1220"/>
      <c r="CT133" s="1220"/>
      <c r="CU133" s="1220"/>
      <c r="CV133" s="1220"/>
      <c r="CW133" s="1220"/>
      <c r="CX133" s="1220"/>
      <c r="CY133" s="1220"/>
      <c r="CZ133" s="1220"/>
      <c r="DA133" s="1220"/>
      <c r="DB133" s="1220"/>
      <c r="DC133" s="1220"/>
      <c r="DD133" s="1220"/>
      <c r="DE133" s="1220"/>
      <c r="DF133" s="101"/>
      <c r="DG133" s="101"/>
      <c r="DH133" s="101"/>
      <c r="DI133" s="101"/>
      <c r="DJ133" s="101"/>
      <c r="DK133" s="101"/>
      <c r="DL133" s="101"/>
      <c r="DM133" s="101"/>
      <c r="DN133" s="101"/>
      <c r="DO133" s="101"/>
      <c r="DP133" s="101"/>
      <c r="DQ133" s="101"/>
      <c r="DR133" s="101"/>
      <c r="DS133" s="101"/>
      <c r="DT133" s="101"/>
      <c r="DU133" s="101"/>
      <c r="DV133" s="101"/>
      <c r="DW133" s="101"/>
      <c r="DX133" s="101"/>
      <c r="DY133" s="101"/>
      <c r="DZ133" s="101"/>
      <c r="EA133" s="101"/>
      <c r="EB133" s="101"/>
      <c r="EC133" s="101"/>
      <c r="ED133" s="101"/>
      <c r="EE133" s="101"/>
      <c r="EF133" s="101"/>
      <c r="EG133" s="101"/>
      <c r="EH133" s="101"/>
      <c r="EI133" s="101"/>
      <c r="EJ133" s="101"/>
      <c r="EK133" s="101"/>
      <c r="EL133" s="101"/>
    </row>
    <row r="134" spans="1:148" x14ac:dyDescent="0.3">
      <c r="A134" s="1214" t="s">
        <v>2250</v>
      </c>
      <c r="H134" s="1215">
        <v>25842129.925000012</v>
      </c>
      <c r="L134" s="1220"/>
      <c r="M134" s="1220"/>
      <c r="N134" s="1220"/>
      <c r="O134" s="1220"/>
      <c r="P134" s="1220"/>
      <c r="Q134" s="1220"/>
      <c r="R134" s="1220"/>
      <c r="S134" s="1220"/>
      <c r="T134" s="1220"/>
      <c r="U134" s="1220"/>
      <c r="V134" s="1220"/>
      <c r="W134" s="1220"/>
      <c r="X134" s="1220"/>
      <c r="Y134" s="1220"/>
      <c r="Z134" s="1220"/>
      <c r="AA134" s="1220"/>
      <c r="AB134" s="1220"/>
      <c r="AC134" s="1220"/>
      <c r="AD134" s="1220"/>
      <c r="AE134" s="1220"/>
      <c r="AF134" s="1220"/>
      <c r="AG134" s="1220"/>
      <c r="AH134" s="1220"/>
      <c r="AI134" s="1220"/>
      <c r="AJ134" s="1220"/>
      <c r="AK134" s="1220"/>
      <c r="AL134" s="1220"/>
      <c r="AM134" s="1220"/>
      <c r="AN134" s="1220"/>
      <c r="AO134" s="1220"/>
      <c r="AP134" s="1220"/>
      <c r="AQ134" s="1220"/>
      <c r="AR134" s="1220"/>
      <c r="AS134" s="1220"/>
      <c r="AT134" s="1220"/>
      <c r="AU134" s="1220"/>
      <c r="AV134" s="1220"/>
      <c r="AW134" s="1220"/>
      <c r="AX134" s="1220"/>
      <c r="AY134" s="1220"/>
      <c r="AZ134" s="1220"/>
      <c r="BA134" s="1220"/>
      <c r="BB134" s="1220"/>
      <c r="BC134" s="1220"/>
      <c r="BD134" s="1220"/>
      <c r="BE134" s="1220"/>
      <c r="BF134" s="1220"/>
      <c r="BG134" s="1220"/>
      <c r="BH134" s="1220">
        <f t="shared" ref="BH134:CM134" si="80">-$H134/84</f>
        <v>-307644.40386904776</v>
      </c>
      <c r="BI134" s="1220">
        <f t="shared" si="80"/>
        <v>-307644.40386904776</v>
      </c>
      <c r="BJ134" s="1220">
        <f t="shared" si="80"/>
        <v>-307644.40386904776</v>
      </c>
      <c r="BK134" s="1220">
        <f t="shared" si="80"/>
        <v>-307644.40386904776</v>
      </c>
      <c r="BL134" s="1220">
        <f t="shared" si="80"/>
        <v>-307644.40386904776</v>
      </c>
      <c r="BM134" s="1220">
        <f t="shared" si="80"/>
        <v>-307644.40386904776</v>
      </c>
      <c r="BN134" s="1220">
        <f t="shared" si="80"/>
        <v>-307644.40386904776</v>
      </c>
      <c r="BO134" s="1220">
        <f t="shared" si="80"/>
        <v>-307644.40386904776</v>
      </c>
      <c r="BP134" s="1220">
        <f t="shared" si="80"/>
        <v>-307644.40386904776</v>
      </c>
      <c r="BQ134" s="1220">
        <f t="shared" si="80"/>
        <v>-307644.40386904776</v>
      </c>
      <c r="BR134" s="1220">
        <f t="shared" si="80"/>
        <v>-307644.40386904776</v>
      </c>
      <c r="BS134" s="1220">
        <f t="shared" si="80"/>
        <v>-307644.40386904776</v>
      </c>
      <c r="BT134" s="1220">
        <f t="shared" si="80"/>
        <v>-307644.40386904776</v>
      </c>
      <c r="BU134" s="1220">
        <f t="shared" si="80"/>
        <v>-307644.40386904776</v>
      </c>
      <c r="BV134" s="1220">
        <f t="shared" si="80"/>
        <v>-307644.40386904776</v>
      </c>
      <c r="BW134" s="1220">
        <f t="shared" si="80"/>
        <v>-307644.40386904776</v>
      </c>
      <c r="BX134" s="1220">
        <f t="shared" si="80"/>
        <v>-307644.40386904776</v>
      </c>
      <c r="BY134" s="1220">
        <f t="shared" si="80"/>
        <v>-307644.40386904776</v>
      </c>
      <c r="BZ134" s="1220">
        <f t="shared" si="80"/>
        <v>-307644.40386904776</v>
      </c>
      <c r="CA134" s="1220">
        <f t="shared" si="80"/>
        <v>-307644.40386904776</v>
      </c>
      <c r="CB134" s="1220">
        <f t="shared" si="80"/>
        <v>-307644.40386904776</v>
      </c>
      <c r="CC134" s="1220">
        <f t="shared" si="80"/>
        <v>-307644.40386904776</v>
      </c>
      <c r="CD134" s="1220">
        <f t="shared" si="80"/>
        <v>-307644.40386904776</v>
      </c>
      <c r="CE134" s="1220">
        <f t="shared" si="80"/>
        <v>-307644.40386904776</v>
      </c>
      <c r="CF134" s="1220">
        <f t="shared" si="80"/>
        <v>-307644.40386904776</v>
      </c>
      <c r="CG134" s="1220">
        <f t="shared" si="80"/>
        <v>-307644.40386904776</v>
      </c>
      <c r="CH134" s="1220">
        <f t="shared" si="80"/>
        <v>-307644.40386904776</v>
      </c>
      <c r="CI134" s="1220">
        <f t="shared" si="80"/>
        <v>-307644.40386904776</v>
      </c>
      <c r="CJ134" s="1220">
        <f t="shared" si="80"/>
        <v>-307644.40386904776</v>
      </c>
      <c r="CK134" s="1220">
        <f t="shared" si="80"/>
        <v>-307644.40386904776</v>
      </c>
      <c r="CL134" s="1220">
        <f t="shared" si="80"/>
        <v>-307644.40386904776</v>
      </c>
      <c r="CM134" s="1220">
        <f t="shared" si="80"/>
        <v>-307644.40386904776</v>
      </c>
      <c r="CN134" s="1220">
        <f t="shared" ref="CN134:DE134" si="81">-$H134/84</f>
        <v>-307644.40386904776</v>
      </c>
      <c r="CO134" s="1220">
        <f t="shared" si="81"/>
        <v>-307644.40386904776</v>
      </c>
      <c r="CP134" s="1220">
        <f t="shared" si="81"/>
        <v>-307644.40386904776</v>
      </c>
      <c r="CQ134" s="1220">
        <f t="shared" si="81"/>
        <v>-307644.40386904776</v>
      </c>
      <c r="CR134" s="1220">
        <f t="shared" si="81"/>
        <v>-307644.40386904776</v>
      </c>
      <c r="CS134" s="1220">
        <f t="shared" si="81"/>
        <v>-307644.40386904776</v>
      </c>
      <c r="CT134" s="1220">
        <f t="shared" si="81"/>
        <v>-307644.40386904776</v>
      </c>
      <c r="CU134" s="1220">
        <f t="shared" si="81"/>
        <v>-307644.40386904776</v>
      </c>
      <c r="CV134" s="1220">
        <f t="shared" si="81"/>
        <v>-307644.40386904776</v>
      </c>
      <c r="CW134" s="1220">
        <f t="shared" si="81"/>
        <v>-307644.40386904776</v>
      </c>
      <c r="CX134" s="1220">
        <f t="shared" si="81"/>
        <v>-307644.40386904776</v>
      </c>
      <c r="CY134" s="1220">
        <f t="shared" si="81"/>
        <v>-307644.40386904776</v>
      </c>
      <c r="CZ134" s="1220">
        <f t="shared" si="81"/>
        <v>-307644.40386904776</v>
      </c>
      <c r="DA134" s="1220">
        <f t="shared" si="81"/>
        <v>-307644.40386904776</v>
      </c>
      <c r="DB134" s="1220">
        <f t="shared" si="81"/>
        <v>-307644.40386904776</v>
      </c>
      <c r="DC134" s="1220">
        <f t="shared" si="81"/>
        <v>-307644.40386904776</v>
      </c>
      <c r="DD134" s="1220">
        <f t="shared" si="81"/>
        <v>-307644.40386904776</v>
      </c>
      <c r="DE134" s="1220">
        <f t="shared" si="81"/>
        <v>-307644.40386904776</v>
      </c>
      <c r="DF134" s="101"/>
      <c r="DG134" s="101"/>
      <c r="DH134" s="101"/>
      <c r="DI134" s="101"/>
      <c r="DJ134" s="101"/>
      <c r="DK134" s="101"/>
      <c r="DL134" s="101"/>
      <c r="DM134" s="101"/>
      <c r="DN134" s="101"/>
      <c r="DO134" s="101"/>
      <c r="DP134" s="101"/>
      <c r="DQ134" s="101"/>
      <c r="DR134" s="101"/>
      <c r="DS134" s="101"/>
      <c r="DT134" s="101"/>
      <c r="DU134" s="101"/>
      <c r="DV134" s="101"/>
      <c r="DW134" s="101"/>
      <c r="DX134" s="101"/>
      <c r="DY134" s="101"/>
      <c r="DZ134" s="101"/>
      <c r="EA134" s="101"/>
      <c r="EB134" s="101"/>
      <c r="EC134" s="101"/>
      <c r="ED134" s="101"/>
      <c r="EE134" s="101"/>
      <c r="EF134" s="101"/>
      <c r="EG134" s="101"/>
      <c r="EH134" s="101"/>
      <c r="EI134" s="101"/>
      <c r="EJ134" s="101"/>
      <c r="EK134" s="101"/>
      <c r="EL134" s="101"/>
      <c r="EM134" s="101"/>
    </row>
    <row r="135" spans="1:148" x14ac:dyDescent="0.3">
      <c r="A135" s="1214"/>
      <c r="H135" s="1215"/>
      <c r="L135" s="1220"/>
      <c r="M135" s="1220"/>
      <c r="N135" s="1220"/>
      <c r="O135" s="1220"/>
      <c r="P135" s="1220"/>
      <c r="Q135" s="1220"/>
      <c r="R135" s="1220"/>
      <c r="S135" s="1220"/>
      <c r="T135" s="1220"/>
      <c r="U135" s="1220"/>
      <c r="V135" s="1220"/>
      <c r="W135" s="1220"/>
      <c r="X135" s="1220"/>
      <c r="Y135" s="1220"/>
      <c r="Z135" s="1220"/>
      <c r="AA135" s="1220"/>
      <c r="AB135" s="1220"/>
      <c r="AC135" s="1220"/>
      <c r="AD135" s="1220"/>
      <c r="AE135" s="1220"/>
      <c r="AF135" s="1220"/>
      <c r="AG135" s="1220"/>
      <c r="AH135" s="1220"/>
      <c r="AI135" s="1220"/>
      <c r="AJ135" s="1220"/>
      <c r="AK135" s="1220"/>
      <c r="AL135" s="1220"/>
      <c r="AM135" s="1220"/>
      <c r="AN135" s="1220"/>
      <c r="AO135" s="1220"/>
      <c r="AP135" s="1220"/>
      <c r="AQ135" s="1220"/>
      <c r="AR135" s="1220"/>
      <c r="AS135" s="1220"/>
      <c r="AT135" s="1220"/>
      <c r="AU135" s="1220"/>
      <c r="AV135" s="1220"/>
      <c r="AW135" s="1220"/>
      <c r="AX135" s="1220"/>
      <c r="AY135" s="1220"/>
      <c r="AZ135" s="1220"/>
      <c r="BA135" s="1220"/>
      <c r="BB135" s="1220"/>
      <c r="BC135" s="1220"/>
      <c r="BD135" s="1220"/>
      <c r="BE135" s="1220"/>
      <c r="BF135" s="1220"/>
      <c r="BG135" s="1220"/>
      <c r="BH135" s="1220"/>
      <c r="BI135" s="1220"/>
      <c r="BJ135" s="1220"/>
      <c r="BK135" s="1220"/>
      <c r="BL135" s="1220"/>
      <c r="BM135" s="1220"/>
      <c r="BN135" s="1220"/>
      <c r="BO135" s="1220"/>
      <c r="BP135" s="1220"/>
      <c r="BQ135" s="1220"/>
      <c r="BR135" s="1220"/>
      <c r="BS135" s="1220"/>
      <c r="BT135" s="1220"/>
      <c r="BU135" s="1220"/>
      <c r="BV135" s="1220"/>
      <c r="BW135" s="1220"/>
      <c r="BX135" s="1220"/>
      <c r="BY135" s="1220"/>
      <c r="BZ135" s="1220"/>
      <c r="CA135" s="1220"/>
      <c r="CB135" s="1220"/>
      <c r="CC135" s="1220"/>
      <c r="CD135" s="1220"/>
      <c r="CE135" s="1220"/>
      <c r="CF135" s="1220"/>
      <c r="CG135" s="1220"/>
      <c r="CH135" s="1220"/>
      <c r="CI135" s="1220"/>
      <c r="CJ135" s="1220"/>
      <c r="CK135" s="1220"/>
      <c r="CL135" s="1220"/>
      <c r="CM135" s="1220"/>
      <c r="CN135" s="1220"/>
      <c r="CO135" s="1220"/>
      <c r="CP135" s="1220"/>
      <c r="CQ135" s="1220"/>
      <c r="CR135" s="1220"/>
      <c r="CS135" s="1220"/>
      <c r="CT135" s="1220"/>
      <c r="CU135" s="1220"/>
      <c r="CV135" s="1220"/>
      <c r="CW135" s="1220"/>
      <c r="CX135" s="1220"/>
      <c r="CY135" s="1220"/>
      <c r="CZ135" s="1220"/>
      <c r="DA135" s="1220"/>
      <c r="DB135" s="1220"/>
      <c r="DC135" s="1220"/>
      <c r="DD135" s="1220"/>
      <c r="DE135" s="1220"/>
      <c r="DF135" s="101"/>
      <c r="DG135" s="101"/>
      <c r="DH135" s="101"/>
      <c r="DI135" s="101"/>
      <c r="DJ135" s="101"/>
      <c r="DK135" s="101"/>
      <c r="DL135" s="101"/>
      <c r="DM135" s="101"/>
      <c r="DN135" s="101"/>
      <c r="DO135" s="101"/>
      <c r="DP135" s="101"/>
      <c r="DQ135" s="101"/>
      <c r="DR135" s="101"/>
      <c r="DS135" s="101"/>
      <c r="DT135" s="101"/>
      <c r="DU135" s="101"/>
      <c r="DV135" s="101"/>
      <c r="DW135" s="101"/>
      <c r="DX135" s="101"/>
      <c r="DY135" s="101"/>
      <c r="DZ135" s="101"/>
      <c r="EA135" s="101"/>
      <c r="EB135" s="101"/>
      <c r="EC135" s="101"/>
      <c r="ED135" s="101"/>
      <c r="EE135" s="101"/>
      <c r="EF135" s="101"/>
      <c r="EG135" s="101"/>
      <c r="EH135" s="101"/>
      <c r="EI135" s="101"/>
      <c r="EJ135" s="101"/>
      <c r="EK135" s="101"/>
      <c r="EL135" s="101"/>
    </row>
    <row r="136" spans="1:148" x14ac:dyDescent="0.3">
      <c r="A136" s="1214" t="s">
        <v>2251</v>
      </c>
      <c r="H136" s="1215">
        <v>25842129.925000012</v>
      </c>
      <c r="L136" s="1220"/>
      <c r="M136" s="1220"/>
      <c r="N136" s="1220"/>
      <c r="O136" s="1220"/>
      <c r="P136" s="1220"/>
      <c r="Q136" s="1220"/>
      <c r="R136" s="1220"/>
      <c r="S136" s="1220"/>
      <c r="T136" s="1220"/>
      <c r="U136" s="1220"/>
      <c r="V136" s="1220"/>
      <c r="W136" s="1220"/>
      <c r="X136" s="1220"/>
      <c r="Y136" s="1220"/>
      <c r="Z136" s="1220"/>
      <c r="AA136" s="1220"/>
      <c r="AB136" s="1220"/>
      <c r="AC136" s="1220"/>
      <c r="AD136" s="1220"/>
      <c r="AE136" s="1220"/>
      <c r="AF136" s="1220"/>
      <c r="AG136" s="1220"/>
      <c r="AH136" s="1220"/>
      <c r="AI136" s="1220"/>
      <c r="AJ136" s="1220"/>
      <c r="AK136" s="1220"/>
      <c r="AL136" s="1220"/>
      <c r="AM136" s="1220"/>
      <c r="AN136" s="1220"/>
      <c r="AO136" s="1220"/>
      <c r="AP136" s="1220"/>
      <c r="AQ136" s="1220"/>
      <c r="AR136" s="1220"/>
      <c r="AS136" s="1220"/>
      <c r="AT136" s="1220"/>
      <c r="AU136" s="1220"/>
      <c r="AV136" s="1220"/>
      <c r="AW136" s="1220"/>
      <c r="AX136" s="1220"/>
      <c r="AY136" s="1220"/>
      <c r="AZ136" s="1220"/>
      <c r="BA136" s="1220"/>
      <c r="BB136" s="1220"/>
      <c r="BC136" s="1220"/>
      <c r="BD136" s="1220"/>
      <c r="BE136" s="1220"/>
      <c r="BF136" s="1220"/>
      <c r="BG136" s="1220"/>
      <c r="BH136" s="1220"/>
      <c r="BI136" s="1220">
        <f t="shared" ref="BI136:CN136" si="82">-$H136/84</f>
        <v>-307644.40386904776</v>
      </c>
      <c r="BJ136" s="1220">
        <f t="shared" si="82"/>
        <v>-307644.40386904776</v>
      </c>
      <c r="BK136" s="1220">
        <f t="shared" si="82"/>
        <v>-307644.40386904776</v>
      </c>
      <c r="BL136" s="1220">
        <f t="shared" si="82"/>
        <v>-307644.40386904776</v>
      </c>
      <c r="BM136" s="1220">
        <f t="shared" si="82"/>
        <v>-307644.40386904776</v>
      </c>
      <c r="BN136" s="1220">
        <f t="shared" si="82"/>
        <v>-307644.40386904776</v>
      </c>
      <c r="BO136" s="1220">
        <f t="shared" si="82"/>
        <v>-307644.40386904776</v>
      </c>
      <c r="BP136" s="1220">
        <f t="shared" si="82"/>
        <v>-307644.40386904776</v>
      </c>
      <c r="BQ136" s="1220">
        <f t="shared" si="82"/>
        <v>-307644.40386904776</v>
      </c>
      <c r="BR136" s="1220">
        <f t="shared" si="82"/>
        <v>-307644.40386904776</v>
      </c>
      <c r="BS136" s="1220">
        <f t="shared" si="82"/>
        <v>-307644.40386904776</v>
      </c>
      <c r="BT136" s="1220">
        <f t="shared" si="82"/>
        <v>-307644.40386904776</v>
      </c>
      <c r="BU136" s="1220">
        <f t="shared" si="82"/>
        <v>-307644.40386904776</v>
      </c>
      <c r="BV136" s="1220">
        <f t="shared" si="82"/>
        <v>-307644.40386904776</v>
      </c>
      <c r="BW136" s="1220">
        <f t="shared" si="82"/>
        <v>-307644.40386904776</v>
      </c>
      <c r="BX136" s="1220">
        <f t="shared" si="82"/>
        <v>-307644.40386904776</v>
      </c>
      <c r="BY136" s="1220">
        <f t="shared" si="82"/>
        <v>-307644.40386904776</v>
      </c>
      <c r="BZ136" s="1220">
        <f t="shared" si="82"/>
        <v>-307644.40386904776</v>
      </c>
      <c r="CA136" s="1220">
        <f t="shared" si="82"/>
        <v>-307644.40386904776</v>
      </c>
      <c r="CB136" s="1220">
        <f t="shared" si="82"/>
        <v>-307644.40386904776</v>
      </c>
      <c r="CC136" s="1220">
        <f t="shared" si="82"/>
        <v>-307644.40386904776</v>
      </c>
      <c r="CD136" s="1220">
        <f t="shared" si="82"/>
        <v>-307644.40386904776</v>
      </c>
      <c r="CE136" s="1220">
        <f t="shared" si="82"/>
        <v>-307644.40386904776</v>
      </c>
      <c r="CF136" s="1220">
        <f t="shared" si="82"/>
        <v>-307644.40386904776</v>
      </c>
      <c r="CG136" s="1220">
        <f t="shared" si="82"/>
        <v>-307644.40386904776</v>
      </c>
      <c r="CH136" s="1220">
        <f t="shared" si="82"/>
        <v>-307644.40386904776</v>
      </c>
      <c r="CI136" s="1220">
        <f t="shared" si="82"/>
        <v>-307644.40386904776</v>
      </c>
      <c r="CJ136" s="1220">
        <f t="shared" si="82"/>
        <v>-307644.40386904776</v>
      </c>
      <c r="CK136" s="1220">
        <f t="shared" si="82"/>
        <v>-307644.40386904776</v>
      </c>
      <c r="CL136" s="1220">
        <f t="shared" si="82"/>
        <v>-307644.40386904776</v>
      </c>
      <c r="CM136" s="1220">
        <f t="shared" si="82"/>
        <v>-307644.40386904776</v>
      </c>
      <c r="CN136" s="1220">
        <f t="shared" si="82"/>
        <v>-307644.40386904776</v>
      </c>
      <c r="CO136" s="1220">
        <f t="shared" ref="CO136:DE136" si="83">-$H136/84</f>
        <v>-307644.40386904776</v>
      </c>
      <c r="CP136" s="1220">
        <f t="shared" si="83"/>
        <v>-307644.40386904776</v>
      </c>
      <c r="CQ136" s="1220">
        <f t="shared" si="83"/>
        <v>-307644.40386904776</v>
      </c>
      <c r="CR136" s="1220">
        <f t="shared" si="83"/>
        <v>-307644.40386904776</v>
      </c>
      <c r="CS136" s="1220">
        <f t="shared" si="83"/>
        <v>-307644.40386904776</v>
      </c>
      <c r="CT136" s="1220">
        <f t="shared" si="83"/>
        <v>-307644.40386904776</v>
      </c>
      <c r="CU136" s="1220">
        <f t="shared" si="83"/>
        <v>-307644.40386904776</v>
      </c>
      <c r="CV136" s="1220">
        <f t="shared" si="83"/>
        <v>-307644.40386904776</v>
      </c>
      <c r="CW136" s="1220">
        <f t="shared" si="83"/>
        <v>-307644.40386904776</v>
      </c>
      <c r="CX136" s="1220">
        <f t="shared" si="83"/>
        <v>-307644.40386904776</v>
      </c>
      <c r="CY136" s="1220">
        <f t="shared" si="83"/>
        <v>-307644.40386904776</v>
      </c>
      <c r="CZ136" s="1220">
        <f t="shared" si="83"/>
        <v>-307644.40386904776</v>
      </c>
      <c r="DA136" s="1220">
        <f t="shared" si="83"/>
        <v>-307644.40386904776</v>
      </c>
      <c r="DB136" s="1220">
        <f t="shared" si="83"/>
        <v>-307644.40386904776</v>
      </c>
      <c r="DC136" s="1220">
        <f t="shared" si="83"/>
        <v>-307644.40386904776</v>
      </c>
      <c r="DD136" s="1220">
        <f t="shared" si="83"/>
        <v>-307644.40386904776</v>
      </c>
      <c r="DE136" s="1220">
        <f t="shared" si="83"/>
        <v>-307644.40386904776</v>
      </c>
      <c r="DF136" s="101"/>
      <c r="DG136" s="101"/>
      <c r="DH136" s="101"/>
      <c r="DI136" s="101"/>
      <c r="DJ136" s="101"/>
      <c r="DK136" s="101"/>
      <c r="DL136" s="101"/>
      <c r="DM136" s="101"/>
      <c r="DN136" s="101"/>
      <c r="DO136" s="101"/>
      <c r="DP136" s="101"/>
      <c r="DQ136" s="101"/>
      <c r="DR136" s="101"/>
      <c r="DS136" s="101"/>
      <c r="DT136" s="101"/>
      <c r="DU136" s="101"/>
      <c r="DV136" s="101"/>
      <c r="DW136" s="101"/>
      <c r="DX136" s="101"/>
      <c r="DY136" s="101"/>
      <c r="DZ136" s="101"/>
      <c r="EA136" s="101"/>
      <c r="EB136" s="101"/>
      <c r="EC136" s="101"/>
      <c r="ED136" s="101"/>
      <c r="EE136" s="101"/>
      <c r="EF136" s="101"/>
      <c r="EG136" s="101"/>
      <c r="EH136" s="101"/>
      <c r="EI136" s="101"/>
      <c r="EJ136" s="101"/>
      <c r="EK136" s="101"/>
      <c r="EL136" s="101"/>
      <c r="EM136" s="101"/>
      <c r="EN136" s="101"/>
    </row>
    <row r="137" spans="1:148" x14ac:dyDescent="0.3">
      <c r="A137" s="1214"/>
      <c r="H137" s="1215"/>
      <c r="L137" s="1220"/>
      <c r="M137" s="1220"/>
      <c r="N137" s="1220"/>
      <c r="O137" s="1220"/>
      <c r="P137" s="1220"/>
      <c r="Q137" s="1220"/>
      <c r="R137" s="1220"/>
      <c r="S137" s="1220"/>
      <c r="T137" s="1220"/>
      <c r="U137" s="1220"/>
      <c r="V137" s="1220"/>
      <c r="W137" s="1220"/>
      <c r="X137" s="1220"/>
      <c r="Y137" s="1220"/>
      <c r="Z137" s="1220"/>
      <c r="AA137" s="1220"/>
      <c r="AB137" s="1220"/>
      <c r="AC137" s="1220"/>
      <c r="AD137" s="1220"/>
      <c r="AE137" s="1220"/>
      <c r="AF137" s="1220"/>
      <c r="AG137" s="1220"/>
      <c r="AH137" s="1220"/>
      <c r="AI137" s="1220"/>
      <c r="AJ137" s="1220"/>
      <c r="AK137" s="1220"/>
      <c r="AL137" s="1220"/>
      <c r="AM137" s="1220"/>
      <c r="AN137" s="1220"/>
      <c r="AO137" s="1220"/>
      <c r="AP137" s="1220"/>
      <c r="AQ137" s="1220"/>
      <c r="AR137" s="1220"/>
      <c r="AS137" s="1220"/>
      <c r="AT137" s="1220"/>
      <c r="AU137" s="1220"/>
      <c r="AV137" s="1220"/>
      <c r="AW137" s="1220"/>
      <c r="AX137" s="1220"/>
      <c r="AY137" s="1220"/>
      <c r="AZ137" s="1220"/>
      <c r="BA137" s="1220"/>
      <c r="BB137" s="1220"/>
      <c r="BC137" s="1220"/>
      <c r="BD137" s="1220"/>
      <c r="BE137" s="1220"/>
      <c r="BF137" s="1220"/>
      <c r="BG137" s="1220"/>
      <c r="BH137" s="1220"/>
      <c r="BI137" s="1220"/>
      <c r="BJ137" s="1220"/>
      <c r="BK137" s="1220"/>
      <c r="BL137" s="1220"/>
      <c r="BM137" s="1220"/>
      <c r="BN137" s="1220"/>
      <c r="BO137" s="1220"/>
      <c r="BP137" s="1220"/>
      <c r="BQ137" s="1220"/>
      <c r="BR137" s="1220"/>
      <c r="BS137" s="1220"/>
      <c r="BT137" s="1220"/>
      <c r="BU137" s="1220"/>
      <c r="BV137" s="1220"/>
      <c r="BW137" s="1220"/>
      <c r="BX137" s="1220"/>
      <c r="BY137" s="1220"/>
      <c r="BZ137" s="1220"/>
      <c r="CA137" s="1220"/>
      <c r="CB137" s="1220"/>
      <c r="CC137" s="1220"/>
      <c r="CD137" s="1220"/>
      <c r="CE137" s="1220"/>
      <c r="CF137" s="1220"/>
      <c r="CG137" s="1220"/>
      <c r="CH137" s="1220"/>
      <c r="CI137" s="1220"/>
      <c r="CJ137" s="1220"/>
      <c r="CK137" s="1220"/>
      <c r="CL137" s="1220"/>
      <c r="CM137" s="1220"/>
      <c r="CN137" s="1220"/>
      <c r="CO137" s="1220"/>
      <c r="CP137" s="1220"/>
      <c r="CQ137" s="1220"/>
      <c r="CR137" s="1220"/>
      <c r="CS137" s="1220"/>
      <c r="CT137" s="1220"/>
      <c r="CU137" s="1220"/>
      <c r="CV137" s="1220"/>
      <c r="CW137" s="1220"/>
      <c r="CX137" s="1220"/>
      <c r="CY137" s="1220"/>
      <c r="CZ137" s="1220"/>
      <c r="DA137" s="1220"/>
      <c r="DB137" s="1220"/>
      <c r="DC137" s="1220"/>
      <c r="DD137" s="1220"/>
      <c r="DE137" s="1220"/>
      <c r="DF137" s="101"/>
      <c r="DG137" s="101"/>
      <c r="DH137" s="101"/>
      <c r="DI137" s="101"/>
      <c r="DJ137" s="101"/>
      <c r="DK137" s="101"/>
      <c r="DL137" s="101"/>
      <c r="DM137" s="101"/>
      <c r="DN137" s="101"/>
      <c r="DO137" s="101"/>
      <c r="DP137" s="101"/>
      <c r="DQ137" s="101"/>
      <c r="DR137" s="101"/>
      <c r="DS137" s="101"/>
      <c r="DT137" s="101"/>
      <c r="DU137" s="101"/>
      <c r="DV137" s="101"/>
      <c r="DW137" s="101"/>
      <c r="DX137" s="101"/>
      <c r="DY137" s="101"/>
      <c r="DZ137" s="101"/>
      <c r="EA137" s="101"/>
      <c r="EB137" s="101"/>
      <c r="EC137" s="101"/>
      <c r="ED137" s="101"/>
      <c r="EE137" s="101"/>
      <c r="EF137" s="101"/>
      <c r="EG137" s="101"/>
      <c r="EH137" s="101"/>
      <c r="EI137" s="101"/>
      <c r="EJ137" s="101"/>
      <c r="EK137" s="101"/>
      <c r="EL137" s="101"/>
    </row>
    <row r="138" spans="1:148" x14ac:dyDescent="0.3">
      <c r="A138" s="1214" t="s">
        <v>2252</v>
      </c>
      <c r="H138" s="1215">
        <v>25842129.925000012</v>
      </c>
      <c r="L138" s="1220"/>
      <c r="M138" s="1220"/>
      <c r="N138" s="1220"/>
      <c r="O138" s="1220"/>
      <c r="P138" s="1220"/>
      <c r="Q138" s="1220"/>
      <c r="R138" s="1220"/>
      <c r="S138" s="1220"/>
      <c r="T138" s="1220"/>
      <c r="U138" s="1220"/>
      <c r="V138" s="1220"/>
      <c r="W138" s="1220"/>
      <c r="X138" s="1220"/>
      <c r="Y138" s="1220"/>
      <c r="Z138" s="1220"/>
      <c r="AA138" s="1220"/>
      <c r="AB138" s="1220"/>
      <c r="AC138" s="1220"/>
      <c r="AD138" s="1220"/>
      <c r="AE138" s="1220"/>
      <c r="AF138" s="1220"/>
      <c r="AG138" s="1220"/>
      <c r="AH138" s="1220"/>
      <c r="AI138" s="1220"/>
      <c r="AJ138" s="1220"/>
      <c r="AK138" s="1220"/>
      <c r="AL138" s="1220"/>
      <c r="AM138" s="1220"/>
      <c r="AN138" s="1220"/>
      <c r="AO138" s="1220"/>
      <c r="AP138" s="1220"/>
      <c r="AQ138" s="1220"/>
      <c r="AR138" s="1220"/>
      <c r="AS138" s="1220"/>
      <c r="AT138" s="1220"/>
      <c r="AU138" s="1220"/>
      <c r="AV138" s="1220"/>
      <c r="AW138" s="1220"/>
      <c r="AX138" s="1220"/>
      <c r="AY138" s="1220"/>
      <c r="AZ138" s="1220"/>
      <c r="BA138" s="1220"/>
      <c r="BB138" s="1220"/>
      <c r="BC138" s="1220"/>
      <c r="BD138" s="1220"/>
      <c r="BE138" s="1220"/>
      <c r="BF138" s="1220"/>
      <c r="BG138" s="1220"/>
      <c r="BH138" s="1220"/>
      <c r="BI138" s="1220"/>
      <c r="BJ138" s="1220">
        <f t="shared" ref="BJ138:CO138" si="84">-$H138/84</f>
        <v>-307644.40386904776</v>
      </c>
      <c r="BK138" s="1220">
        <f t="shared" si="84"/>
        <v>-307644.40386904776</v>
      </c>
      <c r="BL138" s="1220">
        <f t="shared" si="84"/>
        <v>-307644.40386904776</v>
      </c>
      <c r="BM138" s="1220">
        <f t="shared" si="84"/>
        <v>-307644.40386904776</v>
      </c>
      <c r="BN138" s="1220">
        <f t="shared" si="84"/>
        <v>-307644.40386904776</v>
      </c>
      <c r="BO138" s="1220">
        <f t="shared" si="84"/>
        <v>-307644.40386904776</v>
      </c>
      <c r="BP138" s="1220">
        <f t="shared" si="84"/>
        <v>-307644.40386904776</v>
      </c>
      <c r="BQ138" s="1220">
        <f t="shared" si="84"/>
        <v>-307644.40386904776</v>
      </c>
      <c r="BR138" s="1220">
        <f t="shared" si="84"/>
        <v>-307644.40386904776</v>
      </c>
      <c r="BS138" s="1220">
        <f t="shared" si="84"/>
        <v>-307644.40386904776</v>
      </c>
      <c r="BT138" s="1220">
        <f t="shared" si="84"/>
        <v>-307644.40386904776</v>
      </c>
      <c r="BU138" s="1220">
        <f t="shared" si="84"/>
        <v>-307644.40386904776</v>
      </c>
      <c r="BV138" s="1220">
        <f t="shared" si="84"/>
        <v>-307644.40386904776</v>
      </c>
      <c r="BW138" s="1220">
        <f t="shared" si="84"/>
        <v>-307644.40386904776</v>
      </c>
      <c r="BX138" s="1220">
        <f t="shared" si="84"/>
        <v>-307644.40386904776</v>
      </c>
      <c r="BY138" s="1220">
        <f t="shared" si="84"/>
        <v>-307644.40386904776</v>
      </c>
      <c r="BZ138" s="1220">
        <f t="shared" si="84"/>
        <v>-307644.40386904776</v>
      </c>
      <c r="CA138" s="1220">
        <f t="shared" si="84"/>
        <v>-307644.40386904776</v>
      </c>
      <c r="CB138" s="1220">
        <f t="shared" si="84"/>
        <v>-307644.40386904776</v>
      </c>
      <c r="CC138" s="1220">
        <f t="shared" si="84"/>
        <v>-307644.40386904776</v>
      </c>
      <c r="CD138" s="1220">
        <f t="shared" si="84"/>
        <v>-307644.40386904776</v>
      </c>
      <c r="CE138" s="1220">
        <f t="shared" si="84"/>
        <v>-307644.40386904776</v>
      </c>
      <c r="CF138" s="1220">
        <f t="shared" si="84"/>
        <v>-307644.40386904776</v>
      </c>
      <c r="CG138" s="1220">
        <f t="shared" si="84"/>
        <v>-307644.40386904776</v>
      </c>
      <c r="CH138" s="1220">
        <f t="shared" si="84"/>
        <v>-307644.40386904776</v>
      </c>
      <c r="CI138" s="1220">
        <f t="shared" si="84"/>
        <v>-307644.40386904776</v>
      </c>
      <c r="CJ138" s="1220">
        <f t="shared" si="84"/>
        <v>-307644.40386904776</v>
      </c>
      <c r="CK138" s="1220">
        <f t="shared" si="84"/>
        <v>-307644.40386904776</v>
      </c>
      <c r="CL138" s="1220">
        <f t="shared" si="84"/>
        <v>-307644.40386904776</v>
      </c>
      <c r="CM138" s="1220">
        <f t="shared" si="84"/>
        <v>-307644.40386904776</v>
      </c>
      <c r="CN138" s="1220">
        <f t="shared" si="84"/>
        <v>-307644.40386904776</v>
      </c>
      <c r="CO138" s="1220">
        <f t="shared" si="84"/>
        <v>-307644.40386904776</v>
      </c>
      <c r="CP138" s="1220">
        <f t="shared" ref="CP138:DE138" si="85">-$H138/84</f>
        <v>-307644.40386904776</v>
      </c>
      <c r="CQ138" s="1220">
        <f t="shared" si="85"/>
        <v>-307644.40386904776</v>
      </c>
      <c r="CR138" s="1220">
        <f t="shared" si="85"/>
        <v>-307644.40386904776</v>
      </c>
      <c r="CS138" s="1220">
        <f t="shared" si="85"/>
        <v>-307644.40386904776</v>
      </c>
      <c r="CT138" s="1220">
        <f t="shared" si="85"/>
        <v>-307644.40386904776</v>
      </c>
      <c r="CU138" s="1220">
        <f t="shared" si="85"/>
        <v>-307644.40386904776</v>
      </c>
      <c r="CV138" s="1220">
        <f t="shared" si="85"/>
        <v>-307644.40386904776</v>
      </c>
      <c r="CW138" s="1220">
        <f t="shared" si="85"/>
        <v>-307644.40386904776</v>
      </c>
      <c r="CX138" s="1220">
        <f t="shared" si="85"/>
        <v>-307644.40386904776</v>
      </c>
      <c r="CY138" s="1220">
        <f t="shared" si="85"/>
        <v>-307644.40386904776</v>
      </c>
      <c r="CZ138" s="1220">
        <f t="shared" si="85"/>
        <v>-307644.40386904776</v>
      </c>
      <c r="DA138" s="1220">
        <f t="shared" si="85"/>
        <v>-307644.40386904776</v>
      </c>
      <c r="DB138" s="1220">
        <f t="shared" si="85"/>
        <v>-307644.40386904776</v>
      </c>
      <c r="DC138" s="1220">
        <f t="shared" si="85"/>
        <v>-307644.40386904776</v>
      </c>
      <c r="DD138" s="1220">
        <f t="shared" si="85"/>
        <v>-307644.40386904776</v>
      </c>
      <c r="DE138" s="1220">
        <f t="shared" si="85"/>
        <v>-307644.40386904776</v>
      </c>
      <c r="DF138" s="101"/>
      <c r="DG138" s="101"/>
      <c r="DH138" s="101"/>
      <c r="DI138" s="101"/>
      <c r="DJ138" s="101"/>
      <c r="DK138" s="101"/>
      <c r="DL138" s="101"/>
      <c r="DM138" s="101"/>
      <c r="DN138" s="101"/>
      <c r="DO138" s="101"/>
      <c r="DP138" s="101"/>
      <c r="DQ138" s="101"/>
      <c r="DR138" s="101"/>
      <c r="DS138" s="101"/>
      <c r="DT138" s="101"/>
      <c r="DU138" s="101"/>
      <c r="DV138" s="101"/>
      <c r="DW138" s="101"/>
      <c r="DX138" s="101"/>
      <c r="DY138" s="101"/>
      <c r="DZ138" s="101"/>
      <c r="EA138" s="101"/>
      <c r="EB138" s="101"/>
      <c r="EC138" s="101"/>
      <c r="ED138" s="101"/>
      <c r="EE138" s="101"/>
      <c r="EF138" s="101"/>
      <c r="EG138" s="101"/>
      <c r="EH138" s="101"/>
      <c r="EI138" s="101"/>
      <c r="EJ138" s="101"/>
      <c r="EK138" s="101"/>
      <c r="EL138" s="101"/>
      <c r="EM138" s="101"/>
      <c r="EN138" s="101"/>
      <c r="EO138" s="101"/>
    </row>
    <row r="139" spans="1:148" x14ac:dyDescent="0.3">
      <c r="A139" s="1214"/>
      <c r="H139" s="1215"/>
      <c r="L139" s="1220"/>
      <c r="M139" s="1220"/>
      <c r="N139" s="1220"/>
      <c r="O139" s="1220"/>
      <c r="P139" s="1220"/>
      <c r="Q139" s="1220"/>
      <c r="R139" s="1220"/>
      <c r="S139" s="1220"/>
      <c r="T139" s="1220"/>
      <c r="U139" s="1220"/>
      <c r="V139" s="1220"/>
      <c r="W139" s="1220"/>
      <c r="X139" s="1220"/>
      <c r="Y139" s="1220"/>
      <c r="Z139" s="1220"/>
      <c r="AA139" s="1220"/>
      <c r="AB139" s="1220"/>
      <c r="AC139" s="1220"/>
      <c r="AD139" s="1220"/>
      <c r="AE139" s="1220"/>
      <c r="AF139" s="1220"/>
      <c r="AG139" s="1220"/>
      <c r="AH139" s="1220"/>
      <c r="AI139" s="1220"/>
      <c r="AJ139" s="1220"/>
      <c r="AK139" s="1220"/>
      <c r="AL139" s="1220"/>
      <c r="AM139" s="1220"/>
      <c r="AN139" s="1220"/>
      <c r="AO139" s="1220"/>
      <c r="AP139" s="1220"/>
      <c r="AQ139" s="1220"/>
      <c r="AR139" s="1220"/>
      <c r="AS139" s="1220"/>
      <c r="AT139" s="1220"/>
      <c r="AU139" s="1220"/>
      <c r="AV139" s="1220"/>
      <c r="AW139" s="1220"/>
      <c r="AX139" s="1220"/>
      <c r="AY139" s="1220"/>
      <c r="AZ139" s="1220"/>
      <c r="BA139" s="1220"/>
      <c r="BB139" s="1220"/>
      <c r="BC139" s="1220"/>
      <c r="BD139" s="1220"/>
      <c r="BE139" s="1220"/>
      <c r="BF139" s="1220"/>
      <c r="BG139" s="1220"/>
      <c r="BH139" s="1220"/>
      <c r="BI139" s="1220"/>
      <c r="BJ139" s="1220"/>
      <c r="BK139" s="1220">
        <f>-$H139/84</f>
        <v>0</v>
      </c>
      <c r="BL139" s="1220"/>
      <c r="BM139" s="1220"/>
      <c r="BN139" s="1220"/>
      <c r="BO139" s="1220"/>
      <c r="BP139" s="1220"/>
      <c r="BQ139" s="1220"/>
      <c r="BR139" s="1220"/>
      <c r="BS139" s="1220"/>
      <c r="BT139" s="1220"/>
      <c r="BU139" s="1220"/>
      <c r="BV139" s="1220"/>
      <c r="BW139" s="1220"/>
      <c r="BX139" s="1220"/>
      <c r="BY139" s="1220"/>
      <c r="BZ139" s="1220"/>
      <c r="CA139" s="1220"/>
      <c r="CB139" s="1220"/>
      <c r="CC139" s="1220"/>
      <c r="CD139" s="1220"/>
      <c r="CE139" s="1220"/>
      <c r="CF139" s="1220"/>
      <c r="CG139" s="1220"/>
      <c r="CH139" s="1220"/>
      <c r="CI139" s="1220"/>
      <c r="CJ139" s="1220"/>
      <c r="CK139" s="1220"/>
      <c r="CL139" s="1220"/>
      <c r="CM139" s="1220"/>
      <c r="CN139" s="1220"/>
      <c r="CO139" s="1220"/>
      <c r="CP139" s="1220"/>
      <c r="CQ139" s="1220"/>
      <c r="CR139" s="1220"/>
      <c r="CS139" s="1220"/>
      <c r="CT139" s="1220"/>
      <c r="CU139" s="1220"/>
      <c r="CV139" s="1220"/>
      <c r="CW139" s="1220"/>
      <c r="CX139" s="1220"/>
      <c r="CY139" s="1220"/>
      <c r="CZ139" s="1220"/>
      <c r="DA139" s="1220"/>
      <c r="DB139" s="1220"/>
      <c r="DC139" s="1220"/>
      <c r="DD139" s="1220"/>
      <c r="DE139" s="1220"/>
      <c r="DF139" s="101"/>
      <c r="DG139" s="101"/>
      <c r="DH139" s="101"/>
      <c r="DI139" s="101"/>
      <c r="DJ139" s="101"/>
      <c r="DK139" s="101"/>
      <c r="DL139" s="101"/>
      <c r="DM139" s="101"/>
      <c r="DN139" s="101"/>
      <c r="DO139" s="101"/>
      <c r="DP139" s="101"/>
      <c r="DQ139" s="101"/>
      <c r="DR139" s="101"/>
      <c r="DS139" s="101"/>
      <c r="DT139" s="101"/>
      <c r="DU139" s="101"/>
      <c r="DV139" s="101"/>
      <c r="DW139" s="101"/>
      <c r="DX139" s="101"/>
      <c r="DY139" s="101"/>
      <c r="DZ139" s="101"/>
      <c r="EA139" s="101"/>
      <c r="EB139" s="101"/>
      <c r="EC139" s="101"/>
      <c r="ED139" s="101"/>
      <c r="EE139" s="101"/>
      <c r="EF139" s="101"/>
      <c r="EG139" s="101"/>
      <c r="EH139" s="101"/>
      <c r="EI139" s="101"/>
    </row>
    <row r="140" spans="1:148" x14ac:dyDescent="0.3">
      <c r="A140" s="1214" t="s">
        <v>2258</v>
      </c>
      <c r="H140" s="1215">
        <v>25842129.925000012</v>
      </c>
      <c r="L140" s="1220"/>
      <c r="M140" s="1220"/>
      <c r="N140" s="1220"/>
      <c r="O140" s="1220"/>
      <c r="P140" s="1220"/>
      <c r="Q140" s="1220"/>
      <c r="R140" s="1220"/>
      <c r="S140" s="1220"/>
      <c r="T140" s="1220"/>
      <c r="U140" s="1220"/>
      <c r="V140" s="1220"/>
      <c r="W140" s="1220"/>
      <c r="X140" s="1220"/>
      <c r="Y140" s="1220"/>
      <c r="Z140" s="1220"/>
      <c r="AA140" s="1220"/>
      <c r="AB140" s="1220"/>
      <c r="AC140" s="1220"/>
      <c r="AD140" s="1220"/>
      <c r="AE140" s="1220"/>
      <c r="AF140" s="1220"/>
      <c r="AG140" s="1220"/>
      <c r="AH140" s="1220"/>
      <c r="AI140" s="1220"/>
      <c r="AJ140" s="1220"/>
      <c r="AK140" s="1220"/>
      <c r="AL140" s="1220"/>
      <c r="AM140" s="1220"/>
      <c r="AN140" s="1220"/>
      <c r="AO140" s="1220"/>
      <c r="AP140" s="1220"/>
      <c r="AQ140" s="1220"/>
      <c r="AR140" s="1220"/>
      <c r="AS140" s="1220"/>
      <c r="AT140" s="1220"/>
      <c r="AU140" s="1220"/>
      <c r="AV140" s="1220"/>
      <c r="AW140" s="1220"/>
      <c r="AX140" s="1220"/>
      <c r="AY140" s="1220"/>
      <c r="AZ140" s="1220"/>
      <c r="BA140" s="1220"/>
      <c r="BB140" s="1220"/>
      <c r="BC140" s="1220"/>
      <c r="BD140" s="1220"/>
      <c r="BE140" s="1220"/>
      <c r="BF140" s="1220"/>
      <c r="BG140" s="1220"/>
      <c r="BH140" s="1220"/>
      <c r="BI140" s="1220"/>
      <c r="BJ140" s="1220"/>
      <c r="BK140" s="1220">
        <f>-$H140/84</f>
        <v>-307644.40386904776</v>
      </c>
      <c r="BL140" s="1220">
        <f t="shared" ref="BL140:DE140" si="86">-$H140/84</f>
        <v>-307644.40386904776</v>
      </c>
      <c r="BM140" s="1220">
        <f t="shared" si="86"/>
        <v>-307644.40386904776</v>
      </c>
      <c r="BN140" s="1220">
        <f t="shared" si="86"/>
        <v>-307644.40386904776</v>
      </c>
      <c r="BO140" s="1220">
        <f t="shared" si="86"/>
        <v>-307644.40386904776</v>
      </c>
      <c r="BP140" s="1220">
        <f t="shared" si="86"/>
        <v>-307644.40386904776</v>
      </c>
      <c r="BQ140" s="1220">
        <f t="shared" si="86"/>
        <v>-307644.40386904776</v>
      </c>
      <c r="BR140" s="1220">
        <f t="shared" si="86"/>
        <v>-307644.40386904776</v>
      </c>
      <c r="BS140" s="1220">
        <f t="shared" si="86"/>
        <v>-307644.40386904776</v>
      </c>
      <c r="BT140" s="1220">
        <f t="shared" si="86"/>
        <v>-307644.40386904776</v>
      </c>
      <c r="BU140" s="1220">
        <f t="shared" si="86"/>
        <v>-307644.40386904776</v>
      </c>
      <c r="BV140" s="1220">
        <f t="shared" si="86"/>
        <v>-307644.40386904776</v>
      </c>
      <c r="BW140" s="1220">
        <f t="shared" si="86"/>
        <v>-307644.40386904776</v>
      </c>
      <c r="BX140" s="1220">
        <f t="shared" si="86"/>
        <v>-307644.40386904776</v>
      </c>
      <c r="BY140" s="1220">
        <f t="shared" si="86"/>
        <v>-307644.40386904776</v>
      </c>
      <c r="BZ140" s="1220">
        <f t="shared" si="86"/>
        <v>-307644.40386904776</v>
      </c>
      <c r="CA140" s="1220">
        <f t="shared" si="86"/>
        <v>-307644.40386904776</v>
      </c>
      <c r="CB140" s="1220">
        <f t="shared" si="86"/>
        <v>-307644.40386904776</v>
      </c>
      <c r="CC140" s="1220">
        <f t="shared" si="86"/>
        <v>-307644.40386904776</v>
      </c>
      <c r="CD140" s="1220">
        <f t="shared" si="86"/>
        <v>-307644.40386904776</v>
      </c>
      <c r="CE140" s="1220">
        <f t="shared" si="86"/>
        <v>-307644.40386904776</v>
      </c>
      <c r="CF140" s="1220">
        <f t="shared" si="86"/>
        <v>-307644.40386904776</v>
      </c>
      <c r="CG140" s="1220">
        <f t="shared" si="86"/>
        <v>-307644.40386904776</v>
      </c>
      <c r="CH140" s="1220">
        <f t="shared" si="86"/>
        <v>-307644.40386904776</v>
      </c>
      <c r="CI140" s="1220">
        <f t="shared" si="86"/>
        <v>-307644.40386904776</v>
      </c>
      <c r="CJ140" s="1220">
        <f t="shared" si="86"/>
        <v>-307644.40386904776</v>
      </c>
      <c r="CK140" s="1220">
        <f t="shared" si="86"/>
        <v>-307644.40386904776</v>
      </c>
      <c r="CL140" s="1220">
        <f t="shared" si="86"/>
        <v>-307644.40386904776</v>
      </c>
      <c r="CM140" s="1220">
        <f t="shared" si="86"/>
        <v>-307644.40386904776</v>
      </c>
      <c r="CN140" s="1220">
        <f t="shared" si="86"/>
        <v>-307644.40386904776</v>
      </c>
      <c r="CO140" s="1220">
        <f t="shared" si="86"/>
        <v>-307644.40386904776</v>
      </c>
      <c r="CP140" s="1220">
        <f t="shared" si="86"/>
        <v>-307644.40386904776</v>
      </c>
      <c r="CQ140" s="1220">
        <f t="shared" si="86"/>
        <v>-307644.40386904776</v>
      </c>
      <c r="CR140" s="1220">
        <f t="shared" si="86"/>
        <v>-307644.40386904776</v>
      </c>
      <c r="CS140" s="1220">
        <f t="shared" si="86"/>
        <v>-307644.40386904776</v>
      </c>
      <c r="CT140" s="1220">
        <f t="shared" si="86"/>
        <v>-307644.40386904776</v>
      </c>
      <c r="CU140" s="1220">
        <f t="shared" si="86"/>
        <v>-307644.40386904776</v>
      </c>
      <c r="CV140" s="1220">
        <f t="shared" si="86"/>
        <v>-307644.40386904776</v>
      </c>
      <c r="CW140" s="1220">
        <f t="shared" si="86"/>
        <v>-307644.40386904776</v>
      </c>
      <c r="CX140" s="1220">
        <f t="shared" si="86"/>
        <v>-307644.40386904776</v>
      </c>
      <c r="CY140" s="1220">
        <f t="shared" si="86"/>
        <v>-307644.40386904776</v>
      </c>
      <c r="CZ140" s="1220">
        <f t="shared" si="86"/>
        <v>-307644.40386904776</v>
      </c>
      <c r="DA140" s="1220">
        <f t="shared" si="86"/>
        <v>-307644.40386904776</v>
      </c>
      <c r="DB140" s="1220">
        <f t="shared" si="86"/>
        <v>-307644.40386904776</v>
      </c>
      <c r="DC140" s="1220">
        <f t="shared" si="86"/>
        <v>-307644.40386904776</v>
      </c>
      <c r="DD140" s="1220">
        <f t="shared" si="86"/>
        <v>-307644.40386904776</v>
      </c>
      <c r="DE140" s="1220">
        <f t="shared" si="86"/>
        <v>-307644.40386904776</v>
      </c>
      <c r="DF140" s="101"/>
      <c r="DG140" s="101"/>
      <c r="DH140" s="101"/>
      <c r="DI140" s="101"/>
      <c r="DJ140" s="101"/>
      <c r="DK140" s="101"/>
      <c r="DL140" s="101"/>
      <c r="DM140" s="101"/>
      <c r="DN140" s="101"/>
      <c r="DO140" s="101"/>
      <c r="DP140" s="101"/>
      <c r="DQ140" s="101"/>
      <c r="DR140" s="101"/>
      <c r="DS140" s="101"/>
      <c r="DT140" s="101"/>
      <c r="DU140" s="101"/>
      <c r="DV140" s="101"/>
      <c r="DW140" s="101"/>
      <c r="DX140" s="101"/>
      <c r="DY140" s="101"/>
      <c r="DZ140" s="101"/>
      <c r="EA140" s="101"/>
      <c r="EB140" s="101"/>
      <c r="EC140" s="101"/>
      <c r="ED140" s="101"/>
      <c r="EE140" s="101"/>
      <c r="EF140" s="101"/>
      <c r="EG140" s="101"/>
      <c r="EH140" s="101"/>
      <c r="EI140" s="101"/>
      <c r="EJ140" s="101"/>
      <c r="EK140" s="101"/>
      <c r="EL140" s="101"/>
      <c r="EM140" s="101"/>
      <c r="EN140" s="101"/>
      <c r="EO140" s="101"/>
      <c r="EP140" s="101"/>
    </row>
    <row r="141" spans="1:148" x14ac:dyDescent="0.3">
      <c r="A141" s="1214"/>
      <c r="H141" s="1215"/>
      <c r="L141" s="1220"/>
      <c r="M141" s="1220"/>
      <c r="N141" s="1220"/>
      <c r="O141" s="1220"/>
      <c r="P141" s="1220"/>
      <c r="Q141" s="1220"/>
      <c r="R141" s="1220"/>
      <c r="S141" s="1220"/>
      <c r="T141" s="1220"/>
      <c r="U141" s="1220"/>
      <c r="V141" s="1220"/>
      <c r="W141" s="1220"/>
      <c r="X141" s="1220"/>
      <c r="Y141" s="1220"/>
      <c r="Z141" s="1220"/>
      <c r="AA141" s="1220"/>
      <c r="AB141" s="1220"/>
      <c r="AC141" s="1220"/>
      <c r="AD141" s="1220"/>
      <c r="AE141" s="1220"/>
      <c r="AF141" s="1220"/>
      <c r="AG141" s="1220"/>
      <c r="AH141" s="1220"/>
      <c r="AI141" s="1220"/>
      <c r="AJ141" s="1220"/>
      <c r="AK141" s="1220"/>
      <c r="AL141" s="1220"/>
      <c r="AM141" s="1220"/>
      <c r="AN141" s="1220"/>
      <c r="AO141" s="1220"/>
      <c r="AP141" s="1220"/>
      <c r="AQ141" s="1220"/>
      <c r="AR141" s="1220"/>
      <c r="AS141" s="1220"/>
      <c r="AT141" s="1220"/>
      <c r="AU141" s="1220"/>
      <c r="AV141" s="1220"/>
      <c r="AW141" s="1220"/>
      <c r="AX141" s="1220"/>
      <c r="AY141" s="1220"/>
      <c r="AZ141" s="1220"/>
      <c r="BA141" s="1220"/>
      <c r="BB141" s="1220"/>
      <c r="BC141" s="1220"/>
      <c r="BD141" s="1220"/>
      <c r="BE141" s="1220"/>
      <c r="BF141" s="1220"/>
      <c r="BG141" s="1220"/>
      <c r="BH141" s="1220"/>
      <c r="BI141" s="1220"/>
      <c r="BJ141" s="1220"/>
      <c r="BK141" s="1220"/>
      <c r="BL141" s="1220">
        <f>-$H141/84</f>
        <v>0</v>
      </c>
      <c r="BM141" s="1220"/>
      <c r="BN141" s="1220"/>
      <c r="BO141" s="1220"/>
      <c r="BP141" s="1220"/>
      <c r="BQ141" s="1220"/>
      <c r="BR141" s="1220"/>
      <c r="BS141" s="1220"/>
      <c r="BT141" s="1220"/>
      <c r="BU141" s="1220"/>
      <c r="BV141" s="1220"/>
      <c r="BW141" s="1220"/>
      <c r="BX141" s="1220"/>
      <c r="BY141" s="1220"/>
      <c r="BZ141" s="1220"/>
      <c r="CA141" s="1220"/>
      <c r="CB141" s="1220"/>
      <c r="CC141" s="1220"/>
      <c r="CD141" s="1220"/>
      <c r="CE141" s="1220"/>
      <c r="CF141" s="1220"/>
      <c r="CG141" s="1220"/>
      <c r="CH141" s="1220"/>
      <c r="CI141" s="1220"/>
      <c r="CJ141" s="1220"/>
      <c r="CK141" s="1220"/>
      <c r="CL141" s="1220"/>
      <c r="CM141" s="1220"/>
      <c r="CN141" s="1220"/>
      <c r="CO141" s="1220"/>
      <c r="CP141" s="1220"/>
      <c r="CQ141" s="1220"/>
      <c r="CR141" s="1220"/>
      <c r="CS141" s="1220"/>
      <c r="CT141" s="1220"/>
      <c r="CU141" s="1220"/>
      <c r="CV141" s="1220"/>
      <c r="CW141" s="1220"/>
      <c r="CX141" s="1220"/>
      <c r="CY141" s="1220"/>
      <c r="CZ141" s="1220"/>
      <c r="DA141" s="1220"/>
      <c r="DB141" s="1220"/>
      <c r="DC141" s="1220"/>
      <c r="DD141" s="1220"/>
      <c r="DE141" s="1220"/>
      <c r="DF141" s="101"/>
      <c r="DG141" s="101"/>
      <c r="DH141" s="101"/>
      <c r="DI141" s="101"/>
      <c r="DJ141" s="101"/>
      <c r="DK141" s="101"/>
      <c r="DL141" s="101"/>
      <c r="DM141" s="101"/>
      <c r="DN141" s="101"/>
      <c r="DO141" s="101"/>
      <c r="DP141" s="101"/>
      <c r="DQ141" s="101"/>
      <c r="DR141" s="101"/>
      <c r="DS141" s="101"/>
      <c r="DT141" s="101"/>
      <c r="DU141" s="101"/>
      <c r="DV141" s="101"/>
      <c r="DW141" s="101"/>
      <c r="DX141" s="101"/>
      <c r="DY141" s="101"/>
      <c r="DZ141" s="101"/>
      <c r="EA141" s="101"/>
      <c r="EB141" s="101"/>
      <c r="EC141" s="101"/>
      <c r="ED141" s="101"/>
      <c r="EE141" s="101"/>
      <c r="EF141" s="101"/>
      <c r="EG141" s="101"/>
      <c r="EH141" s="101"/>
      <c r="EI141" s="101"/>
    </row>
    <row r="142" spans="1:148" x14ac:dyDescent="0.3">
      <c r="A142" s="1214" t="s">
        <v>2259</v>
      </c>
      <c r="H142" s="1215">
        <v>25842129.925000012</v>
      </c>
      <c r="L142" s="1220"/>
      <c r="M142" s="1220"/>
      <c r="N142" s="1220"/>
      <c r="O142" s="1220"/>
      <c r="P142" s="1220"/>
      <c r="Q142" s="1220"/>
      <c r="R142" s="1220"/>
      <c r="S142" s="1220"/>
      <c r="T142" s="1220"/>
      <c r="U142" s="1220"/>
      <c r="V142" s="1220"/>
      <c r="W142" s="1220"/>
      <c r="X142" s="1220"/>
      <c r="Y142" s="1220"/>
      <c r="Z142" s="1220"/>
      <c r="AA142" s="1220"/>
      <c r="AB142" s="1220"/>
      <c r="AC142" s="1220"/>
      <c r="AD142" s="1220"/>
      <c r="AE142" s="1220"/>
      <c r="AF142" s="1220"/>
      <c r="AG142" s="1220"/>
      <c r="AH142" s="1220"/>
      <c r="AI142" s="1220"/>
      <c r="AJ142" s="1220"/>
      <c r="AK142" s="1220"/>
      <c r="AL142" s="1220"/>
      <c r="AM142" s="1220"/>
      <c r="AN142" s="1220"/>
      <c r="AO142" s="1220"/>
      <c r="AP142" s="1220"/>
      <c r="AQ142" s="1220"/>
      <c r="AR142" s="1220"/>
      <c r="AS142" s="1220"/>
      <c r="AT142" s="1220"/>
      <c r="AU142" s="1220"/>
      <c r="AV142" s="1220"/>
      <c r="AW142" s="1220"/>
      <c r="AX142" s="1220"/>
      <c r="AY142" s="1220"/>
      <c r="AZ142" s="1220"/>
      <c r="BA142" s="1220"/>
      <c r="BB142" s="1220"/>
      <c r="BC142" s="1220"/>
      <c r="BD142" s="1220"/>
      <c r="BE142" s="1220"/>
      <c r="BF142" s="1220"/>
      <c r="BG142" s="1220"/>
      <c r="BH142" s="1220"/>
      <c r="BI142" s="1220"/>
      <c r="BJ142" s="1220"/>
      <c r="BK142" s="1220"/>
      <c r="BL142" s="1220">
        <f>-$H142/84</f>
        <v>-307644.40386904776</v>
      </c>
      <c r="BM142" s="1220">
        <f t="shared" ref="BM142:DE142" si="87">-$H142/84</f>
        <v>-307644.40386904776</v>
      </c>
      <c r="BN142" s="1220">
        <f t="shared" si="87"/>
        <v>-307644.40386904776</v>
      </c>
      <c r="BO142" s="1220">
        <f t="shared" si="87"/>
        <v>-307644.40386904776</v>
      </c>
      <c r="BP142" s="1220">
        <f t="shared" si="87"/>
        <v>-307644.40386904776</v>
      </c>
      <c r="BQ142" s="1220">
        <f t="shared" si="87"/>
        <v>-307644.40386904776</v>
      </c>
      <c r="BR142" s="1220">
        <f t="shared" si="87"/>
        <v>-307644.40386904776</v>
      </c>
      <c r="BS142" s="1220">
        <f t="shared" si="87"/>
        <v>-307644.40386904776</v>
      </c>
      <c r="BT142" s="1220">
        <f t="shared" si="87"/>
        <v>-307644.40386904776</v>
      </c>
      <c r="BU142" s="1220">
        <f t="shared" si="87"/>
        <v>-307644.40386904776</v>
      </c>
      <c r="BV142" s="1220">
        <f t="shared" si="87"/>
        <v>-307644.40386904776</v>
      </c>
      <c r="BW142" s="1220">
        <f t="shared" si="87"/>
        <v>-307644.40386904776</v>
      </c>
      <c r="BX142" s="1220">
        <f t="shared" si="87"/>
        <v>-307644.40386904776</v>
      </c>
      <c r="BY142" s="1220">
        <f t="shared" si="87"/>
        <v>-307644.40386904776</v>
      </c>
      <c r="BZ142" s="1220">
        <f t="shared" si="87"/>
        <v>-307644.40386904776</v>
      </c>
      <c r="CA142" s="1220">
        <f t="shared" si="87"/>
        <v>-307644.40386904776</v>
      </c>
      <c r="CB142" s="1220">
        <f t="shared" si="87"/>
        <v>-307644.40386904776</v>
      </c>
      <c r="CC142" s="1220">
        <f t="shared" si="87"/>
        <v>-307644.40386904776</v>
      </c>
      <c r="CD142" s="1220">
        <f t="shared" si="87"/>
        <v>-307644.40386904776</v>
      </c>
      <c r="CE142" s="1220">
        <f t="shared" si="87"/>
        <v>-307644.40386904776</v>
      </c>
      <c r="CF142" s="1220">
        <f t="shared" si="87"/>
        <v>-307644.40386904776</v>
      </c>
      <c r="CG142" s="1220">
        <f t="shared" si="87"/>
        <v>-307644.40386904776</v>
      </c>
      <c r="CH142" s="1220">
        <f t="shared" si="87"/>
        <v>-307644.40386904776</v>
      </c>
      <c r="CI142" s="1220">
        <f t="shared" si="87"/>
        <v>-307644.40386904776</v>
      </c>
      <c r="CJ142" s="1220">
        <f t="shared" si="87"/>
        <v>-307644.40386904776</v>
      </c>
      <c r="CK142" s="1220">
        <f t="shared" si="87"/>
        <v>-307644.40386904776</v>
      </c>
      <c r="CL142" s="1220">
        <f t="shared" si="87"/>
        <v>-307644.40386904776</v>
      </c>
      <c r="CM142" s="1220">
        <f t="shared" si="87"/>
        <v>-307644.40386904776</v>
      </c>
      <c r="CN142" s="1220">
        <f t="shared" si="87"/>
        <v>-307644.40386904776</v>
      </c>
      <c r="CO142" s="1220">
        <f t="shared" si="87"/>
        <v>-307644.40386904776</v>
      </c>
      <c r="CP142" s="1220">
        <f t="shared" si="87"/>
        <v>-307644.40386904776</v>
      </c>
      <c r="CQ142" s="1220">
        <f t="shared" si="87"/>
        <v>-307644.40386904776</v>
      </c>
      <c r="CR142" s="1220">
        <f t="shared" si="87"/>
        <v>-307644.40386904776</v>
      </c>
      <c r="CS142" s="1220">
        <f t="shared" si="87"/>
        <v>-307644.40386904776</v>
      </c>
      <c r="CT142" s="1220">
        <f t="shared" si="87"/>
        <v>-307644.40386904776</v>
      </c>
      <c r="CU142" s="1220">
        <f t="shared" si="87"/>
        <v>-307644.40386904776</v>
      </c>
      <c r="CV142" s="1220">
        <f t="shared" si="87"/>
        <v>-307644.40386904776</v>
      </c>
      <c r="CW142" s="1220">
        <f t="shared" si="87"/>
        <v>-307644.40386904776</v>
      </c>
      <c r="CX142" s="1220">
        <f t="shared" si="87"/>
        <v>-307644.40386904776</v>
      </c>
      <c r="CY142" s="1220">
        <f t="shared" si="87"/>
        <v>-307644.40386904776</v>
      </c>
      <c r="CZ142" s="1220">
        <f t="shared" si="87"/>
        <v>-307644.40386904776</v>
      </c>
      <c r="DA142" s="1220">
        <f t="shared" si="87"/>
        <v>-307644.40386904776</v>
      </c>
      <c r="DB142" s="1220">
        <f t="shared" si="87"/>
        <v>-307644.40386904776</v>
      </c>
      <c r="DC142" s="1220">
        <f t="shared" si="87"/>
        <v>-307644.40386904776</v>
      </c>
      <c r="DD142" s="1220">
        <f t="shared" si="87"/>
        <v>-307644.40386904776</v>
      </c>
      <c r="DE142" s="1220">
        <f t="shared" si="87"/>
        <v>-307644.40386904776</v>
      </c>
      <c r="DF142" s="101"/>
      <c r="DG142" s="101"/>
      <c r="DH142" s="101"/>
      <c r="DI142" s="101"/>
      <c r="DJ142" s="101"/>
      <c r="DK142" s="101"/>
      <c r="DL142" s="101"/>
      <c r="DM142" s="101"/>
      <c r="DN142" s="101"/>
      <c r="DO142" s="101"/>
      <c r="DP142" s="101"/>
      <c r="DQ142" s="101"/>
      <c r="DR142" s="101"/>
      <c r="DS142" s="101"/>
      <c r="DT142" s="101"/>
      <c r="DU142" s="101"/>
      <c r="DV142" s="101"/>
      <c r="DW142" s="101"/>
      <c r="DX142" s="101"/>
      <c r="DY142" s="101"/>
      <c r="DZ142" s="101"/>
      <c r="EA142" s="101"/>
      <c r="EB142" s="101"/>
      <c r="EC142" s="101"/>
      <c r="ED142" s="101"/>
      <c r="EE142" s="101"/>
      <c r="EF142" s="101"/>
      <c r="EG142" s="101"/>
      <c r="EH142" s="101"/>
      <c r="EI142" s="101"/>
      <c r="EJ142" s="101"/>
      <c r="EK142" s="101"/>
      <c r="EL142" s="101"/>
      <c r="EM142" s="101"/>
      <c r="EN142" s="101"/>
      <c r="EO142" s="101"/>
      <c r="EP142" s="101"/>
      <c r="EQ142" s="101"/>
    </row>
    <row r="143" spans="1:148" x14ac:dyDescent="0.3">
      <c r="A143" s="1214"/>
      <c r="H143" s="1215"/>
      <c r="L143" s="1220"/>
      <c r="M143" s="1220"/>
      <c r="N143" s="1220"/>
      <c r="O143" s="1220"/>
      <c r="P143" s="1220"/>
      <c r="Q143" s="1220"/>
      <c r="R143" s="1220"/>
      <c r="S143" s="1220"/>
      <c r="T143" s="1220"/>
      <c r="U143" s="1220"/>
      <c r="V143" s="1220"/>
      <c r="W143" s="1220"/>
      <c r="X143" s="1220"/>
      <c r="Y143" s="1220"/>
      <c r="Z143" s="1220"/>
      <c r="AA143" s="1220"/>
      <c r="AB143" s="1220"/>
      <c r="AC143" s="1220"/>
      <c r="AD143" s="1220"/>
      <c r="AE143" s="1220"/>
      <c r="AF143" s="1220"/>
      <c r="AG143" s="1220"/>
      <c r="AH143" s="1220"/>
      <c r="AI143" s="1220"/>
      <c r="AJ143" s="1220"/>
      <c r="AK143" s="1220"/>
      <c r="AL143" s="1220"/>
      <c r="AM143" s="1220"/>
      <c r="AN143" s="1220"/>
      <c r="AO143" s="1220"/>
      <c r="AP143" s="1220"/>
      <c r="AQ143" s="1220"/>
      <c r="AR143" s="1220"/>
      <c r="AS143" s="1220"/>
      <c r="AT143" s="1220"/>
      <c r="AU143" s="1220"/>
      <c r="AV143" s="1220"/>
      <c r="AW143" s="1220"/>
      <c r="AX143" s="1220"/>
      <c r="AY143" s="1220"/>
      <c r="AZ143" s="1220"/>
      <c r="BA143" s="1220"/>
      <c r="BB143" s="1220"/>
      <c r="BC143" s="1220"/>
      <c r="BD143" s="1220"/>
      <c r="BE143" s="1220"/>
      <c r="BF143" s="1220"/>
      <c r="BG143" s="1220"/>
      <c r="BH143" s="1220"/>
      <c r="BI143" s="1220"/>
      <c r="BJ143" s="1220"/>
      <c r="BK143" s="1220"/>
      <c r="BL143" s="1220"/>
      <c r="BM143" s="1220">
        <f>-$H143/84</f>
        <v>0</v>
      </c>
      <c r="BN143" s="1220"/>
      <c r="BO143" s="1220"/>
      <c r="BP143" s="1220"/>
      <c r="BQ143" s="1220"/>
      <c r="BR143" s="1220"/>
      <c r="BS143" s="1220"/>
      <c r="BT143" s="1220"/>
      <c r="BU143" s="1220"/>
      <c r="BV143" s="1220"/>
      <c r="BW143" s="1220"/>
      <c r="BX143" s="1220"/>
      <c r="BY143" s="1220"/>
      <c r="BZ143" s="1220"/>
      <c r="CA143" s="1220"/>
      <c r="CB143" s="1220"/>
      <c r="CC143" s="1220"/>
      <c r="CD143" s="1220"/>
      <c r="CE143" s="1220"/>
      <c r="CF143" s="1220"/>
      <c r="CG143" s="1220"/>
      <c r="CH143" s="1220"/>
      <c r="CI143" s="1220"/>
      <c r="CJ143" s="1220"/>
      <c r="CK143" s="1220"/>
      <c r="CL143" s="1220"/>
      <c r="CM143" s="1220"/>
      <c r="CN143" s="1220"/>
      <c r="CO143" s="1220"/>
      <c r="CP143" s="1220"/>
      <c r="CQ143" s="1220"/>
      <c r="CR143" s="1220"/>
      <c r="CS143" s="1220"/>
      <c r="CT143" s="1220"/>
      <c r="CU143" s="1220"/>
      <c r="CV143" s="1220"/>
      <c r="CW143" s="1220"/>
      <c r="CX143" s="1220"/>
      <c r="CY143" s="1220"/>
      <c r="CZ143" s="1220"/>
      <c r="DA143" s="1220"/>
      <c r="DB143" s="1220"/>
      <c r="DC143" s="1220"/>
      <c r="DD143" s="1220"/>
      <c r="DE143" s="1220"/>
      <c r="DF143" s="101"/>
      <c r="DG143" s="101"/>
      <c r="DH143" s="101"/>
      <c r="DI143" s="101"/>
      <c r="DJ143" s="101"/>
      <c r="DK143" s="101"/>
      <c r="DL143" s="101"/>
      <c r="DM143" s="101"/>
      <c r="DN143" s="101"/>
      <c r="DO143" s="101"/>
      <c r="DP143" s="101"/>
      <c r="DQ143" s="101"/>
      <c r="DR143" s="101"/>
      <c r="DS143" s="101"/>
      <c r="DT143" s="101"/>
      <c r="DU143" s="101"/>
      <c r="DV143" s="101"/>
      <c r="DW143" s="101"/>
      <c r="DX143" s="101"/>
      <c r="DY143" s="101"/>
      <c r="DZ143" s="101"/>
      <c r="EA143" s="101"/>
      <c r="EB143" s="101"/>
      <c r="EC143" s="101"/>
      <c r="ED143" s="101"/>
      <c r="EE143" s="101"/>
      <c r="EF143" s="101"/>
      <c r="EG143" s="101"/>
      <c r="EH143" s="101"/>
      <c r="EI143" s="101"/>
    </row>
    <row r="144" spans="1:148" x14ac:dyDescent="0.3">
      <c r="A144" s="1214" t="s">
        <v>2260</v>
      </c>
      <c r="H144" s="1215">
        <v>25842129.925000012</v>
      </c>
      <c r="L144" s="1220"/>
      <c r="M144" s="1220"/>
      <c r="N144" s="1220"/>
      <c r="O144" s="1220"/>
      <c r="P144" s="1220"/>
      <c r="Q144" s="1220"/>
      <c r="R144" s="1220"/>
      <c r="S144" s="1220"/>
      <c r="T144" s="1220"/>
      <c r="U144" s="1220"/>
      <c r="V144" s="1220"/>
      <c r="W144" s="1220"/>
      <c r="X144" s="1220"/>
      <c r="Y144" s="1220"/>
      <c r="Z144" s="1220"/>
      <c r="AA144" s="1220"/>
      <c r="AB144" s="1220"/>
      <c r="AC144" s="1220"/>
      <c r="AD144" s="1220"/>
      <c r="AE144" s="1220"/>
      <c r="AF144" s="1220"/>
      <c r="AG144" s="1220"/>
      <c r="AH144" s="1220"/>
      <c r="AI144" s="1220"/>
      <c r="AJ144" s="1220"/>
      <c r="AK144" s="1220"/>
      <c r="AL144" s="1220"/>
      <c r="AM144" s="1220"/>
      <c r="AN144" s="1220"/>
      <c r="AO144" s="1220"/>
      <c r="AP144" s="1220"/>
      <c r="AQ144" s="1220"/>
      <c r="AR144" s="1220"/>
      <c r="AS144" s="1220"/>
      <c r="AT144" s="1220"/>
      <c r="AU144" s="1220"/>
      <c r="AV144" s="1220"/>
      <c r="AW144" s="1220"/>
      <c r="AX144" s="1220"/>
      <c r="AY144" s="1220"/>
      <c r="AZ144" s="1220"/>
      <c r="BA144" s="1220"/>
      <c r="BB144" s="1220"/>
      <c r="BC144" s="1220"/>
      <c r="BD144" s="1220"/>
      <c r="BE144" s="1220"/>
      <c r="BF144" s="1220"/>
      <c r="BG144" s="1220"/>
      <c r="BH144" s="1220"/>
      <c r="BI144" s="1220"/>
      <c r="BJ144" s="1220"/>
      <c r="BK144" s="1220"/>
      <c r="BL144" s="1220"/>
      <c r="BM144" s="1220">
        <f>-$H144/84</f>
        <v>-307644.40386904776</v>
      </c>
      <c r="BN144" s="1220">
        <f t="shared" ref="BN144:DE144" si="88">-$H144/84</f>
        <v>-307644.40386904776</v>
      </c>
      <c r="BO144" s="1220">
        <f t="shared" si="88"/>
        <v>-307644.40386904776</v>
      </c>
      <c r="BP144" s="1220">
        <f t="shared" si="88"/>
        <v>-307644.40386904776</v>
      </c>
      <c r="BQ144" s="1220">
        <f t="shared" si="88"/>
        <v>-307644.40386904776</v>
      </c>
      <c r="BR144" s="1220">
        <f t="shared" si="88"/>
        <v>-307644.40386904776</v>
      </c>
      <c r="BS144" s="1220">
        <f t="shared" si="88"/>
        <v>-307644.40386904776</v>
      </c>
      <c r="BT144" s="1220">
        <f t="shared" si="88"/>
        <v>-307644.40386904776</v>
      </c>
      <c r="BU144" s="1220">
        <f t="shared" si="88"/>
        <v>-307644.40386904776</v>
      </c>
      <c r="BV144" s="1220">
        <f t="shared" si="88"/>
        <v>-307644.40386904776</v>
      </c>
      <c r="BW144" s="1220">
        <f t="shared" si="88"/>
        <v>-307644.40386904776</v>
      </c>
      <c r="BX144" s="1220">
        <f t="shared" si="88"/>
        <v>-307644.40386904776</v>
      </c>
      <c r="BY144" s="1220">
        <f t="shared" si="88"/>
        <v>-307644.40386904776</v>
      </c>
      <c r="BZ144" s="1220">
        <f t="shared" si="88"/>
        <v>-307644.40386904776</v>
      </c>
      <c r="CA144" s="1220">
        <f t="shared" si="88"/>
        <v>-307644.40386904776</v>
      </c>
      <c r="CB144" s="1220">
        <f t="shared" si="88"/>
        <v>-307644.40386904776</v>
      </c>
      <c r="CC144" s="1220">
        <f t="shared" si="88"/>
        <v>-307644.40386904776</v>
      </c>
      <c r="CD144" s="1220">
        <f t="shared" si="88"/>
        <v>-307644.40386904776</v>
      </c>
      <c r="CE144" s="1220">
        <f t="shared" si="88"/>
        <v>-307644.40386904776</v>
      </c>
      <c r="CF144" s="1220">
        <f t="shared" si="88"/>
        <v>-307644.40386904776</v>
      </c>
      <c r="CG144" s="1220">
        <f t="shared" si="88"/>
        <v>-307644.40386904776</v>
      </c>
      <c r="CH144" s="1220">
        <f t="shared" si="88"/>
        <v>-307644.40386904776</v>
      </c>
      <c r="CI144" s="1220">
        <f t="shared" si="88"/>
        <v>-307644.40386904776</v>
      </c>
      <c r="CJ144" s="1220">
        <f t="shared" si="88"/>
        <v>-307644.40386904776</v>
      </c>
      <c r="CK144" s="1220">
        <f t="shared" si="88"/>
        <v>-307644.40386904776</v>
      </c>
      <c r="CL144" s="1220">
        <f t="shared" si="88"/>
        <v>-307644.40386904776</v>
      </c>
      <c r="CM144" s="1220">
        <f t="shared" si="88"/>
        <v>-307644.40386904776</v>
      </c>
      <c r="CN144" s="1220">
        <f t="shared" si="88"/>
        <v>-307644.40386904776</v>
      </c>
      <c r="CO144" s="1220">
        <f t="shared" si="88"/>
        <v>-307644.40386904776</v>
      </c>
      <c r="CP144" s="1220">
        <f t="shared" si="88"/>
        <v>-307644.40386904776</v>
      </c>
      <c r="CQ144" s="1220">
        <f t="shared" si="88"/>
        <v>-307644.40386904776</v>
      </c>
      <c r="CR144" s="1220">
        <f t="shared" si="88"/>
        <v>-307644.40386904776</v>
      </c>
      <c r="CS144" s="1220">
        <f t="shared" si="88"/>
        <v>-307644.40386904776</v>
      </c>
      <c r="CT144" s="1220">
        <f t="shared" si="88"/>
        <v>-307644.40386904776</v>
      </c>
      <c r="CU144" s="1220">
        <f t="shared" si="88"/>
        <v>-307644.40386904776</v>
      </c>
      <c r="CV144" s="1220">
        <f t="shared" si="88"/>
        <v>-307644.40386904776</v>
      </c>
      <c r="CW144" s="1220">
        <f t="shared" si="88"/>
        <v>-307644.40386904776</v>
      </c>
      <c r="CX144" s="1220">
        <f t="shared" si="88"/>
        <v>-307644.40386904776</v>
      </c>
      <c r="CY144" s="1220">
        <f t="shared" si="88"/>
        <v>-307644.40386904776</v>
      </c>
      <c r="CZ144" s="1220">
        <f t="shared" si="88"/>
        <v>-307644.40386904776</v>
      </c>
      <c r="DA144" s="1220">
        <f t="shared" si="88"/>
        <v>-307644.40386904776</v>
      </c>
      <c r="DB144" s="1220">
        <f t="shared" si="88"/>
        <v>-307644.40386904776</v>
      </c>
      <c r="DC144" s="1220">
        <f t="shared" si="88"/>
        <v>-307644.40386904776</v>
      </c>
      <c r="DD144" s="1220">
        <f t="shared" si="88"/>
        <v>-307644.40386904776</v>
      </c>
      <c r="DE144" s="1220">
        <f t="shared" si="88"/>
        <v>-307644.40386904776</v>
      </c>
      <c r="DF144" s="101"/>
      <c r="DG144" s="101"/>
      <c r="DH144" s="101"/>
      <c r="DI144" s="101"/>
      <c r="DJ144" s="101"/>
      <c r="DK144" s="101"/>
      <c r="DL144" s="101"/>
      <c r="DM144" s="101"/>
      <c r="DN144" s="101"/>
      <c r="DO144" s="101"/>
      <c r="DP144" s="101"/>
      <c r="DQ144" s="101"/>
      <c r="DR144" s="101"/>
      <c r="DS144" s="101"/>
      <c r="DT144" s="101"/>
      <c r="DU144" s="101"/>
      <c r="DV144" s="101"/>
      <c r="DW144" s="101"/>
      <c r="DX144" s="101"/>
      <c r="DY144" s="101"/>
      <c r="DZ144" s="101"/>
      <c r="EA144" s="101"/>
      <c r="EB144" s="101"/>
      <c r="EC144" s="101"/>
      <c r="ED144" s="101"/>
      <c r="EE144" s="101"/>
      <c r="EF144" s="101"/>
      <c r="EG144" s="101"/>
      <c r="EH144" s="101"/>
      <c r="EI144" s="101"/>
      <c r="EJ144" s="101"/>
      <c r="EK144" s="101"/>
      <c r="EL144" s="101"/>
      <c r="EM144" s="101"/>
      <c r="EN144" s="101"/>
      <c r="EO144" s="101"/>
      <c r="EP144" s="101"/>
      <c r="EQ144" s="101"/>
      <c r="ER144" s="101"/>
    </row>
    <row r="145" spans="1:156" x14ac:dyDescent="0.3">
      <c r="A145" s="1214"/>
      <c r="H145" s="1215"/>
      <c r="L145" s="1220"/>
      <c r="M145" s="1220"/>
      <c r="N145" s="1220"/>
      <c r="O145" s="1220"/>
      <c r="P145" s="1220"/>
      <c r="Q145" s="1220"/>
      <c r="R145" s="1220"/>
      <c r="S145" s="1220"/>
      <c r="T145" s="1220"/>
      <c r="U145" s="1220"/>
      <c r="V145" s="1220"/>
      <c r="W145" s="1220"/>
      <c r="X145" s="1220"/>
      <c r="Y145" s="1220"/>
      <c r="Z145" s="1220"/>
      <c r="AA145" s="1220"/>
      <c r="AB145" s="1220"/>
      <c r="AC145" s="1220"/>
      <c r="AD145" s="1220"/>
      <c r="AE145" s="1220"/>
      <c r="AF145" s="1220"/>
      <c r="AG145" s="1220"/>
      <c r="AH145" s="1220"/>
      <c r="AI145" s="1220"/>
      <c r="AJ145" s="1220"/>
      <c r="AK145" s="1220"/>
      <c r="AL145" s="1220"/>
      <c r="AM145" s="1220"/>
      <c r="AN145" s="1220"/>
      <c r="AO145" s="1220"/>
      <c r="AP145" s="1220"/>
      <c r="AQ145" s="1220"/>
      <c r="AR145" s="1220"/>
      <c r="AS145" s="1220"/>
      <c r="AT145" s="1220"/>
      <c r="AU145" s="1220"/>
      <c r="AV145" s="1220"/>
      <c r="AW145" s="1220"/>
      <c r="AX145" s="1220"/>
      <c r="AY145" s="1220"/>
      <c r="AZ145" s="1220"/>
      <c r="BA145" s="1220"/>
      <c r="BB145" s="1220"/>
      <c r="BC145" s="1220"/>
      <c r="BD145" s="1220"/>
      <c r="BE145" s="1220"/>
      <c r="BF145" s="1220"/>
      <c r="BG145" s="1220"/>
      <c r="BH145" s="1220"/>
      <c r="BI145" s="1220"/>
      <c r="BJ145" s="1220"/>
      <c r="BK145" s="1220"/>
      <c r="BL145" s="1220"/>
      <c r="BM145" s="1220"/>
      <c r="BN145" s="1220"/>
      <c r="BO145" s="1220"/>
      <c r="BP145" s="1220"/>
      <c r="BQ145" s="1220"/>
      <c r="BR145" s="1220"/>
      <c r="BS145" s="1220"/>
      <c r="BT145" s="1220"/>
      <c r="BU145" s="1220"/>
      <c r="BV145" s="1220"/>
      <c r="BW145" s="1220"/>
      <c r="BX145" s="1220"/>
      <c r="BY145" s="1220"/>
      <c r="BZ145" s="1220"/>
      <c r="CA145" s="1220"/>
      <c r="CB145" s="1220"/>
      <c r="CC145" s="1220"/>
      <c r="CD145" s="1220"/>
      <c r="CE145" s="1220"/>
      <c r="CF145" s="1220"/>
      <c r="CG145" s="1220"/>
      <c r="CH145" s="1220"/>
      <c r="CI145" s="1220"/>
      <c r="CJ145" s="1220"/>
      <c r="CK145" s="1220"/>
      <c r="CL145" s="1220"/>
      <c r="CM145" s="1220"/>
      <c r="CN145" s="1220"/>
      <c r="CO145" s="1220"/>
      <c r="CP145" s="1220"/>
      <c r="CQ145" s="1220"/>
      <c r="CR145" s="1220"/>
      <c r="CS145" s="1220"/>
      <c r="CT145" s="1220"/>
      <c r="CU145" s="1220"/>
      <c r="CV145" s="1220"/>
      <c r="CW145" s="1220"/>
      <c r="CX145" s="1220"/>
      <c r="CY145" s="1220"/>
      <c r="CZ145" s="1220"/>
      <c r="DA145" s="1220"/>
      <c r="DB145" s="1220"/>
      <c r="DC145" s="1220"/>
      <c r="DD145" s="1220"/>
      <c r="DE145" s="1220"/>
      <c r="DF145" s="101"/>
      <c r="DG145" s="101"/>
      <c r="DH145" s="101"/>
      <c r="DI145" s="101"/>
      <c r="DJ145" s="101"/>
      <c r="DK145" s="101"/>
      <c r="DL145" s="101"/>
      <c r="DM145" s="101"/>
      <c r="DN145" s="101"/>
      <c r="DO145" s="101"/>
      <c r="DP145" s="101"/>
      <c r="DQ145" s="101"/>
      <c r="DR145" s="101"/>
      <c r="DS145" s="101"/>
      <c r="DT145" s="101"/>
      <c r="DU145" s="101"/>
      <c r="DV145" s="101"/>
      <c r="DW145" s="101"/>
      <c r="DX145" s="101"/>
      <c r="DY145" s="101"/>
      <c r="DZ145" s="101"/>
      <c r="EA145" s="101"/>
      <c r="EB145" s="101"/>
      <c r="EC145" s="101"/>
      <c r="ED145" s="101"/>
      <c r="EE145" s="101"/>
      <c r="EF145" s="101"/>
      <c r="EG145" s="101"/>
      <c r="EH145" s="101"/>
      <c r="EI145" s="101"/>
      <c r="EJ145" s="101"/>
      <c r="EK145" s="101"/>
      <c r="EL145" s="101"/>
      <c r="EM145" s="101"/>
      <c r="EN145" s="101"/>
      <c r="EO145" s="101"/>
      <c r="EP145" s="101"/>
      <c r="EQ145" s="101"/>
      <c r="ER145" s="101"/>
    </row>
    <row r="146" spans="1:156" x14ac:dyDescent="0.3">
      <c r="A146" s="1214" t="s">
        <v>2263</v>
      </c>
      <c r="H146" s="1215">
        <v>25842129.925000012</v>
      </c>
      <c r="L146" s="1220"/>
      <c r="M146" s="1220"/>
      <c r="N146" s="1220"/>
      <c r="O146" s="1220"/>
      <c r="P146" s="1220"/>
      <c r="Q146" s="1220"/>
      <c r="R146" s="1220"/>
      <c r="S146" s="1220"/>
      <c r="T146" s="1220"/>
      <c r="U146" s="1220"/>
      <c r="V146" s="1220"/>
      <c r="W146" s="1220"/>
      <c r="X146" s="1220"/>
      <c r="Y146" s="1220"/>
      <c r="Z146" s="1220"/>
      <c r="AA146" s="1220"/>
      <c r="AB146" s="1220"/>
      <c r="AC146" s="1220"/>
      <c r="AD146" s="1220"/>
      <c r="AE146" s="1220"/>
      <c r="AF146" s="1220"/>
      <c r="AG146" s="1220"/>
      <c r="AH146" s="1220"/>
      <c r="AI146" s="1220"/>
      <c r="AJ146" s="1220"/>
      <c r="AK146" s="1220"/>
      <c r="AL146" s="1220"/>
      <c r="AM146" s="1220"/>
      <c r="AN146" s="1220"/>
      <c r="AO146" s="1220"/>
      <c r="AP146" s="1220"/>
      <c r="AQ146" s="1220"/>
      <c r="AR146" s="1220"/>
      <c r="AS146" s="1220"/>
      <c r="AT146" s="1220"/>
      <c r="AU146" s="1220"/>
      <c r="AV146" s="1220"/>
      <c r="AW146" s="1220"/>
      <c r="AX146" s="1220"/>
      <c r="AY146" s="1220"/>
      <c r="AZ146" s="1220"/>
      <c r="BA146" s="1220"/>
      <c r="BB146" s="1220"/>
      <c r="BC146" s="1220"/>
      <c r="BD146" s="1220"/>
      <c r="BE146" s="1220"/>
      <c r="BF146" s="1220"/>
      <c r="BG146" s="1220"/>
      <c r="BH146" s="1220"/>
      <c r="BI146" s="1220"/>
      <c r="BJ146" s="1220"/>
      <c r="BK146" s="1220"/>
      <c r="BL146" s="1220"/>
      <c r="BM146" s="1220"/>
      <c r="BN146" s="1220">
        <f t="shared" ref="BN146:DE146" si="89">-$H146/84</f>
        <v>-307644.40386904776</v>
      </c>
      <c r="BO146" s="1220">
        <f t="shared" si="89"/>
        <v>-307644.40386904776</v>
      </c>
      <c r="BP146" s="1220">
        <f t="shared" si="89"/>
        <v>-307644.40386904776</v>
      </c>
      <c r="BQ146" s="1220">
        <f t="shared" si="89"/>
        <v>-307644.40386904776</v>
      </c>
      <c r="BR146" s="1220">
        <f t="shared" si="89"/>
        <v>-307644.40386904776</v>
      </c>
      <c r="BS146" s="1220">
        <f t="shared" si="89"/>
        <v>-307644.40386904776</v>
      </c>
      <c r="BT146" s="1220">
        <f t="shared" si="89"/>
        <v>-307644.40386904776</v>
      </c>
      <c r="BU146" s="1220">
        <f t="shared" si="89"/>
        <v>-307644.40386904776</v>
      </c>
      <c r="BV146" s="1220">
        <f t="shared" si="89"/>
        <v>-307644.40386904776</v>
      </c>
      <c r="BW146" s="1220">
        <f t="shared" si="89"/>
        <v>-307644.40386904776</v>
      </c>
      <c r="BX146" s="1220">
        <f t="shared" si="89"/>
        <v>-307644.40386904776</v>
      </c>
      <c r="BY146" s="1220">
        <f t="shared" si="89"/>
        <v>-307644.40386904776</v>
      </c>
      <c r="BZ146" s="1220">
        <f t="shared" si="89"/>
        <v>-307644.40386904776</v>
      </c>
      <c r="CA146" s="1220">
        <f t="shared" si="89"/>
        <v>-307644.40386904776</v>
      </c>
      <c r="CB146" s="1220">
        <f t="shared" si="89"/>
        <v>-307644.40386904776</v>
      </c>
      <c r="CC146" s="1220">
        <f t="shared" si="89"/>
        <v>-307644.40386904776</v>
      </c>
      <c r="CD146" s="1220">
        <f t="shared" si="89"/>
        <v>-307644.40386904776</v>
      </c>
      <c r="CE146" s="1220">
        <f t="shared" si="89"/>
        <v>-307644.40386904776</v>
      </c>
      <c r="CF146" s="1220">
        <f t="shared" si="89"/>
        <v>-307644.40386904776</v>
      </c>
      <c r="CG146" s="1220">
        <f t="shared" si="89"/>
        <v>-307644.40386904776</v>
      </c>
      <c r="CH146" s="1220">
        <f t="shared" si="89"/>
        <v>-307644.40386904776</v>
      </c>
      <c r="CI146" s="1220">
        <f t="shared" si="89"/>
        <v>-307644.40386904776</v>
      </c>
      <c r="CJ146" s="1220">
        <f t="shared" si="89"/>
        <v>-307644.40386904776</v>
      </c>
      <c r="CK146" s="1220">
        <f t="shared" si="89"/>
        <v>-307644.40386904776</v>
      </c>
      <c r="CL146" s="1220">
        <f t="shared" si="89"/>
        <v>-307644.40386904776</v>
      </c>
      <c r="CM146" s="1220">
        <f t="shared" si="89"/>
        <v>-307644.40386904776</v>
      </c>
      <c r="CN146" s="1220">
        <f t="shared" si="89"/>
        <v>-307644.40386904776</v>
      </c>
      <c r="CO146" s="1220">
        <f t="shared" si="89"/>
        <v>-307644.40386904776</v>
      </c>
      <c r="CP146" s="1220">
        <f t="shared" si="89"/>
        <v>-307644.40386904776</v>
      </c>
      <c r="CQ146" s="1220">
        <f t="shared" si="89"/>
        <v>-307644.40386904776</v>
      </c>
      <c r="CR146" s="1220">
        <f t="shared" si="89"/>
        <v>-307644.40386904776</v>
      </c>
      <c r="CS146" s="1220">
        <f t="shared" si="89"/>
        <v>-307644.40386904776</v>
      </c>
      <c r="CT146" s="1220">
        <f t="shared" si="89"/>
        <v>-307644.40386904776</v>
      </c>
      <c r="CU146" s="1220">
        <f t="shared" si="89"/>
        <v>-307644.40386904776</v>
      </c>
      <c r="CV146" s="1220">
        <f t="shared" si="89"/>
        <v>-307644.40386904776</v>
      </c>
      <c r="CW146" s="1220">
        <f t="shared" si="89"/>
        <v>-307644.40386904776</v>
      </c>
      <c r="CX146" s="1220">
        <f t="shared" si="89"/>
        <v>-307644.40386904776</v>
      </c>
      <c r="CY146" s="1220">
        <f t="shared" si="89"/>
        <v>-307644.40386904776</v>
      </c>
      <c r="CZ146" s="1220">
        <f t="shared" si="89"/>
        <v>-307644.40386904776</v>
      </c>
      <c r="DA146" s="1220">
        <f t="shared" si="89"/>
        <v>-307644.40386904776</v>
      </c>
      <c r="DB146" s="1220">
        <f t="shared" si="89"/>
        <v>-307644.40386904776</v>
      </c>
      <c r="DC146" s="1220">
        <f t="shared" si="89"/>
        <v>-307644.40386904776</v>
      </c>
      <c r="DD146" s="1220">
        <f t="shared" si="89"/>
        <v>-307644.40386904776</v>
      </c>
      <c r="DE146" s="1220">
        <f t="shared" si="89"/>
        <v>-307644.40386904776</v>
      </c>
      <c r="DF146" s="101"/>
      <c r="DG146" s="101"/>
      <c r="DH146" s="101"/>
      <c r="DI146" s="101"/>
      <c r="DJ146" s="101"/>
      <c r="DK146" s="101"/>
      <c r="DL146" s="101"/>
      <c r="DM146" s="101"/>
      <c r="DN146" s="101"/>
      <c r="DO146" s="101"/>
      <c r="DP146" s="101"/>
      <c r="DQ146" s="101"/>
      <c r="DR146" s="101"/>
      <c r="DS146" s="101"/>
      <c r="DT146" s="101"/>
      <c r="DU146" s="101"/>
      <c r="DV146" s="101"/>
      <c r="DW146" s="101"/>
      <c r="DX146" s="101"/>
      <c r="DY146" s="101"/>
      <c r="DZ146" s="101"/>
      <c r="EA146" s="101"/>
      <c r="EB146" s="101"/>
      <c r="EC146" s="101"/>
      <c r="ED146" s="101"/>
      <c r="EE146" s="101"/>
      <c r="EF146" s="101"/>
      <c r="EG146" s="101"/>
      <c r="EH146" s="101"/>
      <c r="EI146" s="101"/>
      <c r="EJ146" s="101"/>
      <c r="EK146" s="101"/>
      <c r="EL146" s="101"/>
      <c r="EM146" s="101"/>
      <c r="EN146" s="101"/>
      <c r="EO146" s="101"/>
      <c r="EP146" s="101"/>
      <c r="EQ146" s="101"/>
      <c r="ER146" s="101"/>
      <c r="ES146" s="101"/>
    </row>
    <row r="147" spans="1:156" x14ac:dyDescent="0.3">
      <c r="A147" s="1214"/>
      <c r="H147" s="1215"/>
      <c r="L147" s="1220"/>
      <c r="M147" s="1220"/>
      <c r="N147" s="1220"/>
      <c r="O147" s="1220"/>
      <c r="P147" s="1220"/>
      <c r="Q147" s="1220"/>
      <c r="R147" s="1220"/>
      <c r="S147" s="1220"/>
      <c r="T147" s="1220"/>
      <c r="U147" s="1220"/>
      <c r="V147" s="1220"/>
      <c r="W147" s="1220"/>
      <c r="X147" s="1220"/>
      <c r="Y147" s="1220"/>
      <c r="Z147" s="1220"/>
      <c r="AA147" s="1220"/>
      <c r="AB147" s="1220"/>
      <c r="AC147" s="1220"/>
      <c r="AD147" s="1220"/>
      <c r="AE147" s="1220"/>
      <c r="AF147" s="1220"/>
      <c r="AG147" s="1220"/>
      <c r="AH147" s="1220"/>
      <c r="AI147" s="1220"/>
      <c r="AJ147" s="1220"/>
      <c r="AK147" s="1220"/>
      <c r="AL147" s="1220"/>
      <c r="AM147" s="1220"/>
      <c r="AN147" s="1220"/>
      <c r="AO147" s="1220"/>
      <c r="AP147" s="1220"/>
      <c r="AQ147" s="1220"/>
      <c r="AR147" s="1220"/>
      <c r="AS147" s="1220"/>
      <c r="AT147" s="1220"/>
      <c r="AU147" s="1220"/>
      <c r="AV147" s="1220"/>
      <c r="AW147" s="1220"/>
      <c r="AX147" s="1220"/>
      <c r="AY147" s="1220"/>
      <c r="AZ147" s="1220"/>
      <c r="BA147" s="1220"/>
      <c r="BB147" s="1220"/>
      <c r="BC147" s="1220"/>
      <c r="BD147" s="1220"/>
      <c r="BE147" s="1220"/>
      <c r="BF147" s="1220"/>
      <c r="BG147" s="1220"/>
      <c r="BH147" s="1220"/>
      <c r="BI147" s="1220"/>
      <c r="BJ147" s="1220"/>
      <c r="BK147" s="1220"/>
      <c r="BL147" s="1220"/>
      <c r="BM147" s="1220"/>
      <c r="BN147" s="1220"/>
      <c r="BO147" s="1220">
        <f>-$H147/84</f>
        <v>0</v>
      </c>
      <c r="BP147" s="1220"/>
      <c r="BQ147" s="1220"/>
      <c r="BR147" s="1220"/>
      <c r="BS147" s="1220"/>
      <c r="BT147" s="1220"/>
      <c r="BU147" s="1220"/>
      <c r="BV147" s="1220"/>
      <c r="BW147" s="1220"/>
      <c r="BX147" s="1220"/>
      <c r="BY147" s="1220"/>
      <c r="BZ147" s="1220"/>
      <c r="CA147" s="1220"/>
      <c r="CB147" s="1220"/>
      <c r="CC147" s="1220"/>
      <c r="CD147" s="1220"/>
      <c r="CE147" s="1220"/>
      <c r="CF147" s="1220"/>
      <c r="CG147" s="1220"/>
      <c r="CH147" s="1220"/>
      <c r="CI147" s="1220"/>
      <c r="CJ147" s="1220"/>
      <c r="CK147" s="1220"/>
      <c r="CL147" s="1220"/>
      <c r="CM147" s="1220"/>
      <c r="CN147" s="1220"/>
      <c r="CO147" s="1220"/>
      <c r="CP147" s="1220"/>
      <c r="CQ147" s="1220"/>
      <c r="CR147" s="1220"/>
      <c r="CS147" s="1220"/>
      <c r="CT147" s="1220"/>
      <c r="CU147" s="1220"/>
      <c r="CV147" s="1220"/>
      <c r="CW147" s="1220"/>
      <c r="CX147" s="1220"/>
      <c r="CY147" s="1220"/>
      <c r="CZ147" s="1220"/>
      <c r="DA147" s="1220"/>
      <c r="DB147" s="1220"/>
      <c r="DC147" s="1220"/>
      <c r="DD147" s="1220"/>
      <c r="DE147" s="1220"/>
      <c r="DF147" s="101"/>
      <c r="DG147" s="101"/>
      <c r="DH147" s="101"/>
      <c r="DI147" s="101"/>
      <c r="DJ147" s="101"/>
      <c r="DK147" s="101"/>
      <c r="DL147" s="101"/>
      <c r="DM147" s="101"/>
      <c r="DN147" s="101"/>
      <c r="DO147" s="101"/>
      <c r="DP147" s="101"/>
      <c r="DQ147" s="101"/>
      <c r="DR147" s="101"/>
      <c r="DS147" s="101"/>
      <c r="DT147" s="101"/>
      <c r="DU147" s="101"/>
      <c r="DV147" s="101"/>
      <c r="DW147" s="101"/>
      <c r="DX147" s="101"/>
      <c r="DY147" s="101"/>
      <c r="DZ147" s="101"/>
      <c r="EA147" s="101"/>
      <c r="EB147" s="101"/>
      <c r="EC147" s="101"/>
      <c r="ED147" s="101"/>
      <c r="EE147" s="101"/>
      <c r="EF147" s="101"/>
      <c r="EG147" s="101"/>
      <c r="EH147" s="101"/>
      <c r="EI147" s="101"/>
      <c r="EJ147" s="101"/>
      <c r="EK147" s="101"/>
      <c r="EL147" s="101"/>
      <c r="EM147" s="101"/>
      <c r="EN147" s="101"/>
      <c r="EO147" s="101"/>
      <c r="EP147" s="101"/>
      <c r="EQ147" s="101"/>
      <c r="ER147" s="101"/>
    </row>
    <row r="148" spans="1:156" x14ac:dyDescent="0.3">
      <c r="A148" s="1214" t="s">
        <v>2264</v>
      </c>
      <c r="H148" s="1215">
        <v>25842129.925000012</v>
      </c>
      <c r="L148" s="1220"/>
      <c r="M148" s="1220"/>
      <c r="N148" s="1220"/>
      <c r="O148" s="1220"/>
      <c r="P148" s="1220"/>
      <c r="Q148" s="1220"/>
      <c r="R148" s="1220"/>
      <c r="S148" s="1220"/>
      <c r="T148" s="1220"/>
      <c r="U148" s="1220"/>
      <c r="V148" s="1220"/>
      <c r="W148" s="1220"/>
      <c r="X148" s="1220"/>
      <c r="Y148" s="1220"/>
      <c r="Z148" s="1220"/>
      <c r="AA148" s="1220"/>
      <c r="AB148" s="1220"/>
      <c r="AC148" s="1220"/>
      <c r="AD148" s="1220"/>
      <c r="AE148" s="1220"/>
      <c r="AF148" s="1220"/>
      <c r="AG148" s="1220"/>
      <c r="AH148" s="1220"/>
      <c r="AI148" s="1220"/>
      <c r="AJ148" s="1220"/>
      <c r="AK148" s="1220"/>
      <c r="AL148" s="1220"/>
      <c r="AM148" s="1220"/>
      <c r="AN148" s="1220"/>
      <c r="AO148" s="1220"/>
      <c r="AP148" s="1220"/>
      <c r="AQ148" s="1220"/>
      <c r="AR148" s="1220"/>
      <c r="AS148" s="1220"/>
      <c r="AT148" s="1220"/>
      <c r="AU148" s="1220"/>
      <c r="AV148" s="1220"/>
      <c r="AW148" s="1220"/>
      <c r="AX148" s="1220"/>
      <c r="AY148" s="1220"/>
      <c r="AZ148" s="1220"/>
      <c r="BA148" s="1220"/>
      <c r="BB148" s="1220"/>
      <c r="BC148" s="1220"/>
      <c r="BD148" s="1220"/>
      <c r="BE148" s="1220"/>
      <c r="BF148" s="1220"/>
      <c r="BG148" s="1220"/>
      <c r="BH148" s="1220"/>
      <c r="BI148" s="1220"/>
      <c r="BJ148" s="1220"/>
      <c r="BK148" s="1220"/>
      <c r="BL148" s="1220"/>
      <c r="BM148" s="1220"/>
      <c r="BN148" s="1220"/>
      <c r="BO148" s="1220">
        <f>-$H148/84</f>
        <v>-307644.40386904776</v>
      </c>
      <c r="BP148" s="1220">
        <f t="shared" ref="BP148:DE148" si="90">-$H148/84</f>
        <v>-307644.40386904776</v>
      </c>
      <c r="BQ148" s="1220">
        <f t="shared" si="90"/>
        <v>-307644.40386904776</v>
      </c>
      <c r="BR148" s="1220">
        <f t="shared" si="90"/>
        <v>-307644.40386904776</v>
      </c>
      <c r="BS148" s="1220">
        <f t="shared" si="90"/>
        <v>-307644.40386904776</v>
      </c>
      <c r="BT148" s="1220">
        <f t="shared" si="90"/>
        <v>-307644.40386904776</v>
      </c>
      <c r="BU148" s="1220">
        <f t="shared" si="90"/>
        <v>-307644.40386904776</v>
      </c>
      <c r="BV148" s="1220">
        <f t="shared" si="90"/>
        <v>-307644.40386904776</v>
      </c>
      <c r="BW148" s="1220">
        <f t="shared" si="90"/>
        <v>-307644.40386904776</v>
      </c>
      <c r="BX148" s="1220">
        <f t="shared" si="90"/>
        <v>-307644.40386904776</v>
      </c>
      <c r="BY148" s="1220">
        <f t="shared" si="90"/>
        <v>-307644.40386904776</v>
      </c>
      <c r="BZ148" s="1220">
        <f t="shared" si="90"/>
        <v>-307644.40386904776</v>
      </c>
      <c r="CA148" s="1220">
        <f t="shared" si="90"/>
        <v>-307644.40386904776</v>
      </c>
      <c r="CB148" s="1220">
        <f t="shared" si="90"/>
        <v>-307644.40386904776</v>
      </c>
      <c r="CC148" s="1220">
        <f t="shared" si="90"/>
        <v>-307644.40386904776</v>
      </c>
      <c r="CD148" s="1220">
        <f t="shared" si="90"/>
        <v>-307644.40386904776</v>
      </c>
      <c r="CE148" s="1220">
        <f t="shared" si="90"/>
        <v>-307644.40386904776</v>
      </c>
      <c r="CF148" s="1220">
        <f t="shared" si="90"/>
        <v>-307644.40386904776</v>
      </c>
      <c r="CG148" s="1220">
        <f t="shared" si="90"/>
        <v>-307644.40386904776</v>
      </c>
      <c r="CH148" s="1220">
        <f t="shared" si="90"/>
        <v>-307644.40386904776</v>
      </c>
      <c r="CI148" s="1220">
        <f t="shared" si="90"/>
        <v>-307644.40386904776</v>
      </c>
      <c r="CJ148" s="1220">
        <f t="shared" si="90"/>
        <v>-307644.40386904776</v>
      </c>
      <c r="CK148" s="1220">
        <f t="shared" si="90"/>
        <v>-307644.40386904776</v>
      </c>
      <c r="CL148" s="1220">
        <f t="shared" si="90"/>
        <v>-307644.40386904776</v>
      </c>
      <c r="CM148" s="1220">
        <f t="shared" si="90"/>
        <v>-307644.40386904776</v>
      </c>
      <c r="CN148" s="1220">
        <f t="shared" si="90"/>
        <v>-307644.40386904776</v>
      </c>
      <c r="CO148" s="1220">
        <f t="shared" si="90"/>
        <v>-307644.40386904776</v>
      </c>
      <c r="CP148" s="1220">
        <f t="shared" si="90"/>
        <v>-307644.40386904776</v>
      </c>
      <c r="CQ148" s="1220">
        <f t="shared" si="90"/>
        <v>-307644.40386904776</v>
      </c>
      <c r="CR148" s="1220">
        <f t="shared" si="90"/>
        <v>-307644.40386904776</v>
      </c>
      <c r="CS148" s="1220">
        <f t="shared" si="90"/>
        <v>-307644.40386904776</v>
      </c>
      <c r="CT148" s="1220">
        <f t="shared" si="90"/>
        <v>-307644.40386904776</v>
      </c>
      <c r="CU148" s="1220">
        <f t="shared" si="90"/>
        <v>-307644.40386904776</v>
      </c>
      <c r="CV148" s="1220">
        <f t="shared" si="90"/>
        <v>-307644.40386904776</v>
      </c>
      <c r="CW148" s="1220">
        <f t="shared" si="90"/>
        <v>-307644.40386904776</v>
      </c>
      <c r="CX148" s="1220">
        <f t="shared" si="90"/>
        <v>-307644.40386904776</v>
      </c>
      <c r="CY148" s="1220">
        <f t="shared" si="90"/>
        <v>-307644.40386904776</v>
      </c>
      <c r="CZ148" s="1220">
        <f t="shared" si="90"/>
        <v>-307644.40386904776</v>
      </c>
      <c r="DA148" s="1220">
        <f t="shared" si="90"/>
        <v>-307644.40386904776</v>
      </c>
      <c r="DB148" s="1220">
        <f t="shared" si="90"/>
        <v>-307644.40386904776</v>
      </c>
      <c r="DC148" s="1220">
        <f t="shared" si="90"/>
        <v>-307644.40386904776</v>
      </c>
      <c r="DD148" s="1220">
        <f t="shared" si="90"/>
        <v>-307644.40386904776</v>
      </c>
      <c r="DE148" s="1220">
        <f t="shared" si="90"/>
        <v>-307644.40386904776</v>
      </c>
      <c r="DF148" s="101"/>
      <c r="DG148" s="101"/>
      <c r="DH148" s="101"/>
      <c r="DI148" s="101"/>
      <c r="DJ148" s="101"/>
      <c r="DK148" s="101"/>
      <c r="DL148" s="101"/>
      <c r="DM148" s="101"/>
      <c r="DN148" s="101"/>
      <c r="DO148" s="101"/>
      <c r="DP148" s="101"/>
      <c r="DQ148" s="101"/>
      <c r="DR148" s="101"/>
      <c r="DS148" s="101"/>
      <c r="DT148" s="101"/>
      <c r="DU148" s="101"/>
      <c r="DV148" s="101"/>
      <c r="DW148" s="101"/>
      <c r="DX148" s="101"/>
      <c r="DY148" s="101"/>
      <c r="DZ148" s="101"/>
      <c r="EA148" s="101"/>
      <c r="EB148" s="101"/>
      <c r="EC148" s="101"/>
      <c r="ED148" s="101"/>
      <c r="EE148" s="101"/>
      <c r="EF148" s="101"/>
      <c r="EG148" s="101"/>
      <c r="EH148" s="101"/>
      <c r="EI148" s="101"/>
      <c r="EJ148" s="101"/>
      <c r="EK148" s="101"/>
      <c r="EL148" s="101"/>
      <c r="EM148" s="101"/>
      <c r="EN148" s="101"/>
      <c r="EO148" s="101"/>
      <c r="EP148" s="101"/>
      <c r="EQ148" s="101"/>
      <c r="ER148" s="101"/>
      <c r="ES148" s="101"/>
      <c r="ET148" s="101"/>
    </row>
    <row r="149" spans="1:156" x14ac:dyDescent="0.3">
      <c r="A149" s="1214"/>
      <c r="H149" s="1215"/>
      <c r="L149" s="1220"/>
      <c r="M149" s="1220"/>
      <c r="N149" s="1220"/>
      <c r="O149" s="1220"/>
      <c r="P149" s="1220"/>
      <c r="Q149" s="1220"/>
      <c r="R149" s="1220"/>
      <c r="S149" s="1220"/>
      <c r="T149" s="1220"/>
      <c r="U149" s="1220"/>
      <c r="V149" s="1220"/>
      <c r="W149" s="1220"/>
      <c r="X149" s="1220"/>
      <c r="Y149" s="1220"/>
      <c r="Z149" s="1220"/>
      <c r="AA149" s="1220"/>
      <c r="AB149" s="1220"/>
      <c r="AC149" s="1220"/>
      <c r="AD149" s="1220"/>
      <c r="AE149" s="1220"/>
      <c r="AF149" s="1220"/>
      <c r="AG149" s="1220"/>
      <c r="AH149" s="1220"/>
      <c r="AI149" s="1220"/>
      <c r="AJ149" s="1220"/>
      <c r="AK149" s="1220"/>
      <c r="AL149" s="1220"/>
      <c r="AM149" s="1220"/>
      <c r="AN149" s="1220"/>
      <c r="AO149" s="1220"/>
      <c r="AP149" s="1220"/>
      <c r="AQ149" s="1220"/>
      <c r="AR149" s="1220"/>
      <c r="AS149" s="1220"/>
      <c r="AT149" s="1220"/>
      <c r="AU149" s="1220"/>
      <c r="AV149" s="1220"/>
      <c r="AW149" s="1220"/>
      <c r="AX149" s="1220"/>
      <c r="AY149" s="1220"/>
      <c r="AZ149" s="1220"/>
      <c r="BA149" s="1220"/>
      <c r="BB149" s="1220"/>
      <c r="BC149" s="1220"/>
      <c r="BD149" s="1220"/>
      <c r="BE149" s="1220"/>
      <c r="BF149" s="1220"/>
      <c r="BG149" s="1220"/>
      <c r="BH149" s="1220"/>
      <c r="BI149" s="1220"/>
      <c r="BJ149" s="1220"/>
      <c r="BK149" s="1220"/>
      <c r="BL149" s="1220"/>
      <c r="BM149" s="1220"/>
      <c r="BN149" s="1220"/>
      <c r="BO149" s="1220"/>
      <c r="BP149" s="1220">
        <f>-$H149/84</f>
        <v>0</v>
      </c>
      <c r="BQ149" s="1220"/>
      <c r="BR149" s="1220"/>
      <c r="BS149" s="1220"/>
      <c r="BT149" s="1220"/>
      <c r="BU149" s="1220"/>
      <c r="BV149" s="1220"/>
      <c r="BW149" s="1220"/>
      <c r="BX149" s="1220"/>
      <c r="BY149" s="1220"/>
      <c r="BZ149" s="1220"/>
      <c r="CA149" s="1220"/>
      <c r="CB149" s="1220"/>
      <c r="CC149" s="1220"/>
      <c r="CD149" s="1220"/>
      <c r="CE149" s="1220"/>
      <c r="CF149" s="1220"/>
      <c r="CG149" s="1220"/>
      <c r="CH149" s="1220"/>
      <c r="CI149" s="1220"/>
      <c r="CJ149" s="1220"/>
      <c r="CK149" s="1220"/>
      <c r="CL149" s="1220"/>
      <c r="CM149" s="1220"/>
      <c r="CN149" s="1220"/>
      <c r="CO149" s="1220"/>
      <c r="CP149" s="1220"/>
      <c r="CQ149" s="1220"/>
      <c r="CR149" s="1220"/>
      <c r="CS149" s="1220"/>
      <c r="CT149" s="1220"/>
      <c r="CU149" s="1220"/>
      <c r="CV149" s="1220"/>
      <c r="CW149" s="1220"/>
      <c r="CX149" s="1220"/>
      <c r="CY149" s="1220"/>
      <c r="CZ149" s="1220"/>
      <c r="DA149" s="1220"/>
      <c r="DB149" s="1220"/>
      <c r="DC149" s="1220"/>
      <c r="DD149" s="1220"/>
      <c r="DE149" s="1220"/>
      <c r="DF149" s="101"/>
      <c r="DG149" s="101"/>
      <c r="DH149" s="101"/>
      <c r="DI149" s="101"/>
      <c r="DJ149" s="101"/>
      <c r="DK149" s="101"/>
      <c r="DL149" s="101"/>
      <c r="DM149" s="101"/>
      <c r="DN149" s="101"/>
      <c r="DO149" s="101"/>
      <c r="DP149" s="101"/>
      <c r="DQ149" s="101"/>
      <c r="DR149" s="101"/>
      <c r="DS149" s="101"/>
      <c r="DT149" s="101"/>
      <c r="DU149" s="101"/>
      <c r="DV149" s="101"/>
      <c r="DW149" s="101"/>
      <c r="DX149" s="101"/>
      <c r="DY149" s="101"/>
      <c r="DZ149" s="101"/>
      <c r="EA149" s="101"/>
      <c r="EB149" s="101"/>
      <c r="EC149" s="101"/>
      <c r="ED149" s="101"/>
      <c r="EE149" s="101"/>
      <c r="EF149" s="101"/>
      <c r="EG149" s="101"/>
      <c r="EH149" s="101"/>
      <c r="EI149" s="101"/>
      <c r="EJ149" s="101"/>
      <c r="EK149" s="101"/>
      <c r="EL149" s="101"/>
      <c r="EM149" s="101"/>
      <c r="EN149" s="101"/>
      <c r="EO149" s="101"/>
      <c r="EP149" s="101"/>
      <c r="EQ149" s="101"/>
      <c r="ER149" s="101"/>
    </row>
    <row r="150" spans="1:156" x14ac:dyDescent="0.3">
      <c r="A150" s="1214" t="s">
        <v>2265</v>
      </c>
      <c r="H150" s="1215">
        <v>25842129.925000012</v>
      </c>
      <c r="L150" s="1220"/>
      <c r="M150" s="1220"/>
      <c r="N150" s="1220"/>
      <c r="O150" s="1220"/>
      <c r="P150" s="1220"/>
      <c r="Q150" s="1220"/>
      <c r="R150" s="1220"/>
      <c r="S150" s="1220"/>
      <c r="T150" s="1220"/>
      <c r="U150" s="1220"/>
      <c r="V150" s="1220"/>
      <c r="W150" s="1220"/>
      <c r="X150" s="1220"/>
      <c r="Y150" s="1220"/>
      <c r="Z150" s="1220"/>
      <c r="AA150" s="1220"/>
      <c r="AB150" s="1220"/>
      <c r="AC150" s="1220"/>
      <c r="AD150" s="1220"/>
      <c r="AE150" s="1220"/>
      <c r="AF150" s="1220"/>
      <c r="AG150" s="1220"/>
      <c r="AH150" s="1220"/>
      <c r="AI150" s="1220"/>
      <c r="AJ150" s="1220"/>
      <c r="AK150" s="1220"/>
      <c r="AL150" s="1220"/>
      <c r="AM150" s="1220"/>
      <c r="AN150" s="1220"/>
      <c r="AO150" s="1220"/>
      <c r="AP150" s="1220"/>
      <c r="AQ150" s="1220"/>
      <c r="AR150" s="1220"/>
      <c r="AS150" s="1220"/>
      <c r="AT150" s="1220"/>
      <c r="AU150" s="1220"/>
      <c r="AV150" s="1220"/>
      <c r="AW150" s="1220"/>
      <c r="AX150" s="1220"/>
      <c r="AY150" s="1220"/>
      <c r="AZ150" s="1220"/>
      <c r="BA150" s="1220"/>
      <c r="BB150" s="1220"/>
      <c r="BC150" s="1220"/>
      <c r="BD150" s="1220"/>
      <c r="BE150" s="1220"/>
      <c r="BF150" s="1220"/>
      <c r="BG150" s="1220"/>
      <c r="BH150" s="1220"/>
      <c r="BI150" s="1220"/>
      <c r="BJ150" s="1220"/>
      <c r="BK150" s="1220"/>
      <c r="BL150" s="1220"/>
      <c r="BM150" s="1220"/>
      <c r="BN150" s="1220"/>
      <c r="BO150" s="1220"/>
      <c r="BP150" s="1220">
        <f>-$H150/84</f>
        <v>-307644.40386904776</v>
      </c>
      <c r="BQ150" s="1220">
        <f>-$H150/84</f>
        <v>-307644.40386904776</v>
      </c>
      <c r="BR150" s="1220">
        <f t="shared" ref="BR150:DE150" si="91">-$H150/84</f>
        <v>-307644.40386904776</v>
      </c>
      <c r="BS150" s="1220">
        <f t="shared" si="91"/>
        <v>-307644.40386904776</v>
      </c>
      <c r="BT150" s="1220">
        <f t="shared" si="91"/>
        <v>-307644.40386904776</v>
      </c>
      <c r="BU150" s="1220">
        <f t="shared" si="91"/>
        <v>-307644.40386904776</v>
      </c>
      <c r="BV150" s="1220">
        <f t="shared" si="91"/>
        <v>-307644.40386904776</v>
      </c>
      <c r="BW150" s="1220">
        <f t="shared" si="91"/>
        <v>-307644.40386904776</v>
      </c>
      <c r="BX150" s="1220">
        <f t="shared" si="91"/>
        <v>-307644.40386904776</v>
      </c>
      <c r="BY150" s="1220">
        <f t="shared" si="91"/>
        <v>-307644.40386904776</v>
      </c>
      <c r="BZ150" s="1220">
        <f t="shared" si="91"/>
        <v>-307644.40386904776</v>
      </c>
      <c r="CA150" s="1220">
        <f t="shared" si="91"/>
        <v>-307644.40386904776</v>
      </c>
      <c r="CB150" s="1220">
        <f t="shared" si="91"/>
        <v>-307644.40386904776</v>
      </c>
      <c r="CC150" s="1220">
        <f t="shared" si="91"/>
        <v>-307644.40386904776</v>
      </c>
      <c r="CD150" s="1220">
        <f t="shared" si="91"/>
        <v>-307644.40386904776</v>
      </c>
      <c r="CE150" s="1220">
        <f t="shared" si="91"/>
        <v>-307644.40386904776</v>
      </c>
      <c r="CF150" s="1220">
        <f t="shared" si="91"/>
        <v>-307644.40386904776</v>
      </c>
      <c r="CG150" s="1220">
        <f t="shared" si="91"/>
        <v>-307644.40386904776</v>
      </c>
      <c r="CH150" s="1220">
        <f t="shared" si="91"/>
        <v>-307644.40386904776</v>
      </c>
      <c r="CI150" s="1220">
        <f t="shared" si="91"/>
        <v>-307644.40386904776</v>
      </c>
      <c r="CJ150" s="1220">
        <f t="shared" si="91"/>
        <v>-307644.40386904776</v>
      </c>
      <c r="CK150" s="1220">
        <f t="shared" si="91"/>
        <v>-307644.40386904776</v>
      </c>
      <c r="CL150" s="1220">
        <f t="shared" si="91"/>
        <v>-307644.40386904776</v>
      </c>
      <c r="CM150" s="1220">
        <f t="shared" si="91"/>
        <v>-307644.40386904776</v>
      </c>
      <c r="CN150" s="1220">
        <f t="shared" si="91"/>
        <v>-307644.40386904776</v>
      </c>
      <c r="CO150" s="1220">
        <f t="shared" si="91"/>
        <v>-307644.40386904776</v>
      </c>
      <c r="CP150" s="1220">
        <f t="shared" si="91"/>
        <v>-307644.40386904776</v>
      </c>
      <c r="CQ150" s="1220">
        <f t="shared" si="91"/>
        <v>-307644.40386904776</v>
      </c>
      <c r="CR150" s="1220">
        <f t="shared" si="91"/>
        <v>-307644.40386904776</v>
      </c>
      <c r="CS150" s="1220">
        <f t="shared" si="91"/>
        <v>-307644.40386904776</v>
      </c>
      <c r="CT150" s="1220">
        <f t="shared" si="91"/>
        <v>-307644.40386904776</v>
      </c>
      <c r="CU150" s="1220">
        <f t="shared" si="91"/>
        <v>-307644.40386904776</v>
      </c>
      <c r="CV150" s="1220">
        <f t="shared" si="91"/>
        <v>-307644.40386904776</v>
      </c>
      <c r="CW150" s="1220">
        <f t="shared" si="91"/>
        <v>-307644.40386904776</v>
      </c>
      <c r="CX150" s="1220">
        <f t="shared" si="91"/>
        <v>-307644.40386904776</v>
      </c>
      <c r="CY150" s="1220">
        <f t="shared" si="91"/>
        <v>-307644.40386904776</v>
      </c>
      <c r="CZ150" s="1220">
        <f t="shared" si="91"/>
        <v>-307644.40386904776</v>
      </c>
      <c r="DA150" s="1220">
        <f t="shared" si="91"/>
        <v>-307644.40386904776</v>
      </c>
      <c r="DB150" s="1220">
        <f t="shared" si="91"/>
        <v>-307644.40386904776</v>
      </c>
      <c r="DC150" s="1220">
        <f t="shared" si="91"/>
        <v>-307644.40386904776</v>
      </c>
      <c r="DD150" s="1220">
        <f t="shared" si="91"/>
        <v>-307644.40386904776</v>
      </c>
      <c r="DE150" s="1220">
        <f t="shared" si="91"/>
        <v>-307644.40386904776</v>
      </c>
      <c r="DF150" s="101"/>
      <c r="DG150" s="101"/>
      <c r="DH150" s="101"/>
      <c r="DI150" s="101"/>
      <c r="DJ150" s="101"/>
      <c r="DK150" s="101"/>
      <c r="DL150" s="101"/>
      <c r="DM150" s="101"/>
      <c r="DN150" s="101"/>
      <c r="DO150" s="101"/>
      <c r="DP150" s="101"/>
      <c r="DQ150" s="101"/>
      <c r="DR150" s="101"/>
      <c r="DS150" s="101"/>
      <c r="DT150" s="101"/>
      <c r="DU150" s="101"/>
      <c r="DV150" s="101"/>
      <c r="DW150" s="101"/>
      <c r="DX150" s="101"/>
      <c r="DY150" s="101"/>
      <c r="DZ150" s="101"/>
      <c r="EA150" s="101"/>
      <c r="EB150" s="101"/>
      <c r="EC150" s="101"/>
      <c r="ED150" s="101"/>
      <c r="EE150" s="101"/>
      <c r="EF150" s="101"/>
      <c r="EG150" s="101"/>
      <c r="EH150" s="101"/>
      <c r="EI150" s="101"/>
      <c r="EJ150" s="101"/>
      <c r="EK150" s="101"/>
      <c r="EL150" s="101"/>
      <c r="EM150" s="101"/>
      <c r="EN150" s="101"/>
      <c r="EO150" s="101"/>
      <c r="EP150" s="101"/>
      <c r="EQ150" s="101"/>
      <c r="ER150" s="101"/>
      <c r="ES150" s="101"/>
      <c r="ET150" s="101"/>
      <c r="EU150" s="101"/>
    </row>
    <row r="151" spans="1:156" x14ac:dyDescent="0.3">
      <c r="A151" s="1214"/>
      <c r="H151" s="1215"/>
      <c r="L151" s="1220"/>
      <c r="M151" s="1220"/>
      <c r="N151" s="1220"/>
      <c r="O151" s="1220"/>
      <c r="P151" s="1220"/>
      <c r="Q151" s="1220"/>
      <c r="R151" s="1220"/>
      <c r="S151" s="1220"/>
      <c r="T151" s="1220"/>
      <c r="U151" s="1220"/>
      <c r="V151" s="1220"/>
      <c r="W151" s="1220"/>
      <c r="X151" s="1220"/>
      <c r="Y151" s="1220"/>
      <c r="Z151" s="1220"/>
      <c r="AA151" s="1220"/>
      <c r="AB151" s="1220"/>
      <c r="AC151" s="1220"/>
      <c r="AD151" s="1220"/>
      <c r="AE151" s="1220"/>
      <c r="AF151" s="1220"/>
      <c r="AG151" s="1220"/>
      <c r="AH151" s="1220"/>
      <c r="AI151" s="1220"/>
      <c r="AJ151" s="1220"/>
      <c r="AK151" s="1220"/>
      <c r="AL151" s="1220"/>
      <c r="AM151" s="1220"/>
      <c r="AN151" s="1220"/>
      <c r="AO151" s="1220"/>
      <c r="AP151" s="1220"/>
      <c r="AQ151" s="1220"/>
      <c r="AR151" s="1220"/>
      <c r="AS151" s="1220"/>
      <c r="AT151" s="1220"/>
      <c r="AU151" s="1220"/>
      <c r="AV151" s="1220"/>
      <c r="AW151" s="1220"/>
      <c r="AX151" s="1220"/>
      <c r="AY151" s="1220"/>
      <c r="AZ151" s="1220"/>
      <c r="BA151" s="1220"/>
      <c r="BB151" s="1220"/>
      <c r="BC151" s="1220"/>
      <c r="BD151" s="1220"/>
      <c r="BE151" s="1220"/>
      <c r="BF151" s="1220"/>
      <c r="BG151" s="1220"/>
      <c r="BH151" s="1220"/>
      <c r="BI151" s="1220"/>
      <c r="BJ151" s="1220"/>
      <c r="BK151" s="1220"/>
      <c r="BL151" s="1220"/>
      <c r="BM151" s="1220"/>
      <c r="BN151" s="1220"/>
      <c r="BO151" s="1220"/>
      <c r="BP151" s="1220"/>
      <c r="BQ151" s="1220">
        <f>-$H151/84</f>
        <v>0</v>
      </c>
      <c r="BR151" s="1220"/>
      <c r="BS151" s="1220"/>
      <c r="BT151" s="1220"/>
      <c r="BU151" s="1220"/>
      <c r="BV151" s="1220"/>
      <c r="BW151" s="1220"/>
      <c r="BX151" s="1220"/>
      <c r="BY151" s="1220"/>
      <c r="BZ151" s="1220"/>
      <c r="CA151" s="1220"/>
      <c r="CB151" s="1220"/>
      <c r="CC151" s="1220"/>
      <c r="CD151" s="1220"/>
      <c r="CE151" s="1220"/>
      <c r="CF151" s="1220"/>
      <c r="CG151" s="1220"/>
      <c r="CH151" s="1220"/>
      <c r="CI151" s="1220"/>
      <c r="CJ151" s="1220"/>
      <c r="CK151" s="1220"/>
      <c r="CL151" s="1220"/>
      <c r="CM151" s="1220"/>
      <c r="CN151" s="1220"/>
      <c r="CO151" s="1220"/>
      <c r="CP151" s="1220"/>
      <c r="CQ151" s="1220"/>
      <c r="CR151" s="1220"/>
      <c r="CS151" s="1220"/>
      <c r="CT151" s="1220"/>
      <c r="CU151" s="1220"/>
      <c r="CV151" s="1220"/>
      <c r="CW151" s="1220"/>
      <c r="CX151" s="1220"/>
      <c r="CY151" s="1220"/>
      <c r="CZ151" s="1220"/>
      <c r="DA151" s="1220"/>
      <c r="DB151" s="1220"/>
      <c r="DC151" s="1220"/>
      <c r="DD151" s="1220"/>
      <c r="DE151" s="1220"/>
      <c r="DF151" s="101"/>
      <c r="DG151" s="101"/>
      <c r="DH151" s="101"/>
      <c r="DI151" s="101"/>
      <c r="DJ151" s="101"/>
      <c r="DK151" s="101"/>
      <c r="DL151" s="101"/>
      <c r="DM151" s="101"/>
      <c r="DN151" s="101"/>
      <c r="DO151" s="101"/>
      <c r="DP151" s="101"/>
      <c r="DQ151" s="101"/>
      <c r="DR151" s="101"/>
      <c r="DS151" s="101"/>
      <c r="DT151" s="101"/>
      <c r="DU151" s="101"/>
      <c r="DV151" s="101"/>
      <c r="DW151" s="101"/>
      <c r="DX151" s="101"/>
      <c r="DY151" s="101"/>
      <c r="DZ151" s="101"/>
      <c r="EA151" s="101"/>
      <c r="EB151" s="101"/>
      <c r="EC151" s="101"/>
      <c r="ED151" s="101"/>
      <c r="EE151" s="101"/>
      <c r="EF151" s="101"/>
      <c r="EG151" s="101"/>
      <c r="EH151" s="101"/>
      <c r="EI151" s="101"/>
      <c r="EJ151" s="101"/>
      <c r="EK151" s="101"/>
      <c r="EL151" s="101"/>
      <c r="EM151" s="101"/>
      <c r="EN151" s="101"/>
      <c r="EO151" s="101"/>
      <c r="EP151" s="101"/>
      <c r="EQ151" s="101"/>
      <c r="ER151" s="101"/>
      <c r="ES151" s="101"/>
      <c r="ET151" s="101"/>
      <c r="EU151" s="101"/>
    </row>
    <row r="152" spans="1:156" x14ac:dyDescent="0.3">
      <c r="A152" s="1214" t="s">
        <v>2313</v>
      </c>
      <c r="H152" s="1215">
        <v>25842129.925000012</v>
      </c>
      <c r="L152" s="1220"/>
      <c r="M152" s="1220"/>
      <c r="N152" s="1220"/>
      <c r="O152" s="1220"/>
      <c r="P152" s="1220"/>
      <c r="Q152" s="1220"/>
      <c r="R152" s="1220"/>
      <c r="S152" s="1220"/>
      <c r="T152" s="1220"/>
      <c r="U152" s="1220"/>
      <c r="V152" s="1220"/>
      <c r="W152" s="1220"/>
      <c r="X152" s="1220"/>
      <c r="Y152" s="1220"/>
      <c r="Z152" s="1220"/>
      <c r="AA152" s="1220"/>
      <c r="AB152" s="1220"/>
      <c r="AC152" s="1220"/>
      <c r="AD152" s="1220"/>
      <c r="AE152" s="1220"/>
      <c r="AF152" s="1220"/>
      <c r="AG152" s="1220"/>
      <c r="AH152" s="1220"/>
      <c r="AI152" s="1220"/>
      <c r="AJ152" s="1220"/>
      <c r="AK152" s="1220"/>
      <c r="AL152" s="1220"/>
      <c r="AM152" s="1220"/>
      <c r="AN152" s="1220"/>
      <c r="AO152" s="1220"/>
      <c r="AP152" s="1220"/>
      <c r="AQ152" s="1220"/>
      <c r="AR152" s="1220"/>
      <c r="AS152" s="1220"/>
      <c r="AT152" s="1220"/>
      <c r="AU152" s="1220"/>
      <c r="AV152" s="1220"/>
      <c r="AW152" s="1220"/>
      <c r="AX152" s="1220"/>
      <c r="AY152" s="1220"/>
      <c r="AZ152" s="1220"/>
      <c r="BA152" s="1220"/>
      <c r="BB152" s="1220"/>
      <c r="BC152" s="1220"/>
      <c r="BD152" s="1220"/>
      <c r="BE152" s="1220"/>
      <c r="BF152" s="1220"/>
      <c r="BG152" s="1220"/>
      <c r="BH152" s="1220"/>
      <c r="BI152" s="1220"/>
      <c r="BJ152" s="1220"/>
      <c r="BK152" s="1220"/>
      <c r="BL152" s="1220"/>
      <c r="BM152" s="1220"/>
      <c r="BN152" s="1220"/>
      <c r="BO152" s="1220"/>
      <c r="BP152" s="1220"/>
      <c r="BQ152" s="1220">
        <f>-$H152/84</f>
        <v>-307644.40386904776</v>
      </c>
      <c r="BR152" s="1220">
        <f t="shared" ref="BR152:CF152" si="92">-$H152/84</f>
        <v>-307644.40386904776</v>
      </c>
      <c r="BS152" s="1220">
        <f t="shared" si="92"/>
        <v>-307644.40386904776</v>
      </c>
      <c r="BT152" s="1220">
        <f t="shared" si="92"/>
        <v>-307644.40386904776</v>
      </c>
      <c r="BU152" s="1220">
        <f t="shared" si="92"/>
        <v>-307644.40386904776</v>
      </c>
      <c r="BV152" s="1220">
        <f t="shared" si="92"/>
        <v>-307644.40386904776</v>
      </c>
      <c r="BW152" s="1220">
        <f t="shared" si="92"/>
        <v>-307644.40386904776</v>
      </c>
      <c r="BX152" s="1220">
        <f t="shared" si="92"/>
        <v>-307644.40386904776</v>
      </c>
      <c r="BY152" s="1220">
        <f t="shared" si="92"/>
        <v>-307644.40386904776</v>
      </c>
      <c r="BZ152" s="1220">
        <f t="shared" si="92"/>
        <v>-307644.40386904776</v>
      </c>
      <c r="CA152" s="1220">
        <f t="shared" si="92"/>
        <v>-307644.40386904776</v>
      </c>
      <c r="CB152" s="1220">
        <f t="shared" si="92"/>
        <v>-307644.40386904776</v>
      </c>
      <c r="CC152" s="1220">
        <f t="shared" si="92"/>
        <v>-307644.40386904776</v>
      </c>
      <c r="CD152" s="1220">
        <f t="shared" si="92"/>
        <v>-307644.40386904776</v>
      </c>
      <c r="CE152" s="1220">
        <f t="shared" si="92"/>
        <v>-307644.40386904776</v>
      </c>
      <c r="CF152" s="1220">
        <f t="shared" si="92"/>
        <v>-307644.40386904776</v>
      </c>
      <c r="CG152" s="1220">
        <f t="shared" ref="CG152:DE152" si="93">-$H152/84</f>
        <v>-307644.40386904776</v>
      </c>
      <c r="CH152" s="1220">
        <f t="shared" si="93"/>
        <v>-307644.40386904776</v>
      </c>
      <c r="CI152" s="1220">
        <f t="shared" si="93"/>
        <v>-307644.40386904776</v>
      </c>
      <c r="CJ152" s="1220">
        <f t="shared" si="93"/>
        <v>-307644.40386904776</v>
      </c>
      <c r="CK152" s="1220">
        <f t="shared" si="93"/>
        <v>-307644.40386904776</v>
      </c>
      <c r="CL152" s="1220">
        <f t="shared" si="93"/>
        <v>-307644.40386904776</v>
      </c>
      <c r="CM152" s="1220">
        <f t="shared" si="93"/>
        <v>-307644.40386904776</v>
      </c>
      <c r="CN152" s="1220">
        <f t="shared" si="93"/>
        <v>-307644.40386904776</v>
      </c>
      <c r="CO152" s="1220">
        <f t="shared" si="93"/>
        <v>-307644.40386904776</v>
      </c>
      <c r="CP152" s="1220">
        <f t="shared" si="93"/>
        <v>-307644.40386904776</v>
      </c>
      <c r="CQ152" s="1220">
        <f t="shared" si="93"/>
        <v>-307644.40386904776</v>
      </c>
      <c r="CR152" s="1220">
        <f t="shared" si="93"/>
        <v>-307644.40386904776</v>
      </c>
      <c r="CS152" s="1220">
        <f t="shared" si="93"/>
        <v>-307644.40386904776</v>
      </c>
      <c r="CT152" s="1220">
        <f t="shared" si="93"/>
        <v>-307644.40386904776</v>
      </c>
      <c r="CU152" s="1220">
        <f t="shared" si="93"/>
        <v>-307644.40386904776</v>
      </c>
      <c r="CV152" s="1220">
        <f t="shared" si="93"/>
        <v>-307644.40386904776</v>
      </c>
      <c r="CW152" s="1220">
        <f t="shared" si="93"/>
        <v>-307644.40386904776</v>
      </c>
      <c r="CX152" s="1220">
        <f t="shared" si="93"/>
        <v>-307644.40386904776</v>
      </c>
      <c r="CY152" s="1220">
        <f t="shared" si="93"/>
        <v>-307644.40386904776</v>
      </c>
      <c r="CZ152" s="1220">
        <f t="shared" si="93"/>
        <v>-307644.40386904776</v>
      </c>
      <c r="DA152" s="1220">
        <f t="shared" si="93"/>
        <v>-307644.40386904776</v>
      </c>
      <c r="DB152" s="1220">
        <f t="shared" si="93"/>
        <v>-307644.40386904776</v>
      </c>
      <c r="DC152" s="1220">
        <f t="shared" si="93"/>
        <v>-307644.40386904776</v>
      </c>
      <c r="DD152" s="1220">
        <f t="shared" si="93"/>
        <v>-307644.40386904776</v>
      </c>
      <c r="DE152" s="1220">
        <f t="shared" si="93"/>
        <v>-307644.40386904776</v>
      </c>
      <c r="DF152" s="101"/>
      <c r="DG152" s="101"/>
      <c r="DH152" s="101"/>
      <c r="DI152" s="101"/>
      <c r="DJ152" s="101"/>
      <c r="DK152" s="101"/>
      <c r="DL152" s="101"/>
      <c r="DM152" s="101"/>
      <c r="DN152" s="101"/>
      <c r="DO152" s="101"/>
      <c r="DP152" s="101"/>
      <c r="DQ152" s="101"/>
      <c r="DR152" s="101"/>
      <c r="DS152" s="101"/>
      <c r="DT152" s="101"/>
      <c r="DU152" s="101"/>
      <c r="DV152" s="101"/>
      <c r="DW152" s="101"/>
      <c r="DX152" s="101"/>
      <c r="DY152" s="101"/>
      <c r="DZ152" s="101"/>
      <c r="EA152" s="101"/>
      <c r="EB152" s="101"/>
      <c r="EC152" s="101"/>
      <c r="ED152" s="101"/>
      <c r="EE152" s="101"/>
      <c r="EF152" s="101"/>
      <c r="EG152" s="101"/>
      <c r="EH152" s="101"/>
      <c r="EI152" s="101"/>
      <c r="EJ152" s="101"/>
      <c r="EK152" s="101"/>
      <c r="EL152" s="101"/>
      <c r="EM152" s="101"/>
      <c r="EN152" s="101"/>
      <c r="EO152" s="101"/>
      <c r="EP152" s="101"/>
      <c r="EQ152" s="101"/>
      <c r="ER152" s="101"/>
      <c r="ES152" s="101"/>
      <c r="ET152" s="101"/>
      <c r="EU152" s="101"/>
      <c r="EV152" s="101"/>
    </row>
    <row r="153" spans="1:156" x14ac:dyDescent="0.3">
      <c r="A153" s="1214"/>
      <c r="H153" s="1215"/>
      <c r="L153" s="1220"/>
      <c r="M153" s="1220"/>
      <c r="N153" s="1220"/>
      <c r="O153" s="1220"/>
      <c r="P153" s="1220"/>
      <c r="Q153" s="1220"/>
      <c r="R153" s="1220"/>
      <c r="S153" s="1220"/>
      <c r="T153" s="1220"/>
      <c r="U153" s="1220"/>
      <c r="V153" s="1220"/>
      <c r="W153" s="1220"/>
      <c r="X153" s="1220"/>
      <c r="Y153" s="1220"/>
      <c r="Z153" s="1220"/>
      <c r="AA153" s="1220"/>
      <c r="AB153" s="1220"/>
      <c r="AC153" s="1220"/>
      <c r="AD153" s="1220"/>
      <c r="AE153" s="1220"/>
      <c r="AF153" s="1220"/>
      <c r="AG153" s="1220"/>
      <c r="AH153" s="1220"/>
      <c r="AI153" s="1220"/>
      <c r="AJ153" s="1220"/>
      <c r="AK153" s="1220"/>
      <c r="AL153" s="1220"/>
      <c r="AM153" s="1220"/>
      <c r="AN153" s="1220"/>
      <c r="AO153" s="1220"/>
      <c r="AP153" s="1220"/>
      <c r="AQ153" s="1220"/>
      <c r="AR153" s="1220"/>
      <c r="AS153" s="1220"/>
      <c r="AT153" s="1220"/>
      <c r="AU153" s="1220"/>
      <c r="AV153" s="1220"/>
      <c r="AW153" s="1220"/>
      <c r="AX153" s="1220"/>
      <c r="AY153" s="1220"/>
      <c r="AZ153" s="1220"/>
      <c r="BA153" s="1220"/>
      <c r="BB153" s="1220"/>
      <c r="BC153" s="1220"/>
      <c r="BD153" s="1220"/>
      <c r="BE153" s="1220"/>
      <c r="BF153" s="1220"/>
      <c r="BG153" s="1220"/>
      <c r="BH153" s="1220"/>
      <c r="BI153" s="1220"/>
      <c r="BJ153" s="1220"/>
      <c r="BK153" s="1220"/>
      <c r="BL153" s="1220"/>
      <c r="BM153" s="1220"/>
      <c r="BN153" s="1220"/>
      <c r="BO153" s="1220"/>
      <c r="BP153" s="1220"/>
      <c r="BQ153" s="1220"/>
      <c r="BR153" s="1220">
        <f>-$H153/84</f>
        <v>0</v>
      </c>
      <c r="BS153" s="1220"/>
      <c r="BT153" s="1220"/>
      <c r="BU153" s="1220"/>
      <c r="BV153" s="1220"/>
      <c r="BW153" s="1220"/>
      <c r="BX153" s="1220"/>
      <c r="BY153" s="1220"/>
      <c r="BZ153" s="1220"/>
      <c r="CA153" s="1220"/>
      <c r="CB153" s="1220"/>
      <c r="CC153" s="1220"/>
      <c r="CD153" s="1220"/>
      <c r="CE153" s="1220"/>
      <c r="CF153" s="1220"/>
      <c r="CG153" s="1220"/>
      <c r="CH153" s="1220"/>
      <c r="CI153" s="1220"/>
      <c r="CJ153" s="1220"/>
      <c r="CK153" s="1220"/>
      <c r="CL153" s="1220"/>
      <c r="CM153" s="1220"/>
      <c r="CN153" s="1220"/>
      <c r="CO153" s="1220"/>
      <c r="CP153" s="1220"/>
      <c r="CQ153" s="1220"/>
      <c r="CR153" s="1220"/>
      <c r="CS153" s="1220"/>
      <c r="CT153" s="1220"/>
      <c r="CU153" s="1220"/>
      <c r="CV153" s="1220"/>
      <c r="CW153" s="1220"/>
      <c r="CX153" s="1220"/>
      <c r="CY153" s="1220"/>
      <c r="CZ153" s="1220"/>
      <c r="DA153" s="1220"/>
      <c r="DB153" s="1220"/>
      <c r="DC153" s="1220"/>
      <c r="DD153" s="1220"/>
      <c r="DE153" s="1220"/>
      <c r="DF153" s="101"/>
      <c r="DG153" s="101"/>
      <c r="DH153" s="101"/>
      <c r="DI153" s="101"/>
      <c r="DJ153" s="101"/>
      <c r="DK153" s="101"/>
      <c r="DL153" s="101"/>
      <c r="DM153" s="101"/>
      <c r="DN153" s="101"/>
      <c r="DO153" s="101"/>
      <c r="DP153" s="101"/>
      <c r="DQ153" s="101"/>
      <c r="DR153" s="101"/>
      <c r="DS153" s="101"/>
      <c r="DT153" s="101"/>
      <c r="DU153" s="101"/>
      <c r="DV153" s="101"/>
      <c r="DW153" s="101"/>
      <c r="DX153" s="101"/>
      <c r="DY153" s="101"/>
      <c r="DZ153" s="101"/>
      <c r="EA153" s="101"/>
      <c r="EB153" s="101"/>
      <c r="EC153" s="101"/>
      <c r="ED153" s="101"/>
      <c r="EE153" s="101"/>
      <c r="EF153" s="101"/>
      <c r="EG153" s="101"/>
      <c r="EH153" s="101"/>
      <c r="EI153" s="101"/>
      <c r="EJ153" s="101"/>
      <c r="EK153" s="101"/>
      <c r="EL153" s="101"/>
      <c r="EM153" s="101"/>
      <c r="EN153" s="101"/>
      <c r="EO153" s="101"/>
      <c r="EP153" s="101"/>
      <c r="EQ153" s="101"/>
      <c r="ER153" s="101"/>
      <c r="ES153" s="101"/>
      <c r="ET153" s="101"/>
      <c r="EU153" s="101"/>
    </row>
    <row r="154" spans="1:156" x14ac:dyDescent="0.3">
      <c r="A154" s="1214" t="s">
        <v>2314</v>
      </c>
      <c r="H154" s="1215">
        <v>25842129.925000012</v>
      </c>
      <c r="L154" s="1220"/>
      <c r="M154" s="1220"/>
      <c r="N154" s="1220"/>
      <c r="O154" s="1220"/>
      <c r="P154" s="1220"/>
      <c r="Q154" s="1220"/>
      <c r="R154" s="1220"/>
      <c r="S154" s="1220"/>
      <c r="T154" s="1220"/>
      <c r="U154" s="1220"/>
      <c r="V154" s="1220"/>
      <c r="W154" s="1220"/>
      <c r="X154" s="1220"/>
      <c r="Y154" s="1220"/>
      <c r="Z154" s="1220"/>
      <c r="AA154" s="1220"/>
      <c r="AB154" s="1220"/>
      <c r="AC154" s="1220"/>
      <c r="AD154" s="1220"/>
      <c r="AE154" s="1220"/>
      <c r="AF154" s="1220"/>
      <c r="AG154" s="1220"/>
      <c r="AH154" s="1220"/>
      <c r="AI154" s="1220"/>
      <c r="AJ154" s="1220"/>
      <c r="AK154" s="1220"/>
      <c r="AL154" s="1220"/>
      <c r="AM154" s="1220"/>
      <c r="AN154" s="1220"/>
      <c r="AO154" s="1220"/>
      <c r="AP154" s="1220"/>
      <c r="AQ154" s="1220"/>
      <c r="AR154" s="1220"/>
      <c r="AS154" s="1220"/>
      <c r="AT154" s="1220"/>
      <c r="AU154" s="1220"/>
      <c r="AV154" s="1220"/>
      <c r="AW154" s="1220"/>
      <c r="AX154" s="1220"/>
      <c r="AY154" s="1220"/>
      <c r="AZ154" s="1220"/>
      <c r="BA154" s="1220"/>
      <c r="BB154" s="1220"/>
      <c r="BC154" s="1220"/>
      <c r="BD154" s="1220"/>
      <c r="BE154" s="1220"/>
      <c r="BF154" s="1220"/>
      <c r="BG154" s="1220"/>
      <c r="BH154" s="1220"/>
      <c r="BI154" s="1220"/>
      <c r="BJ154" s="1220"/>
      <c r="BK154" s="1220"/>
      <c r="BL154" s="1220"/>
      <c r="BM154" s="1220"/>
      <c r="BN154" s="1220"/>
      <c r="BO154" s="1220"/>
      <c r="BP154" s="1220"/>
      <c r="BQ154" s="1220"/>
      <c r="BR154" s="1220">
        <f>-$H154/84</f>
        <v>-307644.40386904776</v>
      </c>
      <c r="BS154" s="1220">
        <f t="shared" ref="BS154:CF154" si="94">-$H154/84</f>
        <v>-307644.40386904776</v>
      </c>
      <c r="BT154" s="1220">
        <f t="shared" si="94"/>
        <v>-307644.40386904776</v>
      </c>
      <c r="BU154" s="1220">
        <f t="shared" si="94"/>
        <v>-307644.40386904776</v>
      </c>
      <c r="BV154" s="1220">
        <f t="shared" si="94"/>
        <v>-307644.40386904776</v>
      </c>
      <c r="BW154" s="1220">
        <f t="shared" si="94"/>
        <v>-307644.40386904776</v>
      </c>
      <c r="BX154" s="1220">
        <f t="shared" si="94"/>
        <v>-307644.40386904776</v>
      </c>
      <c r="BY154" s="1220">
        <f t="shared" si="94"/>
        <v>-307644.40386904776</v>
      </c>
      <c r="BZ154" s="1220">
        <f t="shared" si="94"/>
        <v>-307644.40386904776</v>
      </c>
      <c r="CA154" s="1220">
        <f t="shared" si="94"/>
        <v>-307644.40386904776</v>
      </c>
      <c r="CB154" s="1220">
        <f t="shared" si="94"/>
        <v>-307644.40386904776</v>
      </c>
      <c r="CC154" s="1220">
        <f t="shared" si="94"/>
        <v>-307644.40386904776</v>
      </c>
      <c r="CD154" s="1220">
        <f t="shared" si="94"/>
        <v>-307644.40386904776</v>
      </c>
      <c r="CE154" s="1220">
        <f t="shared" si="94"/>
        <v>-307644.40386904776</v>
      </c>
      <c r="CF154" s="1220">
        <f t="shared" si="94"/>
        <v>-307644.40386904776</v>
      </c>
      <c r="CG154" s="1220">
        <f t="shared" ref="CG154:DE154" si="95">-$H154/84</f>
        <v>-307644.40386904776</v>
      </c>
      <c r="CH154" s="1220">
        <f t="shared" si="95"/>
        <v>-307644.40386904776</v>
      </c>
      <c r="CI154" s="1220">
        <f t="shared" si="95"/>
        <v>-307644.40386904776</v>
      </c>
      <c r="CJ154" s="1220">
        <f t="shared" si="95"/>
        <v>-307644.40386904776</v>
      </c>
      <c r="CK154" s="1220">
        <f t="shared" si="95"/>
        <v>-307644.40386904776</v>
      </c>
      <c r="CL154" s="1220">
        <f t="shared" si="95"/>
        <v>-307644.40386904776</v>
      </c>
      <c r="CM154" s="1220">
        <f t="shared" si="95"/>
        <v>-307644.40386904776</v>
      </c>
      <c r="CN154" s="1220">
        <f t="shared" si="95"/>
        <v>-307644.40386904776</v>
      </c>
      <c r="CO154" s="1220">
        <f t="shared" si="95"/>
        <v>-307644.40386904776</v>
      </c>
      <c r="CP154" s="1220">
        <f t="shared" si="95"/>
        <v>-307644.40386904776</v>
      </c>
      <c r="CQ154" s="1220">
        <f t="shared" si="95"/>
        <v>-307644.40386904776</v>
      </c>
      <c r="CR154" s="1220">
        <f t="shared" si="95"/>
        <v>-307644.40386904776</v>
      </c>
      <c r="CS154" s="1220">
        <f t="shared" si="95"/>
        <v>-307644.40386904776</v>
      </c>
      <c r="CT154" s="1220">
        <f t="shared" si="95"/>
        <v>-307644.40386904776</v>
      </c>
      <c r="CU154" s="1220">
        <f t="shared" si="95"/>
        <v>-307644.40386904776</v>
      </c>
      <c r="CV154" s="1220">
        <f t="shared" si="95"/>
        <v>-307644.40386904776</v>
      </c>
      <c r="CW154" s="1220">
        <f t="shared" si="95"/>
        <v>-307644.40386904776</v>
      </c>
      <c r="CX154" s="1220">
        <f t="shared" si="95"/>
        <v>-307644.40386904776</v>
      </c>
      <c r="CY154" s="1220">
        <f t="shared" si="95"/>
        <v>-307644.40386904776</v>
      </c>
      <c r="CZ154" s="1220">
        <f t="shared" si="95"/>
        <v>-307644.40386904776</v>
      </c>
      <c r="DA154" s="1220">
        <f t="shared" si="95"/>
        <v>-307644.40386904776</v>
      </c>
      <c r="DB154" s="1220">
        <f t="shared" si="95"/>
        <v>-307644.40386904776</v>
      </c>
      <c r="DC154" s="1220">
        <f t="shared" si="95"/>
        <v>-307644.40386904776</v>
      </c>
      <c r="DD154" s="1220">
        <f t="shared" si="95"/>
        <v>-307644.40386904776</v>
      </c>
      <c r="DE154" s="1220">
        <f t="shared" si="95"/>
        <v>-307644.40386904776</v>
      </c>
      <c r="DF154" s="101"/>
      <c r="DG154" s="101"/>
      <c r="DH154" s="101"/>
      <c r="DI154" s="101"/>
      <c r="DJ154" s="101"/>
      <c r="DK154" s="101"/>
      <c r="DL154" s="101"/>
      <c r="DM154" s="101"/>
      <c r="DN154" s="101"/>
      <c r="DO154" s="101"/>
      <c r="DP154" s="101"/>
      <c r="DQ154" s="101"/>
      <c r="DR154" s="101"/>
      <c r="DS154" s="101"/>
      <c r="DT154" s="101"/>
      <c r="DU154" s="101"/>
      <c r="DV154" s="101"/>
      <c r="DW154" s="101"/>
      <c r="DX154" s="101"/>
      <c r="DY154" s="101"/>
      <c r="DZ154" s="101"/>
      <c r="EA154" s="101"/>
      <c r="EB154" s="101"/>
      <c r="EC154" s="101"/>
      <c r="ED154" s="101"/>
      <c r="EE154" s="101"/>
      <c r="EF154" s="101"/>
      <c r="EG154" s="101"/>
      <c r="EH154" s="101"/>
      <c r="EI154" s="101"/>
      <c r="EJ154" s="101"/>
      <c r="EK154" s="101"/>
      <c r="EL154" s="101"/>
      <c r="EM154" s="101"/>
      <c r="EN154" s="101"/>
      <c r="EO154" s="101"/>
      <c r="EP154" s="101"/>
      <c r="EQ154" s="101"/>
      <c r="ER154" s="101"/>
      <c r="ES154" s="101"/>
      <c r="ET154" s="101"/>
      <c r="EU154" s="101"/>
      <c r="EV154" s="101"/>
      <c r="EW154" s="101"/>
    </row>
    <row r="155" spans="1:156" x14ac:dyDescent="0.3">
      <c r="A155" s="1214"/>
      <c r="H155" s="1215"/>
      <c r="L155" s="1220"/>
      <c r="M155" s="1220"/>
      <c r="N155" s="1220"/>
      <c r="O155" s="1220"/>
      <c r="P155" s="1220"/>
      <c r="Q155" s="1220"/>
      <c r="R155" s="1220"/>
      <c r="S155" s="1220"/>
      <c r="T155" s="1220"/>
      <c r="U155" s="1220"/>
      <c r="V155" s="1220"/>
      <c r="W155" s="1220"/>
      <c r="X155" s="1220"/>
      <c r="Y155" s="1220"/>
      <c r="Z155" s="1220"/>
      <c r="AA155" s="1220"/>
      <c r="AB155" s="1220"/>
      <c r="AC155" s="1220"/>
      <c r="AD155" s="1220"/>
      <c r="AE155" s="1220"/>
      <c r="AF155" s="1220"/>
      <c r="AG155" s="1220"/>
      <c r="AH155" s="1220"/>
      <c r="AI155" s="1220"/>
      <c r="AJ155" s="1220"/>
      <c r="AK155" s="1220"/>
      <c r="AL155" s="1220"/>
      <c r="AM155" s="1220"/>
      <c r="AN155" s="1220"/>
      <c r="AO155" s="1220"/>
      <c r="AP155" s="1220"/>
      <c r="AQ155" s="1220"/>
      <c r="AR155" s="1220"/>
      <c r="AS155" s="1220"/>
      <c r="AT155" s="1220"/>
      <c r="AU155" s="1220"/>
      <c r="AV155" s="1220"/>
      <c r="AW155" s="1220"/>
      <c r="AX155" s="1220"/>
      <c r="AY155" s="1220"/>
      <c r="AZ155" s="1220"/>
      <c r="BA155" s="1220"/>
      <c r="BB155" s="1220"/>
      <c r="BC155" s="1220"/>
      <c r="BD155" s="1220"/>
      <c r="BE155" s="1220"/>
      <c r="BF155" s="1220"/>
      <c r="BG155" s="1220"/>
      <c r="BH155" s="1220"/>
      <c r="BI155" s="1220"/>
      <c r="BJ155" s="1220"/>
      <c r="BK155" s="1220"/>
      <c r="BL155" s="1220"/>
      <c r="BM155" s="1220"/>
      <c r="BN155" s="1220"/>
      <c r="BO155" s="1220"/>
      <c r="BP155" s="1220"/>
      <c r="BQ155" s="1220"/>
      <c r="BR155" s="1220"/>
      <c r="BS155" s="1220">
        <f>-$H155/84</f>
        <v>0</v>
      </c>
      <c r="BT155" s="1220"/>
      <c r="BU155" s="1220"/>
      <c r="BV155" s="1220"/>
      <c r="BW155" s="1220"/>
      <c r="BX155" s="1220"/>
      <c r="BY155" s="1220"/>
      <c r="BZ155" s="1220"/>
      <c r="CA155" s="1220"/>
      <c r="CB155" s="1220"/>
      <c r="CC155" s="1220"/>
      <c r="CD155" s="1220"/>
      <c r="CE155" s="1220"/>
      <c r="CF155" s="1220"/>
      <c r="CG155" s="1220"/>
      <c r="CH155" s="1220"/>
      <c r="CI155" s="1220"/>
      <c r="CJ155" s="1220"/>
      <c r="CK155" s="1220"/>
      <c r="CL155" s="1220"/>
      <c r="CM155" s="1220"/>
      <c r="CN155" s="1220"/>
      <c r="CO155" s="1220"/>
      <c r="CP155" s="1220"/>
      <c r="CQ155" s="1220"/>
      <c r="CR155" s="1220"/>
      <c r="CS155" s="1220"/>
      <c r="CT155" s="1220"/>
      <c r="CU155" s="1220"/>
      <c r="CV155" s="1220"/>
      <c r="CW155" s="1220"/>
      <c r="CX155" s="1220"/>
      <c r="CY155" s="1220"/>
      <c r="CZ155" s="1220"/>
      <c r="DA155" s="1220"/>
      <c r="DB155" s="1220"/>
      <c r="DC155" s="1220"/>
      <c r="DD155" s="1220"/>
      <c r="DE155" s="1220"/>
      <c r="DF155" s="101"/>
      <c r="DG155" s="101"/>
      <c r="DH155" s="101"/>
      <c r="DI155" s="101"/>
      <c r="DJ155" s="101"/>
      <c r="DK155" s="101"/>
      <c r="DL155" s="101"/>
      <c r="DM155" s="101"/>
      <c r="DN155" s="101"/>
      <c r="DO155" s="101"/>
      <c r="DP155" s="101"/>
      <c r="DQ155" s="101"/>
      <c r="DR155" s="101"/>
      <c r="DS155" s="101"/>
      <c r="DT155" s="101"/>
      <c r="DU155" s="101"/>
      <c r="DV155" s="101"/>
      <c r="DW155" s="101"/>
      <c r="DX155" s="101"/>
      <c r="DY155" s="101"/>
      <c r="DZ155" s="101"/>
      <c r="EA155" s="101"/>
      <c r="EB155" s="101"/>
      <c r="EC155" s="101"/>
      <c r="ED155" s="101"/>
      <c r="EE155" s="101"/>
      <c r="EF155" s="101"/>
      <c r="EG155" s="101"/>
      <c r="EH155" s="101"/>
      <c r="EI155" s="101"/>
      <c r="EJ155" s="101"/>
      <c r="EK155" s="101"/>
      <c r="EL155" s="101"/>
      <c r="EM155" s="101"/>
      <c r="EN155" s="101"/>
      <c r="EO155" s="101"/>
      <c r="EP155" s="101"/>
      <c r="EQ155" s="101"/>
      <c r="ER155" s="101"/>
      <c r="ES155" s="101"/>
      <c r="ET155" s="101"/>
      <c r="EU155" s="101"/>
    </row>
    <row r="156" spans="1:156" x14ac:dyDescent="0.3">
      <c r="A156" s="1214" t="s">
        <v>2315</v>
      </c>
      <c r="H156" s="1215">
        <v>25842129.925000012</v>
      </c>
      <c r="L156" s="1220"/>
      <c r="M156" s="1220"/>
      <c r="N156" s="1220"/>
      <c r="O156" s="1220"/>
      <c r="P156" s="1220"/>
      <c r="Q156" s="1220"/>
      <c r="R156" s="1220"/>
      <c r="S156" s="1220"/>
      <c r="T156" s="1220"/>
      <c r="U156" s="1220"/>
      <c r="V156" s="1220"/>
      <c r="W156" s="1220"/>
      <c r="X156" s="1220"/>
      <c r="Y156" s="1220"/>
      <c r="Z156" s="1220"/>
      <c r="AA156" s="1220"/>
      <c r="AB156" s="1220"/>
      <c r="AC156" s="1220"/>
      <c r="AD156" s="1220"/>
      <c r="AE156" s="1220"/>
      <c r="AF156" s="1220"/>
      <c r="AG156" s="1220"/>
      <c r="AH156" s="1220"/>
      <c r="AI156" s="1220"/>
      <c r="AJ156" s="1220"/>
      <c r="AK156" s="1220"/>
      <c r="AL156" s="1220"/>
      <c r="AM156" s="1220"/>
      <c r="AN156" s="1220"/>
      <c r="AO156" s="1220"/>
      <c r="AP156" s="1220"/>
      <c r="AQ156" s="1220"/>
      <c r="AR156" s="1220"/>
      <c r="AS156" s="1220"/>
      <c r="AT156" s="1220"/>
      <c r="AU156" s="1220"/>
      <c r="AV156" s="1220"/>
      <c r="AW156" s="1220"/>
      <c r="AX156" s="1220"/>
      <c r="AY156" s="1220"/>
      <c r="AZ156" s="1220"/>
      <c r="BA156" s="1220"/>
      <c r="BB156" s="1220"/>
      <c r="BC156" s="1220"/>
      <c r="BD156" s="1220"/>
      <c r="BE156" s="1220"/>
      <c r="BF156" s="1220"/>
      <c r="BG156" s="1220"/>
      <c r="BH156" s="1220"/>
      <c r="BI156" s="1220"/>
      <c r="BJ156" s="1220"/>
      <c r="BK156" s="1220"/>
      <c r="BL156" s="1220"/>
      <c r="BM156" s="1220"/>
      <c r="BN156" s="1220"/>
      <c r="BO156" s="1220"/>
      <c r="BP156" s="1220"/>
      <c r="BQ156" s="1220"/>
      <c r="BR156" s="1220"/>
      <c r="BS156" s="1220">
        <f>-$H156/84</f>
        <v>-307644.40386904776</v>
      </c>
      <c r="BT156" s="1220">
        <f t="shared" ref="BT156:CF156" si="96">-$H156/84</f>
        <v>-307644.40386904776</v>
      </c>
      <c r="BU156" s="1220">
        <f t="shared" si="96"/>
        <v>-307644.40386904776</v>
      </c>
      <c r="BV156" s="1220">
        <f t="shared" si="96"/>
        <v>-307644.40386904776</v>
      </c>
      <c r="BW156" s="1220">
        <f t="shared" si="96"/>
        <v>-307644.40386904776</v>
      </c>
      <c r="BX156" s="1220">
        <f t="shared" si="96"/>
        <v>-307644.40386904776</v>
      </c>
      <c r="BY156" s="1220">
        <f t="shared" si="96"/>
        <v>-307644.40386904776</v>
      </c>
      <c r="BZ156" s="1220">
        <f t="shared" si="96"/>
        <v>-307644.40386904776</v>
      </c>
      <c r="CA156" s="1220">
        <f t="shared" si="96"/>
        <v>-307644.40386904776</v>
      </c>
      <c r="CB156" s="1220">
        <f t="shared" si="96"/>
        <v>-307644.40386904776</v>
      </c>
      <c r="CC156" s="1220">
        <f t="shared" si="96"/>
        <v>-307644.40386904776</v>
      </c>
      <c r="CD156" s="1220">
        <f t="shared" si="96"/>
        <v>-307644.40386904776</v>
      </c>
      <c r="CE156" s="1220">
        <f t="shared" si="96"/>
        <v>-307644.40386904776</v>
      </c>
      <c r="CF156" s="1220">
        <f t="shared" si="96"/>
        <v>-307644.40386904776</v>
      </c>
      <c r="CG156" s="1220">
        <f t="shared" ref="CG156:DE160" si="97">-$H156/84</f>
        <v>-307644.40386904776</v>
      </c>
      <c r="CH156" s="1220">
        <f t="shared" si="97"/>
        <v>-307644.40386904776</v>
      </c>
      <c r="CI156" s="1220">
        <f t="shared" si="97"/>
        <v>-307644.40386904776</v>
      </c>
      <c r="CJ156" s="1220">
        <f t="shared" si="97"/>
        <v>-307644.40386904776</v>
      </c>
      <c r="CK156" s="1220">
        <f t="shared" si="97"/>
        <v>-307644.40386904776</v>
      </c>
      <c r="CL156" s="1220">
        <f t="shared" si="97"/>
        <v>-307644.40386904776</v>
      </c>
      <c r="CM156" s="1220">
        <f t="shared" si="97"/>
        <v>-307644.40386904776</v>
      </c>
      <c r="CN156" s="1220">
        <f t="shared" si="97"/>
        <v>-307644.40386904776</v>
      </c>
      <c r="CO156" s="1220">
        <f t="shared" si="97"/>
        <v>-307644.40386904776</v>
      </c>
      <c r="CP156" s="1220">
        <f t="shared" si="97"/>
        <v>-307644.40386904776</v>
      </c>
      <c r="CQ156" s="1220">
        <f t="shared" si="97"/>
        <v>-307644.40386904776</v>
      </c>
      <c r="CR156" s="1220">
        <f t="shared" si="97"/>
        <v>-307644.40386904776</v>
      </c>
      <c r="CS156" s="1220">
        <f t="shared" si="97"/>
        <v>-307644.40386904776</v>
      </c>
      <c r="CT156" s="1220">
        <f t="shared" si="97"/>
        <v>-307644.40386904776</v>
      </c>
      <c r="CU156" s="1220">
        <f t="shared" si="97"/>
        <v>-307644.40386904776</v>
      </c>
      <c r="CV156" s="1220">
        <f t="shared" si="97"/>
        <v>-307644.40386904776</v>
      </c>
      <c r="CW156" s="1220">
        <f t="shared" si="97"/>
        <v>-307644.40386904776</v>
      </c>
      <c r="CX156" s="1220">
        <f t="shared" si="97"/>
        <v>-307644.40386904776</v>
      </c>
      <c r="CY156" s="1220">
        <f t="shared" si="97"/>
        <v>-307644.40386904776</v>
      </c>
      <c r="CZ156" s="1220">
        <f t="shared" si="97"/>
        <v>-307644.40386904776</v>
      </c>
      <c r="DA156" s="1220">
        <f t="shared" si="97"/>
        <v>-307644.40386904776</v>
      </c>
      <c r="DB156" s="1220">
        <f t="shared" si="97"/>
        <v>-307644.40386904776</v>
      </c>
      <c r="DC156" s="1220">
        <f t="shared" si="97"/>
        <v>-307644.40386904776</v>
      </c>
      <c r="DD156" s="1220">
        <f t="shared" si="97"/>
        <v>-307644.40386904776</v>
      </c>
      <c r="DE156" s="1220">
        <f t="shared" si="97"/>
        <v>-307644.40386904776</v>
      </c>
      <c r="DF156" s="101"/>
      <c r="DG156" s="101"/>
      <c r="DH156" s="101"/>
      <c r="DI156" s="101"/>
      <c r="DJ156" s="101"/>
      <c r="DK156" s="101"/>
      <c r="DL156" s="101"/>
      <c r="DM156" s="101"/>
      <c r="DN156" s="101"/>
      <c r="DO156" s="101"/>
      <c r="DP156" s="101"/>
      <c r="DQ156" s="101"/>
      <c r="DR156" s="101"/>
      <c r="DS156" s="101"/>
      <c r="DT156" s="101"/>
      <c r="DU156" s="101"/>
      <c r="DV156" s="101"/>
      <c r="DW156" s="101"/>
      <c r="DX156" s="101"/>
      <c r="DY156" s="101"/>
      <c r="DZ156" s="101"/>
      <c r="EA156" s="101"/>
      <c r="EB156" s="101"/>
      <c r="EC156" s="101"/>
      <c r="ED156" s="101"/>
      <c r="EE156" s="101"/>
      <c r="EF156" s="101"/>
      <c r="EG156" s="101"/>
      <c r="EH156" s="101"/>
      <c r="EI156" s="101"/>
      <c r="EJ156" s="101"/>
      <c r="EK156" s="101"/>
      <c r="EL156" s="101"/>
      <c r="EM156" s="101"/>
      <c r="EN156" s="101"/>
      <c r="EO156" s="101"/>
      <c r="EP156" s="101"/>
      <c r="EQ156" s="101"/>
      <c r="ER156" s="101"/>
      <c r="ES156" s="101"/>
      <c r="ET156" s="101"/>
      <c r="EU156" s="101"/>
      <c r="EV156" s="101"/>
      <c r="EW156" s="101"/>
      <c r="EX156" s="101"/>
    </row>
    <row r="157" spans="1:156" x14ac:dyDescent="0.3">
      <c r="A157" s="1214"/>
      <c r="H157" s="1215"/>
      <c r="L157" s="1220"/>
      <c r="M157" s="1220"/>
      <c r="N157" s="1220"/>
      <c r="O157" s="1220"/>
      <c r="P157" s="1220"/>
      <c r="Q157" s="1220"/>
      <c r="R157" s="1220"/>
      <c r="S157" s="1220"/>
      <c r="T157" s="1220"/>
      <c r="U157" s="1220"/>
      <c r="V157" s="1220"/>
      <c r="W157" s="1220"/>
      <c r="X157" s="1220"/>
      <c r="Y157" s="1220"/>
      <c r="Z157" s="1220"/>
      <c r="AA157" s="1220"/>
      <c r="AB157" s="1220"/>
      <c r="AC157" s="1220"/>
      <c r="AD157" s="1220"/>
      <c r="AE157" s="1220"/>
      <c r="AF157" s="1220"/>
      <c r="AG157" s="1220"/>
      <c r="AH157" s="1220"/>
      <c r="AI157" s="1220"/>
      <c r="AJ157" s="1220"/>
      <c r="AK157" s="1220"/>
      <c r="AL157" s="1220"/>
      <c r="AM157" s="1220"/>
      <c r="AN157" s="1220"/>
      <c r="AO157" s="1220"/>
      <c r="AP157" s="1220"/>
      <c r="AQ157" s="1220"/>
      <c r="AR157" s="1220"/>
      <c r="AS157" s="1220"/>
      <c r="AT157" s="1220"/>
      <c r="AU157" s="1220"/>
      <c r="AV157" s="1220"/>
      <c r="AW157" s="1220"/>
      <c r="AX157" s="1220"/>
      <c r="AY157" s="1220"/>
      <c r="AZ157" s="1220"/>
      <c r="BA157" s="1220"/>
      <c r="BB157" s="1220"/>
      <c r="BC157" s="1220"/>
      <c r="BD157" s="1220"/>
      <c r="BE157" s="1220"/>
      <c r="BF157" s="1220"/>
      <c r="BG157" s="1220"/>
      <c r="BH157" s="1220"/>
      <c r="BI157" s="1220"/>
      <c r="BJ157" s="1220"/>
      <c r="BK157" s="1220"/>
      <c r="BL157" s="1220"/>
      <c r="BM157" s="1220"/>
      <c r="BN157" s="1220"/>
      <c r="BO157" s="1220"/>
      <c r="BP157" s="1220"/>
      <c r="BQ157" s="1220"/>
      <c r="BR157" s="1220"/>
      <c r="BS157" s="1220"/>
      <c r="BT157" s="1220"/>
      <c r="BU157" s="1220"/>
      <c r="BV157" s="1220"/>
      <c r="BW157" s="1220"/>
      <c r="BX157" s="1220"/>
      <c r="BY157" s="1220"/>
      <c r="BZ157" s="1220"/>
      <c r="CA157" s="1220"/>
      <c r="CB157" s="1220"/>
      <c r="CC157" s="1220"/>
      <c r="CD157" s="1220"/>
      <c r="CE157" s="1220"/>
      <c r="CF157" s="1220"/>
      <c r="CG157" s="1220"/>
      <c r="CH157" s="1220"/>
      <c r="CI157" s="1220"/>
      <c r="CJ157" s="1220"/>
      <c r="CK157" s="1220"/>
      <c r="CL157" s="1220"/>
      <c r="CM157" s="1220"/>
      <c r="CN157" s="1220"/>
      <c r="CO157" s="1220"/>
      <c r="CP157" s="1220"/>
      <c r="CQ157" s="1220"/>
      <c r="CR157" s="1220"/>
      <c r="CS157" s="1220"/>
      <c r="CT157" s="1220"/>
      <c r="CU157" s="1220"/>
      <c r="CV157" s="1220"/>
      <c r="CW157" s="1220"/>
      <c r="CX157" s="1220"/>
      <c r="CY157" s="1220"/>
      <c r="CZ157" s="1220"/>
      <c r="DA157" s="1220"/>
      <c r="DB157" s="1220"/>
      <c r="DC157" s="1220"/>
      <c r="DD157" s="1220"/>
      <c r="DE157" s="1220"/>
      <c r="DF157" s="101"/>
      <c r="DG157" s="101"/>
      <c r="DH157" s="101"/>
      <c r="DI157" s="101"/>
      <c r="DJ157" s="101"/>
      <c r="DK157" s="101"/>
      <c r="DL157" s="101"/>
      <c r="DM157" s="101"/>
      <c r="DN157" s="101"/>
      <c r="DO157" s="101"/>
      <c r="DP157" s="101"/>
      <c r="DQ157" s="101"/>
      <c r="DR157" s="101"/>
      <c r="DS157" s="101"/>
      <c r="DT157" s="101"/>
      <c r="DU157" s="101"/>
      <c r="DV157" s="101"/>
      <c r="DW157" s="101"/>
      <c r="DX157" s="101"/>
      <c r="DY157" s="101"/>
      <c r="DZ157" s="101"/>
      <c r="EA157" s="101"/>
      <c r="EB157" s="101"/>
      <c r="EC157" s="101"/>
      <c r="ED157" s="101"/>
      <c r="EE157" s="101"/>
      <c r="EF157" s="101"/>
      <c r="EG157" s="101"/>
      <c r="EH157" s="101"/>
      <c r="EI157" s="101"/>
      <c r="EJ157" s="101"/>
      <c r="EK157" s="101"/>
      <c r="EL157" s="101"/>
      <c r="EM157" s="101"/>
      <c r="EN157" s="101"/>
      <c r="EO157" s="101"/>
      <c r="EP157" s="101"/>
      <c r="EQ157" s="101"/>
      <c r="ER157" s="101"/>
      <c r="ES157" s="101"/>
      <c r="ET157" s="101"/>
      <c r="EU157" s="101"/>
      <c r="EV157" s="101"/>
      <c r="EW157" s="101"/>
      <c r="EX157" s="101"/>
    </row>
    <row r="158" spans="1:156" x14ac:dyDescent="0.3">
      <c r="A158" s="1214" t="s">
        <v>2328</v>
      </c>
      <c r="H158" s="1215">
        <v>25842129.925000012</v>
      </c>
      <c r="L158" s="1220"/>
      <c r="M158" s="1220"/>
      <c r="N158" s="1220"/>
      <c r="O158" s="1220"/>
      <c r="P158" s="1220"/>
      <c r="Q158" s="1220"/>
      <c r="R158" s="1220"/>
      <c r="S158" s="1220"/>
      <c r="T158" s="1220"/>
      <c r="U158" s="1220"/>
      <c r="V158" s="1220"/>
      <c r="W158" s="1220"/>
      <c r="X158" s="1220"/>
      <c r="Y158" s="1220"/>
      <c r="Z158" s="1220"/>
      <c r="AA158" s="1220"/>
      <c r="AB158" s="1220"/>
      <c r="AC158" s="1220"/>
      <c r="AD158" s="1220"/>
      <c r="AE158" s="1220"/>
      <c r="AF158" s="1220"/>
      <c r="AG158" s="1220"/>
      <c r="AH158" s="1220"/>
      <c r="AI158" s="1220"/>
      <c r="AJ158" s="1220"/>
      <c r="AK158" s="1220"/>
      <c r="AL158" s="1220"/>
      <c r="AM158" s="1220"/>
      <c r="AN158" s="1220"/>
      <c r="AO158" s="1220"/>
      <c r="AP158" s="1220"/>
      <c r="AQ158" s="1220"/>
      <c r="AR158" s="1220"/>
      <c r="AS158" s="1220"/>
      <c r="AT158" s="1220"/>
      <c r="AU158" s="1220"/>
      <c r="AV158" s="1220"/>
      <c r="AW158" s="1220"/>
      <c r="AX158" s="1220"/>
      <c r="AY158" s="1220"/>
      <c r="AZ158" s="1220"/>
      <c r="BA158" s="1220"/>
      <c r="BB158" s="1220"/>
      <c r="BC158" s="1220"/>
      <c r="BD158" s="1220"/>
      <c r="BE158" s="1220"/>
      <c r="BF158" s="1220"/>
      <c r="BG158" s="1220"/>
      <c r="BH158" s="1220"/>
      <c r="BI158" s="1220"/>
      <c r="BJ158" s="1220"/>
      <c r="BK158" s="1220"/>
      <c r="BL158" s="1220"/>
      <c r="BM158" s="1220"/>
      <c r="BN158" s="1220"/>
      <c r="BO158" s="1220"/>
      <c r="BP158" s="1220"/>
      <c r="BQ158" s="1220"/>
      <c r="BR158" s="1220"/>
      <c r="BS158" s="1220"/>
      <c r="BT158" s="1220">
        <f t="shared" ref="BT158:CF158" si="98">-$H158/84</f>
        <v>-307644.40386904776</v>
      </c>
      <c r="BU158" s="1220">
        <f t="shared" si="98"/>
        <v>-307644.40386904776</v>
      </c>
      <c r="BV158" s="1220">
        <f t="shared" si="98"/>
        <v>-307644.40386904776</v>
      </c>
      <c r="BW158" s="1220">
        <f t="shared" si="98"/>
        <v>-307644.40386904776</v>
      </c>
      <c r="BX158" s="1220">
        <f t="shared" si="98"/>
        <v>-307644.40386904776</v>
      </c>
      <c r="BY158" s="1220">
        <f t="shared" si="98"/>
        <v>-307644.40386904776</v>
      </c>
      <c r="BZ158" s="1220">
        <f t="shared" si="98"/>
        <v>-307644.40386904776</v>
      </c>
      <c r="CA158" s="1220">
        <f t="shared" si="98"/>
        <v>-307644.40386904776</v>
      </c>
      <c r="CB158" s="1220">
        <f t="shared" si="98"/>
        <v>-307644.40386904776</v>
      </c>
      <c r="CC158" s="1220">
        <f t="shared" si="98"/>
        <v>-307644.40386904776</v>
      </c>
      <c r="CD158" s="1220">
        <f t="shared" si="98"/>
        <v>-307644.40386904776</v>
      </c>
      <c r="CE158" s="1220">
        <f t="shared" si="98"/>
        <v>-307644.40386904776</v>
      </c>
      <c r="CF158" s="1220">
        <f t="shared" si="98"/>
        <v>-307644.40386904776</v>
      </c>
      <c r="CG158" s="1220">
        <f t="shared" si="97"/>
        <v>-307644.40386904776</v>
      </c>
      <c r="CH158" s="1220">
        <f t="shared" si="97"/>
        <v>-307644.40386904776</v>
      </c>
      <c r="CI158" s="1220">
        <f t="shared" si="97"/>
        <v>-307644.40386904776</v>
      </c>
      <c r="CJ158" s="1220">
        <f t="shared" si="97"/>
        <v>-307644.40386904776</v>
      </c>
      <c r="CK158" s="1220">
        <f t="shared" si="97"/>
        <v>-307644.40386904776</v>
      </c>
      <c r="CL158" s="1220">
        <f t="shared" si="97"/>
        <v>-307644.40386904776</v>
      </c>
      <c r="CM158" s="1220">
        <f t="shared" si="97"/>
        <v>-307644.40386904776</v>
      </c>
      <c r="CN158" s="1220">
        <f t="shared" si="97"/>
        <v>-307644.40386904776</v>
      </c>
      <c r="CO158" s="1220">
        <f t="shared" si="97"/>
        <v>-307644.40386904776</v>
      </c>
      <c r="CP158" s="1220">
        <f t="shared" si="97"/>
        <v>-307644.40386904776</v>
      </c>
      <c r="CQ158" s="1220">
        <f t="shared" si="97"/>
        <v>-307644.40386904776</v>
      </c>
      <c r="CR158" s="1220">
        <f t="shared" si="97"/>
        <v>-307644.40386904776</v>
      </c>
      <c r="CS158" s="1220">
        <f t="shared" si="97"/>
        <v>-307644.40386904776</v>
      </c>
      <c r="CT158" s="1220">
        <f t="shared" si="97"/>
        <v>-307644.40386904776</v>
      </c>
      <c r="CU158" s="1220">
        <f t="shared" si="97"/>
        <v>-307644.40386904776</v>
      </c>
      <c r="CV158" s="1220">
        <f t="shared" si="97"/>
        <v>-307644.40386904776</v>
      </c>
      <c r="CW158" s="1220">
        <f t="shared" si="97"/>
        <v>-307644.40386904776</v>
      </c>
      <c r="CX158" s="1220">
        <f t="shared" si="97"/>
        <v>-307644.40386904776</v>
      </c>
      <c r="CY158" s="1220">
        <f t="shared" si="97"/>
        <v>-307644.40386904776</v>
      </c>
      <c r="CZ158" s="1220">
        <f t="shared" si="97"/>
        <v>-307644.40386904776</v>
      </c>
      <c r="DA158" s="1220">
        <f t="shared" si="97"/>
        <v>-307644.40386904776</v>
      </c>
      <c r="DB158" s="1220">
        <f t="shared" si="97"/>
        <v>-307644.40386904776</v>
      </c>
      <c r="DC158" s="1220">
        <f t="shared" si="97"/>
        <v>-307644.40386904776</v>
      </c>
      <c r="DD158" s="1220">
        <f t="shared" si="97"/>
        <v>-307644.40386904776</v>
      </c>
      <c r="DE158" s="1220">
        <f t="shared" si="97"/>
        <v>-307644.40386904776</v>
      </c>
      <c r="DF158" s="101"/>
      <c r="DG158" s="101"/>
      <c r="DH158" s="101"/>
      <c r="DI158" s="101"/>
      <c r="DJ158" s="101"/>
      <c r="DK158" s="101"/>
      <c r="DL158" s="101"/>
      <c r="DM158" s="101"/>
      <c r="DN158" s="101"/>
      <c r="DO158" s="101"/>
      <c r="DP158" s="101"/>
      <c r="DQ158" s="101"/>
      <c r="DR158" s="101"/>
      <c r="DS158" s="101"/>
      <c r="DT158" s="101"/>
      <c r="DU158" s="101"/>
      <c r="DV158" s="101"/>
      <c r="DW158" s="101"/>
      <c r="DX158" s="101"/>
      <c r="DY158" s="101"/>
      <c r="DZ158" s="101"/>
      <c r="EA158" s="101"/>
      <c r="EB158" s="101"/>
      <c r="EC158" s="101"/>
      <c r="ED158" s="101"/>
      <c r="EE158" s="101"/>
      <c r="EF158" s="101"/>
      <c r="EG158" s="101"/>
      <c r="EH158" s="101"/>
      <c r="EI158" s="101"/>
      <c r="EJ158" s="101"/>
      <c r="EK158" s="101"/>
      <c r="EL158" s="101"/>
      <c r="EM158" s="101"/>
      <c r="EN158" s="101"/>
      <c r="EO158" s="101"/>
      <c r="EP158" s="101"/>
      <c r="EQ158" s="101"/>
      <c r="ER158" s="101"/>
      <c r="ES158" s="101"/>
      <c r="ET158" s="101"/>
      <c r="EU158" s="101"/>
      <c r="EV158" s="101"/>
      <c r="EW158" s="101"/>
      <c r="EX158" s="101"/>
      <c r="EY158" s="101"/>
    </row>
    <row r="159" spans="1:156" x14ac:dyDescent="0.3">
      <c r="A159" s="1214"/>
      <c r="H159" s="1215"/>
      <c r="L159" s="1220"/>
      <c r="M159" s="1220"/>
      <c r="N159" s="1220"/>
      <c r="O159" s="1220"/>
      <c r="P159" s="1220"/>
      <c r="Q159" s="1220"/>
      <c r="R159" s="1220"/>
      <c r="S159" s="1220"/>
      <c r="T159" s="1220"/>
      <c r="U159" s="1220"/>
      <c r="V159" s="1220"/>
      <c r="W159" s="1220"/>
      <c r="X159" s="1220"/>
      <c r="Y159" s="1220"/>
      <c r="Z159" s="1220"/>
      <c r="AA159" s="1220"/>
      <c r="AB159" s="1220"/>
      <c r="AC159" s="1220"/>
      <c r="AD159" s="1220"/>
      <c r="AE159" s="1220"/>
      <c r="AF159" s="1220"/>
      <c r="AG159" s="1220"/>
      <c r="AH159" s="1220"/>
      <c r="AI159" s="1220"/>
      <c r="AJ159" s="1220"/>
      <c r="AK159" s="1220"/>
      <c r="AL159" s="1220"/>
      <c r="AM159" s="1220"/>
      <c r="AN159" s="1220"/>
      <c r="AO159" s="1220"/>
      <c r="AP159" s="1220"/>
      <c r="AQ159" s="1220"/>
      <c r="AR159" s="1220"/>
      <c r="AS159" s="1220"/>
      <c r="AT159" s="1220"/>
      <c r="AU159" s="1220"/>
      <c r="AV159" s="1220"/>
      <c r="AW159" s="1220"/>
      <c r="AX159" s="1220"/>
      <c r="AY159" s="1220"/>
      <c r="AZ159" s="1220"/>
      <c r="BA159" s="1220"/>
      <c r="BB159" s="1220"/>
      <c r="BC159" s="1220"/>
      <c r="BD159" s="1220"/>
      <c r="BE159" s="1220"/>
      <c r="BF159" s="1220"/>
      <c r="BG159" s="1220"/>
      <c r="BH159" s="1220"/>
      <c r="BI159" s="1220"/>
      <c r="BJ159" s="1220"/>
      <c r="BK159" s="1220"/>
      <c r="BL159" s="1220"/>
      <c r="BM159" s="1220"/>
      <c r="BN159" s="1220"/>
      <c r="BO159" s="1220"/>
      <c r="BP159" s="1220"/>
      <c r="BQ159" s="1220"/>
      <c r="BR159" s="1220"/>
      <c r="BS159" s="1220"/>
      <c r="BT159" s="1220"/>
      <c r="BU159" s="1220"/>
      <c r="BV159" s="1220"/>
      <c r="BW159" s="1220"/>
      <c r="BX159" s="1220"/>
      <c r="BY159" s="1220"/>
      <c r="BZ159" s="1220"/>
      <c r="CA159" s="1220"/>
      <c r="CB159" s="1220"/>
      <c r="CC159" s="1220"/>
      <c r="CD159" s="1220"/>
      <c r="CE159" s="1220"/>
      <c r="CF159" s="1220"/>
      <c r="CG159" s="1220"/>
      <c r="CH159" s="1220"/>
      <c r="CI159" s="1220"/>
      <c r="CJ159" s="1220"/>
      <c r="CK159" s="1220"/>
      <c r="CL159" s="1220"/>
      <c r="CM159" s="1220"/>
      <c r="CN159" s="1220"/>
      <c r="CO159" s="1220"/>
      <c r="CP159" s="1220"/>
      <c r="CQ159" s="1220"/>
      <c r="CR159" s="1220"/>
      <c r="CS159" s="1220"/>
      <c r="CT159" s="1220"/>
      <c r="CU159" s="1220"/>
      <c r="CV159" s="1220"/>
      <c r="CW159" s="1220"/>
      <c r="CX159" s="1220"/>
      <c r="CY159" s="1220"/>
      <c r="CZ159" s="1220"/>
      <c r="DA159" s="1220"/>
      <c r="DB159" s="1220"/>
      <c r="DC159" s="1220"/>
      <c r="DD159" s="1220"/>
      <c r="DE159" s="1220"/>
      <c r="DF159" s="101"/>
      <c r="DG159" s="101"/>
      <c r="DH159" s="101"/>
      <c r="DI159" s="101"/>
      <c r="DJ159" s="101"/>
      <c r="DK159" s="101"/>
      <c r="DL159" s="101"/>
      <c r="DM159" s="101"/>
      <c r="DN159" s="101"/>
      <c r="DO159" s="101"/>
      <c r="DP159" s="101"/>
      <c r="DQ159" s="101"/>
      <c r="DR159" s="101"/>
      <c r="DS159" s="101"/>
      <c r="DT159" s="101"/>
      <c r="DU159" s="101"/>
      <c r="DV159" s="101"/>
      <c r="DW159" s="101"/>
      <c r="DX159" s="101"/>
      <c r="DY159" s="101"/>
      <c r="DZ159" s="101"/>
      <c r="EA159" s="101"/>
      <c r="EB159" s="101"/>
      <c r="EC159" s="101"/>
      <c r="ED159" s="101"/>
      <c r="EE159" s="101"/>
      <c r="EF159" s="101"/>
      <c r="EG159" s="101"/>
      <c r="EH159" s="101"/>
      <c r="EI159" s="101"/>
      <c r="EJ159" s="101"/>
      <c r="EK159" s="101"/>
      <c r="EL159" s="101"/>
      <c r="EM159" s="101"/>
      <c r="EN159" s="101"/>
      <c r="EO159" s="101"/>
      <c r="EP159" s="101"/>
      <c r="EQ159" s="101"/>
      <c r="ER159" s="101"/>
      <c r="ES159" s="101"/>
      <c r="ET159" s="101"/>
      <c r="EU159" s="101"/>
      <c r="EV159" s="101"/>
      <c r="EW159" s="101"/>
      <c r="EX159" s="101"/>
    </row>
    <row r="160" spans="1:156" x14ac:dyDescent="0.3">
      <c r="A160" s="1214" t="s">
        <v>2329</v>
      </c>
      <c r="H160" s="1215">
        <v>25842129.925000012</v>
      </c>
      <c r="L160" s="1220"/>
      <c r="M160" s="1220"/>
      <c r="N160" s="1220"/>
      <c r="O160" s="1220"/>
      <c r="P160" s="1220"/>
      <c r="Q160" s="1220"/>
      <c r="R160" s="1220"/>
      <c r="S160" s="1220"/>
      <c r="T160" s="1220"/>
      <c r="U160" s="1220"/>
      <c r="V160" s="1220"/>
      <c r="W160" s="1220"/>
      <c r="X160" s="1220"/>
      <c r="Y160" s="1220"/>
      <c r="Z160" s="1220"/>
      <c r="AA160" s="1220"/>
      <c r="AB160" s="1220"/>
      <c r="AC160" s="1220"/>
      <c r="AD160" s="1220"/>
      <c r="AE160" s="1220"/>
      <c r="AF160" s="1220"/>
      <c r="AG160" s="1220"/>
      <c r="AH160" s="1220"/>
      <c r="AI160" s="1220"/>
      <c r="AJ160" s="1220"/>
      <c r="AK160" s="1220"/>
      <c r="AL160" s="1220"/>
      <c r="AM160" s="1220"/>
      <c r="AN160" s="1220"/>
      <c r="AO160" s="1220"/>
      <c r="AP160" s="1220"/>
      <c r="AQ160" s="1220"/>
      <c r="AR160" s="1220"/>
      <c r="AS160" s="1220"/>
      <c r="AT160" s="1220"/>
      <c r="AU160" s="1220"/>
      <c r="AV160" s="1220"/>
      <c r="AW160" s="1220"/>
      <c r="AX160" s="1220"/>
      <c r="AY160" s="1220"/>
      <c r="AZ160" s="1220"/>
      <c r="BA160" s="1220"/>
      <c r="BB160" s="1220"/>
      <c r="BC160" s="1220"/>
      <c r="BD160" s="1220"/>
      <c r="BE160" s="1220"/>
      <c r="BF160" s="1220"/>
      <c r="BG160" s="1220"/>
      <c r="BH160" s="1220"/>
      <c r="BI160" s="1220"/>
      <c r="BJ160" s="1220"/>
      <c r="BK160" s="1220"/>
      <c r="BL160" s="1220"/>
      <c r="BM160" s="1220"/>
      <c r="BN160" s="1220"/>
      <c r="BO160" s="1220"/>
      <c r="BP160" s="1220"/>
      <c r="BQ160" s="1220"/>
      <c r="BR160" s="1220"/>
      <c r="BS160" s="1220"/>
      <c r="BT160" s="1220"/>
      <c r="BU160" s="1220">
        <f t="shared" ref="BU160:CG160" si="99">-$H160/84</f>
        <v>-307644.40386904776</v>
      </c>
      <c r="BV160" s="1220">
        <f t="shared" si="99"/>
        <v>-307644.40386904776</v>
      </c>
      <c r="BW160" s="1220">
        <f t="shared" si="99"/>
        <v>-307644.40386904776</v>
      </c>
      <c r="BX160" s="1220">
        <f t="shared" si="99"/>
        <v>-307644.40386904776</v>
      </c>
      <c r="BY160" s="1220">
        <f t="shared" si="99"/>
        <v>-307644.40386904776</v>
      </c>
      <c r="BZ160" s="1220">
        <f t="shared" si="99"/>
        <v>-307644.40386904776</v>
      </c>
      <c r="CA160" s="1220">
        <f t="shared" si="99"/>
        <v>-307644.40386904776</v>
      </c>
      <c r="CB160" s="1220">
        <f t="shared" si="99"/>
        <v>-307644.40386904776</v>
      </c>
      <c r="CC160" s="1220">
        <f t="shared" si="99"/>
        <v>-307644.40386904776</v>
      </c>
      <c r="CD160" s="1220">
        <f t="shared" si="99"/>
        <v>-307644.40386904776</v>
      </c>
      <c r="CE160" s="1220">
        <f t="shared" si="99"/>
        <v>-307644.40386904776</v>
      </c>
      <c r="CF160" s="1220">
        <f t="shared" si="99"/>
        <v>-307644.40386904776</v>
      </c>
      <c r="CG160" s="1220">
        <f t="shared" si="99"/>
        <v>-307644.40386904776</v>
      </c>
      <c r="CH160" s="1220">
        <f t="shared" si="97"/>
        <v>-307644.40386904776</v>
      </c>
      <c r="CI160" s="1220">
        <f t="shared" si="97"/>
        <v>-307644.40386904776</v>
      </c>
      <c r="CJ160" s="1220">
        <f t="shared" si="97"/>
        <v>-307644.40386904776</v>
      </c>
      <c r="CK160" s="1220">
        <f t="shared" si="97"/>
        <v>-307644.40386904776</v>
      </c>
      <c r="CL160" s="1220">
        <f t="shared" si="97"/>
        <v>-307644.40386904776</v>
      </c>
      <c r="CM160" s="1220">
        <f t="shared" si="97"/>
        <v>-307644.40386904776</v>
      </c>
      <c r="CN160" s="1220">
        <f t="shared" si="97"/>
        <v>-307644.40386904776</v>
      </c>
      <c r="CO160" s="1220">
        <f t="shared" si="97"/>
        <v>-307644.40386904776</v>
      </c>
      <c r="CP160" s="1220">
        <f t="shared" si="97"/>
        <v>-307644.40386904776</v>
      </c>
      <c r="CQ160" s="1220">
        <f t="shared" si="97"/>
        <v>-307644.40386904776</v>
      </c>
      <c r="CR160" s="1220">
        <f t="shared" si="97"/>
        <v>-307644.40386904776</v>
      </c>
      <c r="CS160" s="1220">
        <f t="shared" si="97"/>
        <v>-307644.40386904776</v>
      </c>
      <c r="CT160" s="1220">
        <f t="shared" si="97"/>
        <v>-307644.40386904776</v>
      </c>
      <c r="CU160" s="1220">
        <f t="shared" si="97"/>
        <v>-307644.40386904776</v>
      </c>
      <c r="CV160" s="1220">
        <f t="shared" si="97"/>
        <v>-307644.40386904776</v>
      </c>
      <c r="CW160" s="1220">
        <f t="shared" si="97"/>
        <v>-307644.40386904776</v>
      </c>
      <c r="CX160" s="1220">
        <f t="shared" si="97"/>
        <v>-307644.40386904776</v>
      </c>
      <c r="CY160" s="1220">
        <f t="shared" si="97"/>
        <v>-307644.40386904776</v>
      </c>
      <c r="CZ160" s="1220">
        <f t="shared" si="97"/>
        <v>-307644.40386904776</v>
      </c>
      <c r="DA160" s="1220">
        <f t="shared" si="97"/>
        <v>-307644.40386904776</v>
      </c>
      <c r="DB160" s="1220">
        <f t="shared" si="97"/>
        <v>-307644.40386904776</v>
      </c>
      <c r="DC160" s="1220">
        <f t="shared" si="97"/>
        <v>-307644.40386904776</v>
      </c>
      <c r="DD160" s="1220">
        <f t="shared" si="97"/>
        <v>-307644.40386904776</v>
      </c>
      <c r="DE160" s="1220">
        <f t="shared" si="97"/>
        <v>-307644.40386904776</v>
      </c>
      <c r="DF160" s="101"/>
      <c r="DG160" s="101"/>
      <c r="DH160" s="101"/>
      <c r="DI160" s="101"/>
      <c r="DJ160" s="101"/>
      <c r="DK160" s="101"/>
      <c r="DL160" s="101"/>
      <c r="DM160" s="101"/>
      <c r="DN160" s="101"/>
      <c r="DO160" s="101"/>
      <c r="DP160" s="101"/>
      <c r="DQ160" s="101"/>
      <c r="DR160" s="101"/>
      <c r="DS160" s="101"/>
      <c r="DT160" s="101"/>
      <c r="DU160" s="101"/>
      <c r="DV160" s="101"/>
      <c r="DW160" s="101"/>
      <c r="DX160" s="101"/>
      <c r="DY160" s="101"/>
      <c r="DZ160" s="101"/>
      <c r="EA160" s="101"/>
      <c r="EB160" s="101"/>
      <c r="EC160" s="101"/>
      <c r="ED160" s="101"/>
      <c r="EE160" s="101"/>
      <c r="EF160" s="101"/>
      <c r="EG160" s="101"/>
      <c r="EH160" s="101"/>
      <c r="EI160" s="101"/>
      <c r="EJ160" s="101"/>
      <c r="EK160" s="101"/>
      <c r="EL160" s="101"/>
      <c r="EM160" s="101"/>
      <c r="EN160" s="101"/>
      <c r="EO160" s="101"/>
      <c r="EP160" s="101"/>
      <c r="EQ160" s="101"/>
      <c r="ER160" s="101"/>
      <c r="ES160" s="101"/>
      <c r="ET160" s="101"/>
      <c r="EU160" s="101"/>
      <c r="EV160" s="101"/>
      <c r="EW160" s="101"/>
      <c r="EX160" s="101"/>
      <c r="EY160" s="101"/>
      <c r="EZ160" s="1220">
        <f t="shared" ref="EZ160" si="100">-$H160/84</f>
        <v>-307644.40386904776</v>
      </c>
    </row>
    <row r="161" spans="1:164" x14ac:dyDescent="0.3">
      <c r="A161" s="1214"/>
      <c r="H161" s="1215"/>
      <c r="L161" s="1220"/>
      <c r="M161" s="1220"/>
      <c r="N161" s="1220"/>
      <c r="O161" s="1220"/>
      <c r="P161" s="1220"/>
      <c r="Q161" s="1220"/>
      <c r="R161" s="1220"/>
      <c r="S161" s="1220"/>
      <c r="T161" s="1220"/>
      <c r="U161" s="1220"/>
      <c r="V161" s="1220"/>
      <c r="W161" s="1220"/>
      <c r="X161" s="1220"/>
      <c r="Y161" s="1220"/>
      <c r="Z161" s="1220"/>
      <c r="AA161" s="1220"/>
      <c r="AB161" s="1220"/>
      <c r="AC161" s="1220"/>
      <c r="AD161" s="1220"/>
      <c r="AE161" s="1220"/>
      <c r="AF161" s="1220"/>
      <c r="AG161" s="1220"/>
      <c r="AH161" s="1220"/>
      <c r="AI161" s="1220"/>
      <c r="AJ161" s="1220"/>
      <c r="AK161" s="1220"/>
      <c r="AL161" s="1220"/>
      <c r="AM161" s="1220"/>
      <c r="AN161" s="1220"/>
      <c r="AO161" s="1220"/>
      <c r="AP161" s="1220"/>
      <c r="AQ161" s="1220"/>
      <c r="AR161" s="1220"/>
      <c r="AS161" s="1220"/>
      <c r="AT161" s="1220"/>
      <c r="AU161" s="1220"/>
      <c r="AV161" s="1220"/>
      <c r="AW161" s="1220"/>
      <c r="AX161" s="1220"/>
      <c r="AY161" s="1220"/>
      <c r="AZ161" s="1220"/>
      <c r="BA161" s="1220"/>
      <c r="BB161" s="1220"/>
      <c r="BC161" s="1220"/>
      <c r="BD161" s="1220"/>
      <c r="BE161" s="1220"/>
      <c r="BF161" s="1220"/>
      <c r="BG161" s="1220"/>
      <c r="BH161" s="1220"/>
      <c r="BI161" s="1220"/>
      <c r="BJ161" s="1220"/>
      <c r="BK161" s="1220"/>
      <c r="BL161" s="1220"/>
      <c r="BM161" s="1220"/>
      <c r="BN161" s="1220"/>
      <c r="BO161" s="1220"/>
      <c r="BP161" s="1220"/>
      <c r="BQ161" s="1220"/>
      <c r="BR161" s="1220"/>
      <c r="BS161" s="1220"/>
      <c r="BT161" s="1220"/>
      <c r="BU161" s="1220"/>
      <c r="BV161" s="1220"/>
      <c r="BW161" s="1220"/>
      <c r="BX161" s="1220"/>
      <c r="BY161" s="1220"/>
      <c r="BZ161" s="1220"/>
      <c r="CA161" s="1220"/>
      <c r="CB161" s="1220"/>
      <c r="CC161" s="1220"/>
      <c r="CD161" s="1220"/>
      <c r="CE161" s="1220"/>
      <c r="CF161" s="1220"/>
      <c r="CG161" s="1220"/>
      <c r="CH161" s="1220"/>
      <c r="CI161" s="1220"/>
      <c r="CJ161" s="1220"/>
      <c r="CK161" s="1220"/>
      <c r="CL161" s="1220"/>
      <c r="CM161" s="1220"/>
      <c r="CN161" s="1220"/>
      <c r="CO161" s="1220"/>
      <c r="CP161" s="1220"/>
      <c r="CQ161" s="1220"/>
      <c r="CR161" s="1220"/>
      <c r="CS161" s="1220"/>
      <c r="CT161" s="1220"/>
      <c r="CU161" s="1220"/>
      <c r="CV161" s="1220"/>
      <c r="CW161" s="1220"/>
      <c r="CX161" s="1220"/>
      <c r="CY161" s="1220"/>
      <c r="CZ161" s="1220"/>
      <c r="DA161" s="1220"/>
      <c r="DB161" s="1220"/>
      <c r="DC161" s="1220"/>
      <c r="DD161" s="1220"/>
      <c r="DE161" s="1220"/>
      <c r="DF161" s="101"/>
      <c r="DG161" s="101"/>
      <c r="DH161" s="101"/>
      <c r="DI161" s="101"/>
      <c r="DJ161" s="101"/>
      <c r="DK161" s="101"/>
      <c r="DL161" s="101"/>
      <c r="DM161" s="101"/>
      <c r="DN161" s="101"/>
      <c r="DO161" s="101"/>
      <c r="DP161" s="101"/>
      <c r="DQ161" s="101"/>
      <c r="DR161" s="101"/>
      <c r="DS161" s="101"/>
      <c r="DT161" s="101"/>
      <c r="DU161" s="101"/>
      <c r="DV161" s="101"/>
      <c r="DW161" s="101"/>
      <c r="DX161" s="101"/>
      <c r="DY161" s="101"/>
      <c r="DZ161" s="101"/>
      <c r="EA161" s="101"/>
      <c r="EB161" s="101"/>
      <c r="EC161" s="101"/>
      <c r="ED161" s="101"/>
      <c r="EE161" s="101"/>
      <c r="EF161" s="101"/>
      <c r="EG161" s="101"/>
      <c r="EH161" s="101"/>
      <c r="EI161" s="101"/>
      <c r="EJ161" s="101"/>
      <c r="EK161" s="101"/>
      <c r="EL161" s="101"/>
      <c r="EM161" s="101"/>
      <c r="EN161" s="101"/>
      <c r="EO161" s="101"/>
      <c r="EP161" s="101"/>
      <c r="EQ161" s="101"/>
      <c r="ER161" s="101"/>
      <c r="ES161" s="101"/>
      <c r="ET161" s="101"/>
      <c r="EU161" s="101"/>
      <c r="EV161" s="101"/>
      <c r="EW161" s="101"/>
      <c r="EX161" s="101"/>
    </row>
    <row r="162" spans="1:164" x14ac:dyDescent="0.3">
      <c r="A162" s="1214" t="s">
        <v>2330</v>
      </c>
      <c r="H162" s="1215">
        <v>25842129.925000012</v>
      </c>
      <c r="L162" s="1220"/>
      <c r="M162" s="1220"/>
      <c r="N162" s="1220"/>
      <c r="O162" s="1220"/>
      <c r="P162" s="1220"/>
      <c r="Q162" s="1220"/>
      <c r="R162" s="1220"/>
      <c r="S162" s="1220"/>
      <c r="T162" s="1220"/>
      <c r="U162" s="1220"/>
      <c r="V162" s="1220"/>
      <c r="W162" s="1220"/>
      <c r="X162" s="1220"/>
      <c r="Y162" s="1220"/>
      <c r="Z162" s="1220"/>
      <c r="AA162" s="1220"/>
      <c r="AB162" s="1220"/>
      <c r="AC162" s="1220"/>
      <c r="AD162" s="1220"/>
      <c r="AE162" s="1220"/>
      <c r="AF162" s="1220"/>
      <c r="AG162" s="1220"/>
      <c r="AH162" s="1220"/>
      <c r="AI162" s="1220"/>
      <c r="AJ162" s="1220"/>
      <c r="AK162" s="1220"/>
      <c r="AL162" s="1220"/>
      <c r="AM162" s="1220"/>
      <c r="AN162" s="1220"/>
      <c r="AO162" s="1220"/>
      <c r="AP162" s="1220"/>
      <c r="AQ162" s="1220"/>
      <c r="AR162" s="1220"/>
      <c r="AS162" s="1220"/>
      <c r="AT162" s="1220"/>
      <c r="AU162" s="1220"/>
      <c r="AV162" s="1220"/>
      <c r="AW162" s="1220"/>
      <c r="AX162" s="1220"/>
      <c r="AY162" s="1220"/>
      <c r="AZ162" s="1220"/>
      <c r="BA162" s="1220"/>
      <c r="BB162" s="1220"/>
      <c r="BC162" s="1220"/>
      <c r="BD162" s="1220"/>
      <c r="BE162" s="1220"/>
      <c r="BF162" s="1220"/>
      <c r="BG162" s="1220"/>
      <c r="BH162" s="1220"/>
      <c r="BI162" s="1220"/>
      <c r="BJ162" s="1220"/>
      <c r="BK162" s="1220"/>
      <c r="BL162" s="1220"/>
      <c r="BM162" s="1220"/>
      <c r="BN162" s="1220"/>
      <c r="BO162" s="1220"/>
      <c r="BP162" s="1220"/>
      <c r="BQ162" s="1220"/>
      <c r="BR162" s="1220"/>
      <c r="BS162" s="1220"/>
      <c r="BT162" s="1220"/>
      <c r="BU162" s="1220"/>
      <c r="BV162" s="1220">
        <f t="shared" ref="BV162:CF162" si="101">-$H162/84</f>
        <v>-307644.40386904776</v>
      </c>
      <c r="BW162" s="1220">
        <f t="shared" si="101"/>
        <v>-307644.40386904776</v>
      </c>
      <c r="BX162" s="1220">
        <f t="shared" si="101"/>
        <v>-307644.40386904776</v>
      </c>
      <c r="BY162" s="1220">
        <f t="shared" si="101"/>
        <v>-307644.40386904776</v>
      </c>
      <c r="BZ162" s="1220">
        <f t="shared" si="101"/>
        <v>-307644.40386904776</v>
      </c>
      <c r="CA162" s="1220">
        <f t="shared" si="101"/>
        <v>-307644.40386904776</v>
      </c>
      <c r="CB162" s="1220">
        <f t="shared" si="101"/>
        <v>-307644.40386904776</v>
      </c>
      <c r="CC162" s="1220">
        <f t="shared" si="101"/>
        <v>-307644.40386904776</v>
      </c>
      <c r="CD162" s="1220">
        <f t="shared" si="101"/>
        <v>-307644.40386904776</v>
      </c>
      <c r="CE162" s="1220">
        <f t="shared" si="101"/>
        <v>-307644.40386904776</v>
      </c>
      <c r="CF162" s="1220">
        <f t="shared" si="101"/>
        <v>-307644.40386904776</v>
      </c>
      <c r="CG162" s="1220">
        <f t="shared" ref="CG162:DE162" si="102">-$H162/84</f>
        <v>-307644.40386904776</v>
      </c>
      <c r="CH162" s="1220">
        <f t="shared" si="102"/>
        <v>-307644.40386904776</v>
      </c>
      <c r="CI162" s="1220">
        <f t="shared" si="102"/>
        <v>-307644.40386904776</v>
      </c>
      <c r="CJ162" s="1220">
        <f t="shared" si="102"/>
        <v>-307644.40386904776</v>
      </c>
      <c r="CK162" s="1220">
        <f t="shared" si="102"/>
        <v>-307644.40386904776</v>
      </c>
      <c r="CL162" s="1220">
        <f t="shared" si="102"/>
        <v>-307644.40386904776</v>
      </c>
      <c r="CM162" s="1220">
        <f t="shared" si="102"/>
        <v>-307644.40386904776</v>
      </c>
      <c r="CN162" s="1220">
        <f t="shared" si="102"/>
        <v>-307644.40386904776</v>
      </c>
      <c r="CO162" s="1220">
        <f t="shared" si="102"/>
        <v>-307644.40386904776</v>
      </c>
      <c r="CP162" s="1220">
        <f t="shared" si="102"/>
        <v>-307644.40386904776</v>
      </c>
      <c r="CQ162" s="1220">
        <f t="shared" si="102"/>
        <v>-307644.40386904776</v>
      </c>
      <c r="CR162" s="1220">
        <f t="shared" si="102"/>
        <v>-307644.40386904776</v>
      </c>
      <c r="CS162" s="1220">
        <f t="shared" si="102"/>
        <v>-307644.40386904776</v>
      </c>
      <c r="CT162" s="1220">
        <f t="shared" si="102"/>
        <v>-307644.40386904776</v>
      </c>
      <c r="CU162" s="1220">
        <f t="shared" si="102"/>
        <v>-307644.40386904776</v>
      </c>
      <c r="CV162" s="1220">
        <f t="shared" si="102"/>
        <v>-307644.40386904776</v>
      </c>
      <c r="CW162" s="1220">
        <f t="shared" si="102"/>
        <v>-307644.40386904776</v>
      </c>
      <c r="CX162" s="1220">
        <f t="shared" si="102"/>
        <v>-307644.40386904776</v>
      </c>
      <c r="CY162" s="1220">
        <f t="shared" si="102"/>
        <v>-307644.40386904776</v>
      </c>
      <c r="CZ162" s="1220">
        <f t="shared" si="102"/>
        <v>-307644.40386904776</v>
      </c>
      <c r="DA162" s="1220">
        <f t="shared" si="102"/>
        <v>-307644.40386904776</v>
      </c>
      <c r="DB162" s="1220">
        <f t="shared" si="102"/>
        <v>-307644.40386904776</v>
      </c>
      <c r="DC162" s="1220">
        <f t="shared" si="102"/>
        <v>-307644.40386904776</v>
      </c>
      <c r="DD162" s="1220">
        <f t="shared" si="102"/>
        <v>-307644.40386904776</v>
      </c>
      <c r="DE162" s="1220">
        <f t="shared" si="102"/>
        <v>-307644.40386904776</v>
      </c>
      <c r="DF162" s="101"/>
      <c r="DG162" s="101"/>
      <c r="DH162" s="101"/>
      <c r="DI162" s="101"/>
      <c r="DJ162" s="101"/>
      <c r="DK162" s="101"/>
      <c r="DL162" s="101"/>
      <c r="DM162" s="101"/>
      <c r="DN162" s="101"/>
      <c r="DO162" s="101"/>
      <c r="DP162" s="101"/>
      <c r="DQ162" s="101"/>
      <c r="DR162" s="101"/>
      <c r="DS162" s="101"/>
      <c r="DT162" s="101"/>
      <c r="DU162" s="101"/>
      <c r="DV162" s="101"/>
      <c r="DW162" s="101"/>
      <c r="DX162" s="101"/>
      <c r="DY162" s="101"/>
      <c r="DZ162" s="101"/>
      <c r="EA162" s="101"/>
      <c r="EB162" s="101"/>
      <c r="EC162" s="101"/>
      <c r="ED162" s="101"/>
      <c r="EE162" s="101"/>
      <c r="EF162" s="101"/>
      <c r="EG162" s="101"/>
      <c r="EH162" s="101"/>
      <c r="EI162" s="101"/>
      <c r="EJ162" s="101"/>
      <c r="EK162" s="101"/>
      <c r="EL162" s="101"/>
      <c r="EM162" s="101"/>
      <c r="EN162" s="101"/>
      <c r="EO162" s="101"/>
      <c r="EP162" s="101"/>
      <c r="EQ162" s="101"/>
      <c r="ER162" s="101"/>
      <c r="ES162" s="101"/>
      <c r="ET162" s="101"/>
      <c r="EU162" s="101"/>
      <c r="EV162" s="101"/>
      <c r="EW162" s="101"/>
      <c r="EX162" s="101"/>
      <c r="EY162" s="101"/>
      <c r="EZ162" s="1220">
        <f t="shared" ref="EZ162:FA162" si="103">-$H162/84</f>
        <v>-307644.40386904776</v>
      </c>
      <c r="FA162" s="1220">
        <f t="shared" si="103"/>
        <v>-307644.40386904776</v>
      </c>
    </row>
    <row r="163" spans="1:164" x14ac:dyDescent="0.3">
      <c r="A163" s="1214"/>
      <c r="H163" s="1215"/>
      <c r="L163" s="1220"/>
      <c r="M163" s="1220"/>
      <c r="N163" s="1220"/>
      <c r="O163" s="1220"/>
      <c r="P163" s="1220"/>
      <c r="Q163" s="1220"/>
      <c r="R163" s="1220"/>
      <c r="S163" s="1220"/>
      <c r="T163" s="1220"/>
      <c r="U163" s="1220"/>
      <c r="V163" s="1220"/>
      <c r="W163" s="1220"/>
      <c r="X163" s="1220"/>
      <c r="Y163" s="1220"/>
      <c r="Z163" s="1220"/>
      <c r="AA163" s="1220"/>
      <c r="AB163" s="1220"/>
      <c r="AC163" s="1220"/>
      <c r="AD163" s="1220"/>
      <c r="AE163" s="1220"/>
      <c r="AF163" s="1220"/>
      <c r="AG163" s="1220"/>
      <c r="AH163" s="1220"/>
      <c r="AI163" s="1220"/>
      <c r="AJ163" s="1220"/>
      <c r="AK163" s="1220"/>
      <c r="AL163" s="1220"/>
      <c r="AM163" s="1220"/>
      <c r="AN163" s="1220"/>
      <c r="AO163" s="1220"/>
      <c r="AP163" s="1220"/>
      <c r="AQ163" s="1220"/>
      <c r="AR163" s="1220"/>
      <c r="AS163" s="1220"/>
      <c r="AT163" s="1220"/>
      <c r="AU163" s="1220"/>
      <c r="AV163" s="1220"/>
      <c r="AW163" s="1220"/>
      <c r="AX163" s="1220"/>
      <c r="AY163" s="1220"/>
      <c r="AZ163" s="1220"/>
      <c r="BA163" s="1220"/>
      <c r="BB163" s="1220"/>
      <c r="BC163" s="1220"/>
      <c r="BD163" s="1220"/>
      <c r="BE163" s="1220"/>
      <c r="BF163" s="1220"/>
      <c r="BG163" s="1220"/>
      <c r="BH163" s="1220"/>
      <c r="BI163" s="1220"/>
      <c r="BJ163" s="1220"/>
      <c r="BK163" s="1220"/>
      <c r="BL163" s="1220"/>
      <c r="BM163" s="1220"/>
      <c r="BN163" s="1220"/>
      <c r="BO163" s="1220"/>
      <c r="BP163" s="1220"/>
      <c r="BQ163" s="1220"/>
      <c r="BR163" s="1220"/>
      <c r="BS163" s="1220"/>
      <c r="BT163" s="1220"/>
      <c r="BU163" s="1220"/>
      <c r="BV163" s="1220"/>
      <c r="BW163" s="1220"/>
      <c r="BX163" s="1220"/>
      <c r="BY163" s="1220"/>
      <c r="BZ163" s="1220"/>
      <c r="CA163" s="1220"/>
      <c r="CB163" s="1220"/>
      <c r="CC163" s="1220"/>
      <c r="CD163" s="1220"/>
      <c r="CE163" s="1220"/>
      <c r="CF163" s="1220"/>
      <c r="CG163" s="1220"/>
      <c r="CH163" s="1220"/>
      <c r="CI163" s="1220"/>
      <c r="CJ163" s="1220"/>
      <c r="CK163" s="1220"/>
      <c r="CL163" s="1220"/>
      <c r="CM163" s="1220"/>
      <c r="CN163" s="1220"/>
      <c r="CO163" s="1220"/>
      <c r="CP163" s="1220"/>
      <c r="CQ163" s="1220"/>
      <c r="CR163" s="1220"/>
      <c r="CS163" s="1220"/>
      <c r="CT163" s="1220"/>
      <c r="CU163" s="1220"/>
      <c r="CV163" s="1220"/>
      <c r="CW163" s="1220"/>
      <c r="CX163" s="1220"/>
      <c r="CY163" s="1220"/>
      <c r="CZ163" s="1220"/>
      <c r="DA163" s="1220"/>
      <c r="DB163" s="1220"/>
      <c r="DC163" s="1220"/>
      <c r="DD163" s="1220"/>
      <c r="DE163" s="1220"/>
      <c r="DF163" s="101"/>
      <c r="DG163" s="101"/>
      <c r="DH163" s="101"/>
      <c r="DI163" s="101"/>
      <c r="DJ163" s="101"/>
      <c r="DK163" s="101"/>
      <c r="DL163" s="101"/>
      <c r="DM163" s="101"/>
      <c r="DN163" s="101"/>
      <c r="DO163" s="101"/>
      <c r="DP163" s="101"/>
      <c r="DQ163" s="101"/>
      <c r="DR163" s="101"/>
      <c r="DS163" s="101"/>
      <c r="DT163" s="101"/>
      <c r="DU163" s="101"/>
      <c r="DV163" s="101"/>
      <c r="DW163" s="101"/>
      <c r="DX163" s="101"/>
      <c r="DY163" s="101"/>
      <c r="DZ163" s="101"/>
      <c r="EA163" s="101"/>
      <c r="EB163" s="101"/>
      <c r="EC163" s="101"/>
      <c r="ED163" s="101"/>
      <c r="EE163" s="101"/>
      <c r="EF163" s="101"/>
      <c r="EG163" s="101"/>
      <c r="EH163" s="101"/>
      <c r="EI163" s="101"/>
      <c r="EJ163" s="101"/>
      <c r="EK163" s="101"/>
      <c r="EL163" s="101"/>
      <c r="EM163" s="101"/>
      <c r="EN163" s="101"/>
      <c r="EO163" s="101"/>
      <c r="EP163" s="101"/>
      <c r="EQ163" s="101"/>
      <c r="ER163" s="101"/>
      <c r="ES163" s="101"/>
      <c r="ET163" s="101"/>
      <c r="EU163" s="101"/>
      <c r="EV163" s="101"/>
      <c r="EW163" s="101"/>
      <c r="EX163" s="101"/>
      <c r="EY163" s="101"/>
      <c r="EZ163" s="1220"/>
      <c r="FA163" s="1220"/>
    </row>
    <row r="164" spans="1:164" x14ac:dyDescent="0.3">
      <c r="A164" s="1214" t="s">
        <v>2366</v>
      </c>
      <c r="H164" s="1215">
        <v>25842129.925000012</v>
      </c>
      <c r="L164" s="1220"/>
      <c r="M164" s="1220"/>
      <c r="N164" s="1220"/>
      <c r="O164" s="1220"/>
      <c r="P164" s="1220"/>
      <c r="Q164" s="1220"/>
      <c r="R164" s="1220"/>
      <c r="S164" s="1220"/>
      <c r="T164" s="1220"/>
      <c r="U164" s="1220"/>
      <c r="V164" s="1220"/>
      <c r="W164" s="1220"/>
      <c r="X164" s="1220"/>
      <c r="Y164" s="1220"/>
      <c r="Z164" s="1220"/>
      <c r="AA164" s="1220"/>
      <c r="AB164" s="1220"/>
      <c r="AC164" s="1220"/>
      <c r="AD164" s="1220"/>
      <c r="AE164" s="1220"/>
      <c r="AF164" s="1220"/>
      <c r="AG164" s="1220"/>
      <c r="AH164" s="1220"/>
      <c r="AI164" s="1220"/>
      <c r="AJ164" s="1220"/>
      <c r="AK164" s="1220"/>
      <c r="AL164" s="1220"/>
      <c r="AM164" s="1220"/>
      <c r="AN164" s="1220"/>
      <c r="AO164" s="1220"/>
      <c r="AP164" s="1220"/>
      <c r="AQ164" s="1220"/>
      <c r="AR164" s="1220"/>
      <c r="AS164" s="1220"/>
      <c r="AT164" s="1220"/>
      <c r="AU164" s="1220"/>
      <c r="AV164" s="1220"/>
      <c r="AW164" s="1220"/>
      <c r="AX164" s="1220"/>
      <c r="AY164" s="1220"/>
      <c r="AZ164" s="1220"/>
      <c r="BA164" s="1220"/>
      <c r="BB164" s="1220"/>
      <c r="BC164" s="1220"/>
      <c r="BD164" s="1220"/>
      <c r="BE164" s="1220"/>
      <c r="BF164" s="1220"/>
      <c r="BG164" s="1220"/>
      <c r="BH164" s="1220"/>
      <c r="BI164" s="1220"/>
      <c r="BJ164" s="1220"/>
      <c r="BK164" s="1220"/>
      <c r="BL164" s="1220"/>
      <c r="BM164" s="1220"/>
      <c r="BN164" s="1220"/>
      <c r="BO164" s="1220"/>
      <c r="BP164" s="1220"/>
      <c r="BQ164" s="1220"/>
      <c r="BR164" s="1220"/>
      <c r="BS164" s="1220"/>
      <c r="BT164" s="1220"/>
      <c r="BU164" s="1220"/>
      <c r="BV164" s="1220"/>
      <c r="BW164" s="1220">
        <f t="shared" ref="BW164:CF164" si="104">-$H164/84</f>
        <v>-307644.40386904776</v>
      </c>
      <c r="BX164" s="1220">
        <f t="shared" si="104"/>
        <v>-307644.40386904776</v>
      </c>
      <c r="BY164" s="1220">
        <f t="shared" si="104"/>
        <v>-307644.40386904776</v>
      </c>
      <c r="BZ164" s="1220">
        <f t="shared" si="104"/>
        <v>-307644.40386904776</v>
      </c>
      <c r="CA164" s="1220">
        <f t="shared" si="104"/>
        <v>-307644.40386904776</v>
      </c>
      <c r="CB164" s="1220">
        <f t="shared" si="104"/>
        <v>-307644.40386904776</v>
      </c>
      <c r="CC164" s="1220">
        <f t="shared" si="104"/>
        <v>-307644.40386904776</v>
      </c>
      <c r="CD164" s="1220">
        <f t="shared" si="104"/>
        <v>-307644.40386904776</v>
      </c>
      <c r="CE164" s="1220">
        <f t="shared" si="104"/>
        <v>-307644.40386904776</v>
      </c>
      <c r="CF164" s="1220">
        <f t="shared" si="104"/>
        <v>-307644.40386904776</v>
      </c>
      <c r="CG164" s="1220">
        <f t="shared" ref="CG164:DE168" si="105">-$H164/84</f>
        <v>-307644.40386904776</v>
      </c>
      <c r="CH164" s="1220">
        <f t="shared" si="105"/>
        <v>-307644.40386904776</v>
      </c>
      <c r="CI164" s="1220">
        <f t="shared" si="105"/>
        <v>-307644.40386904776</v>
      </c>
      <c r="CJ164" s="1220">
        <f t="shared" si="105"/>
        <v>-307644.40386904776</v>
      </c>
      <c r="CK164" s="1220">
        <f t="shared" si="105"/>
        <v>-307644.40386904776</v>
      </c>
      <c r="CL164" s="1220">
        <f t="shared" si="105"/>
        <v>-307644.40386904776</v>
      </c>
      <c r="CM164" s="1220">
        <f t="shared" si="105"/>
        <v>-307644.40386904776</v>
      </c>
      <c r="CN164" s="1220">
        <f t="shared" si="105"/>
        <v>-307644.40386904776</v>
      </c>
      <c r="CO164" s="1220">
        <f t="shared" si="105"/>
        <v>-307644.40386904776</v>
      </c>
      <c r="CP164" s="1220">
        <f t="shared" si="105"/>
        <v>-307644.40386904776</v>
      </c>
      <c r="CQ164" s="1220">
        <f t="shared" si="105"/>
        <v>-307644.40386904776</v>
      </c>
      <c r="CR164" s="1220">
        <f t="shared" si="105"/>
        <v>-307644.40386904776</v>
      </c>
      <c r="CS164" s="1220">
        <f t="shared" si="105"/>
        <v>-307644.40386904776</v>
      </c>
      <c r="CT164" s="1220">
        <f t="shared" si="105"/>
        <v>-307644.40386904776</v>
      </c>
      <c r="CU164" s="1220">
        <f t="shared" si="105"/>
        <v>-307644.40386904776</v>
      </c>
      <c r="CV164" s="1220">
        <f t="shared" si="105"/>
        <v>-307644.40386904776</v>
      </c>
      <c r="CW164" s="1220">
        <f t="shared" si="105"/>
        <v>-307644.40386904776</v>
      </c>
      <c r="CX164" s="1220">
        <f t="shared" si="105"/>
        <v>-307644.40386904776</v>
      </c>
      <c r="CY164" s="1220">
        <f t="shared" si="105"/>
        <v>-307644.40386904776</v>
      </c>
      <c r="CZ164" s="1220">
        <f t="shared" si="105"/>
        <v>-307644.40386904776</v>
      </c>
      <c r="DA164" s="1220">
        <f t="shared" si="105"/>
        <v>-307644.40386904776</v>
      </c>
      <c r="DB164" s="1220">
        <f t="shared" si="105"/>
        <v>-307644.40386904776</v>
      </c>
      <c r="DC164" s="1220">
        <f t="shared" si="105"/>
        <v>-307644.40386904776</v>
      </c>
      <c r="DD164" s="1220">
        <f t="shared" si="105"/>
        <v>-307644.40386904776</v>
      </c>
      <c r="DE164" s="1220">
        <f t="shared" si="105"/>
        <v>-307644.40386904776</v>
      </c>
      <c r="DF164" s="101"/>
      <c r="DG164" s="101"/>
      <c r="DH164" s="101"/>
      <c r="DI164" s="101"/>
      <c r="DJ164" s="101"/>
      <c r="DK164" s="101"/>
      <c r="DL164" s="101"/>
      <c r="DM164" s="101"/>
      <c r="DN164" s="101"/>
      <c r="DO164" s="101"/>
      <c r="DP164" s="101"/>
      <c r="DQ164" s="101"/>
      <c r="DR164" s="101"/>
      <c r="DS164" s="101"/>
      <c r="DT164" s="101"/>
      <c r="DU164" s="101"/>
      <c r="DV164" s="101"/>
      <c r="DW164" s="101"/>
      <c r="DX164" s="101"/>
      <c r="DY164" s="101"/>
      <c r="DZ164" s="101"/>
      <c r="EA164" s="101"/>
      <c r="EB164" s="101"/>
      <c r="EC164" s="101"/>
      <c r="ED164" s="101"/>
      <c r="EE164" s="101"/>
      <c r="EF164" s="101"/>
      <c r="EG164" s="101"/>
      <c r="EH164" s="101"/>
      <c r="EI164" s="101"/>
      <c r="EJ164" s="101"/>
      <c r="EK164" s="101"/>
      <c r="EL164" s="101"/>
      <c r="EM164" s="101"/>
      <c r="EN164" s="101"/>
      <c r="EO164" s="101"/>
      <c r="EP164" s="101"/>
      <c r="EQ164" s="101"/>
      <c r="ER164" s="101"/>
      <c r="ES164" s="101"/>
      <c r="ET164" s="101"/>
      <c r="EU164" s="101"/>
      <c r="EV164" s="101"/>
      <c r="EW164" s="101"/>
      <c r="EX164" s="101"/>
      <c r="EY164" s="101"/>
      <c r="EZ164" s="1220">
        <f t="shared" ref="EZ164:FD168" si="106">-$H164/84</f>
        <v>-307644.40386904776</v>
      </c>
      <c r="FA164" s="1220">
        <f t="shared" si="106"/>
        <v>-307644.40386904776</v>
      </c>
      <c r="FB164" s="1220">
        <f t="shared" si="106"/>
        <v>-307644.40386904776</v>
      </c>
    </row>
    <row r="165" spans="1:164" x14ac:dyDescent="0.3">
      <c r="A165" s="1214"/>
      <c r="H165" s="1215"/>
      <c r="L165" s="1220"/>
      <c r="M165" s="1220"/>
      <c r="N165" s="1220"/>
      <c r="O165" s="1220"/>
      <c r="P165" s="1220"/>
      <c r="Q165" s="1220"/>
      <c r="R165" s="1220"/>
      <c r="S165" s="1220"/>
      <c r="T165" s="1220"/>
      <c r="U165" s="1220"/>
      <c r="V165" s="1220"/>
      <c r="W165" s="1220"/>
      <c r="X165" s="1220"/>
      <c r="Y165" s="1220"/>
      <c r="Z165" s="1220"/>
      <c r="AA165" s="1220"/>
      <c r="AB165" s="1220"/>
      <c r="AC165" s="1220"/>
      <c r="AD165" s="1220"/>
      <c r="AE165" s="1220"/>
      <c r="AF165" s="1220"/>
      <c r="AG165" s="1220"/>
      <c r="AH165" s="1220"/>
      <c r="AI165" s="1220"/>
      <c r="AJ165" s="1220"/>
      <c r="AK165" s="1220"/>
      <c r="AL165" s="1220"/>
      <c r="AM165" s="1220"/>
      <c r="AN165" s="1220"/>
      <c r="AO165" s="1220"/>
      <c r="AP165" s="1220"/>
      <c r="AQ165" s="1220"/>
      <c r="AR165" s="1220"/>
      <c r="AS165" s="1220"/>
      <c r="AT165" s="1220"/>
      <c r="AU165" s="1220"/>
      <c r="AV165" s="1220"/>
      <c r="AW165" s="1220"/>
      <c r="AX165" s="1220"/>
      <c r="AY165" s="1220"/>
      <c r="AZ165" s="1220"/>
      <c r="BA165" s="1220"/>
      <c r="BB165" s="1220"/>
      <c r="BC165" s="1220"/>
      <c r="BD165" s="1220"/>
      <c r="BE165" s="1220"/>
      <c r="BF165" s="1220"/>
      <c r="BG165" s="1220"/>
      <c r="BH165" s="1220"/>
      <c r="BI165" s="1220"/>
      <c r="BJ165" s="1220"/>
      <c r="BK165" s="1220"/>
      <c r="BL165" s="1220"/>
      <c r="BM165" s="1220"/>
      <c r="BN165" s="1220"/>
      <c r="BO165" s="1220"/>
      <c r="BP165" s="1220"/>
      <c r="BQ165" s="1220"/>
      <c r="BR165" s="1220"/>
      <c r="BS165" s="1220"/>
      <c r="BT165" s="1220"/>
      <c r="BU165" s="1220"/>
      <c r="BV165" s="1220"/>
      <c r="BW165" s="1220"/>
      <c r="BX165" s="1220"/>
      <c r="BY165" s="1220"/>
      <c r="BZ165" s="1220"/>
      <c r="CA165" s="1220"/>
      <c r="CB165" s="1220"/>
      <c r="CC165" s="1220"/>
      <c r="CD165" s="1220"/>
      <c r="CE165" s="1220"/>
      <c r="CF165" s="1220"/>
      <c r="CG165" s="1220"/>
      <c r="CH165" s="1220"/>
      <c r="CI165" s="1220"/>
      <c r="CJ165" s="1220"/>
      <c r="CK165" s="1220"/>
      <c r="CL165" s="1220"/>
      <c r="CM165" s="1220"/>
      <c r="CN165" s="1220"/>
      <c r="CO165" s="1220"/>
      <c r="CP165" s="1220"/>
      <c r="CQ165" s="1220"/>
      <c r="CR165" s="1220"/>
      <c r="CS165" s="1220"/>
      <c r="CT165" s="1220"/>
      <c r="CU165" s="1220"/>
      <c r="CV165" s="1220"/>
      <c r="CW165" s="1220"/>
      <c r="CX165" s="1220"/>
      <c r="CY165" s="1220"/>
      <c r="CZ165" s="1220"/>
      <c r="DA165" s="1220"/>
      <c r="DB165" s="1220"/>
      <c r="DC165" s="1220"/>
      <c r="DD165" s="1220"/>
      <c r="DE165" s="1220"/>
      <c r="DF165" s="101"/>
      <c r="DG165" s="101"/>
      <c r="DH165" s="101"/>
      <c r="DI165" s="101"/>
      <c r="DJ165" s="101"/>
      <c r="DK165" s="101"/>
      <c r="DL165" s="101"/>
      <c r="DM165" s="101"/>
      <c r="DN165" s="101"/>
      <c r="DO165" s="101"/>
      <c r="DP165" s="101"/>
      <c r="DQ165" s="101"/>
      <c r="DR165" s="101"/>
      <c r="DS165" s="101"/>
      <c r="DT165" s="101"/>
      <c r="DU165" s="101"/>
      <c r="DV165" s="101"/>
      <c r="DW165" s="101"/>
      <c r="DX165" s="101"/>
      <c r="DY165" s="101"/>
      <c r="DZ165" s="101"/>
      <c r="EA165" s="101"/>
      <c r="EB165" s="101"/>
      <c r="EC165" s="101"/>
      <c r="ED165" s="101"/>
      <c r="EE165" s="101"/>
      <c r="EF165" s="101"/>
      <c r="EG165" s="101"/>
      <c r="EH165" s="101"/>
      <c r="EI165" s="101"/>
      <c r="EJ165" s="101"/>
      <c r="EK165" s="101"/>
      <c r="EL165" s="101"/>
      <c r="EM165" s="101"/>
      <c r="EN165" s="101"/>
      <c r="EO165" s="101"/>
      <c r="EP165" s="101"/>
      <c r="EQ165" s="101"/>
      <c r="ER165" s="101"/>
      <c r="ES165" s="101"/>
      <c r="ET165" s="101"/>
      <c r="EU165" s="101"/>
      <c r="EV165" s="101"/>
      <c r="EW165" s="101"/>
      <c r="EX165" s="101"/>
      <c r="EY165" s="101"/>
      <c r="EZ165" s="1220"/>
      <c r="FA165" s="1220"/>
    </row>
    <row r="166" spans="1:164" x14ac:dyDescent="0.3">
      <c r="A166" s="1214" t="s">
        <v>2367</v>
      </c>
      <c r="H166" s="1215">
        <v>25842129.925000012</v>
      </c>
      <c r="L166" s="1220"/>
      <c r="M166" s="1220"/>
      <c r="N166" s="1220"/>
      <c r="O166" s="1220"/>
      <c r="P166" s="1220"/>
      <c r="Q166" s="1220"/>
      <c r="R166" s="1220"/>
      <c r="S166" s="1220"/>
      <c r="T166" s="1220"/>
      <c r="U166" s="1220"/>
      <c r="V166" s="1220"/>
      <c r="W166" s="1220"/>
      <c r="X166" s="1220"/>
      <c r="Y166" s="1220"/>
      <c r="Z166" s="1220"/>
      <c r="AA166" s="1220"/>
      <c r="AB166" s="1220"/>
      <c r="AC166" s="1220"/>
      <c r="AD166" s="1220"/>
      <c r="AE166" s="1220"/>
      <c r="AF166" s="1220"/>
      <c r="AG166" s="1220"/>
      <c r="AH166" s="1220"/>
      <c r="AI166" s="1220"/>
      <c r="AJ166" s="1220"/>
      <c r="AK166" s="1220"/>
      <c r="AL166" s="1220"/>
      <c r="AM166" s="1220"/>
      <c r="AN166" s="1220"/>
      <c r="AO166" s="1220"/>
      <c r="AP166" s="1220"/>
      <c r="AQ166" s="1220"/>
      <c r="AR166" s="1220"/>
      <c r="AS166" s="1220"/>
      <c r="AT166" s="1220"/>
      <c r="AU166" s="1220"/>
      <c r="AV166" s="1220"/>
      <c r="AW166" s="1220"/>
      <c r="AX166" s="1220"/>
      <c r="AY166" s="1220"/>
      <c r="AZ166" s="1220"/>
      <c r="BA166" s="1220"/>
      <c r="BB166" s="1220"/>
      <c r="BC166" s="1220"/>
      <c r="BD166" s="1220"/>
      <c r="BE166" s="1220"/>
      <c r="BF166" s="1220"/>
      <c r="BG166" s="1220"/>
      <c r="BH166" s="1220"/>
      <c r="BI166" s="1220"/>
      <c r="BJ166" s="1220"/>
      <c r="BK166" s="1220"/>
      <c r="BL166" s="1220"/>
      <c r="BM166" s="1220"/>
      <c r="BN166" s="1220"/>
      <c r="BO166" s="1220"/>
      <c r="BP166" s="1220"/>
      <c r="BQ166" s="1220"/>
      <c r="BR166" s="1220"/>
      <c r="BS166" s="1220"/>
      <c r="BT166" s="1220"/>
      <c r="BU166" s="1220"/>
      <c r="BV166" s="1220"/>
      <c r="BW166" s="1220"/>
      <c r="BX166" s="1220">
        <f t="shared" ref="BX166:CG166" si="107">-$H166/84</f>
        <v>-307644.40386904776</v>
      </c>
      <c r="BY166" s="1220">
        <f t="shared" si="107"/>
        <v>-307644.40386904776</v>
      </c>
      <c r="BZ166" s="1220">
        <f t="shared" si="107"/>
        <v>-307644.40386904776</v>
      </c>
      <c r="CA166" s="1220">
        <f t="shared" si="107"/>
        <v>-307644.40386904776</v>
      </c>
      <c r="CB166" s="1220">
        <f t="shared" si="107"/>
        <v>-307644.40386904776</v>
      </c>
      <c r="CC166" s="1220">
        <f t="shared" si="107"/>
        <v>-307644.40386904776</v>
      </c>
      <c r="CD166" s="1220">
        <f t="shared" si="107"/>
        <v>-307644.40386904776</v>
      </c>
      <c r="CE166" s="1220">
        <f t="shared" si="107"/>
        <v>-307644.40386904776</v>
      </c>
      <c r="CF166" s="1220">
        <f t="shared" si="107"/>
        <v>-307644.40386904776</v>
      </c>
      <c r="CG166" s="1220">
        <f t="shared" si="107"/>
        <v>-307644.40386904776</v>
      </c>
      <c r="CH166" s="1220">
        <f t="shared" si="105"/>
        <v>-307644.40386904776</v>
      </c>
      <c r="CI166" s="1220">
        <f t="shared" si="105"/>
        <v>-307644.40386904776</v>
      </c>
      <c r="CJ166" s="1220">
        <f t="shared" si="105"/>
        <v>-307644.40386904776</v>
      </c>
      <c r="CK166" s="1220">
        <f t="shared" si="105"/>
        <v>-307644.40386904776</v>
      </c>
      <c r="CL166" s="1220">
        <f t="shared" si="105"/>
        <v>-307644.40386904776</v>
      </c>
      <c r="CM166" s="1220">
        <f t="shared" si="105"/>
        <v>-307644.40386904776</v>
      </c>
      <c r="CN166" s="1220">
        <f t="shared" si="105"/>
        <v>-307644.40386904776</v>
      </c>
      <c r="CO166" s="1220">
        <f t="shared" si="105"/>
        <v>-307644.40386904776</v>
      </c>
      <c r="CP166" s="1220">
        <f t="shared" si="105"/>
        <v>-307644.40386904776</v>
      </c>
      <c r="CQ166" s="1220">
        <f t="shared" si="105"/>
        <v>-307644.40386904776</v>
      </c>
      <c r="CR166" s="1220">
        <f t="shared" si="105"/>
        <v>-307644.40386904776</v>
      </c>
      <c r="CS166" s="1220">
        <f t="shared" si="105"/>
        <v>-307644.40386904776</v>
      </c>
      <c r="CT166" s="1220">
        <f t="shared" si="105"/>
        <v>-307644.40386904776</v>
      </c>
      <c r="CU166" s="1220">
        <f t="shared" si="105"/>
        <v>-307644.40386904776</v>
      </c>
      <c r="CV166" s="1220">
        <f t="shared" si="105"/>
        <v>-307644.40386904776</v>
      </c>
      <c r="CW166" s="1220">
        <f t="shared" si="105"/>
        <v>-307644.40386904776</v>
      </c>
      <c r="CX166" s="1220">
        <f t="shared" si="105"/>
        <v>-307644.40386904776</v>
      </c>
      <c r="CY166" s="1220">
        <f t="shared" si="105"/>
        <v>-307644.40386904776</v>
      </c>
      <c r="CZ166" s="1220">
        <f t="shared" si="105"/>
        <v>-307644.40386904776</v>
      </c>
      <c r="DA166" s="1220">
        <f t="shared" si="105"/>
        <v>-307644.40386904776</v>
      </c>
      <c r="DB166" s="1220">
        <f t="shared" si="105"/>
        <v>-307644.40386904776</v>
      </c>
      <c r="DC166" s="1220">
        <f t="shared" si="105"/>
        <v>-307644.40386904776</v>
      </c>
      <c r="DD166" s="1220">
        <f t="shared" si="105"/>
        <v>-307644.40386904776</v>
      </c>
      <c r="DE166" s="1220">
        <f t="shared" si="105"/>
        <v>-307644.40386904776</v>
      </c>
      <c r="DF166" s="101"/>
      <c r="DG166" s="101"/>
      <c r="DH166" s="101"/>
      <c r="DI166" s="101"/>
      <c r="DJ166" s="101"/>
      <c r="DK166" s="101"/>
      <c r="DL166" s="101"/>
      <c r="DM166" s="101"/>
      <c r="DN166" s="101"/>
      <c r="DO166" s="101"/>
      <c r="DP166" s="101"/>
      <c r="DQ166" s="101"/>
      <c r="DR166" s="101"/>
      <c r="DS166" s="101"/>
      <c r="DT166" s="101"/>
      <c r="DU166" s="101"/>
      <c r="DV166" s="101"/>
      <c r="DW166" s="101"/>
      <c r="DX166" s="101"/>
      <c r="DY166" s="101"/>
      <c r="DZ166" s="101"/>
      <c r="EA166" s="101"/>
      <c r="EB166" s="101"/>
      <c r="EC166" s="101"/>
      <c r="ED166" s="101"/>
      <c r="EE166" s="101"/>
      <c r="EF166" s="101"/>
      <c r="EG166" s="101"/>
      <c r="EH166" s="101"/>
      <c r="EI166" s="101"/>
      <c r="EJ166" s="101"/>
      <c r="EK166" s="101"/>
      <c r="EL166" s="101"/>
      <c r="EM166" s="101"/>
      <c r="EN166" s="101"/>
      <c r="EO166" s="101"/>
      <c r="EP166" s="101"/>
      <c r="EQ166" s="101"/>
      <c r="ER166" s="101"/>
      <c r="ES166" s="101"/>
      <c r="ET166" s="101"/>
      <c r="EU166" s="101"/>
      <c r="EV166" s="101"/>
      <c r="EW166" s="101"/>
      <c r="EX166" s="101"/>
      <c r="EY166" s="101"/>
      <c r="EZ166" s="1220">
        <f t="shared" si="106"/>
        <v>-307644.40386904776</v>
      </c>
      <c r="FA166" s="1220">
        <f t="shared" si="106"/>
        <v>-307644.40386904776</v>
      </c>
      <c r="FB166" s="1220">
        <f t="shared" si="106"/>
        <v>-307644.40386904776</v>
      </c>
      <c r="FC166" s="1220">
        <f t="shared" si="106"/>
        <v>-307644.40386904776</v>
      </c>
    </row>
    <row r="167" spans="1:164" x14ac:dyDescent="0.3">
      <c r="A167" s="1214"/>
      <c r="H167" s="1215"/>
      <c r="L167" s="1220"/>
      <c r="M167" s="1220"/>
      <c r="N167" s="1220"/>
      <c r="O167" s="1220"/>
      <c r="P167" s="1220"/>
      <c r="Q167" s="1220"/>
      <c r="R167" s="1220"/>
      <c r="S167" s="1220"/>
      <c r="T167" s="1220"/>
      <c r="U167" s="1220"/>
      <c r="V167" s="1220"/>
      <c r="W167" s="1220"/>
      <c r="X167" s="1220"/>
      <c r="Y167" s="1220"/>
      <c r="Z167" s="1220"/>
      <c r="AA167" s="1220"/>
      <c r="AB167" s="1220"/>
      <c r="AC167" s="1220"/>
      <c r="AD167" s="1220"/>
      <c r="AE167" s="1220"/>
      <c r="AF167" s="1220"/>
      <c r="AG167" s="1220"/>
      <c r="AH167" s="1220"/>
      <c r="AI167" s="1220"/>
      <c r="AJ167" s="1220"/>
      <c r="AK167" s="1220"/>
      <c r="AL167" s="1220"/>
      <c r="AM167" s="1220"/>
      <c r="AN167" s="1220"/>
      <c r="AO167" s="1220"/>
      <c r="AP167" s="1220"/>
      <c r="AQ167" s="1220"/>
      <c r="AR167" s="1220"/>
      <c r="AS167" s="1220"/>
      <c r="AT167" s="1220"/>
      <c r="AU167" s="1220"/>
      <c r="AV167" s="1220"/>
      <c r="AW167" s="1220"/>
      <c r="AX167" s="1220"/>
      <c r="AY167" s="1220"/>
      <c r="AZ167" s="1220"/>
      <c r="BA167" s="1220"/>
      <c r="BB167" s="1220"/>
      <c r="BC167" s="1220"/>
      <c r="BD167" s="1220"/>
      <c r="BE167" s="1220"/>
      <c r="BF167" s="1220"/>
      <c r="BG167" s="1220"/>
      <c r="BH167" s="1220"/>
      <c r="BI167" s="1220"/>
      <c r="BJ167" s="1220"/>
      <c r="BK167" s="1220"/>
      <c r="BL167" s="1220"/>
      <c r="BM167" s="1220"/>
      <c r="BN167" s="1220"/>
      <c r="BO167" s="1220"/>
      <c r="BP167" s="1220"/>
      <c r="BQ167" s="1220"/>
      <c r="BR167" s="1220"/>
      <c r="BS167" s="1220"/>
      <c r="BT167" s="1220"/>
      <c r="BU167" s="1220"/>
      <c r="BV167" s="1220"/>
      <c r="BW167" s="1220"/>
      <c r="BX167" s="1220"/>
      <c r="BY167" s="1220"/>
      <c r="BZ167" s="1220"/>
      <c r="CA167" s="1220"/>
      <c r="CB167" s="1220"/>
      <c r="CC167" s="1220"/>
      <c r="CD167" s="1220"/>
      <c r="CE167" s="1220"/>
      <c r="CF167" s="1220"/>
      <c r="CG167" s="1220"/>
      <c r="CH167" s="1220"/>
      <c r="CI167" s="1220"/>
      <c r="CJ167" s="1220"/>
      <c r="CK167" s="1220"/>
      <c r="CL167" s="1220"/>
      <c r="CM167" s="1220"/>
      <c r="CN167" s="1220"/>
      <c r="CO167" s="1220"/>
      <c r="CP167" s="1220"/>
      <c r="CQ167" s="1220"/>
      <c r="CR167" s="1220"/>
      <c r="CS167" s="1220"/>
      <c r="CT167" s="1220"/>
      <c r="CU167" s="1220"/>
      <c r="CV167" s="1220"/>
      <c r="CW167" s="1220"/>
      <c r="CX167" s="1220"/>
      <c r="CY167" s="1220"/>
      <c r="CZ167" s="1220"/>
      <c r="DA167" s="1220"/>
      <c r="DB167" s="1220"/>
      <c r="DC167" s="1220"/>
      <c r="DD167" s="1220"/>
      <c r="DE167" s="1220"/>
      <c r="DF167" s="101"/>
      <c r="DG167" s="101"/>
      <c r="DH167" s="101"/>
      <c r="DI167" s="101"/>
      <c r="DJ167" s="101"/>
      <c r="DK167" s="101"/>
      <c r="DL167" s="101"/>
      <c r="DM167" s="101"/>
      <c r="DN167" s="101"/>
      <c r="DO167" s="101"/>
      <c r="DP167" s="101"/>
      <c r="DQ167" s="101"/>
      <c r="DR167" s="101"/>
      <c r="DS167" s="101"/>
      <c r="DT167" s="101"/>
      <c r="DU167" s="101"/>
      <c r="DV167" s="101"/>
      <c r="DW167" s="101"/>
      <c r="DX167" s="101"/>
      <c r="DY167" s="101"/>
      <c r="DZ167" s="101"/>
      <c r="EA167" s="101"/>
      <c r="EB167" s="101"/>
      <c r="EC167" s="101"/>
      <c r="ED167" s="101"/>
      <c r="EE167" s="101"/>
      <c r="EF167" s="101"/>
      <c r="EG167" s="101"/>
      <c r="EH167" s="101"/>
      <c r="EI167" s="101"/>
      <c r="EJ167" s="101"/>
      <c r="EK167" s="101"/>
      <c r="EL167" s="101"/>
      <c r="EM167" s="101"/>
      <c r="EN167" s="101"/>
      <c r="EO167" s="101"/>
      <c r="EP167" s="101"/>
      <c r="EQ167" s="101"/>
      <c r="ER167" s="101"/>
      <c r="ES167" s="101"/>
      <c r="ET167" s="101"/>
      <c r="EU167" s="101"/>
      <c r="EV167" s="101"/>
      <c r="EW167" s="101"/>
      <c r="EX167" s="101"/>
      <c r="EY167" s="101"/>
      <c r="EZ167" s="1220"/>
      <c r="FA167" s="1220"/>
    </row>
    <row r="168" spans="1:164" x14ac:dyDescent="0.3">
      <c r="A168" s="1214" t="s">
        <v>2368</v>
      </c>
      <c r="H168" s="1215">
        <v>25842129.925000012</v>
      </c>
      <c r="L168" s="1220"/>
      <c r="M168" s="1220"/>
      <c r="N168" s="1220"/>
      <c r="O168" s="1220"/>
      <c r="P168" s="1220"/>
      <c r="Q168" s="1220"/>
      <c r="R168" s="1220"/>
      <c r="S168" s="1220"/>
      <c r="T168" s="1220"/>
      <c r="U168" s="1220"/>
      <c r="V168" s="1220"/>
      <c r="W168" s="1220"/>
      <c r="X168" s="1220"/>
      <c r="Y168" s="1220"/>
      <c r="Z168" s="1220"/>
      <c r="AA168" s="1220"/>
      <c r="AB168" s="1220"/>
      <c r="AC168" s="1220"/>
      <c r="AD168" s="1220"/>
      <c r="AE168" s="1220"/>
      <c r="AF168" s="1220"/>
      <c r="AG168" s="1220"/>
      <c r="AH168" s="1220"/>
      <c r="AI168" s="1220"/>
      <c r="AJ168" s="1220"/>
      <c r="AK168" s="1220"/>
      <c r="AL168" s="1220"/>
      <c r="AM168" s="1220"/>
      <c r="AN168" s="1220"/>
      <c r="AO168" s="1220"/>
      <c r="AP168" s="1220"/>
      <c r="AQ168" s="1220"/>
      <c r="AR168" s="1220"/>
      <c r="AS168" s="1220"/>
      <c r="AT168" s="1220"/>
      <c r="AU168" s="1220"/>
      <c r="AV168" s="1220"/>
      <c r="AW168" s="1220"/>
      <c r="AX168" s="1220"/>
      <c r="AY168" s="1220"/>
      <c r="AZ168" s="1220"/>
      <c r="BA168" s="1220"/>
      <c r="BB168" s="1220"/>
      <c r="BC168" s="1220"/>
      <c r="BD168" s="1220"/>
      <c r="BE168" s="1220"/>
      <c r="BF168" s="1220"/>
      <c r="BG168" s="1220"/>
      <c r="BH168" s="1220"/>
      <c r="BI168" s="1220"/>
      <c r="BJ168" s="1220"/>
      <c r="BK168" s="1220"/>
      <c r="BL168" s="1220"/>
      <c r="BM168" s="1220"/>
      <c r="BN168" s="1220"/>
      <c r="BO168" s="1220"/>
      <c r="BP168" s="1220"/>
      <c r="BQ168" s="1220"/>
      <c r="BR168" s="1220"/>
      <c r="BS168" s="1220"/>
      <c r="BT168" s="1220"/>
      <c r="BU168" s="1220"/>
      <c r="BV168" s="1220"/>
      <c r="BW168" s="1220"/>
      <c r="BX168" s="1220"/>
      <c r="BY168" s="1220">
        <f t="shared" ref="BY168:CH168" si="108">-$H168/84</f>
        <v>-307644.40386904776</v>
      </c>
      <c r="BZ168" s="1220">
        <f t="shared" si="108"/>
        <v>-307644.40386904776</v>
      </c>
      <c r="CA168" s="1220">
        <f t="shared" si="108"/>
        <v>-307644.40386904776</v>
      </c>
      <c r="CB168" s="1220">
        <f t="shared" si="108"/>
        <v>-307644.40386904776</v>
      </c>
      <c r="CC168" s="1220">
        <f t="shared" si="108"/>
        <v>-307644.40386904776</v>
      </c>
      <c r="CD168" s="1220">
        <f t="shared" si="108"/>
        <v>-307644.40386904776</v>
      </c>
      <c r="CE168" s="1220">
        <f t="shared" si="108"/>
        <v>-307644.40386904776</v>
      </c>
      <c r="CF168" s="1220">
        <f t="shared" si="108"/>
        <v>-307644.40386904776</v>
      </c>
      <c r="CG168" s="1220">
        <f t="shared" si="108"/>
        <v>-307644.40386904776</v>
      </c>
      <c r="CH168" s="1220">
        <f t="shared" si="108"/>
        <v>-307644.40386904776</v>
      </c>
      <c r="CI168" s="1220">
        <f t="shared" si="105"/>
        <v>-307644.40386904776</v>
      </c>
      <c r="CJ168" s="1220">
        <f t="shared" si="105"/>
        <v>-307644.40386904776</v>
      </c>
      <c r="CK168" s="1220">
        <f t="shared" si="105"/>
        <v>-307644.40386904776</v>
      </c>
      <c r="CL168" s="1220">
        <f t="shared" si="105"/>
        <v>-307644.40386904776</v>
      </c>
      <c r="CM168" s="1220">
        <f t="shared" si="105"/>
        <v>-307644.40386904776</v>
      </c>
      <c r="CN168" s="1220">
        <f t="shared" si="105"/>
        <v>-307644.40386904776</v>
      </c>
      <c r="CO168" s="1220">
        <f t="shared" si="105"/>
        <v>-307644.40386904776</v>
      </c>
      <c r="CP168" s="1220">
        <f t="shared" si="105"/>
        <v>-307644.40386904776</v>
      </c>
      <c r="CQ168" s="1220">
        <f t="shared" si="105"/>
        <v>-307644.40386904776</v>
      </c>
      <c r="CR168" s="1220">
        <f t="shared" si="105"/>
        <v>-307644.40386904776</v>
      </c>
      <c r="CS168" s="1220">
        <f t="shared" si="105"/>
        <v>-307644.40386904776</v>
      </c>
      <c r="CT168" s="1220">
        <f t="shared" si="105"/>
        <v>-307644.40386904776</v>
      </c>
      <c r="CU168" s="1220">
        <f t="shared" si="105"/>
        <v>-307644.40386904776</v>
      </c>
      <c r="CV168" s="1220">
        <f t="shared" si="105"/>
        <v>-307644.40386904776</v>
      </c>
      <c r="CW168" s="1220">
        <f t="shared" si="105"/>
        <v>-307644.40386904776</v>
      </c>
      <c r="CX168" s="1220">
        <f t="shared" si="105"/>
        <v>-307644.40386904776</v>
      </c>
      <c r="CY168" s="1220">
        <f t="shared" si="105"/>
        <v>-307644.40386904776</v>
      </c>
      <c r="CZ168" s="1220">
        <f t="shared" si="105"/>
        <v>-307644.40386904776</v>
      </c>
      <c r="DA168" s="1220">
        <f t="shared" si="105"/>
        <v>-307644.40386904776</v>
      </c>
      <c r="DB168" s="1220">
        <f t="shared" si="105"/>
        <v>-307644.40386904776</v>
      </c>
      <c r="DC168" s="1220">
        <f t="shared" si="105"/>
        <v>-307644.40386904776</v>
      </c>
      <c r="DD168" s="1220">
        <f t="shared" si="105"/>
        <v>-307644.40386904776</v>
      </c>
      <c r="DE168" s="1220">
        <f t="shared" si="105"/>
        <v>-307644.40386904776</v>
      </c>
      <c r="DF168" s="101"/>
      <c r="DG168" s="101"/>
      <c r="DH168" s="101"/>
      <c r="DI168" s="101"/>
      <c r="DJ168" s="101"/>
      <c r="DK168" s="101"/>
      <c r="DL168" s="101"/>
      <c r="DM168" s="101"/>
      <c r="DN168" s="101"/>
      <c r="DO168" s="101"/>
      <c r="DP168" s="101"/>
      <c r="DQ168" s="101"/>
      <c r="DR168" s="101"/>
      <c r="DS168" s="101"/>
      <c r="DT168" s="101"/>
      <c r="DU168" s="101"/>
      <c r="DV168" s="101"/>
      <c r="DW168" s="101"/>
      <c r="DX168" s="101"/>
      <c r="DY168" s="101"/>
      <c r="DZ168" s="101"/>
      <c r="EA168" s="101"/>
      <c r="EB168" s="101"/>
      <c r="EC168" s="101"/>
      <c r="ED168" s="101"/>
      <c r="EE168" s="101"/>
      <c r="EF168" s="101"/>
      <c r="EG168" s="101"/>
      <c r="EH168" s="101"/>
      <c r="EI168" s="101"/>
      <c r="EJ168" s="101"/>
      <c r="EK168" s="101"/>
      <c r="EL168" s="101"/>
      <c r="EM168" s="101"/>
      <c r="EN168" s="101"/>
      <c r="EO168" s="101"/>
      <c r="EP168" s="101"/>
      <c r="EQ168" s="101"/>
      <c r="ER168" s="101"/>
      <c r="ES168" s="101"/>
      <c r="ET168" s="101"/>
      <c r="EU168" s="101"/>
      <c r="EV168" s="101"/>
      <c r="EW168" s="101"/>
      <c r="EX168" s="101"/>
      <c r="EY168" s="101"/>
      <c r="EZ168" s="1220">
        <f t="shared" si="106"/>
        <v>-307644.40386904776</v>
      </c>
      <c r="FA168" s="1220">
        <f t="shared" si="106"/>
        <v>-307644.40386904776</v>
      </c>
      <c r="FB168" s="1220">
        <f t="shared" si="106"/>
        <v>-307644.40386904776</v>
      </c>
      <c r="FC168" s="1220">
        <f t="shared" si="106"/>
        <v>-307644.40386904776</v>
      </c>
      <c r="FD168" s="1220">
        <f t="shared" si="106"/>
        <v>-307644.40386904776</v>
      </c>
    </row>
    <row r="169" spans="1:164" x14ac:dyDescent="0.3">
      <c r="A169" s="1214"/>
      <c r="H169" s="1215"/>
      <c r="L169" s="1220"/>
      <c r="M169" s="1220"/>
      <c r="N169" s="1220"/>
      <c r="O169" s="1220"/>
      <c r="P169" s="1220"/>
      <c r="Q169" s="1220"/>
      <c r="R169" s="1220"/>
      <c r="S169" s="1220"/>
      <c r="T169" s="1220"/>
      <c r="U169" s="1220"/>
      <c r="V169" s="1220"/>
      <c r="W169" s="1220"/>
      <c r="X169" s="1220"/>
      <c r="Y169" s="1220"/>
      <c r="Z169" s="1220"/>
      <c r="AA169" s="1220"/>
      <c r="AB169" s="1220"/>
      <c r="AC169" s="1220"/>
      <c r="AD169" s="1220"/>
      <c r="AE169" s="1220"/>
      <c r="AF169" s="1220"/>
      <c r="AG169" s="1220"/>
      <c r="AH169" s="1220"/>
      <c r="AI169" s="1220"/>
      <c r="AJ169" s="1220"/>
      <c r="AK169" s="1220"/>
      <c r="AL169" s="1220"/>
      <c r="AM169" s="1220"/>
      <c r="AN169" s="1220"/>
      <c r="AO169" s="1220"/>
      <c r="AP169" s="1220"/>
      <c r="AQ169" s="1220"/>
      <c r="AR169" s="1220"/>
      <c r="AS169" s="1220"/>
      <c r="AT169" s="1220"/>
      <c r="AU169" s="1220"/>
      <c r="AV169" s="1220"/>
      <c r="AW169" s="1220"/>
      <c r="AX169" s="1220"/>
      <c r="AY169" s="1220"/>
      <c r="AZ169" s="1220"/>
      <c r="BA169" s="1220"/>
      <c r="BB169" s="1220"/>
      <c r="BC169" s="1220"/>
      <c r="BD169" s="1220"/>
      <c r="BE169" s="1220"/>
      <c r="BF169" s="1220"/>
      <c r="BG169" s="1220"/>
      <c r="BH169" s="1220"/>
      <c r="BI169" s="1220"/>
      <c r="BJ169" s="1220"/>
      <c r="BK169" s="1220"/>
      <c r="BL169" s="1220"/>
      <c r="BM169" s="1220"/>
      <c r="BN169" s="1220"/>
      <c r="BO169" s="1220"/>
      <c r="BP169" s="1220"/>
      <c r="BQ169" s="1220"/>
      <c r="BR169" s="1220"/>
      <c r="BS169" s="1220"/>
      <c r="BT169" s="1220"/>
      <c r="BU169" s="1220"/>
      <c r="BV169" s="1220"/>
      <c r="BW169" s="1220"/>
      <c r="BX169" s="1220"/>
      <c r="BY169" s="1220"/>
      <c r="BZ169" s="1220">
        <f>-$H169/84</f>
        <v>0</v>
      </c>
      <c r="CA169" s="1220"/>
      <c r="CB169" s="1220"/>
      <c r="CC169" s="1220"/>
      <c r="CD169" s="1220"/>
      <c r="CE169" s="1220"/>
      <c r="CF169" s="1220"/>
      <c r="CG169" s="1220"/>
      <c r="CH169" s="1220"/>
      <c r="CI169" s="1220"/>
      <c r="CJ169" s="1220"/>
      <c r="CK169" s="1220"/>
      <c r="CL169" s="1220"/>
      <c r="CM169" s="1220"/>
      <c r="CN169" s="1220"/>
      <c r="CO169" s="1220"/>
      <c r="CP169" s="1220"/>
      <c r="CQ169" s="1220"/>
      <c r="CR169" s="1220"/>
      <c r="CS169" s="1220"/>
      <c r="CT169" s="1220"/>
      <c r="CU169" s="1220"/>
      <c r="CV169" s="1220"/>
      <c r="CW169" s="1220"/>
      <c r="CX169" s="1220"/>
      <c r="CY169" s="1220"/>
      <c r="CZ169" s="1220"/>
      <c r="DA169" s="1220"/>
      <c r="DB169" s="1220"/>
      <c r="DC169" s="1220"/>
      <c r="DD169" s="1220"/>
      <c r="DE169" s="1220"/>
      <c r="DF169" s="101"/>
      <c r="DG169" s="101"/>
      <c r="DH169" s="101"/>
      <c r="DI169" s="101"/>
      <c r="DJ169" s="101"/>
      <c r="DK169" s="101"/>
      <c r="DL169" s="101"/>
      <c r="DM169" s="101"/>
      <c r="DN169" s="101"/>
      <c r="DO169" s="101"/>
      <c r="DP169" s="101"/>
      <c r="DQ169" s="101"/>
      <c r="DR169" s="101"/>
      <c r="DS169" s="101"/>
      <c r="DT169" s="101"/>
      <c r="DU169" s="101"/>
      <c r="DV169" s="101"/>
      <c r="DW169" s="101"/>
      <c r="DX169" s="101"/>
      <c r="DY169" s="101"/>
      <c r="DZ169" s="101"/>
      <c r="EA169" s="101"/>
      <c r="EB169" s="101"/>
      <c r="EC169" s="101"/>
      <c r="ED169" s="101"/>
      <c r="EE169" s="101"/>
      <c r="EF169" s="101"/>
      <c r="EG169" s="101"/>
      <c r="EH169" s="101"/>
      <c r="EI169" s="101"/>
      <c r="EJ169" s="101"/>
      <c r="EK169" s="101"/>
      <c r="EL169" s="101"/>
      <c r="EM169" s="101"/>
      <c r="EN169" s="101"/>
      <c r="EO169" s="101"/>
      <c r="EP169" s="101"/>
      <c r="EQ169" s="101"/>
      <c r="ER169" s="101"/>
      <c r="ES169" s="101"/>
      <c r="ET169" s="101"/>
      <c r="EU169" s="101"/>
      <c r="EV169" s="101"/>
      <c r="EW169" s="101"/>
      <c r="EX169" s="101"/>
      <c r="EY169" s="101"/>
      <c r="EZ169" s="1220"/>
      <c r="FA169" s="1220"/>
    </row>
    <row r="170" spans="1:164" x14ac:dyDescent="0.3">
      <c r="A170" s="1214" t="s">
        <v>2408</v>
      </c>
      <c r="H170" s="1215">
        <v>25842129.925000012</v>
      </c>
      <c r="L170" s="1220"/>
      <c r="M170" s="1220"/>
      <c r="N170" s="1220"/>
      <c r="O170" s="1220"/>
      <c r="P170" s="1220"/>
      <c r="Q170" s="1220"/>
      <c r="R170" s="1220"/>
      <c r="S170" s="1220"/>
      <c r="T170" s="1220"/>
      <c r="U170" s="1220"/>
      <c r="V170" s="1220"/>
      <c r="W170" s="1220"/>
      <c r="X170" s="1220"/>
      <c r="Y170" s="1220"/>
      <c r="Z170" s="1220"/>
      <c r="AA170" s="1220"/>
      <c r="AB170" s="1220"/>
      <c r="AC170" s="1220"/>
      <c r="AD170" s="1220"/>
      <c r="AE170" s="1220"/>
      <c r="AF170" s="1220"/>
      <c r="AG170" s="1220"/>
      <c r="AH170" s="1220"/>
      <c r="AI170" s="1220"/>
      <c r="AJ170" s="1220"/>
      <c r="AK170" s="1220"/>
      <c r="AL170" s="1220"/>
      <c r="AM170" s="1220"/>
      <c r="AN170" s="1220"/>
      <c r="AO170" s="1220"/>
      <c r="AP170" s="1220"/>
      <c r="AQ170" s="1220"/>
      <c r="AR170" s="1220"/>
      <c r="AS170" s="1220"/>
      <c r="AT170" s="1220"/>
      <c r="AU170" s="1220"/>
      <c r="AV170" s="1220"/>
      <c r="AW170" s="1220"/>
      <c r="AX170" s="1220"/>
      <c r="AY170" s="1220"/>
      <c r="AZ170" s="1220"/>
      <c r="BA170" s="1220"/>
      <c r="BB170" s="1220"/>
      <c r="BC170" s="1220"/>
      <c r="BD170" s="1220"/>
      <c r="BE170" s="1220"/>
      <c r="BF170" s="1220"/>
      <c r="BG170" s="1220"/>
      <c r="BH170" s="1220"/>
      <c r="BI170" s="1220"/>
      <c r="BJ170" s="1220"/>
      <c r="BK170" s="1220"/>
      <c r="BL170" s="1220"/>
      <c r="BM170" s="1220"/>
      <c r="BN170" s="1220"/>
      <c r="BO170" s="1220"/>
      <c r="BP170" s="1220"/>
      <c r="BQ170" s="1220"/>
      <c r="BR170" s="1220"/>
      <c r="BS170" s="1220"/>
      <c r="BT170" s="1220"/>
      <c r="BU170" s="1220"/>
      <c r="BV170" s="1220"/>
      <c r="BW170" s="1220"/>
      <c r="BX170" s="1220"/>
      <c r="BY170" s="1220"/>
      <c r="BZ170" s="1220">
        <f>-$H170/84</f>
        <v>-307644.40386904776</v>
      </c>
      <c r="CA170" s="1220">
        <f t="shared" ref="CA170:DE170" si="109">-$H170/84</f>
        <v>-307644.40386904776</v>
      </c>
      <c r="CB170" s="1220">
        <f t="shared" si="109"/>
        <v>-307644.40386904776</v>
      </c>
      <c r="CC170" s="1220">
        <f t="shared" si="109"/>
        <v>-307644.40386904776</v>
      </c>
      <c r="CD170" s="1220">
        <f t="shared" si="109"/>
        <v>-307644.40386904776</v>
      </c>
      <c r="CE170" s="1220">
        <f t="shared" si="109"/>
        <v>-307644.40386904776</v>
      </c>
      <c r="CF170" s="1220">
        <f t="shared" si="109"/>
        <v>-307644.40386904776</v>
      </c>
      <c r="CG170" s="1220">
        <f t="shared" si="109"/>
        <v>-307644.40386904776</v>
      </c>
      <c r="CH170" s="1220">
        <f t="shared" si="109"/>
        <v>-307644.40386904776</v>
      </c>
      <c r="CI170" s="1220">
        <f t="shared" si="109"/>
        <v>-307644.40386904776</v>
      </c>
      <c r="CJ170" s="1220">
        <f t="shared" si="109"/>
        <v>-307644.40386904776</v>
      </c>
      <c r="CK170" s="1220">
        <f t="shared" si="109"/>
        <v>-307644.40386904776</v>
      </c>
      <c r="CL170" s="1220">
        <f t="shared" si="109"/>
        <v>-307644.40386904776</v>
      </c>
      <c r="CM170" s="1220">
        <f t="shared" si="109"/>
        <v>-307644.40386904776</v>
      </c>
      <c r="CN170" s="1220">
        <f t="shared" si="109"/>
        <v>-307644.40386904776</v>
      </c>
      <c r="CO170" s="1220">
        <f t="shared" si="109"/>
        <v>-307644.40386904776</v>
      </c>
      <c r="CP170" s="1220">
        <f t="shared" si="109"/>
        <v>-307644.40386904776</v>
      </c>
      <c r="CQ170" s="1220">
        <f t="shared" si="109"/>
        <v>-307644.40386904776</v>
      </c>
      <c r="CR170" s="1220">
        <f t="shared" si="109"/>
        <v>-307644.40386904776</v>
      </c>
      <c r="CS170" s="1220">
        <f t="shared" si="109"/>
        <v>-307644.40386904776</v>
      </c>
      <c r="CT170" s="1220">
        <f t="shared" si="109"/>
        <v>-307644.40386904776</v>
      </c>
      <c r="CU170" s="1220">
        <f t="shared" si="109"/>
        <v>-307644.40386904776</v>
      </c>
      <c r="CV170" s="1220">
        <f t="shared" si="109"/>
        <v>-307644.40386904776</v>
      </c>
      <c r="CW170" s="1220">
        <f t="shared" si="109"/>
        <v>-307644.40386904776</v>
      </c>
      <c r="CX170" s="1220">
        <f t="shared" si="109"/>
        <v>-307644.40386904776</v>
      </c>
      <c r="CY170" s="1220">
        <f t="shared" si="109"/>
        <v>-307644.40386904776</v>
      </c>
      <c r="CZ170" s="1220">
        <f t="shared" si="109"/>
        <v>-307644.40386904776</v>
      </c>
      <c r="DA170" s="1220">
        <f t="shared" si="109"/>
        <v>-307644.40386904776</v>
      </c>
      <c r="DB170" s="1220">
        <f t="shared" si="109"/>
        <v>-307644.40386904776</v>
      </c>
      <c r="DC170" s="1220">
        <f t="shared" si="109"/>
        <v>-307644.40386904776</v>
      </c>
      <c r="DD170" s="1220">
        <f t="shared" si="109"/>
        <v>-307644.40386904776</v>
      </c>
      <c r="DE170" s="1220">
        <f t="shared" si="109"/>
        <v>-307644.40386904776</v>
      </c>
      <c r="DF170" s="101"/>
      <c r="DG170" s="101"/>
      <c r="DH170" s="101"/>
      <c r="DI170" s="101"/>
      <c r="DJ170" s="101"/>
      <c r="DK170" s="101"/>
      <c r="DL170" s="101"/>
      <c r="DM170" s="101"/>
      <c r="DN170" s="101"/>
      <c r="DO170" s="101"/>
      <c r="DP170" s="101"/>
      <c r="DQ170" s="101"/>
      <c r="DR170" s="101"/>
      <c r="DS170" s="101"/>
      <c r="DT170" s="101"/>
      <c r="DU170" s="101"/>
      <c r="DV170" s="101"/>
      <c r="DW170" s="101"/>
      <c r="DX170" s="101"/>
      <c r="DY170" s="101"/>
      <c r="DZ170" s="101"/>
      <c r="EA170" s="101"/>
      <c r="EB170" s="101"/>
      <c r="EC170" s="101"/>
      <c r="ED170" s="101"/>
      <c r="EE170" s="101"/>
      <c r="EF170" s="101"/>
      <c r="EG170" s="101"/>
      <c r="EH170" s="101"/>
      <c r="EI170" s="101"/>
      <c r="EJ170" s="101"/>
      <c r="EK170" s="101"/>
      <c r="EL170" s="101"/>
      <c r="EM170" s="101"/>
      <c r="EN170" s="101"/>
      <c r="EO170" s="101"/>
      <c r="EP170" s="101"/>
      <c r="EQ170" s="101"/>
      <c r="ER170" s="101"/>
      <c r="ES170" s="101"/>
      <c r="ET170" s="101"/>
      <c r="EU170" s="101"/>
      <c r="EV170" s="101"/>
      <c r="EW170" s="101"/>
      <c r="EX170" s="101"/>
      <c r="EY170" s="101"/>
      <c r="EZ170" s="1220">
        <f t="shared" ref="EZ170:FE170" si="110">-$H170/84</f>
        <v>-307644.40386904776</v>
      </c>
      <c r="FA170" s="1220">
        <f t="shared" si="110"/>
        <v>-307644.40386904776</v>
      </c>
      <c r="FB170" s="1220">
        <f t="shared" si="110"/>
        <v>-307644.40386904776</v>
      </c>
      <c r="FC170" s="1220">
        <f t="shared" si="110"/>
        <v>-307644.40386904776</v>
      </c>
      <c r="FD170" s="1220">
        <f t="shared" si="110"/>
        <v>-307644.40386904776</v>
      </c>
      <c r="FE170" s="1220">
        <f t="shared" si="110"/>
        <v>-307644.40386904776</v>
      </c>
    </row>
    <row r="171" spans="1:164" x14ac:dyDescent="0.3">
      <c r="A171" s="1214"/>
      <c r="H171" s="1215"/>
      <c r="L171" s="1220"/>
      <c r="M171" s="1220"/>
      <c r="N171" s="1220"/>
      <c r="O171" s="1220"/>
      <c r="P171" s="1220"/>
      <c r="Q171" s="1220"/>
      <c r="R171" s="1220"/>
      <c r="S171" s="1220"/>
      <c r="T171" s="1220"/>
      <c r="U171" s="1220"/>
      <c r="V171" s="1220"/>
      <c r="W171" s="1220"/>
      <c r="X171" s="1220"/>
      <c r="Y171" s="1220"/>
      <c r="Z171" s="1220"/>
      <c r="AA171" s="1220"/>
      <c r="AB171" s="1220"/>
      <c r="AC171" s="1220"/>
      <c r="AD171" s="1220"/>
      <c r="AE171" s="1220"/>
      <c r="AF171" s="1220"/>
      <c r="AG171" s="1220"/>
      <c r="AH171" s="1220"/>
      <c r="AI171" s="1220"/>
      <c r="AJ171" s="1220"/>
      <c r="AK171" s="1220"/>
      <c r="AL171" s="1220"/>
      <c r="AM171" s="1220"/>
      <c r="AN171" s="1220"/>
      <c r="AO171" s="1220"/>
      <c r="AP171" s="1220"/>
      <c r="AQ171" s="1220"/>
      <c r="AR171" s="1220"/>
      <c r="AS171" s="1220"/>
      <c r="AT171" s="1220"/>
      <c r="AU171" s="1220"/>
      <c r="AV171" s="1220"/>
      <c r="AW171" s="1220"/>
      <c r="AX171" s="1220"/>
      <c r="AY171" s="1220"/>
      <c r="AZ171" s="1220"/>
      <c r="BA171" s="1220"/>
      <c r="BB171" s="1220"/>
      <c r="BC171" s="1220"/>
      <c r="BD171" s="1220"/>
      <c r="BE171" s="1220"/>
      <c r="BF171" s="1220"/>
      <c r="BG171" s="1220"/>
      <c r="BH171" s="1220"/>
      <c r="BI171" s="1220"/>
      <c r="BJ171" s="1220"/>
      <c r="BK171" s="1220"/>
      <c r="BL171" s="1220"/>
      <c r="BM171" s="1220"/>
      <c r="BN171" s="1220"/>
      <c r="BO171" s="1220"/>
      <c r="BP171" s="1220"/>
      <c r="BQ171" s="1220"/>
      <c r="BR171" s="1220"/>
      <c r="BS171" s="1220"/>
      <c r="BT171" s="1220"/>
      <c r="BU171" s="1220"/>
      <c r="BV171" s="1220"/>
      <c r="BW171" s="1220"/>
      <c r="BX171" s="1220"/>
      <c r="BY171" s="1220"/>
      <c r="BZ171" s="1220">
        <f>-$H171/84</f>
        <v>0</v>
      </c>
      <c r="CA171" s="1220">
        <f>-$H171/84</f>
        <v>0</v>
      </c>
      <c r="CB171" s="1220"/>
      <c r="CC171" s="1220"/>
      <c r="CD171" s="1220"/>
      <c r="CE171" s="1220"/>
      <c r="CF171" s="1220"/>
      <c r="CG171" s="1220"/>
      <c r="CH171" s="1220"/>
      <c r="CI171" s="1220"/>
      <c r="CJ171" s="1220"/>
      <c r="CK171" s="1220"/>
      <c r="CL171" s="1220"/>
      <c r="CM171" s="1220"/>
      <c r="CN171" s="1220"/>
      <c r="CO171" s="1220"/>
      <c r="CP171" s="1220"/>
      <c r="CQ171" s="1220"/>
      <c r="CR171" s="1220"/>
      <c r="CS171" s="1220"/>
      <c r="CT171" s="1220"/>
      <c r="CU171" s="1220"/>
      <c r="CV171" s="1220"/>
      <c r="CW171" s="1220"/>
      <c r="CX171" s="1220"/>
      <c r="CY171" s="1220"/>
      <c r="CZ171" s="1220"/>
      <c r="DA171" s="1220"/>
      <c r="DB171" s="1220"/>
      <c r="DC171" s="1220"/>
      <c r="DD171" s="1220"/>
      <c r="DE171" s="1220"/>
      <c r="DF171" s="101"/>
      <c r="DG171" s="101"/>
      <c r="DH171" s="101"/>
      <c r="DI171" s="101"/>
      <c r="DJ171" s="101"/>
      <c r="DK171" s="101"/>
      <c r="DL171" s="101"/>
      <c r="DM171" s="101"/>
      <c r="DN171" s="101"/>
      <c r="DO171" s="101"/>
      <c r="DP171" s="101"/>
      <c r="DQ171" s="101"/>
      <c r="DR171" s="101"/>
      <c r="DS171" s="101"/>
      <c r="DT171" s="101"/>
      <c r="DU171" s="101"/>
      <c r="DV171" s="101"/>
      <c r="DW171" s="101"/>
      <c r="DX171" s="101"/>
      <c r="DY171" s="101"/>
      <c r="DZ171" s="101"/>
      <c r="EA171" s="101"/>
      <c r="EB171" s="101"/>
      <c r="EC171" s="101"/>
      <c r="ED171" s="101"/>
      <c r="EE171" s="101"/>
      <c r="EF171" s="101"/>
      <c r="EG171" s="101"/>
      <c r="EH171" s="101"/>
      <c r="EI171" s="101"/>
      <c r="EJ171" s="101"/>
      <c r="EK171" s="101"/>
      <c r="EL171" s="101"/>
      <c r="EM171" s="101"/>
      <c r="EN171" s="101"/>
      <c r="EO171" s="101"/>
      <c r="EP171" s="101"/>
      <c r="EQ171" s="101"/>
      <c r="ER171" s="101"/>
      <c r="ES171" s="101"/>
      <c r="ET171" s="101"/>
      <c r="EU171" s="101"/>
      <c r="EV171" s="101"/>
      <c r="EW171" s="101"/>
      <c r="EX171" s="101"/>
      <c r="EY171" s="101"/>
      <c r="EZ171" s="1220"/>
      <c r="FA171" s="1220"/>
    </row>
    <row r="172" spans="1:164" x14ac:dyDescent="0.3">
      <c r="A172" s="1214" t="s">
        <v>2409</v>
      </c>
      <c r="H172" s="1215">
        <v>25842129.925000012</v>
      </c>
      <c r="L172" s="1220"/>
      <c r="M172" s="1220"/>
      <c r="N172" s="1220"/>
      <c r="O172" s="1220"/>
      <c r="P172" s="1220"/>
      <c r="Q172" s="1220"/>
      <c r="R172" s="1220"/>
      <c r="S172" s="1220"/>
      <c r="T172" s="1220"/>
      <c r="U172" s="1220"/>
      <c r="V172" s="1220"/>
      <c r="W172" s="1220"/>
      <c r="X172" s="1220"/>
      <c r="Y172" s="1220"/>
      <c r="Z172" s="1220"/>
      <c r="AA172" s="1220"/>
      <c r="AB172" s="1220"/>
      <c r="AC172" s="1220"/>
      <c r="AD172" s="1220"/>
      <c r="AE172" s="1220"/>
      <c r="AF172" s="1220"/>
      <c r="AG172" s="1220"/>
      <c r="AH172" s="1220"/>
      <c r="AI172" s="1220"/>
      <c r="AJ172" s="1220"/>
      <c r="AK172" s="1220"/>
      <c r="AL172" s="1220"/>
      <c r="AM172" s="1220"/>
      <c r="AN172" s="1220"/>
      <c r="AO172" s="1220"/>
      <c r="AP172" s="1220"/>
      <c r="AQ172" s="1220"/>
      <c r="AR172" s="1220"/>
      <c r="AS172" s="1220"/>
      <c r="AT172" s="1220"/>
      <c r="AU172" s="1220"/>
      <c r="AV172" s="1220"/>
      <c r="AW172" s="1220"/>
      <c r="AX172" s="1220"/>
      <c r="AY172" s="1220"/>
      <c r="AZ172" s="1220"/>
      <c r="BA172" s="1220"/>
      <c r="BB172" s="1220"/>
      <c r="BC172" s="1220"/>
      <c r="BD172" s="1220"/>
      <c r="BE172" s="1220"/>
      <c r="BF172" s="1220"/>
      <c r="BG172" s="1220"/>
      <c r="BH172" s="1220"/>
      <c r="BI172" s="1220"/>
      <c r="BJ172" s="1220"/>
      <c r="BK172" s="1220"/>
      <c r="BL172" s="1220"/>
      <c r="BM172" s="1220"/>
      <c r="BN172" s="1220"/>
      <c r="BO172" s="1220"/>
      <c r="BP172" s="1220"/>
      <c r="BQ172" s="1220"/>
      <c r="BR172" s="1220"/>
      <c r="BS172" s="1220"/>
      <c r="BT172" s="1220"/>
      <c r="BU172" s="1220"/>
      <c r="BV172" s="1220"/>
      <c r="BW172" s="1220"/>
      <c r="BX172" s="1220"/>
      <c r="BY172" s="1220"/>
      <c r="BZ172" s="1220"/>
      <c r="CA172" s="1220">
        <f>-$H172/84</f>
        <v>-307644.40386904776</v>
      </c>
      <c r="CB172" s="1220">
        <f t="shared" ref="CB172:DE172" si="111">-$H172/84</f>
        <v>-307644.40386904776</v>
      </c>
      <c r="CC172" s="1220">
        <f t="shared" si="111"/>
        <v>-307644.40386904776</v>
      </c>
      <c r="CD172" s="1220">
        <f t="shared" si="111"/>
        <v>-307644.40386904776</v>
      </c>
      <c r="CE172" s="1220">
        <f t="shared" si="111"/>
        <v>-307644.40386904776</v>
      </c>
      <c r="CF172" s="1220">
        <f t="shared" si="111"/>
        <v>-307644.40386904776</v>
      </c>
      <c r="CG172" s="1220">
        <f t="shared" si="111"/>
        <v>-307644.40386904776</v>
      </c>
      <c r="CH172" s="1220">
        <f t="shared" si="111"/>
        <v>-307644.40386904776</v>
      </c>
      <c r="CI172" s="1220">
        <f t="shared" si="111"/>
        <v>-307644.40386904776</v>
      </c>
      <c r="CJ172" s="1220">
        <f t="shared" si="111"/>
        <v>-307644.40386904776</v>
      </c>
      <c r="CK172" s="1220">
        <f t="shared" si="111"/>
        <v>-307644.40386904776</v>
      </c>
      <c r="CL172" s="1220">
        <f t="shared" si="111"/>
        <v>-307644.40386904776</v>
      </c>
      <c r="CM172" s="1220">
        <f t="shared" si="111"/>
        <v>-307644.40386904776</v>
      </c>
      <c r="CN172" s="1220">
        <f t="shared" si="111"/>
        <v>-307644.40386904776</v>
      </c>
      <c r="CO172" s="1220">
        <f t="shared" si="111"/>
        <v>-307644.40386904776</v>
      </c>
      <c r="CP172" s="1220">
        <f t="shared" si="111"/>
        <v>-307644.40386904776</v>
      </c>
      <c r="CQ172" s="1220">
        <f t="shared" si="111"/>
        <v>-307644.40386904776</v>
      </c>
      <c r="CR172" s="1220">
        <f t="shared" si="111"/>
        <v>-307644.40386904776</v>
      </c>
      <c r="CS172" s="1220">
        <f t="shared" si="111"/>
        <v>-307644.40386904776</v>
      </c>
      <c r="CT172" s="1220">
        <f t="shared" si="111"/>
        <v>-307644.40386904776</v>
      </c>
      <c r="CU172" s="1220">
        <f t="shared" si="111"/>
        <v>-307644.40386904776</v>
      </c>
      <c r="CV172" s="1220">
        <f t="shared" si="111"/>
        <v>-307644.40386904776</v>
      </c>
      <c r="CW172" s="1220">
        <f t="shared" si="111"/>
        <v>-307644.40386904776</v>
      </c>
      <c r="CX172" s="1220">
        <f t="shared" si="111"/>
        <v>-307644.40386904776</v>
      </c>
      <c r="CY172" s="1220">
        <f t="shared" si="111"/>
        <v>-307644.40386904776</v>
      </c>
      <c r="CZ172" s="1220">
        <f t="shared" si="111"/>
        <v>-307644.40386904776</v>
      </c>
      <c r="DA172" s="1220">
        <f t="shared" si="111"/>
        <v>-307644.40386904776</v>
      </c>
      <c r="DB172" s="1220">
        <f t="shared" si="111"/>
        <v>-307644.40386904776</v>
      </c>
      <c r="DC172" s="1220">
        <f t="shared" si="111"/>
        <v>-307644.40386904776</v>
      </c>
      <c r="DD172" s="1220">
        <f t="shared" si="111"/>
        <v>-307644.40386904776</v>
      </c>
      <c r="DE172" s="1220">
        <f t="shared" si="111"/>
        <v>-307644.40386904776</v>
      </c>
      <c r="DF172" s="101"/>
      <c r="DG172" s="101"/>
      <c r="DH172" s="101"/>
      <c r="DI172" s="101"/>
      <c r="DJ172" s="101"/>
      <c r="DK172" s="101"/>
      <c r="DL172" s="101"/>
      <c r="DM172" s="101"/>
      <c r="DN172" s="101"/>
      <c r="DO172" s="101"/>
      <c r="DP172" s="101"/>
      <c r="DQ172" s="101"/>
      <c r="DR172" s="101"/>
      <c r="DS172" s="101"/>
      <c r="DT172" s="101"/>
      <c r="DU172" s="101"/>
      <c r="DV172" s="101"/>
      <c r="DW172" s="101"/>
      <c r="DX172" s="101"/>
      <c r="DY172" s="101"/>
      <c r="DZ172" s="101"/>
      <c r="EA172" s="101"/>
      <c r="EB172" s="101"/>
      <c r="EC172" s="101"/>
      <c r="ED172" s="101"/>
      <c r="EE172" s="101"/>
      <c r="EF172" s="101"/>
      <c r="EG172" s="101"/>
      <c r="EH172" s="101"/>
      <c r="EI172" s="101"/>
      <c r="EJ172" s="101"/>
      <c r="EK172" s="101"/>
      <c r="EL172" s="101"/>
      <c r="EM172" s="101"/>
      <c r="EN172" s="101"/>
      <c r="EO172" s="101"/>
      <c r="EP172" s="101"/>
      <c r="EQ172" s="101"/>
      <c r="ER172" s="101"/>
      <c r="ES172" s="101"/>
      <c r="ET172" s="101"/>
      <c r="EU172" s="101"/>
      <c r="EV172" s="101"/>
      <c r="EW172" s="101"/>
      <c r="EX172" s="101"/>
      <c r="EY172" s="101"/>
      <c r="EZ172" s="1220">
        <f t="shared" ref="EZ172:FF172" si="112">-$H172/84</f>
        <v>-307644.40386904776</v>
      </c>
      <c r="FA172" s="1220">
        <f t="shared" si="112"/>
        <v>-307644.40386904776</v>
      </c>
      <c r="FB172" s="1220">
        <f t="shared" si="112"/>
        <v>-307644.40386904776</v>
      </c>
      <c r="FC172" s="1220">
        <f t="shared" si="112"/>
        <v>-307644.40386904776</v>
      </c>
      <c r="FD172" s="1220">
        <f t="shared" si="112"/>
        <v>-307644.40386904776</v>
      </c>
      <c r="FE172" s="1220">
        <f t="shared" si="112"/>
        <v>-307644.40386904776</v>
      </c>
      <c r="FF172" s="1220">
        <f t="shared" si="112"/>
        <v>-307644.40386904776</v>
      </c>
    </row>
    <row r="173" spans="1:164" x14ac:dyDescent="0.3">
      <c r="A173" s="1214"/>
      <c r="H173" s="1215"/>
      <c r="L173" s="1220"/>
      <c r="M173" s="1220"/>
      <c r="N173" s="1220"/>
      <c r="O173" s="1220"/>
      <c r="P173" s="1220"/>
      <c r="Q173" s="1220"/>
      <c r="R173" s="1220"/>
      <c r="S173" s="1220"/>
      <c r="T173" s="1220"/>
      <c r="U173" s="1220"/>
      <c r="V173" s="1220"/>
      <c r="W173" s="1220"/>
      <c r="X173" s="1220"/>
      <c r="Y173" s="1220"/>
      <c r="Z173" s="1220"/>
      <c r="AA173" s="1220"/>
      <c r="AB173" s="1220"/>
      <c r="AC173" s="1220"/>
      <c r="AD173" s="1220"/>
      <c r="AE173" s="1220"/>
      <c r="AF173" s="1220"/>
      <c r="AG173" s="1220"/>
      <c r="AH173" s="1220"/>
      <c r="AI173" s="1220"/>
      <c r="AJ173" s="1220"/>
      <c r="AK173" s="1220"/>
      <c r="AL173" s="1220"/>
      <c r="AM173" s="1220"/>
      <c r="AN173" s="1220"/>
      <c r="AO173" s="1220"/>
      <c r="AP173" s="1220"/>
      <c r="AQ173" s="1220"/>
      <c r="AR173" s="1220"/>
      <c r="AS173" s="1220"/>
      <c r="AT173" s="1220"/>
      <c r="AU173" s="1220"/>
      <c r="AV173" s="1220"/>
      <c r="AW173" s="1220"/>
      <c r="AX173" s="1220"/>
      <c r="AY173" s="1220"/>
      <c r="AZ173" s="1220"/>
      <c r="BA173" s="1220"/>
      <c r="BB173" s="1220"/>
      <c r="BC173" s="1220"/>
      <c r="BD173" s="1220"/>
      <c r="BE173" s="1220"/>
      <c r="BF173" s="1220"/>
      <c r="BG173" s="1220"/>
      <c r="BH173" s="1220"/>
      <c r="BI173" s="1220"/>
      <c r="BJ173" s="1220"/>
      <c r="BK173" s="1220"/>
      <c r="BL173" s="1220"/>
      <c r="BM173" s="1220"/>
      <c r="BN173" s="1220"/>
      <c r="BO173" s="1220"/>
      <c r="BP173" s="1220"/>
      <c r="BQ173" s="1220"/>
      <c r="BR173" s="1220"/>
      <c r="BS173" s="1220"/>
      <c r="BT173" s="1220"/>
      <c r="BU173" s="1220"/>
      <c r="BV173" s="1220"/>
      <c r="BW173" s="1220"/>
      <c r="BX173" s="1220"/>
      <c r="BY173" s="1220"/>
      <c r="BZ173" s="1220"/>
      <c r="CA173" s="1220"/>
      <c r="CB173" s="1220">
        <f>-$H173/84</f>
        <v>0</v>
      </c>
      <c r="CC173" s="1220"/>
      <c r="CD173" s="1220"/>
      <c r="CE173" s="1220"/>
      <c r="CF173" s="1220"/>
      <c r="CG173" s="1220"/>
      <c r="CH173" s="1220"/>
      <c r="CI173" s="1220"/>
      <c r="CJ173" s="1220"/>
      <c r="CK173" s="1220"/>
      <c r="CL173" s="1220"/>
      <c r="CM173" s="1220"/>
      <c r="CN173" s="1220"/>
      <c r="CO173" s="1220"/>
      <c r="CP173" s="1220"/>
      <c r="CQ173" s="1220"/>
      <c r="CR173" s="1220"/>
      <c r="CS173" s="1220"/>
      <c r="CT173" s="1220"/>
      <c r="CU173" s="1220"/>
      <c r="CV173" s="1220"/>
      <c r="CW173" s="1220"/>
      <c r="CX173" s="1220"/>
      <c r="CY173" s="1220"/>
      <c r="CZ173" s="1220"/>
      <c r="DA173" s="1220"/>
      <c r="DB173" s="1220"/>
      <c r="DC173" s="1220"/>
      <c r="DD173" s="1220"/>
      <c r="DE173" s="1220"/>
      <c r="DF173" s="101"/>
      <c r="DG173" s="101"/>
      <c r="DH173" s="101"/>
      <c r="DI173" s="101"/>
      <c r="DJ173" s="101"/>
      <c r="DK173" s="101"/>
      <c r="DL173" s="101"/>
      <c r="DM173" s="101"/>
      <c r="DN173" s="101"/>
      <c r="DO173" s="101"/>
      <c r="DP173" s="101"/>
      <c r="DQ173" s="101"/>
      <c r="DR173" s="101"/>
      <c r="DS173" s="101"/>
      <c r="DT173" s="101"/>
      <c r="DU173" s="101"/>
      <c r="DV173" s="101"/>
      <c r="DW173" s="101"/>
      <c r="DX173" s="101"/>
      <c r="DY173" s="101"/>
      <c r="DZ173" s="101"/>
      <c r="EA173" s="101"/>
      <c r="EB173" s="101"/>
      <c r="EC173" s="101"/>
      <c r="ED173" s="101"/>
      <c r="EE173" s="101"/>
      <c r="EF173" s="101"/>
      <c r="EG173" s="101"/>
      <c r="EH173" s="101"/>
      <c r="EI173" s="101"/>
      <c r="EJ173" s="101"/>
      <c r="EK173" s="101"/>
      <c r="EL173" s="101"/>
      <c r="EM173" s="101"/>
      <c r="EN173" s="101"/>
      <c r="EO173" s="101"/>
      <c r="EP173" s="101"/>
      <c r="EQ173" s="101"/>
      <c r="ER173" s="101"/>
      <c r="ES173" s="101"/>
      <c r="ET173" s="101"/>
      <c r="EU173" s="101"/>
      <c r="EV173" s="101"/>
      <c r="EW173" s="101"/>
      <c r="EX173" s="101"/>
      <c r="EY173" s="101"/>
      <c r="EZ173" s="1220"/>
      <c r="FA173" s="1220"/>
    </row>
    <row r="174" spans="1:164" x14ac:dyDescent="0.3">
      <c r="A174" s="1214" t="s">
        <v>2410</v>
      </c>
      <c r="H174" s="1215">
        <v>25842129.925000012</v>
      </c>
      <c r="L174" s="1220"/>
      <c r="M174" s="1220"/>
      <c r="N174" s="1220"/>
      <c r="O174" s="1220"/>
      <c r="P174" s="1220"/>
      <c r="Q174" s="1220"/>
      <c r="R174" s="1220"/>
      <c r="S174" s="1220"/>
      <c r="T174" s="1220"/>
      <c r="U174" s="1220"/>
      <c r="V174" s="1220"/>
      <c r="W174" s="1220"/>
      <c r="X174" s="1220"/>
      <c r="Y174" s="1220"/>
      <c r="Z174" s="1220"/>
      <c r="AA174" s="1220"/>
      <c r="AB174" s="1220"/>
      <c r="AC174" s="1220"/>
      <c r="AD174" s="1220"/>
      <c r="AE174" s="1220"/>
      <c r="AF174" s="1220"/>
      <c r="AG174" s="1220"/>
      <c r="AH174" s="1220"/>
      <c r="AI174" s="1220"/>
      <c r="AJ174" s="1220"/>
      <c r="AK174" s="1220"/>
      <c r="AL174" s="1220"/>
      <c r="AM174" s="1220"/>
      <c r="AN174" s="1220"/>
      <c r="AO174" s="1220"/>
      <c r="AP174" s="1220"/>
      <c r="AQ174" s="1220"/>
      <c r="AR174" s="1220"/>
      <c r="AS174" s="1220"/>
      <c r="AT174" s="1220"/>
      <c r="AU174" s="1220"/>
      <c r="AV174" s="1220"/>
      <c r="AW174" s="1220"/>
      <c r="AX174" s="1220"/>
      <c r="AY174" s="1220"/>
      <c r="AZ174" s="1220"/>
      <c r="BA174" s="1220"/>
      <c r="BB174" s="1220"/>
      <c r="BC174" s="1220"/>
      <c r="BD174" s="1220"/>
      <c r="BE174" s="1220"/>
      <c r="BF174" s="1220"/>
      <c r="BG174" s="1220"/>
      <c r="BH174" s="1220"/>
      <c r="BI174" s="1220"/>
      <c r="BJ174" s="1220"/>
      <c r="BK174" s="1220"/>
      <c r="BL174" s="1220"/>
      <c r="BM174" s="1220"/>
      <c r="BN174" s="1220"/>
      <c r="BO174" s="1220"/>
      <c r="BP174" s="1220"/>
      <c r="BQ174" s="1220"/>
      <c r="BR174" s="1220"/>
      <c r="BS174" s="1220"/>
      <c r="BT174" s="1220"/>
      <c r="BU174" s="1220"/>
      <c r="BV174" s="1220"/>
      <c r="BW174" s="1220"/>
      <c r="BX174" s="1220"/>
      <c r="BY174" s="1220"/>
      <c r="BZ174" s="1220"/>
      <c r="CA174" s="1220"/>
      <c r="CB174" s="1220">
        <f>-$H174/84</f>
        <v>-307644.40386904776</v>
      </c>
      <c r="CC174" s="1220">
        <f t="shared" ref="CC174:DE174" si="113">-$H174/84</f>
        <v>-307644.40386904776</v>
      </c>
      <c r="CD174" s="1220">
        <f t="shared" si="113"/>
        <v>-307644.40386904776</v>
      </c>
      <c r="CE174" s="1220">
        <f t="shared" si="113"/>
        <v>-307644.40386904776</v>
      </c>
      <c r="CF174" s="1220">
        <f t="shared" si="113"/>
        <v>-307644.40386904776</v>
      </c>
      <c r="CG174" s="1220">
        <f t="shared" si="113"/>
        <v>-307644.40386904776</v>
      </c>
      <c r="CH174" s="1220">
        <f t="shared" si="113"/>
        <v>-307644.40386904776</v>
      </c>
      <c r="CI174" s="1220">
        <f t="shared" si="113"/>
        <v>-307644.40386904776</v>
      </c>
      <c r="CJ174" s="1220">
        <f t="shared" si="113"/>
        <v>-307644.40386904776</v>
      </c>
      <c r="CK174" s="1220">
        <f t="shared" si="113"/>
        <v>-307644.40386904776</v>
      </c>
      <c r="CL174" s="1220">
        <f t="shared" si="113"/>
        <v>-307644.40386904776</v>
      </c>
      <c r="CM174" s="1220">
        <f t="shared" si="113"/>
        <v>-307644.40386904776</v>
      </c>
      <c r="CN174" s="1220">
        <f t="shared" si="113"/>
        <v>-307644.40386904776</v>
      </c>
      <c r="CO174" s="1220">
        <f t="shared" si="113"/>
        <v>-307644.40386904776</v>
      </c>
      <c r="CP174" s="1220">
        <f t="shared" si="113"/>
        <v>-307644.40386904776</v>
      </c>
      <c r="CQ174" s="1220">
        <f t="shared" si="113"/>
        <v>-307644.40386904776</v>
      </c>
      <c r="CR174" s="1220">
        <f t="shared" si="113"/>
        <v>-307644.40386904776</v>
      </c>
      <c r="CS174" s="1220">
        <f t="shared" si="113"/>
        <v>-307644.40386904776</v>
      </c>
      <c r="CT174" s="1220">
        <f t="shared" si="113"/>
        <v>-307644.40386904776</v>
      </c>
      <c r="CU174" s="1220">
        <f t="shared" si="113"/>
        <v>-307644.40386904776</v>
      </c>
      <c r="CV174" s="1220">
        <f t="shared" si="113"/>
        <v>-307644.40386904776</v>
      </c>
      <c r="CW174" s="1220">
        <f t="shared" si="113"/>
        <v>-307644.40386904776</v>
      </c>
      <c r="CX174" s="1220">
        <f t="shared" si="113"/>
        <v>-307644.40386904776</v>
      </c>
      <c r="CY174" s="1220">
        <f t="shared" si="113"/>
        <v>-307644.40386904776</v>
      </c>
      <c r="CZ174" s="1220">
        <f t="shared" si="113"/>
        <v>-307644.40386904776</v>
      </c>
      <c r="DA174" s="1220">
        <f t="shared" si="113"/>
        <v>-307644.40386904776</v>
      </c>
      <c r="DB174" s="1220">
        <f t="shared" si="113"/>
        <v>-307644.40386904776</v>
      </c>
      <c r="DC174" s="1220">
        <f t="shared" si="113"/>
        <v>-307644.40386904776</v>
      </c>
      <c r="DD174" s="1220">
        <f t="shared" si="113"/>
        <v>-307644.40386904776</v>
      </c>
      <c r="DE174" s="1220">
        <f t="shared" si="113"/>
        <v>-307644.40386904776</v>
      </c>
      <c r="DF174" s="101"/>
      <c r="DG174" s="101"/>
      <c r="DH174" s="101"/>
      <c r="DI174" s="101"/>
      <c r="DJ174" s="101"/>
      <c r="DK174" s="101"/>
      <c r="DL174" s="101"/>
      <c r="DM174" s="101"/>
      <c r="DN174" s="101"/>
      <c r="DO174" s="101"/>
      <c r="DP174" s="101"/>
      <c r="DQ174" s="101"/>
      <c r="DR174" s="101"/>
      <c r="DS174" s="101"/>
      <c r="DT174" s="101"/>
      <c r="DU174" s="101"/>
      <c r="DV174" s="101"/>
      <c r="DW174" s="101"/>
      <c r="DX174" s="101"/>
      <c r="DY174" s="101"/>
      <c r="DZ174" s="101"/>
      <c r="EA174" s="101"/>
      <c r="EB174" s="101"/>
      <c r="EC174" s="101"/>
      <c r="ED174" s="101"/>
      <c r="EE174" s="101"/>
      <c r="EF174" s="101"/>
      <c r="EG174" s="101"/>
      <c r="EH174" s="101"/>
      <c r="EI174" s="101"/>
      <c r="EJ174" s="101"/>
      <c r="EK174" s="101"/>
      <c r="EL174" s="101"/>
      <c r="EM174" s="101"/>
      <c r="EN174" s="101"/>
      <c r="EO174" s="101"/>
      <c r="EP174" s="101"/>
      <c r="EQ174" s="101"/>
      <c r="ER174" s="101"/>
      <c r="ES174" s="101"/>
      <c r="ET174" s="101"/>
      <c r="EU174" s="101"/>
      <c r="EV174" s="101"/>
      <c r="EW174" s="101"/>
      <c r="EX174" s="101"/>
      <c r="EY174" s="101"/>
      <c r="EZ174" s="1220">
        <f t="shared" ref="EZ174:FG174" si="114">-$H174/84</f>
        <v>-307644.40386904776</v>
      </c>
      <c r="FA174" s="1220">
        <f t="shared" si="114"/>
        <v>-307644.40386904776</v>
      </c>
      <c r="FB174" s="1220">
        <f t="shared" si="114"/>
        <v>-307644.40386904776</v>
      </c>
      <c r="FC174" s="1220">
        <f t="shared" si="114"/>
        <v>-307644.40386904776</v>
      </c>
      <c r="FD174" s="1220">
        <f t="shared" si="114"/>
        <v>-307644.40386904776</v>
      </c>
      <c r="FE174" s="1220">
        <f t="shared" si="114"/>
        <v>-307644.40386904776</v>
      </c>
      <c r="FF174" s="1220">
        <f t="shared" si="114"/>
        <v>-307644.40386904776</v>
      </c>
      <c r="FG174" s="1220">
        <f t="shared" si="114"/>
        <v>-307644.40386904776</v>
      </c>
    </row>
    <row r="175" spans="1:164" x14ac:dyDescent="0.3">
      <c r="A175" s="1214"/>
      <c r="H175" s="1215"/>
      <c r="L175" s="1220"/>
      <c r="M175" s="1220"/>
      <c r="N175" s="1220"/>
      <c r="O175" s="1220"/>
      <c r="P175" s="1220"/>
      <c r="Q175" s="1220"/>
      <c r="R175" s="1220"/>
      <c r="S175" s="1220"/>
      <c r="T175" s="1220"/>
      <c r="U175" s="1220"/>
      <c r="V175" s="1220"/>
      <c r="W175" s="1220"/>
      <c r="X175" s="1220"/>
      <c r="Y175" s="1220"/>
      <c r="Z175" s="1220"/>
      <c r="AA175" s="1220"/>
      <c r="AB175" s="1220"/>
      <c r="AC175" s="1220"/>
      <c r="AD175" s="1220"/>
      <c r="AE175" s="1220"/>
      <c r="AF175" s="1220"/>
      <c r="AG175" s="1220"/>
      <c r="AH175" s="1220"/>
      <c r="AI175" s="1220"/>
      <c r="AJ175" s="1220"/>
      <c r="AK175" s="1220"/>
      <c r="AL175" s="1220"/>
      <c r="AM175" s="1220"/>
      <c r="AN175" s="1220"/>
      <c r="AO175" s="1220"/>
      <c r="AP175" s="1220"/>
      <c r="AQ175" s="1220"/>
      <c r="AR175" s="1220"/>
      <c r="AS175" s="1220"/>
      <c r="AT175" s="1220"/>
      <c r="AU175" s="1220"/>
      <c r="AV175" s="1220"/>
      <c r="AW175" s="1220"/>
      <c r="AX175" s="1220"/>
      <c r="AY175" s="1220"/>
      <c r="AZ175" s="1220"/>
      <c r="BA175" s="1220"/>
      <c r="BB175" s="1220"/>
      <c r="BC175" s="1220"/>
      <c r="BD175" s="1220"/>
      <c r="BE175" s="1220"/>
      <c r="BF175" s="1220"/>
      <c r="BG175" s="1220"/>
      <c r="BH175" s="1220"/>
      <c r="BI175" s="1220"/>
      <c r="BJ175" s="1220"/>
      <c r="BK175" s="1220"/>
      <c r="BL175" s="1220"/>
      <c r="BM175" s="1220"/>
      <c r="BN175" s="1220"/>
      <c r="BO175" s="1220"/>
      <c r="BP175" s="1220"/>
      <c r="BQ175" s="1220"/>
      <c r="BR175" s="1220"/>
      <c r="BS175" s="1220"/>
      <c r="BT175" s="1220"/>
      <c r="BU175" s="1220"/>
      <c r="BV175" s="1220"/>
      <c r="BW175" s="1220"/>
      <c r="BX175" s="1220"/>
      <c r="BY175" s="1220"/>
      <c r="BZ175" s="1220"/>
      <c r="CA175" s="1220"/>
      <c r="CB175" s="1220"/>
      <c r="CC175" s="1220"/>
      <c r="CD175" s="1220"/>
      <c r="CE175" s="1220"/>
      <c r="CF175" s="1220"/>
      <c r="CG175" s="1220"/>
      <c r="CH175" s="1220"/>
      <c r="CI175" s="1220"/>
      <c r="CJ175" s="1220"/>
      <c r="CK175" s="1220"/>
      <c r="CL175" s="1220"/>
      <c r="CM175" s="1220"/>
      <c r="CN175" s="1220"/>
      <c r="CO175" s="1220"/>
      <c r="CP175" s="1220"/>
      <c r="CQ175" s="1220"/>
      <c r="CR175" s="1220"/>
      <c r="CS175" s="1220"/>
      <c r="CT175" s="1220"/>
      <c r="CU175" s="1220"/>
      <c r="CV175" s="1220"/>
      <c r="CW175" s="1220"/>
      <c r="CX175" s="1220"/>
      <c r="CY175" s="1220"/>
      <c r="CZ175" s="1220"/>
      <c r="DA175" s="1220"/>
      <c r="DB175" s="1220"/>
      <c r="DC175" s="1220"/>
      <c r="DD175" s="1220"/>
      <c r="DE175" s="1220"/>
      <c r="DF175" s="101"/>
      <c r="DG175" s="101"/>
      <c r="DH175" s="101"/>
      <c r="DI175" s="101"/>
      <c r="DJ175" s="101"/>
      <c r="DK175" s="101"/>
      <c r="DL175" s="101"/>
      <c r="DM175" s="101"/>
      <c r="DN175" s="101"/>
      <c r="DO175" s="101"/>
      <c r="DP175" s="101"/>
      <c r="DQ175" s="101"/>
      <c r="DR175" s="101"/>
      <c r="DS175" s="101"/>
      <c r="DT175" s="101"/>
      <c r="DU175" s="101"/>
      <c r="DV175" s="101"/>
      <c r="DW175" s="101"/>
      <c r="DX175" s="101"/>
      <c r="DY175" s="101"/>
      <c r="DZ175" s="101"/>
      <c r="EA175" s="101"/>
      <c r="EB175" s="101"/>
      <c r="EC175" s="101"/>
      <c r="ED175" s="101"/>
      <c r="EE175" s="101"/>
      <c r="EF175" s="101"/>
      <c r="EG175" s="101"/>
      <c r="EH175" s="101"/>
      <c r="EI175" s="101"/>
      <c r="EJ175" s="101"/>
      <c r="EK175" s="101"/>
      <c r="EL175" s="101"/>
      <c r="EM175" s="101"/>
      <c r="EN175" s="101"/>
      <c r="EO175" s="101"/>
      <c r="EP175" s="101"/>
      <c r="EQ175" s="101"/>
      <c r="ER175" s="101"/>
      <c r="ES175" s="101"/>
      <c r="ET175" s="101"/>
      <c r="EU175" s="101"/>
      <c r="EV175" s="101"/>
      <c r="EW175" s="101"/>
      <c r="EX175" s="101"/>
      <c r="EY175" s="101"/>
      <c r="EZ175" s="1220"/>
      <c r="FA175" s="1220"/>
      <c r="FB175" s="1220"/>
      <c r="FC175" s="1220"/>
      <c r="FD175" s="1220"/>
      <c r="FE175" s="1220"/>
      <c r="FF175" s="1220"/>
      <c r="FG175" s="1220"/>
    </row>
    <row r="176" spans="1:164" x14ac:dyDescent="0.3">
      <c r="A176" s="1214" t="s">
        <v>2417</v>
      </c>
      <c r="H176" s="1215">
        <v>25842129.925000012</v>
      </c>
      <c r="L176" s="1220"/>
      <c r="M176" s="1220"/>
      <c r="N176" s="1220"/>
      <c r="O176" s="1220"/>
      <c r="P176" s="1220"/>
      <c r="Q176" s="1220"/>
      <c r="R176" s="1220"/>
      <c r="S176" s="1220"/>
      <c r="T176" s="1220"/>
      <c r="U176" s="1220"/>
      <c r="V176" s="1220"/>
      <c r="W176" s="1220"/>
      <c r="X176" s="1220"/>
      <c r="Y176" s="1220"/>
      <c r="Z176" s="1220"/>
      <c r="AA176" s="1220"/>
      <c r="AB176" s="1220"/>
      <c r="AC176" s="1220"/>
      <c r="AD176" s="1220"/>
      <c r="AE176" s="1220"/>
      <c r="AF176" s="1220"/>
      <c r="AG176" s="1220"/>
      <c r="AH176" s="1220"/>
      <c r="AI176" s="1220"/>
      <c r="AJ176" s="1220"/>
      <c r="AK176" s="1220"/>
      <c r="AL176" s="1220"/>
      <c r="AM176" s="1220"/>
      <c r="AN176" s="1220"/>
      <c r="AO176" s="1220"/>
      <c r="AP176" s="1220"/>
      <c r="AQ176" s="1220"/>
      <c r="AR176" s="1220"/>
      <c r="AS176" s="1220"/>
      <c r="AT176" s="1220"/>
      <c r="AU176" s="1220"/>
      <c r="AV176" s="1220"/>
      <c r="AW176" s="1220"/>
      <c r="AX176" s="1220"/>
      <c r="AY176" s="1220"/>
      <c r="AZ176" s="1220"/>
      <c r="BA176" s="1220"/>
      <c r="BB176" s="1220"/>
      <c r="BC176" s="1220"/>
      <c r="BD176" s="1220"/>
      <c r="BE176" s="1220"/>
      <c r="BF176" s="1220"/>
      <c r="BG176" s="1220"/>
      <c r="BH176" s="1220"/>
      <c r="BI176" s="1220"/>
      <c r="BJ176" s="1220"/>
      <c r="BK176" s="1220"/>
      <c r="BL176" s="1220"/>
      <c r="BM176" s="1220"/>
      <c r="BN176" s="1220"/>
      <c r="BO176" s="1220"/>
      <c r="BP176" s="1220"/>
      <c r="BQ176" s="1220"/>
      <c r="BR176" s="1220"/>
      <c r="BS176" s="1220"/>
      <c r="BT176" s="1220"/>
      <c r="BU176" s="1220"/>
      <c r="BV176" s="1220"/>
      <c r="BW176" s="1220"/>
      <c r="BX176" s="1220"/>
      <c r="BY176" s="1220"/>
      <c r="BZ176" s="1220"/>
      <c r="CA176" s="1220"/>
      <c r="CB176" s="1220"/>
      <c r="CC176" s="1220">
        <f t="shared" ref="CC176:DE176" si="115">-$H176/84</f>
        <v>-307644.40386904776</v>
      </c>
      <c r="CD176" s="1220">
        <f t="shared" si="115"/>
        <v>-307644.40386904776</v>
      </c>
      <c r="CE176" s="1220">
        <f t="shared" si="115"/>
        <v>-307644.40386904776</v>
      </c>
      <c r="CF176" s="1220">
        <f t="shared" si="115"/>
        <v>-307644.40386904776</v>
      </c>
      <c r="CG176" s="1220">
        <f t="shared" si="115"/>
        <v>-307644.40386904776</v>
      </c>
      <c r="CH176" s="1220">
        <f t="shared" si="115"/>
        <v>-307644.40386904776</v>
      </c>
      <c r="CI176" s="1220">
        <f t="shared" si="115"/>
        <v>-307644.40386904776</v>
      </c>
      <c r="CJ176" s="1220">
        <f t="shared" si="115"/>
        <v>-307644.40386904776</v>
      </c>
      <c r="CK176" s="1220">
        <f t="shared" si="115"/>
        <v>-307644.40386904776</v>
      </c>
      <c r="CL176" s="1220">
        <f t="shared" si="115"/>
        <v>-307644.40386904776</v>
      </c>
      <c r="CM176" s="1220">
        <f t="shared" si="115"/>
        <v>-307644.40386904776</v>
      </c>
      <c r="CN176" s="1220">
        <f t="shared" si="115"/>
        <v>-307644.40386904776</v>
      </c>
      <c r="CO176" s="1220">
        <f t="shared" si="115"/>
        <v>-307644.40386904776</v>
      </c>
      <c r="CP176" s="1220">
        <f t="shared" si="115"/>
        <v>-307644.40386904776</v>
      </c>
      <c r="CQ176" s="1220">
        <f t="shared" si="115"/>
        <v>-307644.40386904776</v>
      </c>
      <c r="CR176" s="1220">
        <f t="shared" si="115"/>
        <v>-307644.40386904776</v>
      </c>
      <c r="CS176" s="1220">
        <f t="shared" si="115"/>
        <v>-307644.40386904776</v>
      </c>
      <c r="CT176" s="1220">
        <f t="shared" si="115"/>
        <v>-307644.40386904776</v>
      </c>
      <c r="CU176" s="1220">
        <f t="shared" si="115"/>
        <v>-307644.40386904776</v>
      </c>
      <c r="CV176" s="1220">
        <f t="shared" si="115"/>
        <v>-307644.40386904776</v>
      </c>
      <c r="CW176" s="1220">
        <f t="shared" si="115"/>
        <v>-307644.40386904776</v>
      </c>
      <c r="CX176" s="1220">
        <f t="shared" si="115"/>
        <v>-307644.40386904776</v>
      </c>
      <c r="CY176" s="1220">
        <f t="shared" si="115"/>
        <v>-307644.40386904776</v>
      </c>
      <c r="CZ176" s="1220">
        <f t="shared" si="115"/>
        <v>-307644.40386904776</v>
      </c>
      <c r="DA176" s="1220">
        <f t="shared" si="115"/>
        <v>-307644.40386904776</v>
      </c>
      <c r="DB176" s="1220">
        <f t="shared" si="115"/>
        <v>-307644.40386904776</v>
      </c>
      <c r="DC176" s="1220">
        <f t="shared" si="115"/>
        <v>-307644.40386904776</v>
      </c>
      <c r="DD176" s="1220">
        <f t="shared" si="115"/>
        <v>-307644.40386904776</v>
      </c>
      <c r="DE176" s="1220">
        <f t="shared" si="115"/>
        <v>-307644.40386904776</v>
      </c>
      <c r="DF176" s="101"/>
      <c r="DG176" s="101"/>
      <c r="DH176" s="101"/>
      <c r="DI176" s="101"/>
      <c r="DJ176" s="101"/>
      <c r="DK176" s="101"/>
      <c r="DL176" s="101"/>
      <c r="DM176" s="101"/>
      <c r="DN176" s="101"/>
      <c r="DO176" s="101"/>
      <c r="DP176" s="101"/>
      <c r="DQ176" s="101"/>
      <c r="DR176" s="101"/>
      <c r="DS176" s="101"/>
      <c r="DT176" s="101"/>
      <c r="DU176" s="101"/>
      <c r="DV176" s="101"/>
      <c r="DW176" s="101"/>
      <c r="DX176" s="101"/>
      <c r="DY176" s="101"/>
      <c r="DZ176" s="101"/>
      <c r="EA176" s="101"/>
      <c r="EB176" s="101"/>
      <c r="EC176" s="101"/>
      <c r="ED176" s="101"/>
      <c r="EE176" s="101"/>
      <c r="EF176" s="101"/>
      <c r="EG176" s="101"/>
      <c r="EH176" s="101"/>
      <c r="EI176" s="101"/>
      <c r="EJ176" s="101"/>
      <c r="EK176" s="101"/>
      <c r="EL176" s="101"/>
      <c r="EM176" s="101"/>
      <c r="EN176" s="101"/>
      <c r="EO176" s="101"/>
      <c r="EP176" s="101"/>
      <c r="EQ176" s="101"/>
      <c r="ER176" s="101"/>
      <c r="ES176" s="101"/>
      <c r="ET176" s="101"/>
      <c r="EU176" s="101"/>
      <c r="EV176" s="101"/>
      <c r="EW176" s="101"/>
      <c r="EX176" s="101"/>
      <c r="EY176" s="101"/>
      <c r="EZ176" s="1220">
        <f t="shared" ref="EZ176:FH176" si="116">-$H176/84</f>
        <v>-307644.40386904776</v>
      </c>
      <c r="FA176" s="1220">
        <f t="shared" si="116"/>
        <v>-307644.40386904776</v>
      </c>
      <c r="FB176" s="1220">
        <f t="shared" si="116"/>
        <v>-307644.40386904776</v>
      </c>
      <c r="FC176" s="1220">
        <f t="shared" si="116"/>
        <v>-307644.40386904776</v>
      </c>
      <c r="FD176" s="1220">
        <f t="shared" si="116"/>
        <v>-307644.40386904776</v>
      </c>
      <c r="FE176" s="1220">
        <f t="shared" si="116"/>
        <v>-307644.40386904776</v>
      </c>
      <c r="FF176" s="1220">
        <f t="shared" si="116"/>
        <v>-307644.40386904776</v>
      </c>
      <c r="FG176" s="1220">
        <f t="shared" si="116"/>
        <v>-307644.40386904776</v>
      </c>
      <c r="FH176" s="1220">
        <f t="shared" si="116"/>
        <v>-307644.40386904776</v>
      </c>
    </row>
    <row r="177" spans="1:173" x14ac:dyDescent="0.3">
      <c r="A177" s="1214"/>
      <c r="H177" s="1215"/>
      <c r="L177" s="1220"/>
      <c r="M177" s="1220"/>
      <c r="N177" s="1220"/>
      <c r="O177" s="1220"/>
      <c r="P177" s="1220"/>
      <c r="Q177" s="1220"/>
      <c r="R177" s="1220"/>
      <c r="S177" s="1220"/>
      <c r="T177" s="1220"/>
      <c r="U177" s="1220"/>
      <c r="V177" s="1220"/>
      <c r="W177" s="1220"/>
      <c r="X177" s="1220"/>
      <c r="Y177" s="1220"/>
      <c r="Z177" s="1220"/>
      <c r="AA177" s="1220"/>
      <c r="AB177" s="1220"/>
      <c r="AC177" s="1220"/>
      <c r="AD177" s="1220"/>
      <c r="AE177" s="1220"/>
      <c r="AF177" s="1220"/>
      <c r="AG177" s="1220"/>
      <c r="AH177" s="1220"/>
      <c r="AI177" s="1220"/>
      <c r="AJ177" s="1220"/>
      <c r="AK177" s="1220"/>
      <c r="AL177" s="1220"/>
      <c r="AM177" s="1220"/>
      <c r="AN177" s="1220"/>
      <c r="AO177" s="1220"/>
      <c r="AP177" s="1220"/>
      <c r="AQ177" s="1220"/>
      <c r="AR177" s="1220"/>
      <c r="AS177" s="1220"/>
      <c r="AT177" s="1220"/>
      <c r="AU177" s="1220"/>
      <c r="AV177" s="1220"/>
      <c r="AW177" s="1220"/>
      <c r="AX177" s="1220"/>
      <c r="AY177" s="1220"/>
      <c r="AZ177" s="1220"/>
      <c r="BA177" s="1220"/>
      <c r="BB177" s="1220"/>
      <c r="BC177" s="1220"/>
      <c r="BD177" s="1220"/>
      <c r="BE177" s="1220"/>
      <c r="BF177" s="1220"/>
      <c r="BG177" s="1220"/>
      <c r="BH177" s="1220"/>
      <c r="BI177" s="1220"/>
      <c r="BJ177" s="1220"/>
      <c r="BK177" s="1220"/>
      <c r="BL177" s="1220"/>
      <c r="BM177" s="1220"/>
      <c r="BN177" s="1220"/>
      <c r="BO177" s="1220"/>
      <c r="BP177" s="1220"/>
      <c r="BQ177" s="1220"/>
      <c r="BR177" s="1220"/>
      <c r="BS177" s="1220"/>
      <c r="BT177" s="1220"/>
      <c r="BU177" s="1220"/>
      <c r="BV177" s="1220"/>
      <c r="BW177" s="1220"/>
      <c r="BX177" s="1220"/>
      <c r="BY177" s="1220"/>
      <c r="BZ177" s="1220"/>
      <c r="CA177" s="1220"/>
      <c r="CB177" s="1220"/>
      <c r="CC177" s="1220"/>
      <c r="CD177" s="1220">
        <f>-$H177/84</f>
        <v>0</v>
      </c>
      <c r="CE177" s="1220"/>
      <c r="CF177" s="1220"/>
      <c r="CG177" s="1220"/>
      <c r="CH177" s="1220"/>
      <c r="CI177" s="1220"/>
      <c r="CJ177" s="1220"/>
      <c r="CK177" s="1220"/>
      <c r="CL177" s="1220"/>
      <c r="CM177" s="1220"/>
      <c r="CN177" s="1220"/>
      <c r="CO177" s="1220"/>
      <c r="CP177" s="1220"/>
      <c r="CQ177" s="1220"/>
      <c r="CR177" s="1220"/>
      <c r="CS177" s="1220"/>
      <c r="CT177" s="1220"/>
      <c r="CU177" s="1220"/>
      <c r="CV177" s="1220"/>
      <c r="CW177" s="1220"/>
      <c r="CX177" s="1220"/>
      <c r="CY177" s="1220"/>
      <c r="CZ177" s="1220"/>
      <c r="DA177" s="1220"/>
      <c r="DB177" s="1220"/>
      <c r="DC177" s="1220"/>
      <c r="DD177" s="1220"/>
      <c r="DE177" s="1220"/>
      <c r="DF177" s="101"/>
      <c r="DG177" s="101"/>
      <c r="DH177" s="101"/>
      <c r="DI177" s="101"/>
      <c r="DJ177" s="101"/>
      <c r="DK177" s="101"/>
      <c r="DL177" s="101"/>
      <c r="DM177" s="101"/>
      <c r="DN177" s="101"/>
      <c r="DO177" s="101"/>
      <c r="DP177" s="101"/>
      <c r="DQ177" s="101"/>
      <c r="DR177" s="101"/>
      <c r="DS177" s="101"/>
      <c r="DT177" s="101"/>
      <c r="DU177" s="101"/>
      <c r="DV177" s="101"/>
      <c r="DW177" s="101"/>
      <c r="DX177" s="101"/>
      <c r="DY177" s="101"/>
      <c r="DZ177" s="101"/>
      <c r="EA177" s="101"/>
      <c r="EB177" s="101"/>
      <c r="EC177" s="101"/>
      <c r="ED177" s="101"/>
      <c r="EE177" s="101"/>
      <c r="EF177" s="101"/>
      <c r="EG177" s="101"/>
      <c r="EH177" s="101"/>
      <c r="EI177" s="101"/>
      <c r="EJ177" s="101"/>
      <c r="EK177" s="101"/>
      <c r="EL177" s="101"/>
      <c r="EM177" s="101"/>
      <c r="EN177" s="101"/>
      <c r="EO177" s="101"/>
      <c r="EP177" s="101"/>
      <c r="EQ177" s="101"/>
      <c r="ER177" s="101"/>
      <c r="ES177" s="101"/>
      <c r="ET177" s="101"/>
      <c r="EU177" s="101"/>
      <c r="EV177" s="101"/>
      <c r="EW177" s="101"/>
      <c r="EX177" s="101"/>
      <c r="EY177" s="101"/>
      <c r="EZ177" s="1220"/>
      <c r="FA177" s="1220"/>
      <c r="FB177" s="1220"/>
      <c r="FC177" s="1220"/>
      <c r="FD177" s="1220"/>
      <c r="FE177" s="1220"/>
      <c r="FF177" s="1220"/>
      <c r="FG177" s="1220"/>
    </row>
    <row r="178" spans="1:173" x14ac:dyDescent="0.3">
      <c r="A178" s="1214" t="s">
        <v>2418</v>
      </c>
      <c r="H178" s="1215">
        <v>25842129.925000012</v>
      </c>
      <c r="L178" s="1220"/>
      <c r="M178" s="1220"/>
      <c r="N178" s="1220"/>
      <c r="O178" s="1220"/>
      <c r="P178" s="1220"/>
      <c r="Q178" s="1220"/>
      <c r="R178" s="1220"/>
      <c r="S178" s="1220"/>
      <c r="T178" s="1220"/>
      <c r="U178" s="1220"/>
      <c r="V178" s="1220"/>
      <c r="W178" s="1220"/>
      <c r="X178" s="1220"/>
      <c r="Y178" s="1220"/>
      <c r="Z178" s="1220"/>
      <c r="AA178" s="1220"/>
      <c r="AB178" s="1220"/>
      <c r="AC178" s="1220"/>
      <c r="AD178" s="1220"/>
      <c r="AE178" s="1220"/>
      <c r="AF178" s="1220"/>
      <c r="AG178" s="1220"/>
      <c r="AH178" s="1220"/>
      <c r="AI178" s="1220"/>
      <c r="AJ178" s="1220"/>
      <c r="AK178" s="1220"/>
      <c r="AL178" s="1220"/>
      <c r="AM178" s="1220"/>
      <c r="AN178" s="1220"/>
      <c r="AO178" s="1220"/>
      <c r="AP178" s="1220"/>
      <c r="AQ178" s="1220"/>
      <c r="AR178" s="1220"/>
      <c r="AS178" s="1220"/>
      <c r="AT178" s="1220"/>
      <c r="AU178" s="1220"/>
      <c r="AV178" s="1220"/>
      <c r="AW178" s="1220"/>
      <c r="AX178" s="1220"/>
      <c r="AY178" s="1220"/>
      <c r="AZ178" s="1220"/>
      <c r="BA178" s="1220"/>
      <c r="BB178" s="1220"/>
      <c r="BC178" s="1220"/>
      <c r="BD178" s="1220"/>
      <c r="BE178" s="1220"/>
      <c r="BF178" s="1220"/>
      <c r="BG178" s="1220"/>
      <c r="BH178" s="1220"/>
      <c r="BI178" s="1220"/>
      <c r="BJ178" s="1220"/>
      <c r="BK178" s="1220"/>
      <c r="BL178" s="1220"/>
      <c r="BM178" s="1220"/>
      <c r="BN178" s="1220"/>
      <c r="BO178" s="1220"/>
      <c r="BP178" s="1220"/>
      <c r="BQ178" s="1220"/>
      <c r="BR178" s="1220"/>
      <c r="BS178" s="1220"/>
      <c r="BT178" s="1220"/>
      <c r="BU178" s="1220"/>
      <c r="BV178" s="1220"/>
      <c r="BW178" s="1220"/>
      <c r="BX178" s="1220"/>
      <c r="BY178" s="1220"/>
      <c r="BZ178" s="1220"/>
      <c r="CA178" s="1220"/>
      <c r="CB178" s="1220"/>
      <c r="CC178" s="1220"/>
      <c r="CD178" s="1220">
        <f>-$H178/84</f>
        <v>-307644.40386904776</v>
      </c>
      <c r="CE178" s="1220">
        <f>-$H178/84</f>
        <v>-307644.40386904776</v>
      </c>
      <c r="CF178" s="1220">
        <f t="shared" ref="CF178:DE178" si="117">-$H178/84</f>
        <v>-307644.40386904776</v>
      </c>
      <c r="CG178" s="1220">
        <f t="shared" si="117"/>
        <v>-307644.40386904776</v>
      </c>
      <c r="CH178" s="1220">
        <f t="shared" si="117"/>
        <v>-307644.40386904776</v>
      </c>
      <c r="CI178" s="1220">
        <f t="shared" si="117"/>
        <v>-307644.40386904776</v>
      </c>
      <c r="CJ178" s="1220">
        <f t="shared" si="117"/>
        <v>-307644.40386904776</v>
      </c>
      <c r="CK178" s="1220">
        <f t="shared" si="117"/>
        <v>-307644.40386904776</v>
      </c>
      <c r="CL178" s="1220">
        <f t="shared" si="117"/>
        <v>-307644.40386904776</v>
      </c>
      <c r="CM178" s="1220">
        <f t="shared" si="117"/>
        <v>-307644.40386904776</v>
      </c>
      <c r="CN178" s="1220">
        <f t="shared" si="117"/>
        <v>-307644.40386904776</v>
      </c>
      <c r="CO178" s="1220">
        <f t="shared" si="117"/>
        <v>-307644.40386904776</v>
      </c>
      <c r="CP178" s="1220">
        <f t="shared" si="117"/>
        <v>-307644.40386904776</v>
      </c>
      <c r="CQ178" s="1220">
        <f t="shared" si="117"/>
        <v>-307644.40386904776</v>
      </c>
      <c r="CR178" s="1220">
        <f t="shared" si="117"/>
        <v>-307644.40386904776</v>
      </c>
      <c r="CS178" s="1220">
        <f t="shared" si="117"/>
        <v>-307644.40386904776</v>
      </c>
      <c r="CT178" s="1220">
        <f t="shared" si="117"/>
        <v>-307644.40386904776</v>
      </c>
      <c r="CU178" s="1220">
        <f t="shared" si="117"/>
        <v>-307644.40386904776</v>
      </c>
      <c r="CV178" s="1220">
        <f t="shared" si="117"/>
        <v>-307644.40386904776</v>
      </c>
      <c r="CW178" s="1220">
        <f t="shared" si="117"/>
        <v>-307644.40386904776</v>
      </c>
      <c r="CX178" s="1220">
        <f t="shared" si="117"/>
        <v>-307644.40386904776</v>
      </c>
      <c r="CY178" s="1220">
        <f t="shared" si="117"/>
        <v>-307644.40386904776</v>
      </c>
      <c r="CZ178" s="1220">
        <f t="shared" si="117"/>
        <v>-307644.40386904776</v>
      </c>
      <c r="DA178" s="1220">
        <f t="shared" si="117"/>
        <v>-307644.40386904776</v>
      </c>
      <c r="DB178" s="1220">
        <f t="shared" si="117"/>
        <v>-307644.40386904776</v>
      </c>
      <c r="DC178" s="1220">
        <f t="shared" si="117"/>
        <v>-307644.40386904776</v>
      </c>
      <c r="DD178" s="1220">
        <f t="shared" si="117"/>
        <v>-307644.40386904776</v>
      </c>
      <c r="DE178" s="1220">
        <f t="shared" si="117"/>
        <v>-307644.40386904776</v>
      </c>
      <c r="DF178" s="101"/>
      <c r="DG178" s="101"/>
      <c r="DH178" s="101"/>
      <c r="DI178" s="101"/>
      <c r="DJ178" s="101"/>
      <c r="DK178" s="101"/>
      <c r="DL178" s="101"/>
      <c r="DM178" s="101"/>
      <c r="DN178" s="101"/>
      <c r="DO178" s="101"/>
      <c r="DP178" s="101"/>
      <c r="DQ178" s="101"/>
      <c r="DR178" s="101"/>
      <c r="DS178" s="101"/>
      <c r="DT178" s="101"/>
      <c r="DU178" s="101"/>
      <c r="DV178" s="101"/>
      <c r="DW178" s="101"/>
      <c r="DX178" s="101"/>
      <c r="DY178" s="101"/>
      <c r="DZ178" s="101"/>
      <c r="EA178" s="101"/>
      <c r="EB178" s="101"/>
      <c r="EC178" s="101"/>
      <c r="ED178" s="101"/>
      <c r="EE178" s="101"/>
      <c r="EF178" s="101"/>
      <c r="EG178" s="101"/>
      <c r="EH178" s="101"/>
      <c r="EI178" s="101"/>
      <c r="EJ178" s="101"/>
      <c r="EK178" s="101"/>
      <c r="EL178" s="101"/>
      <c r="EM178" s="101"/>
      <c r="EN178" s="101"/>
      <c r="EO178" s="101"/>
      <c r="EP178" s="101"/>
      <c r="EQ178" s="101"/>
      <c r="ER178" s="101"/>
      <c r="ES178" s="101"/>
      <c r="ET178" s="101"/>
      <c r="EU178" s="101"/>
      <c r="EV178" s="101"/>
      <c r="EW178" s="101"/>
      <c r="EX178" s="101"/>
      <c r="EY178" s="101"/>
      <c r="EZ178" s="1220">
        <f t="shared" ref="EZ178:FI178" si="118">-$H178/84</f>
        <v>-307644.40386904776</v>
      </c>
      <c r="FA178" s="1220">
        <f t="shared" si="118"/>
        <v>-307644.40386904776</v>
      </c>
      <c r="FB178" s="1220">
        <f t="shared" si="118"/>
        <v>-307644.40386904776</v>
      </c>
      <c r="FC178" s="1220">
        <f t="shared" si="118"/>
        <v>-307644.40386904776</v>
      </c>
      <c r="FD178" s="1220">
        <f t="shared" si="118"/>
        <v>-307644.40386904776</v>
      </c>
      <c r="FE178" s="1220">
        <f t="shared" si="118"/>
        <v>-307644.40386904776</v>
      </c>
      <c r="FF178" s="1220">
        <f t="shared" si="118"/>
        <v>-307644.40386904776</v>
      </c>
      <c r="FG178" s="1220">
        <f t="shared" si="118"/>
        <v>-307644.40386904776</v>
      </c>
      <c r="FH178" s="1220">
        <f t="shared" si="118"/>
        <v>-307644.40386904776</v>
      </c>
      <c r="FI178" s="1220">
        <f t="shared" si="118"/>
        <v>-307644.40386904776</v>
      </c>
    </row>
    <row r="179" spans="1:173" x14ac:dyDescent="0.3">
      <c r="A179" s="1214"/>
      <c r="H179" s="1215"/>
      <c r="L179" s="1220"/>
      <c r="M179" s="1220"/>
      <c r="N179" s="1220"/>
      <c r="O179" s="1220"/>
      <c r="P179" s="1220"/>
      <c r="Q179" s="1220"/>
      <c r="R179" s="1220"/>
      <c r="S179" s="1220"/>
      <c r="T179" s="1220"/>
      <c r="U179" s="1220"/>
      <c r="V179" s="1220"/>
      <c r="W179" s="1220"/>
      <c r="X179" s="1220"/>
      <c r="Y179" s="1220"/>
      <c r="Z179" s="1220"/>
      <c r="AA179" s="1220"/>
      <c r="AB179" s="1220"/>
      <c r="AC179" s="1220"/>
      <c r="AD179" s="1220"/>
      <c r="AE179" s="1220"/>
      <c r="AF179" s="1220"/>
      <c r="AG179" s="1220"/>
      <c r="AH179" s="1220"/>
      <c r="AI179" s="1220"/>
      <c r="AJ179" s="1220"/>
      <c r="AK179" s="1220"/>
      <c r="AL179" s="1220"/>
      <c r="AM179" s="1220"/>
      <c r="AN179" s="1220"/>
      <c r="AO179" s="1220"/>
      <c r="AP179" s="1220"/>
      <c r="AQ179" s="1220"/>
      <c r="AR179" s="1220"/>
      <c r="AS179" s="1220"/>
      <c r="AT179" s="1220"/>
      <c r="AU179" s="1220"/>
      <c r="AV179" s="1220"/>
      <c r="AW179" s="1220"/>
      <c r="AX179" s="1220"/>
      <c r="AY179" s="1220"/>
      <c r="AZ179" s="1220"/>
      <c r="BA179" s="1220"/>
      <c r="BB179" s="1220"/>
      <c r="BC179" s="1220"/>
      <c r="BD179" s="1220"/>
      <c r="BE179" s="1220"/>
      <c r="BF179" s="1220"/>
      <c r="BG179" s="1220"/>
      <c r="BH179" s="1220"/>
      <c r="BI179" s="1220"/>
      <c r="BJ179" s="1220"/>
      <c r="BK179" s="1220"/>
      <c r="BL179" s="1220"/>
      <c r="BM179" s="1220"/>
      <c r="BN179" s="1220"/>
      <c r="BO179" s="1220"/>
      <c r="BP179" s="1220"/>
      <c r="BQ179" s="1220"/>
      <c r="BR179" s="1220"/>
      <c r="BS179" s="1220"/>
      <c r="BT179" s="1220"/>
      <c r="BU179" s="1220"/>
      <c r="BV179" s="1220"/>
      <c r="BW179" s="1220"/>
      <c r="BX179" s="1220"/>
      <c r="BY179" s="1220"/>
      <c r="BZ179" s="1220"/>
      <c r="CA179" s="1220"/>
      <c r="CB179" s="1220"/>
      <c r="CC179" s="1220"/>
      <c r="CD179" s="1220"/>
      <c r="CE179" s="1220">
        <f>-$H179/84</f>
        <v>0</v>
      </c>
      <c r="CF179" s="1220"/>
      <c r="CG179" s="1220"/>
      <c r="CH179" s="1220"/>
      <c r="CI179" s="1220"/>
      <c r="CJ179" s="1220"/>
      <c r="CK179" s="1220"/>
      <c r="CL179" s="1220"/>
      <c r="CM179" s="1220"/>
      <c r="CN179" s="1220"/>
      <c r="CO179" s="1220"/>
      <c r="CP179" s="1220"/>
      <c r="CQ179" s="1220"/>
      <c r="CR179" s="1220"/>
      <c r="CS179" s="1220"/>
      <c r="CT179" s="1220"/>
      <c r="CU179" s="1220"/>
      <c r="CV179" s="1220"/>
      <c r="CW179" s="1220"/>
      <c r="CX179" s="1220"/>
      <c r="CY179" s="1220"/>
      <c r="CZ179" s="1220"/>
      <c r="DA179" s="1220"/>
      <c r="DB179" s="1220"/>
      <c r="DC179" s="1220"/>
      <c r="DD179" s="1220"/>
      <c r="DE179" s="1220"/>
      <c r="DF179" s="101"/>
      <c r="DG179" s="101"/>
      <c r="DH179" s="101"/>
      <c r="DI179" s="101"/>
      <c r="DJ179" s="101"/>
      <c r="DK179" s="101"/>
      <c r="DL179" s="101"/>
      <c r="DM179" s="101"/>
      <c r="DN179" s="101"/>
      <c r="DO179" s="101"/>
      <c r="DP179" s="101"/>
      <c r="DQ179" s="101"/>
      <c r="DR179" s="101"/>
      <c r="DS179" s="101"/>
      <c r="DT179" s="101"/>
      <c r="DU179" s="101"/>
      <c r="DV179" s="101"/>
      <c r="DW179" s="101"/>
      <c r="DX179" s="101"/>
      <c r="DY179" s="101"/>
      <c r="DZ179" s="101"/>
      <c r="EA179" s="101"/>
      <c r="EB179" s="101"/>
      <c r="EC179" s="101"/>
      <c r="ED179" s="101"/>
      <c r="EE179" s="101"/>
      <c r="EF179" s="101"/>
      <c r="EG179" s="101"/>
      <c r="EH179" s="101"/>
      <c r="EI179" s="101"/>
      <c r="EJ179" s="101"/>
      <c r="EK179" s="101"/>
      <c r="EL179" s="101"/>
      <c r="EM179" s="101"/>
      <c r="EN179" s="101"/>
      <c r="EO179" s="101"/>
      <c r="EP179" s="101"/>
      <c r="EQ179" s="101"/>
      <c r="ER179" s="101"/>
      <c r="ES179" s="101"/>
      <c r="ET179" s="101"/>
      <c r="EU179" s="101"/>
      <c r="EV179" s="101"/>
      <c r="EW179" s="101"/>
      <c r="EX179" s="101"/>
      <c r="EY179" s="101"/>
      <c r="EZ179" s="1220"/>
      <c r="FA179" s="1220"/>
      <c r="FB179" s="1220"/>
      <c r="FC179" s="1220"/>
      <c r="FD179" s="1220"/>
      <c r="FE179" s="1220"/>
      <c r="FF179" s="1220"/>
      <c r="FG179" s="1220"/>
    </row>
    <row r="180" spans="1:173" x14ac:dyDescent="0.3">
      <c r="A180" s="1214" t="s">
        <v>2419</v>
      </c>
      <c r="H180" s="1215">
        <v>25842129.925000012</v>
      </c>
      <c r="L180" s="1220"/>
      <c r="M180" s="1220"/>
      <c r="N180" s="1220"/>
      <c r="O180" s="1220"/>
      <c r="P180" s="1220"/>
      <c r="Q180" s="1220"/>
      <c r="R180" s="1220"/>
      <c r="S180" s="1220"/>
      <c r="T180" s="1220"/>
      <c r="U180" s="1220"/>
      <c r="V180" s="1220"/>
      <c r="W180" s="1220"/>
      <c r="X180" s="1220"/>
      <c r="Y180" s="1220"/>
      <c r="Z180" s="1220"/>
      <c r="AA180" s="1220"/>
      <c r="AB180" s="1220"/>
      <c r="AC180" s="1220"/>
      <c r="AD180" s="1220"/>
      <c r="AE180" s="1220"/>
      <c r="AF180" s="1220"/>
      <c r="AG180" s="1220"/>
      <c r="AH180" s="1220"/>
      <c r="AI180" s="1220"/>
      <c r="AJ180" s="1220"/>
      <c r="AK180" s="1220"/>
      <c r="AL180" s="1220"/>
      <c r="AM180" s="1220"/>
      <c r="AN180" s="1220"/>
      <c r="AO180" s="1220"/>
      <c r="AP180" s="1220"/>
      <c r="AQ180" s="1220"/>
      <c r="AR180" s="1220"/>
      <c r="AS180" s="1220"/>
      <c r="AT180" s="1220"/>
      <c r="AU180" s="1220"/>
      <c r="AV180" s="1220"/>
      <c r="AW180" s="1220"/>
      <c r="AX180" s="1220"/>
      <c r="AY180" s="1220"/>
      <c r="AZ180" s="1220"/>
      <c r="BA180" s="1220"/>
      <c r="BB180" s="1220"/>
      <c r="BC180" s="1220"/>
      <c r="BD180" s="1220"/>
      <c r="BE180" s="1220"/>
      <c r="BF180" s="1220"/>
      <c r="BG180" s="1220"/>
      <c r="BH180" s="1220"/>
      <c r="BI180" s="1220"/>
      <c r="BJ180" s="1220"/>
      <c r="BK180" s="1220"/>
      <c r="BL180" s="1220"/>
      <c r="BM180" s="1220"/>
      <c r="BN180" s="1220"/>
      <c r="BO180" s="1220"/>
      <c r="BP180" s="1220"/>
      <c r="BQ180" s="1220"/>
      <c r="BR180" s="1220"/>
      <c r="BS180" s="1220"/>
      <c r="BT180" s="1220"/>
      <c r="BU180" s="1220"/>
      <c r="BV180" s="1220"/>
      <c r="BW180" s="1220"/>
      <c r="BX180" s="1220"/>
      <c r="BY180" s="1220"/>
      <c r="BZ180" s="1220"/>
      <c r="CA180" s="1220"/>
      <c r="CB180" s="1220"/>
      <c r="CC180" s="1220"/>
      <c r="CD180" s="1220"/>
      <c r="CE180" s="1220">
        <f>-$H180/84</f>
        <v>-307644.40386904776</v>
      </c>
      <c r="CF180" s="1220">
        <f t="shared" ref="CF180:DE180" si="119">-$H180/84</f>
        <v>-307644.40386904776</v>
      </c>
      <c r="CG180" s="1220">
        <f t="shared" si="119"/>
        <v>-307644.40386904776</v>
      </c>
      <c r="CH180" s="1220">
        <f t="shared" si="119"/>
        <v>-307644.40386904776</v>
      </c>
      <c r="CI180" s="1220">
        <f t="shared" si="119"/>
        <v>-307644.40386904776</v>
      </c>
      <c r="CJ180" s="1220">
        <f t="shared" si="119"/>
        <v>-307644.40386904776</v>
      </c>
      <c r="CK180" s="1220">
        <f t="shared" si="119"/>
        <v>-307644.40386904776</v>
      </c>
      <c r="CL180" s="1220">
        <f t="shared" si="119"/>
        <v>-307644.40386904776</v>
      </c>
      <c r="CM180" s="1220">
        <f t="shared" si="119"/>
        <v>-307644.40386904776</v>
      </c>
      <c r="CN180" s="1220">
        <f t="shared" si="119"/>
        <v>-307644.40386904776</v>
      </c>
      <c r="CO180" s="1220">
        <f t="shared" si="119"/>
        <v>-307644.40386904776</v>
      </c>
      <c r="CP180" s="1220">
        <f t="shared" si="119"/>
        <v>-307644.40386904776</v>
      </c>
      <c r="CQ180" s="1220">
        <f t="shared" si="119"/>
        <v>-307644.40386904776</v>
      </c>
      <c r="CR180" s="1220">
        <f t="shared" si="119"/>
        <v>-307644.40386904776</v>
      </c>
      <c r="CS180" s="1220">
        <f t="shared" si="119"/>
        <v>-307644.40386904776</v>
      </c>
      <c r="CT180" s="1220">
        <f t="shared" si="119"/>
        <v>-307644.40386904776</v>
      </c>
      <c r="CU180" s="1220">
        <f t="shared" si="119"/>
        <v>-307644.40386904776</v>
      </c>
      <c r="CV180" s="1220">
        <f t="shared" si="119"/>
        <v>-307644.40386904776</v>
      </c>
      <c r="CW180" s="1220">
        <f t="shared" si="119"/>
        <v>-307644.40386904776</v>
      </c>
      <c r="CX180" s="1220">
        <f t="shared" si="119"/>
        <v>-307644.40386904776</v>
      </c>
      <c r="CY180" s="1220">
        <f t="shared" si="119"/>
        <v>-307644.40386904776</v>
      </c>
      <c r="CZ180" s="1220">
        <f t="shared" si="119"/>
        <v>-307644.40386904776</v>
      </c>
      <c r="DA180" s="1220">
        <f t="shared" si="119"/>
        <v>-307644.40386904776</v>
      </c>
      <c r="DB180" s="1220">
        <f t="shared" si="119"/>
        <v>-307644.40386904776</v>
      </c>
      <c r="DC180" s="1220">
        <f t="shared" si="119"/>
        <v>-307644.40386904776</v>
      </c>
      <c r="DD180" s="1220">
        <f t="shared" si="119"/>
        <v>-307644.40386904776</v>
      </c>
      <c r="DE180" s="1220">
        <f t="shared" si="119"/>
        <v>-307644.40386904776</v>
      </c>
      <c r="DF180" s="101"/>
      <c r="DG180" s="101"/>
      <c r="DH180" s="101"/>
      <c r="DI180" s="101"/>
      <c r="DJ180" s="101"/>
      <c r="DK180" s="101"/>
      <c r="DL180" s="101"/>
      <c r="DM180" s="101"/>
      <c r="DN180" s="101"/>
      <c r="DO180" s="101"/>
      <c r="DP180" s="101"/>
      <c r="DQ180" s="101"/>
      <c r="DR180" s="101"/>
      <c r="DS180" s="101"/>
      <c r="DT180" s="101"/>
      <c r="DU180" s="101"/>
      <c r="DV180" s="101"/>
      <c r="DW180" s="101"/>
      <c r="DX180" s="101"/>
      <c r="DY180" s="101"/>
      <c r="DZ180" s="101"/>
      <c r="EA180" s="101"/>
      <c r="EB180" s="101"/>
      <c r="EC180" s="101"/>
      <c r="ED180" s="101"/>
      <c r="EE180" s="101"/>
      <c r="EF180" s="101"/>
      <c r="EG180" s="101"/>
      <c r="EH180" s="101"/>
      <c r="EI180" s="101"/>
      <c r="EJ180" s="101"/>
      <c r="EK180" s="101"/>
      <c r="EL180" s="101"/>
      <c r="EM180" s="101"/>
      <c r="EN180" s="101"/>
      <c r="EO180" s="101"/>
      <c r="EP180" s="101"/>
      <c r="EQ180" s="101"/>
      <c r="ER180" s="101"/>
      <c r="ES180" s="101"/>
      <c r="ET180" s="101"/>
      <c r="EU180" s="101"/>
      <c r="EV180" s="101"/>
      <c r="EW180" s="101"/>
      <c r="EX180" s="101"/>
      <c r="EY180" s="101"/>
      <c r="EZ180" s="1220">
        <f t="shared" ref="EZ180:FF180" si="120">-$H180/84</f>
        <v>-307644.40386904776</v>
      </c>
      <c r="FA180" s="1220">
        <f t="shared" si="120"/>
        <v>-307644.40386904776</v>
      </c>
      <c r="FB180" s="1220">
        <f t="shared" si="120"/>
        <v>-307644.40386904776</v>
      </c>
      <c r="FC180" s="1220">
        <f t="shared" si="120"/>
        <v>-307644.40386904776</v>
      </c>
      <c r="FD180" s="1220">
        <f t="shared" si="120"/>
        <v>-307644.40386904776</v>
      </c>
      <c r="FE180" s="1220">
        <f t="shared" si="120"/>
        <v>-307644.40386904776</v>
      </c>
      <c r="FF180" s="1220">
        <f t="shared" si="120"/>
        <v>-307644.40386904776</v>
      </c>
      <c r="FG180" s="1220">
        <f>-$H180/84</f>
        <v>-307644.40386904776</v>
      </c>
      <c r="FH180" s="1220">
        <f>-$H180/84</f>
        <v>-307644.40386904776</v>
      </c>
      <c r="FI180" s="1220">
        <f>-$H180/84</f>
        <v>-307644.40386904776</v>
      </c>
      <c r="FJ180" s="1220">
        <f>-$H180/84</f>
        <v>-307644.40386904776</v>
      </c>
    </row>
    <row r="181" spans="1:173" x14ac:dyDescent="0.3">
      <c r="A181" s="1214"/>
      <c r="H181" s="1215"/>
      <c r="L181" s="1220"/>
      <c r="M181" s="1220"/>
      <c r="N181" s="1220"/>
      <c r="O181" s="1220"/>
      <c r="P181" s="1220"/>
      <c r="Q181" s="1220"/>
      <c r="R181" s="1220"/>
      <c r="S181" s="1220"/>
      <c r="T181" s="1220"/>
      <c r="U181" s="1220"/>
      <c r="V181" s="1220"/>
      <c r="W181" s="1220"/>
      <c r="X181" s="1220"/>
      <c r="Y181" s="1220"/>
      <c r="Z181" s="1220"/>
      <c r="AA181" s="1220"/>
      <c r="AB181" s="1220"/>
      <c r="AC181" s="1220"/>
      <c r="AD181" s="1220"/>
      <c r="AE181" s="1220"/>
      <c r="AF181" s="1220"/>
      <c r="AG181" s="1220"/>
      <c r="AH181" s="1220"/>
      <c r="AI181" s="1220"/>
      <c r="AJ181" s="1220"/>
      <c r="AK181" s="1220"/>
      <c r="AL181" s="1220"/>
      <c r="AM181" s="1220"/>
      <c r="AN181" s="1220"/>
      <c r="AO181" s="1220"/>
      <c r="AP181" s="1220"/>
      <c r="AQ181" s="1220"/>
      <c r="AR181" s="1220"/>
      <c r="AS181" s="1220"/>
      <c r="AT181" s="1220"/>
      <c r="AU181" s="1220"/>
      <c r="AV181" s="1220"/>
      <c r="AW181" s="1220"/>
      <c r="AX181" s="1220"/>
      <c r="AY181" s="1220"/>
      <c r="AZ181" s="1220"/>
      <c r="BA181" s="1220"/>
      <c r="BB181" s="1220"/>
      <c r="BC181" s="1220"/>
      <c r="BD181" s="1220"/>
      <c r="BE181" s="1220"/>
      <c r="BF181" s="1220"/>
      <c r="BG181" s="1220"/>
      <c r="BH181" s="1220"/>
      <c r="BI181" s="1220"/>
      <c r="BJ181" s="1220"/>
      <c r="BK181" s="1220"/>
      <c r="BL181" s="1220"/>
      <c r="BM181" s="1220"/>
      <c r="BN181" s="1220"/>
      <c r="BO181" s="1220"/>
      <c r="BP181" s="1220"/>
      <c r="BQ181" s="1220"/>
      <c r="BR181" s="1220"/>
      <c r="BS181" s="1220"/>
      <c r="BT181" s="1220"/>
      <c r="BU181" s="1220"/>
      <c r="BV181" s="1220"/>
      <c r="BW181" s="1220"/>
      <c r="BX181" s="1220"/>
      <c r="BY181" s="1220"/>
      <c r="BZ181" s="1220"/>
      <c r="CA181" s="1220"/>
      <c r="CB181" s="1220"/>
      <c r="CC181" s="1220"/>
      <c r="CD181" s="1220"/>
      <c r="CE181" s="1220"/>
      <c r="CF181" s="1220">
        <f>-$H181/84</f>
        <v>0</v>
      </c>
      <c r="CG181" s="1220"/>
      <c r="CH181" s="1220"/>
      <c r="CI181" s="1220"/>
      <c r="CJ181" s="1220"/>
      <c r="CK181" s="1220"/>
      <c r="CL181" s="1220"/>
      <c r="CM181" s="1220"/>
      <c r="CN181" s="1220"/>
      <c r="CO181" s="1220"/>
      <c r="CP181" s="1220"/>
      <c r="CQ181" s="1220"/>
      <c r="CR181" s="1220"/>
      <c r="CS181" s="1220"/>
      <c r="CT181" s="1220"/>
      <c r="CU181" s="1220"/>
      <c r="CV181" s="1220"/>
      <c r="CW181" s="1220"/>
      <c r="CX181" s="1220"/>
      <c r="CY181" s="1220"/>
      <c r="CZ181" s="1220"/>
      <c r="DA181" s="1220"/>
      <c r="DB181" s="1220"/>
      <c r="DC181" s="1220"/>
      <c r="DD181" s="1220"/>
      <c r="DE181" s="1220"/>
      <c r="DF181" s="101"/>
      <c r="DG181" s="101"/>
      <c r="DH181" s="101"/>
      <c r="DI181" s="101"/>
      <c r="DJ181" s="101"/>
      <c r="DK181" s="101"/>
      <c r="DL181" s="101"/>
      <c r="DM181" s="101"/>
      <c r="DN181" s="101"/>
      <c r="DO181" s="101"/>
      <c r="DP181" s="101"/>
      <c r="DQ181" s="101"/>
      <c r="DR181" s="101"/>
      <c r="DS181" s="101"/>
      <c r="DT181" s="101"/>
      <c r="DU181" s="101"/>
      <c r="DV181" s="101"/>
      <c r="DW181" s="101"/>
      <c r="DX181" s="101"/>
      <c r="DY181" s="101"/>
      <c r="DZ181" s="101"/>
      <c r="EA181" s="101"/>
      <c r="EB181" s="101"/>
      <c r="EC181" s="101"/>
      <c r="ED181" s="101"/>
      <c r="EE181" s="101"/>
      <c r="EF181" s="101"/>
      <c r="EG181" s="101"/>
      <c r="EH181" s="101"/>
      <c r="EI181" s="101"/>
      <c r="EJ181" s="101"/>
      <c r="EK181" s="101"/>
      <c r="EL181" s="101"/>
      <c r="EM181" s="101"/>
      <c r="EN181" s="101"/>
      <c r="EO181" s="101"/>
      <c r="EP181" s="101"/>
      <c r="EQ181" s="101"/>
      <c r="ER181" s="101"/>
      <c r="ES181" s="101"/>
      <c r="ET181" s="101"/>
      <c r="EU181" s="101"/>
      <c r="EV181" s="101"/>
      <c r="EW181" s="101"/>
      <c r="EX181" s="101"/>
      <c r="EY181" s="101"/>
      <c r="EZ181" s="1220"/>
      <c r="FA181" s="1220"/>
      <c r="FB181" s="1220"/>
      <c r="FC181" s="1220"/>
      <c r="FD181" s="1220"/>
      <c r="FE181" s="1220"/>
      <c r="FF181" s="1220"/>
      <c r="FG181" s="1220"/>
      <c r="FH181" s="1220"/>
      <c r="FI181" s="1220"/>
      <c r="FJ181" s="1220"/>
    </row>
    <row r="182" spans="1:173" x14ac:dyDescent="0.3">
      <c r="A182" s="1214" t="s">
        <v>2441</v>
      </c>
      <c r="H182" s="1215">
        <v>25842129.925000012</v>
      </c>
      <c r="L182" s="1220"/>
      <c r="M182" s="1220"/>
      <c r="N182" s="1220"/>
      <c r="O182" s="1220"/>
      <c r="P182" s="1220"/>
      <c r="Q182" s="1220"/>
      <c r="R182" s="1220"/>
      <c r="S182" s="1220"/>
      <c r="T182" s="1220"/>
      <c r="U182" s="1220"/>
      <c r="V182" s="1220"/>
      <c r="W182" s="1220"/>
      <c r="X182" s="1220"/>
      <c r="Y182" s="1220"/>
      <c r="Z182" s="1220"/>
      <c r="AA182" s="1220"/>
      <c r="AB182" s="1220"/>
      <c r="AC182" s="1220"/>
      <c r="AD182" s="1220"/>
      <c r="AE182" s="1220"/>
      <c r="AF182" s="1220"/>
      <c r="AG182" s="1220"/>
      <c r="AH182" s="1220"/>
      <c r="AI182" s="1220"/>
      <c r="AJ182" s="1220"/>
      <c r="AK182" s="1220"/>
      <c r="AL182" s="1220"/>
      <c r="AM182" s="1220"/>
      <c r="AN182" s="1220"/>
      <c r="AO182" s="1220"/>
      <c r="AP182" s="1220"/>
      <c r="AQ182" s="1220"/>
      <c r="AR182" s="1220"/>
      <c r="AS182" s="1220"/>
      <c r="AT182" s="1220"/>
      <c r="AU182" s="1220"/>
      <c r="AV182" s="1220"/>
      <c r="AW182" s="1220"/>
      <c r="AX182" s="1220"/>
      <c r="AY182" s="1220"/>
      <c r="AZ182" s="1220"/>
      <c r="BA182" s="1220"/>
      <c r="BB182" s="1220"/>
      <c r="BC182" s="1220"/>
      <c r="BD182" s="1220"/>
      <c r="BE182" s="1220"/>
      <c r="BF182" s="1220"/>
      <c r="BG182" s="1220"/>
      <c r="BH182" s="1220"/>
      <c r="BI182" s="1220"/>
      <c r="BJ182" s="1220"/>
      <c r="BK182" s="1220"/>
      <c r="BL182" s="1220"/>
      <c r="BM182" s="1220"/>
      <c r="BN182" s="1220"/>
      <c r="BO182" s="1220"/>
      <c r="BP182" s="1220"/>
      <c r="BQ182" s="1220"/>
      <c r="BR182" s="1220"/>
      <c r="BS182" s="1220"/>
      <c r="BT182" s="1220"/>
      <c r="BU182" s="1220"/>
      <c r="BV182" s="1220"/>
      <c r="BW182" s="1220"/>
      <c r="BX182" s="1220"/>
      <c r="BY182" s="1220"/>
      <c r="BZ182" s="1220"/>
      <c r="CA182" s="1220"/>
      <c r="CB182" s="1220"/>
      <c r="CC182" s="1220"/>
      <c r="CD182" s="1220"/>
      <c r="CE182" s="1220"/>
      <c r="CF182" s="1220">
        <f>-$H182/84</f>
        <v>-307644.40386904776</v>
      </c>
      <c r="CG182" s="1220">
        <f t="shared" ref="CG182:DE182" si="121">-$H182/84</f>
        <v>-307644.40386904776</v>
      </c>
      <c r="CH182" s="1220">
        <f t="shared" si="121"/>
        <v>-307644.40386904776</v>
      </c>
      <c r="CI182" s="1220">
        <f t="shared" si="121"/>
        <v>-307644.40386904776</v>
      </c>
      <c r="CJ182" s="1220">
        <f t="shared" si="121"/>
        <v>-307644.40386904776</v>
      </c>
      <c r="CK182" s="1220">
        <f t="shared" si="121"/>
        <v>-307644.40386904776</v>
      </c>
      <c r="CL182" s="1220">
        <f t="shared" si="121"/>
        <v>-307644.40386904776</v>
      </c>
      <c r="CM182" s="1220">
        <f t="shared" si="121"/>
        <v>-307644.40386904776</v>
      </c>
      <c r="CN182" s="1220">
        <f t="shared" si="121"/>
        <v>-307644.40386904776</v>
      </c>
      <c r="CO182" s="1220">
        <f t="shared" si="121"/>
        <v>-307644.40386904776</v>
      </c>
      <c r="CP182" s="1220">
        <f t="shared" si="121"/>
        <v>-307644.40386904776</v>
      </c>
      <c r="CQ182" s="1220">
        <f t="shared" si="121"/>
        <v>-307644.40386904776</v>
      </c>
      <c r="CR182" s="1220">
        <f t="shared" si="121"/>
        <v>-307644.40386904776</v>
      </c>
      <c r="CS182" s="1220">
        <f t="shared" si="121"/>
        <v>-307644.40386904776</v>
      </c>
      <c r="CT182" s="1220">
        <f t="shared" si="121"/>
        <v>-307644.40386904776</v>
      </c>
      <c r="CU182" s="1220">
        <f t="shared" si="121"/>
        <v>-307644.40386904776</v>
      </c>
      <c r="CV182" s="1220">
        <f t="shared" si="121"/>
        <v>-307644.40386904776</v>
      </c>
      <c r="CW182" s="1220">
        <f t="shared" si="121"/>
        <v>-307644.40386904776</v>
      </c>
      <c r="CX182" s="1220">
        <f t="shared" si="121"/>
        <v>-307644.40386904776</v>
      </c>
      <c r="CY182" s="1220">
        <f t="shared" si="121"/>
        <v>-307644.40386904776</v>
      </c>
      <c r="CZ182" s="1220">
        <f t="shared" si="121"/>
        <v>-307644.40386904776</v>
      </c>
      <c r="DA182" s="1220">
        <f t="shared" si="121"/>
        <v>-307644.40386904776</v>
      </c>
      <c r="DB182" s="1220">
        <f t="shared" si="121"/>
        <v>-307644.40386904776</v>
      </c>
      <c r="DC182" s="1220">
        <f t="shared" si="121"/>
        <v>-307644.40386904776</v>
      </c>
      <c r="DD182" s="1220">
        <f t="shared" si="121"/>
        <v>-307644.40386904776</v>
      </c>
      <c r="DE182" s="1220">
        <f t="shared" si="121"/>
        <v>-307644.40386904776</v>
      </c>
      <c r="DF182" s="101"/>
      <c r="DG182" s="101"/>
      <c r="DH182" s="101"/>
      <c r="DI182" s="101"/>
      <c r="DJ182" s="101"/>
      <c r="DK182" s="101"/>
      <c r="DL182" s="101"/>
      <c r="DM182" s="101"/>
      <c r="DN182" s="101"/>
      <c r="DO182" s="101"/>
      <c r="DP182" s="101"/>
      <c r="DQ182" s="101"/>
      <c r="DR182" s="101"/>
      <c r="DS182" s="101"/>
      <c r="DT182" s="101"/>
      <c r="DU182" s="101"/>
      <c r="DV182" s="101"/>
      <c r="DW182" s="101"/>
      <c r="DX182" s="101"/>
      <c r="DY182" s="101"/>
      <c r="DZ182" s="101"/>
      <c r="EA182" s="101"/>
      <c r="EB182" s="101"/>
      <c r="EC182" s="101"/>
      <c r="ED182" s="101"/>
      <c r="EE182" s="101"/>
      <c r="EF182" s="101"/>
      <c r="EG182" s="101"/>
      <c r="EH182" s="101"/>
      <c r="EI182" s="101"/>
      <c r="EJ182" s="101"/>
      <c r="EK182" s="101"/>
      <c r="EL182" s="101"/>
      <c r="EM182" s="101"/>
      <c r="EN182" s="101"/>
      <c r="EO182" s="101"/>
      <c r="EP182" s="101"/>
      <c r="EQ182" s="101"/>
      <c r="ER182" s="101"/>
      <c r="ES182" s="101"/>
      <c r="ET182" s="101"/>
      <c r="EU182" s="101"/>
      <c r="EV182" s="101"/>
      <c r="EW182" s="101"/>
      <c r="EX182" s="101"/>
      <c r="EY182" s="101"/>
      <c r="EZ182" s="1220">
        <f t="shared" ref="EZ182:FF182" si="122">-$H182/84</f>
        <v>-307644.40386904776</v>
      </c>
      <c r="FA182" s="1220">
        <f t="shared" si="122"/>
        <v>-307644.40386904776</v>
      </c>
      <c r="FB182" s="1220">
        <f t="shared" si="122"/>
        <v>-307644.40386904776</v>
      </c>
      <c r="FC182" s="1220">
        <f t="shared" si="122"/>
        <v>-307644.40386904776</v>
      </c>
      <c r="FD182" s="1220">
        <f t="shared" si="122"/>
        <v>-307644.40386904776</v>
      </c>
      <c r="FE182" s="1220">
        <f t="shared" si="122"/>
        <v>-307644.40386904776</v>
      </c>
      <c r="FF182" s="1220">
        <f t="shared" si="122"/>
        <v>-307644.40386904776</v>
      </c>
      <c r="FG182" s="1220">
        <f>-$H182/84</f>
        <v>-307644.40386904776</v>
      </c>
      <c r="FH182" s="1220">
        <f>-$H182/84</f>
        <v>-307644.40386904776</v>
      </c>
      <c r="FI182" s="1220">
        <f>-$H182/84</f>
        <v>-307644.40386904776</v>
      </c>
      <c r="FJ182" s="1220">
        <f>-$H182/84</f>
        <v>-307644.40386904776</v>
      </c>
      <c r="FK182" s="1220">
        <f>-$H182/84</f>
        <v>-307644.40386904776</v>
      </c>
    </row>
    <row r="183" spans="1:173" x14ac:dyDescent="0.3">
      <c r="A183" s="1214"/>
      <c r="H183" s="1215"/>
      <c r="L183" s="1220"/>
      <c r="M183" s="1220"/>
      <c r="N183" s="1220"/>
      <c r="O183" s="1220"/>
      <c r="P183" s="1220"/>
      <c r="Q183" s="1220"/>
      <c r="R183" s="1220"/>
      <c r="S183" s="1220"/>
      <c r="T183" s="1220"/>
      <c r="U183" s="1220"/>
      <c r="V183" s="1220"/>
      <c r="W183" s="1220"/>
      <c r="X183" s="1220"/>
      <c r="Y183" s="1220"/>
      <c r="Z183" s="1220"/>
      <c r="AA183" s="1220"/>
      <c r="AB183" s="1220"/>
      <c r="AC183" s="1220"/>
      <c r="AD183" s="1220"/>
      <c r="AE183" s="1220"/>
      <c r="AF183" s="1220"/>
      <c r="AG183" s="1220"/>
      <c r="AH183" s="1220"/>
      <c r="AI183" s="1220"/>
      <c r="AJ183" s="1220"/>
      <c r="AK183" s="1220"/>
      <c r="AL183" s="1220"/>
      <c r="AM183" s="1220"/>
      <c r="AN183" s="1220"/>
      <c r="AO183" s="1220"/>
      <c r="AP183" s="1220"/>
      <c r="AQ183" s="1220"/>
      <c r="AR183" s="1220"/>
      <c r="AS183" s="1220"/>
      <c r="AT183" s="1220"/>
      <c r="AU183" s="1220"/>
      <c r="AV183" s="1220"/>
      <c r="AW183" s="1220"/>
      <c r="AX183" s="1220"/>
      <c r="AY183" s="1220"/>
      <c r="AZ183" s="1220"/>
      <c r="BA183" s="1220"/>
      <c r="BB183" s="1220"/>
      <c r="BC183" s="1220"/>
      <c r="BD183" s="1220"/>
      <c r="BE183" s="1220"/>
      <c r="BF183" s="1220"/>
      <c r="BG183" s="1220"/>
      <c r="BH183" s="1220"/>
      <c r="BI183" s="1220"/>
      <c r="BJ183" s="1220"/>
      <c r="BK183" s="1220"/>
      <c r="BL183" s="1220"/>
      <c r="BM183" s="1220"/>
      <c r="BN183" s="1220"/>
      <c r="BO183" s="1220"/>
      <c r="BP183" s="1220"/>
      <c r="BQ183" s="1220"/>
      <c r="BR183" s="1220"/>
      <c r="BS183" s="1220"/>
      <c r="BT183" s="1220"/>
      <c r="BU183" s="1220"/>
      <c r="BV183" s="1220"/>
      <c r="BW183" s="1220"/>
      <c r="BX183" s="1220"/>
      <c r="BY183" s="1220"/>
      <c r="BZ183" s="1220"/>
      <c r="CA183" s="1220"/>
      <c r="CB183" s="1220"/>
      <c r="CC183" s="1220"/>
      <c r="CD183" s="1220"/>
      <c r="CE183" s="1220"/>
      <c r="CF183" s="1220"/>
      <c r="CG183" s="1220">
        <f>-$H183/84</f>
        <v>0</v>
      </c>
      <c r="CH183" s="1220"/>
      <c r="CI183" s="1220"/>
      <c r="CJ183" s="1220"/>
      <c r="CK183" s="1220"/>
      <c r="CL183" s="1220"/>
      <c r="CM183" s="1220"/>
      <c r="CN183" s="1220"/>
      <c r="CO183" s="1220"/>
      <c r="CP183" s="1220"/>
      <c r="CQ183" s="1220"/>
      <c r="CR183" s="1220"/>
      <c r="CS183" s="1220"/>
      <c r="CT183" s="1220"/>
      <c r="CU183" s="1220"/>
      <c r="CV183" s="1220"/>
      <c r="CW183" s="1220"/>
      <c r="CX183" s="1220"/>
      <c r="CY183" s="1220"/>
      <c r="CZ183" s="1220"/>
      <c r="DA183" s="1220"/>
      <c r="DB183" s="1220"/>
      <c r="DC183" s="1220"/>
      <c r="DD183" s="1220"/>
      <c r="DE183" s="1220"/>
      <c r="DF183" s="101"/>
      <c r="DG183" s="101"/>
      <c r="DH183" s="101"/>
      <c r="DI183" s="101"/>
      <c r="DJ183" s="101"/>
      <c r="DK183" s="101"/>
      <c r="DL183" s="101"/>
      <c r="DM183" s="101"/>
      <c r="DN183" s="101"/>
      <c r="DO183" s="101"/>
      <c r="DP183" s="101"/>
      <c r="DQ183" s="101"/>
      <c r="DR183" s="101"/>
      <c r="DS183" s="101"/>
      <c r="DT183" s="101"/>
      <c r="DU183" s="101"/>
      <c r="DV183" s="101"/>
      <c r="DW183" s="101"/>
      <c r="DX183" s="101"/>
      <c r="DY183" s="101"/>
      <c r="DZ183" s="101"/>
      <c r="EA183" s="101"/>
      <c r="EB183" s="101"/>
      <c r="EC183" s="101"/>
      <c r="ED183" s="101"/>
      <c r="EE183" s="101"/>
      <c r="EF183" s="101"/>
      <c r="EG183" s="101"/>
      <c r="EH183" s="101"/>
      <c r="EI183" s="101"/>
      <c r="EJ183" s="101"/>
      <c r="EK183" s="101"/>
      <c r="EL183" s="101"/>
      <c r="EM183" s="101"/>
      <c r="EN183" s="101"/>
      <c r="EO183" s="101"/>
      <c r="EP183" s="101"/>
      <c r="EQ183" s="101"/>
      <c r="ER183" s="101"/>
      <c r="ES183" s="101"/>
      <c r="ET183" s="101"/>
      <c r="EU183" s="101"/>
      <c r="EV183" s="101"/>
      <c r="EW183" s="101"/>
      <c r="EX183" s="101"/>
      <c r="EY183" s="101"/>
      <c r="EZ183" s="1220"/>
      <c r="FA183" s="1220"/>
      <c r="FB183" s="1220"/>
      <c r="FC183" s="1220"/>
      <c r="FD183" s="1220"/>
      <c r="FE183" s="1220"/>
      <c r="FF183" s="1220"/>
      <c r="FG183" s="1220"/>
      <c r="FH183" s="1220"/>
      <c r="FI183" s="1220"/>
      <c r="FJ183" s="1220"/>
    </row>
    <row r="184" spans="1:173" x14ac:dyDescent="0.3">
      <c r="A184" s="1214" t="s">
        <v>2442</v>
      </c>
      <c r="H184" s="1215">
        <v>25842129.925000012</v>
      </c>
      <c r="L184" s="1220"/>
      <c r="M184" s="1220"/>
      <c r="N184" s="1220"/>
      <c r="O184" s="1220"/>
      <c r="P184" s="1220"/>
      <c r="Q184" s="1220"/>
      <c r="R184" s="1220"/>
      <c r="S184" s="1220"/>
      <c r="T184" s="1220"/>
      <c r="U184" s="1220"/>
      <c r="V184" s="1220"/>
      <c r="W184" s="1220"/>
      <c r="X184" s="1220"/>
      <c r="Y184" s="1220"/>
      <c r="Z184" s="1220"/>
      <c r="AA184" s="1220"/>
      <c r="AB184" s="1220"/>
      <c r="AC184" s="1220"/>
      <c r="AD184" s="1220"/>
      <c r="AE184" s="1220"/>
      <c r="AF184" s="1220"/>
      <c r="AG184" s="1220"/>
      <c r="AH184" s="1220"/>
      <c r="AI184" s="1220"/>
      <c r="AJ184" s="1220"/>
      <c r="AK184" s="1220"/>
      <c r="AL184" s="1220"/>
      <c r="AM184" s="1220"/>
      <c r="AN184" s="1220"/>
      <c r="AO184" s="1220"/>
      <c r="AP184" s="1220"/>
      <c r="AQ184" s="1220"/>
      <c r="AR184" s="1220"/>
      <c r="AS184" s="1220"/>
      <c r="AT184" s="1220"/>
      <c r="AU184" s="1220"/>
      <c r="AV184" s="1220"/>
      <c r="AW184" s="1220"/>
      <c r="AX184" s="1220"/>
      <c r="AY184" s="1220"/>
      <c r="AZ184" s="1220"/>
      <c r="BA184" s="1220"/>
      <c r="BB184" s="1220"/>
      <c r="BC184" s="1220"/>
      <c r="BD184" s="1220"/>
      <c r="BE184" s="1220"/>
      <c r="BF184" s="1220"/>
      <c r="BG184" s="1220"/>
      <c r="BH184" s="1220"/>
      <c r="BI184" s="1220"/>
      <c r="BJ184" s="1220"/>
      <c r="BK184" s="1220"/>
      <c r="BL184" s="1220"/>
      <c r="BM184" s="1220"/>
      <c r="BN184" s="1220"/>
      <c r="BO184" s="1220"/>
      <c r="BP184" s="1220"/>
      <c r="BQ184" s="1220"/>
      <c r="BR184" s="1220"/>
      <c r="BS184" s="1220"/>
      <c r="BT184" s="1220"/>
      <c r="BU184" s="1220"/>
      <c r="BV184" s="1220"/>
      <c r="BW184" s="1220"/>
      <c r="BX184" s="1220"/>
      <c r="BY184" s="1220"/>
      <c r="BZ184" s="1220"/>
      <c r="CA184" s="1220"/>
      <c r="CB184" s="1220"/>
      <c r="CC184" s="1220"/>
      <c r="CD184" s="1220"/>
      <c r="CE184" s="1220"/>
      <c r="CF184" s="1220"/>
      <c r="CG184" s="1220">
        <f>-$H184/84</f>
        <v>-307644.40386904776</v>
      </c>
      <c r="CH184" s="1220">
        <f t="shared" ref="CH184:DE184" si="123">-$H184/84</f>
        <v>-307644.40386904776</v>
      </c>
      <c r="CI184" s="1220">
        <f t="shared" si="123"/>
        <v>-307644.40386904776</v>
      </c>
      <c r="CJ184" s="1220">
        <f t="shared" si="123"/>
        <v>-307644.40386904776</v>
      </c>
      <c r="CK184" s="1220">
        <f t="shared" si="123"/>
        <v>-307644.40386904776</v>
      </c>
      <c r="CL184" s="1220">
        <f t="shared" si="123"/>
        <v>-307644.40386904776</v>
      </c>
      <c r="CM184" s="1220">
        <f t="shared" si="123"/>
        <v>-307644.40386904776</v>
      </c>
      <c r="CN184" s="1220">
        <f t="shared" si="123"/>
        <v>-307644.40386904776</v>
      </c>
      <c r="CO184" s="1220">
        <f t="shared" si="123"/>
        <v>-307644.40386904776</v>
      </c>
      <c r="CP184" s="1220">
        <f t="shared" si="123"/>
        <v>-307644.40386904776</v>
      </c>
      <c r="CQ184" s="1220">
        <f t="shared" si="123"/>
        <v>-307644.40386904776</v>
      </c>
      <c r="CR184" s="1220">
        <f t="shared" si="123"/>
        <v>-307644.40386904776</v>
      </c>
      <c r="CS184" s="1220">
        <f t="shared" si="123"/>
        <v>-307644.40386904776</v>
      </c>
      <c r="CT184" s="1220">
        <f t="shared" si="123"/>
        <v>-307644.40386904776</v>
      </c>
      <c r="CU184" s="1220">
        <f t="shared" si="123"/>
        <v>-307644.40386904776</v>
      </c>
      <c r="CV184" s="1220">
        <f t="shared" si="123"/>
        <v>-307644.40386904776</v>
      </c>
      <c r="CW184" s="1220">
        <f t="shared" si="123"/>
        <v>-307644.40386904776</v>
      </c>
      <c r="CX184" s="1220">
        <f t="shared" si="123"/>
        <v>-307644.40386904776</v>
      </c>
      <c r="CY184" s="1220">
        <f t="shared" si="123"/>
        <v>-307644.40386904776</v>
      </c>
      <c r="CZ184" s="1220">
        <f t="shared" si="123"/>
        <v>-307644.40386904776</v>
      </c>
      <c r="DA184" s="1220">
        <f t="shared" si="123"/>
        <v>-307644.40386904776</v>
      </c>
      <c r="DB184" s="1220">
        <f t="shared" si="123"/>
        <v>-307644.40386904776</v>
      </c>
      <c r="DC184" s="1220">
        <f t="shared" si="123"/>
        <v>-307644.40386904776</v>
      </c>
      <c r="DD184" s="1220">
        <f t="shared" si="123"/>
        <v>-307644.40386904776</v>
      </c>
      <c r="DE184" s="1220">
        <f t="shared" si="123"/>
        <v>-307644.40386904776</v>
      </c>
      <c r="DF184" s="101"/>
      <c r="DG184" s="101"/>
      <c r="DH184" s="101"/>
      <c r="DI184" s="101"/>
      <c r="DJ184" s="101"/>
      <c r="DK184" s="101"/>
      <c r="DL184" s="101"/>
      <c r="DM184" s="101"/>
      <c r="DN184" s="101"/>
      <c r="DO184" s="101"/>
      <c r="DP184" s="101"/>
      <c r="DQ184" s="101"/>
      <c r="DR184" s="101"/>
      <c r="DS184" s="101"/>
      <c r="DT184" s="101"/>
      <c r="DU184" s="101"/>
      <c r="DV184" s="101"/>
      <c r="DW184" s="101"/>
      <c r="DX184" s="101"/>
      <c r="DY184" s="101"/>
      <c r="DZ184" s="101"/>
      <c r="EA184" s="101"/>
      <c r="EB184" s="101"/>
      <c r="EC184" s="101"/>
      <c r="ED184" s="101"/>
      <c r="EE184" s="101"/>
      <c r="EF184" s="101"/>
      <c r="EG184" s="101"/>
      <c r="EH184" s="101"/>
      <c r="EI184" s="101"/>
      <c r="EJ184" s="101"/>
      <c r="EK184" s="101"/>
      <c r="EL184" s="101"/>
      <c r="EM184" s="101"/>
      <c r="EN184" s="101"/>
      <c r="EO184" s="101"/>
      <c r="EP184" s="101"/>
      <c r="EQ184" s="101"/>
      <c r="ER184" s="101"/>
      <c r="ES184" s="101"/>
      <c r="ET184" s="101"/>
      <c r="EU184" s="101"/>
      <c r="EV184" s="101"/>
      <c r="EW184" s="101"/>
      <c r="EX184" s="101"/>
      <c r="EY184" s="101"/>
      <c r="EZ184" s="1220">
        <f t="shared" ref="EZ184:FF184" si="124">-$H184/84</f>
        <v>-307644.40386904776</v>
      </c>
      <c r="FA184" s="1220">
        <f t="shared" si="124"/>
        <v>-307644.40386904776</v>
      </c>
      <c r="FB184" s="1220">
        <f t="shared" si="124"/>
        <v>-307644.40386904776</v>
      </c>
      <c r="FC184" s="1220">
        <f t="shared" si="124"/>
        <v>-307644.40386904776</v>
      </c>
      <c r="FD184" s="1220">
        <f t="shared" si="124"/>
        <v>-307644.40386904776</v>
      </c>
      <c r="FE184" s="1220">
        <f t="shared" si="124"/>
        <v>-307644.40386904776</v>
      </c>
      <c r="FF184" s="1220">
        <f t="shared" si="124"/>
        <v>-307644.40386904776</v>
      </c>
      <c r="FG184" s="1220">
        <f t="shared" ref="FG184:FL184" si="125">-$H184/84</f>
        <v>-307644.40386904776</v>
      </c>
      <c r="FH184" s="1220">
        <f t="shared" si="125"/>
        <v>-307644.40386904776</v>
      </c>
      <c r="FI184" s="1220">
        <f t="shared" si="125"/>
        <v>-307644.40386904776</v>
      </c>
      <c r="FJ184" s="1220">
        <f t="shared" si="125"/>
        <v>-307644.40386904776</v>
      </c>
      <c r="FK184" s="1220">
        <f t="shared" si="125"/>
        <v>-307644.40386904776</v>
      </c>
      <c r="FL184" s="1220">
        <f t="shared" si="125"/>
        <v>-307644.40386904776</v>
      </c>
    </row>
    <row r="185" spans="1:173" x14ac:dyDescent="0.3">
      <c r="A185" s="1214"/>
      <c r="H185" s="1215"/>
      <c r="L185" s="1220"/>
      <c r="M185" s="1220"/>
      <c r="N185" s="1220"/>
      <c r="O185" s="1220"/>
      <c r="P185" s="1220"/>
      <c r="Q185" s="1220"/>
      <c r="R185" s="1220"/>
      <c r="S185" s="1220"/>
      <c r="T185" s="1220"/>
      <c r="U185" s="1220"/>
      <c r="V185" s="1220"/>
      <c r="W185" s="1220"/>
      <c r="X185" s="1220"/>
      <c r="Y185" s="1220"/>
      <c r="Z185" s="1220"/>
      <c r="AA185" s="1220"/>
      <c r="AB185" s="1220"/>
      <c r="AC185" s="1220"/>
      <c r="AD185" s="1220"/>
      <c r="AE185" s="1220"/>
      <c r="AF185" s="1220"/>
      <c r="AG185" s="1220"/>
      <c r="AH185" s="1220"/>
      <c r="AI185" s="1220"/>
      <c r="AJ185" s="1220"/>
      <c r="AK185" s="1220"/>
      <c r="AL185" s="1220"/>
      <c r="AM185" s="1220"/>
      <c r="AN185" s="1220"/>
      <c r="AO185" s="1220"/>
      <c r="AP185" s="1220"/>
      <c r="AQ185" s="1220"/>
      <c r="AR185" s="1220"/>
      <c r="AS185" s="1220"/>
      <c r="AT185" s="1220"/>
      <c r="AU185" s="1220"/>
      <c r="AV185" s="1220"/>
      <c r="AW185" s="1220"/>
      <c r="AX185" s="1220"/>
      <c r="AY185" s="1220"/>
      <c r="AZ185" s="1220"/>
      <c r="BA185" s="1220"/>
      <c r="BB185" s="1220"/>
      <c r="BC185" s="1220"/>
      <c r="BD185" s="1220"/>
      <c r="BE185" s="1220"/>
      <c r="BF185" s="1220"/>
      <c r="BG185" s="1220"/>
      <c r="BH185" s="1220"/>
      <c r="BI185" s="1220"/>
      <c r="BJ185" s="1220"/>
      <c r="BK185" s="1220"/>
      <c r="BL185" s="1220"/>
      <c r="BM185" s="1220"/>
      <c r="BN185" s="1220"/>
      <c r="BO185" s="1220"/>
      <c r="BP185" s="1220"/>
      <c r="BQ185" s="1220"/>
      <c r="BR185" s="1220"/>
      <c r="BS185" s="1220"/>
      <c r="BT185" s="1220"/>
      <c r="BU185" s="1220"/>
      <c r="BV185" s="1220"/>
      <c r="BW185" s="1220"/>
      <c r="BX185" s="1220"/>
      <c r="BY185" s="1220"/>
      <c r="BZ185" s="1220"/>
      <c r="CA185" s="1220"/>
      <c r="CB185" s="1220"/>
      <c r="CC185" s="1220"/>
      <c r="CD185" s="1220"/>
      <c r="CE185" s="1220"/>
      <c r="CF185" s="1220"/>
      <c r="CG185" s="1220"/>
      <c r="CH185" s="1220">
        <f>-$H185/84</f>
        <v>0</v>
      </c>
      <c r="CI185" s="1220"/>
      <c r="CJ185" s="1220"/>
      <c r="CK185" s="1220"/>
      <c r="CL185" s="1220"/>
      <c r="CM185" s="1220"/>
      <c r="CN185" s="1220"/>
      <c r="CO185" s="1220"/>
      <c r="CP185" s="1220"/>
      <c r="CQ185" s="1220"/>
      <c r="CR185" s="1220"/>
      <c r="CS185" s="1220"/>
      <c r="CT185" s="1220"/>
      <c r="CU185" s="1220"/>
      <c r="CV185" s="1220"/>
      <c r="CW185" s="1220"/>
      <c r="CX185" s="1220"/>
      <c r="CY185" s="1220"/>
      <c r="CZ185" s="1220"/>
      <c r="DA185" s="1220"/>
      <c r="DB185" s="1220"/>
      <c r="DC185" s="1220"/>
      <c r="DD185" s="1220"/>
      <c r="DE185" s="1220"/>
      <c r="DF185" s="101"/>
      <c r="DG185" s="101"/>
      <c r="DH185" s="101"/>
      <c r="DI185" s="101"/>
      <c r="DJ185" s="101"/>
      <c r="DK185" s="101"/>
      <c r="DL185" s="101"/>
      <c r="DM185" s="101"/>
      <c r="DN185" s="101"/>
      <c r="DO185" s="101"/>
      <c r="DP185" s="101"/>
      <c r="DQ185" s="101"/>
      <c r="DR185" s="101"/>
      <c r="DS185" s="101"/>
      <c r="DT185" s="101"/>
      <c r="DU185" s="101"/>
      <c r="DV185" s="101"/>
      <c r="DW185" s="101"/>
      <c r="DX185" s="101"/>
      <c r="DY185" s="101"/>
      <c r="DZ185" s="101"/>
      <c r="EA185" s="101"/>
      <c r="EB185" s="101"/>
      <c r="EC185" s="101"/>
      <c r="ED185" s="101"/>
      <c r="EE185" s="101"/>
      <c r="EF185" s="101"/>
      <c r="EG185" s="101"/>
      <c r="EH185" s="101"/>
      <c r="EI185" s="101"/>
      <c r="EJ185" s="101"/>
      <c r="EK185" s="101"/>
      <c r="EL185" s="101"/>
      <c r="EM185" s="101"/>
      <c r="EN185" s="101"/>
      <c r="EO185" s="101"/>
      <c r="EP185" s="101"/>
      <c r="EQ185" s="101"/>
      <c r="ER185" s="101"/>
      <c r="ES185" s="101"/>
      <c r="ET185" s="101"/>
      <c r="EU185" s="101"/>
      <c r="EV185" s="101"/>
      <c r="EW185" s="101"/>
      <c r="EX185" s="101"/>
      <c r="EY185" s="101"/>
      <c r="EZ185" s="1220"/>
      <c r="FA185" s="1220"/>
      <c r="FB185" s="1220"/>
      <c r="FC185" s="1220"/>
      <c r="FD185" s="1220"/>
      <c r="FE185" s="1220"/>
      <c r="FF185" s="1220"/>
      <c r="FG185" s="1220"/>
      <c r="FH185" s="1220"/>
      <c r="FI185" s="1220"/>
      <c r="FJ185" s="1220"/>
    </row>
    <row r="186" spans="1:173" x14ac:dyDescent="0.3">
      <c r="A186" s="1214" t="s">
        <v>2443</v>
      </c>
      <c r="H186" s="1215">
        <v>25842129.925000012</v>
      </c>
      <c r="L186" s="1220"/>
      <c r="M186" s="1220"/>
      <c r="N186" s="1220"/>
      <c r="O186" s="1220"/>
      <c r="P186" s="1220"/>
      <c r="Q186" s="1220"/>
      <c r="R186" s="1220"/>
      <c r="S186" s="1220"/>
      <c r="T186" s="1220"/>
      <c r="U186" s="1220"/>
      <c r="V186" s="1220"/>
      <c r="W186" s="1220"/>
      <c r="X186" s="1220"/>
      <c r="Y186" s="1220"/>
      <c r="Z186" s="1220"/>
      <c r="AA186" s="1220"/>
      <c r="AB186" s="1220"/>
      <c r="AC186" s="1220"/>
      <c r="AD186" s="1220"/>
      <c r="AE186" s="1220"/>
      <c r="AF186" s="1220"/>
      <c r="AG186" s="1220"/>
      <c r="AH186" s="1220"/>
      <c r="AI186" s="1220"/>
      <c r="AJ186" s="1220"/>
      <c r="AK186" s="1220"/>
      <c r="AL186" s="1220"/>
      <c r="AM186" s="1220"/>
      <c r="AN186" s="1220"/>
      <c r="AO186" s="1220"/>
      <c r="AP186" s="1220"/>
      <c r="AQ186" s="1220"/>
      <c r="AR186" s="1220"/>
      <c r="AS186" s="1220"/>
      <c r="AT186" s="1220"/>
      <c r="AU186" s="1220"/>
      <c r="AV186" s="1220"/>
      <c r="AW186" s="1220"/>
      <c r="AX186" s="1220"/>
      <c r="AY186" s="1220"/>
      <c r="AZ186" s="1220"/>
      <c r="BA186" s="1220"/>
      <c r="BB186" s="1220"/>
      <c r="BC186" s="1220"/>
      <c r="BD186" s="1220"/>
      <c r="BE186" s="1220"/>
      <c r="BF186" s="1220"/>
      <c r="BG186" s="1220"/>
      <c r="BH186" s="1220"/>
      <c r="BI186" s="1220"/>
      <c r="BJ186" s="1220"/>
      <c r="BK186" s="1220"/>
      <c r="BL186" s="1220"/>
      <c r="BM186" s="1220"/>
      <c r="BN186" s="1220"/>
      <c r="BO186" s="1220"/>
      <c r="BP186" s="1220"/>
      <c r="BQ186" s="1220"/>
      <c r="BR186" s="1220"/>
      <c r="BS186" s="1220"/>
      <c r="BT186" s="1220"/>
      <c r="BU186" s="1220"/>
      <c r="BV186" s="1220"/>
      <c r="BW186" s="1220"/>
      <c r="BX186" s="1220"/>
      <c r="BY186" s="1220"/>
      <c r="BZ186" s="1220"/>
      <c r="CA186" s="1220"/>
      <c r="CB186" s="1220"/>
      <c r="CC186" s="1220"/>
      <c r="CD186" s="1220"/>
      <c r="CE186" s="1220"/>
      <c r="CF186" s="1220"/>
      <c r="CG186" s="1220"/>
      <c r="CH186" s="1220">
        <f>-$H186/84</f>
        <v>-307644.40386904776</v>
      </c>
      <c r="CI186" s="1220">
        <f t="shared" ref="CI186:DE186" si="126">-$H186/84</f>
        <v>-307644.40386904776</v>
      </c>
      <c r="CJ186" s="1220">
        <f t="shared" si="126"/>
        <v>-307644.40386904776</v>
      </c>
      <c r="CK186" s="1220">
        <f t="shared" si="126"/>
        <v>-307644.40386904776</v>
      </c>
      <c r="CL186" s="1220">
        <f t="shared" si="126"/>
        <v>-307644.40386904776</v>
      </c>
      <c r="CM186" s="1220">
        <f t="shared" si="126"/>
        <v>-307644.40386904776</v>
      </c>
      <c r="CN186" s="1220">
        <f t="shared" si="126"/>
        <v>-307644.40386904776</v>
      </c>
      <c r="CO186" s="1220">
        <f t="shared" si="126"/>
        <v>-307644.40386904776</v>
      </c>
      <c r="CP186" s="1220">
        <f t="shared" si="126"/>
        <v>-307644.40386904776</v>
      </c>
      <c r="CQ186" s="1220">
        <f t="shared" si="126"/>
        <v>-307644.40386904776</v>
      </c>
      <c r="CR186" s="1220">
        <f t="shared" si="126"/>
        <v>-307644.40386904776</v>
      </c>
      <c r="CS186" s="1220">
        <f t="shared" si="126"/>
        <v>-307644.40386904776</v>
      </c>
      <c r="CT186" s="1220">
        <f t="shared" si="126"/>
        <v>-307644.40386904776</v>
      </c>
      <c r="CU186" s="1220">
        <f t="shared" si="126"/>
        <v>-307644.40386904776</v>
      </c>
      <c r="CV186" s="1220">
        <f t="shared" si="126"/>
        <v>-307644.40386904776</v>
      </c>
      <c r="CW186" s="1220">
        <f t="shared" si="126"/>
        <v>-307644.40386904776</v>
      </c>
      <c r="CX186" s="1220">
        <f t="shared" si="126"/>
        <v>-307644.40386904776</v>
      </c>
      <c r="CY186" s="1220">
        <f t="shared" si="126"/>
        <v>-307644.40386904776</v>
      </c>
      <c r="CZ186" s="1220">
        <f t="shared" si="126"/>
        <v>-307644.40386904776</v>
      </c>
      <c r="DA186" s="1220">
        <f t="shared" si="126"/>
        <v>-307644.40386904776</v>
      </c>
      <c r="DB186" s="1220">
        <f t="shared" si="126"/>
        <v>-307644.40386904776</v>
      </c>
      <c r="DC186" s="1220">
        <f t="shared" si="126"/>
        <v>-307644.40386904776</v>
      </c>
      <c r="DD186" s="1220">
        <f t="shared" si="126"/>
        <v>-307644.40386904776</v>
      </c>
      <c r="DE186" s="1220">
        <f t="shared" si="126"/>
        <v>-307644.40386904776</v>
      </c>
      <c r="DF186" s="101"/>
      <c r="DG186" s="101"/>
      <c r="DH186" s="101"/>
      <c r="DI186" s="101"/>
      <c r="DJ186" s="101"/>
      <c r="DK186" s="101"/>
      <c r="DL186" s="101"/>
      <c r="DM186" s="101"/>
      <c r="DN186" s="101"/>
      <c r="DO186" s="101"/>
      <c r="DP186" s="101"/>
      <c r="DQ186" s="101"/>
      <c r="DR186" s="101"/>
      <c r="DS186" s="101"/>
      <c r="DT186" s="101"/>
      <c r="DU186" s="101"/>
      <c r="DV186" s="101"/>
      <c r="DW186" s="101"/>
      <c r="DX186" s="101"/>
      <c r="DY186" s="101"/>
      <c r="DZ186" s="101"/>
      <c r="EA186" s="101"/>
      <c r="EB186" s="101"/>
      <c r="EC186" s="101"/>
      <c r="ED186" s="101"/>
      <c r="EE186" s="101"/>
      <c r="EF186" s="101"/>
      <c r="EG186" s="101"/>
      <c r="EH186" s="101"/>
      <c r="EI186" s="101"/>
      <c r="EJ186" s="101"/>
      <c r="EK186" s="101"/>
      <c r="EL186" s="101"/>
      <c r="EM186" s="101"/>
      <c r="EN186" s="101"/>
      <c r="EO186" s="101"/>
      <c r="EP186" s="101"/>
      <c r="EQ186" s="101"/>
      <c r="ER186" s="101"/>
      <c r="ES186" s="101"/>
      <c r="ET186" s="101"/>
      <c r="EU186" s="101"/>
      <c r="EV186" s="101"/>
      <c r="EW186" s="101"/>
      <c r="EX186" s="101"/>
      <c r="EY186" s="101"/>
      <c r="EZ186" s="1220">
        <f t="shared" ref="EZ186:FF186" si="127">-$H186/84</f>
        <v>-307644.40386904776</v>
      </c>
      <c r="FA186" s="1220">
        <f t="shared" si="127"/>
        <v>-307644.40386904776</v>
      </c>
      <c r="FB186" s="1220">
        <f t="shared" si="127"/>
        <v>-307644.40386904776</v>
      </c>
      <c r="FC186" s="1220">
        <f t="shared" si="127"/>
        <v>-307644.40386904776</v>
      </c>
      <c r="FD186" s="1220">
        <f t="shared" si="127"/>
        <v>-307644.40386904776</v>
      </c>
      <c r="FE186" s="1220">
        <f t="shared" si="127"/>
        <v>-307644.40386904776</v>
      </c>
      <c r="FF186" s="1220">
        <f t="shared" si="127"/>
        <v>-307644.40386904776</v>
      </c>
      <c r="FG186" s="1220">
        <f t="shared" ref="FG186:FM186" si="128">-$H186/84</f>
        <v>-307644.40386904776</v>
      </c>
      <c r="FH186" s="1220">
        <f t="shared" si="128"/>
        <v>-307644.40386904776</v>
      </c>
      <c r="FI186" s="1220">
        <f t="shared" si="128"/>
        <v>-307644.40386904776</v>
      </c>
      <c r="FJ186" s="1220">
        <f t="shared" si="128"/>
        <v>-307644.40386904776</v>
      </c>
      <c r="FK186" s="1220">
        <f t="shared" si="128"/>
        <v>-307644.40386904776</v>
      </c>
      <c r="FL186" s="1220">
        <f t="shared" si="128"/>
        <v>-307644.40386904776</v>
      </c>
      <c r="FM186" s="1220">
        <f t="shared" si="128"/>
        <v>-307644.40386904776</v>
      </c>
    </row>
    <row r="187" spans="1:173" x14ac:dyDescent="0.3">
      <c r="A187" s="1214"/>
      <c r="H187" s="1215"/>
      <c r="L187" s="1220"/>
      <c r="M187" s="1220"/>
      <c r="N187" s="1220"/>
      <c r="O187" s="1220"/>
      <c r="P187" s="1220"/>
      <c r="Q187" s="1220"/>
      <c r="R187" s="1220"/>
      <c r="S187" s="1220"/>
      <c r="T187" s="1220"/>
      <c r="U187" s="1220"/>
      <c r="V187" s="1220"/>
      <c r="W187" s="1220"/>
      <c r="X187" s="1220"/>
      <c r="Y187" s="1220"/>
      <c r="Z187" s="1220"/>
      <c r="AA187" s="1220"/>
      <c r="AB187" s="1220"/>
      <c r="AC187" s="1220"/>
      <c r="AD187" s="1220"/>
      <c r="AE187" s="1220"/>
      <c r="AF187" s="1220"/>
      <c r="AG187" s="1220"/>
      <c r="AH187" s="1220"/>
      <c r="AI187" s="1220"/>
      <c r="AJ187" s="1220"/>
      <c r="AK187" s="1220"/>
      <c r="AL187" s="1220"/>
      <c r="AM187" s="1220"/>
      <c r="AN187" s="1220"/>
      <c r="AO187" s="1220"/>
      <c r="AP187" s="1220"/>
      <c r="AQ187" s="1220"/>
      <c r="AR187" s="1220"/>
      <c r="AS187" s="1220"/>
      <c r="AT187" s="1220"/>
      <c r="AU187" s="1220"/>
      <c r="AV187" s="1220"/>
      <c r="AW187" s="1220"/>
      <c r="AX187" s="1220"/>
      <c r="AY187" s="1220"/>
      <c r="AZ187" s="1220"/>
      <c r="BA187" s="1220"/>
      <c r="BB187" s="1220"/>
      <c r="BC187" s="1220"/>
      <c r="BD187" s="1220"/>
      <c r="BE187" s="1220"/>
      <c r="BF187" s="1220"/>
      <c r="BG187" s="1220"/>
      <c r="BH187" s="1220"/>
      <c r="BI187" s="1220"/>
      <c r="BJ187" s="1220"/>
      <c r="BK187" s="1220"/>
      <c r="BL187" s="1220"/>
      <c r="BM187" s="1220"/>
      <c r="BN187" s="1220"/>
      <c r="BO187" s="1220"/>
      <c r="BP187" s="1220"/>
      <c r="BQ187" s="1220"/>
      <c r="BR187" s="1220"/>
      <c r="BS187" s="1220"/>
      <c r="BT187" s="1220"/>
      <c r="BU187" s="1220"/>
      <c r="BV187" s="1220"/>
      <c r="BW187" s="1220"/>
      <c r="BX187" s="1220"/>
      <c r="BY187" s="1220"/>
      <c r="BZ187" s="1220"/>
      <c r="CA187" s="1220"/>
      <c r="CB187" s="1220"/>
      <c r="CC187" s="1220"/>
      <c r="CD187" s="1220"/>
      <c r="CE187" s="1220"/>
      <c r="CF187" s="1220"/>
      <c r="CG187" s="1220"/>
      <c r="CH187" s="1220"/>
      <c r="CI187" s="1220">
        <f>-$H187/84</f>
        <v>0</v>
      </c>
      <c r="CJ187" s="1220"/>
      <c r="CK187" s="1220"/>
      <c r="CL187" s="1220"/>
      <c r="CM187" s="1220"/>
      <c r="CN187" s="1220"/>
      <c r="CO187" s="1220"/>
      <c r="CP187" s="1220"/>
      <c r="CQ187" s="1220"/>
      <c r="CR187" s="1220"/>
      <c r="CS187" s="1220"/>
      <c r="CT187" s="1220"/>
      <c r="CU187" s="1220"/>
      <c r="CV187" s="1220"/>
      <c r="CW187" s="1220"/>
      <c r="CX187" s="1220"/>
      <c r="CY187" s="1220"/>
      <c r="CZ187" s="1220"/>
      <c r="DA187" s="1220"/>
      <c r="DB187" s="1220"/>
      <c r="DC187" s="1220"/>
      <c r="DD187" s="1220"/>
      <c r="DE187" s="1220"/>
      <c r="DF187" s="101"/>
      <c r="DG187" s="101"/>
      <c r="DH187" s="101"/>
      <c r="DI187" s="101"/>
      <c r="DJ187" s="101"/>
      <c r="DK187" s="101"/>
      <c r="DL187" s="101"/>
      <c r="DM187" s="101"/>
      <c r="DN187" s="101"/>
      <c r="DO187" s="101"/>
      <c r="DP187" s="101"/>
      <c r="DQ187" s="101"/>
      <c r="DR187" s="101"/>
      <c r="DS187" s="101"/>
      <c r="DT187" s="101"/>
      <c r="DU187" s="101"/>
      <c r="DV187" s="101"/>
      <c r="DW187" s="101"/>
      <c r="DX187" s="101"/>
      <c r="DY187" s="101"/>
      <c r="DZ187" s="101"/>
      <c r="EA187" s="101"/>
      <c r="EB187" s="101"/>
      <c r="EC187" s="101"/>
      <c r="ED187" s="101"/>
      <c r="EE187" s="101"/>
      <c r="EF187" s="101"/>
      <c r="EG187" s="101"/>
      <c r="EH187" s="101"/>
      <c r="EI187" s="101"/>
      <c r="EJ187" s="101"/>
      <c r="EK187" s="101"/>
      <c r="EL187" s="101"/>
      <c r="EM187" s="101"/>
      <c r="EN187" s="101"/>
      <c r="EO187" s="101"/>
      <c r="EP187" s="101"/>
      <c r="EQ187" s="101"/>
      <c r="ER187" s="101"/>
      <c r="ES187" s="101"/>
      <c r="ET187" s="101"/>
      <c r="EU187" s="101"/>
      <c r="EV187" s="101"/>
      <c r="EW187" s="101"/>
      <c r="EX187" s="101"/>
      <c r="EY187" s="101"/>
      <c r="EZ187" s="1220"/>
      <c r="FA187" s="1220"/>
      <c r="FB187" s="1220"/>
      <c r="FC187" s="1220"/>
      <c r="FD187" s="1220"/>
      <c r="FE187" s="1220"/>
      <c r="FF187" s="1220"/>
      <c r="FG187" s="1220"/>
      <c r="FH187" s="1220"/>
      <c r="FI187" s="1220"/>
      <c r="FJ187" s="1220"/>
      <c r="FK187" s="1220"/>
      <c r="FL187" s="1220"/>
      <c r="FM187" s="1220"/>
    </row>
    <row r="188" spans="1:173" x14ac:dyDescent="0.3">
      <c r="A188" s="1214" t="s">
        <v>2558</v>
      </c>
      <c r="H188" s="1215">
        <v>25842129.925000012</v>
      </c>
      <c r="L188" s="1220"/>
      <c r="M188" s="1220"/>
      <c r="N188" s="1220"/>
      <c r="O188" s="1220"/>
      <c r="P188" s="1220"/>
      <c r="Q188" s="1220"/>
      <c r="R188" s="1220"/>
      <c r="S188" s="1220"/>
      <c r="T188" s="1220"/>
      <c r="U188" s="1220"/>
      <c r="V188" s="1220"/>
      <c r="W188" s="1220"/>
      <c r="X188" s="1220"/>
      <c r="Y188" s="1220"/>
      <c r="Z188" s="1220"/>
      <c r="AA188" s="1220"/>
      <c r="AB188" s="1220"/>
      <c r="AC188" s="1220"/>
      <c r="AD188" s="1220"/>
      <c r="AE188" s="1220"/>
      <c r="AF188" s="1220"/>
      <c r="AG188" s="1220"/>
      <c r="AH188" s="1220"/>
      <c r="AI188" s="1220"/>
      <c r="AJ188" s="1220"/>
      <c r="AK188" s="1220"/>
      <c r="AL188" s="1220"/>
      <c r="AM188" s="1220"/>
      <c r="AN188" s="1220"/>
      <c r="AO188" s="1220"/>
      <c r="AP188" s="1220"/>
      <c r="AQ188" s="1220"/>
      <c r="AR188" s="1220"/>
      <c r="AS188" s="1220"/>
      <c r="AT188" s="1220"/>
      <c r="AU188" s="1220"/>
      <c r="AV188" s="1220"/>
      <c r="AW188" s="1220"/>
      <c r="AX188" s="1220"/>
      <c r="AY188" s="1220"/>
      <c r="AZ188" s="1220"/>
      <c r="BA188" s="1220"/>
      <c r="BB188" s="1220"/>
      <c r="BC188" s="1220"/>
      <c r="BD188" s="1220"/>
      <c r="BE188" s="1220"/>
      <c r="BF188" s="1220"/>
      <c r="BG188" s="1220"/>
      <c r="BH188" s="1220"/>
      <c r="BI188" s="1220"/>
      <c r="BJ188" s="1220"/>
      <c r="BK188" s="1220"/>
      <c r="BL188" s="1220"/>
      <c r="BM188" s="1220"/>
      <c r="BN188" s="1220"/>
      <c r="BO188" s="1220"/>
      <c r="BP188" s="1220"/>
      <c r="BQ188" s="1220"/>
      <c r="BR188" s="1220"/>
      <c r="BS188" s="1220"/>
      <c r="BT188" s="1220"/>
      <c r="BU188" s="1220"/>
      <c r="BV188" s="1220"/>
      <c r="BW188" s="1220"/>
      <c r="BX188" s="1220"/>
      <c r="BY188" s="1220"/>
      <c r="BZ188" s="1220"/>
      <c r="CA188" s="1220"/>
      <c r="CB188" s="1220"/>
      <c r="CC188" s="1220"/>
      <c r="CD188" s="1220"/>
      <c r="CE188" s="1220"/>
      <c r="CF188" s="1220"/>
      <c r="CG188" s="1220"/>
      <c r="CH188" s="1220"/>
      <c r="CI188" s="1220">
        <f>-$H188/84</f>
        <v>-307644.40386904776</v>
      </c>
      <c r="CJ188" s="1220">
        <f t="shared" ref="CJ188:DE188" si="129">-$H188/84</f>
        <v>-307644.40386904776</v>
      </c>
      <c r="CK188" s="1220">
        <f t="shared" si="129"/>
        <v>-307644.40386904776</v>
      </c>
      <c r="CL188" s="1220">
        <f t="shared" si="129"/>
        <v>-307644.40386904776</v>
      </c>
      <c r="CM188" s="1220">
        <f t="shared" si="129"/>
        <v>-307644.40386904776</v>
      </c>
      <c r="CN188" s="1220">
        <f t="shared" si="129"/>
        <v>-307644.40386904776</v>
      </c>
      <c r="CO188" s="1220">
        <f t="shared" si="129"/>
        <v>-307644.40386904776</v>
      </c>
      <c r="CP188" s="1220">
        <f t="shared" si="129"/>
        <v>-307644.40386904776</v>
      </c>
      <c r="CQ188" s="1220">
        <f t="shared" si="129"/>
        <v>-307644.40386904776</v>
      </c>
      <c r="CR188" s="1220">
        <f t="shared" si="129"/>
        <v>-307644.40386904776</v>
      </c>
      <c r="CS188" s="1220">
        <f t="shared" si="129"/>
        <v>-307644.40386904776</v>
      </c>
      <c r="CT188" s="1220">
        <f t="shared" si="129"/>
        <v>-307644.40386904776</v>
      </c>
      <c r="CU188" s="1220">
        <f t="shared" si="129"/>
        <v>-307644.40386904776</v>
      </c>
      <c r="CV188" s="1220">
        <f t="shared" si="129"/>
        <v>-307644.40386904776</v>
      </c>
      <c r="CW188" s="1220">
        <f t="shared" si="129"/>
        <v>-307644.40386904776</v>
      </c>
      <c r="CX188" s="1220">
        <f t="shared" si="129"/>
        <v>-307644.40386904776</v>
      </c>
      <c r="CY188" s="1220">
        <f t="shared" si="129"/>
        <v>-307644.40386904776</v>
      </c>
      <c r="CZ188" s="1220">
        <f t="shared" si="129"/>
        <v>-307644.40386904776</v>
      </c>
      <c r="DA188" s="1220">
        <f t="shared" si="129"/>
        <v>-307644.40386904776</v>
      </c>
      <c r="DB188" s="1220">
        <f t="shared" si="129"/>
        <v>-307644.40386904776</v>
      </c>
      <c r="DC188" s="1220">
        <f t="shared" si="129"/>
        <v>-307644.40386904776</v>
      </c>
      <c r="DD188" s="1220">
        <f t="shared" si="129"/>
        <v>-307644.40386904776</v>
      </c>
      <c r="DE188" s="1220">
        <f t="shared" si="129"/>
        <v>-307644.40386904776</v>
      </c>
      <c r="DF188" s="101"/>
      <c r="DG188" s="101"/>
      <c r="DH188" s="101"/>
      <c r="DI188" s="101"/>
      <c r="DJ188" s="101"/>
      <c r="DK188" s="101"/>
      <c r="DL188" s="101"/>
      <c r="DM188" s="101"/>
      <c r="DN188" s="101"/>
      <c r="DO188" s="101"/>
      <c r="DP188" s="101"/>
      <c r="DQ188" s="101"/>
      <c r="DR188" s="101"/>
      <c r="DS188" s="101"/>
      <c r="DT188" s="101"/>
      <c r="DU188" s="101"/>
      <c r="DV188" s="101"/>
      <c r="DW188" s="101"/>
      <c r="DX188" s="101"/>
      <c r="DY188" s="101"/>
      <c r="DZ188" s="101"/>
      <c r="EA188" s="101"/>
      <c r="EB188" s="101"/>
      <c r="EC188" s="101"/>
      <c r="ED188" s="101"/>
      <c r="EE188" s="101"/>
      <c r="EF188" s="101"/>
      <c r="EG188" s="101"/>
      <c r="EH188" s="101"/>
      <c r="EI188" s="101"/>
      <c r="EJ188" s="101"/>
      <c r="EK188" s="101"/>
      <c r="EL188" s="101"/>
      <c r="EM188" s="101"/>
      <c r="EN188" s="101"/>
      <c r="EO188" s="101"/>
      <c r="EP188" s="101"/>
      <c r="EQ188" s="101"/>
      <c r="ER188" s="101"/>
      <c r="ES188" s="101"/>
      <c r="ET188" s="101"/>
      <c r="EU188" s="101"/>
      <c r="EV188" s="101"/>
      <c r="EW188" s="101"/>
      <c r="EX188" s="101"/>
      <c r="EY188" s="101"/>
      <c r="EZ188" s="1220">
        <f t="shared" ref="EZ188:FF188" si="130">-$H188/84</f>
        <v>-307644.40386904776</v>
      </c>
      <c r="FA188" s="1220">
        <f t="shared" si="130"/>
        <v>-307644.40386904776</v>
      </c>
      <c r="FB188" s="1220">
        <f t="shared" si="130"/>
        <v>-307644.40386904776</v>
      </c>
      <c r="FC188" s="1220">
        <f t="shared" si="130"/>
        <v>-307644.40386904776</v>
      </c>
      <c r="FD188" s="1220">
        <f t="shared" si="130"/>
        <v>-307644.40386904776</v>
      </c>
      <c r="FE188" s="1220">
        <f t="shared" si="130"/>
        <v>-307644.40386904776</v>
      </c>
      <c r="FF188" s="1220">
        <f t="shared" si="130"/>
        <v>-307644.40386904776</v>
      </c>
      <c r="FG188" s="1220">
        <f t="shared" ref="FG188:FN188" si="131">-$H188/84</f>
        <v>-307644.40386904776</v>
      </c>
      <c r="FH188" s="1220">
        <f t="shared" si="131"/>
        <v>-307644.40386904776</v>
      </c>
      <c r="FI188" s="1220">
        <f t="shared" si="131"/>
        <v>-307644.40386904776</v>
      </c>
      <c r="FJ188" s="1220">
        <f t="shared" si="131"/>
        <v>-307644.40386904776</v>
      </c>
      <c r="FK188" s="1220">
        <f t="shared" si="131"/>
        <v>-307644.40386904776</v>
      </c>
      <c r="FL188" s="1220">
        <f t="shared" si="131"/>
        <v>-307644.40386904776</v>
      </c>
      <c r="FM188" s="1220">
        <f t="shared" si="131"/>
        <v>-307644.40386904776</v>
      </c>
      <c r="FN188" s="1220">
        <f t="shared" si="131"/>
        <v>-307644.40386904776</v>
      </c>
    </row>
    <row r="189" spans="1:173" x14ac:dyDescent="0.3">
      <c r="A189" s="1214"/>
      <c r="H189" s="1215"/>
      <c r="L189" s="1220"/>
      <c r="M189" s="1220"/>
      <c r="N189" s="1220"/>
      <c r="O189" s="1220"/>
      <c r="P189" s="1220"/>
      <c r="Q189" s="1220"/>
      <c r="R189" s="1220"/>
      <c r="S189" s="1220"/>
      <c r="T189" s="1220"/>
      <c r="U189" s="1220"/>
      <c r="V189" s="1220"/>
      <c r="W189" s="1220"/>
      <c r="X189" s="1220"/>
      <c r="Y189" s="1220"/>
      <c r="Z189" s="1220"/>
      <c r="AA189" s="1220"/>
      <c r="AB189" s="1220"/>
      <c r="AC189" s="1220"/>
      <c r="AD189" s="1220"/>
      <c r="AE189" s="1220"/>
      <c r="AF189" s="1220"/>
      <c r="AG189" s="1220"/>
      <c r="AH189" s="1220"/>
      <c r="AI189" s="1220"/>
      <c r="AJ189" s="1220"/>
      <c r="AK189" s="1220"/>
      <c r="AL189" s="1220"/>
      <c r="AM189" s="1220"/>
      <c r="AN189" s="1220"/>
      <c r="AO189" s="1220"/>
      <c r="AP189" s="1220"/>
      <c r="AQ189" s="1220"/>
      <c r="AR189" s="1220"/>
      <c r="AS189" s="1220"/>
      <c r="AT189" s="1220"/>
      <c r="AU189" s="1220"/>
      <c r="AV189" s="1220"/>
      <c r="AW189" s="1220"/>
      <c r="AX189" s="1220"/>
      <c r="AY189" s="1220"/>
      <c r="AZ189" s="1220"/>
      <c r="BA189" s="1220"/>
      <c r="BB189" s="1220"/>
      <c r="BC189" s="1220"/>
      <c r="BD189" s="1220"/>
      <c r="BE189" s="1220"/>
      <c r="BF189" s="1220"/>
      <c r="BG189" s="1220"/>
      <c r="BH189" s="1220"/>
      <c r="BI189" s="1220"/>
      <c r="BJ189" s="1220"/>
      <c r="BK189" s="1220"/>
      <c r="BL189" s="1220"/>
      <c r="BM189" s="1220"/>
      <c r="BN189" s="1220"/>
      <c r="BO189" s="1220"/>
      <c r="BP189" s="1220"/>
      <c r="BQ189" s="1220"/>
      <c r="BR189" s="1220"/>
      <c r="BS189" s="1220"/>
      <c r="BT189" s="1220"/>
      <c r="BU189" s="1220"/>
      <c r="BV189" s="1220"/>
      <c r="BW189" s="1220"/>
      <c r="BX189" s="1220"/>
      <c r="BY189" s="1220"/>
      <c r="BZ189" s="1220"/>
      <c r="CA189" s="1220"/>
      <c r="CB189" s="1220"/>
      <c r="CC189" s="1220"/>
      <c r="CD189" s="1220"/>
      <c r="CE189" s="1220"/>
      <c r="CF189" s="1220"/>
      <c r="CG189" s="1220"/>
      <c r="CH189" s="1220"/>
      <c r="CI189" s="1220"/>
      <c r="CJ189" s="1220">
        <f>-$H189/84</f>
        <v>0</v>
      </c>
      <c r="CK189" s="1220"/>
      <c r="CL189" s="1220"/>
      <c r="CM189" s="1220"/>
      <c r="CN189" s="1220"/>
      <c r="CO189" s="1220"/>
      <c r="CP189" s="1220"/>
      <c r="CQ189" s="1220"/>
      <c r="CR189" s="1220"/>
      <c r="CS189" s="1220"/>
      <c r="CT189" s="1220"/>
      <c r="CU189" s="1220"/>
      <c r="CV189" s="1220"/>
      <c r="CW189" s="1220"/>
      <c r="CX189" s="1220"/>
      <c r="CY189" s="1220"/>
      <c r="CZ189" s="1220"/>
      <c r="DA189" s="1220"/>
      <c r="DB189" s="1220"/>
      <c r="DC189" s="1220"/>
      <c r="DD189" s="1220"/>
      <c r="DE189" s="1220"/>
      <c r="DF189" s="101"/>
      <c r="DG189" s="101"/>
      <c r="DH189" s="101"/>
      <c r="DI189" s="101"/>
      <c r="DJ189" s="101"/>
      <c r="DK189" s="101"/>
      <c r="DL189" s="101"/>
      <c r="DM189" s="101"/>
      <c r="DN189" s="101"/>
      <c r="DO189" s="101"/>
      <c r="DP189" s="101"/>
      <c r="DQ189" s="101"/>
      <c r="DR189" s="101"/>
      <c r="DS189" s="101"/>
      <c r="DT189" s="101"/>
      <c r="DU189" s="101"/>
      <c r="DV189" s="101"/>
      <c r="DW189" s="101"/>
      <c r="DX189" s="101"/>
      <c r="DY189" s="101"/>
      <c r="DZ189" s="101"/>
      <c r="EA189" s="101"/>
      <c r="EB189" s="101"/>
      <c r="EC189" s="101"/>
      <c r="ED189" s="101"/>
      <c r="EE189" s="101"/>
      <c r="EF189" s="101"/>
      <c r="EG189" s="101"/>
      <c r="EH189" s="101"/>
      <c r="EI189" s="101"/>
      <c r="EJ189" s="101"/>
      <c r="EK189" s="101"/>
      <c r="EL189" s="101"/>
      <c r="EM189" s="101"/>
      <c r="EN189" s="101"/>
      <c r="EO189" s="101"/>
      <c r="EP189" s="101"/>
      <c r="EQ189" s="101"/>
      <c r="ER189" s="101"/>
      <c r="ES189" s="101"/>
      <c r="ET189" s="101"/>
      <c r="EU189" s="101"/>
      <c r="EV189" s="101"/>
      <c r="EW189" s="101"/>
      <c r="EX189" s="101"/>
      <c r="EY189" s="101"/>
      <c r="EZ189" s="1220"/>
      <c r="FA189" s="1220"/>
      <c r="FB189" s="1220"/>
      <c r="FC189" s="1220"/>
      <c r="FD189" s="1220"/>
      <c r="FE189" s="1220"/>
      <c r="FF189" s="1220"/>
      <c r="FG189" s="1220"/>
      <c r="FH189" s="1220"/>
      <c r="FI189" s="1220"/>
      <c r="FJ189" s="1220"/>
      <c r="FK189" s="1220"/>
      <c r="FL189" s="1220"/>
      <c r="FM189" s="1220"/>
    </row>
    <row r="190" spans="1:173" x14ac:dyDescent="0.3">
      <c r="A190" s="1214" t="s">
        <v>2559</v>
      </c>
      <c r="H190" s="1215">
        <v>25842129.925000012</v>
      </c>
      <c r="L190" s="1220"/>
      <c r="M190" s="1220"/>
      <c r="N190" s="1220"/>
      <c r="O190" s="1220"/>
      <c r="P190" s="1220"/>
      <c r="Q190" s="1220"/>
      <c r="R190" s="1220"/>
      <c r="S190" s="1220"/>
      <c r="T190" s="1220"/>
      <c r="U190" s="1220"/>
      <c r="V190" s="1220"/>
      <c r="W190" s="1220"/>
      <c r="X190" s="1220"/>
      <c r="Y190" s="1220"/>
      <c r="Z190" s="1220"/>
      <c r="AA190" s="1220"/>
      <c r="AB190" s="1220"/>
      <c r="AC190" s="1220"/>
      <c r="AD190" s="1220"/>
      <c r="AE190" s="1220"/>
      <c r="AF190" s="1220"/>
      <c r="AG190" s="1220"/>
      <c r="AH190" s="1220"/>
      <c r="AI190" s="1220"/>
      <c r="AJ190" s="1220"/>
      <c r="AK190" s="1220"/>
      <c r="AL190" s="1220"/>
      <c r="AM190" s="1220"/>
      <c r="AN190" s="1220"/>
      <c r="AO190" s="1220"/>
      <c r="AP190" s="1220"/>
      <c r="AQ190" s="1220"/>
      <c r="AR190" s="1220"/>
      <c r="AS190" s="1220"/>
      <c r="AT190" s="1220"/>
      <c r="AU190" s="1220"/>
      <c r="AV190" s="1220"/>
      <c r="AW190" s="1220"/>
      <c r="AX190" s="1220"/>
      <c r="AY190" s="1220"/>
      <c r="AZ190" s="1220"/>
      <c r="BA190" s="1220"/>
      <c r="BB190" s="1220"/>
      <c r="BC190" s="1220"/>
      <c r="BD190" s="1220"/>
      <c r="BE190" s="1220"/>
      <c r="BF190" s="1220"/>
      <c r="BG190" s="1220"/>
      <c r="BH190" s="1220"/>
      <c r="BI190" s="1220"/>
      <c r="BJ190" s="1220"/>
      <c r="BK190" s="1220"/>
      <c r="BL190" s="1220"/>
      <c r="BM190" s="1220"/>
      <c r="BN190" s="1220"/>
      <c r="BO190" s="1220"/>
      <c r="BP190" s="1220"/>
      <c r="BQ190" s="1220"/>
      <c r="BR190" s="1220"/>
      <c r="BS190" s="1220"/>
      <c r="BT190" s="1220"/>
      <c r="BU190" s="1220"/>
      <c r="BV190" s="1220"/>
      <c r="BW190" s="1220"/>
      <c r="BX190" s="1220"/>
      <c r="BY190" s="1220"/>
      <c r="BZ190" s="1220"/>
      <c r="CA190" s="1220"/>
      <c r="CB190" s="1220"/>
      <c r="CC190" s="1220"/>
      <c r="CD190" s="1220"/>
      <c r="CE190" s="1220"/>
      <c r="CF190" s="1220"/>
      <c r="CG190" s="1220"/>
      <c r="CH190" s="1220"/>
      <c r="CI190" s="1220"/>
      <c r="CJ190" s="1220">
        <f>-$H190/84</f>
        <v>-307644.40386904776</v>
      </c>
      <c r="CK190" s="1220">
        <f t="shared" ref="CK190:DE190" si="132">-$H190/84</f>
        <v>-307644.40386904776</v>
      </c>
      <c r="CL190" s="1220">
        <f t="shared" si="132"/>
        <v>-307644.40386904776</v>
      </c>
      <c r="CM190" s="1220">
        <f t="shared" si="132"/>
        <v>-307644.40386904776</v>
      </c>
      <c r="CN190" s="1220">
        <f t="shared" si="132"/>
        <v>-307644.40386904776</v>
      </c>
      <c r="CO190" s="1220">
        <f t="shared" si="132"/>
        <v>-307644.40386904776</v>
      </c>
      <c r="CP190" s="1220">
        <f t="shared" si="132"/>
        <v>-307644.40386904776</v>
      </c>
      <c r="CQ190" s="1220">
        <f t="shared" si="132"/>
        <v>-307644.40386904776</v>
      </c>
      <c r="CR190" s="1220">
        <f t="shared" si="132"/>
        <v>-307644.40386904776</v>
      </c>
      <c r="CS190" s="1220">
        <f t="shared" si="132"/>
        <v>-307644.40386904776</v>
      </c>
      <c r="CT190" s="1220">
        <f t="shared" si="132"/>
        <v>-307644.40386904776</v>
      </c>
      <c r="CU190" s="1220">
        <f t="shared" si="132"/>
        <v>-307644.40386904776</v>
      </c>
      <c r="CV190" s="1220">
        <f t="shared" si="132"/>
        <v>-307644.40386904776</v>
      </c>
      <c r="CW190" s="1220">
        <f t="shared" si="132"/>
        <v>-307644.40386904776</v>
      </c>
      <c r="CX190" s="1220">
        <f t="shared" si="132"/>
        <v>-307644.40386904776</v>
      </c>
      <c r="CY190" s="1220">
        <f t="shared" si="132"/>
        <v>-307644.40386904776</v>
      </c>
      <c r="CZ190" s="1220">
        <f t="shared" si="132"/>
        <v>-307644.40386904776</v>
      </c>
      <c r="DA190" s="1220">
        <f t="shared" si="132"/>
        <v>-307644.40386904776</v>
      </c>
      <c r="DB190" s="1220">
        <f t="shared" si="132"/>
        <v>-307644.40386904776</v>
      </c>
      <c r="DC190" s="1220">
        <f t="shared" si="132"/>
        <v>-307644.40386904776</v>
      </c>
      <c r="DD190" s="1220">
        <f t="shared" si="132"/>
        <v>-307644.40386904776</v>
      </c>
      <c r="DE190" s="1220">
        <f t="shared" si="132"/>
        <v>-307644.40386904776</v>
      </c>
      <c r="DF190" s="101"/>
      <c r="DG190" s="101"/>
      <c r="DH190" s="101"/>
      <c r="DI190" s="101"/>
      <c r="DJ190" s="101"/>
      <c r="DK190" s="101"/>
      <c r="DL190" s="101"/>
      <c r="DM190" s="101"/>
      <c r="DN190" s="101"/>
      <c r="DO190" s="101"/>
      <c r="DP190" s="101"/>
      <c r="DQ190" s="101"/>
      <c r="DR190" s="101"/>
      <c r="DS190" s="101"/>
      <c r="DT190" s="101"/>
      <c r="DU190" s="101"/>
      <c r="DV190" s="101"/>
      <c r="DW190" s="101"/>
      <c r="DX190" s="101"/>
      <c r="DY190" s="101"/>
      <c r="DZ190" s="101"/>
      <c r="EA190" s="101"/>
      <c r="EB190" s="101"/>
      <c r="EC190" s="101"/>
      <c r="ED190" s="101"/>
      <c r="EE190" s="101"/>
      <c r="EF190" s="101"/>
      <c r="EG190" s="101"/>
      <c r="EH190" s="101"/>
      <c r="EI190" s="101"/>
      <c r="EJ190" s="101"/>
      <c r="EK190" s="101"/>
      <c r="EL190" s="101"/>
      <c r="EM190" s="101"/>
      <c r="EN190" s="101"/>
      <c r="EO190" s="101"/>
      <c r="EP190" s="101"/>
      <c r="EQ190" s="101"/>
      <c r="ER190" s="101"/>
      <c r="ES190" s="101"/>
      <c r="ET190" s="101"/>
      <c r="EU190" s="101"/>
      <c r="EV190" s="101"/>
      <c r="EW190" s="101"/>
      <c r="EX190" s="101"/>
      <c r="EY190" s="101"/>
      <c r="EZ190" s="1220">
        <f t="shared" ref="EZ190:FF190" si="133">-$H190/84</f>
        <v>-307644.40386904776</v>
      </c>
      <c r="FA190" s="1220">
        <f t="shared" si="133"/>
        <v>-307644.40386904776</v>
      </c>
      <c r="FB190" s="1220">
        <f t="shared" si="133"/>
        <v>-307644.40386904776</v>
      </c>
      <c r="FC190" s="1220">
        <f t="shared" si="133"/>
        <v>-307644.40386904776</v>
      </c>
      <c r="FD190" s="1220">
        <f t="shared" si="133"/>
        <v>-307644.40386904776</v>
      </c>
      <c r="FE190" s="1220">
        <f t="shared" si="133"/>
        <v>-307644.40386904776</v>
      </c>
      <c r="FF190" s="1220">
        <f t="shared" si="133"/>
        <v>-307644.40386904776</v>
      </c>
      <c r="FG190" s="1220">
        <f t="shared" ref="FG190:FO190" si="134">-$H190/84</f>
        <v>-307644.40386904776</v>
      </c>
      <c r="FH190" s="1220">
        <f t="shared" si="134"/>
        <v>-307644.40386904776</v>
      </c>
      <c r="FI190" s="1220">
        <f t="shared" si="134"/>
        <v>-307644.40386904776</v>
      </c>
      <c r="FJ190" s="1220">
        <f t="shared" si="134"/>
        <v>-307644.40386904776</v>
      </c>
      <c r="FK190" s="1220">
        <f t="shared" si="134"/>
        <v>-307644.40386904776</v>
      </c>
      <c r="FL190" s="1220">
        <f t="shared" si="134"/>
        <v>-307644.40386904776</v>
      </c>
      <c r="FM190" s="1220">
        <f t="shared" si="134"/>
        <v>-307644.40386904776</v>
      </c>
      <c r="FN190" s="1220">
        <f t="shared" si="134"/>
        <v>-307644.40386904776</v>
      </c>
      <c r="FO190" s="1220">
        <f t="shared" si="134"/>
        <v>-307644.40386904776</v>
      </c>
    </row>
    <row r="191" spans="1:173" x14ac:dyDescent="0.3">
      <c r="A191" s="1214"/>
      <c r="H191" s="1215"/>
      <c r="L191" s="1220"/>
      <c r="M191" s="1220"/>
      <c r="N191" s="1220"/>
      <c r="O191" s="1220"/>
      <c r="P191" s="1220"/>
      <c r="Q191" s="1220"/>
      <c r="R191" s="1220"/>
      <c r="S191" s="1220"/>
      <c r="T191" s="1220"/>
      <c r="U191" s="1220"/>
      <c r="V191" s="1220"/>
      <c r="W191" s="1220"/>
      <c r="X191" s="1220"/>
      <c r="Y191" s="1220"/>
      <c r="Z191" s="1220"/>
      <c r="AA191" s="1220"/>
      <c r="AB191" s="1220"/>
      <c r="AC191" s="1220"/>
      <c r="AD191" s="1220"/>
      <c r="AE191" s="1220"/>
      <c r="AF191" s="1220"/>
      <c r="AG191" s="1220"/>
      <c r="AH191" s="1220"/>
      <c r="AI191" s="1220"/>
      <c r="AJ191" s="1220"/>
      <c r="AK191" s="1220"/>
      <c r="AL191" s="1220"/>
      <c r="AM191" s="1220"/>
      <c r="AN191" s="1220"/>
      <c r="AO191" s="1220"/>
      <c r="AP191" s="1220"/>
      <c r="AQ191" s="1220"/>
      <c r="AR191" s="1220"/>
      <c r="AS191" s="1220"/>
      <c r="AT191" s="1220"/>
      <c r="AU191" s="1220"/>
      <c r="AV191" s="1220"/>
      <c r="AW191" s="1220"/>
      <c r="AX191" s="1220"/>
      <c r="AY191" s="1220"/>
      <c r="AZ191" s="1220"/>
      <c r="BA191" s="1220"/>
      <c r="BB191" s="1220"/>
      <c r="BC191" s="1220"/>
      <c r="BD191" s="1220"/>
      <c r="BE191" s="1220"/>
      <c r="BF191" s="1220"/>
      <c r="BG191" s="1220"/>
      <c r="BH191" s="1220"/>
      <c r="BI191" s="1220"/>
      <c r="BJ191" s="1220"/>
      <c r="BK191" s="1220"/>
      <c r="BL191" s="1220"/>
      <c r="BM191" s="1220"/>
      <c r="BN191" s="1220"/>
      <c r="BO191" s="1220"/>
      <c r="BP191" s="1220"/>
      <c r="BQ191" s="1220"/>
      <c r="BR191" s="1220"/>
      <c r="BS191" s="1220"/>
      <c r="BT191" s="1220"/>
      <c r="BU191" s="1220"/>
      <c r="BV191" s="1220"/>
      <c r="BW191" s="1220"/>
      <c r="BX191" s="1220"/>
      <c r="BY191" s="1220"/>
      <c r="BZ191" s="1220"/>
      <c r="CA191" s="1220"/>
      <c r="CB191" s="1220"/>
      <c r="CC191" s="1220"/>
      <c r="CD191" s="1220"/>
      <c r="CE191" s="1220"/>
      <c r="CF191" s="1220"/>
      <c r="CG191" s="1220"/>
      <c r="CH191" s="1220"/>
      <c r="CI191" s="1220"/>
      <c r="CJ191" s="1220"/>
      <c r="CK191" s="1220">
        <f>-$H191/84</f>
        <v>0</v>
      </c>
      <c r="CL191" s="1220"/>
      <c r="CM191" s="1220"/>
      <c r="CN191" s="1220"/>
      <c r="CO191" s="1220"/>
      <c r="CP191" s="1220"/>
      <c r="CQ191" s="1220"/>
      <c r="CR191" s="1220"/>
      <c r="CS191" s="1220"/>
      <c r="CT191" s="1220"/>
      <c r="CU191" s="1220"/>
      <c r="CV191" s="1220"/>
      <c r="CW191" s="1220"/>
      <c r="CX191" s="1220"/>
      <c r="CY191" s="1220"/>
      <c r="CZ191" s="1220"/>
      <c r="DA191" s="1220"/>
      <c r="DB191" s="1220"/>
      <c r="DC191" s="1220"/>
      <c r="DD191" s="1220"/>
      <c r="DE191" s="1220"/>
      <c r="DF191" s="101"/>
      <c r="DG191" s="101"/>
      <c r="DH191" s="101"/>
      <c r="DI191" s="101"/>
      <c r="DJ191" s="101"/>
      <c r="DK191" s="101"/>
      <c r="DL191" s="101"/>
      <c r="DM191" s="101"/>
      <c r="DN191" s="101"/>
      <c r="DO191" s="101"/>
      <c r="DP191" s="101"/>
      <c r="DQ191" s="101"/>
      <c r="DR191" s="101"/>
      <c r="DS191" s="101"/>
      <c r="DT191" s="101"/>
      <c r="DU191" s="101"/>
      <c r="DV191" s="101"/>
      <c r="DW191" s="101"/>
      <c r="DX191" s="101"/>
      <c r="DY191" s="101"/>
      <c r="DZ191" s="101"/>
      <c r="EA191" s="101"/>
      <c r="EB191" s="101"/>
      <c r="EC191" s="101"/>
      <c r="ED191" s="101"/>
      <c r="EE191" s="101"/>
      <c r="EF191" s="101"/>
      <c r="EG191" s="101"/>
      <c r="EH191" s="101"/>
      <c r="EI191" s="101"/>
      <c r="EJ191" s="101"/>
      <c r="EK191" s="101"/>
      <c r="EL191" s="101"/>
      <c r="EM191" s="101"/>
      <c r="EN191" s="101"/>
      <c r="EO191" s="101"/>
      <c r="EP191" s="101"/>
      <c r="EQ191" s="101"/>
      <c r="ER191" s="101"/>
      <c r="ES191" s="101"/>
      <c r="ET191" s="101"/>
      <c r="EU191" s="101"/>
      <c r="EV191" s="101"/>
      <c r="EW191" s="101"/>
      <c r="EX191" s="101"/>
      <c r="EY191" s="101"/>
      <c r="EZ191" s="1220"/>
      <c r="FA191" s="1220"/>
      <c r="FB191" s="1220"/>
      <c r="FC191" s="1220"/>
      <c r="FD191" s="1220"/>
      <c r="FE191" s="1220"/>
      <c r="FF191" s="1220"/>
      <c r="FG191" s="1220"/>
    </row>
    <row r="192" spans="1:173" x14ac:dyDescent="0.3">
      <c r="A192" s="1214" t="s">
        <v>2560</v>
      </c>
      <c r="H192" s="1215">
        <v>25842129.925000012</v>
      </c>
      <c r="L192" s="1220"/>
      <c r="M192" s="1220"/>
      <c r="N192" s="1220"/>
      <c r="O192" s="1220"/>
      <c r="P192" s="1220"/>
      <c r="Q192" s="1220"/>
      <c r="R192" s="1220"/>
      <c r="S192" s="1220"/>
      <c r="T192" s="1220"/>
      <c r="U192" s="1220"/>
      <c r="V192" s="1220"/>
      <c r="W192" s="1220"/>
      <c r="X192" s="1220"/>
      <c r="Y192" s="1220"/>
      <c r="Z192" s="1220"/>
      <c r="AA192" s="1220"/>
      <c r="AB192" s="1220"/>
      <c r="AC192" s="1220"/>
      <c r="AD192" s="1220"/>
      <c r="AE192" s="1220"/>
      <c r="AF192" s="1220"/>
      <c r="AG192" s="1220"/>
      <c r="AH192" s="1220"/>
      <c r="AI192" s="1220"/>
      <c r="AJ192" s="1220"/>
      <c r="AK192" s="1220"/>
      <c r="AL192" s="1220"/>
      <c r="AM192" s="1220"/>
      <c r="AN192" s="1220"/>
      <c r="AO192" s="1220"/>
      <c r="AP192" s="1220"/>
      <c r="AQ192" s="1220"/>
      <c r="AR192" s="1220"/>
      <c r="AS192" s="1220"/>
      <c r="AT192" s="1220"/>
      <c r="AU192" s="1220"/>
      <c r="AV192" s="1220"/>
      <c r="AW192" s="1220"/>
      <c r="AX192" s="1220"/>
      <c r="AY192" s="1220"/>
      <c r="AZ192" s="1220"/>
      <c r="BA192" s="1220"/>
      <c r="BB192" s="1220"/>
      <c r="BC192" s="1220"/>
      <c r="BD192" s="1220"/>
      <c r="BE192" s="1220"/>
      <c r="BF192" s="1220"/>
      <c r="BG192" s="1220"/>
      <c r="BH192" s="1220"/>
      <c r="BI192" s="1220"/>
      <c r="BJ192" s="1220"/>
      <c r="BK192" s="1220"/>
      <c r="BL192" s="1220"/>
      <c r="BM192" s="1220"/>
      <c r="BN192" s="1220"/>
      <c r="BO192" s="1220"/>
      <c r="BP192" s="1220"/>
      <c r="BQ192" s="1220"/>
      <c r="BR192" s="1220"/>
      <c r="BS192" s="1220"/>
      <c r="BT192" s="1220"/>
      <c r="BU192" s="1220"/>
      <c r="BV192" s="1220"/>
      <c r="BW192" s="1220"/>
      <c r="BX192" s="1220"/>
      <c r="BY192" s="1220"/>
      <c r="BZ192" s="1220"/>
      <c r="CA192" s="1220"/>
      <c r="CB192" s="1220"/>
      <c r="CC192" s="1220"/>
      <c r="CD192" s="1220"/>
      <c r="CE192" s="1220"/>
      <c r="CF192" s="1220"/>
      <c r="CG192" s="1220"/>
      <c r="CH192" s="1220"/>
      <c r="CI192" s="1220"/>
      <c r="CJ192" s="1220"/>
      <c r="CL192" s="1220">
        <f t="shared" ref="CL192:DE192" si="135">-$H192/84</f>
        <v>-307644.40386904776</v>
      </c>
      <c r="CM192" s="1220">
        <f t="shared" si="135"/>
        <v>-307644.40386904776</v>
      </c>
      <c r="CN192" s="1220">
        <f t="shared" si="135"/>
        <v>-307644.40386904776</v>
      </c>
      <c r="CO192" s="1220">
        <f t="shared" si="135"/>
        <v>-307644.40386904776</v>
      </c>
      <c r="CP192" s="1220">
        <f t="shared" si="135"/>
        <v>-307644.40386904776</v>
      </c>
      <c r="CQ192" s="1220">
        <f t="shared" si="135"/>
        <v>-307644.40386904776</v>
      </c>
      <c r="CR192" s="1220">
        <f t="shared" si="135"/>
        <v>-307644.40386904776</v>
      </c>
      <c r="CS192" s="1220">
        <f t="shared" si="135"/>
        <v>-307644.40386904776</v>
      </c>
      <c r="CT192" s="1220">
        <f t="shared" si="135"/>
        <v>-307644.40386904776</v>
      </c>
      <c r="CU192" s="1220">
        <f t="shared" si="135"/>
        <v>-307644.40386904776</v>
      </c>
      <c r="CV192" s="1220">
        <f t="shared" si="135"/>
        <v>-307644.40386904776</v>
      </c>
      <c r="CW192" s="1220">
        <f t="shared" si="135"/>
        <v>-307644.40386904776</v>
      </c>
      <c r="CX192" s="1220">
        <f t="shared" si="135"/>
        <v>-307644.40386904776</v>
      </c>
      <c r="CY192" s="1220">
        <f t="shared" si="135"/>
        <v>-307644.40386904776</v>
      </c>
      <c r="CZ192" s="1220">
        <f t="shared" si="135"/>
        <v>-307644.40386904776</v>
      </c>
      <c r="DA192" s="1220">
        <f t="shared" si="135"/>
        <v>-307644.40386904776</v>
      </c>
      <c r="DB192" s="1220">
        <f t="shared" si="135"/>
        <v>-307644.40386904776</v>
      </c>
      <c r="DC192" s="1220">
        <f t="shared" si="135"/>
        <v>-307644.40386904776</v>
      </c>
      <c r="DD192" s="1220">
        <f t="shared" si="135"/>
        <v>-307644.40386904776</v>
      </c>
      <c r="DE192" s="1220">
        <f t="shared" si="135"/>
        <v>-307644.40386904776</v>
      </c>
      <c r="DF192" s="101"/>
      <c r="DG192" s="101"/>
      <c r="DH192" s="101"/>
      <c r="DI192" s="101"/>
      <c r="DJ192" s="101"/>
      <c r="DK192" s="101"/>
      <c r="DL192" s="101"/>
      <c r="DM192" s="101"/>
      <c r="DN192" s="101"/>
      <c r="DO192" s="101"/>
      <c r="DP192" s="101"/>
      <c r="DQ192" s="101"/>
      <c r="DR192" s="101"/>
      <c r="DS192" s="101"/>
      <c r="DT192" s="101"/>
      <c r="DU192" s="101"/>
      <c r="DV192" s="101"/>
      <c r="DW192" s="101"/>
      <c r="DX192" s="101"/>
      <c r="DY192" s="101"/>
      <c r="DZ192" s="101"/>
      <c r="EA192" s="101"/>
      <c r="EB192" s="101"/>
      <c r="EC192" s="101"/>
      <c r="ED192" s="101"/>
      <c r="EE192" s="101"/>
      <c r="EF192" s="101"/>
      <c r="EG192" s="101"/>
      <c r="EH192" s="101"/>
      <c r="EI192" s="101"/>
      <c r="EJ192" s="101"/>
      <c r="EK192" s="101"/>
      <c r="EL192" s="101"/>
      <c r="EM192" s="101"/>
      <c r="EN192" s="101"/>
      <c r="EO192" s="101"/>
      <c r="EP192" s="101"/>
      <c r="EQ192" s="101"/>
      <c r="ER192" s="101"/>
      <c r="ES192" s="101"/>
      <c r="ET192" s="101"/>
      <c r="EU192" s="101"/>
      <c r="EV192" s="101"/>
      <c r="EW192" s="101"/>
      <c r="EX192" s="101"/>
      <c r="EY192" s="101"/>
      <c r="EZ192" s="1220">
        <f t="shared" ref="EZ192:FI198" si="136">-$H192/84</f>
        <v>-307644.40386904776</v>
      </c>
      <c r="FA192" s="1220">
        <f t="shared" si="136"/>
        <v>-307644.40386904776</v>
      </c>
      <c r="FB192" s="1220">
        <f t="shared" si="136"/>
        <v>-307644.40386904776</v>
      </c>
      <c r="FC192" s="1220">
        <f t="shared" si="136"/>
        <v>-307644.40386904776</v>
      </c>
      <c r="FD192" s="1220">
        <f t="shared" si="136"/>
        <v>-307644.40386904776</v>
      </c>
      <c r="FE192" s="1220">
        <f t="shared" si="136"/>
        <v>-307644.40386904776</v>
      </c>
      <c r="FF192" s="1220">
        <f t="shared" si="136"/>
        <v>-307644.40386904776</v>
      </c>
      <c r="FG192" s="1220">
        <f t="shared" si="136"/>
        <v>-307644.40386904776</v>
      </c>
      <c r="FH192" s="1220">
        <f t="shared" ref="FH192:FQ192" si="137">-$H192/84</f>
        <v>-307644.40386904776</v>
      </c>
      <c r="FI192" s="1220">
        <f t="shared" si="137"/>
        <v>-307644.40386904776</v>
      </c>
      <c r="FJ192" s="1220">
        <f t="shared" si="137"/>
        <v>-307644.40386904776</v>
      </c>
      <c r="FK192" s="1220">
        <f t="shared" si="137"/>
        <v>-307644.40386904776</v>
      </c>
      <c r="FL192" s="1220">
        <f t="shared" si="137"/>
        <v>-307644.40386904776</v>
      </c>
      <c r="FM192" s="1220">
        <f t="shared" si="137"/>
        <v>-307644.40386904776</v>
      </c>
      <c r="FN192" s="1220">
        <f t="shared" si="137"/>
        <v>-307644.40386904776</v>
      </c>
      <c r="FO192" s="1220">
        <f t="shared" si="137"/>
        <v>-307644.40386904776</v>
      </c>
      <c r="FP192" s="1220">
        <f t="shared" si="137"/>
        <v>-307644.40386904776</v>
      </c>
      <c r="FQ192" s="1220">
        <f t="shared" si="137"/>
        <v>-307644.40386904776</v>
      </c>
    </row>
    <row r="193" spans="1:179" x14ac:dyDescent="0.3">
      <c r="A193" s="1214"/>
      <c r="H193" s="1215"/>
      <c r="L193" s="1220"/>
      <c r="M193" s="1220"/>
      <c r="N193" s="1220"/>
      <c r="O193" s="1220"/>
      <c r="P193" s="1220"/>
      <c r="Q193" s="1220"/>
      <c r="R193" s="1220"/>
      <c r="S193" s="1220"/>
      <c r="T193" s="1220"/>
      <c r="U193" s="1220"/>
      <c r="V193" s="1220"/>
      <c r="W193" s="1220"/>
      <c r="X193" s="1220"/>
      <c r="Y193" s="1220"/>
      <c r="Z193" s="1220"/>
      <c r="AA193" s="1220"/>
      <c r="AB193" s="1220"/>
      <c r="AC193" s="1220"/>
      <c r="AD193" s="1220"/>
      <c r="AE193" s="1220"/>
      <c r="AF193" s="1220"/>
      <c r="AG193" s="1220"/>
      <c r="AH193" s="1220"/>
      <c r="AI193" s="1220"/>
      <c r="AJ193" s="1220"/>
      <c r="AK193" s="1220"/>
      <c r="AL193" s="1220"/>
      <c r="AM193" s="1220"/>
      <c r="AN193" s="1220"/>
      <c r="AO193" s="1220"/>
      <c r="AP193" s="1220"/>
      <c r="AQ193" s="1220"/>
      <c r="AR193" s="1220"/>
      <c r="AS193" s="1220"/>
      <c r="AT193" s="1220"/>
      <c r="AU193" s="1220"/>
      <c r="AV193" s="1220"/>
      <c r="AW193" s="1220"/>
      <c r="AX193" s="1220"/>
      <c r="AY193" s="1220"/>
      <c r="AZ193" s="1220"/>
      <c r="BA193" s="1220"/>
      <c r="BB193" s="1220"/>
      <c r="BC193" s="1220"/>
      <c r="BD193" s="1220"/>
      <c r="BE193" s="1220"/>
      <c r="BF193" s="1220"/>
      <c r="BG193" s="1220"/>
      <c r="BH193" s="1220"/>
      <c r="BI193" s="1220"/>
      <c r="BJ193" s="1220"/>
      <c r="BK193" s="1220"/>
      <c r="BL193" s="1220"/>
      <c r="BM193" s="1220"/>
      <c r="BN193" s="1220"/>
      <c r="BO193" s="1220"/>
      <c r="BP193" s="1220"/>
      <c r="BQ193" s="1220"/>
      <c r="BR193" s="1220"/>
      <c r="BS193" s="1220"/>
      <c r="BT193" s="1220"/>
      <c r="BU193" s="1220"/>
      <c r="BV193" s="1220"/>
      <c r="BW193" s="1220"/>
      <c r="BX193" s="1220"/>
      <c r="BY193" s="1220"/>
      <c r="BZ193" s="1220"/>
      <c r="CA193" s="1220"/>
      <c r="CB193" s="1220"/>
      <c r="CC193" s="1220"/>
      <c r="CD193" s="1220"/>
      <c r="CE193" s="1220"/>
      <c r="CF193" s="1220"/>
      <c r="CG193" s="1220"/>
      <c r="CH193" s="1220"/>
      <c r="CI193" s="1220"/>
      <c r="CJ193" s="1220"/>
      <c r="CK193" s="1220">
        <f>-$H193/84</f>
        <v>0</v>
      </c>
      <c r="CL193" s="1220"/>
      <c r="CM193" s="1220"/>
      <c r="CN193" s="1220"/>
      <c r="CO193" s="1220"/>
      <c r="CP193" s="1220"/>
      <c r="CQ193" s="1220"/>
      <c r="CR193" s="1220"/>
      <c r="CS193" s="1220"/>
      <c r="CT193" s="1220"/>
      <c r="CU193" s="1220"/>
      <c r="CV193" s="1220"/>
      <c r="CW193" s="1220"/>
      <c r="CX193" s="1220"/>
      <c r="CY193" s="1220"/>
      <c r="CZ193" s="1220"/>
      <c r="DA193" s="1220"/>
      <c r="DB193" s="1220"/>
      <c r="DC193" s="1220"/>
      <c r="DD193" s="1220"/>
      <c r="DE193" s="1220"/>
      <c r="DF193" s="101"/>
      <c r="DG193" s="101"/>
      <c r="DH193" s="101"/>
      <c r="DI193" s="101"/>
      <c r="DJ193" s="101"/>
      <c r="DK193" s="101"/>
      <c r="DL193" s="101"/>
      <c r="DM193" s="101"/>
      <c r="DN193" s="101"/>
      <c r="DO193" s="101"/>
      <c r="DP193" s="101"/>
      <c r="DQ193" s="101"/>
      <c r="DR193" s="101"/>
      <c r="DS193" s="101"/>
      <c r="DT193" s="101"/>
      <c r="DU193" s="101"/>
      <c r="DV193" s="101"/>
      <c r="DW193" s="101"/>
      <c r="DX193" s="101"/>
      <c r="DY193" s="101"/>
      <c r="DZ193" s="101"/>
      <c r="EA193" s="101"/>
      <c r="EB193" s="101"/>
      <c r="EC193" s="101"/>
      <c r="ED193" s="101"/>
      <c r="EE193" s="101"/>
      <c r="EF193" s="101"/>
      <c r="EG193" s="101"/>
      <c r="EH193" s="101"/>
      <c r="EI193" s="101"/>
      <c r="EJ193" s="101"/>
      <c r="EK193" s="101"/>
      <c r="EL193" s="101"/>
      <c r="EM193" s="101"/>
      <c r="EN193" s="101"/>
      <c r="EO193" s="101"/>
      <c r="EP193" s="101"/>
      <c r="EQ193" s="101"/>
      <c r="ER193" s="101"/>
      <c r="ES193" s="101"/>
      <c r="ET193" s="101"/>
      <c r="EU193" s="101"/>
      <c r="EV193" s="101"/>
      <c r="EW193" s="101"/>
      <c r="EX193" s="101"/>
      <c r="EY193" s="101"/>
      <c r="EZ193" s="1220"/>
      <c r="FA193" s="1220"/>
      <c r="FB193" s="1220"/>
      <c r="FC193" s="1220"/>
      <c r="FD193" s="1220"/>
      <c r="FE193" s="1220"/>
      <c r="FF193" s="1220"/>
      <c r="FG193" s="1220"/>
    </row>
    <row r="194" spans="1:179" x14ac:dyDescent="0.3">
      <c r="A194" s="1214" t="s">
        <v>2567</v>
      </c>
      <c r="H194" s="1215">
        <v>25842129.925000012</v>
      </c>
      <c r="L194" s="1220"/>
      <c r="M194" s="1220"/>
      <c r="N194" s="1220"/>
      <c r="O194" s="1220"/>
      <c r="P194" s="1220"/>
      <c r="Q194" s="1220"/>
      <c r="R194" s="1220"/>
      <c r="S194" s="1220"/>
      <c r="T194" s="1220"/>
      <c r="U194" s="1220"/>
      <c r="V194" s="1220"/>
      <c r="W194" s="1220"/>
      <c r="X194" s="1220"/>
      <c r="Y194" s="1220"/>
      <c r="Z194" s="1220"/>
      <c r="AA194" s="1220"/>
      <c r="AB194" s="1220"/>
      <c r="AC194" s="1220"/>
      <c r="AD194" s="1220"/>
      <c r="AE194" s="1220"/>
      <c r="AF194" s="1220"/>
      <c r="AG194" s="1220"/>
      <c r="AH194" s="1220"/>
      <c r="AI194" s="1220"/>
      <c r="AJ194" s="1220"/>
      <c r="AK194" s="1220"/>
      <c r="AL194" s="1220"/>
      <c r="AM194" s="1220"/>
      <c r="AN194" s="1220"/>
      <c r="AO194" s="1220"/>
      <c r="AP194" s="1220"/>
      <c r="AQ194" s="1220"/>
      <c r="AR194" s="1220"/>
      <c r="AS194" s="1220"/>
      <c r="AT194" s="1220"/>
      <c r="AU194" s="1220"/>
      <c r="AV194" s="1220"/>
      <c r="AW194" s="1220"/>
      <c r="AX194" s="1220"/>
      <c r="AY194" s="1220"/>
      <c r="AZ194" s="1220"/>
      <c r="BA194" s="1220"/>
      <c r="BB194" s="1220"/>
      <c r="BC194" s="1220"/>
      <c r="BD194" s="1220"/>
      <c r="BE194" s="1220"/>
      <c r="BF194" s="1220"/>
      <c r="BG194" s="1220"/>
      <c r="BH194" s="1220"/>
      <c r="BI194" s="1220"/>
      <c r="BJ194" s="1220"/>
      <c r="BK194" s="1220"/>
      <c r="BL194" s="1220"/>
      <c r="BM194" s="1220"/>
      <c r="BN194" s="1220"/>
      <c r="BO194" s="1220"/>
      <c r="BP194" s="1220"/>
      <c r="BQ194" s="1220"/>
      <c r="BR194" s="1220"/>
      <c r="BS194" s="1220"/>
      <c r="BT194" s="1220"/>
      <c r="BU194" s="1220"/>
      <c r="BV194" s="1220"/>
      <c r="BW194" s="1220"/>
      <c r="BX194" s="1220"/>
      <c r="BY194" s="1220"/>
      <c r="BZ194" s="1220"/>
      <c r="CA194" s="1220"/>
      <c r="CB194" s="1220"/>
      <c r="CC194" s="1220"/>
      <c r="CD194" s="1220"/>
      <c r="CE194" s="1220"/>
      <c r="CF194" s="1220"/>
      <c r="CG194" s="1220"/>
      <c r="CH194" s="1220"/>
      <c r="CI194" s="1220"/>
      <c r="CJ194" s="1220"/>
      <c r="CM194" s="1220">
        <f t="shared" ref="CM194:DE194" si="138">-$H194/84</f>
        <v>-307644.40386904776</v>
      </c>
      <c r="CN194" s="1220">
        <f t="shared" si="138"/>
        <v>-307644.40386904776</v>
      </c>
      <c r="CO194" s="1220">
        <f t="shared" si="138"/>
        <v>-307644.40386904776</v>
      </c>
      <c r="CP194" s="1220">
        <f t="shared" si="138"/>
        <v>-307644.40386904776</v>
      </c>
      <c r="CQ194" s="1220">
        <f t="shared" si="138"/>
        <v>-307644.40386904776</v>
      </c>
      <c r="CR194" s="1220">
        <f t="shared" si="138"/>
        <v>-307644.40386904776</v>
      </c>
      <c r="CS194" s="1220">
        <f t="shared" si="138"/>
        <v>-307644.40386904776</v>
      </c>
      <c r="CT194" s="1220">
        <f t="shared" si="138"/>
        <v>-307644.40386904776</v>
      </c>
      <c r="CU194" s="1220">
        <f t="shared" si="138"/>
        <v>-307644.40386904776</v>
      </c>
      <c r="CV194" s="1220">
        <f t="shared" si="138"/>
        <v>-307644.40386904776</v>
      </c>
      <c r="CW194" s="1220">
        <f t="shared" si="138"/>
        <v>-307644.40386904776</v>
      </c>
      <c r="CX194" s="1220">
        <f t="shared" si="138"/>
        <v>-307644.40386904776</v>
      </c>
      <c r="CY194" s="1220">
        <f t="shared" si="138"/>
        <v>-307644.40386904776</v>
      </c>
      <c r="CZ194" s="1220">
        <f t="shared" si="138"/>
        <v>-307644.40386904776</v>
      </c>
      <c r="DA194" s="1220">
        <f t="shared" si="138"/>
        <v>-307644.40386904776</v>
      </c>
      <c r="DB194" s="1220">
        <f t="shared" si="138"/>
        <v>-307644.40386904776</v>
      </c>
      <c r="DC194" s="1220">
        <f t="shared" si="138"/>
        <v>-307644.40386904776</v>
      </c>
      <c r="DD194" s="1220">
        <f t="shared" si="138"/>
        <v>-307644.40386904776</v>
      </c>
      <c r="DE194" s="1220">
        <f t="shared" si="138"/>
        <v>-307644.40386904776</v>
      </c>
      <c r="DF194" s="101"/>
      <c r="DG194" s="101"/>
      <c r="DH194" s="101"/>
      <c r="DI194" s="101"/>
      <c r="DJ194" s="101"/>
      <c r="DK194" s="101"/>
      <c r="DL194" s="101"/>
      <c r="DM194" s="101"/>
      <c r="DN194" s="101"/>
      <c r="DO194" s="101"/>
      <c r="DP194" s="101"/>
      <c r="DQ194" s="101"/>
      <c r="DR194" s="101"/>
      <c r="DS194" s="101"/>
      <c r="DT194" s="101"/>
      <c r="DU194" s="101"/>
      <c r="DV194" s="101"/>
      <c r="DW194" s="101"/>
      <c r="DX194" s="101"/>
      <c r="DY194" s="101"/>
      <c r="DZ194" s="101"/>
      <c r="EA194" s="101"/>
      <c r="EB194" s="101"/>
      <c r="EC194" s="101"/>
      <c r="ED194" s="101"/>
      <c r="EE194" s="101"/>
      <c r="EF194" s="101"/>
      <c r="EG194" s="101"/>
      <c r="EH194" s="101"/>
      <c r="EI194" s="101"/>
      <c r="EJ194" s="101"/>
      <c r="EK194" s="101"/>
      <c r="EL194" s="101"/>
      <c r="EM194" s="101"/>
      <c r="EN194" s="101"/>
      <c r="EO194" s="101"/>
      <c r="EP194" s="101"/>
      <c r="EQ194" s="101"/>
      <c r="ER194" s="101"/>
      <c r="ES194" s="101"/>
      <c r="ET194" s="101"/>
      <c r="EU194" s="101"/>
      <c r="EV194" s="101"/>
      <c r="EW194" s="101"/>
      <c r="EX194" s="101"/>
      <c r="EY194" s="101"/>
      <c r="EZ194" s="1220">
        <f t="shared" si="136"/>
        <v>-307644.40386904776</v>
      </c>
      <c r="FA194" s="1220">
        <f t="shared" si="136"/>
        <v>-307644.40386904776</v>
      </c>
      <c r="FB194" s="1220">
        <f t="shared" si="136"/>
        <v>-307644.40386904776</v>
      </c>
      <c r="FC194" s="1220">
        <f t="shared" si="136"/>
        <v>-307644.40386904776</v>
      </c>
      <c r="FD194" s="1220">
        <f t="shared" si="136"/>
        <v>-307644.40386904776</v>
      </c>
      <c r="FE194" s="1220">
        <f t="shared" si="136"/>
        <v>-307644.40386904776</v>
      </c>
      <c r="FF194" s="1220">
        <f t="shared" si="136"/>
        <v>-307644.40386904776</v>
      </c>
      <c r="FG194" s="1220">
        <f t="shared" si="136"/>
        <v>-307644.40386904776</v>
      </c>
      <c r="FH194" s="1220">
        <f t="shared" si="136"/>
        <v>-307644.40386904776</v>
      </c>
      <c r="FI194" s="1220">
        <f t="shared" ref="FI194:FR194" si="139">-$H194/84</f>
        <v>-307644.40386904776</v>
      </c>
      <c r="FJ194" s="1220">
        <f t="shared" si="139"/>
        <v>-307644.40386904776</v>
      </c>
      <c r="FK194" s="1220">
        <f t="shared" si="139"/>
        <v>-307644.40386904776</v>
      </c>
      <c r="FL194" s="1220">
        <f t="shared" si="139"/>
        <v>-307644.40386904776</v>
      </c>
      <c r="FM194" s="1220">
        <f t="shared" si="139"/>
        <v>-307644.40386904776</v>
      </c>
      <c r="FN194" s="1220">
        <f t="shared" si="139"/>
        <v>-307644.40386904776</v>
      </c>
      <c r="FO194" s="1220">
        <f t="shared" si="139"/>
        <v>-307644.40386904776</v>
      </c>
      <c r="FP194" s="1220">
        <f t="shared" si="139"/>
        <v>-307644.40386904776</v>
      </c>
      <c r="FQ194" s="1220">
        <f t="shared" si="139"/>
        <v>-307644.40386904776</v>
      </c>
      <c r="FR194" s="1220">
        <f t="shared" si="139"/>
        <v>-307644.40386904776</v>
      </c>
    </row>
    <row r="195" spans="1:179" x14ac:dyDescent="0.3">
      <c r="A195" s="1214"/>
      <c r="H195" s="1215"/>
      <c r="L195" s="1220"/>
      <c r="M195" s="1220"/>
      <c r="N195" s="1220"/>
      <c r="O195" s="1220"/>
      <c r="P195" s="1220"/>
      <c r="Q195" s="1220"/>
      <c r="R195" s="1220"/>
      <c r="S195" s="1220"/>
      <c r="T195" s="1220"/>
      <c r="U195" s="1220"/>
      <c r="V195" s="1220"/>
      <c r="W195" s="1220"/>
      <c r="X195" s="1220"/>
      <c r="Y195" s="1220"/>
      <c r="Z195" s="1220"/>
      <c r="AA195" s="1220"/>
      <c r="AB195" s="1220"/>
      <c r="AC195" s="1220"/>
      <c r="AD195" s="1220"/>
      <c r="AE195" s="1220"/>
      <c r="AF195" s="1220"/>
      <c r="AG195" s="1220"/>
      <c r="AH195" s="1220"/>
      <c r="AI195" s="1220"/>
      <c r="AJ195" s="1220"/>
      <c r="AK195" s="1220"/>
      <c r="AL195" s="1220"/>
      <c r="AM195" s="1220"/>
      <c r="AN195" s="1220"/>
      <c r="AO195" s="1220"/>
      <c r="AP195" s="1220"/>
      <c r="AQ195" s="1220"/>
      <c r="AR195" s="1220"/>
      <c r="AS195" s="1220"/>
      <c r="AT195" s="1220"/>
      <c r="AU195" s="1220"/>
      <c r="AV195" s="1220"/>
      <c r="AW195" s="1220"/>
      <c r="AX195" s="1220"/>
      <c r="AY195" s="1220"/>
      <c r="AZ195" s="1220"/>
      <c r="BA195" s="1220"/>
      <c r="BB195" s="1220"/>
      <c r="BC195" s="1220"/>
      <c r="BD195" s="1220"/>
      <c r="BE195" s="1220"/>
      <c r="BF195" s="1220"/>
      <c r="BG195" s="1220"/>
      <c r="BH195" s="1220"/>
      <c r="BI195" s="1220"/>
      <c r="BJ195" s="1220"/>
      <c r="BK195" s="1220"/>
      <c r="BL195" s="1220"/>
      <c r="BM195" s="1220"/>
      <c r="BN195" s="1220"/>
      <c r="BO195" s="1220"/>
      <c r="BP195" s="1220"/>
      <c r="BQ195" s="1220"/>
      <c r="BR195" s="1220"/>
      <c r="BS195" s="1220"/>
      <c r="BT195" s="1220"/>
      <c r="BU195" s="1220"/>
      <c r="BV195" s="1220"/>
      <c r="BW195" s="1220"/>
      <c r="BX195" s="1220"/>
      <c r="BY195" s="1220"/>
      <c r="BZ195" s="1220"/>
      <c r="CA195" s="1220"/>
      <c r="CB195" s="1220"/>
      <c r="CC195" s="1220"/>
      <c r="CD195" s="1220"/>
      <c r="CE195" s="1220"/>
      <c r="CF195" s="1220"/>
      <c r="CG195" s="1220"/>
      <c r="CH195" s="1220"/>
      <c r="CI195" s="1220"/>
      <c r="CJ195" s="1220"/>
      <c r="CK195" s="1220">
        <f>-$H195/84</f>
        <v>0</v>
      </c>
      <c r="CL195" s="1220"/>
      <c r="CM195" s="1220"/>
      <c r="CN195" s="1220"/>
      <c r="CO195" s="1220"/>
      <c r="CP195" s="1220"/>
      <c r="CQ195" s="1220"/>
      <c r="CR195" s="1220"/>
      <c r="CS195" s="1220"/>
      <c r="CT195" s="1220"/>
      <c r="CU195" s="1220"/>
      <c r="CV195" s="1220"/>
      <c r="CW195" s="1220"/>
      <c r="CX195" s="1220"/>
      <c r="CY195" s="1220"/>
      <c r="CZ195" s="1220"/>
      <c r="DA195" s="1220"/>
      <c r="DB195" s="1220"/>
      <c r="DC195" s="1220"/>
      <c r="DD195" s="1220"/>
      <c r="DE195" s="1220"/>
      <c r="DF195" s="101"/>
      <c r="DG195" s="101"/>
      <c r="DH195" s="101"/>
      <c r="DI195" s="101"/>
      <c r="DJ195" s="101"/>
      <c r="DK195" s="101"/>
      <c r="DL195" s="101"/>
      <c r="DM195" s="101"/>
      <c r="DN195" s="101"/>
      <c r="DO195" s="101"/>
      <c r="DP195" s="101"/>
      <c r="DQ195" s="101"/>
      <c r="DR195" s="101"/>
      <c r="DS195" s="101"/>
      <c r="DT195" s="101"/>
      <c r="DU195" s="101"/>
      <c r="DV195" s="101"/>
      <c r="DW195" s="101"/>
      <c r="DX195" s="101"/>
      <c r="DY195" s="101"/>
      <c r="DZ195" s="101"/>
      <c r="EA195" s="101"/>
      <c r="EB195" s="101"/>
      <c r="EC195" s="101"/>
      <c r="ED195" s="101"/>
      <c r="EE195" s="101"/>
      <c r="EF195" s="101"/>
      <c r="EG195" s="101"/>
      <c r="EH195" s="101"/>
      <c r="EI195" s="101"/>
      <c r="EJ195" s="101"/>
      <c r="EK195" s="101"/>
      <c r="EL195" s="101"/>
      <c r="EM195" s="101"/>
      <c r="EN195" s="101"/>
      <c r="EO195" s="101"/>
      <c r="EP195" s="101"/>
      <c r="EQ195" s="101"/>
      <c r="ER195" s="101"/>
      <c r="ES195" s="101"/>
      <c r="ET195" s="101"/>
      <c r="EU195" s="101"/>
      <c r="EV195" s="101"/>
      <c r="EW195" s="101"/>
      <c r="EX195" s="101"/>
      <c r="EY195" s="101"/>
      <c r="EZ195" s="1220"/>
      <c r="FA195" s="1220"/>
      <c r="FB195" s="1220"/>
      <c r="FC195" s="1220"/>
      <c r="FD195" s="1220"/>
      <c r="FE195" s="1220"/>
      <c r="FF195" s="1220"/>
      <c r="FG195" s="1220"/>
    </row>
    <row r="196" spans="1:179" x14ac:dyDescent="0.3">
      <c r="A196" s="1214" t="s">
        <v>2568</v>
      </c>
      <c r="H196" s="1215">
        <v>25842129.925000012</v>
      </c>
      <c r="L196" s="1220"/>
      <c r="M196" s="1220"/>
      <c r="N196" s="1220"/>
      <c r="O196" s="1220"/>
      <c r="P196" s="1220"/>
      <c r="Q196" s="1220"/>
      <c r="R196" s="1220"/>
      <c r="S196" s="1220"/>
      <c r="T196" s="1220"/>
      <c r="U196" s="1220"/>
      <c r="V196" s="1220"/>
      <c r="W196" s="1220"/>
      <c r="X196" s="1220"/>
      <c r="Y196" s="1220"/>
      <c r="Z196" s="1220"/>
      <c r="AA196" s="1220"/>
      <c r="AB196" s="1220"/>
      <c r="AC196" s="1220"/>
      <c r="AD196" s="1220"/>
      <c r="AE196" s="1220"/>
      <c r="AF196" s="1220"/>
      <c r="AG196" s="1220"/>
      <c r="AH196" s="1220"/>
      <c r="AI196" s="1220"/>
      <c r="AJ196" s="1220"/>
      <c r="AK196" s="1220"/>
      <c r="AL196" s="1220"/>
      <c r="AM196" s="1220"/>
      <c r="AN196" s="1220"/>
      <c r="AO196" s="1220"/>
      <c r="AP196" s="1220"/>
      <c r="AQ196" s="1220"/>
      <c r="AR196" s="1220"/>
      <c r="AS196" s="1220"/>
      <c r="AT196" s="1220"/>
      <c r="AU196" s="1220"/>
      <c r="AV196" s="1220"/>
      <c r="AW196" s="1220"/>
      <c r="AX196" s="1220"/>
      <c r="AY196" s="1220"/>
      <c r="AZ196" s="1220"/>
      <c r="BA196" s="1220"/>
      <c r="BB196" s="1220"/>
      <c r="BC196" s="1220"/>
      <c r="BD196" s="1220"/>
      <c r="BE196" s="1220"/>
      <c r="BF196" s="1220"/>
      <c r="BG196" s="1220"/>
      <c r="BH196" s="1220"/>
      <c r="BI196" s="1220"/>
      <c r="BJ196" s="1220"/>
      <c r="BK196" s="1220"/>
      <c r="BL196" s="1220"/>
      <c r="BM196" s="1220"/>
      <c r="BN196" s="1220"/>
      <c r="BO196" s="1220"/>
      <c r="BP196" s="1220"/>
      <c r="BQ196" s="1220"/>
      <c r="BR196" s="1220"/>
      <c r="BS196" s="1220"/>
      <c r="BT196" s="1220"/>
      <c r="BU196" s="1220"/>
      <c r="BV196" s="1220"/>
      <c r="BW196" s="1220"/>
      <c r="BX196" s="1220"/>
      <c r="BY196" s="1220"/>
      <c r="BZ196" s="1220"/>
      <c r="CA196" s="1220"/>
      <c r="CB196" s="1220"/>
      <c r="CC196" s="1220"/>
      <c r="CD196" s="1220"/>
      <c r="CE196" s="1220"/>
      <c r="CF196" s="1220"/>
      <c r="CG196" s="1220"/>
      <c r="CH196" s="1220"/>
      <c r="CI196" s="1220"/>
      <c r="CJ196" s="1220"/>
      <c r="CN196" s="1220">
        <f t="shared" ref="CN196:DE196" si="140">-$H196/84</f>
        <v>-307644.40386904776</v>
      </c>
      <c r="CO196" s="1220">
        <f t="shared" si="140"/>
        <v>-307644.40386904776</v>
      </c>
      <c r="CP196" s="1220">
        <f t="shared" si="140"/>
        <v>-307644.40386904776</v>
      </c>
      <c r="CQ196" s="1220">
        <f t="shared" si="140"/>
        <v>-307644.40386904776</v>
      </c>
      <c r="CR196" s="1220">
        <f t="shared" si="140"/>
        <v>-307644.40386904776</v>
      </c>
      <c r="CS196" s="1220">
        <f t="shared" si="140"/>
        <v>-307644.40386904776</v>
      </c>
      <c r="CT196" s="1220">
        <f t="shared" si="140"/>
        <v>-307644.40386904776</v>
      </c>
      <c r="CU196" s="1220">
        <f t="shared" si="140"/>
        <v>-307644.40386904776</v>
      </c>
      <c r="CV196" s="1220">
        <f t="shared" si="140"/>
        <v>-307644.40386904776</v>
      </c>
      <c r="CW196" s="1220">
        <f t="shared" si="140"/>
        <v>-307644.40386904776</v>
      </c>
      <c r="CX196" s="1220">
        <f t="shared" si="140"/>
        <v>-307644.40386904776</v>
      </c>
      <c r="CY196" s="1220">
        <f t="shared" si="140"/>
        <v>-307644.40386904776</v>
      </c>
      <c r="CZ196" s="1220">
        <f t="shared" si="140"/>
        <v>-307644.40386904776</v>
      </c>
      <c r="DA196" s="1220">
        <f t="shared" si="140"/>
        <v>-307644.40386904776</v>
      </c>
      <c r="DB196" s="1220">
        <f t="shared" si="140"/>
        <v>-307644.40386904776</v>
      </c>
      <c r="DC196" s="1220">
        <f t="shared" si="140"/>
        <v>-307644.40386904776</v>
      </c>
      <c r="DD196" s="1220">
        <f t="shared" si="140"/>
        <v>-307644.40386904776</v>
      </c>
      <c r="DE196" s="1220">
        <f t="shared" si="140"/>
        <v>-307644.40386904776</v>
      </c>
      <c r="DF196" s="101"/>
      <c r="DG196" s="101"/>
      <c r="DH196" s="101"/>
      <c r="DI196" s="101"/>
      <c r="DJ196" s="101"/>
      <c r="DK196" s="101"/>
      <c r="DL196" s="101"/>
      <c r="DM196" s="101"/>
      <c r="DN196" s="101"/>
      <c r="DO196" s="101"/>
      <c r="DP196" s="101"/>
      <c r="DQ196" s="101"/>
      <c r="DR196" s="101"/>
      <c r="DS196" s="101"/>
      <c r="DT196" s="101"/>
      <c r="DU196" s="101"/>
      <c r="DV196" s="101"/>
      <c r="DW196" s="101"/>
      <c r="DX196" s="101"/>
      <c r="DY196" s="101"/>
      <c r="DZ196" s="101"/>
      <c r="EA196" s="101"/>
      <c r="EB196" s="101"/>
      <c r="EC196" s="101"/>
      <c r="ED196" s="101"/>
      <c r="EE196" s="101"/>
      <c r="EF196" s="101"/>
      <c r="EG196" s="101"/>
      <c r="EH196" s="101"/>
      <c r="EI196" s="101"/>
      <c r="EJ196" s="101"/>
      <c r="EK196" s="101"/>
      <c r="EL196" s="101"/>
      <c r="EM196" s="101"/>
      <c r="EN196" s="101"/>
      <c r="EO196" s="101"/>
      <c r="EP196" s="101"/>
      <c r="EQ196" s="101"/>
      <c r="ER196" s="101"/>
      <c r="ES196" s="101"/>
      <c r="ET196" s="101"/>
      <c r="EU196" s="101"/>
      <c r="EV196" s="101"/>
      <c r="EW196" s="101"/>
      <c r="EX196" s="101"/>
      <c r="EY196" s="101"/>
      <c r="EZ196" s="1220">
        <f t="shared" si="136"/>
        <v>-307644.40386904776</v>
      </c>
      <c r="FA196" s="1220">
        <f t="shared" si="136"/>
        <v>-307644.40386904776</v>
      </c>
      <c r="FB196" s="1220">
        <f t="shared" si="136"/>
        <v>-307644.40386904776</v>
      </c>
      <c r="FC196" s="1220">
        <f t="shared" si="136"/>
        <v>-307644.40386904776</v>
      </c>
      <c r="FD196" s="1220">
        <f t="shared" si="136"/>
        <v>-307644.40386904776</v>
      </c>
      <c r="FE196" s="1220">
        <f t="shared" si="136"/>
        <v>-307644.40386904776</v>
      </c>
      <c r="FF196" s="1220">
        <f t="shared" si="136"/>
        <v>-307644.40386904776</v>
      </c>
      <c r="FG196" s="1220">
        <f t="shared" si="136"/>
        <v>-307644.40386904776</v>
      </c>
      <c r="FH196" s="1220">
        <f t="shared" si="136"/>
        <v>-307644.40386904776</v>
      </c>
      <c r="FI196" s="1220">
        <f t="shared" si="136"/>
        <v>-307644.40386904776</v>
      </c>
      <c r="FJ196" s="1220">
        <f t="shared" ref="FJ196:FS196" si="141">-$H196/84</f>
        <v>-307644.40386904776</v>
      </c>
      <c r="FK196" s="1220">
        <f t="shared" si="141"/>
        <v>-307644.40386904776</v>
      </c>
      <c r="FL196" s="1220">
        <f t="shared" si="141"/>
        <v>-307644.40386904776</v>
      </c>
      <c r="FM196" s="1220">
        <f t="shared" si="141"/>
        <v>-307644.40386904776</v>
      </c>
      <c r="FN196" s="1220">
        <f t="shared" si="141"/>
        <v>-307644.40386904776</v>
      </c>
      <c r="FO196" s="1220">
        <f t="shared" si="141"/>
        <v>-307644.40386904776</v>
      </c>
      <c r="FP196" s="1220">
        <f t="shared" si="141"/>
        <v>-307644.40386904776</v>
      </c>
      <c r="FQ196" s="1220">
        <f t="shared" si="141"/>
        <v>-307644.40386904776</v>
      </c>
      <c r="FR196" s="1220">
        <f t="shared" si="141"/>
        <v>-307644.40386904776</v>
      </c>
      <c r="FS196" s="1220">
        <f t="shared" si="141"/>
        <v>-307644.40386904776</v>
      </c>
    </row>
    <row r="197" spans="1:179" x14ac:dyDescent="0.3">
      <c r="A197" s="1214"/>
      <c r="H197" s="1215"/>
      <c r="L197" s="1220"/>
      <c r="M197" s="1220"/>
      <c r="N197" s="1220"/>
      <c r="O197" s="1220"/>
      <c r="P197" s="1220"/>
      <c r="Q197" s="1220"/>
      <c r="R197" s="1220"/>
      <c r="S197" s="1220"/>
      <c r="T197" s="1220"/>
      <c r="U197" s="1220"/>
      <c r="V197" s="1220"/>
      <c r="W197" s="1220"/>
      <c r="X197" s="1220"/>
      <c r="Y197" s="1220"/>
      <c r="Z197" s="1220"/>
      <c r="AA197" s="1220"/>
      <c r="AB197" s="1220"/>
      <c r="AC197" s="1220"/>
      <c r="AD197" s="1220"/>
      <c r="AE197" s="1220"/>
      <c r="AF197" s="1220"/>
      <c r="AG197" s="1220"/>
      <c r="AH197" s="1220"/>
      <c r="AI197" s="1220"/>
      <c r="AJ197" s="1220"/>
      <c r="AK197" s="1220"/>
      <c r="AL197" s="1220"/>
      <c r="AM197" s="1220"/>
      <c r="AN197" s="1220"/>
      <c r="AO197" s="1220"/>
      <c r="AP197" s="1220"/>
      <c r="AQ197" s="1220"/>
      <c r="AR197" s="1220"/>
      <c r="AS197" s="1220"/>
      <c r="AT197" s="1220"/>
      <c r="AU197" s="1220"/>
      <c r="AV197" s="1220"/>
      <c r="AW197" s="1220"/>
      <c r="AX197" s="1220"/>
      <c r="AY197" s="1220"/>
      <c r="AZ197" s="1220"/>
      <c r="BA197" s="1220"/>
      <c r="BB197" s="1220"/>
      <c r="BC197" s="1220"/>
      <c r="BD197" s="1220"/>
      <c r="BE197" s="1220"/>
      <c r="BF197" s="1220"/>
      <c r="BG197" s="1220"/>
      <c r="BH197" s="1220"/>
      <c r="BI197" s="1220"/>
      <c r="BJ197" s="1220"/>
      <c r="BK197" s="1220"/>
      <c r="BL197" s="1220"/>
      <c r="BM197" s="1220"/>
      <c r="BN197" s="1220"/>
      <c r="BO197" s="1220"/>
      <c r="BP197" s="1220"/>
      <c r="BQ197" s="1220"/>
      <c r="BR197" s="1220"/>
      <c r="BS197" s="1220"/>
      <c r="BT197" s="1220"/>
      <c r="BU197" s="1220"/>
      <c r="BV197" s="1220"/>
      <c r="BW197" s="1220"/>
      <c r="BX197" s="1220"/>
      <c r="BY197" s="1220"/>
      <c r="BZ197" s="1220"/>
      <c r="CA197" s="1220"/>
      <c r="CB197" s="1220"/>
      <c r="CC197" s="1220"/>
      <c r="CD197" s="1220"/>
      <c r="CE197" s="1220"/>
      <c r="CF197" s="1220"/>
      <c r="CG197" s="1220"/>
      <c r="CH197" s="1220"/>
      <c r="CI197" s="1220"/>
      <c r="CJ197" s="1220"/>
      <c r="CK197" s="1220">
        <f>-$H197/84</f>
        <v>0</v>
      </c>
      <c r="CL197" s="1220"/>
      <c r="CM197" s="1220"/>
      <c r="CN197" s="1220"/>
      <c r="CO197" s="1220"/>
      <c r="CP197" s="1220"/>
      <c r="CQ197" s="1220"/>
      <c r="CR197" s="1220"/>
      <c r="CS197" s="1220"/>
      <c r="CT197" s="1220"/>
      <c r="CU197" s="1220"/>
      <c r="CV197" s="1220"/>
      <c r="CW197" s="1220"/>
      <c r="CX197" s="1220"/>
      <c r="CY197" s="1220"/>
      <c r="CZ197" s="1220"/>
      <c r="DA197" s="1220"/>
      <c r="DB197" s="1220"/>
      <c r="DC197" s="1220"/>
      <c r="DD197" s="1220"/>
      <c r="DE197" s="1220"/>
      <c r="DF197" s="101"/>
      <c r="DG197" s="101"/>
      <c r="DH197" s="101"/>
      <c r="DI197" s="101"/>
      <c r="DJ197" s="101"/>
      <c r="DK197" s="101"/>
      <c r="DL197" s="101"/>
      <c r="DM197" s="101"/>
      <c r="DN197" s="101"/>
      <c r="DO197" s="101"/>
      <c r="DP197" s="101"/>
      <c r="DQ197" s="101"/>
      <c r="DR197" s="101"/>
      <c r="DS197" s="101"/>
      <c r="DT197" s="101"/>
      <c r="DU197" s="101"/>
      <c r="DV197" s="101"/>
      <c r="DW197" s="101"/>
      <c r="DX197" s="101"/>
      <c r="DY197" s="101"/>
      <c r="DZ197" s="101"/>
      <c r="EA197" s="101"/>
      <c r="EB197" s="101"/>
      <c r="EC197" s="101"/>
      <c r="ED197" s="101"/>
      <c r="EE197" s="101"/>
      <c r="EF197" s="101"/>
      <c r="EG197" s="101"/>
      <c r="EH197" s="101"/>
      <c r="EI197" s="101"/>
      <c r="EJ197" s="101"/>
      <c r="EK197" s="101"/>
      <c r="EL197" s="101"/>
      <c r="EM197" s="101"/>
      <c r="EN197" s="101"/>
      <c r="EO197" s="101"/>
      <c r="EP197" s="101"/>
      <c r="EQ197" s="101"/>
      <c r="ER197" s="101"/>
      <c r="ES197" s="101"/>
      <c r="ET197" s="101"/>
      <c r="EU197" s="101"/>
      <c r="EV197" s="101"/>
      <c r="EW197" s="101"/>
      <c r="EX197" s="101"/>
      <c r="EY197" s="101"/>
      <c r="EZ197" s="1220"/>
      <c r="FA197" s="1220"/>
      <c r="FB197" s="1220"/>
      <c r="FC197" s="1220"/>
      <c r="FD197" s="1220"/>
      <c r="FE197" s="1220"/>
      <c r="FF197" s="1220"/>
      <c r="FG197" s="1220"/>
    </row>
    <row r="198" spans="1:179" x14ac:dyDescent="0.3">
      <c r="A198" s="1214" t="s">
        <v>2569</v>
      </c>
      <c r="H198" s="1215">
        <v>25842129.925000012</v>
      </c>
      <c r="L198" s="1220"/>
      <c r="M198" s="1220"/>
      <c r="N198" s="1220"/>
      <c r="O198" s="1220"/>
      <c r="P198" s="1220"/>
      <c r="Q198" s="1220"/>
      <c r="R198" s="1220"/>
      <c r="S198" s="1220"/>
      <c r="T198" s="1220"/>
      <c r="U198" s="1220"/>
      <c r="V198" s="1220"/>
      <c r="W198" s="1220"/>
      <c r="X198" s="1220"/>
      <c r="Y198" s="1220"/>
      <c r="Z198" s="1220"/>
      <c r="AA198" s="1220"/>
      <c r="AB198" s="1220"/>
      <c r="AC198" s="1220"/>
      <c r="AD198" s="1220"/>
      <c r="AE198" s="1220"/>
      <c r="AF198" s="1220"/>
      <c r="AG198" s="1220"/>
      <c r="AH198" s="1220"/>
      <c r="AI198" s="1220"/>
      <c r="AJ198" s="1220"/>
      <c r="AK198" s="1220"/>
      <c r="AL198" s="1220"/>
      <c r="AM198" s="1220"/>
      <c r="AN198" s="1220"/>
      <c r="AO198" s="1220"/>
      <c r="AP198" s="1220"/>
      <c r="AQ198" s="1220"/>
      <c r="AR198" s="1220"/>
      <c r="AS198" s="1220"/>
      <c r="AT198" s="1220"/>
      <c r="AU198" s="1220"/>
      <c r="AV198" s="1220"/>
      <c r="AW198" s="1220"/>
      <c r="AX198" s="1220"/>
      <c r="AY198" s="1220"/>
      <c r="AZ198" s="1220"/>
      <c r="BA198" s="1220"/>
      <c r="BB198" s="1220"/>
      <c r="BC198" s="1220"/>
      <c r="BD198" s="1220"/>
      <c r="BE198" s="1220"/>
      <c r="BF198" s="1220"/>
      <c r="BG198" s="1220"/>
      <c r="BH198" s="1220"/>
      <c r="BI198" s="1220"/>
      <c r="BJ198" s="1220"/>
      <c r="BK198" s="1220"/>
      <c r="BL198" s="1220"/>
      <c r="BM198" s="1220"/>
      <c r="BN198" s="1220"/>
      <c r="BO198" s="1220"/>
      <c r="BP198" s="1220"/>
      <c r="BQ198" s="1220"/>
      <c r="BR198" s="1220"/>
      <c r="BS198" s="1220"/>
      <c r="BT198" s="1220"/>
      <c r="BU198" s="1220"/>
      <c r="BV198" s="1220"/>
      <c r="BW198" s="1220"/>
      <c r="BX198" s="1220"/>
      <c r="BY198" s="1220"/>
      <c r="BZ198" s="1220"/>
      <c r="CA198" s="1220"/>
      <c r="CB198" s="1220"/>
      <c r="CC198" s="1220"/>
      <c r="CD198" s="1220"/>
      <c r="CE198" s="1220"/>
      <c r="CF198" s="1220"/>
      <c r="CG198" s="1220"/>
      <c r="CH198" s="1220"/>
      <c r="CI198" s="1220"/>
      <c r="CJ198" s="1220"/>
      <c r="CN198" s="1220"/>
      <c r="CO198" s="1220">
        <f t="shared" ref="CO198:DE221" si="142">-$H198/84</f>
        <v>-307644.40386904776</v>
      </c>
      <c r="CP198" s="1220">
        <f t="shared" si="142"/>
        <v>-307644.40386904776</v>
      </c>
      <c r="CQ198" s="1220">
        <f t="shared" si="142"/>
        <v>-307644.40386904776</v>
      </c>
      <c r="CR198" s="1220">
        <f t="shared" si="142"/>
        <v>-307644.40386904776</v>
      </c>
      <c r="CS198" s="1220">
        <f t="shared" si="142"/>
        <v>-307644.40386904776</v>
      </c>
      <c r="CT198" s="1220">
        <f t="shared" si="142"/>
        <v>-307644.40386904776</v>
      </c>
      <c r="CU198" s="1220">
        <f t="shared" si="142"/>
        <v>-307644.40386904776</v>
      </c>
      <c r="CV198" s="1220">
        <f t="shared" si="142"/>
        <v>-307644.40386904776</v>
      </c>
      <c r="CW198" s="1220">
        <f t="shared" si="142"/>
        <v>-307644.40386904776</v>
      </c>
      <c r="CX198" s="1220">
        <f t="shared" si="142"/>
        <v>-307644.40386904776</v>
      </c>
      <c r="CY198" s="1220">
        <f t="shared" si="142"/>
        <v>-307644.40386904776</v>
      </c>
      <c r="CZ198" s="1220">
        <f t="shared" si="142"/>
        <v>-307644.40386904776</v>
      </c>
      <c r="DA198" s="1220">
        <f t="shared" si="142"/>
        <v>-307644.40386904776</v>
      </c>
      <c r="DB198" s="1220">
        <f t="shared" si="142"/>
        <v>-307644.40386904776</v>
      </c>
      <c r="DC198" s="1220">
        <f t="shared" si="142"/>
        <v>-307644.40386904776</v>
      </c>
      <c r="DD198" s="1220">
        <f t="shared" si="142"/>
        <v>-307644.40386904776</v>
      </c>
      <c r="DE198" s="1220">
        <f t="shared" si="142"/>
        <v>-307644.40386904776</v>
      </c>
      <c r="DF198" s="101"/>
      <c r="DG198" s="101"/>
      <c r="DH198" s="101"/>
      <c r="DI198" s="101"/>
      <c r="DJ198" s="101"/>
      <c r="DK198" s="101"/>
      <c r="DL198" s="101"/>
      <c r="DM198" s="101"/>
      <c r="DN198" s="101"/>
      <c r="DO198" s="101"/>
      <c r="DP198" s="101"/>
      <c r="DQ198" s="101"/>
      <c r="DR198" s="101"/>
      <c r="DS198" s="101"/>
      <c r="DT198" s="101"/>
      <c r="DU198" s="101"/>
      <c r="DV198" s="101"/>
      <c r="DW198" s="101"/>
      <c r="DX198" s="101"/>
      <c r="DY198" s="101"/>
      <c r="DZ198" s="101"/>
      <c r="EA198" s="101"/>
      <c r="EB198" s="101"/>
      <c r="EC198" s="101"/>
      <c r="ED198" s="101"/>
      <c r="EE198" s="101"/>
      <c r="EF198" s="101"/>
      <c r="EG198" s="101"/>
      <c r="EH198" s="101"/>
      <c r="EI198" s="101"/>
      <c r="EJ198" s="101"/>
      <c r="EK198" s="101"/>
      <c r="EL198" s="101"/>
      <c r="EM198" s="101"/>
      <c r="EN198" s="101"/>
      <c r="EO198" s="101"/>
      <c r="EP198" s="101"/>
      <c r="EQ198" s="101"/>
      <c r="ER198" s="101"/>
      <c r="ES198" s="101"/>
      <c r="ET198" s="101"/>
      <c r="EU198" s="101"/>
      <c r="EV198" s="101"/>
      <c r="EW198" s="101"/>
      <c r="EX198" s="101"/>
      <c r="EY198" s="101"/>
      <c r="EZ198" s="1220">
        <f t="shared" si="136"/>
        <v>-307644.40386904776</v>
      </c>
      <c r="FA198" s="1220">
        <f t="shared" si="136"/>
        <v>-307644.40386904776</v>
      </c>
      <c r="FB198" s="1220">
        <f t="shared" si="136"/>
        <v>-307644.40386904776</v>
      </c>
      <c r="FC198" s="1220">
        <f t="shared" si="136"/>
        <v>-307644.40386904776</v>
      </c>
      <c r="FD198" s="1220">
        <f t="shared" si="136"/>
        <v>-307644.40386904776</v>
      </c>
      <c r="FE198" s="1220">
        <f t="shared" si="136"/>
        <v>-307644.40386904776</v>
      </c>
      <c r="FF198" s="1220">
        <f t="shared" si="136"/>
        <v>-307644.40386904776</v>
      </c>
      <c r="FG198" s="1220">
        <f t="shared" si="136"/>
        <v>-307644.40386904776</v>
      </c>
      <c r="FH198" s="1220">
        <f t="shared" si="136"/>
        <v>-307644.40386904776</v>
      </c>
      <c r="FI198" s="1220">
        <f t="shared" si="136"/>
        <v>-307644.40386904776</v>
      </c>
      <c r="FJ198" s="1220">
        <f t="shared" ref="FJ198:FW204" si="143">-$H198/84</f>
        <v>-307644.40386904776</v>
      </c>
      <c r="FK198" s="1220">
        <f t="shared" si="143"/>
        <v>-307644.40386904776</v>
      </c>
      <c r="FL198" s="1220">
        <f t="shared" si="143"/>
        <v>-307644.40386904776</v>
      </c>
      <c r="FM198" s="1220">
        <f t="shared" si="143"/>
        <v>-307644.40386904776</v>
      </c>
      <c r="FN198" s="1220">
        <f t="shared" si="143"/>
        <v>-307644.40386904776</v>
      </c>
      <c r="FO198" s="1220">
        <f t="shared" si="143"/>
        <v>-307644.40386904776</v>
      </c>
      <c r="FP198" s="1220">
        <f t="shared" si="143"/>
        <v>-307644.40386904776</v>
      </c>
      <c r="FQ198" s="1220">
        <f t="shared" si="143"/>
        <v>-307644.40386904776</v>
      </c>
      <c r="FR198" s="1220">
        <f t="shared" si="143"/>
        <v>-307644.40386904776</v>
      </c>
      <c r="FS198" s="1220">
        <f t="shared" si="143"/>
        <v>-307644.40386904776</v>
      </c>
      <c r="FT198" s="1220">
        <f t="shared" si="143"/>
        <v>-307644.40386904776</v>
      </c>
    </row>
    <row r="199" spans="1:179" x14ac:dyDescent="0.3">
      <c r="A199" s="1214"/>
      <c r="H199" s="1215"/>
      <c r="L199" s="1220"/>
      <c r="M199" s="1220"/>
      <c r="N199" s="1220"/>
      <c r="O199" s="1220"/>
      <c r="P199" s="1220"/>
      <c r="Q199" s="1220"/>
      <c r="R199" s="1220"/>
      <c r="S199" s="1220"/>
      <c r="T199" s="1220"/>
      <c r="U199" s="1220"/>
      <c r="V199" s="1220"/>
      <c r="W199" s="1220"/>
      <c r="X199" s="1220"/>
      <c r="Y199" s="1220"/>
      <c r="Z199" s="1220"/>
      <c r="AA199" s="1220"/>
      <c r="AB199" s="1220"/>
      <c r="AC199" s="1220"/>
      <c r="AD199" s="1220"/>
      <c r="AE199" s="1220"/>
      <c r="AF199" s="1220"/>
      <c r="AG199" s="1220"/>
      <c r="AH199" s="1220"/>
      <c r="AI199" s="1220"/>
      <c r="AJ199" s="1220"/>
      <c r="AK199" s="1220"/>
      <c r="AL199" s="1220"/>
      <c r="AM199" s="1220"/>
      <c r="AN199" s="1220"/>
      <c r="AO199" s="1220"/>
      <c r="AP199" s="1220"/>
      <c r="AQ199" s="1220"/>
      <c r="AR199" s="1220"/>
      <c r="AS199" s="1220"/>
      <c r="AT199" s="1220"/>
      <c r="AU199" s="1220"/>
      <c r="AV199" s="1220"/>
      <c r="AW199" s="1220"/>
      <c r="AX199" s="1220"/>
      <c r="AY199" s="1220"/>
      <c r="AZ199" s="1220"/>
      <c r="BA199" s="1220"/>
      <c r="BB199" s="1220"/>
      <c r="BC199" s="1220"/>
      <c r="BD199" s="1220"/>
      <c r="BE199" s="1220"/>
      <c r="BF199" s="1220"/>
      <c r="BG199" s="1220"/>
      <c r="BH199" s="1220"/>
      <c r="BI199" s="1220"/>
      <c r="BJ199" s="1220"/>
      <c r="BK199" s="1220"/>
      <c r="BL199" s="1220"/>
      <c r="BM199" s="1220"/>
      <c r="BN199" s="1220"/>
      <c r="BO199" s="1220"/>
      <c r="BP199" s="1220"/>
      <c r="BQ199" s="1220"/>
      <c r="BR199" s="1220"/>
      <c r="BS199" s="1220"/>
      <c r="BT199" s="1220"/>
      <c r="BU199" s="1220"/>
      <c r="BV199" s="1220"/>
      <c r="BW199" s="1220"/>
      <c r="BX199" s="1220"/>
      <c r="BY199" s="1220"/>
      <c r="BZ199" s="1220"/>
      <c r="CA199" s="1220"/>
      <c r="CB199" s="1220"/>
      <c r="CC199" s="1220"/>
      <c r="CD199" s="1220"/>
      <c r="CE199" s="1220"/>
      <c r="CF199" s="1220"/>
      <c r="CG199" s="1220"/>
      <c r="CH199" s="1220"/>
      <c r="CI199" s="1220"/>
      <c r="CJ199" s="1220"/>
      <c r="CK199" s="1220"/>
      <c r="CL199" s="1220"/>
      <c r="CM199" s="1220"/>
      <c r="CN199" s="1220"/>
      <c r="CO199" s="1220">
        <f t="shared" si="142"/>
        <v>0</v>
      </c>
      <c r="CP199" s="1220"/>
      <c r="CQ199" s="1220"/>
      <c r="CR199" s="1220"/>
      <c r="CS199" s="1220"/>
      <c r="CT199" s="1220"/>
      <c r="CU199" s="1220"/>
      <c r="CV199" s="1220"/>
      <c r="CW199" s="1220"/>
      <c r="CX199" s="1220"/>
      <c r="CY199" s="1220"/>
      <c r="CZ199" s="1220"/>
      <c r="DA199" s="1220"/>
      <c r="DB199" s="1220"/>
      <c r="DC199" s="1220"/>
      <c r="DD199" s="1220"/>
      <c r="DE199" s="1220"/>
      <c r="DF199" s="101"/>
      <c r="DG199" s="101"/>
      <c r="DH199" s="101"/>
      <c r="DI199" s="101"/>
      <c r="DJ199" s="101"/>
      <c r="DK199" s="101"/>
      <c r="DL199" s="101"/>
      <c r="DM199" s="101"/>
      <c r="DN199" s="101"/>
      <c r="DO199" s="101"/>
      <c r="DP199" s="101"/>
      <c r="DQ199" s="101"/>
      <c r="DR199" s="101"/>
      <c r="DS199" s="101"/>
      <c r="DT199" s="101"/>
      <c r="DU199" s="101"/>
      <c r="DV199" s="101"/>
      <c r="DW199" s="101"/>
      <c r="DX199" s="101"/>
      <c r="DY199" s="101"/>
      <c r="DZ199" s="101"/>
      <c r="EA199" s="101"/>
      <c r="EB199" s="101"/>
      <c r="EC199" s="101"/>
      <c r="ED199" s="101"/>
      <c r="EE199" s="101"/>
      <c r="EF199" s="101"/>
      <c r="EG199" s="101"/>
      <c r="EH199" s="101"/>
      <c r="EI199" s="101"/>
      <c r="EJ199" s="101"/>
      <c r="EK199" s="101"/>
      <c r="EL199" s="101"/>
      <c r="EM199" s="101"/>
      <c r="EN199" s="101"/>
      <c r="EO199" s="101"/>
      <c r="EP199" s="101"/>
      <c r="EQ199" s="101"/>
      <c r="ER199" s="101"/>
      <c r="ES199" s="101"/>
      <c r="ET199" s="101"/>
      <c r="EU199" s="101"/>
      <c r="EV199" s="101"/>
      <c r="EW199" s="101"/>
      <c r="EX199" s="101"/>
      <c r="EY199" s="101"/>
      <c r="EZ199" s="1220"/>
      <c r="FA199" s="1220"/>
      <c r="FB199" s="1220"/>
      <c r="FC199" s="1220"/>
      <c r="FD199" s="1220"/>
      <c r="FE199" s="1220"/>
      <c r="FF199" s="1220"/>
      <c r="FG199" s="1220"/>
      <c r="FH199" s="1220"/>
      <c r="FI199" s="1220"/>
      <c r="FJ199" s="1220"/>
      <c r="FK199" s="1220"/>
      <c r="FL199" s="1220"/>
      <c r="FM199" s="1220"/>
      <c r="FN199" s="1220"/>
      <c r="FO199" s="1220"/>
      <c r="FP199" s="1220"/>
    </row>
    <row r="200" spans="1:179" x14ac:dyDescent="0.3">
      <c r="A200" s="1214" t="s">
        <v>2616</v>
      </c>
      <c r="H200" s="1215">
        <v>25842129.925000012</v>
      </c>
      <c r="L200" s="1220"/>
      <c r="M200" s="1220"/>
      <c r="N200" s="1220"/>
      <c r="O200" s="1220"/>
      <c r="P200" s="1220"/>
      <c r="Q200" s="1220"/>
      <c r="R200" s="1220"/>
      <c r="S200" s="1220"/>
      <c r="T200" s="1220"/>
      <c r="U200" s="1220"/>
      <c r="V200" s="1220"/>
      <c r="W200" s="1220"/>
      <c r="X200" s="1220"/>
      <c r="Y200" s="1220"/>
      <c r="Z200" s="1220"/>
      <c r="AA200" s="1220"/>
      <c r="AB200" s="1220"/>
      <c r="AC200" s="1220"/>
      <c r="AD200" s="1220"/>
      <c r="AE200" s="1220"/>
      <c r="AF200" s="1220"/>
      <c r="AG200" s="1220"/>
      <c r="AH200" s="1220"/>
      <c r="AI200" s="1220"/>
      <c r="AJ200" s="1220"/>
      <c r="AK200" s="1220"/>
      <c r="AL200" s="1220"/>
      <c r="AM200" s="1220"/>
      <c r="AN200" s="1220"/>
      <c r="AO200" s="1220"/>
      <c r="AP200" s="1220"/>
      <c r="AQ200" s="1220"/>
      <c r="AR200" s="1220"/>
      <c r="AS200" s="1220"/>
      <c r="AT200" s="1220"/>
      <c r="AU200" s="1220"/>
      <c r="AV200" s="1220"/>
      <c r="AW200" s="1220"/>
      <c r="AX200" s="1220"/>
      <c r="AY200" s="1220"/>
      <c r="AZ200" s="1220"/>
      <c r="BA200" s="1220"/>
      <c r="BB200" s="1220"/>
      <c r="BC200" s="1220"/>
      <c r="BD200" s="1220"/>
      <c r="BE200" s="1220"/>
      <c r="BF200" s="1220"/>
      <c r="BG200" s="1220"/>
      <c r="BH200" s="1220"/>
      <c r="BI200" s="1220"/>
      <c r="BJ200" s="1220"/>
      <c r="BK200" s="1220"/>
      <c r="BL200" s="1220"/>
      <c r="BM200" s="1220"/>
      <c r="BN200" s="1220"/>
      <c r="BO200" s="1220"/>
      <c r="BP200" s="1220"/>
      <c r="BQ200" s="1220"/>
      <c r="BR200" s="1220"/>
      <c r="BS200" s="1220"/>
      <c r="BT200" s="1220"/>
      <c r="BU200" s="1220"/>
      <c r="BV200" s="1220"/>
      <c r="BW200" s="1220"/>
      <c r="BX200" s="1220"/>
      <c r="BY200" s="1220"/>
      <c r="BZ200" s="1220"/>
      <c r="CA200" s="1220"/>
      <c r="CB200" s="1220"/>
      <c r="CC200" s="1220"/>
      <c r="CD200" s="1220"/>
      <c r="CE200" s="1220"/>
      <c r="CF200" s="1220"/>
      <c r="CG200" s="1220"/>
      <c r="CH200" s="1220"/>
      <c r="CI200" s="1220"/>
      <c r="CJ200" s="1220"/>
      <c r="CK200" s="1220"/>
      <c r="CL200" s="1220"/>
      <c r="CM200" s="1220"/>
      <c r="CN200" s="1220"/>
      <c r="CO200" s="1220">
        <f t="shared" si="142"/>
        <v>-307644.40386904776</v>
      </c>
      <c r="CP200" s="1220">
        <f t="shared" si="142"/>
        <v>-307644.40386904776</v>
      </c>
      <c r="CQ200" s="1220">
        <f t="shared" si="142"/>
        <v>-307644.40386904776</v>
      </c>
      <c r="CR200" s="1220">
        <f t="shared" si="142"/>
        <v>-307644.40386904776</v>
      </c>
      <c r="CS200" s="1220">
        <f t="shared" si="142"/>
        <v>-307644.40386904776</v>
      </c>
      <c r="CT200" s="1220">
        <f t="shared" si="142"/>
        <v>-307644.40386904776</v>
      </c>
      <c r="CU200" s="1220">
        <f t="shared" si="142"/>
        <v>-307644.40386904776</v>
      </c>
      <c r="CV200" s="1220">
        <f t="shared" si="142"/>
        <v>-307644.40386904776</v>
      </c>
      <c r="CW200" s="1220">
        <f t="shared" si="142"/>
        <v>-307644.40386904776</v>
      </c>
      <c r="CX200" s="1220">
        <f t="shared" si="142"/>
        <v>-307644.40386904776</v>
      </c>
      <c r="CY200" s="1220">
        <f t="shared" si="142"/>
        <v>-307644.40386904776</v>
      </c>
      <c r="CZ200" s="1220">
        <f t="shared" si="142"/>
        <v>-307644.40386904776</v>
      </c>
      <c r="DA200" s="1220">
        <f t="shared" si="142"/>
        <v>-307644.40386904776</v>
      </c>
      <c r="DB200" s="1220">
        <f t="shared" si="142"/>
        <v>-307644.40386904776</v>
      </c>
      <c r="DC200" s="1220">
        <f t="shared" si="142"/>
        <v>-307644.40386904776</v>
      </c>
      <c r="DD200" s="1220">
        <f t="shared" si="142"/>
        <v>-307644.40386904776</v>
      </c>
      <c r="DE200" s="1220">
        <f t="shared" si="142"/>
        <v>-307644.40386904776</v>
      </c>
      <c r="DF200" s="101"/>
      <c r="DG200" s="101"/>
      <c r="DH200" s="101"/>
      <c r="DI200" s="101"/>
      <c r="DJ200" s="101"/>
      <c r="DK200" s="101"/>
      <c r="DL200" s="101"/>
      <c r="DM200" s="101"/>
      <c r="DN200" s="101"/>
      <c r="DO200" s="101"/>
      <c r="DP200" s="101"/>
      <c r="DQ200" s="101"/>
      <c r="DR200" s="101"/>
      <c r="DS200" s="101"/>
      <c r="DT200" s="101"/>
      <c r="DU200" s="101"/>
      <c r="DV200" s="101"/>
      <c r="DW200" s="101"/>
      <c r="DX200" s="101"/>
      <c r="DY200" s="101"/>
      <c r="DZ200" s="101"/>
      <c r="EA200" s="101"/>
      <c r="EB200" s="101"/>
      <c r="EC200" s="101"/>
      <c r="ED200" s="101"/>
      <c r="EE200" s="101"/>
      <c r="EF200" s="101"/>
      <c r="EG200" s="101"/>
      <c r="EH200" s="101"/>
      <c r="EI200" s="101"/>
      <c r="EJ200" s="101"/>
      <c r="EK200" s="101"/>
      <c r="EL200" s="101"/>
      <c r="EM200" s="101"/>
      <c r="EN200" s="101"/>
      <c r="EO200" s="101"/>
      <c r="EP200" s="101"/>
      <c r="EQ200" s="101"/>
      <c r="ER200" s="101"/>
      <c r="ES200" s="101"/>
      <c r="ET200" s="101"/>
      <c r="EU200" s="101"/>
      <c r="EV200" s="101"/>
      <c r="EW200" s="101"/>
      <c r="EX200" s="101"/>
      <c r="EY200" s="101"/>
      <c r="EZ200" s="1220">
        <f t="shared" ref="EZ200:FJ204" si="144">-$H200/84</f>
        <v>-307644.40386904776</v>
      </c>
      <c r="FA200" s="1220">
        <f t="shared" si="144"/>
        <v>-307644.40386904776</v>
      </c>
      <c r="FB200" s="1220">
        <f t="shared" si="144"/>
        <v>-307644.40386904776</v>
      </c>
      <c r="FC200" s="1220">
        <f t="shared" si="144"/>
        <v>-307644.40386904776</v>
      </c>
      <c r="FD200" s="1220">
        <f t="shared" si="144"/>
        <v>-307644.40386904776</v>
      </c>
      <c r="FE200" s="1220">
        <f t="shared" si="144"/>
        <v>-307644.40386904776</v>
      </c>
      <c r="FF200" s="1220">
        <f t="shared" si="144"/>
        <v>-307644.40386904776</v>
      </c>
      <c r="FG200" s="1220">
        <f t="shared" si="144"/>
        <v>-307644.40386904776</v>
      </c>
      <c r="FH200" s="1220">
        <f t="shared" si="144"/>
        <v>-307644.40386904776</v>
      </c>
      <c r="FI200" s="1220">
        <f t="shared" si="144"/>
        <v>-307644.40386904776</v>
      </c>
      <c r="FJ200" s="1220">
        <f t="shared" si="144"/>
        <v>-307644.40386904776</v>
      </c>
      <c r="FK200" s="1220">
        <f t="shared" si="143"/>
        <v>-307644.40386904776</v>
      </c>
      <c r="FL200" s="1220">
        <f t="shared" si="143"/>
        <v>-307644.40386904776</v>
      </c>
      <c r="FM200" s="1220">
        <f t="shared" si="143"/>
        <v>-307644.40386904776</v>
      </c>
      <c r="FN200" s="1220">
        <f t="shared" si="143"/>
        <v>-307644.40386904776</v>
      </c>
      <c r="FO200" s="1220">
        <f t="shared" si="143"/>
        <v>-307644.40386904776</v>
      </c>
      <c r="FP200" s="1220">
        <f t="shared" si="143"/>
        <v>-307644.40386904776</v>
      </c>
      <c r="FQ200" s="1220">
        <f t="shared" si="143"/>
        <v>-307644.40386904776</v>
      </c>
      <c r="FR200" s="1220">
        <f t="shared" si="143"/>
        <v>-307644.40386904776</v>
      </c>
      <c r="FS200" s="1220">
        <f t="shared" si="143"/>
        <v>-307644.40386904776</v>
      </c>
      <c r="FT200" s="1220">
        <f t="shared" si="143"/>
        <v>-307644.40386904776</v>
      </c>
      <c r="FU200" s="1220">
        <f t="shared" si="143"/>
        <v>-307644.40386904776</v>
      </c>
    </row>
    <row r="201" spans="1:179" x14ac:dyDescent="0.3">
      <c r="A201" s="1214"/>
      <c r="H201" s="1215"/>
      <c r="L201" s="1220"/>
      <c r="M201" s="1220"/>
      <c r="N201" s="1220"/>
      <c r="O201" s="1220"/>
      <c r="P201" s="1220"/>
      <c r="Q201" s="1220"/>
      <c r="R201" s="1220"/>
      <c r="S201" s="1220"/>
      <c r="T201" s="1220"/>
      <c r="U201" s="1220"/>
      <c r="V201" s="1220"/>
      <c r="W201" s="1220"/>
      <c r="X201" s="1220"/>
      <c r="Y201" s="1220"/>
      <c r="Z201" s="1220"/>
      <c r="AA201" s="1220"/>
      <c r="AB201" s="1220"/>
      <c r="AC201" s="1220"/>
      <c r="AD201" s="1220"/>
      <c r="AE201" s="1220"/>
      <c r="AF201" s="1220"/>
      <c r="AG201" s="1220"/>
      <c r="AH201" s="1220"/>
      <c r="AI201" s="1220"/>
      <c r="AJ201" s="1220"/>
      <c r="AK201" s="1220"/>
      <c r="AL201" s="1220"/>
      <c r="AM201" s="1220"/>
      <c r="AN201" s="1220"/>
      <c r="AO201" s="1220"/>
      <c r="AP201" s="1220"/>
      <c r="AQ201" s="1220"/>
      <c r="AR201" s="1220"/>
      <c r="AS201" s="1220"/>
      <c r="AT201" s="1220"/>
      <c r="AU201" s="1220"/>
      <c r="AV201" s="1220"/>
      <c r="AW201" s="1220"/>
      <c r="AX201" s="1220"/>
      <c r="AY201" s="1220"/>
      <c r="AZ201" s="1220"/>
      <c r="BA201" s="1220"/>
      <c r="BB201" s="1220"/>
      <c r="BC201" s="1220"/>
      <c r="BD201" s="1220"/>
      <c r="BE201" s="1220"/>
      <c r="BF201" s="1220"/>
      <c r="BG201" s="1220"/>
      <c r="BH201" s="1220"/>
      <c r="BI201" s="1220"/>
      <c r="BJ201" s="1220"/>
      <c r="BK201" s="1220"/>
      <c r="BL201" s="1220"/>
      <c r="BM201" s="1220"/>
      <c r="BN201" s="1220"/>
      <c r="BO201" s="1220"/>
      <c r="BP201" s="1220"/>
      <c r="BQ201" s="1220"/>
      <c r="BR201" s="1220"/>
      <c r="BS201" s="1220"/>
      <c r="BT201" s="1220"/>
      <c r="BU201" s="1220"/>
      <c r="BV201" s="1220"/>
      <c r="BW201" s="1220"/>
      <c r="BX201" s="1220"/>
      <c r="BY201" s="1220"/>
      <c r="BZ201" s="1220"/>
      <c r="CA201" s="1220"/>
      <c r="CB201" s="1220"/>
      <c r="CC201" s="1220"/>
      <c r="CD201" s="1220"/>
      <c r="CE201" s="1220"/>
      <c r="CF201" s="1220"/>
      <c r="CG201" s="1220"/>
      <c r="CH201" s="1220"/>
      <c r="CI201" s="1220"/>
      <c r="CJ201" s="1220"/>
      <c r="CK201" s="1220"/>
      <c r="CL201" s="1220"/>
      <c r="CM201" s="1220"/>
      <c r="CN201" s="1220"/>
      <c r="CO201" s="1220"/>
      <c r="CP201" s="1220"/>
      <c r="CQ201" s="1220"/>
      <c r="CR201" s="1220"/>
      <c r="CS201" s="1220"/>
      <c r="CT201" s="1220"/>
      <c r="CU201" s="1220"/>
      <c r="CV201" s="1220"/>
      <c r="CW201" s="1220"/>
      <c r="CX201" s="1220"/>
      <c r="CY201" s="1220"/>
      <c r="CZ201" s="1220"/>
      <c r="DA201" s="1220"/>
      <c r="DB201" s="1220"/>
      <c r="DC201" s="1220"/>
      <c r="DD201" s="1220"/>
      <c r="DE201" s="1220"/>
      <c r="DF201" s="101"/>
      <c r="DG201" s="101"/>
      <c r="DH201" s="101"/>
      <c r="DI201" s="101"/>
      <c r="DJ201" s="101"/>
      <c r="DK201" s="101"/>
      <c r="DL201" s="101"/>
      <c r="DM201" s="101"/>
      <c r="DN201" s="101"/>
      <c r="DO201" s="101"/>
      <c r="DP201" s="101"/>
      <c r="DQ201" s="101"/>
      <c r="DR201" s="101"/>
      <c r="DS201" s="101"/>
      <c r="DT201" s="101"/>
      <c r="DU201" s="101"/>
      <c r="DV201" s="101"/>
      <c r="DW201" s="101"/>
      <c r="DX201" s="101"/>
      <c r="DY201" s="101"/>
      <c r="DZ201" s="101"/>
      <c r="EA201" s="101"/>
      <c r="EB201" s="101"/>
      <c r="EC201" s="101"/>
      <c r="ED201" s="101"/>
      <c r="EE201" s="101"/>
      <c r="EF201" s="101"/>
      <c r="EG201" s="101"/>
      <c r="EH201" s="101"/>
      <c r="EI201" s="101"/>
      <c r="EJ201" s="101"/>
      <c r="EK201" s="101"/>
      <c r="EL201" s="101"/>
      <c r="EM201" s="101"/>
      <c r="EN201" s="101"/>
      <c r="EO201" s="101"/>
      <c r="EP201" s="101"/>
      <c r="EQ201" s="101"/>
      <c r="ER201" s="101"/>
      <c r="ES201" s="101"/>
      <c r="ET201" s="101"/>
      <c r="EU201" s="101"/>
      <c r="EV201" s="101"/>
      <c r="EW201" s="101"/>
      <c r="EX201" s="101"/>
      <c r="EY201" s="101"/>
      <c r="EZ201" s="1220"/>
      <c r="FA201" s="1220"/>
      <c r="FB201" s="1220"/>
      <c r="FC201" s="1220"/>
      <c r="FD201" s="1220"/>
      <c r="FE201" s="1220"/>
      <c r="FF201" s="1220"/>
      <c r="FG201" s="1220"/>
      <c r="FH201" s="1220"/>
      <c r="FI201" s="1220"/>
      <c r="FJ201" s="1220"/>
      <c r="FK201" s="1220"/>
      <c r="FL201" s="1220"/>
      <c r="FM201" s="1220"/>
      <c r="FN201" s="1220"/>
      <c r="FO201" s="1220"/>
      <c r="FP201" s="1220"/>
      <c r="FQ201" s="1220"/>
      <c r="FR201" s="1220"/>
      <c r="FS201" s="1220"/>
      <c r="FT201" s="1220"/>
      <c r="FU201" s="1220"/>
    </row>
    <row r="202" spans="1:179" x14ac:dyDescent="0.3">
      <c r="A202" s="1214" t="s">
        <v>2617</v>
      </c>
      <c r="H202" s="1215">
        <v>25842129.925000012</v>
      </c>
      <c r="L202" s="1220"/>
      <c r="M202" s="1220"/>
      <c r="N202" s="1220"/>
      <c r="O202" s="1220"/>
      <c r="P202" s="1220"/>
      <c r="Q202" s="1220"/>
      <c r="R202" s="1220"/>
      <c r="S202" s="1220"/>
      <c r="T202" s="1220"/>
      <c r="U202" s="1220"/>
      <c r="V202" s="1220"/>
      <c r="W202" s="1220"/>
      <c r="X202" s="1220"/>
      <c r="Y202" s="1220"/>
      <c r="Z202" s="1220"/>
      <c r="AA202" s="1220"/>
      <c r="AB202" s="1220"/>
      <c r="AC202" s="1220"/>
      <c r="AD202" s="1220"/>
      <c r="AE202" s="1220"/>
      <c r="AF202" s="1220"/>
      <c r="AG202" s="1220"/>
      <c r="AH202" s="1220"/>
      <c r="AI202" s="1220"/>
      <c r="AJ202" s="1220"/>
      <c r="AK202" s="1220"/>
      <c r="AL202" s="1220"/>
      <c r="AM202" s="1220"/>
      <c r="AN202" s="1220"/>
      <c r="AO202" s="1220"/>
      <c r="AP202" s="1220"/>
      <c r="AQ202" s="1220"/>
      <c r="AR202" s="1220"/>
      <c r="AS202" s="1220"/>
      <c r="AT202" s="1220"/>
      <c r="AU202" s="1220"/>
      <c r="AV202" s="1220"/>
      <c r="AW202" s="1220"/>
      <c r="AX202" s="1220"/>
      <c r="AY202" s="1220"/>
      <c r="AZ202" s="1220"/>
      <c r="BA202" s="1220"/>
      <c r="BB202" s="1220"/>
      <c r="BC202" s="1220"/>
      <c r="BD202" s="1220"/>
      <c r="BE202" s="1220"/>
      <c r="BF202" s="1220"/>
      <c r="BG202" s="1220"/>
      <c r="BH202" s="1220"/>
      <c r="BI202" s="1220"/>
      <c r="BJ202" s="1220"/>
      <c r="BK202" s="1220"/>
      <c r="BL202" s="1220"/>
      <c r="BM202" s="1220"/>
      <c r="BN202" s="1220"/>
      <c r="BO202" s="1220"/>
      <c r="BP202" s="1220"/>
      <c r="BQ202" s="1220"/>
      <c r="BR202" s="1220"/>
      <c r="BS202" s="1220"/>
      <c r="BT202" s="1220"/>
      <c r="BU202" s="1220"/>
      <c r="BV202" s="1220"/>
      <c r="BW202" s="1220"/>
      <c r="BX202" s="1220"/>
      <c r="BY202" s="1220"/>
      <c r="BZ202" s="1220"/>
      <c r="CA202" s="1220"/>
      <c r="CB202" s="1220"/>
      <c r="CC202" s="1220"/>
      <c r="CD202" s="1220"/>
      <c r="CE202" s="1220"/>
      <c r="CF202" s="1220"/>
      <c r="CG202" s="1220"/>
      <c r="CH202" s="1220"/>
      <c r="CI202" s="1220"/>
      <c r="CJ202" s="1220"/>
      <c r="CK202" s="1220"/>
      <c r="CL202" s="1220"/>
      <c r="CM202" s="1220"/>
      <c r="CN202" s="1220"/>
      <c r="CO202" s="1220"/>
      <c r="CP202" s="1220">
        <f t="shared" si="142"/>
        <v>-307644.40386904776</v>
      </c>
      <c r="CQ202" s="1220">
        <f t="shared" si="142"/>
        <v>-307644.40386904776</v>
      </c>
      <c r="CR202" s="1220">
        <f t="shared" si="142"/>
        <v>-307644.40386904776</v>
      </c>
      <c r="CS202" s="1220">
        <f t="shared" si="142"/>
        <v>-307644.40386904776</v>
      </c>
      <c r="CT202" s="1220">
        <f t="shared" si="142"/>
        <v>-307644.40386904776</v>
      </c>
      <c r="CU202" s="1220">
        <f t="shared" si="142"/>
        <v>-307644.40386904776</v>
      </c>
      <c r="CV202" s="1220">
        <f t="shared" si="142"/>
        <v>-307644.40386904776</v>
      </c>
      <c r="CW202" s="1220">
        <f t="shared" si="142"/>
        <v>-307644.40386904776</v>
      </c>
      <c r="CX202" s="1220">
        <f t="shared" si="142"/>
        <v>-307644.40386904776</v>
      </c>
      <c r="CY202" s="1220">
        <f t="shared" si="142"/>
        <v>-307644.40386904776</v>
      </c>
      <c r="CZ202" s="1220">
        <f t="shared" si="142"/>
        <v>-307644.40386904776</v>
      </c>
      <c r="DA202" s="1220">
        <f t="shared" si="142"/>
        <v>-307644.40386904776</v>
      </c>
      <c r="DB202" s="1220">
        <f t="shared" si="142"/>
        <v>-307644.40386904776</v>
      </c>
      <c r="DC202" s="1220">
        <f t="shared" si="142"/>
        <v>-307644.40386904776</v>
      </c>
      <c r="DD202" s="1220">
        <f t="shared" si="142"/>
        <v>-307644.40386904776</v>
      </c>
      <c r="DE202" s="1220">
        <f t="shared" si="142"/>
        <v>-307644.40386904776</v>
      </c>
      <c r="DF202" s="101"/>
      <c r="DG202" s="101"/>
      <c r="DH202" s="101"/>
      <c r="DI202" s="101"/>
      <c r="DJ202" s="101"/>
      <c r="DK202" s="101"/>
      <c r="DL202" s="101"/>
      <c r="DM202" s="101"/>
      <c r="DN202" s="101"/>
      <c r="DO202" s="101"/>
      <c r="DP202" s="101"/>
      <c r="DQ202" s="101"/>
      <c r="DR202" s="101"/>
      <c r="DS202" s="101"/>
      <c r="DT202" s="101"/>
      <c r="DU202" s="101"/>
      <c r="DV202" s="101"/>
      <c r="DW202" s="101"/>
      <c r="DX202" s="101"/>
      <c r="DY202" s="101"/>
      <c r="DZ202" s="101"/>
      <c r="EA202" s="101"/>
      <c r="EB202" s="101"/>
      <c r="EC202" s="101"/>
      <c r="ED202" s="101"/>
      <c r="EE202" s="101"/>
      <c r="EF202" s="101"/>
      <c r="EG202" s="101"/>
      <c r="EH202" s="101"/>
      <c r="EI202" s="101"/>
      <c r="EJ202" s="101"/>
      <c r="EK202" s="101"/>
      <c r="EL202" s="101"/>
      <c r="EM202" s="101"/>
      <c r="EN202" s="101"/>
      <c r="EO202" s="101"/>
      <c r="EP202" s="101"/>
      <c r="EQ202" s="101"/>
      <c r="ER202" s="101"/>
      <c r="ES202" s="101"/>
      <c r="ET202" s="101"/>
      <c r="EU202" s="101"/>
      <c r="EV202" s="101"/>
      <c r="EW202" s="101"/>
      <c r="EX202" s="101"/>
      <c r="EY202" s="101"/>
      <c r="EZ202" s="1220">
        <f t="shared" si="144"/>
        <v>-307644.40386904776</v>
      </c>
      <c r="FA202" s="1220">
        <f t="shared" si="144"/>
        <v>-307644.40386904776</v>
      </c>
      <c r="FB202" s="1220">
        <f t="shared" si="144"/>
        <v>-307644.40386904776</v>
      </c>
      <c r="FC202" s="1220">
        <f t="shared" si="144"/>
        <v>-307644.40386904776</v>
      </c>
      <c r="FD202" s="1220">
        <f t="shared" si="144"/>
        <v>-307644.40386904776</v>
      </c>
      <c r="FE202" s="1220">
        <f t="shared" si="144"/>
        <v>-307644.40386904776</v>
      </c>
      <c r="FF202" s="1220">
        <f t="shared" si="144"/>
        <v>-307644.40386904776</v>
      </c>
      <c r="FG202" s="1220">
        <f t="shared" si="144"/>
        <v>-307644.40386904776</v>
      </c>
      <c r="FH202" s="1220">
        <f t="shared" si="144"/>
        <v>-307644.40386904776</v>
      </c>
      <c r="FI202" s="1220">
        <f t="shared" si="144"/>
        <v>-307644.40386904776</v>
      </c>
      <c r="FJ202" s="1220">
        <f t="shared" si="144"/>
        <v>-307644.40386904776</v>
      </c>
      <c r="FK202" s="1220">
        <f t="shared" ref="FK202:FL204" si="145">-$H202/84</f>
        <v>-307644.40386904776</v>
      </c>
      <c r="FL202" s="1220">
        <f t="shared" si="143"/>
        <v>-307644.40386904776</v>
      </c>
      <c r="FM202" s="1220">
        <f t="shared" si="143"/>
        <v>-307644.40386904776</v>
      </c>
      <c r="FN202" s="1220">
        <f t="shared" si="143"/>
        <v>-307644.40386904776</v>
      </c>
      <c r="FO202" s="1220">
        <f t="shared" si="143"/>
        <v>-307644.40386904776</v>
      </c>
      <c r="FP202" s="1220">
        <f t="shared" si="143"/>
        <v>-307644.40386904776</v>
      </c>
      <c r="FQ202" s="1220">
        <f t="shared" si="143"/>
        <v>-307644.40386904776</v>
      </c>
      <c r="FR202" s="1220">
        <f t="shared" si="143"/>
        <v>-307644.40386904776</v>
      </c>
      <c r="FS202" s="1220">
        <f t="shared" si="143"/>
        <v>-307644.40386904776</v>
      </c>
      <c r="FT202" s="1220">
        <f t="shared" si="143"/>
        <v>-307644.40386904776</v>
      </c>
      <c r="FU202" s="1220">
        <f t="shared" si="143"/>
        <v>-307644.40386904776</v>
      </c>
      <c r="FV202" s="1220">
        <f t="shared" si="143"/>
        <v>-307644.40386904776</v>
      </c>
    </row>
    <row r="203" spans="1:179" x14ac:dyDescent="0.3">
      <c r="A203" s="1214"/>
      <c r="H203" s="1215"/>
      <c r="L203" s="1220"/>
      <c r="M203" s="1220"/>
      <c r="N203" s="1220"/>
      <c r="O203" s="1220"/>
      <c r="P203" s="1220"/>
      <c r="Q203" s="1220"/>
      <c r="R203" s="1220"/>
      <c r="S203" s="1220"/>
      <c r="T203" s="1220"/>
      <c r="U203" s="1220"/>
      <c r="V203" s="1220"/>
      <c r="W203" s="1220"/>
      <c r="X203" s="1220"/>
      <c r="Y203" s="1220"/>
      <c r="Z203" s="1220"/>
      <c r="AA203" s="1220"/>
      <c r="AB203" s="1220"/>
      <c r="AC203" s="1220"/>
      <c r="AD203" s="1220"/>
      <c r="AE203" s="1220"/>
      <c r="AF203" s="1220"/>
      <c r="AG203" s="1220"/>
      <c r="AH203" s="1220"/>
      <c r="AI203" s="1220"/>
      <c r="AJ203" s="1220"/>
      <c r="AK203" s="1220"/>
      <c r="AL203" s="1220"/>
      <c r="AM203" s="1220"/>
      <c r="AN203" s="1220"/>
      <c r="AO203" s="1220"/>
      <c r="AP203" s="1220"/>
      <c r="AQ203" s="1220"/>
      <c r="AR203" s="1220"/>
      <c r="AS203" s="1220"/>
      <c r="AT203" s="1220"/>
      <c r="AU203" s="1220"/>
      <c r="AV203" s="1220"/>
      <c r="AW203" s="1220"/>
      <c r="AX203" s="1220"/>
      <c r="AY203" s="1220"/>
      <c r="AZ203" s="1220"/>
      <c r="BA203" s="1220"/>
      <c r="BB203" s="1220"/>
      <c r="BC203" s="1220"/>
      <c r="BD203" s="1220"/>
      <c r="BE203" s="1220"/>
      <c r="BF203" s="1220"/>
      <c r="BG203" s="1220"/>
      <c r="BH203" s="1220"/>
      <c r="BI203" s="1220"/>
      <c r="BJ203" s="1220"/>
      <c r="BK203" s="1220"/>
      <c r="BL203" s="1220"/>
      <c r="BM203" s="1220"/>
      <c r="BN203" s="1220"/>
      <c r="BO203" s="1220"/>
      <c r="BP203" s="1220"/>
      <c r="BQ203" s="1220"/>
      <c r="BR203" s="1220"/>
      <c r="BS203" s="1220"/>
      <c r="BT203" s="1220"/>
      <c r="BU203" s="1220"/>
      <c r="BV203" s="1220"/>
      <c r="BW203" s="1220"/>
      <c r="BX203" s="1220"/>
      <c r="BY203" s="1220"/>
      <c r="BZ203" s="1220"/>
      <c r="CA203" s="1220"/>
      <c r="CB203" s="1220"/>
      <c r="CC203" s="1220"/>
      <c r="CD203" s="1220"/>
      <c r="CE203" s="1220"/>
      <c r="CF203" s="1220"/>
      <c r="CG203" s="1220"/>
      <c r="CH203" s="1220"/>
      <c r="CI203" s="1220"/>
      <c r="CJ203" s="1220"/>
      <c r="CK203" s="1220"/>
      <c r="CL203" s="1220"/>
      <c r="CM203" s="1220"/>
      <c r="CN203" s="1220"/>
      <c r="CO203" s="1220"/>
      <c r="CP203" s="1220"/>
      <c r="CQ203" s="1220"/>
      <c r="CR203" s="1220"/>
      <c r="CS203" s="1220"/>
      <c r="CT203" s="1220"/>
      <c r="CU203" s="1220"/>
      <c r="CV203" s="1220"/>
      <c r="CW203" s="1220"/>
      <c r="CX203" s="1220"/>
      <c r="CY203" s="1220"/>
      <c r="CZ203" s="1220"/>
      <c r="DA203" s="1220"/>
      <c r="DB203" s="1220"/>
      <c r="DC203" s="1220"/>
      <c r="DD203" s="1220"/>
      <c r="DE203" s="1220"/>
      <c r="DF203" s="101"/>
      <c r="DG203" s="101"/>
      <c r="DH203" s="101"/>
      <c r="DI203" s="101"/>
      <c r="DJ203" s="101"/>
      <c r="DK203" s="101"/>
      <c r="DL203" s="101"/>
      <c r="DM203" s="101"/>
      <c r="DN203" s="101"/>
      <c r="DO203" s="101"/>
      <c r="DP203" s="101"/>
      <c r="DQ203" s="101"/>
      <c r="DR203" s="101"/>
      <c r="DS203" s="101"/>
      <c r="DT203" s="101"/>
      <c r="DU203" s="101"/>
      <c r="DV203" s="101"/>
      <c r="DW203" s="101"/>
      <c r="DX203" s="101"/>
      <c r="DY203" s="101"/>
      <c r="DZ203" s="101"/>
      <c r="EA203" s="101"/>
      <c r="EB203" s="101"/>
      <c r="EC203" s="101"/>
      <c r="ED203" s="101"/>
      <c r="EE203" s="101"/>
      <c r="EF203" s="101"/>
      <c r="EG203" s="101"/>
      <c r="EH203" s="101"/>
      <c r="EI203" s="101"/>
      <c r="EJ203" s="101"/>
      <c r="EK203" s="101"/>
      <c r="EL203" s="101"/>
      <c r="EM203" s="101"/>
      <c r="EN203" s="101"/>
      <c r="EO203" s="101"/>
      <c r="EP203" s="101"/>
      <c r="EQ203" s="101"/>
      <c r="ER203" s="101"/>
      <c r="ES203" s="101"/>
      <c r="ET203" s="101"/>
      <c r="EU203" s="101"/>
      <c r="EV203" s="101"/>
      <c r="EW203" s="101"/>
      <c r="EX203" s="101"/>
      <c r="EY203" s="101"/>
      <c r="EZ203" s="1220"/>
      <c r="FA203" s="1220"/>
      <c r="FB203" s="1220"/>
      <c r="FC203" s="1220"/>
      <c r="FD203" s="1220"/>
      <c r="FE203" s="1220"/>
      <c r="FF203" s="1220"/>
      <c r="FG203" s="1220"/>
      <c r="FH203" s="1220"/>
      <c r="FI203" s="1220"/>
      <c r="FJ203" s="1220"/>
      <c r="FK203" s="1220"/>
      <c r="FL203" s="1220"/>
      <c r="FM203" s="1220"/>
      <c r="FN203" s="1220"/>
      <c r="FO203" s="1220"/>
      <c r="FP203" s="1220"/>
      <c r="FQ203" s="1220"/>
      <c r="FR203" s="1220"/>
      <c r="FS203" s="1220"/>
      <c r="FT203" s="1220"/>
      <c r="FU203" s="1220"/>
      <c r="FV203" s="1220"/>
    </row>
    <row r="204" spans="1:179" x14ac:dyDescent="0.3">
      <c r="A204" s="1214" t="s">
        <v>2618</v>
      </c>
      <c r="H204" s="1215">
        <f>25842129.925+22791149</f>
        <v>48633278.924999997</v>
      </c>
      <c r="L204" s="1220"/>
      <c r="M204" s="1220"/>
      <c r="N204" s="1220"/>
      <c r="O204" s="1220"/>
      <c r="P204" s="1220"/>
      <c r="Q204" s="1220"/>
      <c r="R204" s="1220"/>
      <c r="S204" s="1220"/>
      <c r="T204" s="1220"/>
      <c r="U204" s="1220"/>
      <c r="V204" s="1220"/>
      <c r="W204" s="1220"/>
      <c r="X204" s="1220"/>
      <c r="Y204" s="1220"/>
      <c r="Z204" s="1220"/>
      <c r="AA204" s="1220"/>
      <c r="AB204" s="1220"/>
      <c r="AC204" s="1220"/>
      <c r="AD204" s="1220"/>
      <c r="AE204" s="1220"/>
      <c r="AF204" s="1220"/>
      <c r="AG204" s="1220"/>
      <c r="AH204" s="1220"/>
      <c r="AI204" s="1220"/>
      <c r="AJ204" s="1220"/>
      <c r="AK204" s="1220"/>
      <c r="AL204" s="1220"/>
      <c r="AM204" s="1220"/>
      <c r="AN204" s="1220"/>
      <c r="AO204" s="1220"/>
      <c r="AP204" s="1220"/>
      <c r="AQ204" s="1220"/>
      <c r="AR204" s="1220"/>
      <c r="AS204" s="1220"/>
      <c r="AT204" s="1220"/>
      <c r="AU204" s="1220"/>
      <c r="AV204" s="1220"/>
      <c r="AW204" s="1220"/>
      <c r="AX204" s="1220"/>
      <c r="AY204" s="1220"/>
      <c r="AZ204" s="1220"/>
      <c r="BA204" s="1220"/>
      <c r="BB204" s="1220"/>
      <c r="BC204" s="1220"/>
      <c r="BD204" s="1220"/>
      <c r="BE204" s="1220"/>
      <c r="BF204" s="1220"/>
      <c r="BG204" s="1220"/>
      <c r="BH204" s="1220"/>
      <c r="BI204" s="1220"/>
      <c r="BJ204" s="1220"/>
      <c r="BK204" s="1220"/>
      <c r="BL204" s="1220"/>
      <c r="BM204" s="1220"/>
      <c r="BN204" s="1220"/>
      <c r="BO204" s="1220"/>
      <c r="BP204" s="1220"/>
      <c r="BQ204" s="1220"/>
      <c r="BR204" s="1220"/>
      <c r="BS204" s="1220"/>
      <c r="BT204" s="1220"/>
      <c r="BU204" s="1220"/>
      <c r="BV204" s="1220"/>
      <c r="BW204" s="1220"/>
      <c r="BX204" s="1220"/>
      <c r="BY204" s="1220"/>
      <c r="BZ204" s="1220"/>
      <c r="CA204" s="1220"/>
      <c r="CB204" s="1220"/>
      <c r="CC204" s="1220"/>
      <c r="CD204" s="1220"/>
      <c r="CE204" s="1220"/>
      <c r="CF204" s="1220"/>
      <c r="CG204" s="1220"/>
      <c r="CH204" s="1220"/>
      <c r="CI204" s="1220"/>
      <c r="CJ204" s="1220"/>
      <c r="CK204" s="1220"/>
      <c r="CL204" s="1220"/>
      <c r="CM204" s="1220"/>
      <c r="CN204" s="1220"/>
      <c r="CO204" s="1220"/>
      <c r="CP204" s="1220"/>
      <c r="CQ204" s="1220">
        <f t="shared" si="142"/>
        <v>-578967.60624999995</v>
      </c>
      <c r="CR204" s="1220">
        <f t="shared" si="142"/>
        <v>-578967.60624999995</v>
      </c>
      <c r="CS204" s="1220">
        <f t="shared" si="142"/>
        <v>-578967.60624999995</v>
      </c>
      <c r="CT204" s="1220">
        <f t="shared" si="142"/>
        <v>-578967.60624999995</v>
      </c>
      <c r="CU204" s="1220">
        <f t="shared" si="142"/>
        <v>-578967.60624999995</v>
      </c>
      <c r="CV204" s="1220">
        <f t="shared" si="142"/>
        <v>-578967.60624999995</v>
      </c>
      <c r="CW204" s="1220">
        <f t="shared" si="142"/>
        <v>-578967.60624999995</v>
      </c>
      <c r="CX204" s="1220">
        <f t="shared" si="142"/>
        <v>-578967.60624999995</v>
      </c>
      <c r="CY204" s="1220">
        <f t="shared" si="142"/>
        <v>-578967.60624999995</v>
      </c>
      <c r="CZ204" s="1220">
        <f t="shared" si="142"/>
        <v>-578967.60624999995</v>
      </c>
      <c r="DA204" s="1220">
        <f t="shared" si="142"/>
        <v>-578967.60624999995</v>
      </c>
      <c r="DB204" s="1220">
        <f t="shared" si="142"/>
        <v>-578967.60624999995</v>
      </c>
      <c r="DC204" s="1220">
        <f t="shared" si="142"/>
        <v>-578967.60624999995</v>
      </c>
      <c r="DD204" s="1220">
        <f t="shared" si="142"/>
        <v>-578967.60624999995</v>
      </c>
      <c r="DE204" s="1220">
        <f t="shared" si="142"/>
        <v>-578967.60624999995</v>
      </c>
      <c r="DF204" s="101"/>
      <c r="DG204" s="101"/>
      <c r="DH204" s="101"/>
      <c r="DI204" s="101"/>
      <c r="DJ204" s="101"/>
      <c r="DK204" s="101"/>
      <c r="DL204" s="101"/>
      <c r="DM204" s="101"/>
      <c r="DN204" s="101"/>
      <c r="DO204" s="101"/>
      <c r="DP204" s="101"/>
      <c r="DQ204" s="101"/>
      <c r="DR204" s="101"/>
      <c r="DS204" s="101"/>
      <c r="DT204" s="101"/>
      <c r="DU204" s="101"/>
      <c r="DV204" s="101"/>
      <c r="DW204" s="101"/>
      <c r="DX204" s="101"/>
      <c r="DY204" s="101"/>
      <c r="DZ204" s="101"/>
      <c r="EA204" s="101"/>
      <c r="EB204" s="101"/>
      <c r="EC204" s="101"/>
      <c r="ED204" s="101"/>
      <c r="EE204" s="101"/>
      <c r="EF204" s="101"/>
      <c r="EG204" s="101"/>
      <c r="EH204" s="101"/>
      <c r="EI204" s="101"/>
      <c r="EJ204" s="101"/>
      <c r="EK204" s="101"/>
      <c r="EL204" s="101"/>
      <c r="EM204" s="101"/>
      <c r="EN204" s="101"/>
      <c r="EO204" s="101"/>
      <c r="EP204" s="101"/>
      <c r="EQ204" s="101"/>
      <c r="ER204" s="101"/>
      <c r="ES204" s="101"/>
      <c r="ET204" s="101"/>
      <c r="EU204" s="101"/>
      <c r="EV204" s="101"/>
      <c r="EW204" s="101"/>
      <c r="EX204" s="101"/>
      <c r="EY204" s="101"/>
      <c r="EZ204" s="1220">
        <f t="shared" si="144"/>
        <v>-578967.60624999995</v>
      </c>
      <c r="FA204" s="1220">
        <f t="shared" si="144"/>
        <v>-578967.60624999995</v>
      </c>
      <c r="FB204" s="1220">
        <f t="shared" si="144"/>
        <v>-578967.60624999995</v>
      </c>
      <c r="FC204" s="1220">
        <f t="shared" si="144"/>
        <v>-578967.60624999995</v>
      </c>
      <c r="FD204" s="1220">
        <f t="shared" si="144"/>
        <v>-578967.60624999995</v>
      </c>
      <c r="FE204" s="1220">
        <f t="shared" si="144"/>
        <v>-578967.60624999995</v>
      </c>
      <c r="FF204" s="1220">
        <f t="shared" si="144"/>
        <v>-578967.60624999995</v>
      </c>
      <c r="FG204" s="1220">
        <f t="shared" si="144"/>
        <v>-578967.60624999995</v>
      </c>
      <c r="FH204" s="1220">
        <f t="shared" si="144"/>
        <v>-578967.60624999995</v>
      </c>
      <c r="FI204" s="1220">
        <f t="shared" si="144"/>
        <v>-578967.60624999995</v>
      </c>
      <c r="FJ204" s="1220">
        <f t="shared" si="144"/>
        <v>-578967.60624999995</v>
      </c>
      <c r="FK204" s="1220">
        <f t="shared" ref="FK204" si="146">-$H204/84</f>
        <v>-578967.60624999995</v>
      </c>
      <c r="FL204" s="1220">
        <f t="shared" si="145"/>
        <v>-578967.60624999995</v>
      </c>
      <c r="FM204" s="1220">
        <f t="shared" si="143"/>
        <v>-578967.60624999995</v>
      </c>
      <c r="FN204" s="1220">
        <f t="shared" si="143"/>
        <v>-578967.60624999995</v>
      </c>
      <c r="FO204" s="1220">
        <f t="shared" si="143"/>
        <v>-578967.60624999995</v>
      </c>
      <c r="FP204" s="1220">
        <f t="shared" si="143"/>
        <v>-578967.60624999995</v>
      </c>
      <c r="FQ204" s="1220">
        <f t="shared" si="143"/>
        <v>-578967.60624999995</v>
      </c>
      <c r="FR204" s="1220">
        <f t="shared" si="143"/>
        <v>-578967.60624999995</v>
      </c>
      <c r="FS204" s="1220">
        <f t="shared" si="143"/>
        <v>-578967.60624999995</v>
      </c>
      <c r="FT204" s="1220">
        <f t="shared" si="143"/>
        <v>-578967.60624999995</v>
      </c>
      <c r="FU204" s="1220">
        <f t="shared" si="143"/>
        <v>-578967.60624999995</v>
      </c>
      <c r="FV204" s="1220">
        <f t="shared" si="143"/>
        <v>-578967.60624999995</v>
      </c>
      <c r="FW204" s="1220">
        <f t="shared" si="143"/>
        <v>-578967.60624999995</v>
      </c>
    </row>
    <row r="205" spans="1:179" x14ac:dyDescent="0.3">
      <c r="A205" s="1214"/>
      <c r="H205" s="1215"/>
      <c r="L205" s="1220"/>
      <c r="M205" s="1220"/>
      <c r="N205" s="1220"/>
      <c r="O205" s="1220"/>
      <c r="P205" s="1220"/>
      <c r="Q205" s="1220"/>
      <c r="R205" s="1220"/>
      <c r="S205" s="1220"/>
      <c r="T205" s="1220"/>
      <c r="U205" s="1220"/>
      <c r="V205" s="1220"/>
      <c r="W205" s="1220"/>
      <c r="X205" s="1220"/>
      <c r="Y205" s="1220"/>
      <c r="Z205" s="1220"/>
      <c r="AA205" s="1220"/>
      <c r="AB205" s="1220"/>
      <c r="AC205" s="1220"/>
      <c r="AD205" s="1220"/>
      <c r="AE205" s="1220"/>
      <c r="AF205" s="1220"/>
      <c r="AG205" s="1220"/>
      <c r="AH205" s="1220"/>
      <c r="AI205" s="1220"/>
      <c r="AJ205" s="1220"/>
      <c r="AK205" s="1220"/>
      <c r="AL205" s="1220"/>
      <c r="AM205" s="1220"/>
      <c r="AN205" s="1220"/>
      <c r="AO205" s="1220"/>
      <c r="AP205" s="1220"/>
      <c r="AQ205" s="1220"/>
      <c r="AR205" s="1220"/>
      <c r="AS205" s="1220"/>
      <c r="AT205" s="1220"/>
      <c r="AU205" s="1220"/>
      <c r="AV205" s="1220"/>
      <c r="AW205" s="1220"/>
      <c r="AX205" s="1220"/>
      <c r="AY205" s="1220"/>
      <c r="AZ205" s="1220"/>
      <c r="BA205" s="1220"/>
      <c r="BB205" s="1220"/>
      <c r="BC205" s="1220"/>
      <c r="BD205" s="1220"/>
      <c r="BE205" s="1220"/>
      <c r="BF205" s="1220"/>
      <c r="BG205" s="1220"/>
      <c r="BH205" s="1220"/>
      <c r="BI205" s="1220"/>
      <c r="BJ205" s="1220"/>
      <c r="BK205" s="1220"/>
      <c r="BL205" s="1220"/>
      <c r="BM205" s="1220"/>
      <c r="BN205" s="1220"/>
      <c r="BO205" s="1220"/>
      <c r="BP205" s="1220"/>
      <c r="BQ205" s="1220"/>
      <c r="BR205" s="1220"/>
      <c r="BS205" s="1220"/>
      <c r="BT205" s="1220"/>
      <c r="BU205" s="1220"/>
      <c r="BV205" s="1220"/>
      <c r="BW205" s="1220"/>
      <c r="BX205" s="1220"/>
      <c r="BY205" s="1220"/>
      <c r="BZ205" s="1220"/>
      <c r="CA205" s="1220"/>
      <c r="CB205" s="1220"/>
      <c r="CC205" s="1220"/>
      <c r="CD205" s="1220"/>
      <c r="CE205" s="1220"/>
      <c r="CF205" s="1220"/>
      <c r="CG205" s="1220"/>
      <c r="CH205" s="1220"/>
      <c r="CI205" s="1220"/>
      <c r="CJ205" s="1220"/>
      <c r="CK205" s="1220"/>
      <c r="CL205" s="1220"/>
      <c r="CM205" s="1220"/>
      <c r="CN205" s="1220"/>
      <c r="CO205" s="1220"/>
      <c r="CP205" s="1220"/>
      <c r="CQ205" s="1220"/>
      <c r="CR205" s="1220"/>
      <c r="CS205" s="1220"/>
      <c r="CT205" s="1220"/>
      <c r="CU205" s="1220"/>
      <c r="CV205" s="1220"/>
      <c r="CW205" s="1220"/>
      <c r="CX205" s="1220"/>
      <c r="CY205" s="1220"/>
      <c r="CZ205" s="1220"/>
      <c r="DA205" s="1220"/>
      <c r="DB205" s="1220"/>
      <c r="DC205" s="1220"/>
      <c r="DD205" s="1220"/>
      <c r="DE205" s="1220"/>
      <c r="DF205" s="101"/>
      <c r="DG205" s="101"/>
      <c r="DH205" s="101"/>
      <c r="DI205" s="101"/>
      <c r="DJ205" s="101"/>
      <c r="DK205" s="101"/>
      <c r="DL205" s="101"/>
      <c r="DM205" s="101"/>
      <c r="DN205" s="101"/>
      <c r="DO205" s="101"/>
      <c r="DP205" s="101"/>
      <c r="DQ205" s="101"/>
      <c r="DR205" s="101"/>
      <c r="DS205" s="101"/>
      <c r="DT205" s="101"/>
      <c r="DU205" s="101"/>
      <c r="DV205" s="101"/>
      <c r="DW205" s="101"/>
      <c r="DX205" s="101"/>
      <c r="DY205" s="101"/>
      <c r="DZ205" s="101"/>
      <c r="EA205" s="101"/>
      <c r="EB205" s="101"/>
      <c r="EC205" s="101"/>
      <c r="ED205" s="101"/>
      <c r="EE205" s="101"/>
      <c r="EF205" s="101"/>
      <c r="EG205" s="101"/>
      <c r="EH205" s="101"/>
      <c r="EI205" s="101"/>
      <c r="EJ205" s="101"/>
      <c r="EK205" s="101"/>
      <c r="EL205" s="101"/>
      <c r="EM205" s="101"/>
      <c r="EN205" s="101"/>
      <c r="EO205" s="101"/>
      <c r="EP205" s="101"/>
      <c r="EQ205" s="101"/>
      <c r="ER205" s="101"/>
      <c r="ES205" s="101"/>
      <c r="ET205" s="101"/>
      <c r="EU205" s="101"/>
      <c r="EV205" s="101"/>
      <c r="EW205" s="101"/>
      <c r="EX205" s="101"/>
      <c r="EY205" s="101"/>
      <c r="EZ205" s="1220"/>
      <c r="FA205" s="1220"/>
      <c r="FB205" s="1220"/>
      <c r="FC205" s="1220"/>
      <c r="FD205" s="1220"/>
      <c r="FE205" s="1220"/>
      <c r="FF205" s="1220"/>
      <c r="FG205" s="1220"/>
      <c r="FH205" s="1220"/>
      <c r="FI205" s="1220"/>
      <c r="FJ205" s="1220"/>
      <c r="FK205" s="1220"/>
      <c r="FL205" s="1220"/>
      <c r="FM205" s="1220"/>
      <c r="FN205" s="1220"/>
      <c r="FO205" s="1220"/>
      <c r="FP205" s="1220"/>
      <c r="FQ205" s="1220"/>
      <c r="FR205" s="1220"/>
      <c r="FS205" s="1220"/>
      <c r="FT205" s="1220"/>
      <c r="FU205" s="1220"/>
      <c r="FV205" s="1220"/>
      <c r="FW205" s="1220"/>
    </row>
    <row r="206" spans="1:179" x14ac:dyDescent="0.3">
      <c r="A206" s="1214" t="s">
        <v>2619</v>
      </c>
      <c r="H206" s="1215">
        <v>25842129.925000012</v>
      </c>
      <c r="L206" s="1220"/>
      <c r="M206" s="1220"/>
      <c r="N206" s="1220"/>
      <c r="O206" s="1220"/>
      <c r="P206" s="1220"/>
      <c r="Q206" s="1220"/>
      <c r="R206" s="1220"/>
      <c r="S206" s="1220"/>
      <c r="T206" s="1220"/>
      <c r="U206" s="1220"/>
      <c r="V206" s="1220"/>
      <c r="W206" s="1220"/>
      <c r="X206" s="1220"/>
      <c r="Y206" s="1220"/>
      <c r="Z206" s="1220"/>
      <c r="AA206" s="1220"/>
      <c r="AB206" s="1220"/>
      <c r="AC206" s="1220"/>
      <c r="AD206" s="1220"/>
      <c r="AE206" s="1220"/>
      <c r="AF206" s="1220"/>
      <c r="AG206" s="1220"/>
      <c r="AH206" s="1220"/>
      <c r="AI206" s="1220"/>
      <c r="AJ206" s="1220"/>
      <c r="AK206" s="1220"/>
      <c r="AL206" s="1220"/>
      <c r="AM206" s="1220"/>
      <c r="AN206" s="1220"/>
      <c r="AO206" s="1220"/>
      <c r="AP206" s="1220"/>
      <c r="AQ206" s="1220"/>
      <c r="AR206" s="1220"/>
      <c r="AS206" s="1220"/>
      <c r="AT206" s="1220"/>
      <c r="AU206" s="1220"/>
      <c r="AV206" s="1220"/>
      <c r="AW206" s="1220"/>
      <c r="AX206" s="1220"/>
      <c r="AY206" s="1220"/>
      <c r="AZ206" s="1220"/>
      <c r="BA206" s="1220"/>
      <c r="BB206" s="1220"/>
      <c r="BC206" s="1220"/>
      <c r="BD206" s="1220"/>
      <c r="BE206" s="1220"/>
      <c r="BF206" s="1220"/>
      <c r="BG206" s="1220"/>
      <c r="BH206" s="1220"/>
      <c r="BI206" s="1220"/>
      <c r="BJ206" s="1220"/>
      <c r="BK206" s="1220"/>
      <c r="BL206" s="1220"/>
      <c r="BM206" s="1220"/>
      <c r="BN206" s="1220"/>
      <c r="BO206" s="1220"/>
      <c r="BP206" s="1220"/>
      <c r="BQ206" s="1220"/>
      <c r="BR206" s="1220"/>
      <c r="BS206" s="1220"/>
      <c r="BT206" s="1220"/>
      <c r="BU206" s="1220"/>
      <c r="BV206" s="1220"/>
      <c r="BW206" s="1220"/>
      <c r="BX206" s="1220"/>
      <c r="BY206" s="1220"/>
      <c r="BZ206" s="1220"/>
      <c r="CA206" s="1220"/>
      <c r="CB206" s="1220"/>
      <c r="CC206" s="1220"/>
      <c r="CD206" s="1220"/>
      <c r="CE206" s="1220"/>
      <c r="CF206" s="1220"/>
      <c r="CG206" s="1220"/>
      <c r="CH206" s="1220"/>
      <c r="CI206" s="1220"/>
      <c r="CJ206" s="1220"/>
      <c r="CK206" s="1220"/>
      <c r="CL206" s="1220"/>
      <c r="CM206" s="1220"/>
      <c r="CN206" s="1220"/>
      <c r="CO206" s="1220"/>
      <c r="CP206" s="1220"/>
      <c r="CQ206" s="1220"/>
      <c r="CR206" s="1220">
        <f t="shared" si="142"/>
        <v>-307644.40386904776</v>
      </c>
      <c r="CS206" s="1220">
        <f t="shared" si="142"/>
        <v>-307644.40386904776</v>
      </c>
      <c r="CT206" s="1220">
        <f t="shared" si="142"/>
        <v>-307644.40386904776</v>
      </c>
      <c r="CU206" s="1220">
        <f t="shared" si="142"/>
        <v>-307644.40386904776</v>
      </c>
      <c r="CV206" s="1220">
        <f t="shared" si="142"/>
        <v>-307644.40386904776</v>
      </c>
      <c r="CW206" s="1220">
        <f t="shared" si="142"/>
        <v>-307644.40386904776</v>
      </c>
      <c r="CX206" s="1220">
        <f t="shared" si="142"/>
        <v>-307644.40386904776</v>
      </c>
      <c r="CY206" s="1220">
        <f t="shared" si="142"/>
        <v>-307644.40386904776</v>
      </c>
      <c r="CZ206" s="1220">
        <f t="shared" si="142"/>
        <v>-307644.40386904776</v>
      </c>
      <c r="DA206" s="1220">
        <f t="shared" si="142"/>
        <v>-307644.40386904776</v>
      </c>
      <c r="DB206" s="1220">
        <f t="shared" si="142"/>
        <v>-307644.40386904776</v>
      </c>
      <c r="DC206" s="1220">
        <f t="shared" si="142"/>
        <v>-307644.40386904776</v>
      </c>
      <c r="DD206" s="1220">
        <f t="shared" si="142"/>
        <v>-307644.40386904776</v>
      </c>
      <c r="DE206" s="1220">
        <f t="shared" si="142"/>
        <v>-307644.40386904776</v>
      </c>
      <c r="DF206" s="101"/>
      <c r="DG206" s="101"/>
      <c r="DH206" s="101"/>
      <c r="DI206" s="101"/>
      <c r="DJ206" s="101"/>
      <c r="DK206" s="101"/>
      <c r="DL206" s="101"/>
      <c r="DM206" s="101"/>
      <c r="DN206" s="101"/>
      <c r="DO206" s="101"/>
      <c r="DP206" s="101"/>
      <c r="DQ206" s="101"/>
      <c r="DR206" s="101"/>
      <c r="DS206" s="101"/>
      <c r="DT206" s="101"/>
      <c r="DU206" s="101"/>
      <c r="DV206" s="101"/>
      <c r="DW206" s="101"/>
      <c r="DX206" s="101"/>
      <c r="DY206" s="101"/>
      <c r="DZ206" s="101"/>
      <c r="EA206" s="101"/>
      <c r="EB206" s="101"/>
      <c r="EC206" s="101"/>
      <c r="ED206" s="101"/>
      <c r="EE206" s="101"/>
      <c r="EF206" s="101"/>
      <c r="EG206" s="101"/>
      <c r="EH206" s="101"/>
      <c r="EI206" s="101"/>
      <c r="EJ206" s="101"/>
      <c r="EK206" s="101"/>
      <c r="EL206" s="101"/>
      <c r="EM206" s="101"/>
      <c r="EN206" s="101"/>
      <c r="EO206" s="101"/>
      <c r="EP206" s="101"/>
      <c r="EQ206" s="101"/>
      <c r="ER206" s="101"/>
      <c r="ES206" s="101"/>
      <c r="ET206" s="101"/>
      <c r="EU206" s="101"/>
      <c r="EV206" s="101"/>
      <c r="EW206" s="101"/>
      <c r="EX206" s="101"/>
      <c r="EY206" s="101"/>
      <c r="EZ206" s="1220"/>
      <c r="FA206" s="1220"/>
      <c r="FB206" s="1220"/>
      <c r="FC206" s="1220"/>
      <c r="FD206" s="1220"/>
      <c r="FE206" s="1220"/>
      <c r="FF206" s="1220"/>
      <c r="FG206" s="1220"/>
      <c r="FH206" s="1220"/>
      <c r="FI206" s="1220"/>
      <c r="FJ206" s="1220"/>
      <c r="FK206" s="1220"/>
      <c r="FL206" s="1220"/>
      <c r="FM206" s="1220"/>
      <c r="FN206" s="1220"/>
      <c r="FO206" s="1220"/>
      <c r="FP206" s="1220"/>
      <c r="FQ206" s="1220"/>
      <c r="FR206" s="1220"/>
      <c r="FS206" s="1220"/>
      <c r="FT206" s="1220"/>
      <c r="FU206" s="1220"/>
      <c r="FV206" s="1220"/>
      <c r="FW206" s="1220"/>
    </row>
    <row r="207" spans="1:179" x14ac:dyDescent="0.3">
      <c r="A207" s="1214"/>
      <c r="H207" s="1215"/>
      <c r="L207" s="1220"/>
      <c r="M207" s="1220"/>
      <c r="N207" s="1220"/>
      <c r="O207" s="1220"/>
      <c r="P207" s="1220"/>
      <c r="Q207" s="1220"/>
      <c r="R207" s="1220"/>
      <c r="S207" s="1220"/>
      <c r="T207" s="1220"/>
      <c r="U207" s="1220"/>
      <c r="V207" s="1220"/>
      <c r="W207" s="1220"/>
      <c r="X207" s="1220"/>
      <c r="Y207" s="1220"/>
      <c r="Z207" s="1220"/>
      <c r="AA207" s="1220"/>
      <c r="AB207" s="1220"/>
      <c r="AC207" s="1220"/>
      <c r="AD207" s="1220"/>
      <c r="AE207" s="1220"/>
      <c r="AF207" s="1220"/>
      <c r="AG207" s="1220"/>
      <c r="AH207" s="1220"/>
      <c r="AI207" s="1220"/>
      <c r="AJ207" s="1220"/>
      <c r="AK207" s="1220"/>
      <c r="AL207" s="1220"/>
      <c r="AM207" s="1220"/>
      <c r="AN207" s="1220"/>
      <c r="AO207" s="1220"/>
      <c r="AP207" s="1220"/>
      <c r="AQ207" s="1220"/>
      <c r="AR207" s="1220"/>
      <c r="AS207" s="1220"/>
      <c r="AT207" s="1220"/>
      <c r="AU207" s="1220"/>
      <c r="AV207" s="1220"/>
      <c r="AW207" s="1220"/>
      <c r="AX207" s="1220"/>
      <c r="AY207" s="1220"/>
      <c r="AZ207" s="1220"/>
      <c r="BA207" s="1220"/>
      <c r="BB207" s="1220"/>
      <c r="BC207" s="1220"/>
      <c r="BD207" s="1220"/>
      <c r="BE207" s="1220"/>
      <c r="BF207" s="1220"/>
      <c r="BG207" s="1220"/>
      <c r="BH207" s="1220"/>
      <c r="BI207" s="1220"/>
      <c r="BJ207" s="1220"/>
      <c r="BK207" s="1220"/>
      <c r="BL207" s="1220"/>
      <c r="BM207" s="1220"/>
      <c r="BN207" s="1220"/>
      <c r="BO207" s="1220"/>
      <c r="BP207" s="1220"/>
      <c r="BQ207" s="1220"/>
      <c r="BR207" s="1220"/>
      <c r="BS207" s="1220"/>
      <c r="BT207" s="1220"/>
      <c r="BU207" s="1220"/>
      <c r="BV207" s="1220"/>
      <c r="BW207" s="1220"/>
      <c r="BX207" s="1220"/>
      <c r="BY207" s="1220"/>
      <c r="BZ207" s="1220"/>
      <c r="CA207" s="1220"/>
      <c r="CB207" s="1220"/>
      <c r="CC207" s="1220"/>
      <c r="CD207" s="1220"/>
      <c r="CE207" s="1220"/>
      <c r="CF207" s="1220"/>
      <c r="CG207" s="1220"/>
      <c r="CH207" s="1220"/>
      <c r="CI207" s="1220"/>
      <c r="CJ207" s="1220"/>
      <c r="CK207" s="1220"/>
      <c r="CL207" s="1220"/>
      <c r="CM207" s="1220"/>
      <c r="CN207" s="1220"/>
      <c r="CO207" s="1220"/>
      <c r="CP207" s="1220"/>
      <c r="CQ207" s="1220"/>
      <c r="CR207" s="1220"/>
      <c r="CS207" s="1220"/>
      <c r="CT207" s="1220"/>
      <c r="CU207" s="1220"/>
      <c r="CV207" s="1220"/>
      <c r="CW207" s="1220"/>
      <c r="CX207" s="1220"/>
      <c r="CY207" s="1220"/>
      <c r="CZ207" s="1220"/>
      <c r="DA207" s="1220"/>
      <c r="DB207" s="1220"/>
      <c r="DC207" s="1220"/>
      <c r="DD207" s="1220"/>
      <c r="DE207" s="1220"/>
      <c r="DF207" s="101"/>
      <c r="DG207" s="101"/>
      <c r="DH207" s="101"/>
      <c r="DI207" s="101"/>
      <c r="DJ207" s="101"/>
      <c r="DK207" s="101"/>
      <c r="DL207" s="101"/>
      <c r="DM207" s="101"/>
      <c r="DN207" s="101"/>
      <c r="DO207" s="101"/>
      <c r="DP207" s="101"/>
      <c r="DQ207" s="101"/>
      <c r="DR207" s="101"/>
      <c r="DS207" s="101"/>
      <c r="DT207" s="101"/>
      <c r="DU207" s="101"/>
      <c r="DV207" s="101"/>
      <c r="DW207" s="101"/>
      <c r="DX207" s="101"/>
      <c r="DY207" s="101"/>
      <c r="DZ207" s="101"/>
      <c r="EA207" s="101"/>
      <c r="EB207" s="101"/>
      <c r="EC207" s="101"/>
      <c r="ED207" s="101"/>
      <c r="EE207" s="101"/>
      <c r="EF207" s="101"/>
      <c r="EG207" s="101"/>
      <c r="EH207" s="101"/>
      <c r="EI207" s="101"/>
      <c r="EJ207" s="101"/>
      <c r="EK207" s="101"/>
      <c r="EL207" s="101"/>
      <c r="EM207" s="101"/>
      <c r="EN207" s="101"/>
      <c r="EO207" s="101"/>
      <c r="EP207" s="101"/>
      <c r="EQ207" s="101"/>
      <c r="ER207" s="101"/>
      <c r="ES207" s="101"/>
      <c r="ET207" s="101"/>
      <c r="EU207" s="101"/>
      <c r="EV207" s="101"/>
      <c r="EW207" s="101"/>
      <c r="EX207" s="101"/>
      <c r="EY207" s="101"/>
      <c r="EZ207" s="1220"/>
      <c r="FA207" s="1220"/>
      <c r="FB207" s="1220"/>
      <c r="FC207" s="1220"/>
      <c r="FD207" s="1220"/>
      <c r="FE207" s="1220"/>
      <c r="FF207" s="1220"/>
      <c r="FG207" s="1220"/>
      <c r="FH207" s="1220"/>
      <c r="FI207" s="1220"/>
      <c r="FJ207" s="1220"/>
      <c r="FK207" s="1220"/>
      <c r="FL207" s="1220"/>
      <c r="FM207" s="1220"/>
      <c r="FN207" s="1220"/>
      <c r="FO207" s="1220"/>
      <c r="FP207" s="1220"/>
      <c r="FQ207" s="1220"/>
      <c r="FR207" s="1220"/>
      <c r="FS207" s="1220"/>
      <c r="FT207" s="1220"/>
      <c r="FU207" s="1220"/>
      <c r="FV207" s="1220"/>
      <c r="FW207" s="1220"/>
    </row>
    <row r="208" spans="1:179" x14ac:dyDescent="0.3">
      <c r="A208" s="1214" t="s">
        <v>2620</v>
      </c>
      <c r="H208" s="1215">
        <v>25842129.925000012</v>
      </c>
      <c r="L208" s="1220"/>
      <c r="M208" s="1220"/>
      <c r="N208" s="1220"/>
      <c r="O208" s="1220"/>
      <c r="P208" s="1220"/>
      <c r="Q208" s="1220"/>
      <c r="R208" s="1220"/>
      <c r="S208" s="1220"/>
      <c r="T208" s="1220"/>
      <c r="U208" s="1220"/>
      <c r="V208" s="1220"/>
      <c r="W208" s="1220"/>
      <c r="X208" s="1220"/>
      <c r="Y208" s="1220"/>
      <c r="Z208" s="1220"/>
      <c r="AA208" s="1220"/>
      <c r="AB208" s="1220"/>
      <c r="AC208" s="1220"/>
      <c r="AD208" s="1220"/>
      <c r="AE208" s="1220"/>
      <c r="AF208" s="1220"/>
      <c r="AG208" s="1220"/>
      <c r="AH208" s="1220"/>
      <c r="AI208" s="1220"/>
      <c r="AJ208" s="1220"/>
      <c r="AK208" s="1220"/>
      <c r="AL208" s="1220"/>
      <c r="AM208" s="1220"/>
      <c r="AN208" s="1220"/>
      <c r="AO208" s="1220"/>
      <c r="AP208" s="1220"/>
      <c r="AQ208" s="1220"/>
      <c r="AR208" s="1220"/>
      <c r="AS208" s="1220"/>
      <c r="AT208" s="1220"/>
      <c r="AU208" s="1220"/>
      <c r="AV208" s="1220"/>
      <c r="AW208" s="1220"/>
      <c r="AX208" s="1220"/>
      <c r="AY208" s="1220"/>
      <c r="AZ208" s="1220"/>
      <c r="BA208" s="1220"/>
      <c r="BB208" s="1220"/>
      <c r="BC208" s="1220"/>
      <c r="BD208" s="1220"/>
      <c r="BE208" s="1220"/>
      <c r="BF208" s="1220"/>
      <c r="BG208" s="1220"/>
      <c r="BH208" s="1220"/>
      <c r="BI208" s="1220"/>
      <c r="BJ208" s="1220"/>
      <c r="BK208" s="1220"/>
      <c r="BL208" s="1220"/>
      <c r="BM208" s="1220"/>
      <c r="BN208" s="1220"/>
      <c r="BO208" s="1220"/>
      <c r="BP208" s="1220"/>
      <c r="BQ208" s="1220"/>
      <c r="BR208" s="1220"/>
      <c r="BS208" s="1220"/>
      <c r="BT208" s="1220"/>
      <c r="BU208" s="1220"/>
      <c r="BV208" s="1220"/>
      <c r="BW208" s="1220"/>
      <c r="BX208" s="1220"/>
      <c r="BY208" s="1220"/>
      <c r="BZ208" s="1220"/>
      <c r="CA208" s="1220"/>
      <c r="CB208" s="1220"/>
      <c r="CC208" s="1220"/>
      <c r="CD208" s="1220"/>
      <c r="CE208" s="1220"/>
      <c r="CF208" s="1220"/>
      <c r="CG208" s="1220"/>
      <c r="CH208" s="1220"/>
      <c r="CI208" s="1220"/>
      <c r="CJ208" s="1220"/>
      <c r="CK208" s="1220"/>
      <c r="CL208" s="1220"/>
      <c r="CM208" s="1220"/>
      <c r="CN208" s="1220"/>
      <c r="CO208" s="1220"/>
      <c r="CP208" s="1220"/>
      <c r="CQ208" s="1220"/>
      <c r="CR208" s="1220"/>
      <c r="CS208" s="1220">
        <f t="shared" si="142"/>
        <v>-307644.40386904776</v>
      </c>
      <c r="CT208" s="1220">
        <f t="shared" si="142"/>
        <v>-307644.40386904776</v>
      </c>
      <c r="CU208" s="1220">
        <f t="shared" si="142"/>
        <v>-307644.40386904776</v>
      </c>
      <c r="CV208" s="1220">
        <f t="shared" si="142"/>
        <v>-307644.40386904776</v>
      </c>
      <c r="CW208" s="1220">
        <f t="shared" si="142"/>
        <v>-307644.40386904776</v>
      </c>
      <c r="CX208" s="1220">
        <f t="shared" si="142"/>
        <v>-307644.40386904776</v>
      </c>
      <c r="CY208" s="1220">
        <f t="shared" si="142"/>
        <v>-307644.40386904776</v>
      </c>
      <c r="CZ208" s="1220">
        <f t="shared" si="142"/>
        <v>-307644.40386904776</v>
      </c>
      <c r="DA208" s="1220">
        <f t="shared" si="142"/>
        <v>-307644.40386904776</v>
      </c>
      <c r="DB208" s="1220">
        <f t="shared" si="142"/>
        <v>-307644.40386904776</v>
      </c>
      <c r="DC208" s="1220">
        <f t="shared" si="142"/>
        <v>-307644.40386904776</v>
      </c>
      <c r="DD208" s="1220">
        <f t="shared" si="142"/>
        <v>-307644.40386904776</v>
      </c>
      <c r="DE208" s="1220">
        <f t="shared" si="142"/>
        <v>-307644.40386904776</v>
      </c>
      <c r="DF208" s="101"/>
      <c r="DG208" s="101"/>
      <c r="DH208" s="101"/>
      <c r="DI208" s="101"/>
      <c r="DJ208" s="101"/>
      <c r="DK208" s="101"/>
      <c r="DL208" s="101"/>
      <c r="DM208" s="101"/>
      <c r="DN208" s="101"/>
      <c r="DO208" s="101"/>
      <c r="DP208" s="101"/>
      <c r="DQ208" s="101"/>
      <c r="DR208" s="101"/>
      <c r="DS208" s="101"/>
      <c r="DT208" s="101"/>
      <c r="DU208" s="101"/>
      <c r="DV208" s="101"/>
      <c r="DW208" s="101"/>
      <c r="DX208" s="101"/>
      <c r="DY208" s="101"/>
      <c r="DZ208" s="101"/>
      <c r="EA208" s="101"/>
      <c r="EB208" s="101"/>
      <c r="EC208" s="101"/>
      <c r="ED208" s="101"/>
      <c r="EE208" s="101"/>
      <c r="EF208" s="101"/>
      <c r="EG208" s="101"/>
      <c r="EH208" s="101"/>
      <c r="EI208" s="101"/>
      <c r="EJ208" s="101"/>
      <c r="EK208" s="101"/>
      <c r="EL208" s="101"/>
      <c r="EM208" s="101"/>
      <c r="EN208" s="101"/>
      <c r="EO208" s="101"/>
      <c r="EP208" s="101"/>
      <c r="EQ208" s="101"/>
      <c r="ER208" s="101"/>
      <c r="ES208" s="101"/>
      <c r="ET208" s="101"/>
      <c r="EU208" s="101"/>
      <c r="EV208" s="101"/>
      <c r="EW208" s="101"/>
      <c r="EX208" s="101"/>
      <c r="EY208" s="101"/>
      <c r="EZ208" s="1220"/>
      <c r="FA208" s="1220"/>
      <c r="FB208" s="1220"/>
      <c r="FC208" s="1220"/>
      <c r="FD208" s="1220"/>
      <c r="FE208" s="1220"/>
      <c r="FF208" s="1220"/>
      <c r="FG208" s="1220"/>
      <c r="FH208" s="1220"/>
      <c r="FI208" s="1220"/>
      <c r="FJ208" s="1220"/>
      <c r="FK208" s="1220"/>
      <c r="FL208" s="1220"/>
      <c r="FM208" s="1220"/>
      <c r="FN208" s="1220"/>
      <c r="FO208" s="1220"/>
      <c r="FP208" s="1220"/>
      <c r="FQ208" s="1220"/>
      <c r="FR208" s="1220"/>
      <c r="FS208" s="1220"/>
      <c r="FT208" s="1220"/>
      <c r="FU208" s="1220"/>
      <c r="FV208" s="1220"/>
      <c r="FW208" s="1220"/>
    </row>
    <row r="209" spans="1:179" x14ac:dyDescent="0.3">
      <c r="A209" s="1214"/>
      <c r="H209" s="1215"/>
      <c r="L209" s="1220"/>
      <c r="M209" s="1220"/>
      <c r="N209" s="1220"/>
      <c r="O209" s="1220"/>
      <c r="P209" s="1220"/>
      <c r="Q209" s="1220"/>
      <c r="R209" s="1220"/>
      <c r="S209" s="1220"/>
      <c r="T209" s="1220"/>
      <c r="U209" s="1220"/>
      <c r="V209" s="1220"/>
      <c r="W209" s="1220"/>
      <c r="X209" s="1220"/>
      <c r="Y209" s="1220"/>
      <c r="Z209" s="1220"/>
      <c r="AA209" s="1220"/>
      <c r="AB209" s="1220"/>
      <c r="AC209" s="1220"/>
      <c r="AD209" s="1220"/>
      <c r="AE209" s="1220"/>
      <c r="AF209" s="1220"/>
      <c r="AG209" s="1220"/>
      <c r="AH209" s="1220"/>
      <c r="AI209" s="1220"/>
      <c r="AJ209" s="1220"/>
      <c r="AK209" s="1220"/>
      <c r="AL209" s="1220"/>
      <c r="AM209" s="1220"/>
      <c r="AN209" s="1220"/>
      <c r="AO209" s="1220"/>
      <c r="AP209" s="1220"/>
      <c r="AQ209" s="1220"/>
      <c r="AR209" s="1220"/>
      <c r="AS209" s="1220"/>
      <c r="AT209" s="1220"/>
      <c r="AU209" s="1220"/>
      <c r="AV209" s="1220"/>
      <c r="AW209" s="1220"/>
      <c r="AX209" s="1220"/>
      <c r="AY209" s="1220"/>
      <c r="AZ209" s="1220"/>
      <c r="BA209" s="1220"/>
      <c r="BB209" s="1220"/>
      <c r="BC209" s="1220"/>
      <c r="BD209" s="1220"/>
      <c r="BE209" s="1220"/>
      <c r="BF209" s="1220"/>
      <c r="BG209" s="1220"/>
      <c r="BH209" s="1220"/>
      <c r="BI209" s="1220"/>
      <c r="BJ209" s="1220"/>
      <c r="BK209" s="1220"/>
      <c r="BL209" s="1220"/>
      <c r="BM209" s="1220"/>
      <c r="BN209" s="1220"/>
      <c r="BO209" s="1220"/>
      <c r="BP209" s="1220"/>
      <c r="BQ209" s="1220"/>
      <c r="BR209" s="1220"/>
      <c r="BS209" s="1220"/>
      <c r="BT209" s="1220"/>
      <c r="BU209" s="1220"/>
      <c r="BV209" s="1220"/>
      <c r="BW209" s="1220"/>
      <c r="BX209" s="1220"/>
      <c r="BY209" s="1220"/>
      <c r="BZ209" s="1220"/>
      <c r="CA209" s="1220"/>
      <c r="CB209" s="1220"/>
      <c r="CC209" s="1220"/>
      <c r="CD209" s="1220"/>
      <c r="CE209" s="1220"/>
      <c r="CF209" s="1220"/>
      <c r="CG209" s="1220"/>
      <c r="CH209" s="1220"/>
      <c r="CI209" s="1220"/>
      <c r="CJ209" s="1220"/>
      <c r="CK209" s="1220"/>
      <c r="CL209" s="1220"/>
      <c r="CM209" s="1220"/>
      <c r="CN209" s="1220"/>
      <c r="CO209" s="1220"/>
      <c r="CP209" s="1220"/>
      <c r="CQ209" s="1220"/>
      <c r="CR209" s="1220"/>
      <c r="CS209" s="1220"/>
      <c r="CT209" s="1220"/>
      <c r="CU209" s="1220"/>
      <c r="CV209" s="1220"/>
      <c r="CW209" s="1220"/>
      <c r="CX209" s="1220"/>
      <c r="CY209" s="1220"/>
      <c r="CZ209" s="1220"/>
      <c r="DA209" s="1220"/>
      <c r="DB209" s="1220"/>
      <c r="DC209" s="1220"/>
      <c r="DD209" s="1220"/>
      <c r="DE209" s="1220"/>
      <c r="DF209" s="101"/>
      <c r="DG209" s="101"/>
      <c r="DH209" s="101"/>
      <c r="DI209" s="101"/>
      <c r="DJ209" s="101"/>
      <c r="DK209" s="101"/>
      <c r="DL209" s="101"/>
      <c r="DM209" s="101"/>
      <c r="DN209" s="101"/>
      <c r="DO209" s="101"/>
      <c r="DP209" s="101"/>
      <c r="DQ209" s="101"/>
      <c r="DR209" s="101"/>
      <c r="DS209" s="101"/>
      <c r="DT209" s="101"/>
      <c r="DU209" s="101"/>
      <c r="DV209" s="101"/>
      <c r="DW209" s="101"/>
      <c r="DX209" s="101"/>
      <c r="DY209" s="101"/>
      <c r="DZ209" s="101"/>
      <c r="EA209" s="101"/>
      <c r="EB209" s="101"/>
      <c r="EC209" s="101"/>
      <c r="ED209" s="101"/>
      <c r="EE209" s="101"/>
      <c r="EF209" s="101"/>
      <c r="EG209" s="101"/>
      <c r="EH209" s="101"/>
      <c r="EI209" s="101"/>
      <c r="EJ209" s="101"/>
      <c r="EK209" s="101"/>
      <c r="EL209" s="101"/>
      <c r="EM209" s="101"/>
      <c r="EN209" s="101"/>
      <c r="EO209" s="101"/>
      <c r="EP209" s="101"/>
      <c r="EQ209" s="101"/>
      <c r="ER209" s="101"/>
      <c r="ES209" s="101"/>
      <c r="ET209" s="101"/>
      <c r="EU209" s="101"/>
      <c r="EV209" s="101"/>
      <c r="EW209" s="101"/>
      <c r="EX209" s="101"/>
      <c r="EY209" s="101"/>
      <c r="EZ209" s="1220"/>
      <c r="FA209" s="1220"/>
      <c r="FB209" s="1220"/>
      <c r="FC209" s="1220"/>
      <c r="FD209" s="1220"/>
      <c r="FE209" s="1220"/>
      <c r="FF209" s="1220"/>
      <c r="FG209" s="1220"/>
      <c r="FH209" s="1220"/>
      <c r="FI209" s="1220"/>
      <c r="FJ209" s="1220"/>
      <c r="FK209" s="1220"/>
      <c r="FL209" s="1220"/>
      <c r="FM209" s="1220"/>
      <c r="FN209" s="1220"/>
      <c r="FO209" s="1220"/>
      <c r="FP209" s="1220"/>
      <c r="FQ209" s="1220"/>
      <c r="FR209" s="1220"/>
      <c r="FS209" s="1220"/>
      <c r="FT209" s="1220"/>
      <c r="FU209" s="1220"/>
      <c r="FV209" s="1220"/>
      <c r="FW209" s="1220"/>
    </row>
    <row r="210" spans="1:179" x14ac:dyDescent="0.3">
      <c r="A210" s="1214" t="s">
        <v>2621</v>
      </c>
      <c r="H210" s="1215">
        <v>25842129.925000012</v>
      </c>
      <c r="L210" s="1220"/>
      <c r="M210" s="1220"/>
      <c r="N210" s="1220"/>
      <c r="O210" s="1220"/>
      <c r="P210" s="1220"/>
      <c r="Q210" s="1220"/>
      <c r="R210" s="1220"/>
      <c r="S210" s="1220"/>
      <c r="T210" s="1220"/>
      <c r="U210" s="1220"/>
      <c r="V210" s="1220"/>
      <c r="W210" s="1220"/>
      <c r="X210" s="1220"/>
      <c r="Y210" s="1220"/>
      <c r="Z210" s="1220"/>
      <c r="AA210" s="1220"/>
      <c r="AB210" s="1220"/>
      <c r="AC210" s="1220"/>
      <c r="AD210" s="1220"/>
      <c r="AE210" s="1220"/>
      <c r="AF210" s="1220"/>
      <c r="AG210" s="1220"/>
      <c r="AH210" s="1220"/>
      <c r="AI210" s="1220"/>
      <c r="AJ210" s="1220"/>
      <c r="AK210" s="1220"/>
      <c r="AL210" s="1220"/>
      <c r="AM210" s="1220"/>
      <c r="AN210" s="1220"/>
      <c r="AO210" s="1220"/>
      <c r="AP210" s="1220"/>
      <c r="AQ210" s="1220"/>
      <c r="AR210" s="1220"/>
      <c r="AS210" s="1220"/>
      <c r="AT210" s="1220"/>
      <c r="AU210" s="1220"/>
      <c r="AV210" s="1220"/>
      <c r="AW210" s="1220"/>
      <c r="AX210" s="1220"/>
      <c r="AY210" s="1220"/>
      <c r="AZ210" s="1220"/>
      <c r="BA210" s="1220"/>
      <c r="BB210" s="1220"/>
      <c r="BC210" s="1220"/>
      <c r="BD210" s="1220"/>
      <c r="BE210" s="1220"/>
      <c r="BF210" s="1220"/>
      <c r="BG210" s="1220"/>
      <c r="BH210" s="1220"/>
      <c r="BI210" s="1220"/>
      <c r="BJ210" s="1220"/>
      <c r="BK210" s="1220"/>
      <c r="BL210" s="1220"/>
      <c r="BM210" s="1220"/>
      <c r="BN210" s="1220"/>
      <c r="BO210" s="1220"/>
      <c r="BP210" s="1220"/>
      <c r="BQ210" s="1220"/>
      <c r="BR210" s="1220"/>
      <c r="BS210" s="1220"/>
      <c r="BT210" s="1220"/>
      <c r="BU210" s="1220"/>
      <c r="BV210" s="1220"/>
      <c r="BW210" s="1220"/>
      <c r="BX210" s="1220"/>
      <c r="BY210" s="1220"/>
      <c r="BZ210" s="1220"/>
      <c r="CA210" s="1220"/>
      <c r="CB210" s="1220"/>
      <c r="CC210" s="1220"/>
      <c r="CD210" s="1220"/>
      <c r="CE210" s="1220"/>
      <c r="CF210" s="1220"/>
      <c r="CG210" s="1220"/>
      <c r="CH210" s="1220"/>
      <c r="CI210" s="1220"/>
      <c r="CJ210" s="1220"/>
      <c r="CK210" s="1220"/>
      <c r="CL210" s="1220"/>
      <c r="CM210" s="1220"/>
      <c r="CN210" s="1220"/>
      <c r="CO210" s="1220"/>
      <c r="CP210" s="1220"/>
      <c r="CQ210" s="1220"/>
      <c r="CR210" s="1220"/>
      <c r="CS210" s="1220"/>
      <c r="CT210" s="1220">
        <f t="shared" si="142"/>
        <v>-307644.40386904776</v>
      </c>
      <c r="CU210" s="1220">
        <f t="shared" si="142"/>
        <v>-307644.40386904776</v>
      </c>
      <c r="CV210" s="1220">
        <f t="shared" si="142"/>
        <v>-307644.40386904776</v>
      </c>
      <c r="CW210" s="1220">
        <f t="shared" si="142"/>
        <v>-307644.40386904776</v>
      </c>
      <c r="CX210" s="1220">
        <f t="shared" si="142"/>
        <v>-307644.40386904776</v>
      </c>
      <c r="CY210" s="1220">
        <f t="shared" si="142"/>
        <v>-307644.40386904776</v>
      </c>
      <c r="CZ210" s="1220">
        <f t="shared" si="142"/>
        <v>-307644.40386904776</v>
      </c>
      <c r="DA210" s="1220">
        <f t="shared" si="142"/>
        <v>-307644.40386904776</v>
      </c>
      <c r="DB210" s="1220">
        <f t="shared" si="142"/>
        <v>-307644.40386904776</v>
      </c>
      <c r="DC210" s="1220">
        <f t="shared" si="142"/>
        <v>-307644.40386904776</v>
      </c>
      <c r="DD210" s="1220">
        <f t="shared" si="142"/>
        <v>-307644.40386904776</v>
      </c>
      <c r="DE210" s="1220">
        <f t="shared" si="142"/>
        <v>-307644.40386904776</v>
      </c>
      <c r="DF210" s="101"/>
      <c r="DG210" s="101"/>
      <c r="DH210" s="101"/>
      <c r="DI210" s="101"/>
      <c r="DJ210" s="101"/>
      <c r="DK210" s="101"/>
      <c r="DL210" s="101"/>
      <c r="DM210" s="101"/>
      <c r="DN210" s="101"/>
      <c r="DO210" s="101"/>
      <c r="DP210" s="101"/>
      <c r="DQ210" s="101"/>
      <c r="DR210" s="101"/>
      <c r="DS210" s="101"/>
      <c r="DT210" s="101"/>
      <c r="DU210" s="101"/>
      <c r="DV210" s="101"/>
      <c r="DW210" s="101"/>
      <c r="DX210" s="101"/>
      <c r="DY210" s="101"/>
      <c r="DZ210" s="101"/>
      <c r="EA210" s="101"/>
      <c r="EB210" s="101"/>
      <c r="EC210" s="101"/>
      <c r="ED210" s="101"/>
      <c r="EE210" s="101"/>
      <c r="EF210" s="101"/>
      <c r="EG210" s="101"/>
      <c r="EH210" s="101"/>
      <c r="EI210" s="101"/>
      <c r="EJ210" s="101"/>
      <c r="EK210" s="101"/>
      <c r="EL210" s="101"/>
      <c r="EM210" s="101"/>
      <c r="EN210" s="101"/>
      <c r="EO210" s="101"/>
      <c r="EP210" s="101"/>
      <c r="EQ210" s="101"/>
      <c r="ER210" s="101"/>
      <c r="ES210" s="101"/>
      <c r="ET210" s="101"/>
      <c r="EU210" s="101"/>
      <c r="EV210" s="101"/>
      <c r="EW210" s="101"/>
      <c r="EX210" s="101"/>
      <c r="EY210" s="101"/>
      <c r="EZ210" s="1220"/>
      <c r="FA210" s="1220"/>
      <c r="FB210" s="1220"/>
      <c r="FC210" s="1220"/>
      <c r="FD210" s="1220"/>
      <c r="FE210" s="1220"/>
      <c r="FF210" s="1220"/>
      <c r="FG210" s="1220"/>
      <c r="FH210" s="1220"/>
      <c r="FI210" s="1220"/>
      <c r="FJ210" s="1220"/>
      <c r="FK210" s="1220"/>
      <c r="FL210" s="1220"/>
      <c r="FM210" s="1220"/>
      <c r="FN210" s="1220"/>
      <c r="FO210" s="1220"/>
      <c r="FP210" s="1220"/>
      <c r="FQ210" s="1220"/>
      <c r="FR210" s="1220"/>
      <c r="FS210" s="1220"/>
      <c r="FT210" s="1220"/>
      <c r="FU210" s="1220"/>
      <c r="FV210" s="1220"/>
      <c r="FW210" s="1220"/>
    </row>
    <row r="211" spans="1:179" x14ac:dyDescent="0.3">
      <c r="A211" s="1214"/>
      <c r="H211" s="1215"/>
      <c r="L211" s="1220"/>
      <c r="M211" s="1220"/>
      <c r="N211" s="1220"/>
      <c r="O211" s="1220"/>
      <c r="P211" s="1220"/>
      <c r="Q211" s="1220"/>
      <c r="R211" s="1220"/>
      <c r="S211" s="1220"/>
      <c r="T211" s="1220"/>
      <c r="U211" s="1220"/>
      <c r="V211" s="1220"/>
      <c r="W211" s="1220"/>
      <c r="X211" s="1220"/>
      <c r="Y211" s="1220"/>
      <c r="Z211" s="1220"/>
      <c r="AA211" s="1220"/>
      <c r="AB211" s="1220"/>
      <c r="AC211" s="1220"/>
      <c r="AD211" s="1220"/>
      <c r="AE211" s="1220"/>
      <c r="AF211" s="1220"/>
      <c r="AG211" s="1220"/>
      <c r="AH211" s="1220"/>
      <c r="AI211" s="1220"/>
      <c r="AJ211" s="1220"/>
      <c r="AK211" s="1220"/>
      <c r="AL211" s="1220"/>
      <c r="AM211" s="1220"/>
      <c r="AN211" s="1220"/>
      <c r="AO211" s="1220"/>
      <c r="AP211" s="1220"/>
      <c r="AQ211" s="1220"/>
      <c r="AR211" s="1220"/>
      <c r="AS211" s="1220"/>
      <c r="AT211" s="1220"/>
      <c r="AU211" s="1220"/>
      <c r="AV211" s="1220"/>
      <c r="AW211" s="1220"/>
      <c r="AX211" s="1220"/>
      <c r="AY211" s="1220"/>
      <c r="AZ211" s="1220"/>
      <c r="BA211" s="1220"/>
      <c r="BB211" s="1220"/>
      <c r="BC211" s="1220"/>
      <c r="BD211" s="1220"/>
      <c r="BE211" s="1220"/>
      <c r="BF211" s="1220"/>
      <c r="BG211" s="1220"/>
      <c r="BH211" s="1220"/>
      <c r="BI211" s="1220"/>
      <c r="BJ211" s="1220"/>
      <c r="BK211" s="1220"/>
      <c r="BL211" s="1220"/>
      <c r="BM211" s="1220"/>
      <c r="BN211" s="1220"/>
      <c r="BO211" s="1220"/>
      <c r="BP211" s="1220"/>
      <c r="BQ211" s="1220"/>
      <c r="BR211" s="1220"/>
      <c r="BS211" s="1220"/>
      <c r="BT211" s="1220"/>
      <c r="BU211" s="1220"/>
      <c r="BV211" s="1220"/>
      <c r="BW211" s="1220"/>
      <c r="BX211" s="1220"/>
      <c r="BY211" s="1220"/>
      <c r="BZ211" s="1220"/>
      <c r="CA211" s="1220"/>
      <c r="CB211" s="1220"/>
      <c r="CC211" s="1220"/>
      <c r="CD211" s="1220"/>
      <c r="CE211" s="1220"/>
      <c r="CF211" s="1220"/>
      <c r="CG211" s="1220"/>
      <c r="CH211" s="1220"/>
      <c r="CI211" s="1220"/>
      <c r="CJ211" s="1220"/>
      <c r="CK211" s="1220"/>
      <c r="CL211" s="1220"/>
      <c r="CM211" s="1220"/>
      <c r="CN211" s="1220"/>
      <c r="CO211" s="1220"/>
      <c r="CP211" s="1220"/>
      <c r="CQ211" s="1220"/>
      <c r="CR211" s="1220"/>
      <c r="CS211" s="1220"/>
      <c r="CT211" s="1220"/>
      <c r="CU211" s="1220"/>
      <c r="CV211" s="1220"/>
      <c r="CW211" s="1220"/>
      <c r="CX211" s="1220"/>
      <c r="CY211" s="1220"/>
      <c r="CZ211" s="1220"/>
      <c r="DA211" s="1220"/>
      <c r="DB211" s="1220"/>
      <c r="DC211" s="1220"/>
      <c r="DD211" s="1220"/>
      <c r="DE211" s="1220"/>
      <c r="DF211" s="101"/>
      <c r="DG211" s="101"/>
      <c r="DH211" s="101"/>
      <c r="DI211" s="101"/>
      <c r="DJ211" s="101"/>
      <c r="DK211" s="101"/>
      <c r="DL211" s="101"/>
      <c r="DM211" s="101"/>
      <c r="DN211" s="101"/>
      <c r="DO211" s="101"/>
      <c r="DP211" s="101"/>
      <c r="DQ211" s="101"/>
      <c r="DR211" s="101"/>
      <c r="DS211" s="101"/>
      <c r="DT211" s="101"/>
      <c r="DU211" s="101"/>
      <c r="DV211" s="101"/>
      <c r="DW211" s="101"/>
      <c r="DX211" s="101"/>
      <c r="DY211" s="101"/>
      <c r="DZ211" s="101"/>
      <c r="EA211" s="101"/>
      <c r="EB211" s="101"/>
      <c r="EC211" s="101"/>
      <c r="ED211" s="101"/>
      <c r="EE211" s="101"/>
      <c r="EF211" s="101"/>
      <c r="EG211" s="101"/>
      <c r="EH211" s="101"/>
      <c r="EI211" s="101"/>
      <c r="EJ211" s="101"/>
      <c r="EK211" s="101"/>
      <c r="EL211" s="101"/>
      <c r="EM211" s="101"/>
      <c r="EN211" s="101"/>
      <c r="EO211" s="101"/>
      <c r="EP211" s="101"/>
      <c r="EQ211" s="101"/>
      <c r="ER211" s="101"/>
      <c r="ES211" s="101"/>
      <c r="ET211" s="101"/>
      <c r="EU211" s="101"/>
      <c r="EV211" s="101"/>
      <c r="EW211" s="101"/>
      <c r="EX211" s="101"/>
      <c r="EY211" s="101"/>
      <c r="EZ211" s="1220"/>
      <c r="FA211" s="1220"/>
      <c r="FB211" s="1220"/>
      <c r="FC211" s="1220"/>
      <c r="FD211" s="1220"/>
      <c r="FE211" s="1220"/>
      <c r="FF211" s="1220"/>
      <c r="FG211" s="1220"/>
      <c r="FH211" s="1220"/>
      <c r="FI211" s="1220"/>
      <c r="FJ211" s="1220"/>
      <c r="FK211" s="1220"/>
      <c r="FL211" s="1220"/>
      <c r="FM211" s="1220"/>
      <c r="FN211" s="1220"/>
      <c r="FO211" s="1220"/>
      <c r="FP211" s="1220"/>
      <c r="FQ211" s="1220"/>
      <c r="FR211" s="1220"/>
      <c r="FS211" s="1220"/>
      <c r="FT211" s="1220"/>
      <c r="FU211" s="1220"/>
      <c r="FV211" s="1220"/>
      <c r="FW211" s="1220"/>
    </row>
    <row r="212" spans="1:179" x14ac:dyDescent="0.3">
      <c r="A212" s="1214" t="s">
        <v>2622</v>
      </c>
      <c r="H212" s="1215">
        <v>25842129.925000012</v>
      </c>
      <c r="L212" s="1220"/>
      <c r="M212" s="1220"/>
      <c r="N212" s="1220"/>
      <c r="O212" s="1220"/>
      <c r="P212" s="1220"/>
      <c r="Q212" s="1220"/>
      <c r="R212" s="1220"/>
      <c r="S212" s="1220"/>
      <c r="T212" s="1220"/>
      <c r="U212" s="1220"/>
      <c r="V212" s="1220"/>
      <c r="W212" s="1220"/>
      <c r="X212" s="1220"/>
      <c r="Y212" s="1220"/>
      <c r="Z212" s="1220"/>
      <c r="AA212" s="1220"/>
      <c r="AB212" s="1220"/>
      <c r="AC212" s="1220"/>
      <c r="AD212" s="1220"/>
      <c r="AE212" s="1220"/>
      <c r="AF212" s="1220"/>
      <c r="AG212" s="1220"/>
      <c r="AH212" s="1220"/>
      <c r="AI212" s="1220"/>
      <c r="AJ212" s="1220"/>
      <c r="AK212" s="1220"/>
      <c r="AL212" s="1220"/>
      <c r="AM212" s="1220"/>
      <c r="AN212" s="1220"/>
      <c r="AO212" s="1220"/>
      <c r="AP212" s="1220"/>
      <c r="AQ212" s="1220"/>
      <c r="AR212" s="1220"/>
      <c r="AS212" s="1220"/>
      <c r="AT212" s="1220"/>
      <c r="AU212" s="1220"/>
      <c r="AV212" s="1220"/>
      <c r="AW212" s="1220"/>
      <c r="AX212" s="1220"/>
      <c r="AY212" s="1220"/>
      <c r="AZ212" s="1220"/>
      <c r="BA212" s="1220"/>
      <c r="BB212" s="1220"/>
      <c r="BC212" s="1220"/>
      <c r="BD212" s="1220"/>
      <c r="BE212" s="1220"/>
      <c r="BF212" s="1220"/>
      <c r="BG212" s="1220"/>
      <c r="BH212" s="1220"/>
      <c r="BI212" s="1220"/>
      <c r="BJ212" s="1220"/>
      <c r="BK212" s="1220"/>
      <c r="BL212" s="1220"/>
      <c r="BM212" s="1220"/>
      <c r="BN212" s="1220"/>
      <c r="BO212" s="1220"/>
      <c r="BP212" s="1220"/>
      <c r="BQ212" s="1220"/>
      <c r="BR212" s="1220"/>
      <c r="BS212" s="1220"/>
      <c r="BT212" s="1220"/>
      <c r="BU212" s="1220"/>
      <c r="BV212" s="1220"/>
      <c r="BW212" s="1220"/>
      <c r="BX212" s="1220"/>
      <c r="BY212" s="1220"/>
      <c r="BZ212" s="1220"/>
      <c r="CA212" s="1220"/>
      <c r="CB212" s="1220"/>
      <c r="CC212" s="1220"/>
      <c r="CD212" s="1220"/>
      <c r="CE212" s="1220"/>
      <c r="CF212" s="1220"/>
      <c r="CG212" s="1220"/>
      <c r="CH212" s="1220"/>
      <c r="CI212" s="1220"/>
      <c r="CJ212" s="1220"/>
      <c r="CK212" s="1220"/>
      <c r="CL212" s="1220"/>
      <c r="CM212" s="1220"/>
      <c r="CN212" s="1220"/>
      <c r="CO212" s="1220"/>
      <c r="CP212" s="1220"/>
      <c r="CQ212" s="1220"/>
      <c r="CR212" s="1220"/>
      <c r="CS212" s="1220"/>
      <c r="CT212" s="1220"/>
      <c r="CU212" s="1220">
        <f t="shared" si="142"/>
        <v>-307644.40386904776</v>
      </c>
      <c r="CV212" s="1220">
        <f t="shared" si="142"/>
        <v>-307644.40386904776</v>
      </c>
      <c r="CW212" s="1220">
        <f t="shared" si="142"/>
        <v>-307644.40386904776</v>
      </c>
      <c r="CX212" s="1220">
        <f t="shared" si="142"/>
        <v>-307644.40386904776</v>
      </c>
      <c r="CY212" s="1220">
        <f t="shared" si="142"/>
        <v>-307644.40386904776</v>
      </c>
      <c r="CZ212" s="1220">
        <f t="shared" si="142"/>
        <v>-307644.40386904776</v>
      </c>
      <c r="DA212" s="1220">
        <f t="shared" si="142"/>
        <v>-307644.40386904776</v>
      </c>
      <c r="DB212" s="1220">
        <f t="shared" si="142"/>
        <v>-307644.40386904776</v>
      </c>
      <c r="DC212" s="1220">
        <f t="shared" si="142"/>
        <v>-307644.40386904776</v>
      </c>
      <c r="DD212" s="1220">
        <f t="shared" si="142"/>
        <v>-307644.40386904776</v>
      </c>
      <c r="DE212" s="1220">
        <f t="shared" si="142"/>
        <v>-307644.40386904776</v>
      </c>
      <c r="DF212" s="101"/>
      <c r="DG212" s="101"/>
      <c r="DH212" s="101"/>
      <c r="DI212" s="101"/>
      <c r="DJ212" s="101"/>
      <c r="DK212" s="101"/>
      <c r="DL212" s="101"/>
      <c r="DM212" s="101"/>
      <c r="DN212" s="101"/>
      <c r="DO212" s="101"/>
      <c r="DP212" s="101"/>
      <c r="DQ212" s="101"/>
      <c r="DR212" s="101"/>
      <c r="DS212" s="101"/>
      <c r="DT212" s="101"/>
      <c r="DU212" s="101"/>
      <c r="DV212" s="101"/>
      <c r="DW212" s="101"/>
      <c r="DX212" s="101"/>
      <c r="DY212" s="101"/>
      <c r="DZ212" s="101"/>
      <c r="EA212" s="101"/>
      <c r="EB212" s="101"/>
      <c r="EC212" s="101"/>
      <c r="ED212" s="101"/>
      <c r="EE212" s="101"/>
      <c r="EF212" s="101"/>
      <c r="EG212" s="101"/>
      <c r="EH212" s="101"/>
      <c r="EI212" s="101"/>
      <c r="EJ212" s="101"/>
      <c r="EK212" s="101"/>
      <c r="EL212" s="101"/>
      <c r="EM212" s="101"/>
      <c r="EN212" s="101"/>
      <c r="EO212" s="101"/>
      <c r="EP212" s="101"/>
      <c r="EQ212" s="101"/>
      <c r="ER212" s="101"/>
      <c r="ES212" s="101"/>
      <c r="ET212" s="101"/>
      <c r="EU212" s="101"/>
      <c r="EV212" s="101"/>
      <c r="EW212" s="101"/>
      <c r="EX212" s="101"/>
      <c r="EY212" s="101"/>
      <c r="EZ212" s="1220"/>
      <c r="FA212" s="1220"/>
      <c r="FB212" s="1220"/>
      <c r="FC212" s="1220"/>
      <c r="FD212" s="1220"/>
      <c r="FE212" s="1220"/>
      <c r="FF212" s="1220"/>
      <c r="FG212" s="1220"/>
      <c r="FH212" s="1220"/>
      <c r="FI212" s="1220"/>
      <c r="FJ212" s="1220"/>
      <c r="FK212" s="1220"/>
      <c r="FL212" s="1220"/>
      <c r="FM212" s="1220"/>
      <c r="FN212" s="1220"/>
      <c r="FO212" s="1220"/>
      <c r="FP212" s="1220"/>
      <c r="FQ212" s="1220"/>
      <c r="FR212" s="1220"/>
      <c r="FS212" s="1220"/>
      <c r="FT212" s="1220"/>
      <c r="FU212" s="1220"/>
      <c r="FV212" s="1220"/>
      <c r="FW212" s="1220"/>
    </row>
    <row r="213" spans="1:179" x14ac:dyDescent="0.3">
      <c r="A213" s="1214"/>
      <c r="H213" s="1215"/>
      <c r="L213" s="1220"/>
      <c r="M213" s="1220"/>
      <c r="N213" s="1220"/>
      <c r="O213" s="1220"/>
      <c r="P213" s="1220"/>
      <c r="Q213" s="1220"/>
      <c r="R213" s="1220"/>
      <c r="S213" s="1220"/>
      <c r="T213" s="1220"/>
      <c r="U213" s="1220"/>
      <c r="V213" s="1220"/>
      <c r="W213" s="1220"/>
      <c r="X213" s="1220"/>
      <c r="Y213" s="1220"/>
      <c r="Z213" s="1220"/>
      <c r="AA213" s="1220"/>
      <c r="AB213" s="1220"/>
      <c r="AC213" s="1220"/>
      <c r="AD213" s="1220"/>
      <c r="AE213" s="1220"/>
      <c r="AF213" s="1220"/>
      <c r="AG213" s="1220"/>
      <c r="AH213" s="1220"/>
      <c r="AI213" s="1220"/>
      <c r="AJ213" s="1220"/>
      <c r="AK213" s="1220"/>
      <c r="AL213" s="1220"/>
      <c r="AM213" s="1220"/>
      <c r="AN213" s="1220"/>
      <c r="AO213" s="1220"/>
      <c r="AP213" s="1220"/>
      <c r="AQ213" s="1220"/>
      <c r="AR213" s="1220"/>
      <c r="AS213" s="1220"/>
      <c r="AT213" s="1220"/>
      <c r="AU213" s="1220"/>
      <c r="AV213" s="1220"/>
      <c r="AW213" s="1220"/>
      <c r="AX213" s="1220"/>
      <c r="AY213" s="1220"/>
      <c r="AZ213" s="1220"/>
      <c r="BA213" s="1220"/>
      <c r="BB213" s="1220"/>
      <c r="BC213" s="1220"/>
      <c r="BD213" s="1220"/>
      <c r="BE213" s="1220"/>
      <c r="BF213" s="1220"/>
      <c r="BG213" s="1220"/>
      <c r="BH213" s="1220"/>
      <c r="BI213" s="1220"/>
      <c r="BJ213" s="1220"/>
      <c r="BK213" s="1220"/>
      <c r="BL213" s="1220"/>
      <c r="BM213" s="1220"/>
      <c r="BN213" s="1220"/>
      <c r="BO213" s="1220"/>
      <c r="BP213" s="1220"/>
      <c r="BQ213" s="1220"/>
      <c r="BR213" s="1220"/>
      <c r="BS213" s="1220"/>
      <c r="BT213" s="1220"/>
      <c r="BU213" s="1220"/>
      <c r="BV213" s="1220"/>
      <c r="BW213" s="1220"/>
      <c r="BX213" s="1220"/>
      <c r="BY213" s="1220"/>
      <c r="BZ213" s="1220"/>
      <c r="CA213" s="1220"/>
      <c r="CB213" s="1220"/>
      <c r="CC213" s="1220"/>
      <c r="CD213" s="1220"/>
      <c r="CE213" s="1220"/>
      <c r="CF213" s="1220"/>
      <c r="CG213" s="1220"/>
      <c r="CH213" s="1220"/>
      <c r="CI213" s="1220"/>
      <c r="CJ213" s="1220"/>
      <c r="CK213" s="1220"/>
      <c r="CL213" s="1220"/>
      <c r="CM213" s="1220"/>
      <c r="CN213" s="1220"/>
      <c r="CO213" s="1220">
        <f t="shared" si="142"/>
        <v>0</v>
      </c>
      <c r="CP213" s="1220"/>
      <c r="CQ213" s="1220"/>
      <c r="CR213" s="1220"/>
      <c r="CS213" s="1220"/>
      <c r="CT213" s="1220"/>
      <c r="CU213" s="1220"/>
      <c r="CV213" s="1220"/>
      <c r="CW213" s="1220"/>
      <c r="CX213" s="1220"/>
      <c r="CY213" s="1220"/>
      <c r="CZ213" s="1220"/>
      <c r="DA213" s="1220"/>
      <c r="DB213" s="1220"/>
      <c r="DC213" s="1220"/>
      <c r="DD213" s="1220"/>
      <c r="DE213" s="1220"/>
      <c r="DF213" s="101"/>
      <c r="DG213" s="101"/>
      <c r="DH213" s="101"/>
      <c r="DI213" s="101"/>
      <c r="DJ213" s="101"/>
      <c r="DK213" s="101"/>
      <c r="DL213" s="101"/>
      <c r="DM213" s="101"/>
      <c r="DN213" s="101"/>
      <c r="DO213" s="101"/>
      <c r="DP213" s="101"/>
      <c r="DQ213" s="101"/>
      <c r="DR213" s="101"/>
      <c r="DS213" s="101"/>
      <c r="DT213" s="101"/>
      <c r="DU213" s="101"/>
      <c r="DV213" s="101"/>
      <c r="DW213" s="101"/>
      <c r="DX213" s="101"/>
      <c r="DY213" s="101"/>
      <c r="DZ213" s="101"/>
      <c r="EA213" s="101"/>
      <c r="EB213" s="101"/>
      <c r="EC213" s="101"/>
      <c r="ED213" s="101"/>
      <c r="EE213" s="101"/>
      <c r="EF213" s="101"/>
      <c r="EG213" s="101"/>
      <c r="EH213" s="101"/>
      <c r="EI213" s="101"/>
      <c r="EJ213" s="101"/>
      <c r="EK213" s="101"/>
      <c r="EL213" s="101"/>
      <c r="EM213" s="101"/>
      <c r="EN213" s="101"/>
      <c r="EO213" s="101"/>
      <c r="EP213" s="101"/>
      <c r="EQ213" s="101"/>
      <c r="ER213" s="101"/>
      <c r="ES213" s="101"/>
      <c r="ET213" s="101"/>
      <c r="EU213" s="101"/>
      <c r="EV213" s="101"/>
      <c r="EW213" s="101"/>
      <c r="EX213" s="101"/>
      <c r="EY213" s="101"/>
      <c r="EZ213" s="1220"/>
      <c r="FA213" s="1220"/>
      <c r="FB213" s="1220"/>
      <c r="FC213" s="1220"/>
      <c r="FD213" s="1220"/>
      <c r="FE213" s="1220"/>
      <c r="FF213" s="1220"/>
      <c r="FG213" s="1220"/>
      <c r="FH213" s="1220"/>
      <c r="FI213" s="1220"/>
      <c r="FJ213" s="1220"/>
      <c r="FK213" s="1220"/>
      <c r="FL213" s="1220"/>
      <c r="FM213" s="1220"/>
      <c r="FN213" s="1220"/>
      <c r="FO213" s="1220"/>
      <c r="FP213" s="1220"/>
    </row>
    <row r="214" spans="1:179" x14ac:dyDescent="0.3">
      <c r="A214" s="1214" t="s">
        <v>2623</v>
      </c>
      <c r="H214" s="1215">
        <v>25842129.925000012</v>
      </c>
      <c r="L214" s="1220"/>
      <c r="M214" s="1220"/>
      <c r="N214" s="1220"/>
      <c r="O214" s="1220"/>
      <c r="P214" s="1220"/>
      <c r="Q214" s="1220"/>
      <c r="R214" s="1220"/>
      <c r="S214" s="1220"/>
      <c r="T214" s="1220"/>
      <c r="U214" s="1220"/>
      <c r="V214" s="1220"/>
      <c r="W214" s="1220"/>
      <c r="X214" s="1220"/>
      <c r="Y214" s="1220"/>
      <c r="Z214" s="1220"/>
      <c r="AA214" s="1220"/>
      <c r="AB214" s="1220"/>
      <c r="AC214" s="1220"/>
      <c r="AD214" s="1220"/>
      <c r="AE214" s="1220"/>
      <c r="AF214" s="1220"/>
      <c r="AG214" s="1220"/>
      <c r="AH214" s="1220"/>
      <c r="AI214" s="1220"/>
      <c r="AJ214" s="1220"/>
      <c r="AK214" s="1220"/>
      <c r="AL214" s="1220"/>
      <c r="AM214" s="1220"/>
      <c r="AN214" s="1220"/>
      <c r="AO214" s="1220"/>
      <c r="AP214" s="1220"/>
      <c r="AQ214" s="1220"/>
      <c r="AR214" s="1220"/>
      <c r="AS214" s="1220"/>
      <c r="AT214" s="1220"/>
      <c r="AU214" s="1220"/>
      <c r="AV214" s="1220"/>
      <c r="AW214" s="1220"/>
      <c r="AX214" s="1220"/>
      <c r="AY214" s="1220"/>
      <c r="AZ214" s="1220"/>
      <c r="BA214" s="1220"/>
      <c r="BB214" s="1220"/>
      <c r="BC214" s="1220"/>
      <c r="BD214" s="1220"/>
      <c r="BE214" s="1220"/>
      <c r="BF214" s="1220"/>
      <c r="BG214" s="1220"/>
      <c r="BH214" s="1220"/>
      <c r="BI214" s="1220"/>
      <c r="BJ214" s="1220"/>
      <c r="BK214" s="1220"/>
      <c r="BL214" s="1220"/>
      <c r="BM214" s="1220"/>
      <c r="BN214" s="1220"/>
      <c r="BO214" s="1220"/>
      <c r="BP214" s="1220"/>
      <c r="BQ214" s="1220"/>
      <c r="BR214" s="1220"/>
      <c r="BS214" s="1220"/>
      <c r="BT214" s="1220"/>
      <c r="BU214" s="1220"/>
      <c r="BV214" s="1220"/>
      <c r="BW214" s="1220"/>
      <c r="BX214" s="1220"/>
      <c r="BY214" s="1220"/>
      <c r="BZ214" s="1220"/>
      <c r="CA214" s="1220"/>
      <c r="CB214" s="1220"/>
      <c r="CC214" s="1220"/>
      <c r="CD214" s="1220"/>
      <c r="CE214" s="1220"/>
      <c r="CF214" s="1220"/>
      <c r="CG214" s="1220"/>
      <c r="CH214" s="1220"/>
      <c r="CI214" s="1220"/>
      <c r="CJ214" s="1220"/>
      <c r="CK214" s="1220"/>
      <c r="CL214" s="1220"/>
      <c r="CM214" s="1220"/>
      <c r="CN214" s="1220"/>
      <c r="CO214" s="1220"/>
      <c r="CP214" s="1220"/>
      <c r="CQ214" s="1220"/>
      <c r="CR214" s="1220"/>
      <c r="CS214" s="1220"/>
      <c r="CT214" s="1220"/>
      <c r="CU214" s="1220"/>
      <c r="CV214" s="1220">
        <f t="shared" ref="CV214:DE214" si="147">-$H214/84</f>
        <v>-307644.40386904776</v>
      </c>
      <c r="CW214" s="1220">
        <f t="shared" si="147"/>
        <v>-307644.40386904776</v>
      </c>
      <c r="CX214" s="1220">
        <f t="shared" si="147"/>
        <v>-307644.40386904776</v>
      </c>
      <c r="CY214" s="1220">
        <f t="shared" si="147"/>
        <v>-307644.40386904776</v>
      </c>
      <c r="CZ214" s="1220">
        <f t="shared" si="147"/>
        <v>-307644.40386904776</v>
      </c>
      <c r="DA214" s="1220">
        <f t="shared" si="147"/>
        <v>-307644.40386904776</v>
      </c>
      <c r="DB214" s="1220">
        <f t="shared" si="147"/>
        <v>-307644.40386904776</v>
      </c>
      <c r="DC214" s="1220">
        <f t="shared" si="147"/>
        <v>-307644.40386904776</v>
      </c>
      <c r="DD214" s="1220">
        <f t="shared" si="147"/>
        <v>-307644.40386904776</v>
      </c>
      <c r="DE214" s="1220">
        <f t="shared" si="147"/>
        <v>-307644.40386904776</v>
      </c>
      <c r="DF214" s="101"/>
      <c r="DG214" s="101"/>
      <c r="DH214" s="101"/>
      <c r="DI214" s="101"/>
      <c r="DJ214" s="101"/>
      <c r="DK214" s="101"/>
      <c r="DL214" s="101"/>
      <c r="DM214" s="101"/>
      <c r="DN214" s="101"/>
      <c r="DO214" s="101"/>
      <c r="DP214" s="101"/>
      <c r="DQ214" s="101"/>
      <c r="DR214" s="101"/>
      <c r="DS214" s="101"/>
      <c r="DT214" s="101"/>
      <c r="DU214" s="101"/>
      <c r="DV214" s="101"/>
      <c r="DW214" s="101"/>
      <c r="DX214" s="101"/>
      <c r="DY214" s="101"/>
      <c r="DZ214" s="101"/>
      <c r="EA214" s="101"/>
      <c r="EB214" s="101"/>
      <c r="EC214" s="101"/>
      <c r="ED214" s="101"/>
      <c r="EE214" s="101"/>
      <c r="EF214" s="101"/>
      <c r="EG214" s="101"/>
      <c r="EH214" s="101"/>
      <c r="EI214" s="101"/>
      <c r="EJ214" s="101"/>
      <c r="EK214" s="101"/>
      <c r="EL214" s="101"/>
      <c r="EM214" s="101"/>
      <c r="EN214" s="101"/>
      <c r="EO214" s="101"/>
      <c r="EP214" s="101"/>
      <c r="EQ214" s="101"/>
      <c r="ER214" s="101"/>
      <c r="ES214" s="101"/>
      <c r="ET214" s="101"/>
      <c r="EU214" s="101"/>
      <c r="EV214" s="101"/>
      <c r="EW214" s="101"/>
      <c r="EX214" s="101"/>
      <c r="EY214" s="101"/>
      <c r="EZ214" s="1220"/>
      <c r="FA214" s="1220"/>
      <c r="FB214" s="1220"/>
      <c r="FC214" s="1220"/>
      <c r="FD214" s="1220"/>
      <c r="FE214" s="1220"/>
      <c r="FF214" s="1220"/>
      <c r="FG214" s="1220"/>
      <c r="FH214" s="1220"/>
      <c r="FI214" s="1220"/>
      <c r="FJ214" s="1220"/>
      <c r="FK214" s="1220"/>
      <c r="FL214" s="1220"/>
      <c r="FM214" s="1220"/>
      <c r="FN214" s="1220"/>
      <c r="FO214" s="1220"/>
      <c r="FP214" s="1220"/>
      <c r="FQ214" s="1220"/>
      <c r="FR214" s="1220"/>
      <c r="FS214" s="1220"/>
      <c r="FT214" s="1220"/>
      <c r="FU214" s="1220"/>
      <c r="FV214" s="1220"/>
      <c r="FW214" s="1220"/>
    </row>
    <row r="215" spans="1:179" x14ac:dyDescent="0.3">
      <c r="A215" s="1214"/>
      <c r="H215" s="1215"/>
      <c r="L215" s="1220"/>
      <c r="M215" s="1220"/>
      <c r="N215" s="1220"/>
      <c r="O215" s="1220"/>
      <c r="P215" s="1220"/>
      <c r="Q215" s="1220"/>
      <c r="R215" s="1220"/>
      <c r="S215" s="1220"/>
      <c r="T215" s="1220"/>
      <c r="U215" s="1220"/>
      <c r="V215" s="1220"/>
      <c r="W215" s="1220"/>
      <c r="X215" s="1220"/>
      <c r="Y215" s="1220"/>
      <c r="Z215" s="1220"/>
      <c r="AA215" s="1220"/>
      <c r="AB215" s="1220"/>
      <c r="AC215" s="1220"/>
      <c r="AD215" s="1220"/>
      <c r="AE215" s="1220"/>
      <c r="AF215" s="1220"/>
      <c r="AG215" s="1220"/>
      <c r="AH215" s="1220"/>
      <c r="AI215" s="1220"/>
      <c r="AJ215" s="1220"/>
      <c r="AK215" s="1220"/>
      <c r="AL215" s="1220"/>
      <c r="AM215" s="1220"/>
      <c r="AN215" s="1220"/>
      <c r="AO215" s="1220"/>
      <c r="AP215" s="1220"/>
      <c r="AQ215" s="1220"/>
      <c r="AR215" s="1220"/>
      <c r="AS215" s="1220"/>
      <c r="AT215" s="1220"/>
      <c r="AU215" s="1220"/>
      <c r="AV215" s="1220"/>
      <c r="AW215" s="1220"/>
      <c r="AX215" s="1220"/>
      <c r="AY215" s="1220"/>
      <c r="AZ215" s="1220"/>
      <c r="BA215" s="1220"/>
      <c r="BB215" s="1220"/>
      <c r="BC215" s="1220"/>
      <c r="BD215" s="1220"/>
      <c r="BE215" s="1220"/>
      <c r="BF215" s="1220"/>
      <c r="BG215" s="1220"/>
      <c r="BH215" s="1220"/>
      <c r="BI215" s="1220"/>
      <c r="BJ215" s="1220"/>
      <c r="BK215" s="1220"/>
      <c r="BL215" s="1220"/>
      <c r="BM215" s="1220"/>
      <c r="BN215" s="1220"/>
      <c r="BO215" s="1220"/>
      <c r="BP215" s="1220"/>
      <c r="BQ215" s="1220"/>
      <c r="BR215" s="1220"/>
      <c r="BS215" s="1220"/>
      <c r="BT215" s="1220"/>
      <c r="BU215" s="1220"/>
      <c r="BV215" s="1220"/>
      <c r="BW215" s="1220"/>
      <c r="BX215" s="1220"/>
      <c r="BY215" s="1220"/>
      <c r="BZ215" s="1220"/>
      <c r="CA215" s="1220"/>
      <c r="CB215" s="1220"/>
      <c r="CC215" s="1220"/>
      <c r="CD215" s="1220"/>
      <c r="CE215" s="1220"/>
      <c r="CF215" s="1220"/>
      <c r="CG215" s="1220"/>
      <c r="CH215" s="1220"/>
      <c r="CI215" s="1220"/>
      <c r="CJ215" s="1220"/>
      <c r="CK215" s="1220"/>
      <c r="CL215" s="1220"/>
      <c r="CM215" s="1220"/>
      <c r="CN215" s="1220"/>
      <c r="CO215" s="1220">
        <f t="shared" si="142"/>
        <v>0</v>
      </c>
      <c r="CP215" s="1220"/>
      <c r="CQ215" s="1220"/>
      <c r="CR215" s="1220"/>
      <c r="CS215" s="1220"/>
      <c r="CT215" s="1220"/>
      <c r="CU215" s="1220"/>
      <c r="CV215" s="1220"/>
      <c r="CW215" s="1220"/>
      <c r="CX215" s="1220"/>
      <c r="CY215" s="1220"/>
      <c r="CZ215" s="1220"/>
      <c r="DA215" s="1220"/>
      <c r="DB215" s="1220"/>
      <c r="DC215" s="1220"/>
      <c r="DD215" s="1220"/>
      <c r="DE215" s="1220"/>
      <c r="DF215" s="101"/>
      <c r="DG215" s="101"/>
      <c r="DH215" s="101"/>
      <c r="DI215" s="101"/>
      <c r="DJ215" s="101"/>
      <c r="DK215" s="101"/>
      <c r="DL215" s="101"/>
      <c r="DM215" s="101"/>
      <c r="DN215" s="101"/>
      <c r="DO215" s="101"/>
      <c r="DP215" s="101"/>
      <c r="DQ215" s="101"/>
      <c r="DR215" s="101"/>
      <c r="DS215" s="101"/>
      <c r="DT215" s="101"/>
      <c r="DU215" s="101"/>
      <c r="DV215" s="101"/>
      <c r="DW215" s="101"/>
      <c r="DX215" s="101"/>
      <c r="DY215" s="101"/>
      <c r="DZ215" s="101"/>
      <c r="EA215" s="101"/>
      <c r="EB215" s="101"/>
      <c r="EC215" s="101"/>
      <c r="ED215" s="101"/>
      <c r="EE215" s="101"/>
      <c r="EF215" s="101"/>
      <c r="EG215" s="101"/>
      <c r="EH215" s="101"/>
      <c r="EI215" s="101"/>
      <c r="EJ215" s="101"/>
      <c r="EK215" s="101"/>
      <c r="EL215" s="101"/>
      <c r="EM215" s="101"/>
      <c r="EN215" s="101"/>
      <c r="EO215" s="101"/>
      <c r="EP215" s="101"/>
      <c r="EQ215" s="101"/>
      <c r="ER215" s="101"/>
      <c r="ES215" s="101"/>
      <c r="ET215" s="101"/>
      <c r="EU215" s="101"/>
      <c r="EV215" s="101"/>
      <c r="EW215" s="101"/>
      <c r="EX215" s="101"/>
      <c r="EY215" s="101"/>
      <c r="EZ215" s="1220"/>
      <c r="FA215" s="1220"/>
      <c r="FB215" s="1220"/>
      <c r="FC215" s="1220"/>
      <c r="FD215" s="1220"/>
      <c r="FE215" s="1220"/>
      <c r="FF215" s="1220"/>
      <c r="FG215" s="1220"/>
      <c r="FH215" s="1220"/>
      <c r="FI215" s="1220"/>
      <c r="FJ215" s="1220"/>
      <c r="FK215" s="1220"/>
      <c r="FL215" s="1220"/>
      <c r="FM215" s="1220"/>
      <c r="FN215" s="1220"/>
      <c r="FO215" s="1220"/>
      <c r="FP215" s="1220"/>
    </row>
    <row r="216" spans="1:179" x14ac:dyDescent="0.3">
      <c r="A216" s="1214" t="s">
        <v>2624</v>
      </c>
      <c r="H216" s="1215">
        <v>25842129.925000012</v>
      </c>
      <c r="L216" s="1220"/>
      <c r="M216" s="1220"/>
      <c r="N216" s="1220"/>
      <c r="O216" s="1220"/>
      <c r="P216" s="1220"/>
      <c r="Q216" s="1220"/>
      <c r="R216" s="1220"/>
      <c r="S216" s="1220"/>
      <c r="T216" s="1220"/>
      <c r="U216" s="1220"/>
      <c r="V216" s="1220"/>
      <c r="W216" s="1220"/>
      <c r="X216" s="1220"/>
      <c r="Y216" s="1220"/>
      <c r="Z216" s="1220"/>
      <c r="AA216" s="1220"/>
      <c r="AB216" s="1220"/>
      <c r="AC216" s="1220"/>
      <c r="AD216" s="1220"/>
      <c r="AE216" s="1220"/>
      <c r="AF216" s="1220"/>
      <c r="AG216" s="1220"/>
      <c r="AH216" s="1220"/>
      <c r="AI216" s="1220"/>
      <c r="AJ216" s="1220"/>
      <c r="AK216" s="1220"/>
      <c r="AL216" s="1220"/>
      <c r="AM216" s="1220"/>
      <c r="AN216" s="1220"/>
      <c r="AO216" s="1220"/>
      <c r="AP216" s="1220"/>
      <c r="AQ216" s="1220"/>
      <c r="AR216" s="1220"/>
      <c r="AS216" s="1220"/>
      <c r="AT216" s="1220"/>
      <c r="AU216" s="1220"/>
      <c r="AV216" s="1220"/>
      <c r="AW216" s="1220"/>
      <c r="AX216" s="1220"/>
      <c r="AY216" s="1220"/>
      <c r="AZ216" s="1220"/>
      <c r="BA216" s="1220"/>
      <c r="BB216" s="1220"/>
      <c r="BC216" s="1220"/>
      <c r="BD216" s="1220"/>
      <c r="BE216" s="1220"/>
      <c r="BF216" s="1220"/>
      <c r="BG216" s="1220"/>
      <c r="BH216" s="1220"/>
      <c r="BI216" s="1220"/>
      <c r="BJ216" s="1220"/>
      <c r="BK216" s="1220"/>
      <c r="BL216" s="1220"/>
      <c r="BM216" s="1220"/>
      <c r="BN216" s="1220"/>
      <c r="BO216" s="1220"/>
      <c r="BP216" s="1220"/>
      <c r="BQ216" s="1220"/>
      <c r="BR216" s="1220"/>
      <c r="BS216" s="1220"/>
      <c r="BT216" s="1220"/>
      <c r="BU216" s="1220"/>
      <c r="BV216" s="1220"/>
      <c r="BW216" s="1220"/>
      <c r="BX216" s="1220"/>
      <c r="BY216" s="1220"/>
      <c r="BZ216" s="1220"/>
      <c r="CA216" s="1220"/>
      <c r="CB216" s="1220"/>
      <c r="CC216" s="1220"/>
      <c r="CD216" s="1220"/>
      <c r="CE216" s="1220"/>
      <c r="CF216" s="1220"/>
      <c r="CG216" s="1220"/>
      <c r="CH216" s="1220"/>
      <c r="CI216" s="1220"/>
      <c r="CJ216" s="1220"/>
      <c r="CK216" s="1220"/>
      <c r="CL216" s="1220"/>
      <c r="CM216" s="1220"/>
      <c r="CN216" s="1220"/>
      <c r="CO216" s="1220"/>
      <c r="CP216" s="1220"/>
      <c r="CQ216" s="1220"/>
      <c r="CR216" s="1220"/>
      <c r="CS216" s="1220"/>
      <c r="CT216" s="1220"/>
      <c r="CU216" s="1220"/>
      <c r="CV216" s="1220"/>
      <c r="CW216" s="1220">
        <f t="shared" ref="CW216:DE216" si="148">-$H216/84</f>
        <v>-307644.40386904776</v>
      </c>
      <c r="CX216" s="1220">
        <f t="shared" si="148"/>
        <v>-307644.40386904776</v>
      </c>
      <c r="CY216" s="1220">
        <f t="shared" si="148"/>
        <v>-307644.40386904776</v>
      </c>
      <c r="CZ216" s="1220">
        <f t="shared" si="148"/>
        <v>-307644.40386904776</v>
      </c>
      <c r="DA216" s="1220">
        <f t="shared" si="148"/>
        <v>-307644.40386904776</v>
      </c>
      <c r="DB216" s="1220">
        <f t="shared" si="148"/>
        <v>-307644.40386904776</v>
      </c>
      <c r="DC216" s="1220">
        <f t="shared" si="148"/>
        <v>-307644.40386904776</v>
      </c>
      <c r="DD216" s="1220">
        <f t="shared" si="148"/>
        <v>-307644.40386904776</v>
      </c>
      <c r="DE216" s="1220">
        <f t="shared" si="148"/>
        <v>-307644.40386904776</v>
      </c>
      <c r="DF216" s="101"/>
      <c r="DG216" s="101"/>
      <c r="DH216" s="101"/>
      <c r="DI216" s="101"/>
      <c r="DJ216" s="101"/>
      <c r="DK216" s="101"/>
      <c r="DL216" s="101"/>
      <c r="DM216" s="101"/>
      <c r="DN216" s="101"/>
      <c r="DO216" s="101"/>
      <c r="DP216" s="101"/>
      <c r="DQ216" s="101"/>
      <c r="DR216" s="101"/>
      <c r="DS216" s="101"/>
      <c r="DT216" s="101"/>
      <c r="DU216" s="101"/>
      <c r="DV216" s="101"/>
      <c r="DW216" s="101"/>
      <c r="DX216" s="101"/>
      <c r="DY216" s="101"/>
      <c r="DZ216" s="101"/>
      <c r="EA216" s="101"/>
      <c r="EB216" s="101"/>
      <c r="EC216" s="101"/>
      <c r="ED216" s="101"/>
      <c r="EE216" s="101"/>
      <c r="EF216" s="101"/>
      <c r="EG216" s="101"/>
      <c r="EH216" s="101"/>
      <c r="EI216" s="101"/>
      <c r="EJ216" s="101"/>
      <c r="EK216" s="101"/>
      <c r="EL216" s="101"/>
      <c r="EM216" s="101"/>
      <c r="EN216" s="101"/>
      <c r="EO216" s="101"/>
      <c r="EP216" s="101"/>
      <c r="EQ216" s="101"/>
      <c r="ER216" s="101"/>
      <c r="ES216" s="101"/>
      <c r="ET216" s="101"/>
      <c r="EU216" s="101"/>
      <c r="EV216" s="101"/>
      <c r="EW216" s="101"/>
      <c r="EX216" s="101"/>
      <c r="EY216" s="101"/>
      <c r="EZ216" s="1220"/>
      <c r="FA216" s="1220"/>
      <c r="FB216" s="1220"/>
      <c r="FC216" s="1220"/>
      <c r="FD216" s="1220"/>
      <c r="FE216" s="1220"/>
      <c r="FF216" s="1220"/>
      <c r="FG216" s="1220"/>
      <c r="FH216" s="1220"/>
      <c r="FI216" s="1220"/>
      <c r="FJ216" s="1220"/>
      <c r="FK216" s="1220"/>
      <c r="FL216" s="1220"/>
      <c r="FM216" s="1220"/>
      <c r="FN216" s="1220"/>
      <c r="FO216" s="1220"/>
      <c r="FP216" s="1220"/>
      <c r="FQ216" s="1220"/>
      <c r="FR216" s="1220"/>
      <c r="FS216" s="1220"/>
      <c r="FT216" s="1220"/>
      <c r="FU216" s="1220"/>
      <c r="FV216" s="1220"/>
      <c r="FW216" s="1220"/>
    </row>
    <row r="217" spans="1:179" x14ac:dyDescent="0.3">
      <c r="A217" s="1214"/>
      <c r="H217" s="1215"/>
      <c r="L217" s="1220"/>
      <c r="M217" s="1220"/>
      <c r="N217" s="1220"/>
      <c r="O217" s="1220"/>
      <c r="P217" s="1220"/>
      <c r="Q217" s="1220"/>
      <c r="R217" s="1220"/>
      <c r="S217" s="1220"/>
      <c r="T217" s="1220"/>
      <c r="U217" s="1220"/>
      <c r="V217" s="1220"/>
      <c r="W217" s="1220"/>
      <c r="X217" s="1220"/>
      <c r="Y217" s="1220"/>
      <c r="Z217" s="1220"/>
      <c r="AA217" s="1220"/>
      <c r="AB217" s="1220"/>
      <c r="AC217" s="1220"/>
      <c r="AD217" s="1220"/>
      <c r="AE217" s="1220"/>
      <c r="AF217" s="1220"/>
      <c r="AG217" s="1220"/>
      <c r="AH217" s="1220"/>
      <c r="AI217" s="1220"/>
      <c r="AJ217" s="1220"/>
      <c r="AK217" s="1220"/>
      <c r="AL217" s="1220"/>
      <c r="AM217" s="1220"/>
      <c r="AN217" s="1220"/>
      <c r="AO217" s="1220"/>
      <c r="AP217" s="1220"/>
      <c r="AQ217" s="1220"/>
      <c r="AR217" s="1220"/>
      <c r="AS217" s="1220"/>
      <c r="AT217" s="1220"/>
      <c r="AU217" s="1220"/>
      <c r="AV217" s="1220"/>
      <c r="AW217" s="1220"/>
      <c r="AX217" s="1220"/>
      <c r="AY217" s="1220"/>
      <c r="AZ217" s="1220"/>
      <c r="BA217" s="1220"/>
      <c r="BB217" s="1220"/>
      <c r="BC217" s="1220"/>
      <c r="BD217" s="1220"/>
      <c r="BE217" s="1220"/>
      <c r="BF217" s="1220"/>
      <c r="BG217" s="1220"/>
      <c r="BH217" s="1220"/>
      <c r="BI217" s="1220"/>
      <c r="BJ217" s="1220"/>
      <c r="BK217" s="1220"/>
      <c r="BL217" s="1220"/>
      <c r="BM217" s="1220"/>
      <c r="BN217" s="1220"/>
      <c r="BO217" s="1220"/>
      <c r="BP217" s="1220"/>
      <c r="BQ217" s="1220"/>
      <c r="BR217" s="1220"/>
      <c r="BS217" s="1220"/>
      <c r="BT217" s="1220"/>
      <c r="BU217" s="1220"/>
      <c r="BV217" s="1220"/>
      <c r="BW217" s="1220"/>
      <c r="BX217" s="1220"/>
      <c r="BY217" s="1220"/>
      <c r="BZ217" s="1220"/>
      <c r="CA217" s="1220"/>
      <c r="CB217" s="1220"/>
      <c r="CC217" s="1220"/>
      <c r="CD217" s="1220"/>
      <c r="CE217" s="1220"/>
      <c r="CF217" s="1220"/>
      <c r="CG217" s="1220"/>
      <c r="CH217" s="1220"/>
      <c r="CI217" s="1220"/>
      <c r="CJ217" s="1220"/>
      <c r="CK217" s="1220"/>
      <c r="CL217" s="1220"/>
      <c r="CM217" s="1220"/>
      <c r="CN217" s="1220"/>
      <c r="CO217" s="1220">
        <f t="shared" si="142"/>
        <v>0</v>
      </c>
      <c r="CP217" s="1220"/>
      <c r="CQ217" s="1220"/>
      <c r="CR217" s="1220"/>
      <c r="CS217" s="1220"/>
      <c r="CT217" s="1220"/>
      <c r="CU217" s="1220"/>
      <c r="CV217" s="1220"/>
      <c r="CW217" s="1220"/>
      <c r="CX217" s="1220"/>
      <c r="CY217" s="1220"/>
      <c r="CZ217" s="1220"/>
      <c r="DA217" s="1220"/>
      <c r="DB217" s="1220"/>
      <c r="DC217" s="1220"/>
      <c r="DD217" s="1220"/>
      <c r="DE217" s="1220"/>
      <c r="DF217" s="101"/>
      <c r="DG217" s="101"/>
      <c r="DH217" s="101"/>
      <c r="DI217" s="101"/>
      <c r="DJ217" s="101"/>
      <c r="DK217" s="101"/>
      <c r="DL217" s="101"/>
      <c r="DM217" s="101"/>
      <c r="DN217" s="101"/>
      <c r="DO217" s="101"/>
      <c r="DP217" s="101"/>
      <c r="DQ217" s="101"/>
      <c r="DR217" s="101"/>
      <c r="DS217" s="101"/>
      <c r="DT217" s="101"/>
      <c r="DU217" s="101"/>
      <c r="DV217" s="101"/>
      <c r="DW217" s="101"/>
      <c r="DX217" s="101"/>
      <c r="DY217" s="101"/>
      <c r="DZ217" s="101"/>
      <c r="EA217" s="101"/>
      <c r="EB217" s="101"/>
      <c r="EC217" s="101"/>
      <c r="ED217" s="101"/>
      <c r="EE217" s="101"/>
      <c r="EF217" s="101"/>
      <c r="EG217" s="101"/>
      <c r="EH217" s="101"/>
      <c r="EI217" s="101"/>
      <c r="EJ217" s="101"/>
      <c r="EK217" s="101"/>
      <c r="EL217" s="101"/>
      <c r="EM217" s="101"/>
      <c r="EN217" s="101"/>
      <c r="EO217" s="101"/>
      <c r="EP217" s="101"/>
      <c r="EQ217" s="101"/>
      <c r="ER217" s="101"/>
      <c r="ES217" s="101"/>
      <c r="ET217" s="101"/>
      <c r="EU217" s="101"/>
      <c r="EV217" s="101"/>
      <c r="EW217" s="101"/>
      <c r="EX217" s="101"/>
      <c r="EY217" s="101"/>
      <c r="EZ217" s="1220"/>
      <c r="FA217" s="1220"/>
      <c r="FB217" s="1220"/>
      <c r="FC217" s="1220"/>
      <c r="FD217" s="1220"/>
      <c r="FE217" s="1220"/>
      <c r="FF217" s="1220"/>
      <c r="FG217" s="1220"/>
      <c r="FH217" s="1220"/>
      <c r="FI217" s="1220"/>
      <c r="FJ217" s="1220"/>
      <c r="FK217" s="1220"/>
      <c r="FL217" s="1220"/>
      <c r="FM217" s="1220"/>
      <c r="FN217" s="1220"/>
      <c r="FO217" s="1220"/>
      <c r="FP217" s="1220"/>
    </row>
    <row r="218" spans="1:179" x14ac:dyDescent="0.3">
      <c r="A218" s="1214" t="s">
        <v>2625</v>
      </c>
      <c r="H218" s="1215">
        <v>25842129.925000012</v>
      </c>
      <c r="L218" s="1220"/>
      <c r="M218" s="1220"/>
      <c r="N218" s="1220"/>
      <c r="O218" s="1220"/>
      <c r="P218" s="1220"/>
      <c r="Q218" s="1220"/>
      <c r="R218" s="1220"/>
      <c r="S218" s="1220"/>
      <c r="T218" s="1220"/>
      <c r="U218" s="1220"/>
      <c r="V218" s="1220"/>
      <c r="W218" s="1220"/>
      <c r="X218" s="1220"/>
      <c r="Y218" s="1220"/>
      <c r="Z218" s="1220"/>
      <c r="AA218" s="1220"/>
      <c r="AB218" s="1220"/>
      <c r="AC218" s="1220"/>
      <c r="AD218" s="1220"/>
      <c r="AE218" s="1220"/>
      <c r="AF218" s="1220"/>
      <c r="AG218" s="1220"/>
      <c r="AH218" s="1220"/>
      <c r="AI218" s="1220"/>
      <c r="AJ218" s="1220"/>
      <c r="AK218" s="1220"/>
      <c r="AL218" s="1220"/>
      <c r="AM218" s="1220"/>
      <c r="AN218" s="1220"/>
      <c r="AO218" s="1220"/>
      <c r="AP218" s="1220"/>
      <c r="AQ218" s="1220"/>
      <c r="AR218" s="1220"/>
      <c r="AS218" s="1220"/>
      <c r="AT218" s="1220"/>
      <c r="AU218" s="1220"/>
      <c r="AV218" s="1220"/>
      <c r="AW218" s="1220"/>
      <c r="AX218" s="1220"/>
      <c r="AY218" s="1220"/>
      <c r="AZ218" s="1220"/>
      <c r="BA218" s="1220"/>
      <c r="BB218" s="1220"/>
      <c r="BC218" s="1220"/>
      <c r="BD218" s="1220"/>
      <c r="BE218" s="1220"/>
      <c r="BF218" s="1220"/>
      <c r="BG218" s="1220"/>
      <c r="BH218" s="1220"/>
      <c r="BI218" s="1220"/>
      <c r="BJ218" s="1220"/>
      <c r="BK218" s="1220"/>
      <c r="BL218" s="1220"/>
      <c r="BM218" s="1220"/>
      <c r="BN218" s="1220"/>
      <c r="BO218" s="1220"/>
      <c r="BP218" s="1220"/>
      <c r="BQ218" s="1220"/>
      <c r="BR218" s="1220"/>
      <c r="BS218" s="1220"/>
      <c r="BT218" s="1220"/>
      <c r="BU218" s="1220"/>
      <c r="BV218" s="1220"/>
      <c r="BW218" s="1220"/>
      <c r="BX218" s="1220"/>
      <c r="BY218" s="1220"/>
      <c r="BZ218" s="1220"/>
      <c r="CA218" s="1220"/>
      <c r="CB218" s="1220"/>
      <c r="CC218" s="1220"/>
      <c r="CD218" s="1220"/>
      <c r="CE218" s="1220"/>
      <c r="CF218" s="1220"/>
      <c r="CG218" s="1220"/>
      <c r="CH218" s="1220"/>
      <c r="CI218" s="1220"/>
      <c r="CJ218" s="1220"/>
      <c r="CK218" s="1220"/>
      <c r="CL218" s="1220"/>
      <c r="CM218" s="1220"/>
      <c r="CN218" s="1220"/>
      <c r="CO218" s="1220"/>
      <c r="CP218" s="1220"/>
      <c r="CQ218" s="1220"/>
      <c r="CR218" s="1220"/>
      <c r="CS218" s="1220"/>
      <c r="CT218" s="1220"/>
      <c r="CU218" s="1220"/>
      <c r="CV218" s="1220"/>
      <c r="CW218" s="1220"/>
      <c r="CX218" s="1220">
        <f t="shared" ref="CX218:DE218" si="149">-$H218/84</f>
        <v>-307644.40386904776</v>
      </c>
      <c r="CY218" s="1220">
        <f t="shared" si="149"/>
        <v>-307644.40386904776</v>
      </c>
      <c r="CZ218" s="1220">
        <f t="shared" si="149"/>
        <v>-307644.40386904776</v>
      </c>
      <c r="DA218" s="1220">
        <f t="shared" si="149"/>
        <v>-307644.40386904776</v>
      </c>
      <c r="DB218" s="1220">
        <f t="shared" si="149"/>
        <v>-307644.40386904776</v>
      </c>
      <c r="DC218" s="1220">
        <f t="shared" si="149"/>
        <v>-307644.40386904776</v>
      </c>
      <c r="DD218" s="1220">
        <f t="shared" si="149"/>
        <v>-307644.40386904776</v>
      </c>
      <c r="DE218" s="1220">
        <f t="shared" si="149"/>
        <v>-307644.40386904776</v>
      </c>
      <c r="DF218" s="101"/>
      <c r="DG218" s="101"/>
      <c r="DH218" s="101"/>
      <c r="DI218" s="101"/>
      <c r="DJ218" s="101"/>
      <c r="DK218" s="101"/>
      <c r="DL218" s="101"/>
      <c r="DM218" s="101"/>
      <c r="DN218" s="101"/>
      <c r="DO218" s="101"/>
      <c r="DP218" s="101"/>
      <c r="DQ218" s="101"/>
      <c r="DR218" s="101"/>
      <c r="DS218" s="101"/>
      <c r="DT218" s="101"/>
      <c r="DU218" s="101"/>
      <c r="DV218" s="101"/>
      <c r="DW218" s="101"/>
      <c r="DX218" s="101"/>
      <c r="DY218" s="101"/>
      <c r="DZ218" s="101"/>
      <c r="EA218" s="101"/>
      <c r="EB218" s="101"/>
      <c r="EC218" s="101"/>
      <c r="ED218" s="101"/>
      <c r="EE218" s="101"/>
      <c r="EF218" s="101"/>
      <c r="EG218" s="101"/>
      <c r="EH218" s="101"/>
      <c r="EI218" s="101"/>
      <c r="EJ218" s="101"/>
      <c r="EK218" s="101"/>
      <c r="EL218" s="101"/>
      <c r="EM218" s="101"/>
      <c r="EN218" s="101"/>
      <c r="EO218" s="101"/>
      <c r="EP218" s="101"/>
      <c r="EQ218" s="101"/>
      <c r="ER218" s="101"/>
      <c r="ES218" s="101"/>
      <c r="ET218" s="101"/>
      <c r="EU218" s="101"/>
      <c r="EV218" s="101"/>
      <c r="EW218" s="101"/>
      <c r="EX218" s="101"/>
      <c r="EY218" s="101"/>
      <c r="EZ218" s="1220"/>
      <c r="FA218" s="1220"/>
      <c r="FB218" s="1220"/>
      <c r="FC218" s="1220"/>
      <c r="FD218" s="1220"/>
      <c r="FE218" s="1220"/>
      <c r="FF218" s="1220"/>
      <c r="FG218" s="1220"/>
      <c r="FH218" s="1220"/>
      <c r="FI218" s="1220"/>
      <c r="FJ218" s="1220"/>
      <c r="FK218" s="1220"/>
      <c r="FL218" s="1220"/>
      <c r="FM218" s="1220"/>
      <c r="FN218" s="1220"/>
      <c r="FO218" s="1220"/>
      <c r="FP218" s="1220"/>
      <c r="FQ218" s="1220"/>
      <c r="FR218" s="1220"/>
      <c r="FS218" s="1220"/>
      <c r="FT218" s="1220"/>
      <c r="FU218" s="1220"/>
      <c r="FV218" s="1220"/>
      <c r="FW218" s="1220"/>
    </row>
    <row r="219" spans="1:179" x14ac:dyDescent="0.3">
      <c r="A219" s="1214"/>
      <c r="H219" s="1215"/>
      <c r="L219" s="1220"/>
      <c r="M219" s="1220"/>
      <c r="N219" s="1220"/>
      <c r="O219" s="1220"/>
      <c r="P219" s="1220"/>
      <c r="Q219" s="1220"/>
      <c r="R219" s="1220"/>
      <c r="S219" s="1220"/>
      <c r="T219" s="1220"/>
      <c r="U219" s="1220"/>
      <c r="V219" s="1220"/>
      <c r="W219" s="1220"/>
      <c r="X219" s="1220"/>
      <c r="Y219" s="1220"/>
      <c r="Z219" s="1220"/>
      <c r="AA219" s="1220"/>
      <c r="AB219" s="1220"/>
      <c r="AC219" s="1220"/>
      <c r="AD219" s="1220"/>
      <c r="AE219" s="1220"/>
      <c r="AF219" s="1220"/>
      <c r="AG219" s="1220"/>
      <c r="AH219" s="1220"/>
      <c r="AI219" s="1220"/>
      <c r="AJ219" s="1220"/>
      <c r="AK219" s="1220"/>
      <c r="AL219" s="1220"/>
      <c r="AM219" s="1220"/>
      <c r="AN219" s="1220"/>
      <c r="AO219" s="1220"/>
      <c r="AP219" s="1220"/>
      <c r="AQ219" s="1220"/>
      <c r="AR219" s="1220"/>
      <c r="AS219" s="1220"/>
      <c r="AT219" s="1220"/>
      <c r="AU219" s="1220"/>
      <c r="AV219" s="1220"/>
      <c r="AW219" s="1220"/>
      <c r="AX219" s="1220"/>
      <c r="AY219" s="1220"/>
      <c r="AZ219" s="1220"/>
      <c r="BA219" s="1220"/>
      <c r="BB219" s="1220"/>
      <c r="BC219" s="1220"/>
      <c r="BD219" s="1220"/>
      <c r="BE219" s="1220"/>
      <c r="BF219" s="1220"/>
      <c r="BG219" s="1220"/>
      <c r="BH219" s="1220"/>
      <c r="BI219" s="1220"/>
      <c r="BJ219" s="1220"/>
      <c r="BK219" s="1220"/>
      <c r="BL219" s="1220"/>
      <c r="BM219" s="1220"/>
      <c r="BN219" s="1220"/>
      <c r="BO219" s="1220"/>
      <c r="BP219" s="1220"/>
      <c r="BQ219" s="1220"/>
      <c r="BR219" s="1220"/>
      <c r="BS219" s="1220"/>
      <c r="BT219" s="1220"/>
      <c r="BU219" s="1220"/>
      <c r="BV219" s="1220"/>
      <c r="BW219" s="1220"/>
      <c r="BX219" s="1220"/>
      <c r="BY219" s="1220"/>
      <c r="BZ219" s="1220"/>
      <c r="CA219" s="1220"/>
      <c r="CB219" s="1220"/>
      <c r="CC219" s="1220"/>
      <c r="CD219" s="1220"/>
      <c r="CE219" s="1220"/>
      <c r="CF219" s="1220"/>
      <c r="CG219" s="1220"/>
      <c r="CH219" s="1220"/>
      <c r="CI219" s="1220"/>
      <c r="CJ219" s="1220"/>
      <c r="CK219" s="1220"/>
      <c r="CL219" s="1220"/>
      <c r="CM219" s="1220"/>
      <c r="CN219" s="1220"/>
      <c r="CO219" s="1220">
        <f t="shared" si="142"/>
        <v>0</v>
      </c>
      <c r="CP219" s="1220"/>
      <c r="CQ219" s="1220"/>
      <c r="CR219" s="1220"/>
      <c r="CS219" s="1220"/>
      <c r="CT219" s="1220"/>
      <c r="CU219" s="1220"/>
      <c r="CV219" s="1220"/>
      <c r="CW219" s="1220"/>
      <c r="CX219" s="1220"/>
      <c r="CY219" s="1220"/>
      <c r="CZ219" s="1220"/>
      <c r="DA219" s="1220"/>
      <c r="DB219" s="1220"/>
      <c r="DC219" s="1220"/>
      <c r="DD219" s="1220"/>
      <c r="DE219" s="1220"/>
      <c r="DF219" s="101"/>
      <c r="DG219" s="101"/>
      <c r="DH219" s="101"/>
      <c r="DI219" s="101"/>
      <c r="DJ219" s="101"/>
      <c r="DK219" s="101"/>
      <c r="DL219" s="101"/>
      <c r="DM219" s="101"/>
      <c r="DN219" s="101"/>
      <c r="DO219" s="101"/>
      <c r="DP219" s="101"/>
      <c r="DQ219" s="101"/>
      <c r="DR219" s="101"/>
      <c r="DS219" s="101"/>
      <c r="DT219" s="101"/>
      <c r="DU219" s="101"/>
      <c r="DV219" s="101"/>
      <c r="DW219" s="101"/>
      <c r="DX219" s="101"/>
      <c r="DY219" s="101"/>
      <c r="DZ219" s="101"/>
      <c r="EA219" s="101"/>
      <c r="EB219" s="101"/>
      <c r="EC219" s="101"/>
      <c r="ED219" s="101"/>
      <c r="EE219" s="101"/>
      <c r="EF219" s="101"/>
      <c r="EG219" s="101"/>
      <c r="EH219" s="101"/>
      <c r="EI219" s="101"/>
      <c r="EJ219" s="101"/>
      <c r="EK219" s="101"/>
      <c r="EL219" s="101"/>
      <c r="EM219" s="101"/>
      <c r="EN219" s="101"/>
      <c r="EO219" s="101"/>
      <c r="EP219" s="101"/>
      <c r="EQ219" s="101"/>
      <c r="ER219" s="101"/>
      <c r="ES219" s="101"/>
      <c r="ET219" s="101"/>
      <c r="EU219" s="101"/>
      <c r="EV219" s="101"/>
      <c r="EW219" s="101"/>
      <c r="EX219" s="101"/>
      <c r="EY219" s="101"/>
      <c r="EZ219" s="1220"/>
      <c r="FA219" s="1220"/>
      <c r="FB219" s="1220"/>
      <c r="FC219" s="1220"/>
      <c r="FD219" s="1220"/>
      <c r="FE219" s="1220"/>
      <c r="FF219" s="1220"/>
      <c r="FG219" s="1220"/>
      <c r="FH219" s="1220"/>
      <c r="FI219" s="1220"/>
      <c r="FJ219" s="1220"/>
      <c r="FK219" s="1220"/>
      <c r="FL219" s="1220"/>
      <c r="FM219" s="1220"/>
      <c r="FN219" s="1220"/>
      <c r="FO219" s="1220"/>
      <c r="FP219" s="1220"/>
    </row>
    <row r="220" spans="1:179" x14ac:dyDescent="0.3">
      <c r="A220" s="1214" t="s">
        <v>2626</v>
      </c>
      <c r="H220" s="1215">
        <v>25842129.925000012</v>
      </c>
      <c r="L220" s="1220"/>
      <c r="M220" s="1220"/>
      <c r="N220" s="1220"/>
      <c r="O220" s="1220"/>
      <c r="P220" s="1220"/>
      <c r="Q220" s="1220"/>
      <c r="R220" s="1220"/>
      <c r="S220" s="1220"/>
      <c r="T220" s="1220"/>
      <c r="U220" s="1220"/>
      <c r="V220" s="1220"/>
      <c r="W220" s="1220"/>
      <c r="X220" s="1220"/>
      <c r="Y220" s="1220"/>
      <c r="Z220" s="1220"/>
      <c r="AA220" s="1220"/>
      <c r="AB220" s="1220"/>
      <c r="AC220" s="1220"/>
      <c r="AD220" s="1220"/>
      <c r="AE220" s="1220"/>
      <c r="AF220" s="1220"/>
      <c r="AG220" s="1220"/>
      <c r="AH220" s="1220"/>
      <c r="AI220" s="1220"/>
      <c r="AJ220" s="1220"/>
      <c r="AK220" s="1220"/>
      <c r="AL220" s="1220"/>
      <c r="AM220" s="1220"/>
      <c r="AN220" s="1220"/>
      <c r="AO220" s="1220"/>
      <c r="AP220" s="1220"/>
      <c r="AQ220" s="1220"/>
      <c r="AR220" s="1220"/>
      <c r="AS220" s="1220"/>
      <c r="AT220" s="1220"/>
      <c r="AU220" s="1220"/>
      <c r="AV220" s="1220"/>
      <c r="AW220" s="1220"/>
      <c r="AX220" s="1220"/>
      <c r="AY220" s="1220"/>
      <c r="AZ220" s="1220"/>
      <c r="BA220" s="1220"/>
      <c r="BB220" s="1220"/>
      <c r="BC220" s="1220"/>
      <c r="BD220" s="1220"/>
      <c r="BE220" s="1220"/>
      <c r="BF220" s="1220"/>
      <c r="BG220" s="1220"/>
      <c r="BH220" s="1220"/>
      <c r="BI220" s="1220"/>
      <c r="BJ220" s="1220"/>
      <c r="BK220" s="1220"/>
      <c r="BL220" s="1220"/>
      <c r="BM220" s="1220"/>
      <c r="BN220" s="1220"/>
      <c r="BO220" s="1220"/>
      <c r="BP220" s="1220"/>
      <c r="BQ220" s="1220"/>
      <c r="BR220" s="1220"/>
      <c r="BS220" s="1220"/>
      <c r="BT220" s="1220"/>
      <c r="BU220" s="1220"/>
      <c r="BV220" s="1220"/>
      <c r="BW220" s="1220"/>
      <c r="BX220" s="1220"/>
      <c r="BY220" s="1220"/>
      <c r="BZ220" s="1220"/>
      <c r="CA220" s="1220"/>
      <c r="CB220" s="1220"/>
      <c r="CC220" s="1220"/>
      <c r="CD220" s="1220"/>
      <c r="CE220" s="1220"/>
      <c r="CF220" s="1220"/>
      <c r="CG220" s="1220"/>
      <c r="CH220" s="1220"/>
      <c r="CI220" s="1220"/>
      <c r="CJ220" s="1220"/>
      <c r="CK220" s="1220"/>
      <c r="CL220" s="1220"/>
      <c r="CM220" s="1220"/>
      <c r="CN220" s="1220"/>
      <c r="CO220" s="1220"/>
      <c r="CP220" s="1220"/>
      <c r="CQ220" s="1220"/>
      <c r="CR220" s="1220"/>
      <c r="CS220" s="1220"/>
      <c r="CT220" s="1220"/>
      <c r="CU220" s="1220"/>
      <c r="CV220" s="1220"/>
      <c r="CW220" s="1220"/>
      <c r="CX220" s="1220"/>
      <c r="CY220" s="1220">
        <f t="shared" ref="CY220:DE220" si="150">-$H220/84</f>
        <v>-307644.40386904776</v>
      </c>
      <c r="CZ220" s="1220">
        <f t="shared" si="150"/>
        <v>-307644.40386904776</v>
      </c>
      <c r="DA220" s="1220">
        <f t="shared" si="150"/>
        <v>-307644.40386904776</v>
      </c>
      <c r="DB220" s="1220">
        <f t="shared" si="150"/>
        <v>-307644.40386904776</v>
      </c>
      <c r="DC220" s="1220">
        <f t="shared" si="150"/>
        <v>-307644.40386904776</v>
      </c>
      <c r="DD220" s="1220">
        <f t="shared" si="150"/>
        <v>-307644.40386904776</v>
      </c>
      <c r="DE220" s="1220">
        <f t="shared" si="150"/>
        <v>-307644.40386904776</v>
      </c>
      <c r="DF220" s="101"/>
      <c r="DG220" s="101"/>
      <c r="DH220" s="101"/>
      <c r="DI220" s="101"/>
      <c r="DJ220" s="101"/>
      <c r="DK220" s="101"/>
      <c r="DL220" s="101"/>
      <c r="DM220" s="101"/>
      <c r="DN220" s="101"/>
      <c r="DO220" s="101"/>
      <c r="DP220" s="101"/>
      <c r="DQ220" s="101"/>
      <c r="DR220" s="101"/>
      <c r="DS220" s="101"/>
      <c r="DT220" s="101"/>
      <c r="DU220" s="101"/>
      <c r="DV220" s="101"/>
      <c r="DW220" s="101"/>
      <c r="DX220" s="101"/>
      <c r="DY220" s="101"/>
      <c r="DZ220" s="101"/>
      <c r="EA220" s="101"/>
      <c r="EB220" s="101"/>
      <c r="EC220" s="101"/>
      <c r="ED220" s="101"/>
      <c r="EE220" s="101"/>
      <c r="EF220" s="101"/>
      <c r="EG220" s="101"/>
      <c r="EH220" s="101"/>
      <c r="EI220" s="101"/>
      <c r="EJ220" s="101"/>
      <c r="EK220" s="101"/>
      <c r="EL220" s="101"/>
      <c r="EM220" s="101"/>
      <c r="EN220" s="101"/>
      <c r="EO220" s="101"/>
      <c r="EP220" s="101"/>
      <c r="EQ220" s="101"/>
      <c r="ER220" s="101"/>
      <c r="ES220" s="101"/>
      <c r="ET220" s="101"/>
      <c r="EU220" s="101"/>
      <c r="EV220" s="101"/>
      <c r="EW220" s="101"/>
      <c r="EX220" s="101"/>
      <c r="EY220" s="101"/>
      <c r="EZ220" s="1220"/>
      <c r="FA220" s="1220"/>
      <c r="FB220" s="1220"/>
      <c r="FC220" s="1220"/>
      <c r="FD220" s="1220"/>
      <c r="FE220" s="1220"/>
      <c r="FF220" s="1220"/>
      <c r="FG220" s="1220"/>
      <c r="FH220" s="1220"/>
      <c r="FI220" s="1220"/>
      <c r="FJ220" s="1220"/>
      <c r="FK220" s="1220"/>
      <c r="FL220" s="1220"/>
      <c r="FM220" s="1220"/>
      <c r="FN220" s="1220"/>
      <c r="FO220" s="1220"/>
      <c r="FP220" s="1220"/>
      <c r="FQ220" s="1220"/>
      <c r="FR220" s="1220"/>
      <c r="FS220" s="1220"/>
      <c r="FT220" s="1220"/>
      <c r="FU220" s="1220"/>
      <c r="FV220" s="1220"/>
      <c r="FW220" s="1220"/>
    </row>
    <row r="221" spans="1:179" x14ac:dyDescent="0.3">
      <c r="A221" s="1214"/>
      <c r="H221" s="1215"/>
      <c r="L221" s="1220"/>
      <c r="M221" s="1220"/>
      <c r="N221" s="1220"/>
      <c r="O221" s="1220"/>
      <c r="P221" s="1220"/>
      <c r="Q221" s="1220"/>
      <c r="R221" s="1220"/>
      <c r="S221" s="1220"/>
      <c r="T221" s="1220"/>
      <c r="U221" s="1220"/>
      <c r="V221" s="1220"/>
      <c r="W221" s="1220"/>
      <c r="X221" s="1220"/>
      <c r="Y221" s="1220"/>
      <c r="Z221" s="1220"/>
      <c r="AA221" s="1220"/>
      <c r="AB221" s="1220"/>
      <c r="AC221" s="1220"/>
      <c r="AD221" s="1220"/>
      <c r="AE221" s="1220"/>
      <c r="AF221" s="1220"/>
      <c r="AG221" s="1220"/>
      <c r="AH221" s="1220"/>
      <c r="AI221" s="1220"/>
      <c r="AJ221" s="1220"/>
      <c r="AK221" s="1220"/>
      <c r="AL221" s="1220"/>
      <c r="AM221" s="1220"/>
      <c r="AN221" s="1220"/>
      <c r="AO221" s="1220"/>
      <c r="AP221" s="1220"/>
      <c r="AQ221" s="1220"/>
      <c r="AR221" s="1220"/>
      <c r="AS221" s="1220"/>
      <c r="AT221" s="1220"/>
      <c r="AU221" s="1220"/>
      <c r="AV221" s="1220"/>
      <c r="AW221" s="1220"/>
      <c r="AX221" s="1220"/>
      <c r="AY221" s="1220"/>
      <c r="AZ221" s="1220"/>
      <c r="BA221" s="1220"/>
      <c r="BB221" s="1220"/>
      <c r="BC221" s="1220"/>
      <c r="BD221" s="1220"/>
      <c r="BE221" s="1220"/>
      <c r="BF221" s="1220"/>
      <c r="BG221" s="1220"/>
      <c r="BH221" s="1220"/>
      <c r="BI221" s="1220"/>
      <c r="BJ221" s="1220"/>
      <c r="BK221" s="1220"/>
      <c r="BL221" s="1220"/>
      <c r="BM221" s="1220"/>
      <c r="BN221" s="1220"/>
      <c r="BO221" s="1220"/>
      <c r="BP221" s="1220"/>
      <c r="BQ221" s="1220"/>
      <c r="BR221" s="1220"/>
      <c r="BS221" s="1220"/>
      <c r="BT221" s="1220"/>
      <c r="BU221" s="1220"/>
      <c r="BV221" s="1220"/>
      <c r="BW221" s="1220"/>
      <c r="BX221" s="1220"/>
      <c r="BY221" s="1220"/>
      <c r="BZ221" s="1220"/>
      <c r="CA221" s="1220"/>
      <c r="CB221" s="1220"/>
      <c r="CC221" s="1220"/>
      <c r="CD221" s="1220"/>
      <c r="CE221" s="1220"/>
      <c r="CF221" s="1220"/>
      <c r="CG221" s="1220"/>
      <c r="CH221" s="1220"/>
      <c r="CI221" s="1220"/>
      <c r="CJ221" s="1220"/>
      <c r="CK221" s="1220"/>
      <c r="CL221" s="1220"/>
      <c r="CM221" s="1220"/>
      <c r="CN221" s="1220"/>
      <c r="CO221" s="1220">
        <f t="shared" si="142"/>
        <v>0</v>
      </c>
      <c r="CP221" s="1220"/>
      <c r="CQ221" s="1220"/>
      <c r="CR221" s="1220"/>
      <c r="CS221" s="1220"/>
      <c r="CT221" s="1220"/>
      <c r="CU221" s="1220"/>
      <c r="CV221" s="1220"/>
      <c r="CW221" s="1220"/>
      <c r="CX221" s="1220"/>
      <c r="CY221" s="1220"/>
      <c r="CZ221" s="1220"/>
      <c r="DA221" s="1220"/>
      <c r="DB221" s="1220"/>
      <c r="DC221" s="1220"/>
      <c r="DD221" s="1220"/>
      <c r="DE221" s="1220"/>
      <c r="DF221" s="101"/>
      <c r="DG221" s="101"/>
      <c r="DH221" s="101"/>
      <c r="DI221" s="101"/>
      <c r="DJ221" s="101"/>
      <c r="DK221" s="101"/>
      <c r="DL221" s="101"/>
      <c r="DM221" s="101"/>
      <c r="DN221" s="101"/>
      <c r="DO221" s="101"/>
      <c r="DP221" s="101"/>
      <c r="DQ221" s="101"/>
      <c r="DR221" s="101"/>
      <c r="DS221" s="101"/>
      <c r="DT221" s="101"/>
      <c r="DU221" s="101"/>
      <c r="DV221" s="101"/>
      <c r="DW221" s="101"/>
      <c r="DX221" s="101"/>
      <c r="DY221" s="101"/>
      <c r="DZ221" s="101"/>
      <c r="EA221" s="101"/>
      <c r="EB221" s="101"/>
      <c r="EC221" s="101"/>
      <c r="ED221" s="101"/>
      <c r="EE221" s="101"/>
      <c r="EF221" s="101"/>
      <c r="EG221" s="101"/>
      <c r="EH221" s="101"/>
      <c r="EI221" s="101"/>
      <c r="EJ221" s="101"/>
      <c r="EK221" s="101"/>
      <c r="EL221" s="101"/>
      <c r="EM221" s="101"/>
      <c r="EN221" s="101"/>
      <c r="EO221" s="101"/>
      <c r="EP221" s="101"/>
      <c r="EQ221" s="101"/>
      <c r="ER221" s="101"/>
      <c r="ES221" s="101"/>
      <c r="ET221" s="101"/>
      <c r="EU221" s="101"/>
      <c r="EV221" s="101"/>
      <c r="EW221" s="101"/>
      <c r="EX221" s="101"/>
      <c r="EY221" s="101"/>
      <c r="EZ221" s="1220"/>
      <c r="FA221" s="1220"/>
      <c r="FB221" s="1220"/>
      <c r="FC221" s="1220"/>
      <c r="FD221" s="1220"/>
      <c r="FE221" s="1220"/>
      <c r="FF221" s="1220"/>
      <c r="FG221" s="1220"/>
      <c r="FH221" s="1220"/>
      <c r="FI221" s="1220"/>
      <c r="FJ221" s="1220"/>
      <c r="FK221" s="1220"/>
      <c r="FL221" s="1220"/>
      <c r="FM221" s="1220"/>
      <c r="FN221" s="1220"/>
      <c r="FO221" s="1220"/>
      <c r="FP221" s="1220"/>
    </row>
    <row r="222" spans="1:179" x14ac:dyDescent="0.3">
      <c r="A222" s="1214" t="s">
        <v>2627</v>
      </c>
      <c r="H222" s="1215">
        <v>25842129.925000012</v>
      </c>
      <c r="L222" s="1220"/>
      <c r="M222" s="1220"/>
      <c r="N222" s="1220"/>
      <c r="O222" s="1220"/>
      <c r="P222" s="1220"/>
      <c r="Q222" s="1220"/>
      <c r="R222" s="1220"/>
      <c r="S222" s="1220"/>
      <c r="T222" s="1220"/>
      <c r="U222" s="1220"/>
      <c r="V222" s="1220"/>
      <c r="W222" s="1220"/>
      <c r="X222" s="1220"/>
      <c r="Y222" s="1220"/>
      <c r="Z222" s="1220"/>
      <c r="AA222" s="1220"/>
      <c r="AB222" s="1220"/>
      <c r="AC222" s="1220"/>
      <c r="AD222" s="1220"/>
      <c r="AE222" s="1220"/>
      <c r="AF222" s="1220"/>
      <c r="AG222" s="1220"/>
      <c r="AH222" s="1220"/>
      <c r="AI222" s="1220"/>
      <c r="AJ222" s="1220"/>
      <c r="AK222" s="1220"/>
      <c r="AL222" s="1220"/>
      <c r="AM222" s="1220"/>
      <c r="AN222" s="1220"/>
      <c r="AO222" s="1220"/>
      <c r="AP222" s="1220"/>
      <c r="AQ222" s="1220"/>
      <c r="AR222" s="1220"/>
      <c r="AS222" s="1220"/>
      <c r="AT222" s="1220"/>
      <c r="AU222" s="1220"/>
      <c r="AV222" s="1220"/>
      <c r="AW222" s="1220"/>
      <c r="AX222" s="1220"/>
      <c r="AY222" s="1220"/>
      <c r="AZ222" s="1220"/>
      <c r="BA222" s="1220"/>
      <c r="BB222" s="1220"/>
      <c r="BC222" s="1220"/>
      <c r="BD222" s="1220"/>
      <c r="BE222" s="1220"/>
      <c r="BF222" s="1220"/>
      <c r="BG222" s="1220"/>
      <c r="BH222" s="1220"/>
      <c r="BI222" s="1220"/>
      <c r="BJ222" s="1220"/>
      <c r="BK222" s="1220"/>
      <c r="BL222" s="1220"/>
      <c r="BM222" s="1220"/>
      <c r="BN222" s="1220"/>
      <c r="BO222" s="1220"/>
      <c r="BP222" s="1220"/>
      <c r="BQ222" s="1220"/>
      <c r="BR222" s="1220"/>
      <c r="BS222" s="1220"/>
      <c r="BT222" s="1220"/>
      <c r="BU222" s="1220"/>
      <c r="BV222" s="1220"/>
      <c r="BW222" s="1220"/>
      <c r="BX222" s="1220"/>
      <c r="BY222" s="1220"/>
      <c r="BZ222" s="1220"/>
      <c r="CA222" s="1220"/>
      <c r="CB222" s="1220"/>
      <c r="CC222" s="1220"/>
      <c r="CD222" s="1220"/>
      <c r="CE222" s="1220"/>
      <c r="CF222" s="1220"/>
      <c r="CG222" s="1220"/>
      <c r="CH222" s="1220"/>
      <c r="CI222" s="1220"/>
      <c r="CJ222" s="1220"/>
      <c r="CK222" s="1220"/>
      <c r="CL222" s="1220"/>
      <c r="CM222" s="1220"/>
      <c r="CN222" s="1220"/>
      <c r="CO222" s="1220"/>
      <c r="CP222" s="1220"/>
      <c r="CQ222" s="1220"/>
      <c r="CR222" s="1220"/>
      <c r="CS222" s="1220"/>
      <c r="CT222" s="1220"/>
      <c r="CU222" s="1220"/>
      <c r="CV222" s="1220"/>
      <c r="CW222" s="1220"/>
      <c r="CX222" s="1220"/>
      <c r="CY222" s="1220"/>
      <c r="CZ222" s="1220">
        <f t="shared" ref="CZ222:DE222" si="151">-$H222/84</f>
        <v>-307644.40386904776</v>
      </c>
      <c r="DA222" s="1220">
        <f t="shared" si="151"/>
        <v>-307644.40386904776</v>
      </c>
      <c r="DB222" s="1220">
        <f t="shared" si="151"/>
        <v>-307644.40386904776</v>
      </c>
      <c r="DC222" s="1220">
        <f t="shared" si="151"/>
        <v>-307644.40386904776</v>
      </c>
      <c r="DD222" s="1220">
        <f t="shared" si="151"/>
        <v>-307644.40386904776</v>
      </c>
      <c r="DE222" s="1220">
        <f t="shared" si="151"/>
        <v>-307644.40386904776</v>
      </c>
      <c r="DF222" s="101"/>
      <c r="DG222" s="101"/>
      <c r="DH222" s="101"/>
      <c r="DI222" s="101"/>
      <c r="DJ222" s="101"/>
      <c r="DK222" s="101"/>
      <c r="DL222" s="101"/>
      <c r="DM222" s="101"/>
      <c r="DN222" s="101"/>
      <c r="DO222" s="101"/>
      <c r="DP222" s="101"/>
      <c r="DQ222" s="101"/>
      <c r="DR222" s="101"/>
      <c r="DS222" s="101"/>
      <c r="DT222" s="101"/>
      <c r="DU222" s="101"/>
      <c r="DV222" s="101"/>
      <c r="DW222" s="101"/>
      <c r="DX222" s="101"/>
      <c r="DY222" s="101"/>
      <c r="DZ222" s="101"/>
      <c r="EA222" s="101"/>
      <c r="EB222" s="101"/>
      <c r="EC222" s="101"/>
      <c r="ED222" s="101"/>
      <c r="EE222" s="101"/>
      <c r="EF222" s="101"/>
      <c r="EG222" s="101"/>
      <c r="EH222" s="101"/>
      <c r="EI222" s="101"/>
      <c r="EJ222" s="101"/>
      <c r="EK222" s="101"/>
      <c r="EL222" s="101"/>
      <c r="EM222" s="101"/>
      <c r="EN222" s="101"/>
      <c r="EO222" s="101"/>
      <c r="EP222" s="101"/>
      <c r="EQ222" s="101"/>
      <c r="ER222" s="101"/>
      <c r="ES222" s="101"/>
      <c r="ET222" s="101"/>
      <c r="EU222" s="101"/>
      <c r="EV222" s="101"/>
      <c r="EW222" s="101"/>
      <c r="EX222" s="101"/>
      <c r="EY222" s="101"/>
      <c r="EZ222" s="1220"/>
      <c r="FA222" s="1220"/>
      <c r="FB222" s="1220"/>
      <c r="FC222" s="1220"/>
      <c r="FD222" s="1220"/>
      <c r="FE222" s="1220"/>
      <c r="FF222" s="1220"/>
      <c r="FG222" s="1220"/>
      <c r="FH222" s="1220"/>
      <c r="FI222" s="1220"/>
      <c r="FJ222" s="1220"/>
      <c r="FK222" s="1220"/>
      <c r="FL222" s="1220"/>
      <c r="FM222" s="1220"/>
      <c r="FN222" s="1220"/>
      <c r="FO222" s="1220"/>
      <c r="FP222" s="1220"/>
      <c r="FQ222" s="1220"/>
      <c r="FR222" s="1220"/>
      <c r="FS222" s="1220"/>
      <c r="FT222" s="1220"/>
      <c r="FU222" s="1220"/>
      <c r="FV222" s="1220"/>
      <c r="FW222" s="1220"/>
    </row>
    <row r="223" spans="1:179" x14ac:dyDescent="0.3">
      <c r="A223" s="1214"/>
      <c r="H223" s="1215"/>
      <c r="L223" s="1220"/>
      <c r="M223" s="1220"/>
      <c r="N223" s="1220"/>
      <c r="O223" s="1220"/>
      <c r="P223" s="1220"/>
      <c r="Q223" s="1220"/>
      <c r="R223" s="1220"/>
      <c r="S223" s="1220"/>
      <c r="T223" s="1220"/>
      <c r="U223" s="1220"/>
      <c r="V223" s="1220"/>
      <c r="W223" s="1220"/>
      <c r="X223" s="1220"/>
      <c r="Y223" s="1220"/>
      <c r="Z223" s="1220"/>
      <c r="AA223" s="1220"/>
      <c r="AB223" s="1220"/>
      <c r="AC223" s="1220"/>
      <c r="AD223" s="1220"/>
      <c r="AE223" s="1220"/>
      <c r="AF223" s="1220"/>
      <c r="AG223" s="1220"/>
      <c r="AH223" s="1220"/>
      <c r="AI223" s="1220"/>
      <c r="AJ223" s="1220"/>
      <c r="AK223" s="1220"/>
      <c r="AL223" s="1220"/>
      <c r="AM223" s="1220"/>
      <c r="AN223" s="1220"/>
      <c r="AO223" s="1220"/>
      <c r="AP223" s="1220"/>
      <c r="AQ223" s="1220"/>
      <c r="AR223" s="1220"/>
      <c r="AS223" s="1220"/>
      <c r="AT223" s="1220"/>
      <c r="AU223" s="1220"/>
      <c r="AV223" s="1220"/>
      <c r="AW223" s="1220"/>
      <c r="AX223" s="1220"/>
      <c r="AY223" s="1220"/>
      <c r="AZ223" s="1220"/>
      <c r="BA223" s="1220"/>
      <c r="BB223" s="1220"/>
      <c r="BC223" s="1220"/>
      <c r="BD223" s="1220"/>
      <c r="BE223" s="1220"/>
      <c r="BF223" s="1220"/>
      <c r="BG223" s="1220"/>
      <c r="BH223" s="1220"/>
      <c r="BI223" s="1220"/>
      <c r="BJ223" s="1220"/>
      <c r="BK223" s="1220"/>
      <c r="BL223" s="1220"/>
      <c r="BM223" s="1220"/>
      <c r="BN223" s="1220"/>
      <c r="BO223" s="1220"/>
      <c r="BP223" s="1220"/>
      <c r="BQ223" s="1220"/>
      <c r="BR223" s="1220"/>
      <c r="BS223" s="1220"/>
      <c r="BT223" s="1220"/>
      <c r="BU223" s="1220"/>
      <c r="BV223" s="1220"/>
      <c r="BW223" s="1220"/>
      <c r="BX223" s="1220"/>
      <c r="BY223" s="1220"/>
      <c r="BZ223" s="1220"/>
      <c r="CA223" s="1220"/>
      <c r="CB223" s="1220"/>
      <c r="CC223" s="1220"/>
      <c r="CD223" s="1220"/>
      <c r="CE223" s="1220"/>
      <c r="CF223" s="1220"/>
      <c r="CG223" s="1220"/>
      <c r="CH223" s="1220"/>
      <c r="CI223" s="1220"/>
      <c r="CJ223" s="1220"/>
      <c r="CK223" s="1220"/>
      <c r="CL223" s="1220"/>
      <c r="CM223" s="1220"/>
      <c r="CN223" s="1220"/>
      <c r="CO223" s="1220">
        <f t="shared" ref="CO223:CO233" si="152">-$H223/84</f>
        <v>0</v>
      </c>
      <c r="CP223" s="1220"/>
      <c r="CQ223" s="1220"/>
      <c r="CR223" s="1220"/>
      <c r="CS223" s="1220"/>
      <c r="CT223" s="1220"/>
      <c r="CU223" s="1220"/>
      <c r="CV223" s="1220"/>
      <c r="CW223" s="1220"/>
      <c r="CX223" s="1220"/>
      <c r="CY223" s="1220"/>
      <c r="CZ223" s="1220"/>
      <c r="DA223" s="1220"/>
      <c r="DB223" s="1220"/>
      <c r="DC223" s="1220"/>
      <c r="DD223" s="1220"/>
      <c r="DE223" s="1220"/>
      <c r="DF223" s="101"/>
      <c r="DG223" s="101"/>
      <c r="DH223" s="101"/>
      <c r="DI223" s="101"/>
      <c r="DJ223" s="101"/>
      <c r="DK223" s="101"/>
      <c r="DL223" s="101"/>
      <c r="DM223" s="101"/>
      <c r="DN223" s="101"/>
      <c r="DO223" s="101"/>
      <c r="DP223" s="101"/>
      <c r="DQ223" s="101"/>
      <c r="DR223" s="101"/>
      <c r="DS223" s="101"/>
      <c r="DT223" s="101"/>
      <c r="DU223" s="101"/>
      <c r="DV223" s="101"/>
      <c r="DW223" s="101"/>
      <c r="DX223" s="101"/>
      <c r="DY223" s="101"/>
      <c r="DZ223" s="101"/>
      <c r="EA223" s="101"/>
      <c r="EB223" s="101"/>
      <c r="EC223" s="101"/>
      <c r="ED223" s="101"/>
      <c r="EE223" s="101"/>
      <c r="EF223" s="101"/>
      <c r="EG223" s="101"/>
      <c r="EH223" s="101"/>
      <c r="EI223" s="101"/>
      <c r="EJ223" s="101"/>
      <c r="EK223" s="101"/>
      <c r="EL223" s="101"/>
      <c r="EM223" s="101"/>
      <c r="EN223" s="101"/>
      <c r="EO223" s="101"/>
      <c r="EP223" s="101"/>
      <c r="EQ223" s="101"/>
      <c r="ER223" s="101"/>
      <c r="ES223" s="101"/>
      <c r="ET223" s="101"/>
      <c r="EU223" s="101"/>
      <c r="EV223" s="101"/>
      <c r="EW223" s="101"/>
      <c r="EX223" s="101"/>
      <c r="EY223" s="101"/>
      <c r="EZ223" s="1220"/>
      <c r="FA223" s="1220"/>
      <c r="FB223" s="1220"/>
      <c r="FC223" s="1220"/>
      <c r="FD223" s="1220"/>
      <c r="FE223" s="1220"/>
      <c r="FF223" s="1220"/>
      <c r="FG223" s="1220"/>
      <c r="FH223" s="1220"/>
      <c r="FI223" s="1220"/>
      <c r="FJ223" s="1220"/>
      <c r="FK223" s="1220"/>
      <c r="FL223" s="1220"/>
      <c r="FM223" s="1220"/>
      <c r="FN223" s="1220"/>
      <c r="FO223" s="1220"/>
      <c r="FP223" s="1220"/>
    </row>
    <row r="224" spans="1:179" x14ac:dyDescent="0.3">
      <c r="A224" s="1214" t="s">
        <v>2628</v>
      </c>
      <c r="H224" s="1215">
        <v>25842129.925000012</v>
      </c>
      <c r="L224" s="1220"/>
      <c r="M224" s="1220"/>
      <c r="N224" s="1220"/>
      <c r="O224" s="1220"/>
      <c r="P224" s="1220"/>
      <c r="Q224" s="1220"/>
      <c r="R224" s="1220"/>
      <c r="S224" s="1220"/>
      <c r="T224" s="1220"/>
      <c r="U224" s="1220"/>
      <c r="V224" s="1220"/>
      <c r="W224" s="1220"/>
      <c r="X224" s="1220"/>
      <c r="Y224" s="1220"/>
      <c r="Z224" s="1220"/>
      <c r="AA224" s="1220"/>
      <c r="AB224" s="1220"/>
      <c r="AC224" s="1220"/>
      <c r="AD224" s="1220"/>
      <c r="AE224" s="1220"/>
      <c r="AF224" s="1220"/>
      <c r="AG224" s="1220"/>
      <c r="AH224" s="1220"/>
      <c r="AI224" s="1220"/>
      <c r="AJ224" s="1220"/>
      <c r="AK224" s="1220"/>
      <c r="AL224" s="1220"/>
      <c r="AM224" s="1220"/>
      <c r="AN224" s="1220"/>
      <c r="AO224" s="1220"/>
      <c r="AP224" s="1220"/>
      <c r="AQ224" s="1220"/>
      <c r="AR224" s="1220"/>
      <c r="AS224" s="1220"/>
      <c r="AT224" s="1220"/>
      <c r="AU224" s="1220"/>
      <c r="AV224" s="1220"/>
      <c r="AW224" s="1220"/>
      <c r="AX224" s="1220"/>
      <c r="AY224" s="1220"/>
      <c r="AZ224" s="1220"/>
      <c r="BA224" s="1220"/>
      <c r="BB224" s="1220"/>
      <c r="BC224" s="1220"/>
      <c r="BD224" s="1220"/>
      <c r="BE224" s="1220"/>
      <c r="BF224" s="1220"/>
      <c r="BG224" s="1220"/>
      <c r="BH224" s="1220"/>
      <c r="BI224" s="1220"/>
      <c r="BJ224" s="1220"/>
      <c r="BK224" s="1220"/>
      <c r="BL224" s="1220"/>
      <c r="BM224" s="1220"/>
      <c r="BN224" s="1220"/>
      <c r="BO224" s="1220"/>
      <c r="BP224" s="1220"/>
      <c r="BQ224" s="1220"/>
      <c r="BR224" s="1220"/>
      <c r="BS224" s="1220"/>
      <c r="BT224" s="1220"/>
      <c r="BU224" s="1220"/>
      <c r="BV224" s="1220"/>
      <c r="BW224" s="1220"/>
      <c r="BX224" s="1220"/>
      <c r="BY224" s="1220"/>
      <c r="BZ224" s="1220"/>
      <c r="CA224" s="1220"/>
      <c r="CB224" s="1220"/>
      <c r="CC224" s="1220"/>
      <c r="CD224" s="1220"/>
      <c r="CE224" s="1220"/>
      <c r="CF224" s="1220"/>
      <c r="CG224" s="1220"/>
      <c r="CH224" s="1220"/>
      <c r="CI224" s="1220"/>
      <c r="CJ224" s="1220"/>
      <c r="CK224" s="1220"/>
      <c r="CL224" s="1220"/>
      <c r="CM224" s="1220"/>
      <c r="CN224" s="1220"/>
      <c r="CO224" s="1220"/>
      <c r="CP224" s="1220"/>
      <c r="CQ224" s="1220"/>
      <c r="CR224" s="1220"/>
      <c r="CS224" s="1220"/>
      <c r="CT224" s="1220"/>
      <c r="CU224" s="1220"/>
      <c r="CV224" s="1220"/>
      <c r="CW224" s="1220"/>
      <c r="CX224" s="1220"/>
      <c r="CY224" s="1220"/>
      <c r="CZ224" s="1220"/>
      <c r="DA224" s="1220">
        <f>-$H224/84</f>
        <v>-307644.40386904776</v>
      </c>
      <c r="DB224" s="1220">
        <f>-$H224/84</f>
        <v>-307644.40386904776</v>
      </c>
      <c r="DC224" s="1220">
        <f>-$H224/84</f>
        <v>-307644.40386904776</v>
      </c>
      <c r="DD224" s="1220">
        <f>-$H224/84</f>
        <v>-307644.40386904776</v>
      </c>
      <c r="DE224" s="1220">
        <f>-$H224/84</f>
        <v>-307644.40386904776</v>
      </c>
      <c r="DF224" s="101"/>
      <c r="DG224" s="101"/>
      <c r="DH224" s="101"/>
      <c r="DI224" s="101"/>
      <c r="DJ224" s="101"/>
      <c r="DK224" s="101"/>
      <c r="DL224" s="101"/>
      <c r="DM224" s="101"/>
      <c r="DN224" s="101"/>
      <c r="DO224" s="101"/>
      <c r="DP224" s="101"/>
      <c r="DQ224" s="101"/>
      <c r="DR224" s="101"/>
      <c r="DS224" s="101"/>
      <c r="DT224" s="101"/>
      <c r="DU224" s="101"/>
      <c r="DV224" s="101"/>
      <c r="DW224" s="101"/>
      <c r="DX224" s="101"/>
      <c r="DY224" s="101"/>
      <c r="DZ224" s="101"/>
      <c r="EA224" s="101"/>
      <c r="EB224" s="101"/>
      <c r="EC224" s="101"/>
      <c r="ED224" s="101"/>
      <c r="EE224" s="101"/>
      <c r="EF224" s="101"/>
      <c r="EG224" s="101"/>
      <c r="EH224" s="101"/>
      <c r="EI224" s="101"/>
      <c r="EJ224" s="101"/>
      <c r="EK224" s="101"/>
      <c r="EL224" s="101"/>
      <c r="EM224" s="101"/>
      <c r="EN224" s="101"/>
      <c r="EO224" s="101"/>
      <c r="EP224" s="101"/>
      <c r="EQ224" s="101"/>
      <c r="ER224" s="101"/>
      <c r="ES224" s="101"/>
      <c r="ET224" s="101"/>
      <c r="EU224" s="101"/>
      <c r="EV224" s="101"/>
      <c r="EW224" s="101"/>
      <c r="EX224" s="101"/>
      <c r="EY224" s="101"/>
      <c r="EZ224" s="1220"/>
      <c r="FA224" s="1220"/>
      <c r="FB224" s="1220"/>
      <c r="FC224" s="1220"/>
      <c r="FD224" s="1220"/>
      <c r="FE224" s="1220"/>
      <c r="FF224" s="1220"/>
      <c r="FG224" s="1220"/>
      <c r="FH224" s="1220"/>
      <c r="FI224" s="1220"/>
      <c r="FJ224" s="1220"/>
      <c r="FK224" s="1220"/>
      <c r="FL224" s="1220"/>
      <c r="FM224" s="1220"/>
      <c r="FN224" s="1220"/>
      <c r="FO224" s="1220"/>
      <c r="FP224" s="1220"/>
      <c r="FQ224" s="1220"/>
      <c r="FR224" s="1220"/>
      <c r="FS224" s="1220"/>
      <c r="FT224" s="1220"/>
      <c r="FU224" s="1220"/>
      <c r="FV224" s="1220"/>
      <c r="FW224" s="1220"/>
    </row>
    <row r="225" spans="1:179" x14ac:dyDescent="0.3">
      <c r="A225" s="1214"/>
      <c r="H225" s="1215"/>
      <c r="L225" s="1220"/>
      <c r="M225" s="1220"/>
      <c r="N225" s="1220"/>
      <c r="O225" s="1220"/>
      <c r="P225" s="1220"/>
      <c r="Q225" s="1220"/>
      <c r="R225" s="1220"/>
      <c r="S225" s="1220"/>
      <c r="T225" s="1220"/>
      <c r="U225" s="1220"/>
      <c r="V225" s="1220"/>
      <c r="W225" s="1220"/>
      <c r="X225" s="1220"/>
      <c r="Y225" s="1220"/>
      <c r="Z225" s="1220"/>
      <c r="AA225" s="1220"/>
      <c r="AB225" s="1220"/>
      <c r="AC225" s="1220"/>
      <c r="AD225" s="1220"/>
      <c r="AE225" s="1220"/>
      <c r="AF225" s="1220"/>
      <c r="AG225" s="1220"/>
      <c r="AH225" s="1220"/>
      <c r="AI225" s="1220"/>
      <c r="AJ225" s="1220"/>
      <c r="AK225" s="1220"/>
      <c r="AL225" s="1220"/>
      <c r="AM225" s="1220"/>
      <c r="AN225" s="1220"/>
      <c r="AO225" s="1220"/>
      <c r="AP225" s="1220"/>
      <c r="AQ225" s="1220"/>
      <c r="AR225" s="1220"/>
      <c r="AS225" s="1220"/>
      <c r="AT225" s="1220"/>
      <c r="AU225" s="1220"/>
      <c r="AV225" s="1220"/>
      <c r="AW225" s="1220"/>
      <c r="AX225" s="1220"/>
      <c r="AY225" s="1220"/>
      <c r="AZ225" s="1220"/>
      <c r="BA225" s="1220"/>
      <c r="BB225" s="1220"/>
      <c r="BC225" s="1220"/>
      <c r="BD225" s="1220"/>
      <c r="BE225" s="1220"/>
      <c r="BF225" s="1220"/>
      <c r="BG225" s="1220"/>
      <c r="BH225" s="1220"/>
      <c r="BI225" s="1220"/>
      <c r="BJ225" s="1220"/>
      <c r="BK225" s="1220"/>
      <c r="BL225" s="1220"/>
      <c r="BM225" s="1220"/>
      <c r="BN225" s="1220"/>
      <c r="BO225" s="1220"/>
      <c r="BP225" s="1220"/>
      <c r="BQ225" s="1220"/>
      <c r="BR225" s="1220"/>
      <c r="BS225" s="1220"/>
      <c r="BT225" s="1220"/>
      <c r="BU225" s="1220"/>
      <c r="BV225" s="1220"/>
      <c r="BW225" s="1220"/>
      <c r="BX225" s="1220"/>
      <c r="BY225" s="1220"/>
      <c r="BZ225" s="1220"/>
      <c r="CA225" s="1220"/>
      <c r="CB225" s="1220"/>
      <c r="CC225" s="1220"/>
      <c r="CD225" s="1220"/>
      <c r="CE225" s="1220"/>
      <c r="CF225" s="1220"/>
      <c r="CG225" s="1220"/>
      <c r="CH225" s="1220"/>
      <c r="CI225" s="1220"/>
      <c r="CJ225" s="1220"/>
      <c r="CK225" s="1220"/>
      <c r="CL225" s="1220"/>
      <c r="CM225" s="1220"/>
      <c r="CN225" s="1220"/>
      <c r="CO225" s="1220">
        <f t="shared" si="152"/>
        <v>0</v>
      </c>
      <c r="CP225" s="1220"/>
      <c r="CQ225" s="1220"/>
      <c r="CR225" s="1220"/>
      <c r="CS225" s="1220"/>
      <c r="CT225" s="1220"/>
      <c r="CU225" s="1220"/>
      <c r="CV225" s="1220"/>
      <c r="CW225" s="1220"/>
      <c r="CX225" s="1220"/>
      <c r="CY225" s="1220"/>
      <c r="CZ225" s="1220"/>
      <c r="DA225" s="1220"/>
      <c r="DB225" s="1220"/>
      <c r="DC225" s="1220"/>
      <c r="DD225" s="1220"/>
      <c r="DE225" s="1220"/>
      <c r="DF225" s="101"/>
      <c r="DG225" s="101"/>
      <c r="DH225" s="101"/>
      <c r="DI225" s="101"/>
      <c r="DJ225" s="101"/>
      <c r="DK225" s="101"/>
      <c r="DL225" s="101"/>
      <c r="DM225" s="101"/>
      <c r="DN225" s="101"/>
      <c r="DO225" s="101"/>
      <c r="DP225" s="101"/>
      <c r="DQ225" s="101"/>
      <c r="DR225" s="101"/>
      <c r="DS225" s="101"/>
      <c r="DT225" s="101"/>
      <c r="DU225" s="101"/>
      <c r="DV225" s="101"/>
      <c r="DW225" s="101"/>
      <c r="DX225" s="101"/>
      <c r="DY225" s="101"/>
      <c r="DZ225" s="101"/>
      <c r="EA225" s="101"/>
      <c r="EB225" s="101"/>
      <c r="EC225" s="101"/>
      <c r="ED225" s="101"/>
      <c r="EE225" s="101"/>
      <c r="EF225" s="101"/>
      <c r="EG225" s="101"/>
      <c r="EH225" s="101"/>
      <c r="EI225" s="101"/>
      <c r="EJ225" s="101"/>
      <c r="EK225" s="101"/>
      <c r="EL225" s="101"/>
      <c r="EM225" s="101"/>
      <c r="EN225" s="101"/>
      <c r="EO225" s="101"/>
      <c r="EP225" s="101"/>
      <c r="EQ225" s="101"/>
      <c r="ER225" s="101"/>
      <c r="ES225" s="101"/>
      <c r="ET225" s="101"/>
      <c r="EU225" s="101"/>
      <c r="EV225" s="101"/>
      <c r="EW225" s="101"/>
      <c r="EX225" s="101"/>
      <c r="EY225" s="101"/>
      <c r="EZ225" s="1220"/>
      <c r="FA225" s="1220"/>
      <c r="FB225" s="1220"/>
      <c r="FC225" s="1220"/>
      <c r="FD225" s="1220"/>
      <c r="FE225" s="1220"/>
      <c r="FF225" s="1220"/>
      <c r="FG225" s="1220"/>
      <c r="FH225" s="1220"/>
      <c r="FI225" s="1220"/>
      <c r="FJ225" s="1220"/>
      <c r="FK225" s="1220"/>
      <c r="FL225" s="1220"/>
      <c r="FM225" s="1220"/>
      <c r="FN225" s="1220"/>
      <c r="FO225" s="1220"/>
      <c r="FP225" s="1220"/>
    </row>
    <row r="226" spans="1:179" x14ac:dyDescent="0.3">
      <c r="A226" s="1214" t="s">
        <v>2629</v>
      </c>
      <c r="H226" s="1215">
        <v>25842129.925000012</v>
      </c>
      <c r="L226" s="1220"/>
      <c r="M226" s="1220"/>
      <c r="N226" s="1220"/>
      <c r="O226" s="1220"/>
      <c r="P226" s="1220"/>
      <c r="Q226" s="1220"/>
      <c r="R226" s="1220"/>
      <c r="S226" s="1220"/>
      <c r="T226" s="1220"/>
      <c r="U226" s="1220"/>
      <c r="V226" s="1220"/>
      <c r="W226" s="1220"/>
      <c r="X226" s="1220"/>
      <c r="Y226" s="1220"/>
      <c r="Z226" s="1220"/>
      <c r="AA226" s="1220"/>
      <c r="AB226" s="1220"/>
      <c r="AC226" s="1220"/>
      <c r="AD226" s="1220"/>
      <c r="AE226" s="1220"/>
      <c r="AF226" s="1220"/>
      <c r="AG226" s="1220"/>
      <c r="AH226" s="1220"/>
      <c r="AI226" s="1220"/>
      <c r="AJ226" s="1220"/>
      <c r="AK226" s="1220"/>
      <c r="AL226" s="1220"/>
      <c r="AM226" s="1220"/>
      <c r="AN226" s="1220"/>
      <c r="AO226" s="1220"/>
      <c r="AP226" s="1220"/>
      <c r="AQ226" s="1220"/>
      <c r="AR226" s="1220"/>
      <c r="AS226" s="1220"/>
      <c r="AT226" s="1220"/>
      <c r="AU226" s="1220"/>
      <c r="AV226" s="1220"/>
      <c r="AW226" s="1220"/>
      <c r="AX226" s="1220"/>
      <c r="AY226" s="1220"/>
      <c r="AZ226" s="1220"/>
      <c r="BA226" s="1220"/>
      <c r="BB226" s="1220"/>
      <c r="BC226" s="1220"/>
      <c r="BD226" s="1220"/>
      <c r="BE226" s="1220"/>
      <c r="BF226" s="1220"/>
      <c r="BG226" s="1220"/>
      <c r="BH226" s="1220"/>
      <c r="BI226" s="1220"/>
      <c r="BJ226" s="1220"/>
      <c r="BK226" s="1220"/>
      <c r="BL226" s="1220"/>
      <c r="BM226" s="1220"/>
      <c r="BN226" s="1220"/>
      <c r="BO226" s="1220"/>
      <c r="BP226" s="1220"/>
      <c r="BQ226" s="1220"/>
      <c r="BR226" s="1220"/>
      <c r="BS226" s="1220"/>
      <c r="BT226" s="1220"/>
      <c r="BU226" s="1220"/>
      <c r="BV226" s="1220"/>
      <c r="BW226" s="1220"/>
      <c r="BX226" s="1220"/>
      <c r="BY226" s="1220"/>
      <c r="BZ226" s="1220"/>
      <c r="CA226" s="1220"/>
      <c r="CB226" s="1220"/>
      <c r="CC226" s="1220"/>
      <c r="CD226" s="1220"/>
      <c r="CE226" s="1220"/>
      <c r="CF226" s="1220"/>
      <c r="CG226" s="1220"/>
      <c r="CH226" s="1220"/>
      <c r="CI226" s="1220"/>
      <c r="CJ226" s="1220"/>
      <c r="CK226" s="1220"/>
      <c r="CL226" s="1220"/>
      <c r="CM226" s="1220"/>
      <c r="CN226" s="1220"/>
      <c r="CO226" s="1220"/>
      <c r="CP226" s="1220"/>
      <c r="CQ226" s="1220"/>
      <c r="CR226" s="1220"/>
      <c r="CS226" s="1220"/>
      <c r="CT226" s="1220"/>
      <c r="CU226" s="1220"/>
      <c r="CV226" s="1220"/>
      <c r="CW226" s="1220"/>
      <c r="CX226" s="1220"/>
      <c r="CY226" s="1220"/>
      <c r="CZ226" s="1220"/>
      <c r="DA226" s="1220"/>
      <c r="DB226" s="1220">
        <f>-$H226/84</f>
        <v>-307644.40386904776</v>
      </c>
      <c r="DC226" s="1220">
        <f>-$H226/84</f>
        <v>-307644.40386904776</v>
      </c>
      <c r="DD226" s="1220">
        <f>-$H226/84</f>
        <v>-307644.40386904776</v>
      </c>
      <c r="DE226" s="1220">
        <f>-$H226/84</f>
        <v>-307644.40386904776</v>
      </c>
      <c r="DF226" s="101"/>
      <c r="DG226" s="101"/>
      <c r="DH226" s="101"/>
      <c r="DI226" s="101"/>
      <c r="DJ226" s="101"/>
      <c r="DK226" s="101"/>
      <c r="DL226" s="101"/>
      <c r="DM226" s="101"/>
      <c r="DN226" s="101"/>
      <c r="DO226" s="101"/>
      <c r="DP226" s="101"/>
      <c r="DQ226" s="101"/>
      <c r="DR226" s="101"/>
      <c r="DS226" s="101"/>
      <c r="DT226" s="101"/>
      <c r="DU226" s="101"/>
      <c r="DV226" s="101"/>
      <c r="DW226" s="101"/>
      <c r="DX226" s="101"/>
      <c r="DY226" s="101"/>
      <c r="DZ226" s="101"/>
      <c r="EA226" s="101"/>
      <c r="EB226" s="101"/>
      <c r="EC226" s="101"/>
      <c r="ED226" s="101"/>
      <c r="EE226" s="101"/>
      <c r="EF226" s="101"/>
      <c r="EG226" s="101"/>
      <c r="EH226" s="101"/>
      <c r="EI226" s="101"/>
      <c r="EJ226" s="101"/>
      <c r="EK226" s="101"/>
      <c r="EL226" s="101"/>
      <c r="EM226" s="101"/>
      <c r="EN226" s="101"/>
      <c r="EO226" s="101"/>
      <c r="EP226" s="101"/>
      <c r="EQ226" s="101"/>
      <c r="ER226" s="101"/>
      <c r="ES226" s="101"/>
      <c r="ET226" s="101"/>
      <c r="EU226" s="101"/>
      <c r="EV226" s="101"/>
      <c r="EW226" s="101"/>
      <c r="EX226" s="101"/>
      <c r="EY226" s="101"/>
      <c r="EZ226" s="1220"/>
      <c r="FA226" s="1220"/>
      <c r="FB226" s="1220"/>
      <c r="FC226" s="1220"/>
      <c r="FD226" s="1220"/>
      <c r="FE226" s="1220"/>
      <c r="FF226" s="1220"/>
      <c r="FG226" s="1220"/>
      <c r="FH226" s="1220"/>
      <c r="FI226" s="1220"/>
      <c r="FJ226" s="1220"/>
      <c r="FK226" s="1220"/>
      <c r="FL226" s="1220"/>
      <c r="FM226" s="1220"/>
      <c r="FN226" s="1220"/>
      <c r="FO226" s="1220"/>
      <c r="FP226" s="1220"/>
      <c r="FQ226" s="1220"/>
      <c r="FR226" s="1220"/>
      <c r="FS226" s="1220"/>
      <c r="FT226" s="1220"/>
      <c r="FU226" s="1220"/>
      <c r="FV226" s="1220"/>
      <c r="FW226" s="1220"/>
    </row>
    <row r="227" spans="1:179" x14ac:dyDescent="0.3">
      <c r="A227" s="1214"/>
      <c r="H227" s="1215"/>
      <c r="L227" s="1220"/>
      <c r="M227" s="1220"/>
      <c r="N227" s="1220"/>
      <c r="O227" s="1220"/>
      <c r="P227" s="1220"/>
      <c r="Q227" s="1220"/>
      <c r="R227" s="1220"/>
      <c r="S227" s="1220"/>
      <c r="T227" s="1220"/>
      <c r="U227" s="1220"/>
      <c r="V227" s="1220"/>
      <c r="W227" s="1220"/>
      <c r="X227" s="1220"/>
      <c r="Y227" s="1220"/>
      <c r="Z227" s="1220"/>
      <c r="AA227" s="1220"/>
      <c r="AB227" s="1220"/>
      <c r="AC227" s="1220"/>
      <c r="AD227" s="1220"/>
      <c r="AE227" s="1220"/>
      <c r="AF227" s="1220"/>
      <c r="AG227" s="1220"/>
      <c r="AH227" s="1220"/>
      <c r="AI227" s="1220"/>
      <c r="AJ227" s="1220"/>
      <c r="AK227" s="1220"/>
      <c r="AL227" s="1220"/>
      <c r="AM227" s="1220"/>
      <c r="AN227" s="1220"/>
      <c r="AO227" s="1220"/>
      <c r="AP227" s="1220"/>
      <c r="AQ227" s="1220"/>
      <c r="AR227" s="1220"/>
      <c r="AS227" s="1220"/>
      <c r="AT227" s="1220"/>
      <c r="AU227" s="1220"/>
      <c r="AV227" s="1220"/>
      <c r="AW227" s="1220"/>
      <c r="AX227" s="1220"/>
      <c r="AY227" s="1220"/>
      <c r="AZ227" s="1220"/>
      <c r="BA227" s="1220"/>
      <c r="BB227" s="1220"/>
      <c r="BC227" s="1220"/>
      <c r="BD227" s="1220"/>
      <c r="BE227" s="1220"/>
      <c r="BF227" s="1220"/>
      <c r="BG227" s="1220"/>
      <c r="BH227" s="1220"/>
      <c r="BI227" s="1220"/>
      <c r="BJ227" s="1220"/>
      <c r="BK227" s="1220"/>
      <c r="BL227" s="1220"/>
      <c r="BM227" s="1220"/>
      <c r="BN227" s="1220"/>
      <c r="BO227" s="1220"/>
      <c r="BP227" s="1220"/>
      <c r="BQ227" s="1220"/>
      <c r="BR227" s="1220"/>
      <c r="BS227" s="1220"/>
      <c r="BT227" s="1220"/>
      <c r="BU227" s="1220"/>
      <c r="BV227" s="1220"/>
      <c r="BW227" s="1220"/>
      <c r="BX227" s="1220"/>
      <c r="BY227" s="1220"/>
      <c r="BZ227" s="1220"/>
      <c r="CA227" s="1220"/>
      <c r="CB227" s="1220"/>
      <c r="CC227" s="1220"/>
      <c r="CD227" s="1220"/>
      <c r="CE227" s="1220"/>
      <c r="CF227" s="1220"/>
      <c r="CG227" s="1220"/>
      <c r="CH227" s="1220"/>
      <c r="CI227" s="1220"/>
      <c r="CJ227" s="1220"/>
      <c r="CK227" s="1220"/>
      <c r="CL227" s="1220"/>
      <c r="CM227" s="1220"/>
      <c r="CN227" s="1220"/>
      <c r="CO227" s="1220">
        <f t="shared" si="152"/>
        <v>0</v>
      </c>
      <c r="CP227" s="1220"/>
      <c r="CQ227" s="1220"/>
      <c r="CR227" s="1220"/>
      <c r="CS227" s="1220"/>
      <c r="CT227" s="1220"/>
      <c r="CU227" s="1220"/>
      <c r="CV227" s="1220"/>
      <c r="CW227" s="1220"/>
      <c r="CX227" s="1220"/>
      <c r="CY227" s="1220"/>
      <c r="CZ227" s="1220"/>
      <c r="DA227" s="1220"/>
      <c r="DB227" s="1220"/>
      <c r="DC227" s="1220"/>
      <c r="DD227" s="1220"/>
      <c r="DE227" s="1220"/>
      <c r="DF227" s="101"/>
      <c r="DG227" s="101"/>
      <c r="DH227" s="101"/>
      <c r="DI227" s="101"/>
      <c r="DJ227" s="101"/>
      <c r="DK227" s="101"/>
      <c r="DL227" s="101"/>
      <c r="DM227" s="101"/>
      <c r="DN227" s="101"/>
      <c r="DO227" s="101"/>
      <c r="DP227" s="101"/>
      <c r="DQ227" s="101"/>
      <c r="DR227" s="101"/>
      <c r="DS227" s="101"/>
      <c r="DT227" s="101"/>
      <c r="DU227" s="101"/>
      <c r="DV227" s="101"/>
      <c r="DW227" s="101"/>
      <c r="DX227" s="101"/>
      <c r="DY227" s="101"/>
      <c r="DZ227" s="101"/>
      <c r="EA227" s="101"/>
      <c r="EB227" s="101"/>
      <c r="EC227" s="101"/>
      <c r="ED227" s="101"/>
      <c r="EE227" s="101"/>
      <c r="EF227" s="101"/>
      <c r="EG227" s="101"/>
      <c r="EH227" s="101"/>
      <c r="EI227" s="101"/>
      <c r="EJ227" s="101"/>
      <c r="EK227" s="101"/>
      <c r="EL227" s="101"/>
      <c r="EM227" s="101"/>
      <c r="EN227" s="101"/>
      <c r="EO227" s="101"/>
      <c r="EP227" s="101"/>
      <c r="EQ227" s="101"/>
      <c r="ER227" s="101"/>
      <c r="ES227" s="101"/>
      <c r="ET227" s="101"/>
      <c r="EU227" s="101"/>
      <c r="EV227" s="101"/>
      <c r="EW227" s="101"/>
      <c r="EX227" s="101"/>
      <c r="EY227" s="101"/>
      <c r="EZ227" s="1220"/>
      <c r="FA227" s="1220"/>
      <c r="FB227" s="1220"/>
      <c r="FC227" s="1220"/>
      <c r="FD227" s="1220"/>
      <c r="FE227" s="1220"/>
      <c r="FF227" s="1220"/>
      <c r="FG227" s="1220"/>
      <c r="FH227" s="1220"/>
      <c r="FI227" s="1220"/>
      <c r="FJ227" s="1220"/>
      <c r="FK227" s="1220"/>
      <c r="FL227" s="1220"/>
      <c r="FM227" s="1220"/>
      <c r="FN227" s="1220"/>
      <c r="FO227" s="1220"/>
      <c r="FP227" s="1220"/>
    </row>
    <row r="228" spans="1:179" x14ac:dyDescent="0.3">
      <c r="A228" s="1214" t="s">
        <v>2630</v>
      </c>
      <c r="H228" s="1215">
        <v>25842129.925000012</v>
      </c>
      <c r="L228" s="1220"/>
      <c r="M228" s="1220"/>
      <c r="N228" s="1220"/>
      <c r="O228" s="1220"/>
      <c r="P228" s="1220"/>
      <c r="Q228" s="1220"/>
      <c r="R228" s="1220"/>
      <c r="S228" s="1220"/>
      <c r="T228" s="1220"/>
      <c r="U228" s="1220"/>
      <c r="V228" s="1220"/>
      <c r="W228" s="1220"/>
      <c r="X228" s="1220"/>
      <c r="Y228" s="1220"/>
      <c r="Z228" s="1220"/>
      <c r="AA228" s="1220"/>
      <c r="AB228" s="1220"/>
      <c r="AC228" s="1220"/>
      <c r="AD228" s="1220"/>
      <c r="AE228" s="1220"/>
      <c r="AF228" s="1220"/>
      <c r="AG228" s="1220"/>
      <c r="AH228" s="1220"/>
      <c r="AI228" s="1220"/>
      <c r="AJ228" s="1220"/>
      <c r="AK228" s="1220"/>
      <c r="AL228" s="1220"/>
      <c r="AM228" s="1220"/>
      <c r="AN228" s="1220"/>
      <c r="AO228" s="1220"/>
      <c r="AP228" s="1220"/>
      <c r="AQ228" s="1220"/>
      <c r="AR228" s="1220"/>
      <c r="AS228" s="1220"/>
      <c r="AT228" s="1220"/>
      <c r="AU228" s="1220"/>
      <c r="AV228" s="1220"/>
      <c r="AW228" s="1220"/>
      <c r="AX228" s="1220"/>
      <c r="AY228" s="1220"/>
      <c r="AZ228" s="1220"/>
      <c r="BA228" s="1220"/>
      <c r="BB228" s="1220"/>
      <c r="BC228" s="1220"/>
      <c r="BD228" s="1220"/>
      <c r="BE228" s="1220"/>
      <c r="BF228" s="1220"/>
      <c r="BG228" s="1220"/>
      <c r="BH228" s="1220"/>
      <c r="BI228" s="1220"/>
      <c r="BJ228" s="1220"/>
      <c r="BK228" s="1220"/>
      <c r="BL228" s="1220"/>
      <c r="BM228" s="1220"/>
      <c r="BN228" s="1220"/>
      <c r="BO228" s="1220"/>
      <c r="BP228" s="1220"/>
      <c r="BQ228" s="1220"/>
      <c r="BR228" s="1220"/>
      <c r="BS228" s="1220"/>
      <c r="BT228" s="1220"/>
      <c r="BU228" s="1220"/>
      <c r="BV228" s="1220"/>
      <c r="BW228" s="1220"/>
      <c r="BX228" s="1220"/>
      <c r="BY228" s="1220"/>
      <c r="BZ228" s="1220"/>
      <c r="CA228" s="1220"/>
      <c r="CB228" s="1220"/>
      <c r="CC228" s="1220"/>
      <c r="CD228" s="1220"/>
      <c r="CE228" s="1220"/>
      <c r="CF228" s="1220"/>
      <c r="CG228" s="1220"/>
      <c r="CH228" s="1220"/>
      <c r="CI228" s="1220"/>
      <c r="CJ228" s="1220"/>
      <c r="CK228" s="1220"/>
      <c r="CL228" s="1220"/>
      <c r="CM228" s="1220"/>
      <c r="CN228" s="1220"/>
      <c r="CO228" s="1220"/>
      <c r="CP228" s="1220"/>
      <c r="CQ228" s="1220"/>
      <c r="CR228" s="1220"/>
      <c r="CS228" s="1220"/>
      <c r="CT228" s="1220"/>
      <c r="CU228" s="1220"/>
      <c r="CV228" s="1220"/>
      <c r="CW228" s="1220"/>
      <c r="CX228" s="1220"/>
      <c r="CY228" s="1220"/>
      <c r="CZ228" s="1220"/>
      <c r="DA228" s="1220"/>
      <c r="DB228" s="1220"/>
      <c r="DC228" s="1220">
        <f>-$H228/84</f>
        <v>-307644.40386904776</v>
      </c>
      <c r="DD228" s="1220">
        <f>-$H228/84</f>
        <v>-307644.40386904776</v>
      </c>
      <c r="DE228" s="1220">
        <f>-$H228/84</f>
        <v>-307644.40386904776</v>
      </c>
      <c r="DF228" s="101"/>
      <c r="DG228" s="101"/>
      <c r="DH228" s="101"/>
      <c r="DI228" s="101"/>
      <c r="DJ228" s="101"/>
      <c r="DK228" s="101"/>
      <c r="DL228" s="101"/>
      <c r="DM228" s="101"/>
      <c r="DN228" s="101"/>
      <c r="DO228" s="101"/>
      <c r="DP228" s="101"/>
      <c r="DQ228" s="101"/>
      <c r="DR228" s="101"/>
      <c r="DS228" s="101"/>
      <c r="DT228" s="101"/>
      <c r="DU228" s="101"/>
      <c r="DV228" s="101"/>
      <c r="DW228" s="101"/>
      <c r="DX228" s="101"/>
      <c r="DY228" s="101"/>
      <c r="DZ228" s="101"/>
      <c r="EA228" s="101"/>
      <c r="EB228" s="101"/>
      <c r="EC228" s="101"/>
      <c r="ED228" s="101"/>
      <c r="EE228" s="101"/>
      <c r="EF228" s="101"/>
      <c r="EG228" s="101"/>
      <c r="EH228" s="101"/>
      <c r="EI228" s="101"/>
      <c r="EJ228" s="101"/>
      <c r="EK228" s="101"/>
      <c r="EL228" s="101"/>
      <c r="EM228" s="101"/>
      <c r="EN228" s="101"/>
      <c r="EO228" s="101"/>
      <c r="EP228" s="101"/>
      <c r="EQ228" s="101"/>
      <c r="ER228" s="101"/>
      <c r="ES228" s="101"/>
      <c r="ET228" s="101"/>
      <c r="EU228" s="101"/>
      <c r="EV228" s="101"/>
      <c r="EW228" s="101"/>
      <c r="EX228" s="101"/>
      <c r="EY228" s="101"/>
      <c r="EZ228" s="1220"/>
      <c r="FA228" s="1220"/>
      <c r="FB228" s="1220"/>
      <c r="FC228" s="1220"/>
      <c r="FD228" s="1220"/>
      <c r="FE228" s="1220"/>
      <c r="FF228" s="1220"/>
      <c r="FG228" s="1220"/>
      <c r="FH228" s="1220"/>
      <c r="FI228" s="1220"/>
      <c r="FJ228" s="1220"/>
      <c r="FK228" s="1220"/>
      <c r="FL228" s="1220"/>
      <c r="FM228" s="1220"/>
      <c r="FN228" s="1220"/>
      <c r="FO228" s="1220"/>
      <c r="FP228" s="1220"/>
      <c r="FQ228" s="1220"/>
      <c r="FR228" s="1220"/>
      <c r="FS228" s="1220"/>
      <c r="FT228" s="1220"/>
      <c r="FU228" s="1220"/>
      <c r="FV228" s="1220"/>
      <c r="FW228" s="1220"/>
    </row>
    <row r="229" spans="1:179" x14ac:dyDescent="0.3">
      <c r="A229" s="1214"/>
      <c r="H229" s="1215"/>
      <c r="L229" s="1220"/>
      <c r="M229" s="1220"/>
      <c r="N229" s="1220"/>
      <c r="O229" s="1220"/>
      <c r="P229" s="1220"/>
      <c r="Q229" s="1220"/>
      <c r="R229" s="1220"/>
      <c r="S229" s="1220"/>
      <c r="T229" s="1220"/>
      <c r="U229" s="1220"/>
      <c r="V229" s="1220"/>
      <c r="W229" s="1220"/>
      <c r="X229" s="1220"/>
      <c r="Y229" s="1220"/>
      <c r="Z229" s="1220"/>
      <c r="AA229" s="1220"/>
      <c r="AB229" s="1220"/>
      <c r="AC229" s="1220"/>
      <c r="AD229" s="1220"/>
      <c r="AE229" s="1220"/>
      <c r="AF229" s="1220"/>
      <c r="AG229" s="1220"/>
      <c r="AH229" s="1220"/>
      <c r="AI229" s="1220"/>
      <c r="AJ229" s="1220"/>
      <c r="AK229" s="1220"/>
      <c r="AL229" s="1220"/>
      <c r="AM229" s="1220"/>
      <c r="AN229" s="1220"/>
      <c r="AO229" s="1220"/>
      <c r="AP229" s="1220"/>
      <c r="AQ229" s="1220"/>
      <c r="AR229" s="1220"/>
      <c r="AS229" s="1220"/>
      <c r="AT229" s="1220"/>
      <c r="AU229" s="1220"/>
      <c r="AV229" s="1220"/>
      <c r="AW229" s="1220"/>
      <c r="AX229" s="1220"/>
      <c r="AY229" s="1220"/>
      <c r="AZ229" s="1220"/>
      <c r="BA229" s="1220"/>
      <c r="BB229" s="1220"/>
      <c r="BC229" s="1220"/>
      <c r="BD229" s="1220"/>
      <c r="BE229" s="1220"/>
      <c r="BF229" s="1220"/>
      <c r="BG229" s="1220"/>
      <c r="BH229" s="1220"/>
      <c r="BI229" s="1220"/>
      <c r="BJ229" s="1220"/>
      <c r="BK229" s="1220"/>
      <c r="BL229" s="1220"/>
      <c r="BM229" s="1220"/>
      <c r="BN229" s="1220"/>
      <c r="BO229" s="1220"/>
      <c r="BP229" s="1220"/>
      <c r="BQ229" s="1220"/>
      <c r="BR229" s="1220"/>
      <c r="BS229" s="1220"/>
      <c r="BT229" s="1220"/>
      <c r="BU229" s="1220"/>
      <c r="BV229" s="1220"/>
      <c r="BW229" s="1220"/>
      <c r="BX229" s="1220"/>
      <c r="BY229" s="1220"/>
      <c r="BZ229" s="1220"/>
      <c r="CA229" s="1220"/>
      <c r="CB229" s="1220"/>
      <c r="CC229" s="1220"/>
      <c r="CD229" s="1220"/>
      <c r="CE229" s="1220"/>
      <c r="CF229" s="1220"/>
      <c r="CG229" s="1220"/>
      <c r="CH229" s="1220"/>
      <c r="CI229" s="1220"/>
      <c r="CJ229" s="1220"/>
      <c r="CK229" s="1220"/>
      <c r="CL229" s="1220"/>
      <c r="CM229" s="1220"/>
      <c r="CN229" s="1220"/>
      <c r="CO229" s="1220">
        <f t="shared" si="152"/>
        <v>0</v>
      </c>
      <c r="CP229" s="1220"/>
      <c r="CQ229" s="1220"/>
      <c r="CR229" s="1220"/>
      <c r="CS229" s="1220"/>
      <c r="CT229" s="1220"/>
      <c r="CU229" s="1220"/>
      <c r="CV229" s="1220"/>
      <c r="CW229" s="1220"/>
      <c r="CX229" s="1220"/>
      <c r="CY229" s="1220"/>
      <c r="CZ229" s="1220"/>
      <c r="DA229" s="1220"/>
      <c r="DB229" s="1220"/>
      <c r="DC229" s="1220"/>
      <c r="DD229" s="1220"/>
      <c r="DE229" s="1220"/>
      <c r="DF229" s="101"/>
      <c r="DG229" s="101"/>
      <c r="DH229" s="101"/>
      <c r="DI229" s="101"/>
      <c r="DJ229" s="101"/>
      <c r="DK229" s="101"/>
      <c r="DL229" s="101"/>
      <c r="DM229" s="101"/>
      <c r="DN229" s="101"/>
      <c r="DO229" s="101"/>
      <c r="DP229" s="101"/>
      <c r="DQ229" s="101"/>
      <c r="DR229" s="101"/>
      <c r="DS229" s="101"/>
      <c r="DT229" s="101"/>
      <c r="DU229" s="101"/>
      <c r="DV229" s="101"/>
      <c r="DW229" s="101"/>
      <c r="DX229" s="101"/>
      <c r="DY229" s="101"/>
      <c r="DZ229" s="101"/>
      <c r="EA229" s="101"/>
      <c r="EB229" s="101"/>
      <c r="EC229" s="101"/>
      <c r="ED229" s="101"/>
      <c r="EE229" s="101"/>
      <c r="EF229" s="101"/>
      <c r="EG229" s="101"/>
      <c r="EH229" s="101"/>
      <c r="EI229" s="101"/>
      <c r="EJ229" s="101"/>
      <c r="EK229" s="101"/>
      <c r="EL229" s="101"/>
      <c r="EM229" s="101"/>
      <c r="EN229" s="101"/>
      <c r="EO229" s="101"/>
      <c r="EP229" s="101"/>
      <c r="EQ229" s="101"/>
      <c r="ER229" s="101"/>
      <c r="ES229" s="101"/>
      <c r="ET229" s="101"/>
      <c r="EU229" s="101"/>
      <c r="EV229" s="101"/>
      <c r="EW229" s="101"/>
      <c r="EX229" s="101"/>
      <c r="EY229" s="101"/>
      <c r="EZ229" s="1220"/>
      <c r="FA229" s="1220"/>
      <c r="FB229" s="1220"/>
      <c r="FC229" s="1220"/>
      <c r="FD229" s="1220"/>
      <c r="FE229" s="1220"/>
      <c r="FF229" s="1220"/>
      <c r="FG229" s="1220"/>
      <c r="FH229" s="1220"/>
      <c r="FI229" s="1220"/>
      <c r="FJ229" s="1220"/>
      <c r="FK229" s="1220"/>
      <c r="FL229" s="1220"/>
      <c r="FM229" s="1220"/>
      <c r="FN229" s="1220"/>
      <c r="FO229" s="1220"/>
      <c r="FP229" s="1220"/>
    </row>
    <row r="230" spans="1:179" x14ac:dyDescent="0.3">
      <c r="A230" s="1214" t="s">
        <v>2631</v>
      </c>
      <c r="H230" s="1215">
        <v>25842129.925000012</v>
      </c>
      <c r="L230" s="1220"/>
      <c r="M230" s="1220"/>
      <c r="N230" s="1220"/>
      <c r="O230" s="1220"/>
      <c r="P230" s="1220"/>
      <c r="Q230" s="1220"/>
      <c r="R230" s="1220"/>
      <c r="S230" s="1220"/>
      <c r="T230" s="1220"/>
      <c r="U230" s="1220"/>
      <c r="V230" s="1220"/>
      <c r="W230" s="1220"/>
      <c r="X230" s="1220"/>
      <c r="Y230" s="1220"/>
      <c r="Z230" s="1220"/>
      <c r="AA230" s="1220"/>
      <c r="AB230" s="1220"/>
      <c r="AC230" s="1220"/>
      <c r="AD230" s="1220"/>
      <c r="AE230" s="1220"/>
      <c r="AF230" s="1220"/>
      <c r="AG230" s="1220"/>
      <c r="AH230" s="1220"/>
      <c r="AI230" s="1220"/>
      <c r="AJ230" s="1220"/>
      <c r="AK230" s="1220"/>
      <c r="AL230" s="1220"/>
      <c r="AM230" s="1220"/>
      <c r="AN230" s="1220"/>
      <c r="AO230" s="1220"/>
      <c r="AP230" s="1220"/>
      <c r="AQ230" s="1220"/>
      <c r="AR230" s="1220"/>
      <c r="AS230" s="1220"/>
      <c r="AT230" s="1220"/>
      <c r="AU230" s="1220"/>
      <c r="AV230" s="1220"/>
      <c r="AW230" s="1220"/>
      <c r="AX230" s="1220"/>
      <c r="AY230" s="1220"/>
      <c r="AZ230" s="1220"/>
      <c r="BA230" s="1220"/>
      <c r="BB230" s="1220"/>
      <c r="BC230" s="1220"/>
      <c r="BD230" s="1220"/>
      <c r="BE230" s="1220"/>
      <c r="BF230" s="1220"/>
      <c r="BG230" s="1220"/>
      <c r="BH230" s="1220"/>
      <c r="BI230" s="1220"/>
      <c r="BJ230" s="1220"/>
      <c r="BK230" s="1220"/>
      <c r="BL230" s="1220"/>
      <c r="BM230" s="1220"/>
      <c r="BN230" s="1220"/>
      <c r="BO230" s="1220"/>
      <c r="BP230" s="1220"/>
      <c r="BQ230" s="1220"/>
      <c r="BR230" s="1220"/>
      <c r="BS230" s="1220"/>
      <c r="BT230" s="1220"/>
      <c r="BU230" s="1220"/>
      <c r="BV230" s="1220"/>
      <c r="BW230" s="1220"/>
      <c r="BX230" s="1220"/>
      <c r="BY230" s="1220"/>
      <c r="BZ230" s="1220"/>
      <c r="CA230" s="1220"/>
      <c r="CB230" s="1220"/>
      <c r="CC230" s="1220"/>
      <c r="CD230" s="1220"/>
      <c r="CE230" s="1220"/>
      <c r="CF230" s="1220"/>
      <c r="CG230" s="1220"/>
      <c r="CH230" s="1220"/>
      <c r="CI230" s="1220"/>
      <c r="CJ230" s="1220"/>
      <c r="CK230" s="1220"/>
      <c r="CL230" s="1220"/>
      <c r="CM230" s="1220"/>
      <c r="CN230" s="1220"/>
      <c r="CO230" s="1220"/>
      <c r="CP230" s="1220"/>
      <c r="CQ230" s="1220"/>
      <c r="CR230" s="1220"/>
      <c r="CS230" s="1220"/>
      <c r="CT230" s="1220"/>
      <c r="CU230" s="1220"/>
      <c r="CV230" s="1220"/>
      <c r="CW230" s="1220"/>
      <c r="CX230" s="1220"/>
      <c r="CY230" s="1220"/>
      <c r="CZ230" s="1220"/>
      <c r="DA230" s="1220"/>
      <c r="DB230" s="1220"/>
      <c r="DC230" s="1220"/>
      <c r="DD230" s="1220">
        <f>-$H230/84</f>
        <v>-307644.40386904776</v>
      </c>
      <c r="DE230" s="1220">
        <f>-$H230/84</f>
        <v>-307644.40386904776</v>
      </c>
      <c r="DF230" s="101"/>
      <c r="DG230" s="101"/>
      <c r="DH230" s="101"/>
      <c r="DI230" s="101"/>
      <c r="DJ230" s="101"/>
      <c r="DK230" s="101"/>
      <c r="DL230" s="101"/>
      <c r="DM230" s="101"/>
      <c r="DN230" s="101"/>
      <c r="DO230" s="101"/>
      <c r="DP230" s="101"/>
      <c r="DQ230" s="101"/>
      <c r="DR230" s="101"/>
      <c r="DS230" s="101"/>
      <c r="DT230" s="101"/>
      <c r="DU230" s="101"/>
      <c r="DV230" s="101"/>
      <c r="DW230" s="101"/>
      <c r="DX230" s="101"/>
      <c r="DY230" s="101"/>
      <c r="DZ230" s="101"/>
      <c r="EA230" s="101"/>
      <c r="EB230" s="101"/>
      <c r="EC230" s="101"/>
      <c r="ED230" s="101"/>
      <c r="EE230" s="101"/>
      <c r="EF230" s="101"/>
      <c r="EG230" s="101"/>
      <c r="EH230" s="101"/>
      <c r="EI230" s="101"/>
      <c r="EJ230" s="101"/>
      <c r="EK230" s="101"/>
      <c r="EL230" s="101"/>
      <c r="EM230" s="101"/>
      <c r="EN230" s="101"/>
      <c r="EO230" s="101"/>
      <c r="EP230" s="101"/>
      <c r="EQ230" s="101"/>
      <c r="ER230" s="101"/>
      <c r="ES230" s="101"/>
      <c r="ET230" s="101"/>
      <c r="EU230" s="101"/>
      <c r="EV230" s="101"/>
      <c r="EW230" s="101"/>
      <c r="EX230" s="101"/>
      <c r="EY230" s="101"/>
      <c r="EZ230" s="1220"/>
      <c r="FA230" s="1220"/>
      <c r="FB230" s="1220"/>
      <c r="FC230" s="1220"/>
      <c r="FD230" s="1220"/>
      <c r="FE230" s="1220"/>
      <c r="FF230" s="1220"/>
      <c r="FG230" s="1220"/>
      <c r="FH230" s="1220"/>
      <c r="FI230" s="1220"/>
      <c r="FJ230" s="1220"/>
      <c r="FK230" s="1220"/>
      <c r="FL230" s="1220"/>
      <c r="FM230" s="1220"/>
      <c r="FN230" s="1220"/>
      <c r="FO230" s="1220"/>
      <c r="FP230" s="1220"/>
      <c r="FQ230" s="1220"/>
      <c r="FR230" s="1220"/>
      <c r="FS230" s="1220"/>
      <c r="FT230" s="1220"/>
      <c r="FU230" s="1220"/>
      <c r="FV230" s="1220"/>
      <c r="FW230" s="1220"/>
    </row>
    <row r="231" spans="1:179" x14ac:dyDescent="0.3">
      <c r="A231" s="1214"/>
      <c r="H231" s="1215"/>
      <c r="L231" s="1220"/>
      <c r="M231" s="1220"/>
      <c r="N231" s="1220"/>
      <c r="O231" s="1220"/>
      <c r="P231" s="1220"/>
      <c r="Q231" s="1220"/>
      <c r="R231" s="1220"/>
      <c r="S231" s="1220"/>
      <c r="T231" s="1220"/>
      <c r="U231" s="1220"/>
      <c r="V231" s="1220"/>
      <c r="W231" s="1220"/>
      <c r="X231" s="1220"/>
      <c r="Y231" s="1220"/>
      <c r="Z231" s="1220"/>
      <c r="AA231" s="1220"/>
      <c r="AB231" s="1220"/>
      <c r="AC231" s="1220"/>
      <c r="AD231" s="1220"/>
      <c r="AE231" s="1220"/>
      <c r="AF231" s="1220"/>
      <c r="AG231" s="1220"/>
      <c r="AH231" s="1220"/>
      <c r="AI231" s="1220"/>
      <c r="AJ231" s="1220"/>
      <c r="AK231" s="1220"/>
      <c r="AL231" s="1220"/>
      <c r="AM231" s="1220"/>
      <c r="AN231" s="1220"/>
      <c r="AO231" s="1220"/>
      <c r="AP231" s="1220"/>
      <c r="AQ231" s="1220"/>
      <c r="AR231" s="1220"/>
      <c r="AS231" s="1220"/>
      <c r="AT231" s="1220"/>
      <c r="AU231" s="1220"/>
      <c r="AV231" s="1220"/>
      <c r="AW231" s="1220"/>
      <c r="AX231" s="1220"/>
      <c r="AY231" s="1220"/>
      <c r="AZ231" s="1220"/>
      <c r="BA231" s="1220"/>
      <c r="BB231" s="1220"/>
      <c r="BC231" s="1220"/>
      <c r="BD231" s="1220"/>
      <c r="BE231" s="1220"/>
      <c r="BF231" s="1220"/>
      <c r="BG231" s="1220"/>
      <c r="BH231" s="1220"/>
      <c r="BI231" s="1220"/>
      <c r="BJ231" s="1220"/>
      <c r="BK231" s="1220"/>
      <c r="BL231" s="1220"/>
      <c r="BM231" s="1220"/>
      <c r="BN231" s="1220"/>
      <c r="BO231" s="1220"/>
      <c r="BP231" s="1220"/>
      <c r="BQ231" s="1220"/>
      <c r="BR231" s="1220"/>
      <c r="BS231" s="1220"/>
      <c r="BT231" s="1220"/>
      <c r="BU231" s="1220"/>
      <c r="BV231" s="1220"/>
      <c r="BW231" s="1220"/>
      <c r="BX231" s="1220"/>
      <c r="BY231" s="1220"/>
      <c r="BZ231" s="1220"/>
      <c r="CA231" s="1220"/>
      <c r="CB231" s="1220"/>
      <c r="CC231" s="1220"/>
      <c r="CD231" s="1220"/>
      <c r="CE231" s="1220"/>
      <c r="CF231" s="1220"/>
      <c r="CG231" s="1220"/>
      <c r="CH231" s="1220"/>
      <c r="CI231" s="1220"/>
      <c r="CJ231" s="1220"/>
      <c r="CK231" s="1220"/>
      <c r="CL231" s="1220"/>
      <c r="CM231" s="1220"/>
      <c r="CN231" s="1220"/>
      <c r="CO231" s="1220">
        <f t="shared" si="152"/>
        <v>0</v>
      </c>
      <c r="CP231" s="1220"/>
      <c r="CQ231" s="1220"/>
      <c r="CR231" s="1220"/>
      <c r="CS231" s="1220"/>
      <c r="CT231" s="1220"/>
      <c r="CU231" s="1220"/>
      <c r="CV231" s="1220"/>
      <c r="CW231" s="1220"/>
      <c r="CX231" s="1220"/>
      <c r="CY231" s="1220"/>
      <c r="CZ231" s="1220"/>
      <c r="DA231" s="1220"/>
      <c r="DB231" s="1220"/>
      <c r="DC231" s="1220"/>
      <c r="DD231" s="1220"/>
      <c r="DE231" s="1220"/>
      <c r="DF231" s="101"/>
      <c r="DG231" s="101"/>
      <c r="DH231" s="101"/>
      <c r="DI231" s="101"/>
      <c r="DJ231" s="101"/>
      <c r="DK231" s="101"/>
      <c r="DL231" s="101"/>
      <c r="DM231" s="101"/>
      <c r="DN231" s="101"/>
      <c r="DO231" s="101"/>
      <c r="DP231" s="101"/>
      <c r="DQ231" s="101"/>
      <c r="DR231" s="101"/>
      <c r="DS231" s="101"/>
      <c r="DT231" s="101"/>
      <c r="DU231" s="101"/>
      <c r="DV231" s="101"/>
      <c r="DW231" s="101"/>
      <c r="DX231" s="101"/>
      <c r="DY231" s="101"/>
      <c r="DZ231" s="101"/>
      <c r="EA231" s="101"/>
      <c r="EB231" s="101"/>
      <c r="EC231" s="101"/>
      <c r="ED231" s="101"/>
      <c r="EE231" s="101"/>
      <c r="EF231" s="101"/>
      <c r="EG231" s="101"/>
      <c r="EH231" s="101"/>
      <c r="EI231" s="101"/>
      <c r="EJ231" s="101"/>
      <c r="EK231" s="101"/>
      <c r="EL231" s="101"/>
      <c r="EM231" s="101"/>
      <c r="EN231" s="101"/>
      <c r="EO231" s="101"/>
      <c r="EP231" s="101"/>
      <c r="EQ231" s="101"/>
      <c r="ER231" s="101"/>
      <c r="ES231" s="101"/>
      <c r="ET231" s="101"/>
      <c r="EU231" s="101"/>
      <c r="EV231" s="101"/>
      <c r="EW231" s="101"/>
      <c r="EX231" s="101"/>
      <c r="EY231" s="101"/>
      <c r="EZ231" s="1220"/>
      <c r="FA231" s="1220"/>
      <c r="FB231" s="1220"/>
      <c r="FC231" s="1220"/>
      <c r="FD231" s="1220"/>
      <c r="FE231" s="1220"/>
      <c r="FF231" s="1220"/>
      <c r="FG231" s="1220"/>
      <c r="FH231" s="1220"/>
      <c r="FI231" s="1220"/>
      <c r="FJ231" s="1220"/>
      <c r="FK231" s="1220"/>
      <c r="FL231" s="1220"/>
      <c r="FM231" s="1220"/>
      <c r="FN231" s="1220"/>
      <c r="FO231" s="1220"/>
      <c r="FP231" s="1220"/>
    </row>
    <row r="232" spans="1:179" x14ac:dyDescent="0.3">
      <c r="A232" s="1214" t="s">
        <v>2632</v>
      </c>
      <c r="H232" s="1215">
        <v>25842129.925000012</v>
      </c>
      <c r="L232" s="1220"/>
      <c r="M232" s="1220"/>
      <c r="N232" s="1220"/>
      <c r="O232" s="1220"/>
      <c r="P232" s="1220"/>
      <c r="Q232" s="1220"/>
      <c r="R232" s="1220"/>
      <c r="S232" s="1220"/>
      <c r="T232" s="1220"/>
      <c r="U232" s="1220"/>
      <c r="V232" s="1220"/>
      <c r="W232" s="1220"/>
      <c r="X232" s="1220"/>
      <c r="Y232" s="1220"/>
      <c r="Z232" s="1220"/>
      <c r="AA232" s="1220"/>
      <c r="AB232" s="1220"/>
      <c r="AC232" s="1220"/>
      <c r="AD232" s="1220"/>
      <c r="AE232" s="1220"/>
      <c r="AF232" s="1220"/>
      <c r="AG232" s="1220"/>
      <c r="AH232" s="1220"/>
      <c r="AI232" s="1220"/>
      <c r="AJ232" s="1220"/>
      <c r="AK232" s="1220"/>
      <c r="AL232" s="1220"/>
      <c r="AM232" s="1220"/>
      <c r="AN232" s="1220"/>
      <c r="AO232" s="1220"/>
      <c r="AP232" s="1220"/>
      <c r="AQ232" s="1220"/>
      <c r="AR232" s="1220"/>
      <c r="AS232" s="1220"/>
      <c r="AT232" s="1220"/>
      <c r="AU232" s="1220"/>
      <c r="AV232" s="1220"/>
      <c r="AW232" s="1220"/>
      <c r="AX232" s="1220"/>
      <c r="AY232" s="1220"/>
      <c r="AZ232" s="1220"/>
      <c r="BA232" s="1220"/>
      <c r="BB232" s="1220"/>
      <c r="BC232" s="1220"/>
      <c r="BD232" s="1220"/>
      <c r="BE232" s="1220"/>
      <c r="BF232" s="1220"/>
      <c r="BG232" s="1220"/>
      <c r="BH232" s="1220"/>
      <c r="BI232" s="1220"/>
      <c r="BJ232" s="1220"/>
      <c r="BK232" s="1220"/>
      <c r="BL232" s="1220"/>
      <c r="BM232" s="1220"/>
      <c r="BN232" s="1220"/>
      <c r="BO232" s="1220"/>
      <c r="BP232" s="1220"/>
      <c r="BQ232" s="1220"/>
      <c r="BR232" s="1220"/>
      <c r="BS232" s="1220"/>
      <c r="BT232" s="1220"/>
      <c r="BU232" s="1220"/>
      <c r="BV232" s="1220"/>
      <c r="BW232" s="1220"/>
      <c r="BX232" s="1220"/>
      <c r="BY232" s="1220"/>
      <c r="BZ232" s="1220"/>
      <c r="CA232" s="1220"/>
      <c r="CB232" s="1220"/>
      <c r="CC232" s="1220"/>
      <c r="CD232" s="1220"/>
      <c r="CE232" s="1220"/>
      <c r="CF232" s="1220"/>
      <c r="CG232" s="1220"/>
      <c r="CH232" s="1220"/>
      <c r="CI232" s="1220"/>
      <c r="CJ232" s="1220"/>
      <c r="CK232" s="1220"/>
      <c r="CL232" s="1220"/>
      <c r="CM232" s="1220"/>
      <c r="CN232" s="1220"/>
      <c r="CO232" s="1220"/>
      <c r="CP232" s="1220"/>
      <c r="CQ232" s="1220"/>
      <c r="CR232" s="1220"/>
      <c r="CS232" s="1220"/>
      <c r="CT232" s="1220"/>
      <c r="CU232" s="1220"/>
      <c r="CV232" s="1220"/>
      <c r="CW232" s="1220"/>
      <c r="CX232" s="1220"/>
      <c r="CY232" s="1220"/>
      <c r="CZ232" s="1220"/>
      <c r="DA232" s="1220"/>
      <c r="DB232" s="1220"/>
      <c r="DC232" s="1220"/>
      <c r="DD232" s="1220"/>
      <c r="DE232" s="1220">
        <f>-$H232/84</f>
        <v>-307644.40386904776</v>
      </c>
      <c r="DF232" s="101"/>
      <c r="DG232" s="101"/>
      <c r="DH232" s="101"/>
      <c r="DI232" s="101"/>
      <c r="DJ232" s="101"/>
      <c r="DK232" s="101"/>
      <c r="DL232" s="101"/>
      <c r="DM232" s="101"/>
      <c r="DN232" s="101"/>
      <c r="DO232" s="101"/>
      <c r="DP232" s="101"/>
      <c r="DQ232" s="101"/>
      <c r="DR232" s="101"/>
      <c r="DS232" s="101"/>
      <c r="DT232" s="101"/>
      <c r="DU232" s="101"/>
      <c r="DV232" s="101"/>
      <c r="DW232" s="101"/>
      <c r="DX232" s="101"/>
      <c r="DY232" s="101"/>
      <c r="DZ232" s="101"/>
      <c r="EA232" s="101"/>
      <c r="EB232" s="101"/>
      <c r="EC232" s="101"/>
      <c r="ED232" s="101"/>
      <c r="EE232" s="101"/>
      <c r="EF232" s="101"/>
      <c r="EG232" s="101"/>
      <c r="EH232" s="101"/>
      <c r="EI232" s="101"/>
      <c r="EJ232" s="101"/>
      <c r="EK232" s="101"/>
      <c r="EL232" s="101"/>
      <c r="EM232" s="101"/>
      <c r="EN232" s="101"/>
      <c r="EO232" s="101"/>
      <c r="EP232" s="101"/>
      <c r="EQ232" s="101"/>
      <c r="ER232" s="101"/>
      <c r="ES232" s="101"/>
      <c r="ET232" s="101"/>
      <c r="EU232" s="101"/>
      <c r="EV232" s="101"/>
      <c r="EW232" s="101"/>
      <c r="EX232" s="101"/>
      <c r="EY232" s="101"/>
      <c r="EZ232" s="1220"/>
      <c r="FA232" s="1220"/>
      <c r="FB232" s="1220"/>
      <c r="FC232" s="1220"/>
      <c r="FD232" s="1220"/>
      <c r="FE232" s="1220"/>
      <c r="FF232" s="1220"/>
      <c r="FG232" s="1220"/>
      <c r="FH232" s="1220"/>
      <c r="FI232" s="1220"/>
      <c r="FJ232" s="1220"/>
      <c r="FK232" s="1220"/>
      <c r="FL232" s="1220"/>
      <c r="FM232" s="1220"/>
      <c r="FN232" s="1220"/>
      <c r="FO232" s="1220"/>
      <c r="FP232" s="1220"/>
      <c r="FQ232" s="1220"/>
      <c r="FR232" s="1220"/>
      <c r="FS232" s="1220"/>
      <c r="FT232" s="1220"/>
      <c r="FU232" s="1220"/>
      <c r="FV232" s="1220"/>
      <c r="FW232" s="1220"/>
    </row>
    <row r="233" spans="1:179" x14ac:dyDescent="0.3">
      <c r="A233" s="1214"/>
      <c r="H233" s="1215"/>
      <c r="L233" s="1220"/>
      <c r="M233" s="1220"/>
      <c r="N233" s="1220"/>
      <c r="O233" s="1220"/>
      <c r="P233" s="1220"/>
      <c r="Q233" s="1220"/>
      <c r="R233" s="1220"/>
      <c r="S233" s="1220"/>
      <c r="T233" s="1220"/>
      <c r="U233" s="1220"/>
      <c r="V233" s="1220"/>
      <c r="W233" s="1220"/>
      <c r="X233" s="1220"/>
      <c r="Y233" s="1220"/>
      <c r="Z233" s="1220"/>
      <c r="AA233" s="1220"/>
      <c r="AB233" s="1220"/>
      <c r="AC233" s="1220"/>
      <c r="AD233" s="1220"/>
      <c r="AE233" s="1220"/>
      <c r="AF233" s="1220"/>
      <c r="AG233" s="1220"/>
      <c r="AH233" s="1220"/>
      <c r="AI233" s="1220"/>
      <c r="AJ233" s="1220"/>
      <c r="AK233" s="1220"/>
      <c r="AL233" s="1220"/>
      <c r="AM233" s="1220"/>
      <c r="AN233" s="1220"/>
      <c r="AO233" s="1220"/>
      <c r="AP233" s="1220"/>
      <c r="AQ233" s="1220"/>
      <c r="AR233" s="1220"/>
      <c r="AS233" s="1220"/>
      <c r="AT233" s="1220"/>
      <c r="AU233" s="1220"/>
      <c r="AV233" s="1220"/>
      <c r="AW233" s="1220"/>
      <c r="AX233" s="1220"/>
      <c r="AY233" s="1220"/>
      <c r="AZ233" s="1220"/>
      <c r="BA233" s="1220"/>
      <c r="BB233" s="1220"/>
      <c r="BC233" s="1220"/>
      <c r="BD233" s="1220"/>
      <c r="BE233" s="1220"/>
      <c r="BF233" s="1220"/>
      <c r="BG233" s="1220"/>
      <c r="BH233" s="1220"/>
      <c r="BI233" s="1220"/>
      <c r="BJ233" s="1220"/>
      <c r="BK233" s="1220"/>
      <c r="BL233" s="1220"/>
      <c r="BM233" s="1220"/>
      <c r="BN233" s="1220"/>
      <c r="BO233" s="1220"/>
      <c r="BP233" s="1220"/>
      <c r="BQ233" s="1220"/>
      <c r="BR233" s="1220"/>
      <c r="BS233" s="1220"/>
      <c r="BT233" s="1220"/>
      <c r="BU233" s="1220"/>
      <c r="BV233" s="1220"/>
      <c r="BW233" s="1220"/>
      <c r="BX233" s="1220"/>
      <c r="BY233" s="1220"/>
      <c r="BZ233" s="1220"/>
      <c r="CA233" s="1220"/>
      <c r="CB233" s="1220"/>
      <c r="CC233" s="1220"/>
      <c r="CD233" s="1220"/>
      <c r="CE233" s="1220"/>
      <c r="CF233" s="1220"/>
      <c r="CG233" s="1220"/>
      <c r="CH233" s="1220"/>
      <c r="CI233" s="1220"/>
      <c r="CJ233" s="1220"/>
      <c r="CK233" s="1220"/>
      <c r="CL233" s="1220"/>
      <c r="CM233" s="1220"/>
      <c r="CN233" s="1220"/>
      <c r="CO233" s="1220">
        <f t="shared" si="152"/>
        <v>0</v>
      </c>
      <c r="CP233" s="1220"/>
      <c r="CQ233" s="1220"/>
      <c r="CR233" s="1220"/>
      <c r="CS233" s="1220"/>
      <c r="CT233" s="1220"/>
      <c r="CU233" s="1220"/>
      <c r="CV233" s="1220"/>
      <c r="CW233" s="1220"/>
      <c r="CX233" s="1220"/>
      <c r="CY233" s="1220"/>
      <c r="CZ233" s="1220"/>
      <c r="DA233" s="1220"/>
      <c r="DB233" s="1220"/>
      <c r="DC233" s="1220"/>
      <c r="DD233" s="1220"/>
      <c r="DE233" s="1220"/>
      <c r="DF233" s="101"/>
      <c r="DG233" s="101"/>
      <c r="DH233" s="101"/>
      <c r="DI233" s="101"/>
      <c r="DJ233" s="101"/>
      <c r="DK233" s="101"/>
      <c r="DL233" s="101"/>
      <c r="DM233" s="101"/>
      <c r="DN233" s="101"/>
      <c r="DO233" s="101"/>
      <c r="DP233" s="101"/>
      <c r="DQ233" s="101"/>
      <c r="DR233" s="101"/>
      <c r="DS233" s="101"/>
      <c r="DT233" s="101"/>
      <c r="DU233" s="101"/>
      <c r="DV233" s="101"/>
      <c r="DW233" s="101"/>
      <c r="DX233" s="101"/>
      <c r="DY233" s="101"/>
      <c r="DZ233" s="101"/>
      <c r="EA233" s="101"/>
      <c r="EB233" s="101"/>
      <c r="EC233" s="101"/>
      <c r="ED233" s="101"/>
      <c r="EE233" s="101"/>
      <c r="EF233" s="101"/>
      <c r="EG233" s="101"/>
      <c r="EH233" s="101"/>
      <c r="EI233" s="101"/>
      <c r="EJ233" s="101"/>
      <c r="EK233" s="101"/>
      <c r="EL233" s="101"/>
      <c r="EM233" s="101"/>
      <c r="EN233" s="101"/>
      <c r="EO233" s="101"/>
      <c r="EP233" s="101"/>
      <c r="EQ233" s="101"/>
      <c r="ER233" s="101"/>
      <c r="ES233" s="101"/>
      <c r="ET233" s="101"/>
      <c r="EU233" s="101"/>
      <c r="EV233" s="101"/>
      <c r="EW233" s="101"/>
      <c r="EX233" s="101"/>
      <c r="EY233" s="101"/>
      <c r="EZ233" s="1220"/>
      <c r="FA233" s="1220"/>
      <c r="FB233" s="1220"/>
      <c r="FC233" s="1220"/>
      <c r="FD233" s="1220"/>
      <c r="FE233" s="1220"/>
      <c r="FF233" s="1220"/>
      <c r="FG233" s="1220"/>
      <c r="FH233" s="1220"/>
      <c r="FI233" s="1220"/>
      <c r="FJ233" s="1220"/>
      <c r="FK233" s="1220"/>
      <c r="FL233" s="1220"/>
      <c r="FM233" s="1220"/>
      <c r="FN233" s="1220"/>
      <c r="FO233" s="1220"/>
      <c r="FP233" s="1220"/>
    </row>
    <row r="234" spans="1:179" x14ac:dyDescent="0.3">
      <c r="A234" t="s">
        <v>2184</v>
      </c>
      <c r="H234" s="1221">
        <f>SUM(H32:H233)</f>
        <v>2653273940.7250009</v>
      </c>
    </row>
    <row r="235" spans="1:179" x14ac:dyDescent="0.3">
      <c r="H235" s="98"/>
    </row>
    <row r="236" spans="1:179" x14ac:dyDescent="0.3">
      <c r="A236" t="s">
        <v>2185</v>
      </c>
      <c r="I236" s="1222">
        <f>SUM(I30:I200)</f>
        <v>-4432706.527782361</v>
      </c>
      <c r="J236" s="1222">
        <f t="shared" ref="J236:AO236" si="153">SUM(J30:J198)</f>
        <v>-4698545.7734016664</v>
      </c>
      <c r="K236" s="1222">
        <f t="shared" si="153"/>
        <v>-5245464.8397707148</v>
      </c>
      <c r="L236" s="1222">
        <f t="shared" si="153"/>
        <v>-5553109.2436397625</v>
      </c>
      <c r="M236" s="1222">
        <f t="shared" si="153"/>
        <v>-5860753.6475088103</v>
      </c>
      <c r="N236" s="1222">
        <f t="shared" si="153"/>
        <v>-6168398.051377858</v>
      </c>
      <c r="O236" s="1222">
        <f t="shared" si="153"/>
        <v>-6476042.4552469058</v>
      </c>
      <c r="P236" s="1222">
        <f t="shared" si="153"/>
        <v>-6783686.8591159536</v>
      </c>
      <c r="Q236" s="1222">
        <f t="shared" si="153"/>
        <v>-7091331.2629850013</v>
      </c>
      <c r="R236" s="1222">
        <f t="shared" si="153"/>
        <v>-7398975.6668540491</v>
      </c>
      <c r="S236" s="1222">
        <f t="shared" si="153"/>
        <v>-7706620.0707230968</v>
      </c>
      <c r="T236" s="1222">
        <f t="shared" si="153"/>
        <v>-8014264.4745921446</v>
      </c>
      <c r="U236" s="1222">
        <f t="shared" si="153"/>
        <v>-8321908.8784611924</v>
      </c>
      <c r="V236" s="1222">
        <f t="shared" si="153"/>
        <v>-8629553.2823302411</v>
      </c>
      <c r="W236" s="1222">
        <f t="shared" si="153"/>
        <v>-8937197.6861992888</v>
      </c>
      <c r="X236" s="1222">
        <f t="shared" si="153"/>
        <v>-9244842.0900683366</v>
      </c>
      <c r="Y236" s="1222">
        <f t="shared" si="153"/>
        <v>-9552486.4939373843</v>
      </c>
      <c r="Z236" s="1222">
        <f t="shared" si="153"/>
        <v>-9860130.8978064321</v>
      </c>
      <c r="AA236" s="1222">
        <f t="shared" si="153"/>
        <v>-10167775.30167548</v>
      </c>
      <c r="AB236" s="1222">
        <f t="shared" si="153"/>
        <v>-10475419.705544528</v>
      </c>
      <c r="AC236" s="1222">
        <f t="shared" si="153"/>
        <v>-10783064.109413575</v>
      </c>
      <c r="AD236" s="1222">
        <f t="shared" si="153"/>
        <v>-11090708.513282623</v>
      </c>
      <c r="AE236" s="1222">
        <f t="shared" si="153"/>
        <v>-11398352.917151671</v>
      </c>
      <c r="AF236" s="1222">
        <f t="shared" si="153"/>
        <v>-11705997.321020719</v>
      </c>
      <c r="AG236" s="1222">
        <f t="shared" si="153"/>
        <v>-12013641.724889766</v>
      </c>
      <c r="AH236" s="1222">
        <f t="shared" si="153"/>
        <v>-12321286.128758814</v>
      </c>
      <c r="AI236" s="1222">
        <f t="shared" si="153"/>
        <v>-12628930.532627862</v>
      </c>
      <c r="AJ236" s="1222">
        <f t="shared" si="153"/>
        <v>-12936574.93649691</v>
      </c>
      <c r="AK236" s="1222">
        <f t="shared" si="153"/>
        <v>-13244219.340365957</v>
      </c>
      <c r="AL236" s="1222">
        <f t="shared" si="153"/>
        <v>-13551863.744235005</v>
      </c>
      <c r="AM236" s="1222">
        <f t="shared" si="153"/>
        <v>-13859508.148104053</v>
      </c>
      <c r="AN236" s="1222">
        <f t="shared" si="153"/>
        <v>-14167152.551973101</v>
      </c>
      <c r="AO236" s="1222">
        <f t="shared" si="153"/>
        <v>-14474796.955842149</v>
      </c>
      <c r="AP236" s="1222">
        <f t="shared" ref="AP236:BU236" si="154">SUM(AP30:AP198)</f>
        <v>-14782441.359711196</v>
      </c>
      <c r="AQ236" s="1222">
        <f t="shared" si="154"/>
        <v>-15090085.763580244</v>
      </c>
      <c r="AR236" s="1222">
        <f t="shared" si="154"/>
        <v>-15397730.167449292</v>
      </c>
      <c r="AS236" s="1222">
        <f t="shared" si="154"/>
        <v>-15705374.57131834</v>
      </c>
      <c r="AT236" s="1222">
        <f t="shared" si="154"/>
        <v>-16013018.975187387</v>
      </c>
      <c r="AU236" s="1222">
        <f t="shared" si="154"/>
        <v>-16320663.379056435</v>
      </c>
      <c r="AV236" s="1222">
        <f t="shared" si="154"/>
        <v>-16628307.782925483</v>
      </c>
      <c r="AW236" s="1222">
        <f t="shared" si="154"/>
        <v>-16935952.186794531</v>
      </c>
      <c r="AX236" s="1222">
        <f t="shared" si="154"/>
        <v>-17243596.590663578</v>
      </c>
      <c r="AY236" s="1222">
        <f t="shared" si="154"/>
        <v>-17551240.994532626</v>
      </c>
      <c r="AZ236" s="1222">
        <f t="shared" si="154"/>
        <v>-17858885.398401674</v>
      </c>
      <c r="BA236" s="1222">
        <f t="shared" si="154"/>
        <v>-18166529.802270722</v>
      </c>
      <c r="BB236" s="1222">
        <f t="shared" si="154"/>
        <v>-18474174.206139769</v>
      </c>
      <c r="BC236" s="1222">
        <f t="shared" si="154"/>
        <v>-18781818.610008817</v>
      </c>
      <c r="BD236" s="1222">
        <f t="shared" si="154"/>
        <v>-19089463.013877865</v>
      </c>
      <c r="BE236" s="1222">
        <f t="shared" si="154"/>
        <v>-19397107.417746913</v>
      </c>
      <c r="BF236" s="1222">
        <f t="shared" si="154"/>
        <v>-19704751.82161596</v>
      </c>
      <c r="BG236" s="1222">
        <f t="shared" si="154"/>
        <v>-20012396.225485008</v>
      </c>
      <c r="BH236" s="1222">
        <f t="shared" si="154"/>
        <v>-20320040.629354056</v>
      </c>
      <c r="BI236" s="1222">
        <f t="shared" si="154"/>
        <v>-20627685.033223104</v>
      </c>
      <c r="BJ236" s="1222">
        <f t="shared" si="154"/>
        <v>-20935329.437092151</v>
      </c>
      <c r="BK236" s="1222">
        <f t="shared" si="154"/>
        <v>-21242973.840961199</v>
      </c>
      <c r="BL236" s="1222">
        <f t="shared" si="154"/>
        <v>-21550618.244830247</v>
      </c>
      <c r="BM236" s="1222">
        <f t="shared" si="154"/>
        <v>-21858262.648699295</v>
      </c>
      <c r="BN236" s="1222">
        <f t="shared" si="154"/>
        <v>-22165907.052568343</v>
      </c>
      <c r="BO236" s="1222">
        <f t="shared" si="154"/>
        <v>-22473551.45643739</v>
      </c>
      <c r="BP236" s="1222">
        <f t="shared" si="154"/>
        <v>-22781195.860306438</v>
      </c>
      <c r="BQ236" s="1222">
        <f t="shared" si="154"/>
        <v>-23088840.264175486</v>
      </c>
      <c r="BR236" s="1222">
        <f t="shared" si="154"/>
        <v>-23396484.668044534</v>
      </c>
      <c r="BS236" s="1222">
        <f t="shared" si="154"/>
        <v>-23704129.071913581</v>
      </c>
      <c r="BT236" s="1222">
        <f t="shared" si="154"/>
        <v>-24011773.475782629</v>
      </c>
      <c r="BU236" s="1222">
        <f t="shared" si="154"/>
        <v>-24319417.879651677</v>
      </c>
      <c r="BV236" s="1222">
        <f t="shared" ref="BV236:CO236" si="155">SUM(BV30:BV198)</f>
        <v>-24627062.283520725</v>
      </c>
      <c r="BW236" s="1222">
        <f t="shared" si="155"/>
        <v>-24934706.687389772</v>
      </c>
      <c r="BX236" s="1222">
        <f t="shared" si="155"/>
        <v>-25242351.09125882</v>
      </c>
      <c r="BY236" s="1222">
        <f t="shared" si="155"/>
        <v>-25549995.495127868</v>
      </c>
      <c r="BZ236" s="1222">
        <f t="shared" si="155"/>
        <v>-25857639.898996916</v>
      </c>
      <c r="CA236" s="1222">
        <f t="shared" si="155"/>
        <v>-26165284.302865963</v>
      </c>
      <c r="CB236" s="1222">
        <f t="shared" si="155"/>
        <v>-26472928.706735011</v>
      </c>
      <c r="CC236" s="1222">
        <f t="shared" si="155"/>
        <v>-22688844.008035723</v>
      </c>
      <c r="CD236" s="1222">
        <f t="shared" si="155"/>
        <v>-22996488.411904771</v>
      </c>
      <c r="CE236" s="1222">
        <f t="shared" si="155"/>
        <v>-23304132.815773819</v>
      </c>
      <c r="CF236" s="1222">
        <f t="shared" si="155"/>
        <v>-23611777.219642866</v>
      </c>
      <c r="CG236" s="1222">
        <f t="shared" si="155"/>
        <v>-23919421.623511914</v>
      </c>
      <c r="CH236" s="1222">
        <f t="shared" si="155"/>
        <v>-24227066.027380962</v>
      </c>
      <c r="CI236" s="1222">
        <f t="shared" si="155"/>
        <v>-24534710.43125001</v>
      </c>
      <c r="CJ236" s="1222">
        <f t="shared" si="155"/>
        <v>-24842354.835119057</v>
      </c>
      <c r="CK236" s="1222">
        <f t="shared" si="155"/>
        <v>-24842354.835119057</v>
      </c>
      <c r="CL236" s="1222">
        <f t="shared" si="155"/>
        <v>-25149999.238988105</v>
      </c>
      <c r="CM236" s="1222">
        <f t="shared" si="155"/>
        <v>-25457643.642857153</v>
      </c>
      <c r="CN236" s="1222">
        <f t="shared" si="155"/>
        <v>-25765288.046726201</v>
      </c>
      <c r="CO236" s="1222">
        <f t="shared" si="155"/>
        <v>-25466115.779761918</v>
      </c>
      <c r="CP236" s="1222">
        <f>SUM(CP30:CP202)</f>
        <v>-26081404.587500013</v>
      </c>
      <c r="CQ236" s="1222">
        <f>SUM(CQ30:CQ204)</f>
        <v>-26113453.127380963</v>
      </c>
      <c r="CR236" s="1222">
        <f>SUM(CR30:CR204)</f>
        <v>-25805808.723511916</v>
      </c>
      <c r="CS236" s="1222">
        <f>SUM(CS30:CS208)</f>
        <v>-26113453.127380963</v>
      </c>
      <c r="CT236" s="1222">
        <f>SUM(CT30:CT212)</f>
        <v>-26113453.127380963</v>
      </c>
      <c r="CU236" s="1222">
        <f>SUM(CU30:CU212)</f>
        <v>-26113453.127380963</v>
      </c>
      <c r="CV236" s="1222">
        <f>SUM(CV30:CV214)</f>
        <v>-26113453.127380963</v>
      </c>
      <c r="CW236" s="1222">
        <f>SUM(CW30:CW218)</f>
        <v>-26113453.127380963</v>
      </c>
      <c r="CX236" s="1222">
        <f>SUM(CX30:CX218)</f>
        <v>-26113453.127380963</v>
      </c>
      <c r="CY236" s="1222">
        <f>SUM(CY30:CY220)</f>
        <v>-26113453.127380963</v>
      </c>
      <c r="CZ236" s="1222">
        <f>SUM(CZ30:CZ223)</f>
        <v>-26113453.127380963</v>
      </c>
      <c r="DA236" s="1222">
        <f>SUM(DA30:DA233)</f>
        <v>-26113453.127380963</v>
      </c>
      <c r="DB236" s="1222">
        <f>SUM(DB30:DB233)</f>
        <v>-26113453.127380963</v>
      </c>
      <c r="DC236" s="1222">
        <f>SUM(DC30:DC233)</f>
        <v>-26113453.127380963</v>
      </c>
      <c r="DD236" s="1222">
        <f>SUM(DD30:DD233)</f>
        <v>-26113453.127380963</v>
      </c>
      <c r="DE236" s="1222">
        <f>SUM(DE30:DE233)</f>
        <v>-26113453.127380963</v>
      </c>
      <c r="DF236" s="1909"/>
      <c r="DG236" s="1909"/>
      <c r="DH236" s="1909"/>
      <c r="DI236" s="1909"/>
      <c r="DJ236" s="1909"/>
      <c r="DK236" s="1909"/>
      <c r="DL236" s="1909"/>
      <c r="DM236" s="1909"/>
      <c r="DN236" s="1909"/>
      <c r="DO236" s="1909"/>
      <c r="DP236" s="1909"/>
      <c r="DQ236" s="1909"/>
      <c r="DR236" s="1909"/>
      <c r="DS236" s="1909"/>
      <c r="DT236" s="1909"/>
      <c r="DU236" s="1909"/>
      <c r="DV236" s="1909"/>
      <c r="DW236" s="1909"/>
      <c r="DX236" s="1909"/>
      <c r="DY236" s="1909"/>
      <c r="DZ236" s="1909"/>
      <c r="EA236" s="1909"/>
      <c r="EB236" s="1909"/>
      <c r="EC236" s="1909"/>
      <c r="ED236" s="1909"/>
      <c r="EE236" s="1909"/>
      <c r="EF236" s="1909"/>
      <c r="EG236" s="1909"/>
      <c r="EH236" s="1909"/>
      <c r="EI236" s="1909"/>
      <c r="EJ236" s="1909"/>
      <c r="EK236" s="1909"/>
      <c r="EL236" s="1909"/>
      <c r="EM236" s="1909"/>
      <c r="EN236" s="1909"/>
      <c r="EO236" s="1909"/>
      <c r="EP236" s="1909"/>
      <c r="EQ236" s="1909"/>
      <c r="ER236" s="1909"/>
      <c r="ES236" s="1909"/>
      <c r="ET236" s="1909"/>
      <c r="EU236" s="1909"/>
      <c r="EV236" s="1909"/>
      <c r="EW236" s="1909"/>
      <c r="EX236" s="1909"/>
      <c r="EY236" s="1909"/>
      <c r="EZ236" s="1222">
        <f t="shared" ref="EZ236:FT236" si="156">SUM(EZ30:EZ198)</f>
        <v>-6152888.0773809552</v>
      </c>
      <c r="FA236" s="1222">
        <f t="shared" si="156"/>
        <v>-5845243.6735119075</v>
      </c>
      <c r="FB236" s="1222">
        <f t="shared" si="156"/>
        <v>-5537599.2696428597</v>
      </c>
      <c r="FC236" s="1222">
        <f t="shared" si="156"/>
        <v>-5229954.8657738119</v>
      </c>
      <c r="FD236" s="1222">
        <f t="shared" si="156"/>
        <v>-4922310.4619047642</v>
      </c>
      <c r="FE236" s="1222">
        <f t="shared" si="156"/>
        <v>-4614666.0580357164</v>
      </c>
      <c r="FF236" s="1222">
        <f t="shared" si="156"/>
        <v>-4307021.6541666687</v>
      </c>
      <c r="FG236" s="1222">
        <f t="shared" si="156"/>
        <v>-3999377.2502976209</v>
      </c>
      <c r="FH236" s="1222">
        <f t="shared" si="156"/>
        <v>-3691732.8464285731</v>
      </c>
      <c r="FI236" s="1222">
        <f t="shared" si="156"/>
        <v>-3384088.4425595254</v>
      </c>
      <c r="FJ236" s="1222">
        <f t="shared" si="156"/>
        <v>-3076444.0386904776</v>
      </c>
      <c r="FK236" s="1222">
        <f t="shared" si="156"/>
        <v>-2768799.6348214298</v>
      </c>
      <c r="FL236" s="1222">
        <f t="shared" si="156"/>
        <v>-2461155.2309523821</v>
      </c>
      <c r="FM236" s="1222">
        <f t="shared" si="156"/>
        <v>-2153510.8270833343</v>
      </c>
      <c r="FN236" s="1222">
        <f t="shared" si="156"/>
        <v>-1845866.4232142866</v>
      </c>
      <c r="FO236" s="1222">
        <f t="shared" si="156"/>
        <v>-1538222.0193452388</v>
      </c>
      <c r="FP236" s="1222">
        <f t="shared" si="156"/>
        <v>-1230577.615476191</v>
      </c>
      <c r="FQ236" s="1222">
        <f t="shared" si="156"/>
        <v>-1230577.615476191</v>
      </c>
      <c r="FR236" s="1222">
        <f t="shared" si="156"/>
        <v>-922933.21160714328</v>
      </c>
      <c r="FS236" s="1222">
        <f t="shared" si="156"/>
        <v>-615288.80773809552</v>
      </c>
      <c r="FT236" s="1222">
        <f t="shared" si="156"/>
        <v>-307644.40386904776</v>
      </c>
    </row>
    <row r="237" spans="1:179" x14ac:dyDescent="0.3">
      <c r="H237" s="1199"/>
    </row>
    <row r="238" spans="1:179" x14ac:dyDescent="0.3">
      <c r="A238" t="s">
        <v>2186</v>
      </c>
      <c r="I238" s="1217">
        <f>H20+I236</f>
        <v>-53533455.758602358</v>
      </c>
      <c r="J238" s="1217">
        <f t="shared" ref="J238:W238" si="157">I238+J236</f>
        <v>-58232001.532004029</v>
      </c>
      <c r="K238" s="1217">
        <f t="shared" si="157"/>
        <v>-63477466.371774741</v>
      </c>
      <c r="L238" s="1217">
        <f t="shared" si="157"/>
        <v>-69030575.6154145</v>
      </c>
      <c r="M238" s="1217">
        <f t="shared" si="157"/>
        <v>-74891329.262923315</v>
      </c>
      <c r="N238" s="1217">
        <f t="shared" si="157"/>
        <v>-81059727.314301178</v>
      </c>
      <c r="O238" s="1217">
        <f t="shared" si="157"/>
        <v>-87535769.769548088</v>
      </c>
      <c r="P238" s="1217">
        <f t="shared" si="157"/>
        <v>-94319456.628664047</v>
      </c>
      <c r="Q238" s="1217">
        <f t="shared" si="157"/>
        <v>-101410787.89164905</v>
      </c>
      <c r="R238" s="1217">
        <f t="shared" si="157"/>
        <v>-108809763.55850311</v>
      </c>
      <c r="S238" s="1217">
        <f t="shared" si="157"/>
        <v>-116516383.62922621</v>
      </c>
      <c r="T238" s="1217">
        <f t="shared" si="157"/>
        <v>-124530648.10381836</v>
      </c>
      <c r="U238" s="1217">
        <f t="shared" si="157"/>
        <v>-132852556.98227955</v>
      </c>
      <c r="V238" s="1217">
        <f t="shared" si="157"/>
        <v>-141482110.26460978</v>
      </c>
      <c r="W238" s="1217">
        <f t="shared" si="157"/>
        <v>-150419307.95080906</v>
      </c>
      <c r="X238" s="1217">
        <f t="shared" ref="X238:AC238" si="158">W238+X236</f>
        <v>-159664150.0408774</v>
      </c>
      <c r="Y238" s="1217">
        <f t="shared" si="158"/>
        <v>-169216636.53481477</v>
      </c>
      <c r="Z238" s="1217">
        <f t="shared" si="158"/>
        <v>-179076767.43262121</v>
      </c>
      <c r="AA238" s="1217">
        <f t="shared" si="158"/>
        <v>-189244542.73429668</v>
      </c>
      <c r="AB238" s="1217">
        <f t="shared" si="158"/>
        <v>-199719962.43984121</v>
      </c>
      <c r="AC238" s="1217">
        <f t="shared" si="158"/>
        <v>-210503026.54925478</v>
      </c>
      <c r="AD238" s="1217">
        <f t="shared" ref="AD238:BI238" si="159">AC238+AD236</f>
        <v>-221593735.0625374</v>
      </c>
      <c r="AE238" s="1217">
        <f t="shared" si="159"/>
        <v>-232992087.97968906</v>
      </c>
      <c r="AF238" s="1217">
        <f t="shared" si="159"/>
        <v>-244698085.30070978</v>
      </c>
      <c r="AG238" s="1217">
        <f t="shared" si="159"/>
        <v>-256711727.02559954</v>
      </c>
      <c r="AH238" s="1217">
        <f t="shared" si="159"/>
        <v>-269033013.15435833</v>
      </c>
      <c r="AI238" s="1217">
        <f t="shared" si="159"/>
        <v>-281661943.68698621</v>
      </c>
      <c r="AJ238" s="1217">
        <f t="shared" si="159"/>
        <v>-294598518.62348312</v>
      </c>
      <c r="AK238" s="1217">
        <f t="shared" si="159"/>
        <v>-307842737.96384907</v>
      </c>
      <c r="AL238" s="1217">
        <f t="shared" si="159"/>
        <v>-321394601.70808405</v>
      </c>
      <c r="AM238" s="1217">
        <f t="shared" si="159"/>
        <v>-335254109.85618812</v>
      </c>
      <c r="AN238" s="1217">
        <f t="shared" si="159"/>
        <v>-349421262.40816122</v>
      </c>
      <c r="AO238" s="1217">
        <f t="shared" si="159"/>
        <v>-363896059.36400336</v>
      </c>
      <c r="AP238" s="1217">
        <f t="shared" si="159"/>
        <v>-378678500.72371453</v>
      </c>
      <c r="AQ238" s="1217">
        <f t="shared" si="159"/>
        <v>-393768586.48729479</v>
      </c>
      <c r="AR238" s="1217">
        <f t="shared" si="159"/>
        <v>-409166316.65474409</v>
      </c>
      <c r="AS238" s="1217">
        <f t="shared" si="159"/>
        <v>-424871691.22606242</v>
      </c>
      <c r="AT238" s="1217">
        <f t="shared" si="159"/>
        <v>-440884710.20124978</v>
      </c>
      <c r="AU238" s="1217">
        <f t="shared" si="159"/>
        <v>-457205373.58030623</v>
      </c>
      <c r="AV238" s="1217">
        <f t="shared" si="159"/>
        <v>-473833681.36323172</v>
      </c>
      <c r="AW238" s="1217">
        <f t="shared" si="159"/>
        <v>-490769633.55002624</v>
      </c>
      <c r="AX238" s="1217">
        <f t="shared" si="159"/>
        <v>-508013230.14068979</v>
      </c>
      <c r="AY238" s="1217">
        <f t="shared" si="159"/>
        <v>-525564471.13522243</v>
      </c>
      <c r="AZ238" s="1217">
        <f t="shared" si="159"/>
        <v>-543423356.53362405</v>
      </c>
      <c r="BA238" s="1217">
        <f t="shared" si="159"/>
        <v>-561589886.33589482</v>
      </c>
      <c r="BB238" s="1217">
        <f t="shared" si="159"/>
        <v>-580064060.54203463</v>
      </c>
      <c r="BC238" s="1217">
        <f t="shared" si="159"/>
        <v>-598845879.15204346</v>
      </c>
      <c r="BD238" s="1217">
        <f t="shared" si="159"/>
        <v>-617935342.16592133</v>
      </c>
      <c r="BE238" s="1217">
        <f t="shared" si="159"/>
        <v>-637332449.58366823</v>
      </c>
      <c r="BF238" s="1217">
        <f t="shared" si="159"/>
        <v>-657037201.40528417</v>
      </c>
      <c r="BG238" s="1217">
        <f t="shared" si="159"/>
        <v>-677049597.63076913</v>
      </c>
      <c r="BH238" s="1217">
        <f t="shared" si="159"/>
        <v>-697369638.26012313</v>
      </c>
      <c r="BI238" s="1217">
        <f t="shared" si="159"/>
        <v>-717997323.29334629</v>
      </c>
      <c r="BJ238" s="1217">
        <f t="shared" ref="BJ238:CL238" si="160">BI238+BJ236</f>
        <v>-738932652.73043847</v>
      </c>
      <c r="BK238" s="1217">
        <f t="shared" si="160"/>
        <v>-760175626.57139969</v>
      </c>
      <c r="BL238" s="1217">
        <f t="shared" si="160"/>
        <v>-781726244.81622994</v>
      </c>
      <c r="BM238" s="1217">
        <f t="shared" si="160"/>
        <v>-803584507.46492922</v>
      </c>
      <c r="BN238" s="1217">
        <f t="shared" si="160"/>
        <v>-825750414.51749754</v>
      </c>
      <c r="BO238" s="1217">
        <f t="shared" si="160"/>
        <v>-848223965.97393489</v>
      </c>
      <c r="BP238" s="1217">
        <f t="shared" si="160"/>
        <v>-871005161.83424127</v>
      </c>
      <c r="BQ238" s="1217">
        <f t="shared" si="160"/>
        <v>-894094002.09841681</v>
      </c>
      <c r="BR238" s="1217">
        <f t="shared" si="160"/>
        <v>-917490486.76646137</v>
      </c>
      <c r="BS238" s="1217">
        <f t="shared" si="160"/>
        <v>-941194615.83837497</v>
      </c>
      <c r="BT238" s="1217">
        <f t="shared" si="160"/>
        <v>-965206389.31415761</v>
      </c>
      <c r="BU238" s="1217">
        <f t="shared" si="160"/>
        <v>-989525807.19380927</v>
      </c>
      <c r="BV238" s="1217">
        <f t="shared" si="160"/>
        <v>-1014152869.47733</v>
      </c>
      <c r="BW238" s="1217">
        <f t="shared" si="160"/>
        <v>-1039087576.1647197</v>
      </c>
      <c r="BX238" s="1217">
        <f t="shared" si="160"/>
        <v>-1064329927.2559785</v>
      </c>
      <c r="BY238" s="1217">
        <f t="shared" si="160"/>
        <v>-1089879922.7511063</v>
      </c>
      <c r="BZ238" s="1217">
        <f t="shared" si="160"/>
        <v>-1115737562.6501031</v>
      </c>
      <c r="CA238" s="1217">
        <f t="shared" si="160"/>
        <v>-1141902846.9529691</v>
      </c>
      <c r="CB238" s="1217">
        <f t="shared" si="160"/>
        <v>-1168375775.659704</v>
      </c>
      <c r="CC238" s="1217">
        <f t="shared" si="160"/>
        <v>-1191064619.6677396</v>
      </c>
      <c r="CD238" s="1217">
        <f t="shared" si="160"/>
        <v>-1214061108.0796444</v>
      </c>
      <c r="CE238" s="1217">
        <f t="shared" si="160"/>
        <v>-1237365240.8954182</v>
      </c>
      <c r="CF238" s="1217">
        <f t="shared" si="160"/>
        <v>-1260977018.115061</v>
      </c>
      <c r="CG238" s="1217">
        <f t="shared" si="160"/>
        <v>-1284896439.7385731</v>
      </c>
      <c r="CH238" s="1217">
        <f t="shared" si="160"/>
        <v>-1309123505.765954</v>
      </c>
      <c r="CI238" s="1217">
        <f t="shared" si="160"/>
        <v>-1333658216.1972041</v>
      </c>
      <c r="CJ238" s="1217">
        <f t="shared" si="160"/>
        <v>-1358500571.0323231</v>
      </c>
      <c r="CK238" s="1217">
        <f t="shared" si="160"/>
        <v>-1383342925.8674421</v>
      </c>
      <c r="CL238" s="1217">
        <f t="shared" si="160"/>
        <v>-1408492925.1064303</v>
      </c>
      <c r="CM238" s="1217">
        <f>CL238+CM236</f>
        <v>-1433950568.7492874</v>
      </c>
      <c r="CN238">
        <f>CM238+CN236</f>
        <v>-1459715856.7960136</v>
      </c>
    </row>
    <row r="239" spans="1:179" x14ac:dyDescent="0.3">
      <c r="I239" s="101"/>
      <c r="J239" s="101"/>
      <c r="K239" s="101"/>
      <c r="L239" s="101"/>
      <c r="M239" s="101"/>
      <c r="N239" s="101"/>
      <c r="O239" s="101"/>
      <c r="P239" s="101"/>
      <c r="Q239" s="101"/>
      <c r="R239" s="101">
        <f>Q239+R236</f>
        <v>-7398975.6668540491</v>
      </c>
      <c r="S239" s="101">
        <f>R239+S236</f>
        <v>-15105595.737577146</v>
      </c>
      <c r="T239" s="1215">
        <f>S239+T236</f>
        <v>-23119860.21216929</v>
      </c>
      <c r="CK239" s="1223">
        <f>SUM(CC236:CK236)</f>
        <v>-214967150.20773819</v>
      </c>
      <c r="CN239" s="1223">
        <f>SUM(CC236:CN236)</f>
        <v>-291340081.13630968</v>
      </c>
    </row>
    <row r="240" spans="1:179" x14ac:dyDescent="0.3">
      <c r="H240" s="75"/>
      <c r="AV240" s="101"/>
      <c r="CK240" s="1223">
        <f>SUM(H176,H178,H180,H182,H184,H186,H188,H190,H192)+CK239</f>
        <v>17612019.117261916</v>
      </c>
      <c r="CN240" s="1223">
        <f>SUM(H176:H200)+CN239</f>
        <v>44607607.888690472</v>
      </c>
    </row>
    <row r="241" spans="8:93" x14ac:dyDescent="0.3">
      <c r="H241" s="75"/>
    </row>
    <row r="243" spans="8:93" x14ac:dyDescent="0.3">
      <c r="H243" s="101"/>
      <c r="CO243" s="101">
        <v>-312374407.23720253</v>
      </c>
    </row>
  </sheetData>
  <mergeCells count="8">
    <mergeCell ref="B10:C10"/>
    <mergeCell ref="B12:C12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I64"/>
  <sheetViews>
    <sheetView topLeftCell="A40" workbookViewId="0">
      <selection activeCell="C62" sqref="C62"/>
    </sheetView>
  </sheetViews>
  <sheetFormatPr baseColWidth="10" defaultColWidth="11.44140625" defaultRowHeight="10.199999999999999" x14ac:dyDescent="0.2"/>
  <cols>
    <col min="1" max="1" width="14.88671875" style="1224" bestFit="1" customWidth="1"/>
    <col min="2" max="2" width="11.44140625" style="1225"/>
    <col min="3" max="3" width="14.5546875" style="1225" bestFit="1" customWidth="1"/>
    <col min="4" max="4" width="14.44140625" style="1225" bestFit="1" customWidth="1"/>
    <col min="5" max="6" width="12.44140625" style="1225" bestFit="1" customWidth="1"/>
    <col min="7" max="7" width="11.44140625" style="1225"/>
    <col min="8" max="8" width="12.44140625" style="1225" bestFit="1" customWidth="1"/>
    <col min="9" max="16384" width="11.44140625" style="1225"/>
  </cols>
  <sheetData>
    <row r="2" spans="1:8" x14ac:dyDescent="0.2">
      <c r="A2" s="1224">
        <v>151601641</v>
      </c>
      <c r="C2" s="1226">
        <v>-8915.1544080000003</v>
      </c>
    </row>
    <row r="4" spans="1:8" x14ac:dyDescent="0.2">
      <c r="A4" s="1227">
        <v>152713387</v>
      </c>
      <c r="B4" s="1228">
        <v>42005</v>
      </c>
    </row>
    <row r="5" spans="1:8" x14ac:dyDescent="0.2">
      <c r="A5" s="1227">
        <v>153833285</v>
      </c>
      <c r="B5" s="1228">
        <v>42036</v>
      </c>
    </row>
    <row r="6" spans="1:8" x14ac:dyDescent="0.2">
      <c r="A6" s="1227">
        <v>154961395</v>
      </c>
      <c r="B6" s="1228">
        <v>42064</v>
      </c>
    </row>
    <row r="7" spans="1:8" x14ac:dyDescent="0.2">
      <c r="A7" s="1227">
        <v>156097779</v>
      </c>
      <c r="B7" s="1228">
        <v>42095</v>
      </c>
    </row>
    <row r="8" spans="1:8" x14ac:dyDescent="0.2">
      <c r="A8" s="1227">
        <v>157242496</v>
      </c>
      <c r="B8" s="1228">
        <v>42125</v>
      </c>
    </row>
    <row r="9" spans="1:8" x14ac:dyDescent="0.2">
      <c r="A9" s="1227">
        <v>158395609</v>
      </c>
      <c r="B9" s="1228">
        <v>42156</v>
      </c>
    </row>
    <row r="10" spans="1:8" x14ac:dyDescent="0.2">
      <c r="A10" s="1227">
        <v>159557176</v>
      </c>
      <c r="B10" s="1228">
        <v>42186</v>
      </c>
    </row>
    <row r="11" spans="1:8" x14ac:dyDescent="0.2">
      <c r="A11" s="1227">
        <v>160727262</v>
      </c>
      <c r="B11" s="1228">
        <v>42217</v>
      </c>
    </row>
    <row r="12" spans="1:8" x14ac:dyDescent="0.2">
      <c r="A12" s="1229">
        <v>161905929</v>
      </c>
      <c r="B12" s="1230">
        <v>42248</v>
      </c>
    </row>
    <row r="13" spans="1:8" x14ac:dyDescent="0.2">
      <c r="A13" s="1229">
        <v>163093239</v>
      </c>
      <c r="B13" s="1230">
        <v>42278</v>
      </c>
    </row>
    <row r="14" spans="1:8" x14ac:dyDescent="0.2">
      <c r="A14" s="1229">
        <v>164289256</v>
      </c>
      <c r="B14" s="1230">
        <v>42309</v>
      </c>
    </row>
    <row r="15" spans="1:8" x14ac:dyDescent="0.2">
      <c r="A15" s="1229">
        <v>165494044</v>
      </c>
      <c r="B15" s="1230">
        <v>42339</v>
      </c>
      <c r="D15" s="1224">
        <v>-7773798360</v>
      </c>
      <c r="E15" s="1225" t="s">
        <v>2187</v>
      </c>
      <c r="H15" s="1225">
        <v>-7940.0875020000003</v>
      </c>
    </row>
    <row r="16" spans="1:8" x14ac:dyDescent="0.2">
      <c r="A16" s="1229"/>
      <c r="B16" s="1231" t="s">
        <v>2188</v>
      </c>
    </row>
    <row r="17" spans="1:8" x14ac:dyDescent="0.2">
      <c r="A17" s="1229">
        <v>166707666</v>
      </c>
      <c r="B17" s="1230">
        <v>42370</v>
      </c>
      <c r="C17" s="1232">
        <f>SUM(A5:A17)</f>
        <v>1922305136</v>
      </c>
      <c r="D17" s="1233">
        <f>-D15-D18</f>
        <v>2466861117</v>
      </c>
      <c r="H17" s="1233">
        <f>SUM(A17:A28)</f>
        <v>2083183775</v>
      </c>
    </row>
    <row r="18" spans="1:8" x14ac:dyDescent="0.2">
      <c r="A18" s="1229">
        <v>167930190</v>
      </c>
      <c r="B18" s="1230">
        <v>42401</v>
      </c>
      <c r="D18" s="1233">
        <f>SUM(A33:A60)</f>
        <v>5306937243</v>
      </c>
      <c r="H18" s="1225">
        <f>H15*1000000+H17</f>
        <v>-5856903727</v>
      </c>
    </row>
    <row r="19" spans="1:8" x14ac:dyDescent="0.2">
      <c r="A19" s="1229">
        <v>169161677</v>
      </c>
      <c r="B19" s="1230">
        <v>42430</v>
      </c>
    </row>
    <row r="20" spans="1:8" x14ac:dyDescent="0.2">
      <c r="A20" s="1229">
        <v>170402197</v>
      </c>
      <c r="B20" s="1230">
        <v>42461</v>
      </c>
    </row>
    <row r="21" spans="1:8" x14ac:dyDescent="0.2">
      <c r="A21" s="1229">
        <v>171651813</v>
      </c>
      <c r="B21" s="1230">
        <v>42491</v>
      </c>
      <c r="C21" s="1233"/>
      <c r="D21" s="1233"/>
    </row>
    <row r="22" spans="1:8" x14ac:dyDescent="0.2">
      <c r="A22" s="1229">
        <v>172910593</v>
      </c>
      <c r="B22" s="1230">
        <v>42522</v>
      </c>
      <c r="C22" s="1233"/>
      <c r="D22" s="1233"/>
    </row>
    <row r="23" spans="1:8" x14ac:dyDescent="0.2">
      <c r="A23" s="1229">
        <v>174178603</v>
      </c>
      <c r="B23" s="1230">
        <v>42552</v>
      </c>
    </row>
    <row r="24" spans="1:8" x14ac:dyDescent="0.2">
      <c r="A24" s="1229">
        <v>175455913</v>
      </c>
      <c r="B24" s="1230">
        <v>42583</v>
      </c>
    </row>
    <row r="25" spans="1:8" x14ac:dyDescent="0.2">
      <c r="A25" s="1229">
        <v>176742590</v>
      </c>
      <c r="B25" s="1230">
        <v>42614</v>
      </c>
    </row>
    <row r="26" spans="1:8" x14ac:dyDescent="0.2">
      <c r="A26" s="1229">
        <v>178038702</v>
      </c>
      <c r="B26" s="1230">
        <v>42644</v>
      </c>
    </row>
    <row r="27" spans="1:8" x14ac:dyDescent="0.2">
      <c r="A27" s="1229">
        <v>179344320</v>
      </c>
      <c r="B27" s="1230">
        <v>42675</v>
      </c>
    </row>
    <row r="28" spans="1:8" x14ac:dyDescent="0.2">
      <c r="A28" s="1229">
        <v>180659511</v>
      </c>
      <c r="B28" s="1230">
        <v>42705</v>
      </c>
      <c r="C28" s="1232">
        <f>SUM(A46:A58)+16315029.9999998</f>
        <v>2553803788</v>
      </c>
    </row>
    <row r="29" spans="1:8" x14ac:dyDescent="0.2">
      <c r="A29" s="1234"/>
    </row>
    <row r="30" spans="1:8" x14ac:dyDescent="0.2">
      <c r="A30" s="1234">
        <v>181984347</v>
      </c>
      <c r="B30" s="1228">
        <v>42736</v>
      </c>
      <c r="D30" s="1233"/>
    </row>
    <row r="31" spans="1:8" x14ac:dyDescent="0.2">
      <c r="A31" s="1234">
        <v>183318899</v>
      </c>
      <c r="B31" s="1228">
        <v>42767</v>
      </c>
    </row>
    <row r="32" spans="1:8" x14ac:dyDescent="0.2">
      <c r="A32" s="1234">
        <v>184663238</v>
      </c>
      <c r="B32" s="1228">
        <v>42795</v>
      </c>
    </row>
    <row r="33" spans="1:5" x14ac:dyDescent="0.2">
      <c r="A33" s="1234">
        <v>186017435</v>
      </c>
      <c r="B33" s="1228">
        <v>42826</v>
      </c>
    </row>
    <row r="34" spans="1:5" x14ac:dyDescent="0.2">
      <c r="A34" s="1234">
        <v>187381563</v>
      </c>
      <c r="B34" s="1228">
        <v>42856</v>
      </c>
    </row>
    <row r="35" spans="1:5" x14ac:dyDescent="0.2">
      <c r="A35" s="1234">
        <v>188755694</v>
      </c>
      <c r="B35" s="1228">
        <v>42887</v>
      </c>
    </row>
    <row r="36" spans="1:5" x14ac:dyDescent="0.2">
      <c r="A36" s="1234">
        <v>190139903</v>
      </c>
      <c r="B36" s="1228">
        <v>42917</v>
      </c>
    </row>
    <row r="37" spans="1:5" x14ac:dyDescent="0.2">
      <c r="A37" s="1234">
        <v>191534263</v>
      </c>
      <c r="B37" s="1228">
        <v>42948</v>
      </c>
      <c r="C37" s="1233"/>
    </row>
    <row r="38" spans="1:5" x14ac:dyDescent="0.2">
      <c r="A38" s="1234">
        <v>192938847</v>
      </c>
      <c r="B38" s="1228">
        <v>42979</v>
      </c>
      <c r="C38" s="1233"/>
    </row>
    <row r="39" spans="1:5" x14ac:dyDescent="0.2">
      <c r="A39" s="1234">
        <v>194353732</v>
      </c>
      <c r="B39" s="1228">
        <v>43009</v>
      </c>
    </row>
    <row r="40" spans="1:5" x14ac:dyDescent="0.2">
      <c r="A40" s="1234">
        <v>195778992</v>
      </c>
      <c r="B40" s="1228">
        <v>43040</v>
      </c>
    </row>
    <row r="41" spans="1:5" x14ac:dyDescent="0.2">
      <c r="A41" s="1234">
        <v>197214705</v>
      </c>
      <c r="B41" s="1228">
        <v>43070</v>
      </c>
    </row>
    <row r="42" spans="1:5" x14ac:dyDescent="0.2">
      <c r="A42" s="1234"/>
      <c r="E42" s="1233">
        <f>SUM(A33:A41)/1000000</f>
        <v>1724.1151339999999</v>
      </c>
    </row>
    <row r="43" spans="1:5" x14ac:dyDescent="0.2">
      <c r="A43" s="1234">
        <v>198660946</v>
      </c>
      <c r="B43" s="1228">
        <v>43101</v>
      </c>
      <c r="C43" s="1233">
        <f>SUM(A59:A60)</f>
        <v>444969288</v>
      </c>
      <c r="E43" s="1233">
        <f>SUM(A43:A54)/1000000</f>
        <v>2482.4728709999999</v>
      </c>
    </row>
    <row r="44" spans="1:5" x14ac:dyDescent="0.2">
      <c r="A44" s="1234">
        <v>200117794</v>
      </c>
      <c r="B44" s="1228">
        <v>43132</v>
      </c>
      <c r="E44" s="1233">
        <f>SUM(A56:A60)/1000000</f>
        <v>1100.349238</v>
      </c>
    </row>
    <row r="45" spans="1:5" x14ac:dyDescent="0.2">
      <c r="A45" s="1234">
        <v>201585323</v>
      </c>
      <c r="B45" s="1228">
        <v>43160</v>
      </c>
    </row>
    <row r="46" spans="1:5" x14ac:dyDescent="0.2">
      <c r="A46" s="1234">
        <v>203063616</v>
      </c>
      <c r="B46" s="1228">
        <v>43191</v>
      </c>
      <c r="E46" s="1233">
        <f>SUM(A46:A54)/1000000</f>
        <v>1882.108808</v>
      </c>
    </row>
    <row r="47" spans="1:5" x14ac:dyDescent="0.2">
      <c r="A47" s="1234">
        <v>204552749</v>
      </c>
      <c r="B47" s="1228">
        <v>43221</v>
      </c>
    </row>
    <row r="48" spans="1:5" x14ac:dyDescent="0.2">
      <c r="A48" s="1234">
        <v>206052803</v>
      </c>
      <c r="B48" s="1228">
        <v>43252</v>
      </c>
    </row>
    <row r="49" spans="1:9" x14ac:dyDescent="0.2">
      <c r="A49" s="1234">
        <v>207563856</v>
      </c>
      <c r="B49" s="1228">
        <v>43282</v>
      </c>
      <c r="C49" s="1233">
        <f>SUM(A49:A51)</f>
        <v>627269136</v>
      </c>
    </row>
    <row r="50" spans="1:9" x14ac:dyDescent="0.2">
      <c r="A50" s="1234">
        <v>209085991</v>
      </c>
      <c r="B50" s="1228">
        <v>43313</v>
      </c>
      <c r="C50" s="1233">
        <f>SUM(A52:A54)</f>
        <v>641170504</v>
      </c>
    </row>
    <row r="51" spans="1:9" x14ac:dyDescent="0.2">
      <c r="A51" s="1234">
        <v>210619289</v>
      </c>
      <c r="B51" s="1228">
        <v>43344</v>
      </c>
      <c r="C51" s="1233">
        <f>SUM(A56:A58)</f>
        <v>655379950</v>
      </c>
    </row>
    <row r="52" spans="1:9" x14ac:dyDescent="0.2">
      <c r="A52" s="1234">
        <v>212163830</v>
      </c>
      <c r="B52" s="1228">
        <v>43374</v>
      </c>
    </row>
    <row r="53" spans="1:9" x14ac:dyDescent="0.2">
      <c r="A53" s="1234">
        <v>213719698</v>
      </c>
      <c r="B53" s="1228">
        <v>43405</v>
      </c>
    </row>
    <row r="54" spans="1:9" x14ac:dyDescent="0.2">
      <c r="A54" s="1234">
        <v>215286976</v>
      </c>
      <c r="B54" s="1228">
        <v>43435</v>
      </c>
      <c r="F54" s="1233">
        <f>SUM(A49:A54)</f>
        <v>1268439640</v>
      </c>
      <c r="G54" s="1225">
        <v>1100349238</v>
      </c>
    </row>
    <row r="55" spans="1:9" x14ac:dyDescent="0.2">
      <c r="A55" s="1234"/>
    </row>
    <row r="56" spans="1:9" x14ac:dyDescent="0.2">
      <c r="A56" s="1234">
        <v>216865747</v>
      </c>
      <c r="B56" s="1228">
        <v>43466</v>
      </c>
      <c r="E56" s="1233">
        <f>SUM(A56:A60)/1000000</f>
        <v>1100.349238</v>
      </c>
      <c r="H56" s="1225">
        <f>+A56/1000000</f>
        <v>216.865747</v>
      </c>
    </row>
    <row r="57" spans="1:9" x14ac:dyDescent="0.2">
      <c r="A57" s="1234">
        <v>218456096</v>
      </c>
      <c r="B57" s="1228">
        <v>43497</v>
      </c>
      <c r="H57" s="1225">
        <f>+A57/1000000</f>
        <v>218.456096</v>
      </c>
    </row>
    <row r="58" spans="1:9" x14ac:dyDescent="0.2">
      <c r="A58" s="1234">
        <v>220058107</v>
      </c>
      <c r="B58" s="1228">
        <v>43525</v>
      </c>
      <c r="H58" s="1225">
        <f>+A58/1000000</f>
        <v>220.05810700000001</v>
      </c>
      <c r="I58" s="1225">
        <f>SUM(H56:H58)</f>
        <v>655.37995000000001</v>
      </c>
    </row>
    <row r="59" spans="1:9" x14ac:dyDescent="0.2">
      <c r="A59" s="1234">
        <v>221671867</v>
      </c>
      <c r="B59" s="1228">
        <v>43556</v>
      </c>
      <c r="H59" s="1225">
        <f>+A59/1000000</f>
        <v>221.67186699999999</v>
      </c>
      <c r="I59" s="1225">
        <f>SUM(H59:H60)</f>
        <v>444.96928800000001</v>
      </c>
    </row>
    <row r="60" spans="1:9" x14ac:dyDescent="0.2">
      <c r="A60" s="1234">
        <v>223297421</v>
      </c>
      <c r="B60" s="1228">
        <v>43586</v>
      </c>
      <c r="F60" s="1233">
        <f>SUM(A56:A60)</f>
        <v>1100349238</v>
      </c>
      <c r="H60" s="1225">
        <f>+A60/1000000</f>
        <v>223.29742100000001</v>
      </c>
    </row>
    <row r="62" spans="1:9" x14ac:dyDescent="0.2">
      <c r="C62" s="1235">
        <f>+(C43+C28)/1000000</f>
        <v>2998.7730759999999</v>
      </c>
    </row>
    <row r="63" spans="1:9" x14ac:dyDescent="0.2">
      <c r="C63" s="1226">
        <f>'BG '!K14/1000000</f>
        <v>0</v>
      </c>
      <c r="D63" s="1236">
        <f>C62+C63</f>
        <v>2998.7730759999999</v>
      </c>
    </row>
    <row r="64" spans="1:9" x14ac:dyDescent="0.2">
      <c r="A64" s="1224">
        <v>-9073.5500169999996</v>
      </c>
      <c r="C64" s="122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3:L76"/>
  <sheetViews>
    <sheetView topLeftCell="A22" zoomScale="90" zoomScaleNormal="90" workbookViewId="0">
      <selection activeCell="I25" sqref="I25"/>
    </sheetView>
  </sheetViews>
  <sheetFormatPr baseColWidth="10" defaultColWidth="11.44140625" defaultRowHeight="14.4" x14ac:dyDescent="0.3"/>
  <cols>
    <col min="1" max="1" width="4.44140625" style="1277" bestFit="1" customWidth="1"/>
    <col min="2" max="2" width="19.44140625" style="1280" bestFit="1" customWidth="1"/>
    <col min="3" max="3" width="15.33203125" style="1277" bestFit="1" customWidth="1"/>
    <col min="4" max="4" width="18.44140625" style="1277" bestFit="1" customWidth="1"/>
    <col min="5" max="5" width="16.5546875" style="1277" bestFit="1" customWidth="1"/>
    <col min="6" max="6" width="11.44140625" style="1277"/>
    <col min="7" max="7" width="24.44140625" style="1277" customWidth="1"/>
    <col min="8" max="10" width="17.88671875" style="1277" bestFit="1" customWidth="1"/>
    <col min="11" max="11" width="18.88671875" style="1277" bestFit="1" customWidth="1"/>
    <col min="12" max="16384" width="11.44140625" style="1277"/>
  </cols>
  <sheetData>
    <row r="3" spans="1:12" x14ac:dyDescent="0.3">
      <c r="A3" s="1277" t="s">
        <v>2220</v>
      </c>
      <c r="B3" s="1291">
        <v>1082172266</v>
      </c>
      <c r="D3" s="1279">
        <f>B3+B20*(0.07/4)*1.1</f>
        <v>1484902020.7157502</v>
      </c>
      <c r="E3" s="1279">
        <f>D3-B3</f>
        <v>402729754.71575022</v>
      </c>
      <c r="F3" s="1281">
        <v>44286</v>
      </c>
    </row>
    <row r="4" spans="1:12" x14ac:dyDescent="0.3">
      <c r="A4" s="1277" t="s">
        <v>80</v>
      </c>
      <c r="B4" s="1278">
        <v>1098957771</v>
      </c>
      <c r="C4" s="1277">
        <f>1+(0.07/4)*1.1</f>
        <v>1.01925</v>
      </c>
      <c r="D4" s="1279">
        <f>B4+(B20-B3)*(0.07/4)*1.1</f>
        <v>1480855709.5952501</v>
      </c>
      <c r="E4" s="1279">
        <f>D4-B4</f>
        <v>381897938.59525013</v>
      </c>
      <c r="F4" s="1281">
        <v>44377</v>
      </c>
    </row>
    <row r="5" spans="1:12" x14ac:dyDescent="0.3">
      <c r="A5" s="1277" t="s">
        <v>2221</v>
      </c>
      <c r="B5" s="1278">
        <v>1116536506</v>
      </c>
      <c r="C5" s="1277">
        <f>1+(0.07/4)*1.1</f>
        <v>1.01925</v>
      </c>
      <c r="D5" s="1279">
        <f>D4</f>
        <v>1480855709.5952501</v>
      </c>
      <c r="E5" s="1279">
        <f>D5-B5</f>
        <v>364319203.59525013</v>
      </c>
      <c r="F5" s="1281">
        <v>44469</v>
      </c>
    </row>
    <row r="6" spans="1:12" x14ac:dyDescent="0.3">
      <c r="A6" s="1277" t="s">
        <v>2222</v>
      </c>
      <c r="B6" s="1278">
        <v>1138507461</v>
      </c>
      <c r="C6" s="1277">
        <f t="shared" ref="C6:C18" si="0">1+(0.07/4)*1.1</f>
        <v>1.01925</v>
      </c>
      <c r="D6" s="1279">
        <f>D5</f>
        <v>1480855709.5952501</v>
      </c>
      <c r="E6" s="1279">
        <f>D6-B6</f>
        <v>342348248.59525013</v>
      </c>
      <c r="F6" s="1281">
        <v>44561</v>
      </c>
      <c r="G6" s="1279">
        <f>SUM(B9:B13)</f>
        <v>6285358211</v>
      </c>
      <c r="H6" s="1295" t="s">
        <v>2280</v>
      </c>
      <c r="L6" s="1277">
        <f>+G6/1000000</f>
        <v>6285.3582109999998</v>
      </c>
    </row>
    <row r="7" spans="1:12" x14ac:dyDescent="0.3">
      <c r="A7" s="1277" t="s">
        <v>2223</v>
      </c>
      <c r="B7" s="1278">
        <v>1167568618</v>
      </c>
      <c r="C7" s="1277">
        <f t="shared" si="0"/>
        <v>1.01925</v>
      </c>
      <c r="F7" s="1281">
        <v>44651</v>
      </c>
      <c r="K7" s="1277">
        <f>+B7/1000000</f>
        <v>1167.568618</v>
      </c>
    </row>
    <row r="8" spans="1:12" x14ac:dyDescent="0.3">
      <c r="A8" s="1277" t="s">
        <v>2224</v>
      </c>
      <c r="B8" s="1278">
        <v>1186965113</v>
      </c>
      <c r="C8" s="1277">
        <f t="shared" si="0"/>
        <v>1.01925</v>
      </c>
      <c r="F8" s="1281">
        <v>44742</v>
      </c>
    </row>
    <row r="9" spans="1:12" ht="15" customHeight="1" x14ac:dyDescent="0.3">
      <c r="A9" s="1277" t="s">
        <v>2225</v>
      </c>
      <c r="B9" s="1302">
        <v>1207242750</v>
      </c>
      <c r="C9" s="1277">
        <f t="shared" si="0"/>
        <v>1.01925</v>
      </c>
      <c r="F9" s="1281">
        <v>44834</v>
      </c>
    </row>
    <row r="10" spans="1:12" x14ac:dyDescent="0.3">
      <c r="A10" s="1277" t="s">
        <v>2226</v>
      </c>
      <c r="B10" s="1302">
        <v>1230998605</v>
      </c>
      <c r="C10" s="1277">
        <f t="shared" si="0"/>
        <v>1.01925</v>
      </c>
      <c r="F10" s="1281">
        <v>44926</v>
      </c>
      <c r="I10" s="1295" t="s">
        <v>2405</v>
      </c>
      <c r="J10" s="1277">
        <v>553949373</v>
      </c>
    </row>
    <row r="11" spans="1:12" x14ac:dyDescent="0.3">
      <c r="A11" s="1277" t="s">
        <v>2227</v>
      </c>
      <c r="B11" s="1474">
        <v>1259829538</v>
      </c>
      <c r="C11" s="1277">
        <f t="shared" si="0"/>
        <v>1.01925</v>
      </c>
      <c r="F11" s="1281">
        <v>45016</v>
      </c>
      <c r="I11" s="1295" t="s">
        <v>2406</v>
      </c>
      <c r="J11" s="1279">
        <f>B10-J10</f>
        <v>677049232</v>
      </c>
      <c r="K11" s="1422">
        <f>SUM(B13:B18)</f>
        <v>9150200677</v>
      </c>
      <c r="L11" s="1277">
        <f>+K11/1000000</f>
        <v>9150.2006770000007</v>
      </c>
    </row>
    <row r="12" spans="1:12" x14ac:dyDescent="0.3">
      <c r="A12" s="1277" t="s">
        <v>2228</v>
      </c>
      <c r="B12" s="1474">
        <v>1282046914</v>
      </c>
      <c r="C12" s="1277">
        <f t="shared" si="0"/>
        <v>1.01925</v>
      </c>
      <c r="F12" s="1281">
        <v>45107</v>
      </c>
      <c r="K12" s="1422">
        <f>SUM('Amortissment boa'!G3)</f>
        <v>14518324529</v>
      </c>
    </row>
    <row r="13" spans="1:12" x14ac:dyDescent="0.3">
      <c r="A13" s="1277" t="s">
        <v>2229</v>
      </c>
      <c r="B13" s="1474">
        <v>1305240404</v>
      </c>
      <c r="C13" s="1277">
        <f t="shared" si="0"/>
        <v>1.01925</v>
      </c>
      <c r="F13" s="1281">
        <v>45199</v>
      </c>
      <c r="I13" s="1277">
        <v>677049232</v>
      </c>
      <c r="K13" s="1422">
        <f>+'Amortissment Cboa'!G3</f>
        <v>20000000000</v>
      </c>
    </row>
    <row r="14" spans="1:12" x14ac:dyDescent="0.3">
      <c r="A14" s="1277" t="s">
        <v>2230</v>
      </c>
      <c r="B14" s="1474">
        <v>1330924629</v>
      </c>
      <c r="C14" s="1277">
        <f t="shared" si="0"/>
        <v>1.01925</v>
      </c>
      <c r="F14" s="1281">
        <v>45291</v>
      </c>
      <c r="G14" s="1475">
        <f>SUM(B11:B15)</f>
        <v>6536352039</v>
      </c>
      <c r="H14" s="1277">
        <f>+G14/1000000</f>
        <v>6536.3520390000003</v>
      </c>
      <c r="K14" s="1423">
        <f>SUM(K11:K13)</f>
        <v>43668525206</v>
      </c>
    </row>
    <row r="15" spans="1:12" x14ac:dyDescent="0.3">
      <c r="A15" s="1277" t="s">
        <v>2231</v>
      </c>
      <c r="B15" s="1474">
        <v>1358310554</v>
      </c>
      <c r="C15" s="1277">
        <f t="shared" si="0"/>
        <v>1.01925</v>
      </c>
      <c r="F15" s="1281">
        <v>45382</v>
      </c>
    </row>
    <row r="16" spans="1:12" x14ac:dyDescent="0.3">
      <c r="A16" s="1277" t="s">
        <v>2232</v>
      </c>
      <c r="B16" s="1280">
        <v>1384748559</v>
      </c>
      <c r="C16" s="1277">
        <f t="shared" si="0"/>
        <v>1.01925</v>
      </c>
      <c r="F16" s="1281">
        <v>45473</v>
      </c>
    </row>
    <row r="17" spans="1:10" x14ac:dyDescent="0.3">
      <c r="A17" s="1277" t="s">
        <v>2233</v>
      </c>
      <c r="B17" s="1280">
        <v>1411091578</v>
      </c>
      <c r="C17" s="1277">
        <f t="shared" si="0"/>
        <v>1.01925</v>
      </c>
      <c r="F17" s="1281">
        <v>45565</v>
      </c>
    </row>
    <row r="18" spans="1:10" x14ac:dyDescent="0.3">
      <c r="A18" s="1277" t="s">
        <v>2234</v>
      </c>
      <c r="B18" s="1280">
        <f>1438858734+921026219</f>
        <v>2359884953</v>
      </c>
      <c r="C18" s="1277">
        <f t="shared" si="0"/>
        <v>1.01925</v>
      </c>
      <c r="F18" s="1281">
        <v>45657</v>
      </c>
      <c r="G18" s="1279">
        <f>SUM(B16:B18)</f>
        <v>5155725090</v>
      </c>
      <c r="H18" s="1277">
        <f>+G18/1000000</f>
        <v>5155.7250899999999</v>
      </c>
    </row>
    <row r="19" spans="1:10" x14ac:dyDescent="0.3">
      <c r="G19" s="1294"/>
      <c r="H19" s="1295"/>
    </row>
    <row r="20" spans="1:10" x14ac:dyDescent="0.3">
      <c r="B20" s="1280">
        <f>SUM(B3:B19)</f>
        <v>20921026219</v>
      </c>
    </row>
    <row r="21" spans="1:10" x14ac:dyDescent="0.3">
      <c r="B21" s="1280">
        <f>20000000000</f>
        <v>20000000000</v>
      </c>
    </row>
    <row r="22" spans="1:10" x14ac:dyDescent="0.3">
      <c r="B22" s="1280">
        <f>B20-B21</f>
        <v>921026219</v>
      </c>
    </row>
    <row r="24" spans="1:10" x14ac:dyDescent="0.3">
      <c r="B24" s="1239" t="s">
        <v>2436</v>
      </c>
      <c r="C24" s="1239">
        <f>SUM(B14:B18)</f>
        <v>7844960273</v>
      </c>
      <c r="G24" s="1525" t="s">
        <v>2411</v>
      </c>
      <c r="H24" s="1844">
        <f>C24/1000000</f>
        <v>7844.9602729999997</v>
      </c>
      <c r="I24" s="1610">
        <f>C25/1000000</f>
        <v>0</v>
      </c>
      <c r="J24" s="1610">
        <f>SUM(H24:I24)</f>
        <v>7844.9602729999997</v>
      </c>
    </row>
    <row r="25" spans="1:10" x14ac:dyDescent="0.3">
      <c r="B25" s="1239" t="s">
        <v>2437</v>
      </c>
      <c r="C25" s="1239"/>
      <c r="G25" s="1525" t="s">
        <v>2412</v>
      </c>
      <c r="H25" s="1844">
        <f>+'TABLEAU CBAO'!E52/1000000</f>
        <v>3730.569116278386</v>
      </c>
      <c r="I25" s="1610">
        <f>'TABLEAU CBAO'!E53/1000000</f>
        <v>14171.013640394238</v>
      </c>
      <c r="J25" s="1610">
        <f>SUM(H25:I25)</f>
        <v>17901.582756672622</v>
      </c>
    </row>
    <row r="26" spans="1:10" x14ac:dyDescent="0.3">
      <c r="B26" s="1239"/>
      <c r="C26" s="1239"/>
      <c r="G26" s="1525" t="s">
        <v>2413</v>
      </c>
      <c r="H26" s="1844">
        <f>+'SYNTHESE BOA'!D57/1000000</f>
        <v>2924.4922110000002</v>
      </c>
      <c r="I26" s="1610">
        <f>+'SYNTHESE BOA'!D58/1000000</f>
        <v>14832.299596999999</v>
      </c>
      <c r="J26" s="1610">
        <f>SUM(H26:I26)</f>
        <v>17756.791807999998</v>
      </c>
    </row>
    <row r="27" spans="1:10" x14ac:dyDescent="0.3">
      <c r="B27" s="1239"/>
      <c r="C27" s="1239"/>
      <c r="G27" s="1525" t="s">
        <v>2615</v>
      </c>
      <c r="H27" s="1610"/>
      <c r="I27" s="1610"/>
      <c r="J27" s="1610"/>
    </row>
    <row r="28" spans="1:10" x14ac:dyDescent="0.3">
      <c r="B28" s="1239"/>
      <c r="C28" s="1239"/>
      <c r="G28" s="1525"/>
      <c r="H28" s="1610"/>
      <c r="I28" s="1610"/>
      <c r="J28" s="1610"/>
    </row>
    <row r="29" spans="1:10" x14ac:dyDescent="0.3">
      <c r="B29" s="1239"/>
      <c r="C29" s="1239"/>
      <c r="G29" s="1525"/>
      <c r="H29" s="1610"/>
      <c r="I29" s="1610"/>
      <c r="J29" s="1610"/>
    </row>
    <row r="30" spans="1:10" x14ac:dyDescent="0.3">
      <c r="B30" s="1239" t="s">
        <v>2137</v>
      </c>
      <c r="C30" s="1239">
        <f>SUM(C24:C25)</f>
        <v>7844960273</v>
      </c>
      <c r="G30" s="1422"/>
      <c r="H30" s="1610"/>
      <c r="I30" s="1610"/>
      <c r="J30" s="1610"/>
    </row>
    <row r="31" spans="1:10" x14ac:dyDescent="0.3">
      <c r="B31" s="1239"/>
      <c r="C31" s="1239"/>
      <c r="G31" s="1295" t="s">
        <v>2120</v>
      </c>
      <c r="H31" s="1610">
        <f>SUM(H24:H30)</f>
        <v>14500.021600278385</v>
      </c>
      <c r="I31" s="1610">
        <f>SUM(I24:I30)</f>
        <v>29003.313237394235</v>
      </c>
      <c r="J31" s="1610">
        <f>SUM(J24:J30)</f>
        <v>43503.334837672621</v>
      </c>
    </row>
    <row r="32" spans="1:10" x14ac:dyDescent="0.3">
      <c r="B32" s="1239"/>
      <c r="C32" s="1239"/>
      <c r="H32" s="1610"/>
      <c r="I32" s="1610"/>
      <c r="J32" s="1610"/>
    </row>
    <row r="33" spans="2:12" x14ac:dyDescent="0.3">
      <c r="B33" s="1239" t="s">
        <v>800</v>
      </c>
      <c r="C33" s="1239">
        <f>SUM('BG '!K16)</f>
        <v>-7844960273</v>
      </c>
      <c r="H33" s="1610"/>
      <c r="I33" s="1610">
        <f>-+'Bilan-par flux'!U171</f>
        <v>-30298.82731739424</v>
      </c>
      <c r="J33" s="1610">
        <f>+(+'BG '!K16+'BG '!K17+'BG '!K18)/1000000</f>
        <v>-43503.334837000002</v>
      </c>
    </row>
    <row r="34" spans="2:12" x14ac:dyDescent="0.3">
      <c r="B34" s="1239"/>
      <c r="C34" s="1239"/>
      <c r="H34" s="1610"/>
      <c r="I34" s="1610"/>
      <c r="J34" s="1610"/>
    </row>
    <row r="35" spans="2:12" x14ac:dyDescent="0.3">
      <c r="B35" s="1239" t="s">
        <v>2440</v>
      </c>
      <c r="C35" s="1239">
        <f>+C30+C33</f>
        <v>0</v>
      </c>
      <c r="H35" s="1610"/>
      <c r="I35" s="1844">
        <f>+I31+I33</f>
        <v>-1295.5140800000045</v>
      </c>
      <c r="J35" s="1610">
        <f>+J31+J33</f>
        <v>6.7261862568557262E-7</v>
      </c>
    </row>
    <row r="37" spans="2:12" x14ac:dyDescent="0.3">
      <c r="I37" s="1277">
        <v>1295.5140799999999</v>
      </c>
    </row>
    <row r="42" spans="2:12" x14ac:dyDescent="0.3">
      <c r="G42" s="1295" t="s">
        <v>2551</v>
      </c>
      <c r="H42" s="1295" t="s">
        <v>2552</v>
      </c>
      <c r="I42" s="1295" t="s">
        <v>2553</v>
      </c>
      <c r="J42" s="1295" t="s">
        <v>2554</v>
      </c>
    </row>
    <row r="44" spans="2:12" x14ac:dyDescent="0.3">
      <c r="E44" s="1525" t="s">
        <v>2411</v>
      </c>
    </row>
    <row r="45" spans="2:12" x14ac:dyDescent="0.3">
      <c r="E45" s="1525" t="s">
        <v>2412</v>
      </c>
      <c r="G45" s="1277">
        <f>SUM('TABLEAU CBAO'!F30:F33)/1000000</f>
        <v>3208.3174295612434</v>
      </c>
      <c r="H45" s="1277">
        <f>SUM('TABLEAU CBAO'!F34:F37)/1000000</f>
        <v>3421.6598071380163</v>
      </c>
      <c r="I45" s="1277">
        <f>SUM('TABLEAU CBAO'!F38:F41)/1000000</f>
        <v>3649.1887536949789</v>
      </c>
      <c r="J45" s="1277">
        <f>SUM('TABLEAU CBAO'!F42:F45)/1000000</f>
        <v>3891.8476500000002</v>
      </c>
      <c r="K45" s="1277">
        <f>SUM(G45:J45)</f>
        <v>14171.013640394238</v>
      </c>
      <c r="L45" s="1843">
        <f>+K45-I25</f>
        <v>0</v>
      </c>
    </row>
    <row r="46" spans="2:12" x14ac:dyDescent="0.3">
      <c r="E46" s="1525" t="s">
        <v>2413</v>
      </c>
      <c r="G46" s="1277">
        <f>SUM('SYNTHESE BOA'!E27:E30)/1000000</f>
        <v>3214.4925239999998</v>
      </c>
      <c r="H46" s="1277">
        <f>SUM('SYNTHESE BOA'!E31:E34)/1000000</f>
        <v>3446.8375369999999</v>
      </c>
      <c r="I46" s="1277">
        <f>SUM('SYNTHESE BOA'!E35:E38)/1000000</f>
        <v>3695.9765539999999</v>
      </c>
      <c r="J46" s="1277">
        <f>SUM('SYNTHESE BOA'!E39:E47)/1000000</f>
        <v>4474.9929819999998</v>
      </c>
      <c r="K46" s="1277">
        <f>SUM(G46:J46)</f>
        <v>14832.299596999999</v>
      </c>
      <c r="L46" s="1843">
        <f>+K46-I26</f>
        <v>0</v>
      </c>
    </row>
    <row r="50" spans="5:10" x14ac:dyDescent="0.3">
      <c r="G50" s="1844">
        <f>SUM(G44:G49)</f>
        <v>6422.8099535612437</v>
      </c>
      <c r="H50" s="1844">
        <f>SUM(H44:H49)</f>
        <v>6868.4973441380162</v>
      </c>
      <c r="I50" s="1844">
        <f>SUM(I44:I49)</f>
        <v>7345.1653076949788</v>
      </c>
      <c r="J50" s="1844">
        <f>SUM(J44:J49)</f>
        <v>8366.8406319999995</v>
      </c>
    </row>
    <row r="57" spans="5:10" x14ac:dyDescent="0.3">
      <c r="E57" s="1525" t="s">
        <v>2411</v>
      </c>
      <c r="G57" s="1422">
        <f>SUM(B11:B12)/1000000</f>
        <v>2541.876452</v>
      </c>
      <c r="H57" s="1422">
        <f>2519659076/1000000</f>
        <v>2519.6590759999999</v>
      </c>
      <c r="I57" s="1422">
        <v>-4132</v>
      </c>
    </row>
    <row r="58" spans="5:10" x14ac:dyDescent="0.3">
      <c r="E58" s="1525" t="s">
        <v>2412</v>
      </c>
      <c r="G58" s="1422">
        <f>SUM('TABLEAU CBAO'!F22:F23)/1000000</f>
        <v>1387.6572630000001</v>
      </c>
      <c r="H58" s="1422">
        <f>1356622429/1000000</f>
        <v>1356.622429</v>
      </c>
      <c r="I58" s="1422">
        <v>-2237.6</v>
      </c>
    </row>
    <row r="59" spans="5:10" x14ac:dyDescent="0.3">
      <c r="E59" s="1525" t="s">
        <v>2413</v>
      </c>
      <c r="G59" s="1422">
        <f>SUM('SYNTHESE BOA'!E17:E18)/1000000</f>
        <v>481.67547100000002</v>
      </c>
      <c r="H59" s="1422">
        <f>1387657264/1000000</f>
        <v>1387.6572639999999</v>
      </c>
      <c r="I59" s="1422">
        <v>-4132.5</v>
      </c>
    </row>
    <row r="60" spans="5:10" x14ac:dyDescent="0.3">
      <c r="G60" s="1422"/>
      <c r="H60" s="1422"/>
      <c r="I60" s="1422"/>
    </row>
    <row r="61" spans="5:10" x14ac:dyDescent="0.3">
      <c r="G61" s="1422">
        <f>+'Bilan-par flux'!M229</f>
        <v>-8696.568467000001</v>
      </c>
      <c r="H61" s="1422">
        <f>SUM(H57:H59)</f>
        <v>5263.9387690000003</v>
      </c>
      <c r="I61" s="1422"/>
    </row>
    <row r="74" spans="4:8" x14ac:dyDescent="0.3">
      <c r="D74" s="1474">
        <v>1330924629</v>
      </c>
      <c r="E74" s="1474">
        <v>1358310554</v>
      </c>
      <c r="F74" s="1280">
        <v>1384748559</v>
      </c>
      <c r="G74" s="1280">
        <v>1411091578</v>
      </c>
      <c r="H74" s="1280">
        <f>1438858734+921026219</f>
        <v>2359884953</v>
      </c>
    </row>
    <row r="76" spans="4:8" x14ac:dyDescent="0.3">
      <c r="D76" s="1277">
        <f>+D74/1000000</f>
        <v>1330.9246290000001</v>
      </c>
      <c r="E76" s="1277">
        <f t="shared" ref="E76:H76" si="1">+E74/1000000</f>
        <v>1358.3105539999999</v>
      </c>
      <c r="F76" s="1277">
        <f t="shared" si="1"/>
        <v>1384.7485589999999</v>
      </c>
      <c r="G76" s="1277">
        <f t="shared" si="1"/>
        <v>1411.091578</v>
      </c>
      <c r="H76" s="1277">
        <f t="shared" si="1"/>
        <v>2359.8849530000002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78"/>
  <sheetViews>
    <sheetView topLeftCell="K63" workbookViewId="0">
      <selection activeCell="I25" sqref="I25"/>
    </sheetView>
  </sheetViews>
  <sheetFormatPr baseColWidth="10" defaultColWidth="10.88671875" defaultRowHeight="14.4" x14ac:dyDescent="0.3"/>
  <cols>
    <col min="1" max="1" width="5.33203125" style="1445" customWidth="1"/>
    <col min="2" max="2" width="42.5546875" style="1445" customWidth="1"/>
    <col min="3" max="3" width="29.6640625" style="1239" customWidth="1"/>
    <col min="4" max="4" width="19.33203125" style="1239" customWidth="1"/>
    <col min="5" max="5" width="18.88671875" style="1239" bestFit="1" customWidth="1"/>
    <col min="6" max="6" width="17.109375" style="1239" customWidth="1"/>
    <col min="7" max="7" width="20" style="1239" bestFit="1" customWidth="1"/>
    <col min="8" max="11" width="17.88671875" style="1445" bestFit="1" customWidth="1"/>
    <col min="12" max="16384" width="10.88671875" style="1445"/>
  </cols>
  <sheetData>
    <row r="1" spans="1:14" x14ac:dyDescent="0.3">
      <c r="B1" s="1446" t="s">
        <v>2383</v>
      </c>
      <c r="C1" s="1447" t="s">
        <v>2432</v>
      </c>
      <c r="E1" s="1445"/>
      <c r="F1" s="1445"/>
      <c r="G1" s="1445"/>
    </row>
    <row r="2" spans="1:14" s="1450" customFormat="1" ht="13.8" x14ac:dyDescent="0.3">
      <c r="A2" s="1448" t="s">
        <v>2384</v>
      </c>
      <c r="B2" s="1446" t="s">
        <v>2385</v>
      </c>
      <c r="C2" s="1449" t="s">
        <v>2433</v>
      </c>
    </row>
    <row r="3" spans="1:14" s="1450" customFormat="1" ht="13.8" x14ac:dyDescent="0.3">
      <c r="A3" s="1448" t="s">
        <v>2384</v>
      </c>
      <c r="B3" s="1447" t="s">
        <v>2386</v>
      </c>
      <c r="C3" s="1447" t="s">
        <v>2434</v>
      </c>
    </row>
    <row r="4" spans="1:14" s="1450" customFormat="1" ht="13.8" x14ac:dyDescent="0.3">
      <c r="A4" s="1448"/>
      <c r="B4" s="1447" t="s">
        <v>2387</v>
      </c>
      <c r="C4" s="1447" t="s">
        <v>2435</v>
      </c>
    </row>
    <row r="5" spans="1:14" s="1450" customFormat="1" ht="13.8" x14ac:dyDescent="0.3">
      <c r="A5" s="1448" t="s">
        <v>2384</v>
      </c>
      <c r="B5" s="1447" t="s">
        <v>2389</v>
      </c>
      <c r="C5" s="1451">
        <v>20000000000</v>
      </c>
    </row>
    <row r="6" spans="1:14" s="1450" customFormat="1" ht="13.8" x14ac:dyDescent="0.3">
      <c r="A6" s="1448" t="s">
        <v>2384</v>
      </c>
      <c r="B6" s="1447" t="s">
        <v>2392</v>
      </c>
      <c r="C6" s="1452">
        <v>43831</v>
      </c>
    </row>
    <row r="7" spans="1:14" s="1450" customFormat="1" ht="13.8" x14ac:dyDescent="0.3">
      <c r="A7" s="1448"/>
      <c r="B7" s="1447" t="s">
        <v>2393</v>
      </c>
      <c r="C7" s="1452">
        <v>43921</v>
      </c>
      <c r="E7" s="1453"/>
    </row>
    <row r="8" spans="1:14" s="1450" customFormat="1" ht="13.8" x14ac:dyDescent="0.3">
      <c r="A8" s="1448" t="s">
        <v>2384</v>
      </c>
      <c r="B8" s="1447" t="s">
        <v>2394</v>
      </c>
      <c r="C8" s="1452">
        <v>45657</v>
      </c>
      <c r="D8" s="1453"/>
      <c r="E8" s="1569">
        <f>+B16-B15+1</f>
        <v>261</v>
      </c>
    </row>
    <row r="9" spans="1:14" s="1450" customFormat="1" ht="13.8" x14ac:dyDescent="0.3">
      <c r="A9" s="1448" t="s">
        <v>2384</v>
      </c>
      <c r="B9" s="1447" t="s">
        <v>2395</v>
      </c>
      <c r="C9" s="1447">
        <v>5</v>
      </c>
    </row>
    <row r="10" spans="1:14" s="1450" customFormat="1" ht="13.8" x14ac:dyDescent="0.3">
      <c r="A10" s="1448"/>
      <c r="B10" s="1447" t="s">
        <v>2396</v>
      </c>
      <c r="C10" s="1447">
        <v>1</v>
      </c>
    </row>
    <row r="11" spans="1:14" s="1450" customFormat="1" ht="13.8" x14ac:dyDescent="0.3">
      <c r="A11" s="1448" t="s">
        <v>2384</v>
      </c>
      <c r="B11" s="1447" t="s">
        <v>2397</v>
      </c>
      <c r="C11" s="1454">
        <v>6.4000000000000001E-2</v>
      </c>
      <c r="E11" s="1450">
        <v>120177778</v>
      </c>
      <c r="F11" s="1453">
        <f>+D16+E11</f>
        <v>120177778</v>
      </c>
    </row>
    <row r="12" spans="1:14" s="1450" customFormat="1" ht="13.8" x14ac:dyDescent="0.3">
      <c r="A12" s="1448" t="s">
        <v>2384</v>
      </c>
      <c r="B12" s="1447" t="s">
        <v>2398</v>
      </c>
      <c r="C12" s="1455">
        <v>0.1</v>
      </c>
    </row>
    <row r="14" spans="1:14" ht="13.8" x14ac:dyDescent="0.25">
      <c r="B14" s="1456" t="s">
        <v>2399</v>
      </c>
      <c r="C14" s="1457" t="s">
        <v>2400</v>
      </c>
      <c r="D14" s="1457" t="s">
        <v>2401</v>
      </c>
      <c r="E14" s="1457" t="s">
        <v>2403</v>
      </c>
      <c r="F14" s="1456" t="s">
        <v>2402</v>
      </c>
      <c r="G14" s="1457" t="s">
        <v>2202</v>
      </c>
      <c r="I14" s="1603" t="s">
        <v>2399</v>
      </c>
      <c r="J14" s="1604" t="s">
        <v>2400</v>
      </c>
      <c r="K14" s="1604" t="s">
        <v>2401</v>
      </c>
      <c r="L14" s="1604" t="s">
        <v>2403</v>
      </c>
      <c r="M14" s="1603" t="s">
        <v>2402</v>
      </c>
      <c r="N14" s="1604" t="s">
        <v>2202</v>
      </c>
    </row>
    <row r="15" spans="1:14" x14ac:dyDescent="0.3">
      <c r="B15" s="1570">
        <v>44560</v>
      </c>
      <c r="C15" s="1239">
        <v>0</v>
      </c>
      <c r="E15" s="1239">
        <v>0</v>
      </c>
      <c r="F15" s="1239">
        <v>0</v>
      </c>
      <c r="I15" s="1605">
        <v>44820</v>
      </c>
      <c r="J15" s="1606">
        <f t="shared" ref="J15:J32" si="0">SUM(K15:M15)</f>
        <v>0</v>
      </c>
      <c r="K15" s="1606"/>
      <c r="L15" s="1606">
        <v>0</v>
      </c>
      <c r="M15" s="1606">
        <f>+K15*10%</f>
        <v>0</v>
      </c>
      <c r="N15" s="1606">
        <v>15000000000</v>
      </c>
    </row>
    <row r="16" spans="1:14" x14ac:dyDescent="0.3">
      <c r="A16" s="1445">
        <v>1</v>
      </c>
      <c r="B16" s="1570">
        <v>44820</v>
      </c>
      <c r="C16" s="1239">
        <v>0</v>
      </c>
      <c r="E16" s="1571">
        <v>0</v>
      </c>
      <c r="F16" s="1239">
        <v>0</v>
      </c>
      <c r="G16" s="1239">
        <v>20000000000</v>
      </c>
      <c r="I16" s="1605">
        <v>44926</v>
      </c>
      <c r="J16" s="1606">
        <f t="shared" si="0"/>
        <v>788349443.60273981</v>
      </c>
      <c r="K16" s="1606">
        <f>-+N15*(((_xlfn.DAYS(I15,I16)-0)*$C$11/365))</f>
        <v>278794520.5479452</v>
      </c>
      <c r="L16" s="1607">
        <v>481675471</v>
      </c>
      <c r="M16" s="1606">
        <f t="shared" ref="M16:M42" si="1">+K16*10%</f>
        <v>27879452.05479452</v>
      </c>
      <c r="N16" s="1606">
        <f>+N15-L16</f>
        <v>14518324529</v>
      </c>
    </row>
    <row r="17" spans="1:14" x14ac:dyDescent="0.3">
      <c r="A17" s="1445">
        <v>2</v>
      </c>
      <c r="B17" s="1570">
        <v>44834</v>
      </c>
      <c r="D17" s="1239">
        <v>240000000</v>
      </c>
      <c r="E17" s="1571"/>
      <c r="F17" s="1239">
        <v>24000000</v>
      </c>
      <c r="G17" s="1239">
        <v>5000000000</v>
      </c>
      <c r="I17" s="1605">
        <v>45016</v>
      </c>
      <c r="J17" s="1606">
        <f t="shared" si="0"/>
        <v>769552940.33080542</v>
      </c>
      <c r="K17" s="1606">
        <f t="shared" ref="K17:K42" si="2">-+N16*(((_xlfn.DAYS(I16,I17)-0)*$C$11/365))</f>
        <v>229111093.93709588</v>
      </c>
      <c r="L17" s="1607">
        <v>517530737</v>
      </c>
      <c r="M17" s="1606">
        <f t="shared" si="1"/>
        <v>22911109.393709589</v>
      </c>
      <c r="N17" s="1606">
        <f t="shared" ref="N17:N42" si="3">+N16-L17</f>
        <v>14000793792</v>
      </c>
    </row>
    <row r="18" spans="1:14" x14ac:dyDescent="0.3">
      <c r="A18" s="1445">
        <v>3</v>
      </c>
      <c r="B18" s="1570">
        <v>44926</v>
      </c>
      <c r="C18" s="1239">
        <v>773053248.77777767</v>
      </c>
      <c r="D18" s="1239">
        <v>264888888.8888889</v>
      </c>
      <c r="E18" s="1571">
        <v>481675471</v>
      </c>
      <c r="F18" s="1239">
        <v>26488888.888888892</v>
      </c>
      <c r="G18" s="1239">
        <v>19518324529</v>
      </c>
      <c r="I18" s="1605">
        <v>45107</v>
      </c>
      <c r="J18" s="1606">
        <f t="shared" si="0"/>
        <v>772378141.97005141</v>
      </c>
      <c r="K18" s="1606">
        <f t="shared" si="2"/>
        <v>223398967.24550134</v>
      </c>
      <c r="L18" s="1607">
        <v>526639278</v>
      </c>
      <c r="M18" s="1606">
        <f t="shared" si="1"/>
        <v>22339896.724550135</v>
      </c>
      <c r="N18" s="1606">
        <f t="shared" si="3"/>
        <v>13474154514</v>
      </c>
    </row>
    <row r="19" spans="1:14" x14ac:dyDescent="0.3">
      <c r="A19" s="1445">
        <v>4</v>
      </c>
      <c r="B19" s="1570">
        <v>45016</v>
      </c>
      <c r="C19" s="1239">
        <v>773053248.71039999</v>
      </c>
      <c r="D19" s="1239">
        <v>232293192.46399999</v>
      </c>
      <c r="E19" s="1571">
        <v>517530737</v>
      </c>
      <c r="F19" s="1239">
        <v>23229319.246399999</v>
      </c>
      <c r="G19" s="1239">
        <v>19000793792</v>
      </c>
      <c r="H19" s="1463"/>
      <c r="I19" s="1605">
        <v>45199</v>
      </c>
      <c r="J19" s="1606">
        <f t="shared" si="0"/>
        <v>775002386.41445255</v>
      </c>
      <c r="K19" s="1606">
        <f t="shared" si="2"/>
        <v>217358415.83132052</v>
      </c>
      <c r="L19" s="1607">
        <v>535908129</v>
      </c>
      <c r="M19" s="1606">
        <f t="shared" si="1"/>
        <v>21735841.583132055</v>
      </c>
      <c r="N19" s="1606">
        <f t="shared" si="3"/>
        <v>12938246385</v>
      </c>
    </row>
    <row r="20" spans="1:14" x14ac:dyDescent="0.3">
      <c r="A20" s="1445">
        <v>5</v>
      </c>
      <c r="B20" s="1570">
        <v>45107</v>
      </c>
      <c r="C20" s="1239">
        <v>773053248.73920012</v>
      </c>
      <c r="D20" s="1239">
        <v>224012700.67200002</v>
      </c>
      <c r="E20" s="1571">
        <v>526639278</v>
      </c>
      <c r="F20" s="1239">
        <v>22401270.067200005</v>
      </c>
      <c r="G20" s="1239">
        <v>18474154514</v>
      </c>
      <c r="H20" s="1463"/>
      <c r="I20" s="1605">
        <v>45291</v>
      </c>
      <c r="J20" s="1606">
        <f t="shared" si="0"/>
        <v>774924863.19552875</v>
      </c>
      <c r="K20" s="1606">
        <f t="shared" si="2"/>
        <v>208713410.17775339</v>
      </c>
      <c r="L20" s="1607">
        <v>545340112</v>
      </c>
      <c r="M20" s="1606">
        <f t="shared" si="1"/>
        <v>20871341.017775342</v>
      </c>
      <c r="N20" s="1606">
        <f t="shared" si="3"/>
        <v>12392906273</v>
      </c>
    </row>
    <row r="21" spans="1:14" x14ac:dyDescent="0.3">
      <c r="A21" s="1445">
        <v>6</v>
      </c>
      <c r="B21" s="1570">
        <v>45199</v>
      </c>
      <c r="C21" s="1239">
        <v>773053248.44639993</v>
      </c>
      <c r="D21" s="1239">
        <v>215586472.22400001</v>
      </c>
      <c r="E21" s="1571">
        <v>535908129</v>
      </c>
      <c r="F21" s="1239">
        <v>21558647.222400002</v>
      </c>
      <c r="G21" s="1239">
        <v>17938246385</v>
      </c>
      <c r="I21" s="1605">
        <v>45382</v>
      </c>
      <c r="J21" s="1606">
        <f t="shared" si="0"/>
        <v>772455673.65026629</v>
      </c>
      <c r="K21" s="1606">
        <f t="shared" si="2"/>
        <v>197743249.68206027</v>
      </c>
      <c r="L21" s="1607">
        <v>554938099</v>
      </c>
      <c r="M21" s="1606">
        <f t="shared" si="1"/>
        <v>19774324.968206029</v>
      </c>
      <c r="N21" s="1606">
        <f t="shared" si="3"/>
        <v>11837968174</v>
      </c>
    </row>
    <row r="22" spans="1:14" x14ac:dyDescent="0.3">
      <c r="A22" s="1445">
        <v>7</v>
      </c>
      <c r="B22" s="1570">
        <v>45291</v>
      </c>
      <c r="C22" s="1239">
        <v>773053248.37600005</v>
      </c>
      <c r="D22" s="1239">
        <v>207011942.16000003</v>
      </c>
      <c r="E22" s="1571">
        <v>545340112</v>
      </c>
      <c r="F22" s="1239">
        <v>20701194.216000006</v>
      </c>
      <c r="G22" s="1239">
        <v>17392906273</v>
      </c>
      <c r="H22" s="1463"/>
      <c r="I22" s="1605">
        <v>45473</v>
      </c>
      <c r="J22" s="1606">
        <f t="shared" si="0"/>
        <v>772482430.76688659</v>
      </c>
      <c r="K22" s="1606">
        <f t="shared" si="2"/>
        <v>188888566.15171504</v>
      </c>
      <c r="L22" s="1607">
        <v>564705008</v>
      </c>
      <c r="M22" s="1606">
        <f t="shared" si="1"/>
        <v>18888856.615171503</v>
      </c>
      <c r="N22" s="1606">
        <f t="shared" si="3"/>
        <v>11273263166</v>
      </c>
    </row>
    <row r="23" spans="1:14" x14ac:dyDescent="0.3">
      <c r="A23" s="1445">
        <v>8</v>
      </c>
      <c r="B23" s="1570">
        <v>45382</v>
      </c>
      <c r="C23" s="1239">
        <v>951986582.73813331</v>
      </c>
      <c r="D23" s="1239">
        <v>360953167.03466666</v>
      </c>
      <c r="E23" s="1571">
        <v>554938099</v>
      </c>
      <c r="F23" s="1239">
        <v>36095316.703466669</v>
      </c>
      <c r="G23" s="1239">
        <v>16837968174</v>
      </c>
      <c r="I23" s="1605">
        <v>45565</v>
      </c>
      <c r="J23" s="1606">
        <f t="shared" si="0"/>
        <v>774684011.17410624</v>
      </c>
      <c r="K23" s="1606">
        <f t="shared" si="2"/>
        <v>181854721.97646025</v>
      </c>
      <c r="L23" s="1607">
        <v>574643817</v>
      </c>
      <c r="M23" s="1606">
        <f t="shared" si="1"/>
        <v>18185472.197646026</v>
      </c>
      <c r="N23" s="1606">
        <f t="shared" si="3"/>
        <v>10698619349</v>
      </c>
    </row>
    <row r="24" spans="1:14" s="1572" customFormat="1" x14ac:dyDescent="0.3">
      <c r="A24" s="1572">
        <v>9</v>
      </c>
      <c r="B24" s="1573">
        <v>45473</v>
      </c>
      <c r="C24" s="1574">
        <v>949053247.86240005</v>
      </c>
      <c r="D24" s="1574">
        <v>349407490.78400004</v>
      </c>
      <c r="E24" s="1574">
        <v>564705008</v>
      </c>
      <c r="F24" s="1574">
        <v>34940749.078400008</v>
      </c>
      <c r="G24" s="1574">
        <v>16273263166</v>
      </c>
      <c r="I24" s="1605">
        <v>45657</v>
      </c>
      <c r="J24" s="1606">
        <f t="shared" si="0"/>
        <v>774600884.43726897</v>
      </c>
      <c r="K24" s="1606">
        <f t="shared" si="2"/>
        <v>172584851.3066082</v>
      </c>
      <c r="L24" s="1607">
        <v>584757548</v>
      </c>
      <c r="M24" s="1606">
        <f t="shared" si="1"/>
        <v>17258485.130660821</v>
      </c>
      <c r="N24" s="1606">
        <f t="shared" si="3"/>
        <v>10113861801</v>
      </c>
    </row>
    <row r="25" spans="1:14" x14ac:dyDescent="0.3">
      <c r="A25" s="1445">
        <v>10</v>
      </c>
      <c r="B25" s="1570">
        <v>45565</v>
      </c>
      <c r="C25" s="1239">
        <v>958194629.72160006</v>
      </c>
      <c r="D25" s="1239">
        <v>260372210.65600002</v>
      </c>
      <c r="E25" s="1571">
        <v>671785198</v>
      </c>
      <c r="F25" s="1239">
        <v>26037221.065600004</v>
      </c>
      <c r="G25" s="1239">
        <v>15601477968</v>
      </c>
      <c r="I25" s="1605">
        <v>45747</v>
      </c>
      <c r="J25" s="1606">
        <f t="shared" si="0"/>
        <v>770614838.18119454</v>
      </c>
      <c r="K25" s="1606">
        <f t="shared" si="2"/>
        <v>159605051.98290411</v>
      </c>
      <c r="L25" s="1607">
        <v>595049281</v>
      </c>
      <c r="M25" s="1606">
        <f t="shared" si="1"/>
        <v>15960505.198290411</v>
      </c>
      <c r="N25" s="1606">
        <f t="shared" si="3"/>
        <v>9518812520</v>
      </c>
    </row>
    <row r="26" spans="1:14" x14ac:dyDescent="0.3">
      <c r="A26" s="1445">
        <v>11</v>
      </c>
      <c r="B26" s="1570">
        <v>45657</v>
      </c>
      <c r="C26" s="1239">
        <v>1043764383.2368</v>
      </c>
      <c r="D26" s="1239">
        <v>249623647.48799998</v>
      </c>
      <c r="E26" s="1571">
        <v>769178371</v>
      </c>
      <c r="F26" s="1239">
        <v>24962364.748799998</v>
      </c>
      <c r="G26" s="1239">
        <v>14832299597</v>
      </c>
      <c r="I26" s="1605">
        <v>45838</v>
      </c>
      <c r="J26" s="1606">
        <f t="shared" si="0"/>
        <v>772594260.03596711</v>
      </c>
      <c r="K26" s="1606">
        <f t="shared" si="2"/>
        <v>151883737.30542466</v>
      </c>
      <c r="L26" s="1607">
        <v>605522149</v>
      </c>
      <c r="M26" s="1606">
        <f t="shared" si="1"/>
        <v>15188373.730542466</v>
      </c>
      <c r="N26" s="1606">
        <f t="shared" si="3"/>
        <v>8913290371</v>
      </c>
    </row>
    <row r="27" spans="1:14" x14ac:dyDescent="0.3">
      <c r="A27" s="1445">
        <v>12</v>
      </c>
      <c r="B27" s="1570">
        <v>45747</v>
      </c>
      <c r="C27" s="1239">
        <v>1043764382.9072001</v>
      </c>
      <c r="D27" s="1239">
        <v>237316793.55200002</v>
      </c>
      <c r="E27" s="1571">
        <v>782715910</v>
      </c>
      <c r="F27" s="1239">
        <v>23731679.355200004</v>
      </c>
      <c r="G27" s="1239">
        <v>14049583687</v>
      </c>
      <c r="I27" s="1605">
        <v>45930</v>
      </c>
      <c r="J27" s="1606">
        <f t="shared" si="0"/>
        <v>774342623.13669252</v>
      </c>
      <c r="K27" s="1606">
        <f t="shared" si="2"/>
        <v>143784804.66972053</v>
      </c>
      <c r="L27" s="1607">
        <v>616179338</v>
      </c>
      <c r="M27" s="1606">
        <f t="shared" si="1"/>
        <v>14378480.466972053</v>
      </c>
      <c r="N27" s="1606">
        <f t="shared" si="3"/>
        <v>8297111033</v>
      </c>
    </row>
    <row r="28" spans="1:14" s="1575" customFormat="1" x14ac:dyDescent="0.3">
      <c r="A28" s="1575">
        <v>13</v>
      </c>
      <c r="B28" s="1576">
        <v>45838</v>
      </c>
      <c r="C28" s="1577">
        <v>1043764383.8911999</v>
      </c>
      <c r="D28" s="1577">
        <v>224793338.99199998</v>
      </c>
      <c r="E28" s="1577">
        <v>796491711</v>
      </c>
      <c r="F28" s="1577">
        <v>22479333.8992</v>
      </c>
      <c r="G28" s="1577">
        <v>13253091976</v>
      </c>
      <c r="I28" s="1605">
        <v>46022</v>
      </c>
      <c r="J28" s="1606">
        <f t="shared" si="0"/>
        <v>774253487.80420387</v>
      </c>
      <c r="K28" s="1606">
        <f t="shared" si="2"/>
        <v>133844903.45836711</v>
      </c>
      <c r="L28" s="1607">
        <v>627024094</v>
      </c>
      <c r="M28" s="1606">
        <f t="shared" si="1"/>
        <v>13384490.345836712</v>
      </c>
      <c r="N28" s="1606">
        <f t="shared" si="3"/>
        <v>7670086939</v>
      </c>
    </row>
    <row r="29" spans="1:14" x14ac:dyDescent="0.3">
      <c r="A29" s="1445">
        <v>14</v>
      </c>
      <c r="B29" s="1570">
        <v>45930</v>
      </c>
      <c r="C29" s="1239">
        <v>1043764382.7775999</v>
      </c>
      <c r="D29" s="1239">
        <v>212049471.616</v>
      </c>
      <c r="E29" s="1571">
        <v>810509964</v>
      </c>
      <c r="F29" s="1239">
        <v>21204947.161600001</v>
      </c>
      <c r="G29" s="1239">
        <v>12442582012</v>
      </c>
      <c r="I29" s="1605">
        <v>46112</v>
      </c>
      <c r="J29" s="1606">
        <f t="shared" si="0"/>
        <v>771204021.68631232</v>
      </c>
      <c r="K29" s="1606">
        <f t="shared" si="2"/>
        <v>121040276.07846574</v>
      </c>
      <c r="L29" s="1607">
        <v>638059718</v>
      </c>
      <c r="M29" s="1606">
        <f t="shared" si="1"/>
        <v>12104027.607846575</v>
      </c>
      <c r="N29" s="1606">
        <f t="shared" si="3"/>
        <v>7032027221</v>
      </c>
    </row>
    <row r="30" spans="1:14" x14ac:dyDescent="0.3">
      <c r="A30" s="1445">
        <v>15</v>
      </c>
      <c r="B30" s="1570">
        <v>46022</v>
      </c>
      <c r="C30" s="1239">
        <v>1043764382.4112</v>
      </c>
      <c r="D30" s="1239">
        <v>199081312.192</v>
      </c>
      <c r="E30" s="1571">
        <v>824774939</v>
      </c>
      <c r="F30" s="1239">
        <v>19908131.2192</v>
      </c>
      <c r="G30" s="1239">
        <v>11617807073</v>
      </c>
      <c r="I30" s="1605">
        <v>46203</v>
      </c>
      <c r="J30" s="1606">
        <f t="shared" si="0"/>
        <v>772714170.51675177</v>
      </c>
      <c r="K30" s="1606">
        <f t="shared" si="2"/>
        <v>112204182.28795616</v>
      </c>
      <c r="L30" s="1607">
        <v>649289570</v>
      </c>
      <c r="M30" s="1606">
        <f t="shared" si="1"/>
        <v>11220418.228795618</v>
      </c>
      <c r="N30" s="1606">
        <f t="shared" si="3"/>
        <v>6382737651</v>
      </c>
    </row>
    <row r="31" spans="1:14" x14ac:dyDescent="0.3">
      <c r="A31" s="1445">
        <v>16</v>
      </c>
      <c r="B31" s="1570">
        <v>46112</v>
      </c>
      <c r="C31" s="1239">
        <v>1043764383.4848</v>
      </c>
      <c r="D31" s="1239">
        <v>185884913.16800001</v>
      </c>
      <c r="E31" s="1571">
        <v>839290979</v>
      </c>
      <c r="F31" s="1239">
        <v>18588491.316800002</v>
      </c>
      <c r="G31" s="1239">
        <v>10778516094</v>
      </c>
      <c r="I31" s="1605">
        <v>46295</v>
      </c>
      <c r="J31" s="1606">
        <f t="shared" si="0"/>
        <v>773976559.74793637</v>
      </c>
      <c r="K31" s="1606">
        <f t="shared" si="2"/>
        <v>102963176.13448766</v>
      </c>
      <c r="L31" s="1607">
        <v>660717066</v>
      </c>
      <c r="M31" s="1606">
        <f t="shared" si="1"/>
        <v>10296317.613448767</v>
      </c>
      <c r="N31" s="1606">
        <f t="shared" si="3"/>
        <v>5722020585</v>
      </c>
    </row>
    <row r="32" spans="1:14" s="1471" customFormat="1" x14ac:dyDescent="0.3">
      <c r="A32" s="1471">
        <v>17</v>
      </c>
      <c r="B32" s="1472">
        <v>46203</v>
      </c>
      <c r="C32" s="1473">
        <v>1043764384.2543999</v>
      </c>
      <c r="D32" s="1473">
        <v>172456257.50399998</v>
      </c>
      <c r="E32" s="1473">
        <v>854062501</v>
      </c>
      <c r="F32" s="1473">
        <v>17245625.750399999</v>
      </c>
      <c r="G32" s="1473">
        <v>9924453593</v>
      </c>
      <c r="I32" s="1605">
        <v>46387</v>
      </c>
      <c r="J32" s="1606">
        <f t="shared" si="0"/>
        <v>773880983.68473423</v>
      </c>
      <c r="K32" s="1606">
        <f t="shared" si="2"/>
        <v>92304814.258849308</v>
      </c>
      <c r="L32" s="1607">
        <v>672345688</v>
      </c>
      <c r="M32" s="1606">
        <f t="shared" si="1"/>
        <v>9230481.4258849304</v>
      </c>
      <c r="N32" s="1606">
        <f t="shared" si="3"/>
        <v>5049674897</v>
      </c>
    </row>
    <row r="33" spans="1:14" x14ac:dyDescent="0.3">
      <c r="A33" s="1445">
        <v>18</v>
      </c>
      <c r="B33" s="1570">
        <v>46295</v>
      </c>
      <c r="C33" s="1239">
        <v>1043764383.2368001</v>
      </c>
      <c r="D33" s="1239">
        <v>158791257.48800001</v>
      </c>
      <c r="E33" s="1571">
        <v>869094000</v>
      </c>
      <c r="F33" s="1239">
        <v>15879125.748800002</v>
      </c>
      <c r="G33" s="1239">
        <v>9055359593</v>
      </c>
      <c r="I33" s="1605">
        <v>46477</v>
      </c>
      <c r="J33" s="1606">
        <f t="shared" ref="J33:J42" si="4">SUM(K33:M33)</f>
        <v>771835793.32162189</v>
      </c>
      <c r="K33" s="1606">
        <f t="shared" si="2"/>
        <v>79688020.292383566</v>
      </c>
      <c r="L33" s="1607">
        <v>684178971</v>
      </c>
      <c r="M33" s="1606">
        <f t="shared" si="1"/>
        <v>7968802.0292383572</v>
      </c>
      <c r="N33" s="1606">
        <f t="shared" si="3"/>
        <v>4365495926</v>
      </c>
    </row>
    <row r="34" spans="1:14" x14ac:dyDescent="0.3">
      <c r="A34" s="1445">
        <v>19</v>
      </c>
      <c r="B34" s="1570">
        <v>46387</v>
      </c>
      <c r="C34" s="1239">
        <v>1043764385.8368</v>
      </c>
      <c r="D34" s="1239">
        <v>144885753.48800001</v>
      </c>
      <c r="E34" s="1571">
        <v>884390057</v>
      </c>
      <c r="F34" s="1239">
        <v>14488575.348800002</v>
      </c>
      <c r="G34" s="1239">
        <v>8170969536</v>
      </c>
      <c r="I34" s="1605">
        <v>46568</v>
      </c>
      <c r="J34" s="1606">
        <f t="shared" si="4"/>
        <v>772842749.67212713</v>
      </c>
      <c r="K34" s="1606">
        <f t="shared" si="2"/>
        <v>69656570.611024648</v>
      </c>
      <c r="L34" s="1607">
        <v>696220522</v>
      </c>
      <c r="M34" s="1606">
        <f t="shared" si="1"/>
        <v>6965657.0611024648</v>
      </c>
      <c r="N34" s="1606">
        <f t="shared" si="3"/>
        <v>3669275404</v>
      </c>
    </row>
    <row r="35" spans="1:14" x14ac:dyDescent="0.3">
      <c r="A35" s="1445">
        <v>20</v>
      </c>
      <c r="B35" s="1570">
        <v>46477</v>
      </c>
      <c r="C35" s="1239">
        <v>1043764384.8335999</v>
      </c>
      <c r="D35" s="1239">
        <v>130735512.57600001</v>
      </c>
      <c r="E35" s="1571">
        <v>899955321</v>
      </c>
      <c r="F35" s="1239">
        <v>13073551.257600002</v>
      </c>
      <c r="G35" s="1239">
        <v>7271014215</v>
      </c>
      <c r="I35" s="1605">
        <v>46660</v>
      </c>
      <c r="J35" s="1606">
        <f t="shared" si="4"/>
        <v>773584038.44281423</v>
      </c>
      <c r="K35" s="1606">
        <f t="shared" si="2"/>
        <v>59190941.311649308</v>
      </c>
      <c r="L35" s="1607">
        <v>708474003</v>
      </c>
      <c r="M35" s="1606">
        <f t="shared" si="1"/>
        <v>5919094.1311649308</v>
      </c>
      <c r="N35" s="1606">
        <f t="shared" si="3"/>
        <v>2960801401</v>
      </c>
    </row>
    <row r="36" spans="1:14" s="1468" customFormat="1" x14ac:dyDescent="0.3">
      <c r="A36" s="1468">
        <v>21</v>
      </c>
      <c r="B36" s="1469">
        <v>46568</v>
      </c>
      <c r="C36" s="1470">
        <v>1043764385.184</v>
      </c>
      <c r="D36" s="1470">
        <v>116336227.44</v>
      </c>
      <c r="E36" s="1470">
        <v>915794535</v>
      </c>
      <c r="F36" s="1470">
        <v>11633622.744000001</v>
      </c>
      <c r="G36" s="1470">
        <v>6355219680</v>
      </c>
      <c r="I36" s="1605">
        <v>46752</v>
      </c>
      <c r="J36" s="1606">
        <f t="shared" si="4"/>
        <v>773481551.88766253</v>
      </c>
      <c r="K36" s="1606">
        <f t="shared" si="2"/>
        <v>47762188.079693146</v>
      </c>
      <c r="L36" s="1607">
        <v>720943145</v>
      </c>
      <c r="M36" s="1606">
        <f t="shared" si="1"/>
        <v>4776218.807969315</v>
      </c>
      <c r="N36" s="1606">
        <f t="shared" si="3"/>
        <v>2239858256</v>
      </c>
    </row>
    <row r="37" spans="1:14" x14ac:dyDescent="0.3">
      <c r="A37" s="1445">
        <v>22</v>
      </c>
      <c r="B37" s="1570">
        <v>46660</v>
      </c>
      <c r="C37" s="1239">
        <v>1043764385.368</v>
      </c>
      <c r="D37" s="1239">
        <v>101683514.88</v>
      </c>
      <c r="E37" s="1571">
        <v>931912519</v>
      </c>
      <c r="F37" s="1239">
        <v>10168351.488</v>
      </c>
      <c r="G37" s="1239">
        <v>5423307161</v>
      </c>
      <c r="I37" s="1605">
        <v>46843</v>
      </c>
      <c r="J37" s="1606">
        <f t="shared" si="4"/>
        <v>772945246.18147504</v>
      </c>
      <c r="K37" s="1606">
        <f t="shared" si="2"/>
        <v>35739546.528613694</v>
      </c>
      <c r="L37" s="1607">
        <v>733631745</v>
      </c>
      <c r="M37" s="1606">
        <f t="shared" si="1"/>
        <v>3573954.6528613698</v>
      </c>
      <c r="N37" s="1606">
        <f t="shared" si="3"/>
        <v>1506226511</v>
      </c>
    </row>
    <row r="38" spans="1:14" x14ac:dyDescent="0.3">
      <c r="A38" s="1445">
        <v>23</v>
      </c>
      <c r="B38" s="1570">
        <v>46752</v>
      </c>
      <c r="C38" s="1239">
        <v>1043764385.0336</v>
      </c>
      <c r="D38" s="1239">
        <v>86772914.576000005</v>
      </c>
      <c r="E38" s="1571">
        <v>948314179</v>
      </c>
      <c r="F38" s="1239">
        <v>8677291.4576000012</v>
      </c>
      <c r="G38" s="1239">
        <v>4474992982</v>
      </c>
      <c r="I38" s="1605">
        <v>46934</v>
      </c>
      <c r="J38" s="1606">
        <f t="shared" si="4"/>
        <v>772980619.58923399</v>
      </c>
      <c r="K38" s="1606">
        <f t="shared" si="2"/>
        <v>24033597.808394518</v>
      </c>
      <c r="L38" s="1607">
        <v>746543662</v>
      </c>
      <c r="M38" s="1606">
        <f t="shared" si="1"/>
        <v>2403359.7808394521</v>
      </c>
      <c r="N38" s="1606">
        <f t="shared" si="3"/>
        <v>759682849</v>
      </c>
    </row>
    <row r="39" spans="1:14" x14ac:dyDescent="0.3">
      <c r="A39" s="1445">
        <v>24</v>
      </c>
      <c r="B39" s="1570">
        <v>46843</v>
      </c>
      <c r="C39" s="1239">
        <v>1043764384.4832001</v>
      </c>
      <c r="D39" s="1239">
        <v>71599887.712000012</v>
      </c>
      <c r="E39" s="1571">
        <v>965004508</v>
      </c>
      <c r="F39" s="1239">
        <v>7159988.7712000012</v>
      </c>
      <c r="G39" s="1239">
        <v>3509988474</v>
      </c>
      <c r="I39" s="1605">
        <v>47026</v>
      </c>
      <c r="J39" s="1606">
        <f t="shared" si="4"/>
        <v>773163160.99014568</v>
      </c>
      <c r="K39" s="1606">
        <f>-+N38*(((_xlfn.DAYS(I38,I39)-0)*$C$11/365))</f>
        <v>12254829.081950683</v>
      </c>
      <c r="L39" s="1607">
        <v>759682849</v>
      </c>
      <c r="M39" s="1606">
        <f t="shared" si="1"/>
        <v>1225482.9081950684</v>
      </c>
      <c r="N39" s="1606">
        <f t="shared" si="3"/>
        <v>0</v>
      </c>
    </row>
    <row r="40" spans="1:14" x14ac:dyDescent="0.3">
      <c r="A40" s="1445">
        <v>25</v>
      </c>
      <c r="B40" s="1570">
        <v>46934</v>
      </c>
      <c r="C40" s="1239">
        <v>1043764384.1424</v>
      </c>
      <c r="D40" s="1239">
        <v>56159815.583999999</v>
      </c>
      <c r="E40" s="1571">
        <v>981988587</v>
      </c>
      <c r="F40" s="1239">
        <v>5615981.5584000004</v>
      </c>
      <c r="G40" s="1239">
        <v>2527999887</v>
      </c>
      <c r="I40" s="1605">
        <v>47118</v>
      </c>
      <c r="J40" s="1606">
        <f t="shared" si="4"/>
        <v>0</v>
      </c>
      <c r="K40" s="1606">
        <f t="shared" si="2"/>
        <v>0</v>
      </c>
      <c r="L40" s="1607">
        <v>0</v>
      </c>
      <c r="M40" s="1606">
        <f t="shared" si="1"/>
        <v>0</v>
      </c>
      <c r="N40" s="1606">
        <f t="shared" si="3"/>
        <v>0</v>
      </c>
    </row>
    <row r="41" spans="1:14" x14ac:dyDescent="0.3">
      <c r="A41" s="1445">
        <v>26</v>
      </c>
      <c r="B41" s="1570">
        <v>47026</v>
      </c>
      <c r="C41" s="1239">
        <v>1043764402.0112001</v>
      </c>
      <c r="D41" s="1239">
        <v>40447998.192000002</v>
      </c>
      <c r="E41" s="1571">
        <v>999271604</v>
      </c>
      <c r="F41" s="1239">
        <v>4044799.8192000003</v>
      </c>
      <c r="G41" s="1239">
        <v>1528728283</v>
      </c>
      <c r="I41" s="1605">
        <v>47208</v>
      </c>
      <c r="J41" s="1606">
        <f t="shared" si="4"/>
        <v>0</v>
      </c>
      <c r="K41" s="1606">
        <f t="shared" si="2"/>
        <v>0</v>
      </c>
      <c r="L41" s="1607">
        <v>0</v>
      </c>
      <c r="M41" s="1606">
        <f t="shared" si="1"/>
        <v>0</v>
      </c>
      <c r="N41" s="1606">
        <f t="shared" si="3"/>
        <v>0</v>
      </c>
    </row>
    <row r="42" spans="1:14" x14ac:dyDescent="0.3">
      <c r="A42" s="1445">
        <v>27</v>
      </c>
      <c r="B42" s="1570">
        <v>47118</v>
      </c>
      <c r="C42" s="1239">
        <v>270711134.78079998</v>
      </c>
      <c r="D42" s="1239">
        <v>24459652.528000001</v>
      </c>
      <c r="E42" s="1571">
        <v>243805517</v>
      </c>
      <c r="F42" s="1239">
        <v>2445965.2528000004</v>
      </c>
      <c r="G42" s="1239">
        <v>1284922766</v>
      </c>
      <c r="I42" s="1605">
        <v>47299</v>
      </c>
      <c r="J42" s="1606">
        <f t="shared" si="4"/>
        <v>0</v>
      </c>
      <c r="K42" s="1606">
        <f t="shared" si="2"/>
        <v>0</v>
      </c>
      <c r="L42" s="1607">
        <v>0</v>
      </c>
      <c r="M42" s="1606">
        <f t="shared" si="1"/>
        <v>0</v>
      </c>
      <c r="N42" s="1606">
        <f t="shared" si="3"/>
        <v>0</v>
      </c>
    </row>
    <row r="43" spans="1:14" x14ac:dyDescent="0.3">
      <c r="B43" s="1570">
        <v>47208</v>
      </c>
      <c r="C43" s="1239">
        <v>270711135.68159997</v>
      </c>
      <c r="D43" s="1239">
        <v>20558764.256000001</v>
      </c>
      <c r="E43" s="1571">
        <v>248096495</v>
      </c>
      <c r="F43" s="1239">
        <v>2055876.4256000002</v>
      </c>
      <c r="G43" s="1239">
        <v>1036826271</v>
      </c>
      <c r="I43" s="1605"/>
      <c r="J43" s="1606"/>
      <c r="K43" s="1606"/>
      <c r="L43" s="1607"/>
      <c r="M43" s="1606"/>
      <c r="N43" s="1606"/>
    </row>
    <row r="44" spans="1:14" x14ac:dyDescent="0.3">
      <c r="B44" s="1570">
        <v>47299</v>
      </c>
      <c r="C44" s="1239">
        <v>270711135.3696</v>
      </c>
      <c r="D44" s="1239">
        <v>16589220.336000001</v>
      </c>
      <c r="E44" s="1571">
        <v>252462993</v>
      </c>
      <c r="F44" s="1239">
        <v>1658922.0336000002</v>
      </c>
      <c r="G44" s="1239">
        <v>784363278</v>
      </c>
      <c r="I44" s="1605"/>
      <c r="J44" s="1606"/>
      <c r="K44" s="1606"/>
      <c r="L44" s="1607"/>
      <c r="M44" s="1606"/>
      <c r="N44" s="1606"/>
    </row>
    <row r="45" spans="1:14" x14ac:dyDescent="0.3">
      <c r="B45" s="1570">
        <v>47391</v>
      </c>
      <c r="C45" s="1239">
        <v>270711135.69279999</v>
      </c>
      <c r="D45" s="1239">
        <v>12549812.448000001</v>
      </c>
      <c r="E45" s="1571">
        <v>256906342</v>
      </c>
      <c r="F45" s="1239">
        <v>1254981.2448000002</v>
      </c>
      <c r="G45" s="1239">
        <v>527456936</v>
      </c>
      <c r="I45" s="1605"/>
      <c r="J45" s="1606"/>
      <c r="K45" s="1606"/>
      <c r="L45" s="1607"/>
      <c r="M45" s="1606"/>
      <c r="N45" s="1606"/>
    </row>
    <row r="46" spans="1:14" x14ac:dyDescent="0.3">
      <c r="B46" s="1570">
        <v>47483</v>
      </c>
      <c r="C46" s="1239">
        <v>270711135.07359999</v>
      </c>
      <c r="D46" s="1239">
        <v>8439310.9759999998</v>
      </c>
      <c r="E46" s="1571">
        <v>261427893</v>
      </c>
      <c r="F46" s="1239">
        <v>843931.09759999998</v>
      </c>
      <c r="G46" s="1239">
        <v>266029043</v>
      </c>
      <c r="I46" s="1605"/>
      <c r="J46" s="1606"/>
      <c r="K46" s="1606"/>
      <c r="L46" s="1607"/>
      <c r="M46" s="1606"/>
      <c r="N46" s="1606"/>
    </row>
    <row r="47" spans="1:14" x14ac:dyDescent="0.3">
      <c r="B47" s="1570">
        <v>47573</v>
      </c>
      <c r="C47" s="1239">
        <v>270711154.15680003</v>
      </c>
      <c r="D47" s="1239">
        <v>4256464.6880000001</v>
      </c>
      <c r="E47" s="1571">
        <v>266029043</v>
      </c>
      <c r="F47" s="1239">
        <v>425646.46880000003</v>
      </c>
      <c r="G47" s="1239">
        <v>0</v>
      </c>
      <c r="I47" s="1605"/>
      <c r="J47" s="1606"/>
      <c r="K47" s="1606"/>
      <c r="L47" s="1607"/>
      <c r="M47" s="1606"/>
      <c r="N47" s="1606"/>
    </row>
    <row r="48" spans="1:14" x14ac:dyDescent="0.3">
      <c r="B48" s="1570"/>
      <c r="E48" s="1571"/>
      <c r="I48" s="1605"/>
      <c r="J48" s="1606"/>
      <c r="K48" s="1606"/>
      <c r="L48" s="1607"/>
      <c r="M48" s="1606"/>
      <c r="N48" s="1606"/>
    </row>
    <row r="49" spans="2:14" x14ac:dyDescent="0.3">
      <c r="B49" s="1459"/>
      <c r="I49" s="1425"/>
      <c r="J49" s="1606"/>
      <c r="K49" s="1606"/>
      <c r="L49" s="1606"/>
      <c r="M49" s="1606"/>
      <c r="N49" s="1606"/>
    </row>
    <row r="50" spans="2:14" x14ac:dyDescent="0.3">
      <c r="B50" s="1459"/>
      <c r="I50" s="1425"/>
      <c r="J50" s="1606"/>
      <c r="K50" s="1606"/>
      <c r="L50" s="1606"/>
      <c r="M50" s="1606"/>
      <c r="N50" s="1606"/>
    </row>
    <row r="51" spans="2:14" x14ac:dyDescent="0.3">
      <c r="B51" s="1459"/>
      <c r="I51" s="1425"/>
      <c r="J51" s="1606"/>
      <c r="K51" s="1606"/>
      <c r="L51" s="1606"/>
      <c r="M51" s="1606"/>
      <c r="N51" s="1606"/>
    </row>
    <row r="52" spans="2:14" x14ac:dyDescent="0.3">
      <c r="B52" s="1459"/>
      <c r="H52" s="1578"/>
      <c r="I52" s="1425"/>
      <c r="J52" s="1606"/>
      <c r="K52" s="1606"/>
      <c r="L52" s="1606"/>
      <c r="M52" s="1606"/>
      <c r="N52" s="1606"/>
    </row>
    <row r="53" spans="2:14" ht="13.8" x14ac:dyDescent="0.25">
      <c r="B53" s="1465" t="s">
        <v>2137</v>
      </c>
      <c r="C53" s="1457">
        <f>SUM(C15:C52)</f>
        <v>25048997697.219902</v>
      </c>
      <c r="D53" s="1457">
        <f>SUM(D15:D52)</f>
        <v>4829997906.5635557</v>
      </c>
      <c r="E53" s="1457">
        <f>SUM(E15:E52)</f>
        <v>20000000000</v>
      </c>
      <c r="F53" s="1457">
        <f>SUM(F15:F52)</f>
        <v>482999790.6563555</v>
      </c>
      <c r="G53" s="1457"/>
      <c r="I53" s="1608" t="s">
        <v>2137</v>
      </c>
      <c r="J53" s="1604">
        <f>SUM(J15:J52)</f>
        <v>18568844880.420979</v>
      </c>
      <c r="K53" s="1604">
        <f>SUM(K15:K52)</f>
        <v>3244404436.7463455</v>
      </c>
      <c r="L53" s="1604">
        <f>SUM(L15:L52)</f>
        <v>15000000000</v>
      </c>
      <c r="M53" s="1604">
        <f>SUM(M15:M52)</f>
        <v>324440443.6746344</v>
      </c>
      <c r="N53" s="1604"/>
    </row>
    <row r="57" spans="2:14" x14ac:dyDescent="0.3">
      <c r="C57" s="1239" t="s">
        <v>2436</v>
      </c>
      <c r="D57" s="1239">
        <f>SUM(E22:E26)-181454577</f>
        <v>2924492211</v>
      </c>
    </row>
    <row r="58" spans="2:14" x14ac:dyDescent="0.3">
      <c r="C58" s="1239" t="s">
        <v>2437</v>
      </c>
      <c r="D58" s="1239">
        <f>SUM(E27:E47)</f>
        <v>14832299597</v>
      </c>
    </row>
    <row r="61" spans="2:14" x14ac:dyDescent="0.3">
      <c r="C61" s="1239" t="s">
        <v>2137</v>
      </c>
      <c r="D61" s="1239">
        <f>SUM(D57:D58)</f>
        <v>17756791808</v>
      </c>
    </row>
    <row r="64" spans="2:14" x14ac:dyDescent="0.3">
      <c r="C64" s="1239" t="s">
        <v>800</v>
      </c>
      <c r="D64" s="1239">
        <f>'BG '!K17</f>
        <v>-17756791808</v>
      </c>
    </row>
    <row r="66" spans="3:23" x14ac:dyDescent="0.3">
      <c r="C66" s="1239" t="s">
        <v>2440</v>
      </c>
      <c r="D66" s="1239">
        <f>+D61+D64</f>
        <v>0</v>
      </c>
    </row>
    <row r="70" spans="3:23" x14ac:dyDescent="0.3">
      <c r="C70" s="1239">
        <f>545340112-181454577</f>
        <v>363885535</v>
      </c>
      <c r="D70" s="1239">
        <v>554938099</v>
      </c>
      <c r="E70" s="1239">
        <v>564705008</v>
      </c>
      <c r="F70" s="1239">
        <v>671785198</v>
      </c>
      <c r="G70" s="1239">
        <v>769178371</v>
      </c>
    </row>
    <row r="72" spans="3:23" x14ac:dyDescent="0.3">
      <c r="C72" s="1239">
        <f>+C70/1000000</f>
        <v>363.885535</v>
      </c>
      <c r="D72" s="1239">
        <f t="shared" ref="D72:G72" si="5">+D70/1000000</f>
        <v>554.93809899999997</v>
      </c>
      <c r="E72" s="1239">
        <f t="shared" si="5"/>
        <v>564.70500800000002</v>
      </c>
      <c r="F72" s="1239">
        <f t="shared" si="5"/>
        <v>671.78519800000004</v>
      </c>
      <c r="G72" s="1239">
        <f t="shared" si="5"/>
        <v>769.17837099999997</v>
      </c>
    </row>
    <row r="75" spans="3:23" ht="13.2" x14ac:dyDescent="0.25">
      <c r="C75" s="1570">
        <v>45747</v>
      </c>
      <c r="D75" s="1576">
        <v>45838</v>
      </c>
      <c r="E75" s="1570">
        <v>45930</v>
      </c>
      <c r="F75" s="1570">
        <v>46022</v>
      </c>
      <c r="G75" s="1570">
        <v>46112</v>
      </c>
      <c r="H75" s="1472">
        <v>46203</v>
      </c>
      <c r="I75" s="1570">
        <v>46295</v>
      </c>
      <c r="J75" s="1570">
        <v>46387</v>
      </c>
      <c r="K75" s="1570">
        <v>46477</v>
      </c>
      <c r="L75" s="1469">
        <v>46568</v>
      </c>
      <c r="M75" s="1570">
        <v>46660</v>
      </c>
      <c r="N75" s="1570">
        <v>46752</v>
      </c>
      <c r="O75" s="1570">
        <v>46843</v>
      </c>
      <c r="P75" s="1570">
        <v>46934</v>
      </c>
      <c r="Q75" s="1570">
        <v>47026</v>
      </c>
      <c r="R75" s="1570">
        <v>47118</v>
      </c>
      <c r="S75" s="1570">
        <v>47208</v>
      </c>
      <c r="T75" s="1570">
        <v>47299</v>
      </c>
      <c r="U75" s="1570">
        <v>47391</v>
      </c>
      <c r="V75" s="1570">
        <v>47483</v>
      </c>
      <c r="W75" s="1570">
        <v>47573</v>
      </c>
    </row>
    <row r="76" spans="3:23" x14ac:dyDescent="0.3">
      <c r="C76" s="1239">
        <v>782715910</v>
      </c>
      <c r="D76" s="1239">
        <v>796491711</v>
      </c>
      <c r="E76" s="1239">
        <v>810509964</v>
      </c>
      <c r="F76" s="1239">
        <v>824774939</v>
      </c>
      <c r="G76" s="1239">
        <v>839290979</v>
      </c>
      <c r="H76" s="1445">
        <v>854062501</v>
      </c>
      <c r="I76" s="1445">
        <v>869094000</v>
      </c>
      <c r="J76" s="1445">
        <v>884390057</v>
      </c>
      <c r="K76" s="1445">
        <v>899955321</v>
      </c>
      <c r="L76" s="1445">
        <v>915794535</v>
      </c>
      <c r="M76" s="1445">
        <v>931912519</v>
      </c>
      <c r="N76" s="1445">
        <v>948314179</v>
      </c>
      <c r="O76" s="1445">
        <v>965004508</v>
      </c>
      <c r="P76" s="1445">
        <v>981988587</v>
      </c>
      <c r="Q76" s="1445">
        <v>999271604</v>
      </c>
      <c r="R76" s="1445">
        <v>243805517</v>
      </c>
      <c r="S76" s="1445">
        <v>248096495</v>
      </c>
      <c r="T76" s="1445">
        <v>252462993</v>
      </c>
      <c r="U76" s="1445">
        <v>256906342</v>
      </c>
      <c r="V76" s="1445">
        <v>261427893</v>
      </c>
      <c r="W76" s="1445">
        <v>266029043</v>
      </c>
    </row>
    <row r="77" spans="3:23" x14ac:dyDescent="0.3">
      <c r="C77" s="1857">
        <f>+C76/1000000</f>
        <v>782.71591000000001</v>
      </c>
      <c r="D77" s="1857">
        <f t="shared" ref="D77:W77" si="6">+D76/1000000</f>
        <v>796.49171100000001</v>
      </c>
      <c r="E77" s="1857">
        <f t="shared" si="6"/>
        <v>810.50996399999997</v>
      </c>
      <c r="F77" s="1857">
        <f t="shared" si="6"/>
        <v>824.77493900000002</v>
      </c>
      <c r="G77" s="1857">
        <f t="shared" si="6"/>
        <v>839.29097899999999</v>
      </c>
      <c r="H77" s="1857">
        <f t="shared" si="6"/>
        <v>854.062501</v>
      </c>
      <c r="I77" s="1857">
        <f t="shared" si="6"/>
        <v>869.09400000000005</v>
      </c>
      <c r="J77" s="1857">
        <f t="shared" si="6"/>
        <v>884.39005699999996</v>
      </c>
      <c r="K77" s="1857">
        <f t="shared" si="6"/>
        <v>899.95532100000003</v>
      </c>
      <c r="L77" s="1239">
        <f t="shared" si="6"/>
        <v>915.794535</v>
      </c>
      <c r="M77" s="1239">
        <f t="shared" si="6"/>
        <v>931.91251899999997</v>
      </c>
      <c r="N77" s="1239">
        <f t="shared" si="6"/>
        <v>948.31417899999997</v>
      </c>
      <c r="O77" s="1239">
        <f t="shared" si="6"/>
        <v>965.00450799999999</v>
      </c>
      <c r="P77" s="1239">
        <f t="shared" si="6"/>
        <v>981.98858700000005</v>
      </c>
      <c r="Q77" s="1239">
        <f t="shared" si="6"/>
        <v>999.27160400000002</v>
      </c>
      <c r="R77" s="1239">
        <f t="shared" si="6"/>
        <v>243.80551700000001</v>
      </c>
      <c r="S77" s="1239">
        <f t="shared" si="6"/>
        <v>248.096495</v>
      </c>
      <c r="T77" s="1239">
        <f t="shared" si="6"/>
        <v>252.46299300000001</v>
      </c>
      <c r="U77" s="1239">
        <f t="shared" si="6"/>
        <v>256.906342</v>
      </c>
      <c r="V77" s="1239">
        <f t="shared" si="6"/>
        <v>261.42789299999998</v>
      </c>
      <c r="W77" s="1239">
        <f t="shared" si="6"/>
        <v>266.029043</v>
      </c>
    </row>
    <row r="78" spans="3:23" x14ac:dyDescent="0.3">
      <c r="L78" s="1461">
        <f>SUM(L77:W77)</f>
        <v>7271.0142150000011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3:H9"/>
  <sheetViews>
    <sheetView workbookViewId="0">
      <selection activeCell="G6" sqref="G6"/>
    </sheetView>
  </sheetViews>
  <sheetFormatPr baseColWidth="10" defaultColWidth="11.44140625" defaultRowHeight="14.4" x14ac:dyDescent="0.3"/>
  <cols>
    <col min="1" max="1" width="4.44140625" style="1277" bestFit="1" customWidth="1"/>
    <col min="2" max="2" width="19.44140625" style="1280" bestFit="1" customWidth="1"/>
    <col min="3" max="3" width="8" style="1277" bestFit="1" customWidth="1"/>
    <col min="4" max="4" width="18.44140625" style="1277" bestFit="1" customWidth="1"/>
    <col min="5" max="5" width="16.5546875" style="1277" bestFit="1" customWidth="1"/>
    <col min="6" max="6" width="11.44140625" style="1277"/>
    <col min="7" max="7" width="19.44140625" style="1277" bestFit="1" customWidth="1"/>
    <col min="8" max="16384" width="11.44140625" style="1277"/>
  </cols>
  <sheetData>
    <row r="3" spans="2:8" x14ac:dyDescent="0.3">
      <c r="G3" s="1294">
        <f>4994500000+5500000+10000000000-169223057-312452414</f>
        <v>14518324529</v>
      </c>
      <c r="H3" s="1295" t="s">
        <v>2266</v>
      </c>
    </row>
    <row r="4" spans="2:8" x14ac:dyDescent="0.3">
      <c r="B4" s="1280">
        <f>SUM(B3:B3)</f>
        <v>0</v>
      </c>
    </row>
    <row r="5" spans="2:8" x14ac:dyDescent="0.3">
      <c r="H5" s="1277">
        <f>+G3/1000000</f>
        <v>14518.324529</v>
      </c>
    </row>
    <row r="9" spans="2:8" x14ac:dyDescent="0.3">
      <c r="G9" s="1279">
        <f>+G3+'Amortissment Coris'!G18+'TABLEAU CBAO'!E53</f>
        <v>33845063259.394238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72"/>
  <sheetViews>
    <sheetView topLeftCell="G58" workbookViewId="0">
      <selection activeCell="I25" sqref="I25"/>
    </sheetView>
  </sheetViews>
  <sheetFormatPr baseColWidth="10" defaultColWidth="10.88671875" defaultRowHeight="14.4" x14ac:dyDescent="0.3"/>
  <cols>
    <col min="1" max="1" width="5.33203125" style="1445" customWidth="1"/>
    <col min="2" max="2" width="17.5546875" style="1445" customWidth="1"/>
    <col min="3" max="3" width="21.109375" style="1239" bestFit="1" customWidth="1"/>
    <col min="4" max="4" width="16.6640625" style="1239" bestFit="1" customWidth="1"/>
    <col min="5" max="5" width="16" style="1239" bestFit="1" customWidth="1"/>
    <col min="6" max="6" width="24.6640625" style="1239" bestFit="1" customWidth="1"/>
    <col min="7" max="7" width="16.33203125" style="1239" customWidth="1"/>
    <col min="8" max="8" width="20" style="1239" bestFit="1" customWidth="1"/>
    <col min="9" max="9" width="8.88671875" style="1239" customWidth="1"/>
    <col min="10" max="10" width="16" style="1239" bestFit="1" customWidth="1"/>
    <col min="11" max="11" width="12.88671875" style="1239" customWidth="1"/>
    <col min="12" max="13" width="17.88671875" style="1445" bestFit="1" customWidth="1"/>
    <col min="14" max="14" width="8.109375" style="1445" bestFit="1" customWidth="1"/>
    <col min="15" max="15" width="14.6640625" style="1445" customWidth="1"/>
    <col min="16" max="16384" width="10.88671875" style="1445"/>
  </cols>
  <sheetData>
    <row r="1" spans="1:15" x14ac:dyDescent="0.3">
      <c r="B1" s="1446" t="s">
        <v>2383</v>
      </c>
      <c r="C1" s="1447" t="s">
        <v>424</v>
      </c>
      <c r="E1" s="1445"/>
      <c r="F1" s="1445"/>
      <c r="G1" s="1445"/>
      <c r="H1" s="1445"/>
      <c r="I1" s="1445"/>
      <c r="J1" s="1445"/>
      <c r="K1" s="1445"/>
    </row>
    <row r="2" spans="1:15" s="1450" customFormat="1" ht="13.8" x14ac:dyDescent="0.3">
      <c r="A2" s="1448" t="s">
        <v>2384</v>
      </c>
      <c r="B2" s="1446" t="s">
        <v>2385</v>
      </c>
      <c r="C2" s="1449"/>
    </row>
    <row r="3" spans="1:15" s="1450" customFormat="1" ht="13.8" x14ac:dyDescent="0.3">
      <c r="A3" s="1448" t="s">
        <v>2384</v>
      </c>
      <c r="B3" s="1447" t="s">
        <v>2386</v>
      </c>
      <c r="C3" s="1447"/>
    </row>
    <row r="4" spans="1:15" s="1450" customFormat="1" ht="13.8" x14ac:dyDescent="0.3">
      <c r="A4" s="1448"/>
      <c r="B4" s="1447" t="s">
        <v>2387</v>
      </c>
      <c r="C4" s="1447" t="s">
        <v>2388</v>
      </c>
    </row>
    <row r="5" spans="1:15" s="1450" customFormat="1" ht="13.8" x14ac:dyDescent="0.3">
      <c r="A5" s="1448" t="s">
        <v>2384</v>
      </c>
      <c r="B5" s="1447" t="s">
        <v>2389</v>
      </c>
      <c r="C5" s="1451">
        <v>20000000000</v>
      </c>
      <c r="F5" s="1450" t="s">
        <v>2390</v>
      </c>
    </row>
    <row r="6" spans="1:15" s="1450" customFormat="1" ht="13.8" x14ac:dyDescent="0.3">
      <c r="A6" s="1448"/>
      <c r="B6" s="1447" t="s">
        <v>2391</v>
      </c>
      <c r="C6" s="1451">
        <v>1298000000</v>
      </c>
    </row>
    <row r="7" spans="1:15" s="1450" customFormat="1" ht="13.8" x14ac:dyDescent="0.3">
      <c r="A7" s="1448" t="s">
        <v>2384</v>
      </c>
      <c r="B7" s="1447" t="s">
        <v>2392</v>
      </c>
      <c r="C7" s="1452">
        <v>44561</v>
      </c>
    </row>
    <row r="8" spans="1:15" s="1450" customFormat="1" ht="13.8" x14ac:dyDescent="0.3">
      <c r="A8" s="1448"/>
      <c r="B8" s="1447" t="s">
        <v>2393</v>
      </c>
      <c r="C8" s="1452">
        <v>45016</v>
      </c>
      <c r="F8" s="1453"/>
      <c r="G8" s="1453"/>
    </row>
    <row r="9" spans="1:15" s="1450" customFormat="1" ht="13.8" x14ac:dyDescent="0.3">
      <c r="A9" s="1448" t="s">
        <v>2384</v>
      </c>
      <c r="B9" s="1447" t="s">
        <v>2394</v>
      </c>
      <c r="C9" s="1452">
        <v>47118</v>
      </c>
      <c r="D9" s="1453"/>
    </row>
    <row r="10" spans="1:15" s="1450" customFormat="1" ht="13.8" x14ac:dyDescent="0.3">
      <c r="A10" s="1448" t="s">
        <v>2384</v>
      </c>
      <c r="B10" s="1447" t="s">
        <v>2395</v>
      </c>
      <c r="C10" s="1447">
        <v>5</v>
      </c>
    </row>
    <row r="11" spans="1:15" s="1450" customFormat="1" ht="13.8" x14ac:dyDescent="0.3">
      <c r="A11" s="1448"/>
      <c r="B11" s="1447" t="s">
        <v>2396</v>
      </c>
      <c r="C11" s="1447">
        <v>1</v>
      </c>
    </row>
    <row r="12" spans="1:15" s="1450" customFormat="1" x14ac:dyDescent="0.3">
      <c r="A12" s="1448" t="s">
        <v>2384</v>
      </c>
      <c r="B12" s="1447" t="s">
        <v>2397</v>
      </c>
      <c r="C12" s="1454">
        <v>5.8999999999999997E-2</v>
      </c>
      <c r="E12" s="1239"/>
    </row>
    <row r="13" spans="1:15" s="1450" customFormat="1" ht="13.8" x14ac:dyDescent="0.3">
      <c r="A13" s="1448" t="s">
        <v>2384</v>
      </c>
      <c r="B13" s="1447" t="s">
        <v>2398</v>
      </c>
      <c r="C13" s="1455">
        <v>0.1</v>
      </c>
    </row>
    <row r="15" spans="1:15" ht="13.8" x14ac:dyDescent="0.25">
      <c r="B15" s="1456" t="s">
        <v>2399</v>
      </c>
      <c r="C15" s="1457" t="s">
        <v>2400</v>
      </c>
      <c r="D15" s="1457" t="s">
        <v>2401</v>
      </c>
      <c r="E15" s="1456" t="s">
        <v>2402</v>
      </c>
      <c r="F15" s="1457" t="s">
        <v>2403</v>
      </c>
      <c r="G15" s="1457" t="s">
        <v>2404</v>
      </c>
      <c r="H15" s="1457" t="s">
        <v>2202</v>
      </c>
      <c r="I15" s="1458"/>
      <c r="J15" s="1458"/>
      <c r="K15" s="1458"/>
    </row>
    <row r="16" spans="1:15" x14ac:dyDescent="0.3">
      <c r="B16" s="1459"/>
      <c r="N16" s="1239"/>
      <c r="O16" s="1239"/>
    </row>
    <row r="17" spans="1:15" x14ac:dyDescent="0.3">
      <c r="B17" s="1459"/>
      <c r="N17" s="1239"/>
      <c r="O17" s="1239"/>
    </row>
    <row r="18" spans="1:15" x14ac:dyDescent="0.3">
      <c r="B18" s="1459"/>
      <c r="N18" s="1239"/>
      <c r="O18" s="1239"/>
    </row>
    <row r="19" spans="1:15" x14ac:dyDescent="0.3">
      <c r="B19" s="1459">
        <v>44588</v>
      </c>
      <c r="C19" s="1466"/>
      <c r="D19" s="1466">
        <f>H19*I19*$C$12/360</f>
        <v>181916666.66666666</v>
      </c>
      <c r="E19" s="1466">
        <f>+D19*10%</f>
        <v>18191666.666666668</v>
      </c>
      <c r="F19" s="1466">
        <v>0</v>
      </c>
      <c r="G19" s="1467">
        <v>12000000000</v>
      </c>
      <c r="H19" s="1467">
        <f>G19</f>
        <v>12000000000</v>
      </c>
      <c r="I19" s="1467">
        <f>+_xlfn.DAYS(B20,B19)+0.5</f>
        <v>92.5</v>
      </c>
      <c r="J19" s="1467"/>
      <c r="L19" s="1460"/>
    </row>
    <row r="20" spans="1:15" x14ac:dyDescent="0.3">
      <c r="B20" s="1459">
        <v>44680</v>
      </c>
      <c r="C20" s="1466"/>
      <c r="D20" s="1466">
        <f>H20*I20*$C$12/360</f>
        <v>806333333.33333337</v>
      </c>
      <c r="E20" s="1466">
        <f>+D20*10%</f>
        <v>80633333.333333343</v>
      </c>
      <c r="F20" s="1466">
        <v>0</v>
      </c>
      <c r="G20" s="1467">
        <v>8000000000</v>
      </c>
      <c r="H20" s="1467">
        <f>+H19+G20</f>
        <v>20000000000</v>
      </c>
      <c r="I20" s="1467">
        <f>+_xlfn.DAYS(B21,B20)</f>
        <v>246</v>
      </c>
      <c r="J20" s="1467"/>
      <c r="L20" s="1460"/>
    </row>
    <row r="21" spans="1:15" x14ac:dyDescent="0.3">
      <c r="B21" s="1459">
        <v>44926</v>
      </c>
      <c r="C21" s="1466"/>
      <c r="D21" s="1466"/>
      <c r="E21" s="1466"/>
      <c r="F21" s="1466">
        <v>0</v>
      </c>
      <c r="G21" s="1466"/>
      <c r="H21" s="1466">
        <f>20000000000+C21</f>
        <v>20000000000</v>
      </c>
      <c r="I21" s="1467"/>
      <c r="J21" s="1467"/>
      <c r="L21" s="1461"/>
    </row>
    <row r="22" spans="1:15" x14ac:dyDescent="0.3">
      <c r="A22" s="1445">
        <v>1</v>
      </c>
      <c r="B22" s="1459">
        <v>45016</v>
      </c>
      <c r="C22" s="1467">
        <f t="shared" ref="C22:C37" si="0">SUM(D22:F22)</f>
        <v>1012745243</v>
      </c>
      <c r="D22" s="1467">
        <f>H21*I22*$C$12/360</f>
        <v>295000000</v>
      </c>
      <c r="E22" s="1467">
        <f t="shared" ref="E22:E44" si="1">+D22*10%</f>
        <v>29500000</v>
      </c>
      <c r="F22" s="1467">
        <v>688245243</v>
      </c>
      <c r="G22" s="1467"/>
      <c r="H22" s="1467">
        <f>+H21-F22</f>
        <v>19311754757</v>
      </c>
      <c r="I22" s="1467">
        <f>+DAYS360(B21,B22)</f>
        <v>90</v>
      </c>
      <c r="J22" s="1467"/>
      <c r="K22" s="1462"/>
      <c r="N22" s="1239"/>
      <c r="O22" s="1239"/>
    </row>
    <row r="23" spans="1:15" x14ac:dyDescent="0.3">
      <c r="A23" s="1445">
        <v>2</v>
      </c>
      <c r="B23" s="1459">
        <f>+B22+91</f>
        <v>45107</v>
      </c>
      <c r="C23" s="1467">
        <f t="shared" si="0"/>
        <v>1012745240.9323249</v>
      </c>
      <c r="D23" s="1467">
        <f t="shared" ref="D23:D45" si="2">H22*I23*$C$12/360</f>
        <v>284848382.66574997</v>
      </c>
      <c r="E23" s="1467">
        <f t="shared" si="1"/>
        <v>28484838.266574997</v>
      </c>
      <c r="F23" s="1467">
        <v>699412020</v>
      </c>
      <c r="G23" s="1467"/>
      <c r="H23" s="1467">
        <f t="shared" ref="H23:H45" si="3">+H22-F23</f>
        <v>18612342737</v>
      </c>
      <c r="I23" s="1467">
        <f t="shared" ref="I23:I45" si="4">+DAYS360(B22,B23)</f>
        <v>90</v>
      </c>
      <c r="J23" s="1467"/>
      <c r="L23" s="1463"/>
      <c r="M23" s="1461"/>
      <c r="N23" s="1239"/>
      <c r="O23" s="1239"/>
    </row>
    <row r="24" spans="1:15" x14ac:dyDescent="0.3">
      <c r="A24" s="1445">
        <v>3</v>
      </c>
      <c r="B24" s="1459">
        <v>45199</v>
      </c>
      <c r="C24" s="1467">
        <f t="shared" si="0"/>
        <v>1012745240.907825</v>
      </c>
      <c r="D24" s="1467">
        <f t="shared" si="2"/>
        <v>274532055.37075001</v>
      </c>
      <c r="E24" s="1467">
        <f t="shared" si="1"/>
        <v>27453205.537075002</v>
      </c>
      <c r="F24" s="1467">
        <v>710759980</v>
      </c>
      <c r="G24" s="1467"/>
      <c r="H24" s="1467">
        <f t="shared" si="3"/>
        <v>17901582757</v>
      </c>
      <c r="I24" s="1467">
        <f t="shared" si="4"/>
        <v>90</v>
      </c>
      <c r="J24" s="1467"/>
      <c r="L24" s="1463"/>
      <c r="O24" s="1239"/>
    </row>
    <row r="25" spans="1:15" s="1471" customFormat="1" x14ac:dyDescent="0.3">
      <c r="A25" s="1471">
        <v>4</v>
      </c>
      <c r="B25" s="1472">
        <v>45291</v>
      </c>
      <c r="C25" s="1473">
        <f t="shared" si="0"/>
        <v>1012745243.510711</v>
      </c>
      <c r="D25" s="1473">
        <f t="shared" si="2"/>
        <v>264048345.66575</v>
      </c>
      <c r="E25" s="1473">
        <f t="shared" si="1"/>
        <v>26404834.566575002</v>
      </c>
      <c r="F25" s="1473">
        <v>722292063.278386</v>
      </c>
      <c r="G25" s="1473"/>
      <c r="H25" s="1473">
        <f t="shared" si="3"/>
        <v>17179290693.721615</v>
      </c>
      <c r="I25" s="1473">
        <f t="shared" si="4"/>
        <v>90</v>
      </c>
      <c r="J25" s="1473">
        <f>SUM(F22:F25)</f>
        <v>2820709306.2783861</v>
      </c>
      <c r="K25" s="1473"/>
      <c r="N25" s="1473"/>
      <c r="O25" s="1473"/>
    </row>
    <row r="26" spans="1:15" x14ac:dyDescent="0.3">
      <c r="A26" s="1445">
        <v>5</v>
      </c>
      <c r="B26" s="1459">
        <v>45382</v>
      </c>
      <c r="C26" s="1467">
        <f t="shared" si="0"/>
        <v>1012745244.5056331</v>
      </c>
      <c r="D26" s="1467">
        <f t="shared" si="2"/>
        <v>253394537.7323938</v>
      </c>
      <c r="E26" s="1467">
        <f t="shared" si="1"/>
        <v>25339453.773239382</v>
      </c>
      <c r="F26" s="1467">
        <v>734011253</v>
      </c>
      <c r="G26" s="1467"/>
      <c r="H26" s="1467">
        <f t="shared" si="3"/>
        <v>16445279440.721615</v>
      </c>
      <c r="I26" s="1467">
        <f t="shared" si="4"/>
        <v>90</v>
      </c>
      <c r="J26" s="1467"/>
      <c r="L26" s="1463"/>
      <c r="N26" s="1239"/>
      <c r="O26" s="1239"/>
    </row>
    <row r="27" spans="1:15" x14ac:dyDescent="0.3">
      <c r="A27" s="1445">
        <v>6</v>
      </c>
      <c r="B27" s="1459">
        <v>45473</v>
      </c>
      <c r="C27" s="1467">
        <f t="shared" si="0"/>
        <v>1012745241.9257082</v>
      </c>
      <c r="D27" s="1467">
        <f t="shared" si="2"/>
        <v>242567871.75064379</v>
      </c>
      <c r="E27" s="1467">
        <f t="shared" si="1"/>
        <v>24256787.175064381</v>
      </c>
      <c r="F27" s="1467">
        <v>745920583</v>
      </c>
      <c r="G27" s="1467"/>
      <c r="H27" s="1467">
        <f t="shared" si="3"/>
        <v>15699358857.721615</v>
      </c>
      <c r="I27" s="1467">
        <f t="shared" si="4"/>
        <v>90</v>
      </c>
      <c r="J27" s="1467"/>
      <c r="N27" s="1239"/>
      <c r="O27" s="1239"/>
    </row>
    <row r="28" spans="1:15" x14ac:dyDescent="0.3">
      <c r="A28" s="1445">
        <v>7</v>
      </c>
      <c r="B28" s="1459">
        <v>45565</v>
      </c>
      <c r="C28" s="1467">
        <f t="shared" si="0"/>
        <v>1012745244.4665332</v>
      </c>
      <c r="D28" s="1467">
        <f t="shared" si="2"/>
        <v>231565543.1513938</v>
      </c>
      <c r="E28" s="1467">
        <f t="shared" si="1"/>
        <v>23156554.315139383</v>
      </c>
      <c r="F28" s="1467">
        <v>758023147</v>
      </c>
      <c r="G28" s="1467"/>
      <c r="H28" s="1467">
        <f t="shared" si="3"/>
        <v>14941335710.721615</v>
      </c>
      <c r="I28" s="1467">
        <f t="shared" si="4"/>
        <v>90</v>
      </c>
      <c r="J28" s="1467"/>
      <c r="N28" s="1239"/>
      <c r="O28" s="1239"/>
    </row>
    <row r="29" spans="1:15" s="1471" customFormat="1" x14ac:dyDescent="0.3">
      <c r="A29" s="1471">
        <v>8</v>
      </c>
      <c r="B29" s="1472">
        <v>45657</v>
      </c>
      <c r="C29" s="1473">
        <f t="shared" si="0"/>
        <v>1012745241.9064581</v>
      </c>
      <c r="D29" s="1473">
        <f t="shared" si="2"/>
        <v>220384701.73314378</v>
      </c>
      <c r="E29" s="1473">
        <f t="shared" si="1"/>
        <v>22038470.173314378</v>
      </c>
      <c r="F29" s="1473">
        <v>770322070</v>
      </c>
      <c r="G29" s="1473"/>
      <c r="H29" s="1473">
        <f t="shared" si="3"/>
        <v>14171013640.721615</v>
      </c>
      <c r="I29" s="1473">
        <f t="shared" si="4"/>
        <v>90</v>
      </c>
      <c r="J29" s="1473">
        <f>SUM(F26:F29)</f>
        <v>3008277053</v>
      </c>
      <c r="K29" s="1526">
        <f>+J29/1000000</f>
        <v>3008.2770529999998</v>
      </c>
      <c r="N29" s="1473"/>
      <c r="O29" s="1473"/>
    </row>
    <row r="30" spans="1:15" x14ac:dyDescent="0.3">
      <c r="A30" s="1445">
        <v>9</v>
      </c>
      <c r="B30" s="1459">
        <v>45747</v>
      </c>
      <c r="C30" s="1467">
        <f t="shared" si="0"/>
        <v>1012745242.8819516</v>
      </c>
      <c r="D30" s="1467">
        <f t="shared" si="2"/>
        <v>209022451.20064381</v>
      </c>
      <c r="E30" s="1467">
        <f t="shared" si="1"/>
        <v>20902245.120064382</v>
      </c>
      <c r="F30" s="1467">
        <v>782820546.56124341</v>
      </c>
      <c r="G30" s="1467"/>
      <c r="H30" s="1467">
        <f t="shared" si="3"/>
        <v>13388193094.160372</v>
      </c>
      <c r="I30" s="1467">
        <f t="shared" si="4"/>
        <v>90</v>
      </c>
      <c r="J30" s="1467"/>
      <c r="N30" s="1239"/>
      <c r="O30" s="1239"/>
    </row>
    <row r="31" spans="1:15" x14ac:dyDescent="0.3">
      <c r="A31" s="1445">
        <v>10</v>
      </c>
      <c r="B31" s="1459">
        <v>45838</v>
      </c>
      <c r="C31" s="1467">
        <f t="shared" si="0"/>
        <v>1012745245.952752</v>
      </c>
      <c r="D31" s="1467">
        <f t="shared" si="2"/>
        <v>197475848.13886544</v>
      </c>
      <c r="E31" s="1467">
        <f t="shared" si="1"/>
        <v>19747584.813886546</v>
      </c>
      <c r="F31" s="1467">
        <v>795521813</v>
      </c>
      <c r="G31" s="1467"/>
      <c r="H31" s="1467">
        <f t="shared" si="3"/>
        <v>12592671281.160372</v>
      </c>
      <c r="I31" s="1467">
        <f t="shared" si="4"/>
        <v>90</v>
      </c>
      <c r="J31" s="1467"/>
      <c r="N31" s="1239"/>
      <c r="O31" s="1239"/>
    </row>
    <row r="32" spans="1:15" x14ac:dyDescent="0.3">
      <c r="A32" s="1445">
        <v>11</v>
      </c>
      <c r="B32" s="1459">
        <v>45930</v>
      </c>
      <c r="C32" s="1467">
        <f t="shared" si="0"/>
        <v>1012745244.536827</v>
      </c>
      <c r="D32" s="1467">
        <f t="shared" si="2"/>
        <v>185741901.39711544</v>
      </c>
      <c r="E32" s="1467">
        <f t="shared" si="1"/>
        <v>18574190.139711544</v>
      </c>
      <c r="F32" s="1467">
        <v>808429153</v>
      </c>
      <c r="G32" s="1467"/>
      <c r="H32" s="1467">
        <f t="shared" si="3"/>
        <v>11784242128.160372</v>
      </c>
      <c r="I32" s="1467">
        <f t="shared" si="4"/>
        <v>90</v>
      </c>
      <c r="J32" s="1467"/>
      <c r="N32" s="1239"/>
      <c r="O32" s="1239"/>
    </row>
    <row r="33" spans="1:15" s="1471" customFormat="1" x14ac:dyDescent="0.3">
      <c r="A33" s="1471">
        <v>12</v>
      </c>
      <c r="B33" s="1472">
        <v>46022</v>
      </c>
      <c r="C33" s="1473">
        <f t="shared" si="0"/>
        <v>1012745245.529402</v>
      </c>
      <c r="D33" s="1473">
        <f t="shared" si="2"/>
        <v>173817571.39036548</v>
      </c>
      <c r="E33" s="1473">
        <f t="shared" si="1"/>
        <v>17381757.139036547</v>
      </c>
      <c r="F33" s="1473">
        <v>821545917</v>
      </c>
      <c r="G33" s="1473"/>
      <c r="H33" s="1473">
        <f t="shared" si="3"/>
        <v>10962696211.160372</v>
      </c>
      <c r="I33" s="1473">
        <f t="shared" si="4"/>
        <v>90</v>
      </c>
      <c r="J33" s="1473">
        <f>SUM(F30:F33)</f>
        <v>3208317429.5612435</v>
      </c>
      <c r="K33" s="1526">
        <f>+J33/1000000</f>
        <v>3208.3174295612434</v>
      </c>
      <c r="N33" s="1473"/>
      <c r="O33" s="1473"/>
    </row>
    <row r="34" spans="1:15" x14ac:dyDescent="0.3">
      <c r="A34" s="1445">
        <v>13</v>
      </c>
      <c r="B34" s="1459">
        <v>46112</v>
      </c>
      <c r="C34" s="1467">
        <f t="shared" si="0"/>
        <v>1012745243.1640934</v>
      </c>
      <c r="D34" s="1467">
        <f t="shared" si="2"/>
        <v>161699769.11461547</v>
      </c>
      <c r="E34" s="1467">
        <f t="shared" si="1"/>
        <v>16169976.911461547</v>
      </c>
      <c r="F34" s="1467">
        <v>834875497.13801634</v>
      </c>
      <c r="G34" s="1467"/>
      <c r="H34" s="1467">
        <f t="shared" si="3"/>
        <v>10127820714.022356</v>
      </c>
      <c r="I34" s="1467">
        <f t="shared" si="4"/>
        <v>90</v>
      </c>
      <c r="J34" s="1467"/>
      <c r="N34" s="1239"/>
      <c r="O34" s="1239"/>
    </row>
    <row r="35" spans="1:15" x14ac:dyDescent="0.3">
      <c r="A35" s="1445">
        <v>14</v>
      </c>
      <c r="B35" s="1459">
        <v>46203</v>
      </c>
      <c r="C35" s="1467">
        <f t="shared" si="0"/>
        <v>1012745241.0850127</v>
      </c>
      <c r="D35" s="1467">
        <f t="shared" si="2"/>
        <v>149385355.53182974</v>
      </c>
      <c r="E35" s="1467">
        <f t="shared" si="1"/>
        <v>14938535.553182974</v>
      </c>
      <c r="F35" s="1467">
        <v>848421350</v>
      </c>
      <c r="G35" s="1467"/>
      <c r="H35" s="1467">
        <f t="shared" si="3"/>
        <v>9279399364.022356</v>
      </c>
      <c r="I35" s="1467">
        <f t="shared" si="4"/>
        <v>90</v>
      </c>
      <c r="J35" s="1467"/>
      <c r="L35" s="1461"/>
      <c r="N35" s="1239"/>
      <c r="O35" s="1239"/>
    </row>
    <row r="36" spans="1:15" x14ac:dyDescent="0.3">
      <c r="A36" s="1445">
        <v>15</v>
      </c>
      <c r="B36" s="1459">
        <v>46295</v>
      </c>
      <c r="C36" s="1467">
        <f t="shared" si="0"/>
        <v>1012745244.6812627</v>
      </c>
      <c r="D36" s="1467">
        <f t="shared" si="2"/>
        <v>136871140.61932975</v>
      </c>
      <c r="E36" s="1467">
        <f t="shared" si="1"/>
        <v>13687114.061932975</v>
      </c>
      <c r="F36" s="1467">
        <v>862186990</v>
      </c>
      <c r="G36" s="1467"/>
      <c r="H36" s="1467">
        <f t="shared" si="3"/>
        <v>8417212374.022356</v>
      </c>
      <c r="I36" s="1467">
        <f t="shared" si="4"/>
        <v>90</v>
      </c>
      <c r="J36" s="1467"/>
    </row>
    <row r="37" spans="1:15" s="1471" customFormat="1" x14ac:dyDescent="0.3">
      <c r="A37" s="1471">
        <v>16</v>
      </c>
      <c r="B37" s="1472">
        <v>46387</v>
      </c>
      <c r="C37" s="1473">
        <f t="shared" si="0"/>
        <v>1012745240.7685127</v>
      </c>
      <c r="D37" s="1473">
        <f t="shared" si="2"/>
        <v>124153882.51682974</v>
      </c>
      <c r="E37" s="1473">
        <f t="shared" si="1"/>
        <v>12415388.251682974</v>
      </c>
      <c r="F37" s="1473">
        <v>876175970</v>
      </c>
      <c r="G37" s="1473"/>
      <c r="H37" s="1473">
        <f t="shared" si="3"/>
        <v>7541036404.022356</v>
      </c>
      <c r="I37" s="1473">
        <f t="shared" si="4"/>
        <v>90</v>
      </c>
      <c r="J37" s="1473">
        <f>SUM(F34:F37)</f>
        <v>3421659807.1380162</v>
      </c>
      <c r="K37" s="1526">
        <f>+J37/1000000</f>
        <v>3421.6598071380163</v>
      </c>
      <c r="N37" s="1473"/>
      <c r="O37" s="1473"/>
    </row>
    <row r="38" spans="1:15" x14ac:dyDescent="0.3">
      <c r="A38" s="1445">
        <v>17</v>
      </c>
      <c r="B38" s="1459">
        <v>46477</v>
      </c>
      <c r="C38" s="1467">
        <f t="shared" ref="C38:C44" si="5">SUM(D38:F38)</f>
        <v>1012745242.6552627</v>
      </c>
      <c r="D38" s="1467">
        <f t="shared" si="2"/>
        <v>111230286.95932975</v>
      </c>
      <c r="E38" s="1467">
        <f t="shared" si="1"/>
        <v>11123028.695932977</v>
      </c>
      <c r="F38" s="1467">
        <v>890391927</v>
      </c>
      <c r="G38" s="1467"/>
      <c r="H38" s="1467">
        <f t="shared" si="3"/>
        <v>6650644477.022356</v>
      </c>
      <c r="I38" s="1467">
        <f t="shared" si="4"/>
        <v>90</v>
      </c>
      <c r="J38" s="1467"/>
    </row>
    <row r="39" spans="1:15" x14ac:dyDescent="0.3">
      <c r="A39" s="1445">
        <v>18</v>
      </c>
      <c r="B39" s="1459">
        <v>46568</v>
      </c>
      <c r="C39" s="1467">
        <f t="shared" si="5"/>
        <v>1012745243.3346665</v>
      </c>
      <c r="D39" s="1467">
        <f t="shared" si="2"/>
        <v>98097006.036079749</v>
      </c>
      <c r="E39" s="1467">
        <f t="shared" si="1"/>
        <v>9809700.6036079749</v>
      </c>
      <c r="F39" s="1467">
        <v>904838536.69497883</v>
      </c>
      <c r="G39" s="1467"/>
      <c r="H39" s="1467">
        <f t="shared" si="3"/>
        <v>5745805940.3273773</v>
      </c>
      <c r="I39" s="1467">
        <f t="shared" si="4"/>
        <v>90</v>
      </c>
      <c r="J39" s="1467"/>
    </row>
    <row r="40" spans="1:15" x14ac:dyDescent="0.3">
      <c r="A40" s="1445">
        <v>19</v>
      </c>
      <c r="B40" s="1459">
        <v>46660</v>
      </c>
      <c r="C40" s="1467">
        <f t="shared" si="5"/>
        <v>1012745244.3818117</v>
      </c>
      <c r="D40" s="1467">
        <f t="shared" si="2"/>
        <v>84750637.61982882</v>
      </c>
      <c r="E40" s="1467">
        <f t="shared" si="1"/>
        <v>8475063.7619828824</v>
      </c>
      <c r="F40" s="1467">
        <v>919519543</v>
      </c>
      <c r="G40" s="1467"/>
      <c r="H40" s="1467">
        <f t="shared" si="3"/>
        <v>4826286397.3273773</v>
      </c>
      <c r="I40" s="1467">
        <f t="shared" si="4"/>
        <v>90</v>
      </c>
      <c r="J40" s="1467"/>
    </row>
    <row r="41" spans="1:15" s="1471" customFormat="1" x14ac:dyDescent="0.3">
      <c r="A41" s="1471">
        <v>20</v>
      </c>
      <c r="B41" s="1472">
        <v>46752</v>
      </c>
      <c r="C41" s="1473">
        <f t="shared" si="5"/>
        <v>1012745243.7966367</v>
      </c>
      <c r="D41" s="1473">
        <f t="shared" si="2"/>
        <v>71187724.360578805</v>
      </c>
      <c r="E41" s="1473">
        <f t="shared" si="1"/>
        <v>7118772.4360578805</v>
      </c>
      <c r="F41" s="1473">
        <v>934438747</v>
      </c>
      <c r="G41" s="1473"/>
      <c r="H41" s="1473">
        <f t="shared" si="3"/>
        <v>3891847650.3273773</v>
      </c>
      <c r="I41" s="1473">
        <f t="shared" si="4"/>
        <v>90</v>
      </c>
      <c r="J41" s="1473">
        <f>SUM(F38:F41)</f>
        <v>3649188753.6949787</v>
      </c>
      <c r="K41" s="1526">
        <f>+J41/1000000</f>
        <v>3649.1887536949789</v>
      </c>
      <c r="N41" s="1473"/>
      <c r="O41" s="1473"/>
    </row>
    <row r="42" spans="1:15" x14ac:dyDescent="0.3">
      <c r="A42" s="1445">
        <v>21</v>
      </c>
      <c r="B42" s="1459">
        <v>46843</v>
      </c>
      <c r="C42" s="1467">
        <f t="shared" si="5"/>
        <v>1012745228.1265616</v>
      </c>
      <c r="D42" s="1467">
        <f t="shared" si="2"/>
        <v>57404752.842328817</v>
      </c>
      <c r="E42" s="1467">
        <f t="shared" si="1"/>
        <v>5740475.2842328819</v>
      </c>
      <c r="F42" s="1467">
        <v>949600000</v>
      </c>
      <c r="G42" s="1467"/>
      <c r="H42" s="1467">
        <f t="shared" si="3"/>
        <v>2942247650.3273773</v>
      </c>
      <c r="I42" s="1467">
        <f t="shared" si="4"/>
        <v>90</v>
      </c>
      <c r="J42" s="1467"/>
    </row>
    <row r="43" spans="1:15" x14ac:dyDescent="0.3">
      <c r="A43" s="1445">
        <v>22</v>
      </c>
      <c r="B43" s="1459">
        <v>46934</v>
      </c>
      <c r="C43" s="1467">
        <f t="shared" si="5"/>
        <v>1012745241.1265616</v>
      </c>
      <c r="D43" s="1467">
        <f t="shared" si="2"/>
        <v>43398152.842328817</v>
      </c>
      <c r="E43" s="1467">
        <f t="shared" si="1"/>
        <v>4339815.2842328819</v>
      </c>
      <c r="F43" s="1467">
        <v>965007273</v>
      </c>
      <c r="G43" s="1467"/>
      <c r="H43" s="1467">
        <f t="shared" si="3"/>
        <v>1977240377.3273773</v>
      </c>
      <c r="I43" s="1467">
        <f t="shared" si="4"/>
        <v>90</v>
      </c>
      <c r="J43" s="1467"/>
    </row>
    <row r="44" spans="1:15" x14ac:dyDescent="0.3">
      <c r="A44" s="1445">
        <v>23</v>
      </c>
      <c r="B44" s="1459">
        <v>47026</v>
      </c>
      <c r="C44" s="1467">
        <f t="shared" si="5"/>
        <v>1012745242.1221367</v>
      </c>
      <c r="D44" s="1467">
        <f t="shared" si="2"/>
        <v>29164295.565578815</v>
      </c>
      <c r="E44" s="1467">
        <f t="shared" si="1"/>
        <v>2916429.5565578816</v>
      </c>
      <c r="F44" s="1467">
        <v>980664517</v>
      </c>
      <c r="G44" s="1467"/>
      <c r="H44" s="1467">
        <f t="shared" si="3"/>
        <v>996575860.32737732</v>
      </c>
      <c r="I44" s="1467">
        <f t="shared" si="4"/>
        <v>90</v>
      </c>
      <c r="J44" s="1473">
        <f>SUM(F42:F45)</f>
        <v>3891847650</v>
      </c>
      <c r="K44" s="1527">
        <f>+J44/1000000</f>
        <v>3891.8476500000002</v>
      </c>
      <c r="L44" s="1461"/>
      <c r="N44" s="1239"/>
      <c r="O44" s="1239"/>
    </row>
    <row r="45" spans="1:15" s="1468" customFormat="1" x14ac:dyDescent="0.3">
      <c r="A45" s="1468">
        <v>24</v>
      </c>
      <c r="B45" s="1469">
        <v>47118</v>
      </c>
      <c r="C45" s="1470">
        <f>SUM(D45:F45)</f>
        <v>1012745303.3338116</v>
      </c>
      <c r="D45" s="1470">
        <f t="shared" si="2"/>
        <v>14699493.939828815</v>
      </c>
      <c r="E45" s="1470">
        <f>+D45*10%</f>
        <v>1469949.3939828817</v>
      </c>
      <c r="F45" s="1470">
        <v>996575860</v>
      </c>
      <c r="G45" s="1470"/>
      <c r="H45" s="1470">
        <f t="shared" si="3"/>
        <v>0.3273773193359375</v>
      </c>
      <c r="I45" s="1470">
        <f t="shared" si="4"/>
        <v>90</v>
      </c>
      <c r="J45" s="1470">
        <f>SUM(F26:F45)</f>
        <v>17179290693.394239</v>
      </c>
      <c r="K45" s="1470"/>
    </row>
    <row r="46" spans="1:15" x14ac:dyDescent="0.3">
      <c r="B46" s="1459"/>
    </row>
    <row r="47" spans="1:15" x14ac:dyDescent="0.3">
      <c r="B47" s="1459"/>
      <c r="O47" s="1464"/>
    </row>
    <row r="48" spans="1:15" ht="13.8" x14ac:dyDescent="0.25">
      <c r="B48" s="1465" t="s">
        <v>2137</v>
      </c>
      <c r="C48" s="1457">
        <f>SUM(C16:C45)</f>
        <v>24305885878.632458</v>
      </c>
      <c r="D48" s="1457">
        <f>SUM(D16:D45)</f>
        <v>4902691708.1453028</v>
      </c>
      <c r="E48" s="1457">
        <f>SUM(E16:E45)</f>
        <v>490269170.81453019</v>
      </c>
      <c r="F48" s="1457">
        <f>SUM(F16:F45)</f>
        <v>19999999999.672623</v>
      </c>
      <c r="G48" s="1457"/>
      <c r="H48" s="1457"/>
      <c r="I48" s="1458"/>
      <c r="J48" s="1458"/>
      <c r="K48" s="1458"/>
    </row>
    <row r="51" spans="4:17" x14ac:dyDescent="0.3">
      <c r="J51" s="1239">
        <f>+J45/1000000</f>
        <v>17179.290693394239</v>
      </c>
    </row>
    <row r="52" spans="4:17" x14ac:dyDescent="0.3">
      <c r="D52" s="1239" t="s">
        <v>2415</v>
      </c>
      <c r="E52" s="1239">
        <f>SUM(F25:F29)</f>
        <v>3730569116.2783861</v>
      </c>
      <c r="F52" s="98">
        <f>(E52+'Amortissment Coris'!G14)/1000000</f>
        <v>10266.921155278385</v>
      </c>
      <c r="G52" s="98">
        <f>'Passage Passif BC '!R113</f>
        <v>14500.021600278385</v>
      </c>
    </row>
    <row r="53" spans="4:17" x14ac:dyDescent="0.3">
      <c r="D53" s="1239" t="s">
        <v>2416</v>
      </c>
      <c r="E53" s="1239">
        <f>SUM(F30:F45)</f>
        <v>14171013640.394238</v>
      </c>
      <c r="M53" s="1445">
        <v>2024</v>
      </c>
      <c r="N53" s="1445">
        <v>2025</v>
      </c>
      <c r="O53" s="1445">
        <v>2026</v>
      </c>
      <c r="P53" s="1445">
        <v>2027</v>
      </c>
      <c r="Q53" s="1445">
        <v>2028</v>
      </c>
    </row>
    <row r="54" spans="4:17" x14ac:dyDescent="0.3">
      <c r="J54" s="1239">
        <v>3008.2770529999998</v>
      </c>
      <c r="L54" s="1445" t="s">
        <v>2412</v>
      </c>
      <c r="M54" s="1445">
        <v>3008.2770529999998</v>
      </c>
      <c r="N54" s="1445">
        <v>3208.3174295612434</v>
      </c>
      <c r="O54" s="1445">
        <v>3421.6598071380163</v>
      </c>
      <c r="P54" s="1445">
        <v>3649.1887536949789</v>
      </c>
      <c r="Q54" s="1445">
        <v>3891.8476500000002</v>
      </c>
    </row>
    <row r="55" spans="4:17" x14ac:dyDescent="0.3">
      <c r="D55" s="1239" t="s">
        <v>800</v>
      </c>
      <c r="E55" s="1239">
        <f>SUM('BG '!K18)</f>
        <v>-17901582756</v>
      </c>
      <c r="L55" s="1445" t="s">
        <v>2411</v>
      </c>
      <c r="M55" s="1445">
        <f>'Amortissment Coris'!G18/1000000</f>
        <v>5155.7250899999999</v>
      </c>
    </row>
    <row r="56" spans="4:17" x14ac:dyDescent="0.3">
      <c r="L56" s="1445" t="s">
        <v>2413</v>
      </c>
      <c r="Q56" s="1445">
        <v>14830.776943000001</v>
      </c>
    </row>
    <row r="57" spans="4:17" x14ac:dyDescent="0.3">
      <c r="D57" s="1239" t="s">
        <v>2440</v>
      </c>
      <c r="E57" s="1239">
        <f>SUM(E52:E55)</f>
        <v>0.6726226806640625</v>
      </c>
    </row>
    <row r="58" spans="4:17" x14ac:dyDescent="0.3">
      <c r="L58" s="1445" t="s">
        <v>2120</v>
      </c>
      <c r="M58" s="1445">
        <f>SUM(M54:M57)</f>
        <v>8164.0021429999997</v>
      </c>
      <c r="N58" s="1445">
        <f>SUM(N54:N57)</f>
        <v>3208.3174295612434</v>
      </c>
      <c r="O58" s="1445">
        <f>SUM(O54:O57)</f>
        <v>3421.6598071380163</v>
      </c>
      <c r="P58" s="1445">
        <f>SUM(P54:P57)</f>
        <v>3649.1887536949789</v>
      </c>
      <c r="Q58" s="1445">
        <f>SUM(Q54:Q57)</f>
        <v>18722.624593</v>
      </c>
    </row>
    <row r="65" spans="2:17" x14ac:dyDescent="0.3">
      <c r="D65" s="1239">
        <v>722292063.278386</v>
      </c>
      <c r="E65" s="1239">
        <v>734011253</v>
      </c>
      <c r="F65" s="1239">
        <v>745920583</v>
      </c>
      <c r="G65" s="1239">
        <v>758023147</v>
      </c>
      <c r="H65" s="1239">
        <v>770322070</v>
      </c>
    </row>
    <row r="66" spans="2:17" x14ac:dyDescent="0.3">
      <c r="D66" s="1239">
        <f>+D65/1000000</f>
        <v>722.29206327838597</v>
      </c>
      <c r="E66" s="1239">
        <f t="shared" ref="E66:H66" si="6">+E65/1000000</f>
        <v>734.01125300000001</v>
      </c>
      <c r="F66" s="1239">
        <f t="shared" si="6"/>
        <v>745.92058299999997</v>
      </c>
      <c r="G66" s="1239">
        <f t="shared" si="6"/>
        <v>758.02314699999999</v>
      </c>
      <c r="H66" s="1239">
        <f t="shared" si="6"/>
        <v>770.32207000000005</v>
      </c>
    </row>
    <row r="68" spans="2:17" ht="13.2" x14ac:dyDescent="0.25">
      <c r="B68" s="1459">
        <v>45747</v>
      </c>
      <c r="C68" s="1459">
        <v>45838</v>
      </c>
      <c r="D68" s="1459">
        <v>45930</v>
      </c>
      <c r="E68" s="1472">
        <v>46022</v>
      </c>
      <c r="F68" s="1459">
        <v>46112</v>
      </c>
      <c r="G68" s="1459">
        <v>46203</v>
      </c>
      <c r="H68" s="1459">
        <v>46295</v>
      </c>
      <c r="I68" s="1472">
        <v>46387</v>
      </c>
      <c r="J68" s="1459">
        <v>46477</v>
      </c>
      <c r="K68" s="1459">
        <v>46568</v>
      </c>
      <c r="L68" s="1459">
        <v>46660</v>
      </c>
      <c r="M68" s="1472">
        <v>46752</v>
      </c>
      <c r="N68" s="1459">
        <v>46843</v>
      </c>
      <c r="O68" s="1459">
        <v>46934</v>
      </c>
      <c r="P68" s="1459">
        <v>47026</v>
      </c>
      <c r="Q68" s="1469">
        <v>47118</v>
      </c>
    </row>
    <row r="70" spans="2:17" x14ac:dyDescent="0.3">
      <c r="B70" s="1445">
        <v>782820546.56124341</v>
      </c>
      <c r="C70" s="1239">
        <v>795521813</v>
      </c>
      <c r="D70" s="1239">
        <v>808429153</v>
      </c>
      <c r="E70" s="1239">
        <v>821545917</v>
      </c>
      <c r="F70" s="1239">
        <v>834875497.13801634</v>
      </c>
      <c r="G70" s="1239">
        <v>848421350</v>
      </c>
      <c r="H70" s="1239">
        <v>862186990</v>
      </c>
      <c r="I70" s="1239">
        <v>876175970</v>
      </c>
      <c r="J70" s="1239">
        <v>890391927</v>
      </c>
      <c r="K70" s="1239">
        <v>904838536.69497883</v>
      </c>
      <c r="L70" s="1445">
        <v>919519543</v>
      </c>
      <c r="M70" s="1445">
        <v>934438747</v>
      </c>
      <c r="N70" s="1445">
        <v>949600000</v>
      </c>
      <c r="O70" s="1445">
        <v>965007273</v>
      </c>
      <c r="P70" s="1445">
        <v>980664517</v>
      </c>
      <c r="Q70" s="1445">
        <v>996575860</v>
      </c>
    </row>
    <row r="71" spans="2:17" x14ac:dyDescent="0.3">
      <c r="B71" s="1445">
        <f>B70/1000000</f>
        <v>782.82054656124342</v>
      </c>
      <c r="C71" s="1445">
        <f t="shared" ref="C71:I71" si="7">C70/1000000</f>
        <v>795.52181299999995</v>
      </c>
      <c r="D71" s="1445">
        <f t="shared" si="7"/>
        <v>808.42915300000004</v>
      </c>
      <c r="E71" s="1445">
        <f t="shared" si="7"/>
        <v>821.54591700000003</v>
      </c>
      <c r="F71" s="1445">
        <f t="shared" si="7"/>
        <v>834.87549713801639</v>
      </c>
      <c r="G71" s="1445">
        <f t="shared" si="7"/>
        <v>848.42134999999996</v>
      </c>
      <c r="H71" s="1445">
        <f t="shared" si="7"/>
        <v>862.18699000000004</v>
      </c>
      <c r="I71" s="1445">
        <f t="shared" si="7"/>
        <v>876.17597000000001</v>
      </c>
      <c r="J71" s="1445">
        <f>J70/1000000</f>
        <v>890.39192700000001</v>
      </c>
      <c r="K71" s="1857">
        <f t="shared" ref="K71:Q71" si="8">K70/1000000</f>
        <v>904.83853669497887</v>
      </c>
      <c r="L71" s="1858">
        <f t="shared" si="8"/>
        <v>919.519543</v>
      </c>
      <c r="M71" s="1858">
        <f t="shared" si="8"/>
        <v>934.43874700000003</v>
      </c>
      <c r="N71" s="1858">
        <f t="shared" si="8"/>
        <v>949.6</v>
      </c>
      <c r="O71" s="1858">
        <f t="shared" si="8"/>
        <v>965.00727300000005</v>
      </c>
      <c r="P71" s="1858">
        <f t="shared" si="8"/>
        <v>980.66451700000005</v>
      </c>
      <c r="Q71" s="1858">
        <f t="shared" si="8"/>
        <v>996.57586000000003</v>
      </c>
    </row>
    <row r="72" spans="2:17" x14ac:dyDescent="0.3">
      <c r="K72" s="1239">
        <f>SUM(K71:Q71)</f>
        <v>6650.6444766949789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3:H4"/>
  <sheetViews>
    <sheetView workbookViewId="0">
      <selection activeCell="G3" sqref="G3"/>
    </sheetView>
  </sheetViews>
  <sheetFormatPr baseColWidth="10" defaultColWidth="11.44140625" defaultRowHeight="14.4" x14ac:dyDescent="0.3"/>
  <cols>
    <col min="1" max="1" width="4.44140625" style="1277" bestFit="1" customWidth="1"/>
    <col min="2" max="2" width="19.44140625" style="1280" bestFit="1" customWidth="1"/>
    <col min="3" max="3" width="8" style="1277" bestFit="1" customWidth="1"/>
    <col min="4" max="4" width="18.44140625" style="1277" bestFit="1" customWidth="1"/>
    <col min="5" max="5" width="16.5546875" style="1277" bestFit="1" customWidth="1"/>
    <col min="6" max="6" width="11.44140625" style="1277"/>
    <col min="7" max="7" width="19.44140625" style="1277" bestFit="1" customWidth="1"/>
    <col min="8" max="16384" width="11.44140625" style="1277"/>
  </cols>
  <sheetData>
    <row r="3" spans="2:8" x14ac:dyDescent="0.3">
      <c r="G3" s="1294">
        <v>20000000000</v>
      </c>
      <c r="H3" s="1295" t="s">
        <v>2279</v>
      </c>
    </row>
    <row r="4" spans="2:8" x14ac:dyDescent="0.3">
      <c r="B4" s="1280">
        <f>SUM(B3:B3)</f>
        <v>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7:K58"/>
  <sheetViews>
    <sheetView topLeftCell="C40" workbookViewId="0">
      <selection activeCell="I25" sqref="I25"/>
    </sheetView>
  </sheetViews>
  <sheetFormatPr baseColWidth="10" defaultRowHeight="14.4" x14ac:dyDescent="0.3"/>
  <cols>
    <col min="1" max="1" width="16.88671875" style="1237" customWidth="1"/>
    <col min="2" max="2" width="15.44140625" style="1238" bestFit="1" customWidth="1"/>
    <col min="3" max="3" width="18.109375" style="1237" bestFit="1" customWidth="1"/>
    <col min="4" max="4" width="16.5546875" style="1237" bestFit="1" customWidth="1"/>
    <col min="5" max="5" width="21.5546875" style="1237" bestFit="1" customWidth="1"/>
    <col min="6" max="6" width="20.5546875" style="1237" customWidth="1"/>
    <col min="7" max="7" width="20.44140625" style="1237" customWidth="1"/>
    <col min="8" max="8" width="16.44140625" style="1239" bestFit="1" customWidth="1"/>
    <col min="9" max="9" width="17.44140625" style="1240" bestFit="1" customWidth="1"/>
    <col min="10" max="256" width="11.44140625" style="1237"/>
    <col min="257" max="257" width="16.88671875" style="1237" customWidth="1"/>
    <col min="258" max="258" width="15.44140625" style="1237" bestFit="1" customWidth="1"/>
    <col min="259" max="259" width="18.109375" style="1237" bestFit="1" customWidth="1"/>
    <col min="260" max="260" width="16.5546875" style="1237" bestFit="1" customWidth="1"/>
    <col min="261" max="261" width="21.5546875" style="1237" bestFit="1" customWidth="1"/>
    <col min="262" max="262" width="20.5546875" style="1237" customWidth="1"/>
    <col min="263" max="263" width="20.44140625" style="1237" customWidth="1"/>
    <col min="264" max="264" width="16.44140625" style="1237" bestFit="1" customWidth="1"/>
    <col min="265" max="512" width="11.44140625" style="1237"/>
    <col min="513" max="513" width="16.88671875" style="1237" customWidth="1"/>
    <col min="514" max="514" width="15.44140625" style="1237" bestFit="1" customWidth="1"/>
    <col min="515" max="515" width="18.109375" style="1237" bestFit="1" customWidth="1"/>
    <col min="516" max="516" width="16.5546875" style="1237" bestFit="1" customWidth="1"/>
    <col min="517" max="517" width="21.5546875" style="1237" bestFit="1" customWidth="1"/>
    <col min="518" max="518" width="20.5546875" style="1237" customWidth="1"/>
    <col min="519" max="519" width="20.44140625" style="1237" customWidth="1"/>
    <col min="520" max="520" width="16.44140625" style="1237" bestFit="1" customWidth="1"/>
    <col min="521" max="768" width="11.44140625" style="1237"/>
    <col min="769" max="769" width="16.88671875" style="1237" customWidth="1"/>
    <col min="770" max="770" width="15.44140625" style="1237" bestFit="1" customWidth="1"/>
    <col min="771" max="771" width="18.109375" style="1237" bestFit="1" customWidth="1"/>
    <col min="772" max="772" width="16.5546875" style="1237" bestFit="1" customWidth="1"/>
    <col min="773" max="773" width="21.5546875" style="1237" bestFit="1" customWidth="1"/>
    <col min="774" max="774" width="20.5546875" style="1237" customWidth="1"/>
    <col min="775" max="775" width="20.44140625" style="1237" customWidth="1"/>
    <col min="776" max="776" width="16.44140625" style="1237" bestFit="1" customWidth="1"/>
    <col min="777" max="1024" width="11.44140625" style="1237"/>
    <col min="1025" max="1025" width="16.88671875" style="1237" customWidth="1"/>
    <col min="1026" max="1026" width="15.44140625" style="1237" bestFit="1" customWidth="1"/>
    <col min="1027" max="1027" width="18.109375" style="1237" bestFit="1" customWidth="1"/>
    <col min="1028" max="1028" width="16.5546875" style="1237" bestFit="1" customWidth="1"/>
    <col min="1029" max="1029" width="21.5546875" style="1237" bestFit="1" customWidth="1"/>
    <col min="1030" max="1030" width="20.5546875" style="1237" customWidth="1"/>
    <col min="1031" max="1031" width="20.44140625" style="1237" customWidth="1"/>
    <col min="1032" max="1032" width="16.44140625" style="1237" bestFit="1" customWidth="1"/>
    <col min="1033" max="1280" width="11.44140625" style="1237"/>
    <col min="1281" max="1281" width="16.88671875" style="1237" customWidth="1"/>
    <col min="1282" max="1282" width="15.44140625" style="1237" bestFit="1" customWidth="1"/>
    <col min="1283" max="1283" width="18.109375" style="1237" bestFit="1" customWidth="1"/>
    <col min="1284" max="1284" width="16.5546875" style="1237" bestFit="1" customWidth="1"/>
    <col min="1285" max="1285" width="21.5546875" style="1237" bestFit="1" customWidth="1"/>
    <col min="1286" max="1286" width="20.5546875" style="1237" customWidth="1"/>
    <col min="1287" max="1287" width="20.44140625" style="1237" customWidth="1"/>
    <col min="1288" max="1288" width="16.44140625" style="1237" bestFit="1" customWidth="1"/>
    <col min="1289" max="1536" width="11.44140625" style="1237"/>
    <col min="1537" max="1537" width="16.88671875" style="1237" customWidth="1"/>
    <col min="1538" max="1538" width="15.44140625" style="1237" bestFit="1" customWidth="1"/>
    <col min="1539" max="1539" width="18.109375" style="1237" bestFit="1" customWidth="1"/>
    <col min="1540" max="1540" width="16.5546875" style="1237" bestFit="1" customWidth="1"/>
    <col min="1541" max="1541" width="21.5546875" style="1237" bestFit="1" customWidth="1"/>
    <col min="1542" max="1542" width="20.5546875" style="1237" customWidth="1"/>
    <col min="1543" max="1543" width="20.44140625" style="1237" customWidth="1"/>
    <col min="1544" max="1544" width="16.44140625" style="1237" bestFit="1" customWidth="1"/>
    <col min="1545" max="1792" width="11.44140625" style="1237"/>
    <col min="1793" max="1793" width="16.88671875" style="1237" customWidth="1"/>
    <col min="1794" max="1794" width="15.44140625" style="1237" bestFit="1" customWidth="1"/>
    <col min="1795" max="1795" width="18.109375" style="1237" bestFit="1" customWidth="1"/>
    <col min="1796" max="1796" width="16.5546875" style="1237" bestFit="1" customWidth="1"/>
    <col min="1797" max="1797" width="21.5546875" style="1237" bestFit="1" customWidth="1"/>
    <col min="1798" max="1798" width="20.5546875" style="1237" customWidth="1"/>
    <col min="1799" max="1799" width="20.44140625" style="1237" customWidth="1"/>
    <col min="1800" max="1800" width="16.44140625" style="1237" bestFit="1" customWidth="1"/>
    <col min="1801" max="2048" width="11.44140625" style="1237"/>
    <col min="2049" max="2049" width="16.88671875" style="1237" customWidth="1"/>
    <col min="2050" max="2050" width="15.44140625" style="1237" bestFit="1" customWidth="1"/>
    <col min="2051" max="2051" width="18.109375" style="1237" bestFit="1" customWidth="1"/>
    <col min="2052" max="2052" width="16.5546875" style="1237" bestFit="1" customWidth="1"/>
    <col min="2053" max="2053" width="21.5546875" style="1237" bestFit="1" customWidth="1"/>
    <col min="2054" max="2054" width="20.5546875" style="1237" customWidth="1"/>
    <col min="2055" max="2055" width="20.44140625" style="1237" customWidth="1"/>
    <col min="2056" max="2056" width="16.44140625" style="1237" bestFit="1" customWidth="1"/>
    <col min="2057" max="2304" width="11.44140625" style="1237"/>
    <col min="2305" max="2305" width="16.88671875" style="1237" customWidth="1"/>
    <col min="2306" max="2306" width="15.44140625" style="1237" bestFit="1" customWidth="1"/>
    <col min="2307" max="2307" width="18.109375" style="1237" bestFit="1" customWidth="1"/>
    <col min="2308" max="2308" width="16.5546875" style="1237" bestFit="1" customWidth="1"/>
    <col min="2309" max="2309" width="21.5546875" style="1237" bestFit="1" customWidth="1"/>
    <col min="2310" max="2310" width="20.5546875" style="1237" customWidth="1"/>
    <col min="2311" max="2311" width="20.44140625" style="1237" customWidth="1"/>
    <col min="2312" max="2312" width="16.44140625" style="1237" bestFit="1" customWidth="1"/>
    <col min="2313" max="2560" width="11.44140625" style="1237"/>
    <col min="2561" max="2561" width="16.88671875" style="1237" customWidth="1"/>
    <col min="2562" max="2562" width="15.44140625" style="1237" bestFit="1" customWidth="1"/>
    <col min="2563" max="2563" width="18.109375" style="1237" bestFit="1" customWidth="1"/>
    <col min="2564" max="2564" width="16.5546875" style="1237" bestFit="1" customWidth="1"/>
    <col min="2565" max="2565" width="21.5546875" style="1237" bestFit="1" customWidth="1"/>
    <col min="2566" max="2566" width="20.5546875" style="1237" customWidth="1"/>
    <col min="2567" max="2567" width="20.44140625" style="1237" customWidth="1"/>
    <col min="2568" max="2568" width="16.44140625" style="1237" bestFit="1" customWidth="1"/>
    <col min="2569" max="2816" width="11.44140625" style="1237"/>
    <col min="2817" max="2817" width="16.88671875" style="1237" customWidth="1"/>
    <col min="2818" max="2818" width="15.44140625" style="1237" bestFit="1" customWidth="1"/>
    <col min="2819" max="2819" width="18.109375" style="1237" bestFit="1" customWidth="1"/>
    <col min="2820" max="2820" width="16.5546875" style="1237" bestFit="1" customWidth="1"/>
    <col min="2821" max="2821" width="21.5546875" style="1237" bestFit="1" customWidth="1"/>
    <col min="2822" max="2822" width="20.5546875" style="1237" customWidth="1"/>
    <col min="2823" max="2823" width="20.44140625" style="1237" customWidth="1"/>
    <col min="2824" max="2824" width="16.44140625" style="1237" bestFit="1" customWidth="1"/>
    <col min="2825" max="3072" width="11.44140625" style="1237"/>
    <col min="3073" max="3073" width="16.88671875" style="1237" customWidth="1"/>
    <col min="3074" max="3074" width="15.44140625" style="1237" bestFit="1" customWidth="1"/>
    <col min="3075" max="3075" width="18.109375" style="1237" bestFit="1" customWidth="1"/>
    <col min="3076" max="3076" width="16.5546875" style="1237" bestFit="1" customWidth="1"/>
    <col min="3077" max="3077" width="21.5546875" style="1237" bestFit="1" customWidth="1"/>
    <col min="3078" max="3078" width="20.5546875" style="1237" customWidth="1"/>
    <col min="3079" max="3079" width="20.44140625" style="1237" customWidth="1"/>
    <col min="3080" max="3080" width="16.44140625" style="1237" bestFit="1" customWidth="1"/>
    <col min="3081" max="3328" width="11.44140625" style="1237"/>
    <col min="3329" max="3329" width="16.88671875" style="1237" customWidth="1"/>
    <col min="3330" max="3330" width="15.44140625" style="1237" bestFit="1" customWidth="1"/>
    <col min="3331" max="3331" width="18.109375" style="1237" bestFit="1" customWidth="1"/>
    <col min="3332" max="3332" width="16.5546875" style="1237" bestFit="1" customWidth="1"/>
    <col min="3333" max="3333" width="21.5546875" style="1237" bestFit="1" customWidth="1"/>
    <col min="3334" max="3334" width="20.5546875" style="1237" customWidth="1"/>
    <col min="3335" max="3335" width="20.44140625" style="1237" customWidth="1"/>
    <col min="3336" max="3336" width="16.44140625" style="1237" bestFit="1" customWidth="1"/>
    <col min="3337" max="3584" width="11.44140625" style="1237"/>
    <col min="3585" max="3585" width="16.88671875" style="1237" customWidth="1"/>
    <col min="3586" max="3586" width="15.44140625" style="1237" bestFit="1" customWidth="1"/>
    <col min="3587" max="3587" width="18.109375" style="1237" bestFit="1" customWidth="1"/>
    <col min="3588" max="3588" width="16.5546875" style="1237" bestFit="1" customWidth="1"/>
    <col min="3589" max="3589" width="21.5546875" style="1237" bestFit="1" customWidth="1"/>
    <col min="3590" max="3590" width="20.5546875" style="1237" customWidth="1"/>
    <col min="3591" max="3591" width="20.44140625" style="1237" customWidth="1"/>
    <col min="3592" max="3592" width="16.44140625" style="1237" bestFit="1" customWidth="1"/>
    <col min="3593" max="3840" width="11.44140625" style="1237"/>
    <col min="3841" max="3841" width="16.88671875" style="1237" customWidth="1"/>
    <col min="3842" max="3842" width="15.44140625" style="1237" bestFit="1" customWidth="1"/>
    <col min="3843" max="3843" width="18.109375" style="1237" bestFit="1" customWidth="1"/>
    <col min="3844" max="3844" width="16.5546875" style="1237" bestFit="1" customWidth="1"/>
    <col min="3845" max="3845" width="21.5546875" style="1237" bestFit="1" customWidth="1"/>
    <col min="3846" max="3846" width="20.5546875" style="1237" customWidth="1"/>
    <col min="3847" max="3847" width="20.44140625" style="1237" customWidth="1"/>
    <col min="3848" max="3848" width="16.44140625" style="1237" bestFit="1" customWidth="1"/>
    <col min="3849" max="4096" width="11.44140625" style="1237"/>
    <col min="4097" max="4097" width="16.88671875" style="1237" customWidth="1"/>
    <col min="4098" max="4098" width="15.44140625" style="1237" bestFit="1" customWidth="1"/>
    <col min="4099" max="4099" width="18.109375" style="1237" bestFit="1" customWidth="1"/>
    <col min="4100" max="4100" width="16.5546875" style="1237" bestFit="1" customWidth="1"/>
    <col min="4101" max="4101" width="21.5546875" style="1237" bestFit="1" customWidth="1"/>
    <col min="4102" max="4102" width="20.5546875" style="1237" customWidth="1"/>
    <col min="4103" max="4103" width="20.44140625" style="1237" customWidth="1"/>
    <col min="4104" max="4104" width="16.44140625" style="1237" bestFit="1" customWidth="1"/>
    <col min="4105" max="4352" width="11.44140625" style="1237"/>
    <col min="4353" max="4353" width="16.88671875" style="1237" customWidth="1"/>
    <col min="4354" max="4354" width="15.44140625" style="1237" bestFit="1" customWidth="1"/>
    <col min="4355" max="4355" width="18.109375" style="1237" bestFit="1" customWidth="1"/>
    <col min="4356" max="4356" width="16.5546875" style="1237" bestFit="1" customWidth="1"/>
    <col min="4357" max="4357" width="21.5546875" style="1237" bestFit="1" customWidth="1"/>
    <col min="4358" max="4358" width="20.5546875" style="1237" customWidth="1"/>
    <col min="4359" max="4359" width="20.44140625" style="1237" customWidth="1"/>
    <col min="4360" max="4360" width="16.44140625" style="1237" bestFit="1" customWidth="1"/>
    <col min="4361" max="4608" width="11.44140625" style="1237"/>
    <col min="4609" max="4609" width="16.88671875" style="1237" customWidth="1"/>
    <col min="4610" max="4610" width="15.44140625" style="1237" bestFit="1" customWidth="1"/>
    <col min="4611" max="4611" width="18.109375" style="1237" bestFit="1" customWidth="1"/>
    <col min="4612" max="4612" width="16.5546875" style="1237" bestFit="1" customWidth="1"/>
    <col min="4613" max="4613" width="21.5546875" style="1237" bestFit="1" customWidth="1"/>
    <col min="4614" max="4614" width="20.5546875" style="1237" customWidth="1"/>
    <col min="4615" max="4615" width="20.44140625" style="1237" customWidth="1"/>
    <col min="4616" max="4616" width="16.44140625" style="1237" bestFit="1" customWidth="1"/>
    <col min="4617" max="4864" width="11.44140625" style="1237"/>
    <col min="4865" max="4865" width="16.88671875" style="1237" customWidth="1"/>
    <col min="4866" max="4866" width="15.44140625" style="1237" bestFit="1" customWidth="1"/>
    <col min="4867" max="4867" width="18.109375" style="1237" bestFit="1" customWidth="1"/>
    <col min="4868" max="4868" width="16.5546875" style="1237" bestFit="1" customWidth="1"/>
    <col min="4869" max="4869" width="21.5546875" style="1237" bestFit="1" customWidth="1"/>
    <col min="4870" max="4870" width="20.5546875" style="1237" customWidth="1"/>
    <col min="4871" max="4871" width="20.44140625" style="1237" customWidth="1"/>
    <col min="4872" max="4872" width="16.44140625" style="1237" bestFit="1" customWidth="1"/>
    <col min="4873" max="5120" width="11.44140625" style="1237"/>
    <col min="5121" max="5121" width="16.88671875" style="1237" customWidth="1"/>
    <col min="5122" max="5122" width="15.44140625" style="1237" bestFit="1" customWidth="1"/>
    <col min="5123" max="5123" width="18.109375" style="1237" bestFit="1" customWidth="1"/>
    <col min="5124" max="5124" width="16.5546875" style="1237" bestFit="1" customWidth="1"/>
    <col min="5125" max="5125" width="21.5546875" style="1237" bestFit="1" customWidth="1"/>
    <col min="5126" max="5126" width="20.5546875" style="1237" customWidth="1"/>
    <col min="5127" max="5127" width="20.44140625" style="1237" customWidth="1"/>
    <col min="5128" max="5128" width="16.44140625" style="1237" bestFit="1" customWidth="1"/>
    <col min="5129" max="5376" width="11.44140625" style="1237"/>
    <col min="5377" max="5377" width="16.88671875" style="1237" customWidth="1"/>
    <col min="5378" max="5378" width="15.44140625" style="1237" bestFit="1" customWidth="1"/>
    <col min="5379" max="5379" width="18.109375" style="1237" bestFit="1" customWidth="1"/>
    <col min="5380" max="5380" width="16.5546875" style="1237" bestFit="1" customWidth="1"/>
    <col min="5381" max="5381" width="21.5546875" style="1237" bestFit="1" customWidth="1"/>
    <col min="5382" max="5382" width="20.5546875" style="1237" customWidth="1"/>
    <col min="5383" max="5383" width="20.44140625" style="1237" customWidth="1"/>
    <col min="5384" max="5384" width="16.44140625" style="1237" bestFit="1" customWidth="1"/>
    <col min="5385" max="5632" width="11.44140625" style="1237"/>
    <col min="5633" max="5633" width="16.88671875" style="1237" customWidth="1"/>
    <col min="5634" max="5634" width="15.44140625" style="1237" bestFit="1" customWidth="1"/>
    <col min="5635" max="5635" width="18.109375" style="1237" bestFit="1" customWidth="1"/>
    <col min="5636" max="5636" width="16.5546875" style="1237" bestFit="1" customWidth="1"/>
    <col min="5637" max="5637" width="21.5546875" style="1237" bestFit="1" customWidth="1"/>
    <col min="5638" max="5638" width="20.5546875" style="1237" customWidth="1"/>
    <col min="5639" max="5639" width="20.44140625" style="1237" customWidth="1"/>
    <col min="5640" max="5640" width="16.44140625" style="1237" bestFit="1" customWidth="1"/>
    <col min="5641" max="5888" width="11.44140625" style="1237"/>
    <col min="5889" max="5889" width="16.88671875" style="1237" customWidth="1"/>
    <col min="5890" max="5890" width="15.44140625" style="1237" bestFit="1" customWidth="1"/>
    <col min="5891" max="5891" width="18.109375" style="1237" bestFit="1" customWidth="1"/>
    <col min="5892" max="5892" width="16.5546875" style="1237" bestFit="1" customWidth="1"/>
    <col min="5893" max="5893" width="21.5546875" style="1237" bestFit="1" customWidth="1"/>
    <col min="5894" max="5894" width="20.5546875" style="1237" customWidth="1"/>
    <col min="5895" max="5895" width="20.44140625" style="1237" customWidth="1"/>
    <col min="5896" max="5896" width="16.44140625" style="1237" bestFit="1" customWidth="1"/>
    <col min="5897" max="6144" width="11.44140625" style="1237"/>
    <col min="6145" max="6145" width="16.88671875" style="1237" customWidth="1"/>
    <col min="6146" max="6146" width="15.44140625" style="1237" bestFit="1" customWidth="1"/>
    <col min="6147" max="6147" width="18.109375" style="1237" bestFit="1" customWidth="1"/>
    <col min="6148" max="6148" width="16.5546875" style="1237" bestFit="1" customWidth="1"/>
    <col min="6149" max="6149" width="21.5546875" style="1237" bestFit="1" customWidth="1"/>
    <col min="6150" max="6150" width="20.5546875" style="1237" customWidth="1"/>
    <col min="6151" max="6151" width="20.44140625" style="1237" customWidth="1"/>
    <col min="6152" max="6152" width="16.44140625" style="1237" bestFit="1" customWidth="1"/>
    <col min="6153" max="6400" width="11.44140625" style="1237"/>
    <col min="6401" max="6401" width="16.88671875" style="1237" customWidth="1"/>
    <col min="6402" max="6402" width="15.44140625" style="1237" bestFit="1" customWidth="1"/>
    <col min="6403" max="6403" width="18.109375" style="1237" bestFit="1" customWidth="1"/>
    <col min="6404" max="6404" width="16.5546875" style="1237" bestFit="1" customWidth="1"/>
    <col min="6405" max="6405" width="21.5546875" style="1237" bestFit="1" customWidth="1"/>
    <col min="6406" max="6406" width="20.5546875" style="1237" customWidth="1"/>
    <col min="6407" max="6407" width="20.44140625" style="1237" customWidth="1"/>
    <col min="6408" max="6408" width="16.44140625" style="1237" bestFit="1" customWidth="1"/>
    <col min="6409" max="6656" width="11.44140625" style="1237"/>
    <col min="6657" max="6657" width="16.88671875" style="1237" customWidth="1"/>
    <col min="6658" max="6658" width="15.44140625" style="1237" bestFit="1" customWidth="1"/>
    <col min="6659" max="6659" width="18.109375" style="1237" bestFit="1" customWidth="1"/>
    <col min="6660" max="6660" width="16.5546875" style="1237" bestFit="1" customWidth="1"/>
    <col min="6661" max="6661" width="21.5546875" style="1237" bestFit="1" customWidth="1"/>
    <col min="6662" max="6662" width="20.5546875" style="1237" customWidth="1"/>
    <col min="6663" max="6663" width="20.44140625" style="1237" customWidth="1"/>
    <col min="6664" max="6664" width="16.44140625" style="1237" bestFit="1" customWidth="1"/>
    <col min="6665" max="6912" width="11.44140625" style="1237"/>
    <col min="6913" max="6913" width="16.88671875" style="1237" customWidth="1"/>
    <col min="6914" max="6914" width="15.44140625" style="1237" bestFit="1" customWidth="1"/>
    <col min="6915" max="6915" width="18.109375" style="1237" bestFit="1" customWidth="1"/>
    <col min="6916" max="6916" width="16.5546875" style="1237" bestFit="1" customWidth="1"/>
    <col min="6917" max="6917" width="21.5546875" style="1237" bestFit="1" customWidth="1"/>
    <col min="6918" max="6918" width="20.5546875" style="1237" customWidth="1"/>
    <col min="6919" max="6919" width="20.44140625" style="1237" customWidth="1"/>
    <col min="6920" max="6920" width="16.44140625" style="1237" bestFit="1" customWidth="1"/>
    <col min="6921" max="7168" width="11.44140625" style="1237"/>
    <col min="7169" max="7169" width="16.88671875" style="1237" customWidth="1"/>
    <col min="7170" max="7170" width="15.44140625" style="1237" bestFit="1" customWidth="1"/>
    <col min="7171" max="7171" width="18.109375" style="1237" bestFit="1" customWidth="1"/>
    <col min="7172" max="7172" width="16.5546875" style="1237" bestFit="1" customWidth="1"/>
    <col min="7173" max="7173" width="21.5546875" style="1237" bestFit="1" customWidth="1"/>
    <col min="7174" max="7174" width="20.5546875" style="1237" customWidth="1"/>
    <col min="7175" max="7175" width="20.44140625" style="1237" customWidth="1"/>
    <col min="7176" max="7176" width="16.44140625" style="1237" bestFit="1" customWidth="1"/>
    <col min="7177" max="7424" width="11.44140625" style="1237"/>
    <col min="7425" max="7425" width="16.88671875" style="1237" customWidth="1"/>
    <col min="7426" max="7426" width="15.44140625" style="1237" bestFit="1" customWidth="1"/>
    <col min="7427" max="7427" width="18.109375" style="1237" bestFit="1" customWidth="1"/>
    <col min="7428" max="7428" width="16.5546875" style="1237" bestFit="1" customWidth="1"/>
    <col min="7429" max="7429" width="21.5546875" style="1237" bestFit="1" customWidth="1"/>
    <col min="7430" max="7430" width="20.5546875" style="1237" customWidth="1"/>
    <col min="7431" max="7431" width="20.44140625" style="1237" customWidth="1"/>
    <col min="7432" max="7432" width="16.44140625" style="1237" bestFit="1" customWidth="1"/>
    <col min="7433" max="7680" width="11.44140625" style="1237"/>
    <col min="7681" max="7681" width="16.88671875" style="1237" customWidth="1"/>
    <col min="7682" max="7682" width="15.44140625" style="1237" bestFit="1" customWidth="1"/>
    <col min="7683" max="7683" width="18.109375" style="1237" bestFit="1" customWidth="1"/>
    <col min="7684" max="7684" width="16.5546875" style="1237" bestFit="1" customWidth="1"/>
    <col min="7685" max="7685" width="21.5546875" style="1237" bestFit="1" customWidth="1"/>
    <col min="7686" max="7686" width="20.5546875" style="1237" customWidth="1"/>
    <col min="7687" max="7687" width="20.44140625" style="1237" customWidth="1"/>
    <col min="7688" max="7688" width="16.44140625" style="1237" bestFit="1" customWidth="1"/>
    <col min="7689" max="7936" width="11.44140625" style="1237"/>
    <col min="7937" max="7937" width="16.88671875" style="1237" customWidth="1"/>
    <col min="7938" max="7938" width="15.44140625" style="1237" bestFit="1" customWidth="1"/>
    <col min="7939" max="7939" width="18.109375" style="1237" bestFit="1" customWidth="1"/>
    <col min="7940" max="7940" width="16.5546875" style="1237" bestFit="1" customWidth="1"/>
    <col min="7941" max="7941" width="21.5546875" style="1237" bestFit="1" customWidth="1"/>
    <col min="7942" max="7942" width="20.5546875" style="1237" customWidth="1"/>
    <col min="7943" max="7943" width="20.44140625" style="1237" customWidth="1"/>
    <col min="7944" max="7944" width="16.44140625" style="1237" bestFit="1" customWidth="1"/>
    <col min="7945" max="8192" width="11.44140625" style="1237"/>
    <col min="8193" max="8193" width="16.88671875" style="1237" customWidth="1"/>
    <col min="8194" max="8194" width="15.44140625" style="1237" bestFit="1" customWidth="1"/>
    <col min="8195" max="8195" width="18.109375" style="1237" bestFit="1" customWidth="1"/>
    <col min="8196" max="8196" width="16.5546875" style="1237" bestFit="1" customWidth="1"/>
    <col min="8197" max="8197" width="21.5546875" style="1237" bestFit="1" customWidth="1"/>
    <col min="8198" max="8198" width="20.5546875" style="1237" customWidth="1"/>
    <col min="8199" max="8199" width="20.44140625" style="1237" customWidth="1"/>
    <col min="8200" max="8200" width="16.44140625" style="1237" bestFit="1" customWidth="1"/>
    <col min="8201" max="8448" width="11.44140625" style="1237"/>
    <col min="8449" max="8449" width="16.88671875" style="1237" customWidth="1"/>
    <col min="8450" max="8450" width="15.44140625" style="1237" bestFit="1" customWidth="1"/>
    <col min="8451" max="8451" width="18.109375" style="1237" bestFit="1" customWidth="1"/>
    <col min="8452" max="8452" width="16.5546875" style="1237" bestFit="1" customWidth="1"/>
    <col min="8453" max="8453" width="21.5546875" style="1237" bestFit="1" customWidth="1"/>
    <col min="8454" max="8454" width="20.5546875" style="1237" customWidth="1"/>
    <col min="8455" max="8455" width="20.44140625" style="1237" customWidth="1"/>
    <col min="8456" max="8456" width="16.44140625" style="1237" bestFit="1" customWidth="1"/>
    <col min="8457" max="8704" width="11.44140625" style="1237"/>
    <col min="8705" max="8705" width="16.88671875" style="1237" customWidth="1"/>
    <col min="8706" max="8706" width="15.44140625" style="1237" bestFit="1" customWidth="1"/>
    <col min="8707" max="8707" width="18.109375" style="1237" bestFit="1" customWidth="1"/>
    <col min="8708" max="8708" width="16.5546875" style="1237" bestFit="1" customWidth="1"/>
    <col min="8709" max="8709" width="21.5546875" style="1237" bestFit="1" customWidth="1"/>
    <col min="8710" max="8710" width="20.5546875" style="1237" customWidth="1"/>
    <col min="8711" max="8711" width="20.44140625" style="1237" customWidth="1"/>
    <col min="8712" max="8712" width="16.44140625" style="1237" bestFit="1" customWidth="1"/>
    <col min="8713" max="8960" width="11.44140625" style="1237"/>
    <col min="8961" max="8961" width="16.88671875" style="1237" customWidth="1"/>
    <col min="8962" max="8962" width="15.44140625" style="1237" bestFit="1" customWidth="1"/>
    <col min="8963" max="8963" width="18.109375" style="1237" bestFit="1" customWidth="1"/>
    <col min="8964" max="8964" width="16.5546875" style="1237" bestFit="1" customWidth="1"/>
    <col min="8965" max="8965" width="21.5546875" style="1237" bestFit="1" customWidth="1"/>
    <col min="8966" max="8966" width="20.5546875" style="1237" customWidth="1"/>
    <col min="8967" max="8967" width="20.44140625" style="1237" customWidth="1"/>
    <col min="8968" max="8968" width="16.44140625" style="1237" bestFit="1" customWidth="1"/>
    <col min="8969" max="9216" width="11.44140625" style="1237"/>
    <col min="9217" max="9217" width="16.88671875" style="1237" customWidth="1"/>
    <col min="9218" max="9218" width="15.44140625" style="1237" bestFit="1" customWidth="1"/>
    <col min="9219" max="9219" width="18.109375" style="1237" bestFit="1" customWidth="1"/>
    <col min="9220" max="9220" width="16.5546875" style="1237" bestFit="1" customWidth="1"/>
    <col min="9221" max="9221" width="21.5546875" style="1237" bestFit="1" customWidth="1"/>
    <col min="9222" max="9222" width="20.5546875" style="1237" customWidth="1"/>
    <col min="9223" max="9223" width="20.44140625" style="1237" customWidth="1"/>
    <col min="9224" max="9224" width="16.44140625" style="1237" bestFit="1" customWidth="1"/>
    <col min="9225" max="9472" width="11.44140625" style="1237"/>
    <col min="9473" max="9473" width="16.88671875" style="1237" customWidth="1"/>
    <col min="9474" max="9474" width="15.44140625" style="1237" bestFit="1" customWidth="1"/>
    <col min="9475" max="9475" width="18.109375" style="1237" bestFit="1" customWidth="1"/>
    <col min="9476" max="9476" width="16.5546875" style="1237" bestFit="1" customWidth="1"/>
    <col min="9477" max="9477" width="21.5546875" style="1237" bestFit="1" customWidth="1"/>
    <col min="9478" max="9478" width="20.5546875" style="1237" customWidth="1"/>
    <col min="9479" max="9479" width="20.44140625" style="1237" customWidth="1"/>
    <col min="9480" max="9480" width="16.44140625" style="1237" bestFit="1" customWidth="1"/>
    <col min="9481" max="9728" width="11.44140625" style="1237"/>
    <col min="9729" max="9729" width="16.88671875" style="1237" customWidth="1"/>
    <col min="9730" max="9730" width="15.44140625" style="1237" bestFit="1" customWidth="1"/>
    <col min="9731" max="9731" width="18.109375" style="1237" bestFit="1" customWidth="1"/>
    <col min="9732" max="9732" width="16.5546875" style="1237" bestFit="1" customWidth="1"/>
    <col min="9733" max="9733" width="21.5546875" style="1237" bestFit="1" customWidth="1"/>
    <col min="9734" max="9734" width="20.5546875" style="1237" customWidth="1"/>
    <col min="9735" max="9735" width="20.44140625" style="1237" customWidth="1"/>
    <col min="9736" max="9736" width="16.44140625" style="1237" bestFit="1" customWidth="1"/>
    <col min="9737" max="9984" width="11.44140625" style="1237"/>
    <col min="9985" max="9985" width="16.88671875" style="1237" customWidth="1"/>
    <col min="9986" max="9986" width="15.44140625" style="1237" bestFit="1" customWidth="1"/>
    <col min="9987" max="9987" width="18.109375" style="1237" bestFit="1" customWidth="1"/>
    <col min="9988" max="9988" width="16.5546875" style="1237" bestFit="1" customWidth="1"/>
    <col min="9989" max="9989" width="21.5546875" style="1237" bestFit="1" customWidth="1"/>
    <col min="9990" max="9990" width="20.5546875" style="1237" customWidth="1"/>
    <col min="9991" max="9991" width="20.44140625" style="1237" customWidth="1"/>
    <col min="9992" max="9992" width="16.44140625" style="1237" bestFit="1" customWidth="1"/>
    <col min="9993" max="10240" width="11.44140625" style="1237"/>
    <col min="10241" max="10241" width="16.88671875" style="1237" customWidth="1"/>
    <col min="10242" max="10242" width="15.44140625" style="1237" bestFit="1" customWidth="1"/>
    <col min="10243" max="10243" width="18.109375" style="1237" bestFit="1" customWidth="1"/>
    <col min="10244" max="10244" width="16.5546875" style="1237" bestFit="1" customWidth="1"/>
    <col min="10245" max="10245" width="21.5546875" style="1237" bestFit="1" customWidth="1"/>
    <col min="10246" max="10246" width="20.5546875" style="1237" customWidth="1"/>
    <col min="10247" max="10247" width="20.44140625" style="1237" customWidth="1"/>
    <col min="10248" max="10248" width="16.44140625" style="1237" bestFit="1" customWidth="1"/>
    <col min="10249" max="10496" width="11.44140625" style="1237"/>
    <col min="10497" max="10497" width="16.88671875" style="1237" customWidth="1"/>
    <col min="10498" max="10498" width="15.44140625" style="1237" bestFit="1" customWidth="1"/>
    <col min="10499" max="10499" width="18.109375" style="1237" bestFit="1" customWidth="1"/>
    <col min="10500" max="10500" width="16.5546875" style="1237" bestFit="1" customWidth="1"/>
    <col min="10501" max="10501" width="21.5546875" style="1237" bestFit="1" customWidth="1"/>
    <col min="10502" max="10502" width="20.5546875" style="1237" customWidth="1"/>
    <col min="10503" max="10503" width="20.44140625" style="1237" customWidth="1"/>
    <col min="10504" max="10504" width="16.44140625" style="1237" bestFit="1" customWidth="1"/>
    <col min="10505" max="10752" width="11.44140625" style="1237"/>
    <col min="10753" max="10753" width="16.88671875" style="1237" customWidth="1"/>
    <col min="10754" max="10754" width="15.44140625" style="1237" bestFit="1" customWidth="1"/>
    <col min="10755" max="10755" width="18.109375" style="1237" bestFit="1" customWidth="1"/>
    <col min="10756" max="10756" width="16.5546875" style="1237" bestFit="1" customWidth="1"/>
    <col min="10757" max="10757" width="21.5546875" style="1237" bestFit="1" customWidth="1"/>
    <col min="10758" max="10758" width="20.5546875" style="1237" customWidth="1"/>
    <col min="10759" max="10759" width="20.44140625" style="1237" customWidth="1"/>
    <col min="10760" max="10760" width="16.44140625" style="1237" bestFit="1" customWidth="1"/>
    <col min="10761" max="11008" width="11.44140625" style="1237"/>
    <col min="11009" max="11009" width="16.88671875" style="1237" customWidth="1"/>
    <col min="11010" max="11010" width="15.44140625" style="1237" bestFit="1" customWidth="1"/>
    <col min="11011" max="11011" width="18.109375" style="1237" bestFit="1" customWidth="1"/>
    <col min="11012" max="11012" width="16.5546875" style="1237" bestFit="1" customWidth="1"/>
    <col min="11013" max="11013" width="21.5546875" style="1237" bestFit="1" customWidth="1"/>
    <col min="11014" max="11014" width="20.5546875" style="1237" customWidth="1"/>
    <col min="11015" max="11015" width="20.44140625" style="1237" customWidth="1"/>
    <col min="11016" max="11016" width="16.44140625" style="1237" bestFit="1" customWidth="1"/>
    <col min="11017" max="11264" width="11.44140625" style="1237"/>
    <col min="11265" max="11265" width="16.88671875" style="1237" customWidth="1"/>
    <col min="11266" max="11266" width="15.44140625" style="1237" bestFit="1" customWidth="1"/>
    <col min="11267" max="11267" width="18.109375" style="1237" bestFit="1" customWidth="1"/>
    <col min="11268" max="11268" width="16.5546875" style="1237" bestFit="1" customWidth="1"/>
    <col min="11269" max="11269" width="21.5546875" style="1237" bestFit="1" customWidth="1"/>
    <col min="11270" max="11270" width="20.5546875" style="1237" customWidth="1"/>
    <col min="11271" max="11271" width="20.44140625" style="1237" customWidth="1"/>
    <col min="11272" max="11272" width="16.44140625" style="1237" bestFit="1" customWidth="1"/>
    <col min="11273" max="11520" width="11.44140625" style="1237"/>
    <col min="11521" max="11521" width="16.88671875" style="1237" customWidth="1"/>
    <col min="11522" max="11522" width="15.44140625" style="1237" bestFit="1" customWidth="1"/>
    <col min="11523" max="11523" width="18.109375" style="1237" bestFit="1" customWidth="1"/>
    <col min="11524" max="11524" width="16.5546875" style="1237" bestFit="1" customWidth="1"/>
    <col min="11525" max="11525" width="21.5546875" style="1237" bestFit="1" customWidth="1"/>
    <col min="11526" max="11526" width="20.5546875" style="1237" customWidth="1"/>
    <col min="11527" max="11527" width="20.44140625" style="1237" customWidth="1"/>
    <col min="11528" max="11528" width="16.44140625" style="1237" bestFit="1" customWidth="1"/>
    <col min="11529" max="11776" width="11.44140625" style="1237"/>
    <col min="11777" max="11777" width="16.88671875" style="1237" customWidth="1"/>
    <col min="11778" max="11778" width="15.44140625" style="1237" bestFit="1" customWidth="1"/>
    <col min="11779" max="11779" width="18.109375" style="1237" bestFit="1" customWidth="1"/>
    <col min="11780" max="11780" width="16.5546875" style="1237" bestFit="1" customWidth="1"/>
    <col min="11781" max="11781" width="21.5546875" style="1237" bestFit="1" customWidth="1"/>
    <col min="11782" max="11782" width="20.5546875" style="1237" customWidth="1"/>
    <col min="11783" max="11783" width="20.44140625" style="1237" customWidth="1"/>
    <col min="11784" max="11784" width="16.44140625" style="1237" bestFit="1" customWidth="1"/>
    <col min="11785" max="12032" width="11.44140625" style="1237"/>
    <col min="12033" max="12033" width="16.88671875" style="1237" customWidth="1"/>
    <col min="12034" max="12034" width="15.44140625" style="1237" bestFit="1" customWidth="1"/>
    <col min="12035" max="12035" width="18.109375" style="1237" bestFit="1" customWidth="1"/>
    <col min="12036" max="12036" width="16.5546875" style="1237" bestFit="1" customWidth="1"/>
    <col min="12037" max="12037" width="21.5546875" style="1237" bestFit="1" customWidth="1"/>
    <col min="12038" max="12038" width="20.5546875" style="1237" customWidth="1"/>
    <col min="12039" max="12039" width="20.44140625" style="1237" customWidth="1"/>
    <col min="12040" max="12040" width="16.44140625" style="1237" bestFit="1" customWidth="1"/>
    <col min="12041" max="12288" width="11.44140625" style="1237"/>
    <col min="12289" max="12289" width="16.88671875" style="1237" customWidth="1"/>
    <col min="12290" max="12290" width="15.44140625" style="1237" bestFit="1" customWidth="1"/>
    <col min="12291" max="12291" width="18.109375" style="1237" bestFit="1" customWidth="1"/>
    <col min="12292" max="12292" width="16.5546875" style="1237" bestFit="1" customWidth="1"/>
    <col min="12293" max="12293" width="21.5546875" style="1237" bestFit="1" customWidth="1"/>
    <col min="12294" max="12294" width="20.5546875" style="1237" customWidth="1"/>
    <col min="12295" max="12295" width="20.44140625" style="1237" customWidth="1"/>
    <col min="12296" max="12296" width="16.44140625" style="1237" bestFit="1" customWidth="1"/>
    <col min="12297" max="12544" width="11.44140625" style="1237"/>
    <col min="12545" max="12545" width="16.88671875" style="1237" customWidth="1"/>
    <col min="12546" max="12546" width="15.44140625" style="1237" bestFit="1" customWidth="1"/>
    <col min="12547" max="12547" width="18.109375" style="1237" bestFit="1" customWidth="1"/>
    <col min="12548" max="12548" width="16.5546875" style="1237" bestFit="1" customWidth="1"/>
    <col min="12549" max="12549" width="21.5546875" style="1237" bestFit="1" customWidth="1"/>
    <col min="12550" max="12550" width="20.5546875" style="1237" customWidth="1"/>
    <col min="12551" max="12551" width="20.44140625" style="1237" customWidth="1"/>
    <col min="12552" max="12552" width="16.44140625" style="1237" bestFit="1" customWidth="1"/>
    <col min="12553" max="12800" width="11.44140625" style="1237"/>
    <col min="12801" max="12801" width="16.88671875" style="1237" customWidth="1"/>
    <col min="12802" max="12802" width="15.44140625" style="1237" bestFit="1" customWidth="1"/>
    <col min="12803" max="12803" width="18.109375" style="1237" bestFit="1" customWidth="1"/>
    <col min="12804" max="12804" width="16.5546875" style="1237" bestFit="1" customWidth="1"/>
    <col min="12805" max="12805" width="21.5546875" style="1237" bestFit="1" customWidth="1"/>
    <col min="12806" max="12806" width="20.5546875" style="1237" customWidth="1"/>
    <col min="12807" max="12807" width="20.44140625" style="1237" customWidth="1"/>
    <col min="12808" max="12808" width="16.44140625" style="1237" bestFit="1" customWidth="1"/>
    <col min="12809" max="13056" width="11.44140625" style="1237"/>
    <col min="13057" max="13057" width="16.88671875" style="1237" customWidth="1"/>
    <col min="13058" max="13058" width="15.44140625" style="1237" bestFit="1" customWidth="1"/>
    <col min="13059" max="13059" width="18.109375" style="1237" bestFit="1" customWidth="1"/>
    <col min="13060" max="13060" width="16.5546875" style="1237" bestFit="1" customWidth="1"/>
    <col min="13061" max="13061" width="21.5546875" style="1237" bestFit="1" customWidth="1"/>
    <col min="13062" max="13062" width="20.5546875" style="1237" customWidth="1"/>
    <col min="13063" max="13063" width="20.44140625" style="1237" customWidth="1"/>
    <col min="13064" max="13064" width="16.44140625" style="1237" bestFit="1" customWidth="1"/>
    <col min="13065" max="13312" width="11.44140625" style="1237"/>
    <col min="13313" max="13313" width="16.88671875" style="1237" customWidth="1"/>
    <col min="13314" max="13314" width="15.44140625" style="1237" bestFit="1" customWidth="1"/>
    <col min="13315" max="13315" width="18.109375" style="1237" bestFit="1" customWidth="1"/>
    <col min="13316" max="13316" width="16.5546875" style="1237" bestFit="1" customWidth="1"/>
    <col min="13317" max="13317" width="21.5546875" style="1237" bestFit="1" customWidth="1"/>
    <col min="13318" max="13318" width="20.5546875" style="1237" customWidth="1"/>
    <col min="13319" max="13319" width="20.44140625" style="1237" customWidth="1"/>
    <col min="13320" max="13320" width="16.44140625" style="1237" bestFit="1" customWidth="1"/>
    <col min="13321" max="13568" width="11.44140625" style="1237"/>
    <col min="13569" max="13569" width="16.88671875" style="1237" customWidth="1"/>
    <col min="13570" max="13570" width="15.44140625" style="1237" bestFit="1" customWidth="1"/>
    <col min="13571" max="13571" width="18.109375" style="1237" bestFit="1" customWidth="1"/>
    <col min="13572" max="13572" width="16.5546875" style="1237" bestFit="1" customWidth="1"/>
    <col min="13573" max="13573" width="21.5546875" style="1237" bestFit="1" customWidth="1"/>
    <col min="13574" max="13574" width="20.5546875" style="1237" customWidth="1"/>
    <col min="13575" max="13575" width="20.44140625" style="1237" customWidth="1"/>
    <col min="13576" max="13576" width="16.44140625" style="1237" bestFit="1" customWidth="1"/>
    <col min="13577" max="13824" width="11.44140625" style="1237"/>
    <col min="13825" max="13825" width="16.88671875" style="1237" customWidth="1"/>
    <col min="13826" max="13826" width="15.44140625" style="1237" bestFit="1" customWidth="1"/>
    <col min="13827" max="13827" width="18.109375" style="1237" bestFit="1" customWidth="1"/>
    <col min="13828" max="13828" width="16.5546875" style="1237" bestFit="1" customWidth="1"/>
    <col min="13829" max="13829" width="21.5546875" style="1237" bestFit="1" customWidth="1"/>
    <col min="13830" max="13830" width="20.5546875" style="1237" customWidth="1"/>
    <col min="13831" max="13831" width="20.44140625" style="1237" customWidth="1"/>
    <col min="13832" max="13832" width="16.44140625" style="1237" bestFit="1" customWidth="1"/>
    <col min="13833" max="14080" width="11.44140625" style="1237"/>
    <col min="14081" max="14081" width="16.88671875" style="1237" customWidth="1"/>
    <col min="14082" max="14082" width="15.44140625" style="1237" bestFit="1" customWidth="1"/>
    <col min="14083" max="14083" width="18.109375" style="1237" bestFit="1" customWidth="1"/>
    <col min="14084" max="14084" width="16.5546875" style="1237" bestFit="1" customWidth="1"/>
    <col min="14085" max="14085" width="21.5546875" style="1237" bestFit="1" customWidth="1"/>
    <col min="14086" max="14086" width="20.5546875" style="1237" customWidth="1"/>
    <col min="14087" max="14087" width="20.44140625" style="1237" customWidth="1"/>
    <col min="14088" max="14088" width="16.44140625" style="1237" bestFit="1" customWidth="1"/>
    <col min="14089" max="14336" width="11.44140625" style="1237"/>
    <col min="14337" max="14337" width="16.88671875" style="1237" customWidth="1"/>
    <col min="14338" max="14338" width="15.44140625" style="1237" bestFit="1" customWidth="1"/>
    <col min="14339" max="14339" width="18.109375" style="1237" bestFit="1" customWidth="1"/>
    <col min="14340" max="14340" width="16.5546875" style="1237" bestFit="1" customWidth="1"/>
    <col min="14341" max="14341" width="21.5546875" style="1237" bestFit="1" customWidth="1"/>
    <col min="14342" max="14342" width="20.5546875" style="1237" customWidth="1"/>
    <col min="14343" max="14343" width="20.44140625" style="1237" customWidth="1"/>
    <col min="14344" max="14344" width="16.44140625" style="1237" bestFit="1" customWidth="1"/>
    <col min="14345" max="14592" width="11.44140625" style="1237"/>
    <col min="14593" max="14593" width="16.88671875" style="1237" customWidth="1"/>
    <col min="14594" max="14594" width="15.44140625" style="1237" bestFit="1" customWidth="1"/>
    <col min="14595" max="14595" width="18.109375" style="1237" bestFit="1" customWidth="1"/>
    <col min="14596" max="14596" width="16.5546875" style="1237" bestFit="1" customWidth="1"/>
    <col min="14597" max="14597" width="21.5546875" style="1237" bestFit="1" customWidth="1"/>
    <col min="14598" max="14598" width="20.5546875" style="1237" customWidth="1"/>
    <col min="14599" max="14599" width="20.44140625" style="1237" customWidth="1"/>
    <col min="14600" max="14600" width="16.44140625" style="1237" bestFit="1" customWidth="1"/>
    <col min="14601" max="14848" width="11.44140625" style="1237"/>
    <col min="14849" max="14849" width="16.88671875" style="1237" customWidth="1"/>
    <col min="14850" max="14850" width="15.44140625" style="1237" bestFit="1" customWidth="1"/>
    <col min="14851" max="14851" width="18.109375" style="1237" bestFit="1" customWidth="1"/>
    <col min="14852" max="14852" width="16.5546875" style="1237" bestFit="1" customWidth="1"/>
    <col min="14853" max="14853" width="21.5546875" style="1237" bestFit="1" customWidth="1"/>
    <col min="14854" max="14854" width="20.5546875" style="1237" customWidth="1"/>
    <col min="14855" max="14855" width="20.44140625" style="1237" customWidth="1"/>
    <col min="14856" max="14856" width="16.44140625" style="1237" bestFit="1" customWidth="1"/>
    <col min="14857" max="15104" width="11.44140625" style="1237"/>
    <col min="15105" max="15105" width="16.88671875" style="1237" customWidth="1"/>
    <col min="15106" max="15106" width="15.44140625" style="1237" bestFit="1" customWidth="1"/>
    <col min="15107" max="15107" width="18.109375" style="1237" bestFit="1" customWidth="1"/>
    <col min="15108" max="15108" width="16.5546875" style="1237" bestFit="1" customWidth="1"/>
    <col min="15109" max="15109" width="21.5546875" style="1237" bestFit="1" customWidth="1"/>
    <col min="15110" max="15110" width="20.5546875" style="1237" customWidth="1"/>
    <col min="15111" max="15111" width="20.44140625" style="1237" customWidth="1"/>
    <col min="15112" max="15112" width="16.44140625" style="1237" bestFit="1" customWidth="1"/>
    <col min="15113" max="15360" width="11.44140625" style="1237"/>
    <col min="15361" max="15361" width="16.88671875" style="1237" customWidth="1"/>
    <col min="15362" max="15362" width="15.44140625" style="1237" bestFit="1" customWidth="1"/>
    <col min="15363" max="15363" width="18.109375" style="1237" bestFit="1" customWidth="1"/>
    <col min="15364" max="15364" width="16.5546875" style="1237" bestFit="1" customWidth="1"/>
    <col min="15365" max="15365" width="21.5546875" style="1237" bestFit="1" customWidth="1"/>
    <col min="15366" max="15366" width="20.5546875" style="1237" customWidth="1"/>
    <col min="15367" max="15367" width="20.44140625" style="1237" customWidth="1"/>
    <col min="15368" max="15368" width="16.44140625" style="1237" bestFit="1" customWidth="1"/>
    <col min="15369" max="15616" width="11.44140625" style="1237"/>
    <col min="15617" max="15617" width="16.88671875" style="1237" customWidth="1"/>
    <col min="15618" max="15618" width="15.44140625" style="1237" bestFit="1" customWidth="1"/>
    <col min="15619" max="15619" width="18.109375" style="1237" bestFit="1" customWidth="1"/>
    <col min="15620" max="15620" width="16.5546875" style="1237" bestFit="1" customWidth="1"/>
    <col min="15621" max="15621" width="21.5546875" style="1237" bestFit="1" customWidth="1"/>
    <col min="15622" max="15622" width="20.5546875" style="1237" customWidth="1"/>
    <col min="15623" max="15623" width="20.44140625" style="1237" customWidth="1"/>
    <col min="15624" max="15624" width="16.44140625" style="1237" bestFit="1" customWidth="1"/>
    <col min="15625" max="15872" width="11.44140625" style="1237"/>
    <col min="15873" max="15873" width="16.88671875" style="1237" customWidth="1"/>
    <col min="15874" max="15874" width="15.44140625" style="1237" bestFit="1" customWidth="1"/>
    <col min="15875" max="15875" width="18.109375" style="1237" bestFit="1" customWidth="1"/>
    <col min="15876" max="15876" width="16.5546875" style="1237" bestFit="1" customWidth="1"/>
    <col min="15877" max="15877" width="21.5546875" style="1237" bestFit="1" customWidth="1"/>
    <col min="15878" max="15878" width="20.5546875" style="1237" customWidth="1"/>
    <col min="15879" max="15879" width="20.44140625" style="1237" customWidth="1"/>
    <col min="15880" max="15880" width="16.44140625" style="1237" bestFit="1" customWidth="1"/>
    <col min="15881" max="16128" width="11.44140625" style="1237"/>
    <col min="16129" max="16129" width="16.88671875" style="1237" customWidth="1"/>
    <col min="16130" max="16130" width="15.44140625" style="1237" bestFit="1" customWidth="1"/>
    <col min="16131" max="16131" width="18.109375" style="1237" bestFit="1" customWidth="1"/>
    <col min="16132" max="16132" width="16.5546875" style="1237" bestFit="1" customWidth="1"/>
    <col min="16133" max="16133" width="21.5546875" style="1237" bestFit="1" customWidth="1"/>
    <col min="16134" max="16134" width="20.5546875" style="1237" customWidth="1"/>
    <col min="16135" max="16135" width="20.44140625" style="1237" customWidth="1"/>
    <col min="16136" max="16136" width="16.44140625" style="1237" bestFit="1" customWidth="1"/>
    <col min="16137" max="16384" width="11.44140625" style="1237"/>
  </cols>
  <sheetData>
    <row r="7" spans="1:11" x14ac:dyDescent="0.3">
      <c r="H7" s="1239">
        <v>35000000</v>
      </c>
      <c r="K7" s="1237">
        <f>366/2</f>
        <v>183</v>
      </c>
    </row>
    <row r="9" spans="1:11" x14ac:dyDescent="0.3">
      <c r="H9" s="1239">
        <v>28741660</v>
      </c>
    </row>
    <row r="10" spans="1:11" x14ac:dyDescent="0.3">
      <c r="I10" s="1238"/>
    </row>
    <row r="11" spans="1:11" ht="15.6" x14ac:dyDescent="0.3">
      <c r="A11" s="1241" t="s">
        <v>2189</v>
      </c>
      <c r="B11" s="1242"/>
      <c r="C11" s="1242"/>
      <c r="D11" s="1242"/>
      <c r="H11" s="1239">
        <f>+H7-H9</f>
        <v>6258340</v>
      </c>
      <c r="I11" s="1243">
        <f>H11/H7</f>
        <v>0.17880971428571429</v>
      </c>
    </row>
    <row r="12" spans="1:11" ht="15.6" x14ac:dyDescent="0.3">
      <c r="A12" s="1241"/>
      <c r="B12" s="1242"/>
      <c r="C12" s="1242"/>
      <c r="D12" s="1242"/>
    </row>
    <row r="13" spans="1:11" x14ac:dyDescent="0.3">
      <c r="A13" s="1244" t="s">
        <v>2190</v>
      </c>
      <c r="B13" s="1242"/>
      <c r="C13" s="1242"/>
      <c r="D13" s="1245">
        <v>42292</v>
      </c>
      <c r="H13" s="1239">
        <f>H7*D21</f>
        <v>3209500</v>
      </c>
    </row>
    <row r="14" spans="1:11" x14ac:dyDescent="0.3">
      <c r="A14" s="1244" t="s">
        <v>2191</v>
      </c>
      <c r="B14" s="1242"/>
      <c r="C14" s="1242"/>
      <c r="D14" s="1242" t="s">
        <v>2192</v>
      </c>
      <c r="H14" s="1239">
        <f>H9*D21</f>
        <v>2635610.2220000001</v>
      </c>
    </row>
    <row r="15" spans="1:11" x14ac:dyDescent="0.3">
      <c r="A15" s="1244" t="s">
        <v>2193</v>
      </c>
      <c r="B15" s="1242"/>
      <c r="C15" s="1242"/>
      <c r="D15" s="1017">
        <v>9.9504937999999998E-3</v>
      </c>
    </row>
    <row r="16" spans="1:11" x14ac:dyDescent="0.3">
      <c r="A16" s="1244" t="s">
        <v>2194</v>
      </c>
      <c r="B16" s="1242"/>
      <c r="C16" s="1242"/>
      <c r="D16" s="1242" t="s">
        <v>2195</v>
      </c>
    </row>
    <row r="17" spans="1:10" x14ac:dyDescent="0.3">
      <c r="A17" s="1244" t="s">
        <v>2196</v>
      </c>
      <c r="B17" s="1242"/>
      <c r="C17" s="1242"/>
      <c r="D17" s="1242" t="s">
        <v>2195</v>
      </c>
    </row>
    <row r="18" spans="1:10" ht="17.399999999999999" x14ac:dyDescent="0.3">
      <c r="A18" s="1244" t="s">
        <v>2197</v>
      </c>
      <c r="B18" s="1242"/>
      <c r="C18" s="1242"/>
      <c r="D18" s="1245">
        <v>42475</v>
      </c>
    </row>
    <row r="19" spans="1:10" ht="17.399999999999999" x14ac:dyDescent="0.3">
      <c r="A19" s="1244" t="s">
        <v>2198</v>
      </c>
      <c r="B19" s="1242"/>
      <c r="C19" s="1242"/>
      <c r="D19" s="1245">
        <v>41944</v>
      </c>
    </row>
    <row r="20" spans="1:10" x14ac:dyDescent="0.3">
      <c r="A20" s="1244" t="s">
        <v>2199</v>
      </c>
      <c r="D20" s="1239">
        <v>500</v>
      </c>
    </row>
    <row r="21" spans="1:10" x14ac:dyDescent="0.3">
      <c r="A21" s="1244" t="s">
        <v>2200</v>
      </c>
      <c r="D21" s="1246">
        <v>9.1700000000000004E-2</v>
      </c>
      <c r="F21" s="1237">
        <f>(A31-D13)/360</f>
        <v>3.55</v>
      </c>
    </row>
    <row r="22" spans="1:10" x14ac:dyDescent="0.3">
      <c r="A22" s="1244"/>
      <c r="D22" s="1246"/>
    </row>
    <row r="23" spans="1:10" ht="27.6" x14ac:dyDescent="0.3">
      <c r="A23" s="1247" t="s">
        <v>2201</v>
      </c>
      <c r="B23" s="1247" t="s">
        <v>2202</v>
      </c>
      <c r="C23" s="1247" t="s">
        <v>2203</v>
      </c>
      <c r="D23" s="1247" t="s">
        <v>2204</v>
      </c>
      <c r="E23" s="1248" t="s">
        <v>2205</v>
      </c>
      <c r="F23" s="1248"/>
      <c r="G23" s="1248"/>
    </row>
    <row r="24" spans="1:10" x14ac:dyDescent="0.3">
      <c r="A24" s="1249"/>
      <c r="B24" s="1250"/>
      <c r="C24" s="1249"/>
      <c r="D24" s="1249"/>
      <c r="E24" s="1251"/>
      <c r="F24" s="1249"/>
      <c r="G24" s="1249"/>
    </row>
    <row r="25" spans="1:10" x14ac:dyDescent="0.3">
      <c r="A25" s="1245">
        <v>42475</v>
      </c>
      <c r="B25" s="1252">
        <f>2635610.22222222</f>
        <v>2635610.2222222202</v>
      </c>
      <c r="C25" s="1252"/>
      <c r="D25" s="1252">
        <f>(+(A25-D13)*$D$15*B25)/183</f>
        <v>26225.623175438825</v>
      </c>
      <c r="E25" s="1252">
        <f>+(D25+C25)*$D$20</f>
        <v>13112811.587719413</v>
      </c>
      <c r="F25" s="1238"/>
      <c r="G25" s="1238">
        <f t="shared" ref="G25:G44" si="0">+D25*$D$20</f>
        <v>13112811.587719413</v>
      </c>
      <c r="H25" s="1238">
        <f>B25*D21*D20</f>
        <v>120842728.6888888</v>
      </c>
      <c r="I25" s="1238"/>
      <c r="J25" s="1238"/>
    </row>
    <row r="26" spans="1:10" x14ac:dyDescent="0.3">
      <c r="A26" s="1245">
        <v>42658</v>
      </c>
      <c r="B26" s="1252">
        <v>2635610.2220000001</v>
      </c>
      <c r="C26" s="1252"/>
      <c r="D26" s="1252">
        <f>(+(A26-A25)*$D$15*B26)/183</f>
        <v>26225.623173227625</v>
      </c>
      <c r="E26" s="1252">
        <f t="shared" ref="E26:E44" si="1">+(D26+C26)*$D$20</f>
        <v>13112811.586613812</v>
      </c>
      <c r="F26" s="1238"/>
      <c r="G26" s="1238">
        <f t="shared" si="0"/>
        <v>13112811.586613812</v>
      </c>
      <c r="H26" s="1238"/>
      <c r="I26" s="1238"/>
      <c r="J26" s="1238"/>
    </row>
    <row r="27" spans="1:10" x14ac:dyDescent="0.3">
      <c r="A27" s="1245">
        <v>42840</v>
      </c>
      <c r="B27" s="1252">
        <v>2635610.2220000001</v>
      </c>
      <c r="C27" s="1252"/>
      <c r="D27" s="1252">
        <f>(+(A27-A26)*$D$15*B27)/183</f>
        <v>26082.313756980475</v>
      </c>
      <c r="E27" s="1252">
        <f t="shared" si="1"/>
        <v>13041156.878490238</v>
      </c>
      <c r="F27" s="1238"/>
      <c r="G27" s="1238">
        <f t="shared" si="0"/>
        <v>13041156.878490238</v>
      </c>
      <c r="H27" s="1238"/>
      <c r="I27" s="1238"/>
      <c r="J27" s="1238"/>
    </row>
    <row r="28" spans="1:10" x14ac:dyDescent="0.3">
      <c r="A28" s="1245">
        <v>43023</v>
      </c>
      <c r="B28" s="1252">
        <v>2635610.2220000001</v>
      </c>
      <c r="C28" s="1252"/>
      <c r="D28" s="1252">
        <f t="shared" ref="D28:D44" si="2">(+(A28-A27)*$D$15*B28)/183</f>
        <v>26225.623173227625</v>
      </c>
      <c r="E28" s="1252">
        <f>+(D28+C28)*$D$20</f>
        <v>13112811.586613812</v>
      </c>
      <c r="F28" s="1238"/>
      <c r="G28" s="1238">
        <f t="shared" si="0"/>
        <v>13112811.586613812</v>
      </c>
      <c r="H28" s="1238"/>
      <c r="I28" s="1238"/>
      <c r="J28" s="1238"/>
    </row>
    <row r="29" spans="1:10" x14ac:dyDescent="0.3">
      <c r="A29" s="1245">
        <v>43205</v>
      </c>
      <c r="B29" s="1252">
        <v>2635610.2220000001</v>
      </c>
      <c r="C29" s="1252"/>
      <c r="D29" s="1252">
        <f t="shared" si="2"/>
        <v>26082.313756980475</v>
      </c>
      <c r="E29" s="1252">
        <f>+(D29+C29)*$D$20</f>
        <v>13041156.878490238</v>
      </c>
      <c r="F29" s="1238"/>
      <c r="G29" s="1238">
        <f t="shared" si="0"/>
        <v>13041156.878490238</v>
      </c>
      <c r="H29" s="1238"/>
      <c r="I29" s="1238"/>
      <c r="J29" s="1238"/>
    </row>
    <row r="30" spans="1:10" x14ac:dyDescent="0.3">
      <c r="A30" s="1245">
        <v>43388</v>
      </c>
      <c r="B30" s="1252">
        <v>2635610.2220000001</v>
      </c>
      <c r="C30" s="1252"/>
      <c r="D30" s="1252">
        <f t="shared" si="2"/>
        <v>26225.623173227625</v>
      </c>
      <c r="E30" s="1252">
        <f t="shared" si="1"/>
        <v>13112811.586613812</v>
      </c>
      <c r="F30" s="1238"/>
      <c r="G30" s="1238">
        <f t="shared" si="0"/>
        <v>13112811.586613812</v>
      </c>
      <c r="H30" s="1238"/>
      <c r="I30" s="1238"/>
      <c r="J30" s="1238"/>
    </row>
    <row r="31" spans="1:10" x14ac:dyDescent="0.3">
      <c r="A31" s="1245">
        <v>43570</v>
      </c>
      <c r="B31" s="1252">
        <v>2635610.2220000001</v>
      </c>
      <c r="C31" s="1252">
        <v>188257.87299999999</v>
      </c>
      <c r="D31" s="1252">
        <f t="shared" si="2"/>
        <v>26082.313756980475</v>
      </c>
      <c r="E31" s="1252">
        <f>+(D31+C31)*$D$20</f>
        <v>107170093.37849022</v>
      </c>
      <c r="F31" s="1238"/>
      <c r="G31" s="1238">
        <f t="shared" si="0"/>
        <v>13041156.878490238</v>
      </c>
      <c r="H31" s="1253">
        <f>C31*500</f>
        <v>94128936.5</v>
      </c>
      <c r="I31" s="1238" t="s">
        <v>2206</v>
      </c>
      <c r="J31" s="1238"/>
    </row>
    <row r="32" spans="1:10" x14ac:dyDescent="0.3">
      <c r="A32" s="1245">
        <v>43753</v>
      </c>
      <c r="B32" s="1252">
        <f>+B31-C31</f>
        <v>2447352.3489999999</v>
      </c>
      <c r="C32" s="1252">
        <v>188257.87299999999</v>
      </c>
      <c r="D32" s="1252">
        <f t="shared" si="2"/>
        <v>24352.36437513994</v>
      </c>
      <c r="E32" s="1252">
        <f>+(D32+C32)*$D$20</f>
        <v>106305118.68756996</v>
      </c>
      <c r="F32" s="1238"/>
      <c r="G32" s="1238">
        <f t="shared" si="0"/>
        <v>12176182.18756997</v>
      </c>
      <c r="H32" s="1253">
        <f>C32*500</f>
        <v>94128936.5</v>
      </c>
      <c r="I32" s="1238" t="s">
        <v>2206</v>
      </c>
      <c r="J32" s="1238"/>
    </row>
    <row r="33" spans="1:11" x14ac:dyDescent="0.3">
      <c r="A33" s="1245">
        <v>43936</v>
      </c>
      <c r="B33" s="1252">
        <f t="shared" ref="B33:B43" si="3">+B32-C32</f>
        <v>2259094.4759999998</v>
      </c>
      <c r="C33" s="1252">
        <v>188257.87299999999</v>
      </c>
      <c r="D33" s="1252">
        <f t="shared" si="2"/>
        <v>22479.105577052247</v>
      </c>
      <c r="E33" s="1252">
        <f t="shared" si="1"/>
        <v>105368489.28852612</v>
      </c>
      <c r="F33" s="1238"/>
      <c r="G33" s="1238">
        <f t="shared" si="0"/>
        <v>11239552.788526123</v>
      </c>
      <c r="H33" s="1255">
        <f>C33*500</f>
        <v>94128936.5</v>
      </c>
      <c r="I33" s="1238" t="s">
        <v>2206</v>
      </c>
      <c r="J33" s="1238"/>
    </row>
    <row r="34" spans="1:11" x14ac:dyDescent="0.3">
      <c r="A34" s="1254">
        <v>44119</v>
      </c>
      <c r="B34" s="1252">
        <f t="shared" si="3"/>
        <v>2070836.6029999999</v>
      </c>
      <c r="C34" s="1252">
        <v>188257.87299999999</v>
      </c>
      <c r="D34" s="1252">
        <f t="shared" si="2"/>
        <v>20605.846778964562</v>
      </c>
      <c r="E34" s="1252">
        <f>+(D34+C34)*$D$20</f>
        <v>104431859.88948227</v>
      </c>
      <c r="F34" s="1238"/>
      <c r="G34" s="1238">
        <f t="shared" si="0"/>
        <v>10302923.38948228</v>
      </c>
      <c r="H34" s="1255">
        <f>C34*500</f>
        <v>94128936.5</v>
      </c>
      <c r="I34" s="1238" t="s">
        <v>2206</v>
      </c>
      <c r="J34" s="1256" t="s">
        <v>2207</v>
      </c>
    </row>
    <row r="35" spans="1:11" x14ac:dyDescent="0.3">
      <c r="A35" s="1254">
        <v>44301</v>
      </c>
      <c r="B35" s="1252">
        <f t="shared" si="3"/>
        <v>1882578.73</v>
      </c>
      <c r="C35" s="1252">
        <v>188257.87299999999</v>
      </c>
      <c r="D35" s="1252">
        <f t="shared" si="2"/>
        <v>18630.224112128912</v>
      </c>
      <c r="E35" s="1252">
        <f t="shared" si="1"/>
        <v>103444048.55606446</v>
      </c>
      <c r="F35" s="1238"/>
      <c r="G35" s="1238">
        <f t="shared" si="0"/>
        <v>9315112.0560644567</v>
      </c>
      <c r="H35" s="1255">
        <f t="shared" ref="H35:H44" si="4">C35*500</f>
        <v>94128936.5</v>
      </c>
      <c r="I35" s="1238">
        <f>SUM(H41:H42)</f>
        <v>188257873</v>
      </c>
      <c r="J35" s="1238"/>
      <c r="K35" s="1237">
        <f>+I35/1000000</f>
        <v>188.25787299999999</v>
      </c>
    </row>
    <row r="36" spans="1:11" x14ac:dyDescent="0.3">
      <c r="A36" s="1245">
        <v>44484</v>
      </c>
      <c r="B36" s="1252">
        <f t="shared" si="3"/>
        <v>1694320.8570000001</v>
      </c>
      <c r="C36" s="1252">
        <v>188257.87299999999</v>
      </c>
      <c r="D36" s="1252">
        <f t="shared" si="2"/>
        <v>16859.329182789188</v>
      </c>
      <c r="E36" s="1252">
        <f t="shared" si="1"/>
        <v>102558601.09139459</v>
      </c>
      <c r="F36" s="1238"/>
      <c r="G36" s="1238">
        <f t="shared" si="0"/>
        <v>8429664.5913945939</v>
      </c>
      <c r="H36" s="1255">
        <f t="shared" si="4"/>
        <v>94128936.5</v>
      </c>
      <c r="I36" s="1238"/>
      <c r="J36" s="1238"/>
    </row>
    <row r="37" spans="1:11" x14ac:dyDescent="0.3">
      <c r="A37" s="1245">
        <v>44666</v>
      </c>
      <c r="B37" s="1252">
        <f t="shared" si="3"/>
        <v>1506062.9840000002</v>
      </c>
      <c r="C37" s="1252">
        <v>188257.87299999999</v>
      </c>
      <c r="D37" s="1252">
        <f t="shared" si="2"/>
        <v>14904.17928970313</v>
      </c>
      <c r="E37" s="1252">
        <f t="shared" si="1"/>
        <v>101581026.14485157</v>
      </c>
      <c r="F37" s="1238"/>
      <c r="G37" s="1238">
        <f t="shared" si="0"/>
        <v>7452089.6448515654</v>
      </c>
      <c r="H37" s="1255">
        <f t="shared" si="4"/>
        <v>94128936.5</v>
      </c>
      <c r="I37" s="1238"/>
      <c r="J37" s="1238"/>
    </row>
    <row r="38" spans="1:11" x14ac:dyDescent="0.3">
      <c r="A38" s="1245">
        <v>44849</v>
      </c>
      <c r="B38" s="1252">
        <f t="shared" si="3"/>
        <v>1317805.1110000003</v>
      </c>
      <c r="C38" s="1252">
        <v>188257.87299999999</v>
      </c>
      <c r="D38" s="1252">
        <f t="shared" si="2"/>
        <v>13112.811586613816</v>
      </c>
      <c r="E38" s="1252">
        <f t="shared" si="1"/>
        <v>100685342.2933069</v>
      </c>
      <c r="F38" s="1238"/>
      <c r="G38" s="1238">
        <f t="shared" si="0"/>
        <v>6556405.7933069076</v>
      </c>
      <c r="H38" s="1255">
        <f t="shared" si="4"/>
        <v>94128936.5</v>
      </c>
      <c r="I38" s="1238"/>
      <c r="J38" s="1238"/>
    </row>
    <row r="39" spans="1:11" x14ac:dyDescent="0.3">
      <c r="A39" s="1245">
        <v>45031</v>
      </c>
      <c r="B39" s="1252">
        <f t="shared" si="3"/>
        <v>1129547.2380000004</v>
      </c>
      <c r="C39" s="1252">
        <v>188257.87299999999</v>
      </c>
      <c r="D39" s="1252">
        <f t="shared" si="2"/>
        <v>11178.134467277352</v>
      </c>
      <c r="E39" s="1252">
        <f t="shared" si="1"/>
        <v>99718003.733638674</v>
      </c>
      <c r="F39" s="1238"/>
      <c r="G39" s="1238">
        <f t="shared" si="0"/>
        <v>5589067.2336386759</v>
      </c>
      <c r="H39" s="1255">
        <f t="shared" si="4"/>
        <v>94128936.5</v>
      </c>
      <c r="I39" s="1238"/>
      <c r="J39" s="1238"/>
    </row>
    <row r="40" spans="1:11" x14ac:dyDescent="0.3">
      <c r="A40" s="1245">
        <v>45214</v>
      </c>
      <c r="B40" s="1252">
        <f t="shared" si="3"/>
        <v>941289.36500000034</v>
      </c>
      <c r="C40" s="1252">
        <v>188257.87299999999</v>
      </c>
      <c r="D40" s="1252">
        <f t="shared" si="2"/>
        <v>9366.2939904384402</v>
      </c>
      <c r="E40" s="1252">
        <f t="shared" si="1"/>
        <v>98812083.495219216</v>
      </c>
      <c r="F40" s="1238"/>
      <c r="G40" s="1238">
        <f t="shared" si="0"/>
        <v>4683146.9952192204</v>
      </c>
      <c r="H40" s="1255">
        <f t="shared" si="4"/>
        <v>94128936.5</v>
      </c>
      <c r="I40" s="1238"/>
      <c r="J40" s="1238"/>
    </row>
    <row r="41" spans="1:11" x14ac:dyDescent="0.3">
      <c r="A41" s="1245">
        <v>45397</v>
      </c>
      <c r="B41" s="1252">
        <f t="shared" si="3"/>
        <v>753031.49200000032</v>
      </c>
      <c r="C41" s="1252">
        <v>188257.87299999999</v>
      </c>
      <c r="D41" s="1252">
        <f t="shared" si="2"/>
        <v>7493.0351923507524</v>
      </c>
      <c r="E41" s="1252">
        <f t="shared" si="1"/>
        <v>97875454.096175373</v>
      </c>
      <c r="F41" s="1238"/>
      <c r="G41" s="1238">
        <f t="shared" si="0"/>
        <v>3746517.5961753763</v>
      </c>
      <c r="H41" s="1273">
        <f t="shared" si="4"/>
        <v>94128936.5</v>
      </c>
      <c r="I41" s="1238"/>
      <c r="J41" s="1238"/>
    </row>
    <row r="42" spans="1:11" x14ac:dyDescent="0.3">
      <c r="A42" s="1245">
        <v>45580</v>
      </c>
      <c r="B42" s="1252">
        <f t="shared" si="3"/>
        <v>564773.6190000003</v>
      </c>
      <c r="C42" s="1252">
        <v>188257.87299999999</v>
      </c>
      <c r="D42" s="1252">
        <f t="shared" si="2"/>
        <v>5619.7763942630654</v>
      </c>
      <c r="E42" s="1252">
        <f t="shared" si="1"/>
        <v>96938824.697131529</v>
      </c>
      <c r="F42" s="1238"/>
      <c r="G42" s="1238">
        <f t="shared" si="0"/>
        <v>2809888.1971315327</v>
      </c>
      <c r="H42" s="1273">
        <f t="shared" si="4"/>
        <v>94128936.5</v>
      </c>
      <c r="I42" s="1238"/>
      <c r="J42" s="1238"/>
    </row>
    <row r="43" spans="1:11" x14ac:dyDescent="0.3">
      <c r="A43" s="1245">
        <v>45762</v>
      </c>
      <c r="B43" s="1252">
        <f t="shared" si="3"/>
        <v>376515.74600000028</v>
      </c>
      <c r="C43" s="1252">
        <v>188257.87299999999</v>
      </c>
      <c r="D43" s="1252">
        <f t="shared" si="2"/>
        <v>3726.0448224257852</v>
      </c>
      <c r="E43" s="1252">
        <f t="shared" si="1"/>
        <v>95991958.911212891</v>
      </c>
      <c r="F43" s="1238"/>
      <c r="G43" s="1238">
        <f t="shared" si="0"/>
        <v>1863022.4112128927</v>
      </c>
      <c r="H43" s="1257">
        <f t="shared" si="4"/>
        <v>94128936.5</v>
      </c>
      <c r="I43" s="1238"/>
      <c r="J43" s="1238"/>
    </row>
    <row r="44" spans="1:11" x14ac:dyDescent="0.3">
      <c r="A44" s="1245">
        <v>45945</v>
      </c>
      <c r="B44" s="1252">
        <f>+B43-C43</f>
        <v>188257.87300000028</v>
      </c>
      <c r="C44" s="1252">
        <v>188257.87299999999</v>
      </c>
      <c r="D44" s="1252">
        <f t="shared" si="2"/>
        <v>1873.2587980876904</v>
      </c>
      <c r="E44" s="1252">
        <f t="shared" si="1"/>
        <v>95065565.899043843</v>
      </c>
      <c r="F44" s="1238"/>
      <c r="G44" s="1238">
        <f t="shared" si="0"/>
        <v>936629.39904384513</v>
      </c>
      <c r="H44" s="1257">
        <f t="shared" si="4"/>
        <v>94128936.5</v>
      </c>
      <c r="I44" s="1238">
        <f>SUM(H43:H44)</f>
        <v>188257873</v>
      </c>
      <c r="J44" s="1256" t="s">
        <v>2208</v>
      </c>
      <c r="K44" s="1237">
        <f>+I44/1000000</f>
        <v>188.25787299999999</v>
      </c>
    </row>
    <row r="45" spans="1:11" x14ac:dyDescent="0.3">
      <c r="A45" s="1245"/>
      <c r="B45" s="1252"/>
      <c r="C45" s="1252"/>
      <c r="D45" s="1252"/>
      <c r="E45" s="1252"/>
    </row>
    <row r="46" spans="1:11" ht="15.6" x14ac:dyDescent="0.3">
      <c r="A46" s="1258" t="s">
        <v>2209</v>
      </c>
      <c r="B46" s="1259"/>
      <c r="C46" s="1259">
        <f>SUM(C31:C45)</f>
        <v>2635610.2219999996</v>
      </c>
      <c r="D46" s="1259">
        <f>SUM(D25:D45)</f>
        <v>353349.838533298</v>
      </c>
      <c r="E46" s="1259">
        <f>SUM(E25:E45)</f>
        <v>1494480030.266649</v>
      </c>
      <c r="G46" s="1260">
        <f>SUM(G25:G45)</f>
        <v>176674919.26664907</v>
      </c>
    </row>
    <row r="47" spans="1:11" x14ac:dyDescent="0.3">
      <c r="B47" s="1252"/>
      <c r="C47" s="1261">
        <f>C46*500</f>
        <v>1317805110.9999998</v>
      </c>
      <c r="D47" s="1252"/>
      <c r="E47" s="1252"/>
    </row>
    <row r="48" spans="1:11" x14ac:dyDescent="0.3">
      <c r="C48" s="1261"/>
      <c r="I48" s="75">
        <v>376515746</v>
      </c>
    </row>
    <row r="49" spans="2:9" x14ac:dyDescent="0.3">
      <c r="B49" s="1237"/>
      <c r="C49" s="1261">
        <f>+C46*500</f>
        <v>1317805110.9999998</v>
      </c>
      <c r="D49" s="1261">
        <f>+D46*500</f>
        <v>176674919.26664901</v>
      </c>
      <c r="E49" s="1260">
        <f>C44*500</f>
        <v>94128936.5</v>
      </c>
      <c r="H49" s="1237"/>
      <c r="I49" s="1237"/>
    </row>
    <row r="50" spans="2:9" x14ac:dyDescent="0.3">
      <c r="B50" s="1237"/>
      <c r="C50" s="1261">
        <f>C49/14</f>
        <v>94128936.499999985</v>
      </c>
      <c r="H50" s="1237"/>
      <c r="I50" s="1237"/>
    </row>
    <row r="52" spans="2:9" x14ac:dyDescent="0.3">
      <c r="B52" s="1237"/>
      <c r="C52" s="1252">
        <v>2635610.2200000002</v>
      </c>
      <c r="H52" s="1237"/>
      <c r="I52" s="1237"/>
    </row>
    <row r="55" spans="2:9" x14ac:dyDescent="0.3">
      <c r="C55" s="1260">
        <f>SUM(C29:C32)</f>
        <v>376515.74599999998</v>
      </c>
      <c r="D55" s="1260">
        <f>C55*500/1000000</f>
        <v>188.25787299999999</v>
      </c>
    </row>
    <row r="56" spans="2:9" x14ac:dyDescent="0.3">
      <c r="C56" s="1260">
        <f>SUM(C33:C34)</f>
        <v>376515.74599999998</v>
      </c>
      <c r="D56" s="1260">
        <f>C56*500/1000000</f>
        <v>188.25787299999999</v>
      </c>
    </row>
    <row r="57" spans="2:9" x14ac:dyDescent="0.3">
      <c r="C57" s="1260">
        <f>SUM(C35:C36)</f>
        <v>376515.74599999998</v>
      </c>
      <c r="D57" s="1260">
        <f>C57*500/1000000</f>
        <v>188.25787299999999</v>
      </c>
    </row>
    <row r="58" spans="2:9" x14ac:dyDescent="0.3">
      <c r="C58" s="1260">
        <f>C46-SUM(C55:C57)</f>
        <v>1506062.9839999997</v>
      </c>
      <c r="D58" s="1260">
        <f>C58*500/1000000</f>
        <v>753.03149199999984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  <pageSetUpPr fitToPage="1"/>
  </sheetPr>
  <dimension ref="A1:T90"/>
  <sheetViews>
    <sheetView showGridLines="0" topLeftCell="A66" zoomScale="60" zoomScaleNormal="60" workbookViewId="0">
      <selection activeCell="I25" sqref="I25"/>
    </sheetView>
  </sheetViews>
  <sheetFormatPr baseColWidth="10" defaultColWidth="11.44140625" defaultRowHeight="14.4" x14ac:dyDescent="0.3"/>
  <cols>
    <col min="1" max="1" width="11.44140625" style="1331"/>
    <col min="2" max="2" width="39.88671875" style="1331" customWidth="1"/>
    <col min="3" max="3" width="6.6640625" style="1332" customWidth="1"/>
    <col min="4" max="4" width="13.109375" style="1331" customWidth="1"/>
    <col min="5" max="5" width="6.5546875" style="1331" customWidth="1"/>
    <col min="6" max="6" width="14.6640625" style="1331" customWidth="1"/>
    <col min="7" max="7" width="13.109375" style="1331" customWidth="1"/>
    <col min="8" max="8" width="11.6640625" style="1331" customWidth="1"/>
    <col min="9" max="9" width="9.44140625" style="1331" bestFit="1" customWidth="1"/>
    <col min="10" max="10" width="13" style="1331" customWidth="1"/>
    <col min="11" max="11" width="17.5546875" style="1331" customWidth="1"/>
    <col min="12" max="12" width="21.6640625" style="1331" bestFit="1" customWidth="1"/>
    <col min="13" max="13" width="9.88671875" style="1331" bestFit="1" customWidth="1"/>
    <col min="14" max="14" width="21.6640625" style="1333" bestFit="1" customWidth="1"/>
    <col min="15" max="15" width="16" style="1334" bestFit="1" customWidth="1"/>
    <col min="16" max="16" width="20.109375" style="1331" bestFit="1" customWidth="1"/>
    <col min="17" max="17" width="16.44140625" style="1331" bestFit="1" customWidth="1"/>
    <col min="18" max="19" width="11.44140625" style="1331"/>
    <col min="20" max="20" width="21" style="1331" bestFit="1" customWidth="1"/>
    <col min="21" max="16384" width="11.44140625" style="1331"/>
  </cols>
  <sheetData>
    <row r="1" spans="1:20" hidden="1" x14ac:dyDescent="0.3"/>
    <row r="2" spans="1:20" ht="18" hidden="1" x14ac:dyDescent="0.35">
      <c r="E2" s="2012" t="s">
        <v>2317</v>
      </c>
      <c r="F2" s="2012"/>
      <c r="G2" s="2012"/>
      <c r="H2" s="2012"/>
      <c r="I2" s="2012"/>
      <c r="J2" s="2012"/>
      <c r="K2" s="2012"/>
      <c r="L2" s="2012"/>
      <c r="P2" s="1335"/>
    </row>
    <row r="3" spans="1:20" s="1336" customFormat="1" ht="43.2" hidden="1" x14ac:dyDescent="0.3">
      <c r="D3" s="1337" t="s">
        <v>1037</v>
      </c>
      <c r="E3" s="1337" t="s">
        <v>2318</v>
      </c>
      <c r="F3" s="1337" t="s">
        <v>1817</v>
      </c>
      <c r="G3" s="1337" t="s">
        <v>1818</v>
      </c>
      <c r="H3" s="1337" t="s">
        <v>1819</v>
      </c>
      <c r="I3" s="1337" t="s">
        <v>2319</v>
      </c>
      <c r="J3" s="1337" t="s">
        <v>2320</v>
      </c>
      <c r="K3" s="1337" t="s">
        <v>1822</v>
      </c>
      <c r="L3" s="1337" t="s">
        <v>2321</v>
      </c>
      <c r="N3" s="1338"/>
      <c r="P3" s="1339"/>
    </row>
    <row r="4" spans="1:20" hidden="1" x14ac:dyDescent="0.3">
      <c r="A4" s="1340" t="s">
        <v>1074</v>
      </c>
      <c r="B4" s="1340" t="s">
        <v>1075</v>
      </c>
      <c r="C4" s="1341"/>
      <c r="D4" s="1342">
        <v>4021.7</v>
      </c>
      <c r="E4" s="1343"/>
      <c r="F4" s="1343"/>
      <c r="G4" s="1343"/>
      <c r="H4" s="1343"/>
      <c r="I4" s="1343"/>
      <c r="J4" s="1344"/>
      <c r="K4" s="1345">
        <f>L4-D4</f>
        <v>1950.4653180000005</v>
      </c>
      <c r="L4" s="1346">
        <f>[159]Sheet1!$Z$8/10^6</f>
        <v>5972.1653180000003</v>
      </c>
      <c r="M4" s="1335">
        <f>SUM(D4:K4)-L4</f>
        <v>0</v>
      </c>
      <c r="N4" s="1347"/>
      <c r="O4" s="1348"/>
      <c r="Q4" s="1335"/>
    </row>
    <row r="5" spans="1:20" hidden="1" x14ac:dyDescent="0.3">
      <c r="A5" s="1340" t="s">
        <v>1076</v>
      </c>
      <c r="B5" s="1340" t="s">
        <v>1077</v>
      </c>
      <c r="C5" s="1341"/>
      <c r="D5" s="1342">
        <v>-930.3</v>
      </c>
      <c r="E5" s="1343"/>
      <c r="F5" s="1343"/>
      <c r="G5" s="1344">
        <f>L5-D5</f>
        <v>-563.73284000000012</v>
      </c>
      <c r="H5" s="1343"/>
      <c r="I5" s="1343"/>
      <c r="J5" s="1343"/>
      <c r="K5" s="1343"/>
      <c r="L5" s="1346">
        <f>[159]Sheet1!$Z$9/10^6</f>
        <v>-1494.0328400000001</v>
      </c>
      <c r="M5" s="1335">
        <f t="shared" ref="M5:M12" si="0">SUM(D5:K5)-L5</f>
        <v>0</v>
      </c>
      <c r="N5" s="1347"/>
      <c r="Q5" s="1335"/>
    </row>
    <row r="6" spans="1:20" hidden="1" x14ac:dyDescent="0.3">
      <c r="A6" s="1340" t="s">
        <v>356</v>
      </c>
      <c r="B6" s="1340" t="s">
        <v>1223</v>
      </c>
      <c r="C6" s="1341"/>
      <c r="D6" s="1343"/>
      <c r="E6" s="1343"/>
      <c r="F6" s="1343"/>
      <c r="G6" s="1343"/>
      <c r="H6" s="1343"/>
      <c r="I6" s="1343"/>
      <c r="J6" s="1343"/>
      <c r="K6" s="1343"/>
      <c r="L6" s="1344">
        <f>+SUM(C6:K6)</f>
        <v>0</v>
      </c>
      <c r="M6" s="1335">
        <f t="shared" si="0"/>
        <v>0</v>
      </c>
      <c r="N6" s="1347"/>
      <c r="Q6" s="1335"/>
    </row>
    <row r="7" spans="1:20" hidden="1" x14ac:dyDescent="0.3">
      <c r="A7" s="1349"/>
      <c r="B7" s="1349"/>
      <c r="C7" s="1341"/>
      <c r="D7" s="1350"/>
      <c r="E7" s="1350"/>
      <c r="F7" s="1350"/>
      <c r="G7" s="1350"/>
      <c r="H7" s="1350"/>
      <c r="I7" s="1350"/>
      <c r="J7" s="1350"/>
      <c r="K7" s="1350"/>
      <c r="L7" s="1350"/>
      <c r="M7" s="1335">
        <f t="shared" si="0"/>
        <v>0</v>
      </c>
      <c r="N7" s="1351"/>
      <c r="Q7" s="1335"/>
    </row>
    <row r="8" spans="1:20" hidden="1" x14ac:dyDescent="0.3">
      <c r="A8" s="1340"/>
      <c r="B8" s="1340" t="s">
        <v>2322</v>
      </c>
      <c r="C8" s="1341"/>
      <c r="D8" s="1344" t="s">
        <v>13</v>
      </c>
      <c r="E8" s="1344">
        <f>L8</f>
        <v>-42.346471000000001</v>
      </c>
      <c r="F8" s="1343"/>
      <c r="G8" s="1343"/>
      <c r="H8" s="1343"/>
      <c r="I8" s="1343"/>
      <c r="J8" s="1343"/>
      <c r="K8" s="1343"/>
      <c r="L8" s="1344">
        <f>-[159]Sheet1!$Z$6/10^6</f>
        <v>-42.346471000000001</v>
      </c>
      <c r="M8" s="1335">
        <f t="shared" si="0"/>
        <v>0</v>
      </c>
      <c r="N8" s="1347"/>
      <c r="P8" s="1335"/>
      <c r="Q8" s="1335"/>
      <c r="T8" s="1335"/>
    </row>
    <row r="9" spans="1:20" hidden="1" x14ac:dyDescent="0.3">
      <c r="A9" s="1340"/>
      <c r="B9" s="1340" t="s">
        <v>2323</v>
      </c>
      <c r="C9" s="1341"/>
      <c r="D9" s="1342">
        <f>-[159]Sheet1!$G$7/10^6</f>
        <v>-124.40815499999999</v>
      </c>
      <c r="E9" s="1343"/>
      <c r="F9" s="1343"/>
      <c r="G9" s="1343"/>
      <c r="H9" s="1343"/>
      <c r="I9" s="1343"/>
      <c r="J9" s="1343"/>
      <c r="K9" s="1352"/>
      <c r="L9" s="1344">
        <f>-[159]Sheet1!$Z$7/10^6</f>
        <v>-124.40815499999999</v>
      </c>
      <c r="M9" s="1335">
        <f t="shared" si="0"/>
        <v>0</v>
      </c>
      <c r="N9" s="1347"/>
      <c r="P9" s="1335"/>
      <c r="Q9" s="1335"/>
    </row>
    <row r="10" spans="1:20" s="1360" customFormat="1" hidden="1" x14ac:dyDescent="0.3">
      <c r="A10" s="1353" t="s">
        <v>1344</v>
      </c>
      <c r="B10" s="1353" t="s">
        <v>1345</v>
      </c>
      <c r="C10" s="1354" t="s">
        <v>2324</v>
      </c>
      <c r="D10" s="1346">
        <v>2341.12</v>
      </c>
      <c r="E10" s="1355"/>
      <c r="F10" s="1346"/>
      <c r="G10" s="1355"/>
      <c r="H10" s="1346"/>
      <c r="I10" s="1355"/>
      <c r="J10" s="1346"/>
      <c r="K10" s="1346">
        <f>L10-D10</f>
        <v>-3271.385612</v>
      </c>
      <c r="L10" s="1346">
        <f>N10-L11</f>
        <v>-930.26561200000003</v>
      </c>
      <c r="M10" s="1335">
        <f t="shared" si="0"/>
        <v>0</v>
      </c>
      <c r="N10" s="1356"/>
      <c r="O10" s="1357"/>
      <c r="P10" s="1358"/>
      <c r="Q10" s="1359"/>
    </row>
    <row r="11" spans="1:20" s="1360" customFormat="1" ht="86.4" hidden="1" x14ac:dyDescent="0.3">
      <c r="A11" s="1353" t="s">
        <v>1442</v>
      </c>
      <c r="B11" s="1353" t="s">
        <v>1443</v>
      </c>
      <c r="C11" s="1354" t="s">
        <v>2325</v>
      </c>
      <c r="D11" s="1346">
        <v>866.1</v>
      </c>
      <c r="E11" s="1355"/>
      <c r="F11" s="1346">
        <f>([159]Sheet1!$R$6+[159]Sheet1!$T$6)/10^6</f>
        <v>249.33123599999999</v>
      </c>
      <c r="G11" s="1355"/>
      <c r="H11" s="1346">
        <f>(-[159]Sheet1!$V$2)/10^6</f>
        <v>-685.00461199999995</v>
      </c>
      <c r="I11" s="1355"/>
      <c r="J11" s="1346"/>
      <c r="K11" s="1346">
        <f>-F11-H11+L11-D11</f>
        <v>499.83898799999986</v>
      </c>
      <c r="L11" s="1346">
        <v>930.26561200000003</v>
      </c>
      <c r="M11" s="1335">
        <f t="shared" si="0"/>
        <v>0</v>
      </c>
      <c r="N11" s="1361"/>
      <c r="O11" s="1357"/>
      <c r="P11" s="1358"/>
      <c r="Q11" s="1359"/>
    </row>
    <row r="12" spans="1:20" s="1360" customFormat="1" hidden="1" x14ac:dyDescent="0.3">
      <c r="A12" s="1353" t="s">
        <v>358</v>
      </c>
      <c r="B12" s="1353" t="s">
        <v>2326</v>
      </c>
      <c r="C12" s="1354"/>
      <c r="D12" s="1362">
        <f>-[159]Sheet1!$G$10/10^6</f>
        <v>6.4683770000000003</v>
      </c>
      <c r="E12" s="1355"/>
      <c r="F12" s="1355"/>
      <c r="G12" s="1355"/>
      <c r="H12" s="1355"/>
      <c r="I12" s="1346">
        <f>L12-D12</f>
        <v>-85.668892</v>
      </c>
      <c r="J12" s="1355"/>
      <c r="K12" s="1346">
        <v>0</v>
      </c>
      <c r="L12" s="1346">
        <f>-[159]Sheet1!$Z$10/10^6</f>
        <v>-79.200514999999996</v>
      </c>
      <c r="M12" s="1335">
        <f t="shared" si="0"/>
        <v>0</v>
      </c>
      <c r="N12" s="1361"/>
      <c r="O12" s="1357"/>
      <c r="Q12" s="1359"/>
    </row>
    <row r="13" spans="1:20" hidden="1" x14ac:dyDescent="0.3">
      <c r="A13" s="1349"/>
      <c r="B13" s="1349"/>
      <c r="C13" s="1341"/>
      <c r="D13" s="1363"/>
      <c r="E13" s="1363"/>
      <c r="F13" s="1363"/>
      <c r="G13" s="1363"/>
      <c r="H13" s="1363"/>
      <c r="I13" s="1363"/>
      <c r="J13" s="1364">
        <f>+SUM(J4:J6)-SUM(J8:J12)</f>
        <v>0</v>
      </c>
      <c r="K13" s="1364">
        <f>+SUM(K4:K6)-SUM(K8:K12)</f>
        <v>4722.011942000001</v>
      </c>
      <c r="L13" s="1364">
        <f>+SUM(L4:L6)-SUM(L8:L12)</f>
        <v>4724.0876190000008</v>
      </c>
      <c r="N13" s="1347"/>
      <c r="P13" s="1365"/>
    </row>
    <row r="14" spans="1:20" hidden="1" x14ac:dyDescent="0.3">
      <c r="A14" s="1349"/>
      <c r="B14" s="1349"/>
      <c r="C14" s="1341"/>
      <c r="D14" s="1350"/>
      <c r="E14" s="1350"/>
      <c r="F14" s="1350"/>
      <c r="G14" s="1350"/>
      <c r="H14" s="1366"/>
      <c r="I14" s="1350"/>
      <c r="J14" s="1350"/>
      <c r="K14" s="1350"/>
      <c r="L14" s="1350"/>
      <c r="N14" s="1367"/>
    </row>
    <row r="15" spans="1:20" hidden="1" x14ac:dyDescent="0.3">
      <c r="A15" s="1340" t="s">
        <v>2285</v>
      </c>
      <c r="B15" s="1340" t="s">
        <v>2327</v>
      </c>
      <c r="C15" s="1341"/>
      <c r="D15" s="1350"/>
      <c r="E15" s="1350"/>
      <c r="F15" s="1350"/>
      <c r="G15" s="1350"/>
      <c r="H15" s="1366"/>
      <c r="I15" s="1366"/>
      <c r="J15" s="1350"/>
      <c r="K15" s="1368"/>
      <c r="L15" s="1344">
        <f>-[159]Sheet1!$Z$3/10^6</f>
        <v>770.67350399999998</v>
      </c>
      <c r="M15" s="1333"/>
      <c r="P15" s="1365"/>
      <c r="T15" s="1369"/>
    </row>
    <row r="16" spans="1:20" hidden="1" x14ac:dyDescent="0.3">
      <c r="A16" s="1340" t="s">
        <v>1604</v>
      </c>
      <c r="B16" s="1340" t="s">
        <v>1605</v>
      </c>
      <c r="C16" s="1341"/>
      <c r="D16" s="1350"/>
      <c r="E16" s="1350"/>
      <c r="F16" s="1350"/>
      <c r="G16" s="1350"/>
      <c r="H16" s="1350"/>
      <c r="I16" s="1350"/>
      <c r="J16" s="1350"/>
      <c r="K16" s="1350"/>
      <c r="L16" s="1344">
        <f>-[159]Sheet1!$Z$4/10^6</f>
        <v>-563.68873900000006</v>
      </c>
      <c r="M16" s="1333"/>
      <c r="P16" s="1335"/>
      <c r="T16" s="1369"/>
    </row>
    <row r="17" spans="1:20" hidden="1" x14ac:dyDescent="0.3">
      <c r="A17" s="1340" t="s">
        <v>1699</v>
      </c>
      <c r="B17" s="1340" t="s">
        <v>1700</v>
      </c>
      <c r="C17" s="1341"/>
      <c r="D17" s="1350"/>
      <c r="E17" s="1350"/>
      <c r="F17" s="1350"/>
      <c r="G17" s="1350"/>
      <c r="H17" s="1350"/>
      <c r="I17" s="1350"/>
      <c r="J17" s="1350"/>
      <c r="K17" s="1350"/>
      <c r="L17" s="1344">
        <f>-[159]Sheet1!$Z$5/10^6</f>
        <v>-249.33123599999999</v>
      </c>
      <c r="M17" s="1333"/>
      <c r="T17" s="1369"/>
    </row>
    <row r="18" spans="1:20" hidden="1" x14ac:dyDescent="0.3">
      <c r="A18" s="1349"/>
      <c r="B18" s="1349"/>
      <c r="C18" s="1341"/>
      <c r="D18" s="1350"/>
      <c r="E18" s="1350"/>
      <c r="F18" s="1350"/>
      <c r="G18" s="1350"/>
      <c r="H18" s="1350"/>
      <c r="I18" s="1350"/>
      <c r="J18" s="1350"/>
      <c r="K18" s="1370"/>
      <c r="L18" s="1350"/>
      <c r="M18" s="1333"/>
      <c r="T18" s="1369"/>
    </row>
    <row r="19" spans="1:20" hidden="1" x14ac:dyDescent="0.3">
      <c r="A19" s="1349"/>
      <c r="B19" s="1371" t="s">
        <v>2322</v>
      </c>
      <c r="C19" s="1372"/>
      <c r="D19" s="1343"/>
      <c r="E19" s="1343"/>
      <c r="F19" s="1343"/>
      <c r="G19" s="1343"/>
      <c r="H19" s="1343"/>
      <c r="I19" s="1343"/>
      <c r="J19" s="1343"/>
      <c r="K19" s="1352"/>
      <c r="L19" s="1344">
        <f>+L17+L16+L15</f>
        <v>-42.346471000000065</v>
      </c>
    </row>
    <row r="20" spans="1:20" hidden="1" x14ac:dyDescent="0.3">
      <c r="C20" s="1336"/>
      <c r="K20" s="1333"/>
      <c r="L20" s="1335">
        <f>L19-L8</f>
        <v>-6.3948846218409017E-14</v>
      </c>
    </row>
    <row r="21" spans="1:20" hidden="1" x14ac:dyDescent="0.3">
      <c r="C21" s="1336"/>
      <c r="K21" s="1333"/>
      <c r="P21" s="1369"/>
    </row>
    <row r="22" spans="1:20" hidden="1" x14ac:dyDescent="0.3">
      <c r="C22" s="1336"/>
      <c r="K22" s="1333"/>
      <c r="M22" s="1369"/>
    </row>
    <row r="23" spans="1:20" hidden="1" x14ac:dyDescent="0.3">
      <c r="C23" s="1336"/>
    </row>
    <row r="24" spans="1:20" hidden="1" x14ac:dyDescent="0.3">
      <c r="C24" s="1336"/>
    </row>
    <row r="25" spans="1:20" hidden="1" x14ac:dyDescent="0.3">
      <c r="C25" s="1336"/>
    </row>
    <row r="26" spans="1:20" hidden="1" x14ac:dyDescent="0.3">
      <c r="C26" s="1336"/>
    </row>
    <row r="27" spans="1:20" hidden="1" x14ac:dyDescent="0.3">
      <c r="C27" s="1336"/>
    </row>
    <row r="28" spans="1:20" hidden="1" x14ac:dyDescent="0.3"/>
    <row r="29" spans="1:20" hidden="1" x14ac:dyDescent="0.3"/>
    <row r="30" spans="1:20" hidden="1" x14ac:dyDescent="0.3"/>
    <row r="31" spans="1:20" ht="18" hidden="1" x14ac:dyDescent="0.35">
      <c r="E31" s="2012" t="s">
        <v>2317</v>
      </c>
      <c r="F31" s="2012"/>
      <c r="G31" s="2012"/>
      <c r="H31" s="2012"/>
      <c r="I31" s="2012"/>
      <c r="J31" s="2012"/>
      <c r="K31" s="2012"/>
      <c r="L31" s="2012"/>
      <c r="P31" s="1335"/>
    </row>
    <row r="32" spans="1:20" s="1336" customFormat="1" ht="43.2" hidden="1" x14ac:dyDescent="0.3">
      <c r="D32" s="1337" t="s">
        <v>1037</v>
      </c>
      <c r="E32" s="1337" t="s">
        <v>2318</v>
      </c>
      <c r="F32" s="1337" t="s">
        <v>1817</v>
      </c>
      <c r="G32" s="1337" t="s">
        <v>1818</v>
      </c>
      <c r="H32" s="1337" t="s">
        <v>1819</v>
      </c>
      <c r="I32" s="1337" t="s">
        <v>2319</v>
      </c>
      <c r="J32" s="1337" t="s">
        <v>2320</v>
      </c>
      <c r="K32" s="1337" t="s">
        <v>1822</v>
      </c>
      <c r="L32" s="1337" t="s">
        <v>2321</v>
      </c>
      <c r="N32" s="1338"/>
      <c r="P32" s="1339"/>
    </row>
    <row r="33" spans="1:20" hidden="1" x14ac:dyDescent="0.3">
      <c r="A33" s="1340" t="s">
        <v>1074</v>
      </c>
      <c r="B33" s="1340" t="s">
        <v>1075</v>
      </c>
      <c r="C33" s="1341"/>
      <c r="D33" s="1342">
        <v>4021.7</v>
      </c>
      <c r="E33" s="1373"/>
      <c r="F33" s="1373"/>
      <c r="G33" s="1373"/>
      <c r="H33" s="1373"/>
      <c r="I33" s="1373"/>
      <c r="J33" s="1374"/>
      <c r="K33" s="1375">
        <f>L33-D33</f>
        <v>2115.6703100000004</v>
      </c>
      <c r="L33" s="1376">
        <f>'[160]ZEXTRAT BG'!$V$8/1000000</f>
        <v>6137.3703100000002</v>
      </c>
      <c r="M33" s="1335">
        <f>SUM(D33:K33)-L33</f>
        <v>0</v>
      </c>
      <c r="N33" s="1347"/>
      <c r="O33" s="1348"/>
      <c r="Q33" s="1335"/>
    </row>
    <row r="34" spans="1:20" hidden="1" x14ac:dyDescent="0.3">
      <c r="A34" s="1340" t="s">
        <v>1076</v>
      </c>
      <c r="B34" s="1340" t="s">
        <v>1077</v>
      </c>
      <c r="C34" s="1341"/>
      <c r="D34" s="1342">
        <v>-930.3</v>
      </c>
      <c r="E34" s="1373"/>
      <c r="F34" s="1373"/>
      <c r="G34" s="1374">
        <f>L34-D34</f>
        <v>-1133.917502</v>
      </c>
      <c r="H34" s="1373"/>
      <c r="I34" s="1373"/>
      <c r="J34" s="1373"/>
      <c r="K34" s="1373"/>
      <c r="L34" s="1376">
        <f>'[160]ZEXTRAT BG'!$V$9/1000000</f>
        <v>-2064.217502</v>
      </c>
      <c r="M34" s="1335">
        <f t="shared" ref="M34:M42" si="1">SUM(D34:K34)-L34</f>
        <v>0</v>
      </c>
      <c r="N34" s="1347"/>
      <c r="Q34" s="1335"/>
    </row>
    <row r="35" spans="1:20" hidden="1" x14ac:dyDescent="0.3">
      <c r="A35" s="1340" t="s">
        <v>356</v>
      </c>
      <c r="B35" s="1340" t="s">
        <v>1223</v>
      </c>
      <c r="C35" s="1341"/>
      <c r="D35" s="1343"/>
      <c r="E35" s="1373"/>
      <c r="F35" s="1373"/>
      <c r="G35" s="1373"/>
      <c r="H35" s="1373"/>
      <c r="I35" s="1373"/>
      <c r="J35" s="1373"/>
      <c r="K35" s="1373"/>
      <c r="L35" s="1374">
        <f>+SUM(C35:K35)</f>
        <v>0</v>
      </c>
      <c r="M35" s="1335">
        <f t="shared" si="1"/>
        <v>0</v>
      </c>
      <c r="N35" s="1347"/>
      <c r="Q35" s="1335"/>
    </row>
    <row r="36" spans="1:20" hidden="1" x14ac:dyDescent="0.3">
      <c r="A36" s="1349"/>
      <c r="B36" s="1349"/>
      <c r="C36" s="1341"/>
      <c r="D36" s="1350"/>
      <c r="E36" s="1377"/>
      <c r="F36" s="1377"/>
      <c r="G36" s="1377"/>
      <c r="H36" s="1377"/>
      <c r="I36" s="1377"/>
      <c r="J36" s="1377"/>
      <c r="K36" s="1377"/>
      <c r="L36" s="1377"/>
      <c r="M36" s="1335">
        <f t="shared" si="1"/>
        <v>0</v>
      </c>
      <c r="N36" s="1351"/>
      <c r="Q36" s="1335"/>
    </row>
    <row r="37" spans="1:20" hidden="1" x14ac:dyDescent="0.3">
      <c r="A37" s="1340"/>
      <c r="B37" s="1340" t="s">
        <v>2322</v>
      </c>
      <c r="C37" s="1341"/>
      <c r="D37" s="1344" t="s">
        <v>13</v>
      </c>
      <c r="E37" s="1374">
        <f>L37</f>
        <v>-42.346471000000001</v>
      </c>
      <c r="F37" s="1373"/>
      <c r="G37" s="1373"/>
      <c r="H37" s="1373"/>
      <c r="I37" s="1373"/>
      <c r="J37" s="1373"/>
      <c r="K37" s="1373"/>
      <c r="L37" s="1374">
        <f>-[159]Sheet1!$Z$6/10^6</f>
        <v>-42.346471000000001</v>
      </c>
      <c r="M37" s="1335">
        <f t="shared" si="1"/>
        <v>0</v>
      </c>
      <c r="N37" s="1347"/>
      <c r="P37" s="1335"/>
      <c r="Q37" s="1335"/>
      <c r="T37" s="1335"/>
    </row>
    <row r="38" spans="1:20" hidden="1" x14ac:dyDescent="0.3">
      <c r="A38" s="1340"/>
      <c r="B38" s="1340" t="s">
        <v>2323</v>
      </c>
      <c r="C38" s="1341"/>
      <c r="D38" s="1342">
        <f>-[159]Sheet1!$G$7/10^6</f>
        <v>-124.40815499999999</v>
      </c>
      <c r="E38" s="1373"/>
      <c r="F38" s="1373"/>
      <c r="G38" s="1373"/>
      <c r="H38" s="1373"/>
      <c r="I38" s="1373"/>
      <c r="J38" s="1373"/>
      <c r="K38" s="1373"/>
      <c r="L38" s="1374">
        <f>-[159]Sheet1!$Z$7/10^6</f>
        <v>-124.40815499999999</v>
      </c>
      <c r="M38" s="1335">
        <f t="shared" si="1"/>
        <v>0</v>
      </c>
      <c r="N38" s="1347"/>
      <c r="P38" s="1335"/>
      <c r="Q38" s="1335"/>
    </row>
    <row r="39" spans="1:20" s="1360" customFormat="1" hidden="1" x14ac:dyDescent="0.3">
      <c r="A39" s="1353" t="s">
        <v>1344</v>
      </c>
      <c r="B39" s="1353" t="s">
        <v>1345</v>
      </c>
      <c r="C39" s="1354" t="s">
        <v>2324</v>
      </c>
      <c r="D39" s="1376">
        <v>2341.12</v>
      </c>
      <c r="E39" s="1378"/>
      <c r="F39" s="1376"/>
      <c r="G39" s="1378"/>
      <c r="H39" s="1376"/>
      <c r="I39" s="1378"/>
      <c r="J39" s="1376"/>
      <c r="K39" s="1376">
        <f>L39-D39</f>
        <v>704.9234690000003</v>
      </c>
      <c r="L39" s="1376">
        <f>N39-L40</f>
        <v>3046.0434690000002</v>
      </c>
      <c r="M39" s="1335">
        <f t="shared" si="1"/>
        <v>0</v>
      </c>
      <c r="N39" s="1356"/>
      <c r="O39" s="1357"/>
      <c r="P39" s="1358"/>
      <c r="Q39" s="1359"/>
    </row>
    <row r="40" spans="1:20" s="1360" customFormat="1" ht="86.4" hidden="1" x14ac:dyDescent="0.3">
      <c r="A40" s="1353" t="s">
        <v>1442</v>
      </c>
      <c r="B40" s="1353" t="s">
        <v>1443</v>
      </c>
      <c r="C40" s="1354" t="s">
        <v>2325</v>
      </c>
      <c r="D40" s="1376">
        <v>866.1</v>
      </c>
      <c r="E40" s="1378"/>
      <c r="F40" s="1376">
        <f>-SUM('[160]ZEXTRAT BG'!$N$2:$Q$2)/1000000</f>
        <v>384.30295899999999</v>
      </c>
      <c r="G40" s="1378"/>
      <c r="H40" s="1376">
        <f>-(SUM('[160]ZEXTRAT BG'!$R$2:$T$2))/10^6</f>
        <v>-1310.5274899999999</v>
      </c>
      <c r="I40" s="1378"/>
      <c r="J40" s="1376"/>
      <c r="K40" s="1376">
        <f>-F40-H40+L40-D40</f>
        <v>-2985.9189380000003</v>
      </c>
      <c r="L40" s="1376">
        <f>-[160]AGE!$E$6/1000000</f>
        <v>-3046.0434690000002</v>
      </c>
      <c r="M40" s="1335">
        <f t="shared" si="1"/>
        <v>0</v>
      </c>
      <c r="N40" s="1361"/>
      <c r="O40" s="1357"/>
      <c r="P40" s="1358"/>
      <c r="Q40" s="1359"/>
    </row>
    <row r="41" spans="1:20" s="1360" customFormat="1" hidden="1" x14ac:dyDescent="0.3">
      <c r="A41" s="1353"/>
      <c r="B41" s="1353"/>
      <c r="C41" s="1354"/>
      <c r="D41" s="1376"/>
      <c r="E41" s="1378"/>
      <c r="F41" s="1376"/>
      <c r="G41" s="1378"/>
      <c r="H41" s="1376"/>
      <c r="I41" s="1378"/>
      <c r="J41" s="1376"/>
      <c r="K41" s="1376"/>
      <c r="L41" s="1376"/>
      <c r="M41" s="1335"/>
      <c r="N41" s="1361"/>
      <c r="O41" s="1357"/>
      <c r="P41" s="1358"/>
      <c r="Q41" s="1359"/>
    </row>
    <row r="42" spans="1:20" s="1360" customFormat="1" hidden="1" x14ac:dyDescent="0.3">
      <c r="A42" s="1353" t="s">
        <v>358</v>
      </c>
      <c r="B42" s="1353" t="s">
        <v>2326</v>
      </c>
      <c r="C42" s="1354"/>
      <c r="D42" s="1362">
        <f>-[159]Sheet1!$G$10/10^6</f>
        <v>6.4683770000000003</v>
      </c>
      <c r="E42" s="1378"/>
      <c r="F42" s="1378"/>
      <c r="G42" s="1378"/>
      <c r="H42" s="1378"/>
      <c r="I42" s="1376">
        <f>L42-D42</f>
        <v>-104.425999</v>
      </c>
      <c r="J42" s="1378"/>
      <c r="K42" s="1376">
        <v>0</v>
      </c>
      <c r="L42" s="1376">
        <f>-'[160]ZEXTRAT BG'!$V$10/10^6</f>
        <v>-97.957622000000001</v>
      </c>
      <c r="M42" s="1335">
        <f t="shared" si="1"/>
        <v>0</v>
      </c>
      <c r="N42" s="1361"/>
      <c r="O42" s="1357"/>
      <c r="Q42" s="1359"/>
    </row>
    <row r="43" spans="1:20" hidden="1" x14ac:dyDescent="0.3">
      <c r="A43" s="1349"/>
      <c r="B43" s="1349"/>
      <c r="C43" s="1341"/>
      <c r="D43" s="1363"/>
      <c r="E43" s="1363"/>
      <c r="F43" s="1363"/>
      <c r="G43" s="1363"/>
      <c r="H43" s="1363"/>
      <c r="I43" s="1363"/>
      <c r="J43" s="1364">
        <f>+SUM(J33:J35)-SUM(J37:J42)</f>
        <v>0</v>
      </c>
      <c r="K43" s="1364">
        <f>+SUM(K33:K35)-SUM(K37:K42)</f>
        <v>4396.6657790000008</v>
      </c>
      <c r="L43" s="1364">
        <f>+SUM(L33:L35)-SUM(L37:L42)</f>
        <v>4337.8650560000005</v>
      </c>
      <c r="N43" s="1347"/>
      <c r="P43" s="1365"/>
    </row>
    <row r="44" spans="1:20" hidden="1" x14ac:dyDescent="0.3">
      <c r="A44" s="1349"/>
      <c r="B44" s="1349"/>
      <c r="C44" s="1341"/>
      <c r="D44" s="1350">
        <v>3148.74</v>
      </c>
      <c r="E44" s="1350"/>
      <c r="F44" s="1350"/>
      <c r="G44" s="1350"/>
      <c r="H44" s="1366"/>
      <c r="I44" s="1350"/>
      <c r="J44" s="1350"/>
      <c r="K44" s="1350"/>
      <c r="L44" s="1350"/>
      <c r="N44" s="1367"/>
    </row>
    <row r="45" spans="1:20" hidden="1" x14ac:dyDescent="0.3">
      <c r="A45" s="1340" t="s">
        <v>2285</v>
      </c>
      <c r="B45" s="1340" t="s">
        <v>2327</v>
      </c>
      <c r="C45" s="1341"/>
      <c r="D45" s="1350"/>
      <c r="E45" s="1350"/>
      <c r="F45" s="1350"/>
      <c r="G45" s="1350"/>
      <c r="H45" s="1366"/>
      <c r="I45" s="1366"/>
      <c r="J45" s="1350"/>
      <c r="K45" s="1368"/>
      <c r="L45" s="1344">
        <f>-[159]Sheet1!$Z$3/10^6</f>
        <v>770.67350399999998</v>
      </c>
      <c r="M45" s="1333"/>
      <c r="P45" s="1365"/>
      <c r="T45" s="1369"/>
    </row>
    <row r="46" spans="1:20" hidden="1" x14ac:dyDescent="0.3">
      <c r="A46" s="1340" t="s">
        <v>1604</v>
      </c>
      <c r="B46" s="1340" t="s">
        <v>1605</v>
      </c>
      <c r="C46" s="1341"/>
      <c r="D46" s="1350"/>
      <c r="E46" s="1350"/>
      <c r="F46" s="1350"/>
      <c r="G46" s="1350"/>
      <c r="H46" s="1350"/>
      <c r="I46" s="1350"/>
      <c r="J46" s="1350"/>
      <c r="K46" s="1350"/>
      <c r="L46" s="1344">
        <f>-[159]Sheet1!$Z$4/10^6</f>
        <v>-563.68873900000006</v>
      </c>
      <c r="M46" s="1333"/>
      <c r="P46" s="1335"/>
      <c r="T46" s="1369"/>
    </row>
    <row r="47" spans="1:20" hidden="1" x14ac:dyDescent="0.3">
      <c r="A47" s="1340" t="s">
        <v>1699</v>
      </c>
      <c r="B47" s="1340" t="s">
        <v>1700</v>
      </c>
      <c r="C47" s="1341"/>
      <c r="D47" s="1350"/>
      <c r="E47" s="1350"/>
      <c r="F47" s="1350"/>
      <c r="G47" s="1350"/>
      <c r="H47" s="1350"/>
      <c r="I47" s="1350"/>
      <c r="J47" s="1350"/>
      <c r="K47" s="1350"/>
      <c r="L47" s="1344">
        <f>-[159]Sheet1!$Z$5/10^6</f>
        <v>-249.33123599999999</v>
      </c>
      <c r="M47" s="1333"/>
      <c r="T47" s="1369"/>
    </row>
    <row r="48" spans="1:20" hidden="1" x14ac:dyDescent="0.3">
      <c r="A48" s="1349"/>
      <c r="B48" s="1349"/>
      <c r="C48" s="1341"/>
      <c r="D48" s="1350"/>
      <c r="E48" s="1350"/>
      <c r="F48" s="1350"/>
      <c r="G48" s="1350"/>
      <c r="H48" s="1350"/>
      <c r="I48" s="1350"/>
      <c r="J48" s="1350"/>
      <c r="K48" s="1370"/>
      <c r="L48" s="1350"/>
      <c r="M48" s="1333"/>
      <c r="T48" s="1369"/>
    </row>
    <row r="49" spans="1:16" hidden="1" x14ac:dyDescent="0.3">
      <c r="A49" s="1349"/>
      <c r="B49" s="1371" t="s">
        <v>2322</v>
      </c>
      <c r="C49" s="1372"/>
      <c r="D49" s="1343"/>
      <c r="E49" s="1343"/>
      <c r="F49" s="1343"/>
      <c r="G49" s="1343"/>
      <c r="H49" s="1343"/>
      <c r="I49" s="1343"/>
      <c r="J49" s="1343"/>
      <c r="K49" s="1352"/>
      <c r="L49" s="1344">
        <f>+L47+L46+L45</f>
        <v>-42.346471000000065</v>
      </c>
    </row>
    <row r="50" spans="1:16" hidden="1" x14ac:dyDescent="0.3">
      <c r="C50" s="1336"/>
      <c r="K50" s="1333"/>
      <c r="L50" s="1335">
        <f>L49-L37</f>
        <v>-6.3948846218409017E-14</v>
      </c>
    </row>
    <row r="51" spans="1:16" hidden="1" x14ac:dyDescent="0.3">
      <c r="C51" s="1336"/>
      <c r="K51" s="1333"/>
      <c r="P51" s="1369"/>
    </row>
    <row r="52" spans="1:16" hidden="1" x14ac:dyDescent="0.3">
      <c r="C52" s="1336"/>
      <c r="K52" s="1333"/>
      <c r="M52" s="1369"/>
    </row>
    <row r="53" spans="1:16" hidden="1" x14ac:dyDescent="0.3"/>
    <row r="56" spans="1:16" x14ac:dyDescent="0.3">
      <c r="C56" s="1336"/>
      <c r="K56" s="1333"/>
      <c r="L56" s="1335">
        <f>L55-L44</f>
        <v>0</v>
      </c>
    </row>
    <row r="57" spans="1:16" x14ac:dyDescent="0.3">
      <c r="C57" s="1336"/>
      <c r="K57" s="1333"/>
      <c r="P57" s="1369"/>
    </row>
    <row r="58" spans="1:16" x14ac:dyDescent="0.3">
      <c r="C58" s="1336"/>
      <c r="K58" s="1333"/>
      <c r="M58" s="1369"/>
    </row>
    <row r="59" spans="1:16" x14ac:dyDescent="0.3">
      <c r="C59" s="1336"/>
    </row>
    <row r="60" spans="1:16" x14ac:dyDescent="0.3">
      <c r="C60" s="1336"/>
    </row>
    <row r="61" spans="1:16" x14ac:dyDescent="0.3">
      <c r="C61" s="1336"/>
    </row>
    <row r="62" spans="1:16" x14ac:dyDescent="0.3">
      <c r="C62" s="1336"/>
    </row>
    <row r="63" spans="1:16" x14ac:dyDescent="0.3">
      <c r="C63" s="1336"/>
    </row>
    <row r="67" spans="1:20" ht="18" x14ac:dyDescent="0.35">
      <c r="E67" s="2012" t="s">
        <v>2317</v>
      </c>
      <c r="F67" s="2012"/>
      <c r="G67" s="2012"/>
      <c r="H67" s="2012"/>
      <c r="I67" s="2012"/>
      <c r="J67" s="2012"/>
      <c r="K67" s="2012"/>
      <c r="L67" s="2012"/>
      <c r="P67" s="1335"/>
    </row>
    <row r="68" spans="1:20" s="1336" customFormat="1" ht="43.2" x14ac:dyDescent="0.3">
      <c r="D68" s="1337" t="s">
        <v>1037</v>
      </c>
      <c r="E68" s="1337" t="s">
        <v>2318</v>
      </c>
      <c r="F68" s="1337" t="s">
        <v>1817</v>
      </c>
      <c r="G68" s="1337" t="s">
        <v>1818</v>
      </c>
      <c r="H68" s="1337" t="s">
        <v>1819</v>
      </c>
      <c r="I68" s="1337" t="s">
        <v>2319</v>
      </c>
      <c r="J68" s="1337" t="s">
        <v>2320</v>
      </c>
      <c r="K68" s="1337" t="s">
        <v>1822</v>
      </c>
      <c r="L68" s="1337" t="s">
        <v>2321</v>
      </c>
      <c r="N68" s="1338">
        <v>146.97483100000045</v>
      </c>
      <c r="P68" s="1339"/>
    </row>
    <row r="69" spans="1:20" x14ac:dyDescent="0.3">
      <c r="A69" s="1340" t="s">
        <v>1074</v>
      </c>
      <c r="B69" s="1340" t="s">
        <v>1075</v>
      </c>
      <c r="C69" s="1341"/>
      <c r="D69" s="1342">
        <v>6303.7094269999998</v>
      </c>
      <c r="E69" s="1373"/>
      <c r="F69" s="1379"/>
      <c r="G69" s="1373"/>
      <c r="H69" s="1373"/>
      <c r="I69" s="1373"/>
      <c r="J69" s="1374"/>
      <c r="K69" s="1375">
        <v>434.4155609999998</v>
      </c>
      <c r="L69" s="1547">
        <v>6738.1249879999996</v>
      </c>
      <c r="M69" s="1335">
        <f t="shared" ref="M69:M76" si="2">SUM(D69:K69)-L69</f>
        <v>0</v>
      </c>
      <c r="N69" s="1347">
        <v>6190.78</v>
      </c>
      <c r="O69" s="1348">
        <f>+N69-L69</f>
        <v>-547.34498799999983</v>
      </c>
      <c r="Q69" s="1335"/>
    </row>
    <row r="70" spans="1:20" x14ac:dyDescent="0.3">
      <c r="A70" s="1340" t="s">
        <v>1076</v>
      </c>
      <c r="B70" s="1340" t="s">
        <v>1077</v>
      </c>
      <c r="C70" s="1341"/>
      <c r="D70" s="1380">
        <v>-4071.7676350000002</v>
      </c>
      <c r="E70" s="1373"/>
      <c r="F70" s="1373"/>
      <c r="G70" s="1374">
        <v>-805.85368700000004</v>
      </c>
      <c r="H70" s="1373"/>
      <c r="I70" s="1373"/>
      <c r="J70" s="1373"/>
      <c r="K70" s="1373"/>
      <c r="L70" s="1547">
        <v>-4877.621322</v>
      </c>
      <c r="M70" s="1335">
        <f t="shared" si="2"/>
        <v>0</v>
      </c>
      <c r="N70" s="1347"/>
      <c r="O70" s="1334">
        <v>2.0146219999996902</v>
      </c>
      <c r="Q70" s="1335"/>
    </row>
    <row r="71" spans="1:20" x14ac:dyDescent="0.3">
      <c r="A71" s="1340" t="s">
        <v>356</v>
      </c>
      <c r="B71" s="1340" t="s">
        <v>1223</v>
      </c>
      <c r="C71" s="1341"/>
      <c r="D71" s="1343">
        <v>104.26795799999999</v>
      </c>
      <c r="E71" s="1373"/>
      <c r="F71" s="1373"/>
      <c r="G71" s="1373"/>
      <c r="H71" s="1373"/>
      <c r="I71" s="1373"/>
      <c r="J71" s="1373"/>
      <c r="K71" s="1373"/>
      <c r="L71" s="1547">
        <v>106.450439</v>
      </c>
      <c r="M71" s="1369">
        <f t="shared" si="2"/>
        <v>-2.1824810000000099</v>
      </c>
      <c r="N71" s="1347"/>
      <c r="Q71" s="1335"/>
    </row>
    <row r="72" spans="1:20" x14ac:dyDescent="0.3">
      <c r="A72" s="1349"/>
      <c r="B72" s="1349"/>
      <c r="C72" s="1341"/>
      <c r="D72" s="1350"/>
      <c r="E72" s="1377"/>
      <c r="F72" s="1377"/>
      <c r="G72" s="1377"/>
      <c r="H72" s="1377"/>
      <c r="I72" s="1377"/>
      <c r="J72" s="1377"/>
      <c r="K72" s="1377"/>
      <c r="L72" s="1377"/>
      <c r="M72" s="1335">
        <f t="shared" si="2"/>
        <v>0</v>
      </c>
      <c r="N72" s="1351"/>
      <c r="Q72" s="1335"/>
    </row>
    <row r="73" spans="1:20" x14ac:dyDescent="0.3">
      <c r="A73" s="1340"/>
      <c r="B73" s="1340" t="s">
        <v>2322</v>
      </c>
      <c r="C73" s="1341"/>
      <c r="D73" s="1344">
        <v>-42.346471000000001</v>
      </c>
      <c r="E73" s="1374"/>
      <c r="F73" s="1373"/>
      <c r="G73" s="1373"/>
      <c r="H73" s="1373"/>
      <c r="I73" s="1373"/>
      <c r="J73" s="1373"/>
      <c r="K73" s="1373"/>
      <c r="L73" s="1374">
        <v>58.224255999999997</v>
      </c>
      <c r="M73" s="1335">
        <f t="shared" si="2"/>
        <v>-100.57072700000001</v>
      </c>
      <c r="N73" s="1347"/>
      <c r="P73" s="1335"/>
      <c r="Q73" s="1335"/>
      <c r="T73" s="1335"/>
    </row>
    <row r="74" spans="1:20" x14ac:dyDescent="0.3">
      <c r="A74" s="1340"/>
      <c r="B74" s="1340" t="s">
        <v>2323</v>
      </c>
      <c r="C74" s="1341"/>
      <c r="D74" s="1342">
        <v>-124.40815499999999</v>
      </c>
      <c r="E74" s="1373"/>
      <c r="F74" s="1373"/>
      <c r="G74" s="1373"/>
      <c r="H74" s="1373"/>
      <c r="I74" s="1373"/>
      <c r="J74" s="1373"/>
      <c r="K74" s="1373"/>
      <c r="L74" s="1374">
        <v>-340.12930299999999</v>
      </c>
      <c r="M74" s="1335">
        <f t="shared" si="2"/>
        <v>215.721148</v>
      </c>
      <c r="N74" s="1347"/>
      <c r="P74" s="1335"/>
      <c r="Q74" s="1335"/>
    </row>
    <row r="75" spans="1:20" s="1360" customFormat="1" x14ac:dyDescent="0.3">
      <c r="A75" s="1353" t="s">
        <v>1344</v>
      </c>
      <c r="B75" s="1353" t="s">
        <v>1345</v>
      </c>
      <c r="C75" s="1354" t="s">
        <v>2324</v>
      </c>
      <c r="D75" s="1376">
        <v>816.1176640000001</v>
      </c>
      <c r="E75" s="1378"/>
      <c r="F75" s="1376"/>
      <c r="G75" s="1378"/>
      <c r="H75" s="1376"/>
      <c r="I75" s="1378"/>
      <c r="J75" s="1376"/>
      <c r="K75" s="1376">
        <v>655.36524099999974</v>
      </c>
      <c r="L75" s="1376">
        <v>1471.4829049999998</v>
      </c>
      <c r="M75" s="1335">
        <f t="shared" si="2"/>
        <v>0</v>
      </c>
      <c r="N75" s="1356"/>
      <c r="O75" s="1357"/>
      <c r="P75" s="1358"/>
      <c r="Q75" s="1359"/>
    </row>
    <row r="76" spans="1:20" s="1360" customFormat="1" ht="86.4" x14ac:dyDescent="0.3">
      <c r="A76" s="1353" t="s">
        <v>1442</v>
      </c>
      <c r="B76" s="1353" t="s">
        <v>1443</v>
      </c>
      <c r="C76" s="1354" t="s">
        <v>2325</v>
      </c>
      <c r="D76" s="1376">
        <v>1860.221389</v>
      </c>
      <c r="E76" s="1378"/>
      <c r="F76" s="1376">
        <v>116.483874</v>
      </c>
      <c r="G76" s="1378"/>
      <c r="H76" s="1376">
        <v>-978.37933599999997</v>
      </c>
      <c r="I76" s="1378"/>
      <c r="J76" s="1376"/>
      <c r="K76" s="1376">
        <v>-220.94967999999994</v>
      </c>
      <c r="L76" s="1376">
        <v>777.37624700000003</v>
      </c>
      <c r="M76" s="1335">
        <f t="shared" si="2"/>
        <v>0</v>
      </c>
      <c r="N76" s="1361"/>
      <c r="O76" s="1357"/>
      <c r="P76" s="1358"/>
      <c r="Q76" s="1359"/>
    </row>
    <row r="77" spans="1:20" s="1360" customFormat="1" x14ac:dyDescent="0.3">
      <c r="A77" s="1353"/>
      <c r="B77" s="1353"/>
      <c r="C77" s="1354"/>
      <c r="D77" s="1376"/>
      <c r="E77" s="1378"/>
      <c r="F77" s="1376"/>
      <c r="G77" s="1378"/>
      <c r="H77" s="1376"/>
      <c r="I77" s="1378"/>
      <c r="J77" s="1376"/>
      <c r="K77" s="1376"/>
      <c r="L77" s="1376"/>
      <c r="M77" s="1335"/>
      <c r="N77" s="1361"/>
      <c r="O77" s="1357"/>
      <c r="P77" s="1358"/>
      <c r="Q77" s="1359"/>
    </row>
    <row r="78" spans="1:20" s="1360" customFormat="1" x14ac:dyDescent="0.3">
      <c r="A78" s="1353" t="s">
        <v>358</v>
      </c>
      <c r="B78" s="1353" t="s">
        <v>2326</v>
      </c>
      <c r="C78" s="1354"/>
      <c r="D78" s="1362"/>
      <c r="E78" s="1378"/>
      <c r="F78" s="1378"/>
      <c r="G78" s="1378"/>
      <c r="H78" s="1378"/>
      <c r="I78" s="1376">
        <v>0</v>
      </c>
      <c r="J78" s="1378"/>
      <c r="K78" s="1376">
        <v>0</v>
      </c>
      <c r="L78" s="1376"/>
      <c r="M78" s="1335">
        <f>SUM(D78:K78)-L78</f>
        <v>0</v>
      </c>
      <c r="N78" s="1361"/>
      <c r="O78" s="1357"/>
      <c r="Q78" s="1359"/>
    </row>
    <row r="79" spans="1:20" x14ac:dyDescent="0.3">
      <c r="A79" s="1349"/>
      <c r="B79" s="1349"/>
      <c r="C79" s="1341"/>
      <c r="D79" s="1363"/>
      <c r="E79" s="1363"/>
      <c r="F79" s="1363"/>
      <c r="G79" s="1363"/>
      <c r="H79" s="1363"/>
      <c r="I79" s="1363"/>
      <c r="J79" s="1364">
        <v>0</v>
      </c>
      <c r="K79" s="1364">
        <v>0</v>
      </c>
      <c r="L79" s="1364">
        <v>0</v>
      </c>
      <c r="N79" s="1347"/>
      <c r="P79" s="1365"/>
    </row>
    <row r="80" spans="1:20" x14ac:dyDescent="0.3">
      <c r="A80" s="1349"/>
      <c r="B80" s="1349"/>
      <c r="C80" s="1341"/>
      <c r="D80" s="1377"/>
      <c r="E80" s="1350"/>
      <c r="F80" s="1350"/>
      <c r="G80" s="1350"/>
      <c r="H80" s="1366"/>
      <c r="I80" s="1350"/>
      <c r="J80" s="1350"/>
      <c r="K80" s="1350"/>
      <c r="L80" s="1397"/>
      <c r="N80" s="1367">
        <f>L75+L76</f>
        <v>2248.859152</v>
      </c>
    </row>
    <row r="81" spans="1:20" x14ac:dyDescent="0.3">
      <c r="A81" s="1340" t="s">
        <v>2285</v>
      </c>
      <c r="B81" s="1340" t="s">
        <v>2327</v>
      </c>
      <c r="C81" s="1341"/>
      <c r="D81" s="1377"/>
      <c r="E81" s="1350"/>
      <c r="F81" s="1350"/>
      <c r="G81" s="1350"/>
      <c r="H81" s="1366"/>
      <c r="I81" s="1366"/>
      <c r="J81" s="1350"/>
      <c r="K81" s="1368"/>
      <c r="L81" s="1398">
        <v>980.56181700000002</v>
      </c>
      <c r="M81" s="1333"/>
      <c r="N81" s="1333">
        <v>-2384090666</v>
      </c>
      <c r="O81" s="1334">
        <v>-732826169</v>
      </c>
      <c r="P81" s="1365"/>
      <c r="T81" s="1369"/>
    </row>
    <row r="82" spans="1:20" x14ac:dyDescent="0.3">
      <c r="A82" s="1340" t="s">
        <v>1604</v>
      </c>
      <c r="B82" s="1340" t="s">
        <v>1605</v>
      </c>
      <c r="C82" s="1341"/>
      <c r="D82" s="1381"/>
      <c r="E82" s="1350"/>
      <c r="F82" s="1350"/>
      <c r="G82" s="1350"/>
      <c r="H82" s="1350"/>
      <c r="I82" s="1350"/>
      <c r="J82" s="1350"/>
      <c r="K82" s="1350"/>
      <c r="L82" s="1398">
        <v>-805.85368700000004</v>
      </c>
      <c r="M82" s="1333"/>
      <c r="P82" s="1335"/>
      <c r="T82" s="1369"/>
    </row>
    <row r="83" spans="1:20" x14ac:dyDescent="0.3">
      <c r="A83" s="1340" t="s">
        <v>1699</v>
      </c>
      <c r="B83" s="1340" t="s">
        <v>1700</v>
      </c>
      <c r="C83" s="1341"/>
      <c r="D83" s="1350"/>
      <c r="E83" s="1350"/>
      <c r="F83" s="1350"/>
      <c r="G83" s="1350"/>
      <c r="H83" s="1350"/>
      <c r="I83" s="1350"/>
      <c r="J83" s="1350"/>
      <c r="K83" s="1350"/>
      <c r="L83" s="1398">
        <v>-116.483874</v>
      </c>
      <c r="M83" s="1333"/>
      <c r="N83" s="1333">
        <v>2447559558</v>
      </c>
      <c r="T83" s="1369"/>
    </row>
    <row r="84" spans="1:20" x14ac:dyDescent="0.3">
      <c r="A84" s="1349"/>
      <c r="B84" s="1349"/>
      <c r="C84" s="1341"/>
      <c r="D84" s="1350"/>
      <c r="E84" s="1350"/>
      <c r="F84" s="1350"/>
      <c r="G84" s="1350"/>
      <c r="H84" s="1350"/>
      <c r="I84" s="1350"/>
      <c r="J84" s="1350"/>
      <c r="K84" s="1370"/>
      <c r="L84" s="1350"/>
      <c r="M84" s="1333"/>
      <c r="T84" s="1369"/>
    </row>
    <row r="85" spans="1:20" x14ac:dyDescent="0.3">
      <c r="A85" s="1349"/>
      <c r="B85" s="1371" t="s">
        <v>2322</v>
      </c>
      <c r="C85" s="1372"/>
      <c r="D85" s="1343"/>
      <c r="E85" s="1343"/>
      <c r="F85" s="1343"/>
      <c r="G85" s="1343"/>
      <c r="H85" s="1343"/>
      <c r="I85" s="1343"/>
      <c r="J85" s="1343"/>
      <c r="K85" s="1352"/>
      <c r="L85" s="1587">
        <v>58.224255999999968</v>
      </c>
      <c r="N85" s="1333">
        <f>N81+N83</f>
        <v>63468892</v>
      </c>
    </row>
    <row r="86" spans="1:20" x14ac:dyDescent="0.3">
      <c r="C86" s="1336"/>
      <c r="K86" s="1333"/>
      <c r="L86" s="1335">
        <v>398.35355899999996</v>
      </c>
    </row>
    <row r="87" spans="1:20" x14ac:dyDescent="0.3">
      <c r="C87" s="1336"/>
      <c r="K87" s="1333"/>
      <c r="P87" s="1369"/>
    </row>
    <row r="88" spans="1:20" x14ac:dyDescent="0.3">
      <c r="C88" s="1336"/>
      <c r="K88" s="1333"/>
      <c r="M88" s="1369"/>
    </row>
    <row r="89" spans="1:20" x14ac:dyDescent="0.3">
      <c r="K89" s="1333"/>
    </row>
    <row r="90" spans="1:20" x14ac:dyDescent="0.3">
      <c r="K90" s="1333"/>
    </row>
  </sheetData>
  <mergeCells count="3">
    <mergeCell ref="E2:L2"/>
    <mergeCell ref="E31:L31"/>
    <mergeCell ref="E67:L6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I4:I5"/>
  <sheetViews>
    <sheetView workbookViewId="0">
      <selection activeCell="I25" sqref="I25"/>
    </sheetView>
  </sheetViews>
  <sheetFormatPr baseColWidth="10" defaultRowHeight="14.4" x14ac:dyDescent="0.3"/>
  <sheetData>
    <row r="4" spans="9:9" x14ac:dyDescent="0.3">
      <c r="I4">
        <v>360</v>
      </c>
    </row>
    <row r="5" spans="9:9" x14ac:dyDescent="0.3">
      <c r="I5">
        <v>-155.1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36"/>
  <sheetViews>
    <sheetView topLeftCell="A23" workbookViewId="0">
      <selection activeCell="I25" sqref="I25"/>
    </sheetView>
  </sheetViews>
  <sheetFormatPr baseColWidth="10" defaultRowHeight="14.4" x14ac:dyDescent="0.3"/>
  <cols>
    <col min="2" max="2" width="22" bestFit="1" customWidth="1"/>
    <col min="6" max="6" width="31.88671875" bestFit="1" customWidth="1"/>
    <col min="7" max="7" width="16.44140625" style="98" bestFit="1" customWidth="1"/>
  </cols>
  <sheetData>
    <row r="1" spans="1:18" x14ac:dyDescent="0.3">
      <c r="A1" t="s">
        <v>2340</v>
      </c>
      <c r="B1" t="s">
        <v>2341</v>
      </c>
      <c r="C1" t="s">
        <v>2342</v>
      </c>
      <c r="D1" t="s">
        <v>2343</v>
      </c>
      <c r="E1" t="s">
        <v>2344</v>
      </c>
      <c r="F1" t="s">
        <v>2345</v>
      </c>
      <c r="G1" s="98" t="s">
        <v>2346</v>
      </c>
      <c r="H1" t="s">
        <v>2347</v>
      </c>
      <c r="I1" t="s">
        <v>2348</v>
      </c>
      <c r="J1" t="s">
        <v>2349</v>
      </c>
      <c r="K1" t="s">
        <v>2350</v>
      </c>
      <c r="L1" t="s">
        <v>2351</v>
      </c>
      <c r="M1" t="s">
        <v>2352</v>
      </c>
      <c r="N1" t="s">
        <v>2353</v>
      </c>
      <c r="O1" t="s">
        <v>2354</v>
      </c>
      <c r="P1" t="s">
        <v>2355</v>
      </c>
      <c r="Q1" t="s">
        <v>2356</v>
      </c>
      <c r="R1" t="s">
        <v>2357</v>
      </c>
    </row>
    <row r="2" spans="1:18" x14ac:dyDescent="0.3">
      <c r="A2" s="1425">
        <v>44957</v>
      </c>
      <c r="B2" t="s">
        <v>2420</v>
      </c>
      <c r="C2" t="s">
        <v>2358</v>
      </c>
      <c r="D2" t="s">
        <v>2359</v>
      </c>
      <c r="E2" t="s">
        <v>2360</v>
      </c>
      <c r="F2" t="s">
        <v>2421</v>
      </c>
      <c r="G2" s="98">
        <v>63776932</v>
      </c>
      <c r="H2">
        <v>0</v>
      </c>
      <c r="I2" t="s">
        <v>2360</v>
      </c>
      <c r="J2" t="s">
        <v>2422</v>
      </c>
      <c r="K2" t="s">
        <v>2423</v>
      </c>
      <c r="M2" t="s">
        <v>2361</v>
      </c>
      <c r="N2">
        <v>2</v>
      </c>
      <c r="O2">
        <v>1</v>
      </c>
      <c r="P2">
        <v>1</v>
      </c>
    </row>
    <row r="3" spans="1:18" x14ac:dyDescent="0.3">
      <c r="A3" s="1425">
        <v>44985</v>
      </c>
      <c r="B3" t="s">
        <v>2424</v>
      </c>
      <c r="C3" t="s">
        <v>2358</v>
      </c>
      <c r="D3" t="s">
        <v>2359</v>
      </c>
      <c r="E3" t="s">
        <v>2360</v>
      </c>
      <c r="F3" t="s">
        <v>2425</v>
      </c>
      <c r="G3" s="98">
        <v>63055945</v>
      </c>
      <c r="H3">
        <v>0</v>
      </c>
      <c r="I3" t="s">
        <v>2360</v>
      </c>
      <c r="J3" t="s">
        <v>2422</v>
      </c>
      <c r="K3" t="s">
        <v>2423</v>
      </c>
      <c r="M3" t="s">
        <v>2361</v>
      </c>
      <c r="N3">
        <v>2</v>
      </c>
      <c r="O3">
        <v>1</v>
      </c>
      <c r="P3">
        <v>1</v>
      </c>
    </row>
    <row r="4" spans="1:18" x14ac:dyDescent="0.3">
      <c r="A4" s="1425">
        <v>45000</v>
      </c>
      <c r="B4" t="s">
        <v>2426</v>
      </c>
      <c r="C4" t="s">
        <v>2358</v>
      </c>
      <c r="D4" t="s">
        <v>2359</v>
      </c>
      <c r="E4" t="s">
        <v>2360</v>
      </c>
      <c r="F4" t="s">
        <v>2427</v>
      </c>
      <c r="G4" s="98">
        <v>1217200</v>
      </c>
      <c r="H4">
        <v>0</v>
      </c>
      <c r="I4" t="s">
        <v>2360</v>
      </c>
      <c r="J4" t="s">
        <v>2422</v>
      </c>
      <c r="K4" t="s">
        <v>2423</v>
      </c>
      <c r="M4" t="s">
        <v>2361</v>
      </c>
      <c r="N4">
        <v>2</v>
      </c>
      <c r="O4">
        <v>1</v>
      </c>
      <c r="P4">
        <v>1</v>
      </c>
    </row>
    <row r="5" spans="1:18" x14ac:dyDescent="0.3">
      <c r="A5" s="1425">
        <v>45000</v>
      </c>
      <c r="B5" t="s">
        <v>2428</v>
      </c>
      <c r="C5" t="s">
        <v>2358</v>
      </c>
      <c r="D5" t="s">
        <v>2359</v>
      </c>
      <c r="E5" t="s">
        <v>2360</v>
      </c>
      <c r="F5" t="s">
        <v>2429</v>
      </c>
      <c r="G5" s="98">
        <v>4000</v>
      </c>
      <c r="H5">
        <v>0</v>
      </c>
      <c r="I5" t="s">
        <v>2360</v>
      </c>
      <c r="J5" t="s">
        <v>2422</v>
      </c>
      <c r="K5" t="s">
        <v>2423</v>
      </c>
      <c r="M5" t="s">
        <v>2361</v>
      </c>
      <c r="N5">
        <v>2</v>
      </c>
      <c r="O5">
        <v>1</v>
      </c>
      <c r="P5">
        <v>1</v>
      </c>
    </row>
    <row r="6" spans="1:18" x14ac:dyDescent="0.3">
      <c r="A6" s="1425">
        <v>45009</v>
      </c>
      <c r="B6" t="s">
        <v>2430</v>
      </c>
      <c r="C6" t="s">
        <v>2358</v>
      </c>
      <c r="D6" t="s">
        <v>2359</v>
      </c>
      <c r="E6" t="s">
        <v>2360</v>
      </c>
      <c r="F6" t="s">
        <v>2431</v>
      </c>
      <c r="G6" s="98">
        <v>68716382</v>
      </c>
      <c r="H6">
        <v>0</v>
      </c>
      <c r="I6" t="s">
        <v>2360</v>
      </c>
      <c r="K6" t="s">
        <v>2423</v>
      </c>
      <c r="M6" t="s">
        <v>2361</v>
      </c>
      <c r="N6">
        <v>2</v>
      </c>
      <c r="O6">
        <v>1</v>
      </c>
      <c r="P6">
        <v>1</v>
      </c>
    </row>
    <row r="7" spans="1:18" x14ac:dyDescent="0.3">
      <c r="A7" s="1425">
        <v>45022</v>
      </c>
      <c r="B7" t="s">
        <v>2444</v>
      </c>
      <c r="C7" t="s">
        <v>2358</v>
      </c>
      <c r="D7" t="s">
        <v>2359</v>
      </c>
      <c r="E7" t="s">
        <v>2360</v>
      </c>
      <c r="F7" t="s">
        <v>2445</v>
      </c>
      <c r="G7" s="98">
        <v>-68716382</v>
      </c>
      <c r="H7">
        <v>0</v>
      </c>
      <c r="I7" t="s">
        <v>2360</v>
      </c>
      <c r="K7" t="s">
        <v>2423</v>
      </c>
      <c r="M7" t="s">
        <v>2361</v>
      </c>
      <c r="N7">
        <v>2</v>
      </c>
      <c r="O7">
        <v>1</v>
      </c>
      <c r="P7">
        <v>1</v>
      </c>
    </row>
    <row r="8" spans="1:18" x14ac:dyDescent="0.3">
      <c r="A8" s="1425">
        <v>45022</v>
      </c>
      <c r="B8" t="s">
        <v>2446</v>
      </c>
      <c r="C8" t="s">
        <v>2358</v>
      </c>
      <c r="D8" t="s">
        <v>2359</v>
      </c>
      <c r="E8" t="s">
        <v>2360</v>
      </c>
      <c r="F8" t="s">
        <v>2447</v>
      </c>
      <c r="G8" s="98">
        <v>67142902</v>
      </c>
      <c r="H8">
        <v>0</v>
      </c>
      <c r="I8" t="s">
        <v>2360</v>
      </c>
      <c r="J8" t="s">
        <v>2422</v>
      </c>
      <c r="K8" t="s">
        <v>2423</v>
      </c>
      <c r="M8" t="s">
        <v>2361</v>
      </c>
      <c r="N8">
        <v>2</v>
      </c>
      <c r="O8">
        <v>1</v>
      </c>
      <c r="P8">
        <v>1</v>
      </c>
    </row>
    <row r="9" spans="1:18" x14ac:dyDescent="0.3">
      <c r="A9" s="1425">
        <v>45046</v>
      </c>
      <c r="B9" t="s">
        <v>2448</v>
      </c>
      <c r="C9" t="s">
        <v>2358</v>
      </c>
      <c r="D9" t="s">
        <v>2359</v>
      </c>
      <c r="E9" t="s">
        <v>2360</v>
      </c>
      <c r="F9" t="s">
        <v>2449</v>
      </c>
      <c r="G9" s="98">
        <v>64126819</v>
      </c>
      <c r="H9">
        <v>0</v>
      </c>
      <c r="I9" t="s">
        <v>2360</v>
      </c>
      <c r="J9" t="s">
        <v>2422</v>
      </c>
      <c r="K9" t="s">
        <v>2423</v>
      </c>
      <c r="M9" t="s">
        <v>2361</v>
      </c>
      <c r="N9">
        <v>2</v>
      </c>
      <c r="O9">
        <v>1</v>
      </c>
      <c r="P9">
        <v>1</v>
      </c>
    </row>
    <row r="10" spans="1:18" x14ac:dyDescent="0.3">
      <c r="A10" s="1425">
        <v>45046</v>
      </c>
      <c r="B10" t="s">
        <v>2450</v>
      </c>
      <c r="C10" t="s">
        <v>2358</v>
      </c>
      <c r="D10" t="s">
        <v>2359</v>
      </c>
      <c r="E10" t="s">
        <v>2360</v>
      </c>
      <c r="F10" t="s">
        <v>2451</v>
      </c>
      <c r="G10" s="98">
        <v>-10275006</v>
      </c>
      <c r="H10">
        <v>0</v>
      </c>
      <c r="I10" t="s">
        <v>2360</v>
      </c>
      <c r="J10" t="s">
        <v>2422</v>
      </c>
      <c r="K10" t="s">
        <v>2423</v>
      </c>
      <c r="M10" t="s">
        <v>2361</v>
      </c>
      <c r="N10">
        <v>2</v>
      </c>
      <c r="O10">
        <v>1</v>
      </c>
      <c r="P10">
        <v>1</v>
      </c>
    </row>
    <row r="11" spans="1:18" x14ac:dyDescent="0.3">
      <c r="A11" s="1425">
        <v>45077</v>
      </c>
      <c r="B11" t="s">
        <v>2452</v>
      </c>
      <c r="C11" t="s">
        <v>2358</v>
      </c>
      <c r="D11" t="s">
        <v>2359</v>
      </c>
      <c r="E11" t="s">
        <v>2360</v>
      </c>
      <c r="F11" t="s">
        <v>2453</v>
      </c>
      <c r="G11" s="98">
        <v>66704783</v>
      </c>
      <c r="H11">
        <v>0</v>
      </c>
      <c r="I11" t="s">
        <v>2360</v>
      </c>
      <c r="J11" t="s">
        <v>2422</v>
      </c>
      <c r="K11" t="s">
        <v>2423</v>
      </c>
      <c r="M11" t="s">
        <v>2361</v>
      </c>
      <c r="N11">
        <v>2</v>
      </c>
      <c r="O11">
        <v>1</v>
      </c>
      <c r="P11">
        <v>1</v>
      </c>
    </row>
    <row r="12" spans="1:18" x14ac:dyDescent="0.3">
      <c r="A12" s="1425">
        <v>45099</v>
      </c>
      <c r="B12" t="s">
        <v>2454</v>
      </c>
      <c r="C12" t="s">
        <v>2358</v>
      </c>
      <c r="D12" t="s">
        <v>2359</v>
      </c>
      <c r="E12" t="s">
        <v>2360</v>
      </c>
      <c r="F12" t="s">
        <v>2455</v>
      </c>
      <c r="G12" s="98">
        <v>66704783</v>
      </c>
      <c r="H12">
        <v>0</v>
      </c>
      <c r="I12" t="s">
        <v>2360</v>
      </c>
      <c r="K12" t="s">
        <v>2423</v>
      </c>
      <c r="M12" t="s">
        <v>2361</v>
      </c>
      <c r="N12">
        <v>2</v>
      </c>
      <c r="O12">
        <v>1</v>
      </c>
      <c r="P12">
        <v>1</v>
      </c>
    </row>
    <row r="13" spans="1:18" x14ac:dyDescent="0.3">
      <c r="A13" s="1425">
        <v>45111</v>
      </c>
      <c r="B13" t="s">
        <v>2507</v>
      </c>
      <c r="C13" t="s">
        <v>2358</v>
      </c>
      <c r="D13" t="s">
        <v>2359</v>
      </c>
      <c r="E13" t="s">
        <v>2360</v>
      </c>
      <c r="F13" t="s">
        <v>2455</v>
      </c>
      <c r="G13" s="98">
        <v>-66704783</v>
      </c>
      <c r="H13">
        <v>0</v>
      </c>
      <c r="I13" t="s">
        <v>2360</v>
      </c>
      <c r="K13" t="str">
        <f t="shared" ref="K13:K18" si="0">"001"</f>
        <v>001</v>
      </c>
      <c r="M13" t="s">
        <v>2361</v>
      </c>
      <c r="N13">
        <v>2</v>
      </c>
      <c r="O13">
        <v>1</v>
      </c>
      <c r="P13">
        <v>1</v>
      </c>
    </row>
    <row r="14" spans="1:18" x14ac:dyDescent="0.3">
      <c r="A14" s="1425">
        <v>45111</v>
      </c>
      <c r="B14" t="s">
        <v>2508</v>
      </c>
      <c r="C14" t="s">
        <v>2358</v>
      </c>
      <c r="D14" t="s">
        <v>2359</v>
      </c>
      <c r="E14" t="s">
        <v>2360</v>
      </c>
      <c r="F14" t="s">
        <v>2509</v>
      </c>
      <c r="G14" s="98">
        <v>63947946</v>
      </c>
      <c r="H14">
        <v>0</v>
      </c>
      <c r="I14" t="s">
        <v>2360</v>
      </c>
      <c r="J14" t="str">
        <f>"442000"</f>
        <v>442000</v>
      </c>
      <c r="K14" t="str">
        <f t="shared" si="0"/>
        <v>001</v>
      </c>
      <c r="M14" t="s">
        <v>2361</v>
      </c>
      <c r="N14">
        <v>2</v>
      </c>
      <c r="O14">
        <v>1</v>
      </c>
      <c r="P14">
        <v>1</v>
      </c>
    </row>
    <row r="15" spans="1:18" x14ac:dyDescent="0.3">
      <c r="A15" s="1425">
        <v>45138</v>
      </c>
      <c r="B15" t="s">
        <v>2510</v>
      </c>
      <c r="C15" t="s">
        <v>2358</v>
      </c>
      <c r="D15" t="s">
        <v>2359</v>
      </c>
      <c r="E15" t="s">
        <v>2360</v>
      </c>
      <c r="F15" t="s">
        <v>2511</v>
      </c>
      <c r="G15" s="98">
        <v>64032292</v>
      </c>
      <c r="H15">
        <v>0</v>
      </c>
      <c r="I15" t="s">
        <v>2360</v>
      </c>
      <c r="J15" t="str">
        <f>"442000"</f>
        <v>442000</v>
      </c>
      <c r="K15" t="str">
        <f t="shared" si="0"/>
        <v>001</v>
      </c>
      <c r="M15" t="s">
        <v>2361</v>
      </c>
      <c r="N15">
        <v>2</v>
      </c>
      <c r="O15">
        <v>1</v>
      </c>
      <c r="P15">
        <v>1</v>
      </c>
    </row>
    <row r="16" spans="1:18" x14ac:dyDescent="0.3">
      <c r="A16" s="1425">
        <v>45138</v>
      </c>
      <c r="B16" t="s">
        <v>2512</v>
      </c>
      <c r="C16" t="s">
        <v>2358</v>
      </c>
      <c r="D16" t="s">
        <v>2359</v>
      </c>
      <c r="E16" t="s">
        <v>2360</v>
      </c>
      <c r="F16" t="s">
        <v>2513</v>
      </c>
      <c r="G16" s="98">
        <v>1631610</v>
      </c>
      <c r="H16">
        <v>0</v>
      </c>
      <c r="I16" t="s">
        <v>2360</v>
      </c>
      <c r="J16" t="str">
        <f>"442000"</f>
        <v>442000</v>
      </c>
      <c r="K16" t="str">
        <f t="shared" si="0"/>
        <v>001</v>
      </c>
      <c r="M16" t="s">
        <v>2361</v>
      </c>
      <c r="N16">
        <v>2</v>
      </c>
      <c r="O16">
        <v>1</v>
      </c>
      <c r="P16">
        <v>1</v>
      </c>
    </row>
    <row r="17" spans="1:16" x14ac:dyDescent="0.3">
      <c r="A17" s="1425">
        <v>45169</v>
      </c>
      <c r="B17" t="s">
        <v>2514</v>
      </c>
      <c r="C17" t="s">
        <v>2358</v>
      </c>
      <c r="D17" t="s">
        <v>2359</v>
      </c>
      <c r="E17" t="s">
        <v>2360</v>
      </c>
      <c r="F17" t="s">
        <v>2515</v>
      </c>
      <c r="G17" s="98">
        <v>64409611</v>
      </c>
      <c r="H17">
        <v>0</v>
      </c>
      <c r="I17" t="s">
        <v>2360</v>
      </c>
      <c r="J17" t="str">
        <f>"442000"</f>
        <v>442000</v>
      </c>
      <c r="K17" t="str">
        <f t="shared" si="0"/>
        <v>001</v>
      </c>
      <c r="M17" t="s">
        <v>2361</v>
      </c>
      <c r="N17">
        <v>2</v>
      </c>
      <c r="O17">
        <v>1</v>
      </c>
      <c r="P17">
        <v>1</v>
      </c>
    </row>
    <row r="18" spans="1:16" x14ac:dyDescent="0.3">
      <c r="A18" s="1425">
        <v>45189</v>
      </c>
      <c r="B18" t="s">
        <v>2516</v>
      </c>
      <c r="C18" t="s">
        <v>2358</v>
      </c>
      <c r="D18" t="s">
        <v>2359</v>
      </c>
      <c r="E18" t="s">
        <v>2360</v>
      </c>
      <c r="F18" t="s">
        <v>2517</v>
      </c>
      <c r="G18" s="98">
        <v>64409611</v>
      </c>
      <c r="H18">
        <v>0</v>
      </c>
      <c r="I18" t="s">
        <v>2360</v>
      </c>
      <c r="K18" t="str">
        <f t="shared" si="0"/>
        <v>001</v>
      </c>
      <c r="M18" t="s">
        <v>2361</v>
      </c>
      <c r="N18">
        <v>2</v>
      </c>
      <c r="O18">
        <v>1</v>
      </c>
      <c r="P18">
        <v>1</v>
      </c>
    </row>
    <row r="19" spans="1:16" x14ac:dyDescent="0.3">
      <c r="A19" s="1425"/>
    </row>
    <row r="20" spans="1:16" x14ac:dyDescent="0.3">
      <c r="A20" s="1425">
        <v>45199</v>
      </c>
      <c r="B20" t="s">
        <v>2572</v>
      </c>
      <c r="C20" t="s">
        <v>2358</v>
      </c>
      <c r="D20" t="s">
        <v>2359</v>
      </c>
      <c r="E20" t="s">
        <v>2360</v>
      </c>
      <c r="F20" t="s">
        <v>2517</v>
      </c>
      <c r="G20" s="1752">
        <v>-64409611</v>
      </c>
      <c r="H20">
        <v>0</v>
      </c>
      <c r="I20" t="s">
        <v>2360</v>
      </c>
      <c r="K20" t="str">
        <f t="shared" ref="K20:K26" si="1">"001"</f>
        <v>001</v>
      </c>
      <c r="M20" t="s">
        <v>2361</v>
      </c>
      <c r="N20">
        <v>2</v>
      </c>
      <c r="O20">
        <v>1</v>
      </c>
      <c r="P20">
        <v>1</v>
      </c>
    </row>
    <row r="21" spans="1:16" x14ac:dyDescent="0.3">
      <c r="A21" s="1425">
        <v>45199</v>
      </c>
      <c r="B21" t="s">
        <v>2573</v>
      </c>
      <c r="C21" t="s">
        <v>2358</v>
      </c>
      <c r="D21" t="s">
        <v>2359</v>
      </c>
      <c r="E21" t="s">
        <v>2360</v>
      </c>
      <c r="F21" t="s">
        <v>2574</v>
      </c>
      <c r="G21" s="1752">
        <v>62126047</v>
      </c>
      <c r="H21">
        <v>0</v>
      </c>
      <c r="I21" t="s">
        <v>2360</v>
      </c>
      <c r="J21" t="str">
        <f t="shared" ref="J21:J26" si="2">"442000"</f>
        <v>442000</v>
      </c>
      <c r="K21" t="str">
        <f t="shared" si="1"/>
        <v>001</v>
      </c>
      <c r="M21" t="s">
        <v>2361</v>
      </c>
      <c r="N21">
        <v>2</v>
      </c>
      <c r="O21">
        <v>1</v>
      </c>
      <c r="P21">
        <v>1</v>
      </c>
    </row>
    <row r="22" spans="1:16" x14ac:dyDescent="0.3">
      <c r="A22" s="1425">
        <v>45199</v>
      </c>
      <c r="B22" t="s">
        <v>2575</v>
      </c>
      <c r="C22" t="s">
        <v>2358</v>
      </c>
      <c r="D22" t="s">
        <v>2359</v>
      </c>
      <c r="E22" t="s">
        <v>2360</v>
      </c>
      <c r="F22" t="s">
        <v>2576</v>
      </c>
      <c r="G22" s="1752">
        <v>1424400</v>
      </c>
      <c r="H22">
        <v>0</v>
      </c>
      <c r="I22" t="s">
        <v>2360</v>
      </c>
      <c r="J22" t="str">
        <f t="shared" si="2"/>
        <v>442000</v>
      </c>
      <c r="K22" t="str">
        <f t="shared" si="1"/>
        <v>001</v>
      </c>
      <c r="M22" t="s">
        <v>2361</v>
      </c>
      <c r="N22">
        <v>2</v>
      </c>
      <c r="O22">
        <v>1</v>
      </c>
      <c r="P22">
        <v>1</v>
      </c>
    </row>
    <row r="23" spans="1:16" x14ac:dyDescent="0.3">
      <c r="A23" s="1425">
        <v>45230</v>
      </c>
      <c r="B23" t="s">
        <v>2577</v>
      </c>
      <c r="C23" t="s">
        <v>2358</v>
      </c>
      <c r="D23" t="s">
        <v>2359</v>
      </c>
      <c r="E23" t="s">
        <v>2360</v>
      </c>
      <c r="F23" t="s">
        <v>2578</v>
      </c>
      <c r="G23" s="1752">
        <v>65832916</v>
      </c>
      <c r="H23">
        <v>0</v>
      </c>
      <c r="I23" t="s">
        <v>2360</v>
      </c>
      <c r="J23" t="str">
        <f t="shared" si="2"/>
        <v>442000</v>
      </c>
      <c r="K23" t="str">
        <f t="shared" si="1"/>
        <v>001</v>
      </c>
      <c r="M23" t="s">
        <v>2361</v>
      </c>
      <c r="N23">
        <v>2</v>
      </c>
      <c r="O23">
        <v>1</v>
      </c>
      <c r="P23">
        <v>1</v>
      </c>
    </row>
    <row r="24" spans="1:16" x14ac:dyDescent="0.3">
      <c r="A24" s="1425">
        <v>45260</v>
      </c>
      <c r="B24" t="s">
        <v>2579</v>
      </c>
      <c r="C24" t="s">
        <v>2358</v>
      </c>
      <c r="D24" t="s">
        <v>2359</v>
      </c>
      <c r="E24" t="s">
        <v>2360</v>
      </c>
      <c r="F24" t="s">
        <v>2580</v>
      </c>
      <c r="G24" s="1752">
        <v>61448305</v>
      </c>
      <c r="H24">
        <v>0</v>
      </c>
      <c r="I24" t="s">
        <v>2360</v>
      </c>
      <c r="J24" t="str">
        <f t="shared" si="2"/>
        <v>442000</v>
      </c>
      <c r="K24" t="str">
        <f t="shared" si="1"/>
        <v>001</v>
      </c>
      <c r="M24" t="s">
        <v>2361</v>
      </c>
      <c r="N24">
        <v>2</v>
      </c>
      <c r="O24">
        <v>1</v>
      </c>
      <c r="P24">
        <v>1</v>
      </c>
    </row>
    <row r="25" spans="1:16" x14ac:dyDescent="0.3">
      <c r="A25" s="1425">
        <v>45291</v>
      </c>
      <c r="B25" t="s">
        <v>2581</v>
      </c>
      <c r="C25" t="s">
        <v>2358</v>
      </c>
      <c r="D25" t="s">
        <v>2359</v>
      </c>
      <c r="E25" t="s">
        <v>2360</v>
      </c>
      <c r="F25" t="s">
        <v>2582</v>
      </c>
      <c r="G25" s="1752">
        <v>1424400</v>
      </c>
      <c r="H25">
        <v>0</v>
      </c>
      <c r="I25" t="s">
        <v>2360</v>
      </c>
      <c r="J25" t="str">
        <f t="shared" si="2"/>
        <v>442000</v>
      </c>
      <c r="K25" t="str">
        <f t="shared" si="1"/>
        <v>001</v>
      </c>
      <c r="M25" t="s">
        <v>2361</v>
      </c>
      <c r="N25">
        <v>2</v>
      </c>
      <c r="O25">
        <v>1</v>
      </c>
      <c r="P25">
        <v>1</v>
      </c>
    </row>
    <row r="26" spans="1:16" x14ac:dyDescent="0.3">
      <c r="A26" s="1425">
        <v>45291</v>
      </c>
      <c r="B26" t="s">
        <v>2583</v>
      </c>
      <c r="C26" t="s">
        <v>2358</v>
      </c>
      <c r="D26" t="s">
        <v>2359</v>
      </c>
      <c r="E26" t="s">
        <v>2360</v>
      </c>
      <c r="F26" t="s">
        <v>2584</v>
      </c>
      <c r="G26" s="1752">
        <v>71981058</v>
      </c>
      <c r="H26">
        <v>0</v>
      </c>
      <c r="I26" t="s">
        <v>2360</v>
      </c>
      <c r="J26" t="str">
        <f t="shared" si="2"/>
        <v>442000</v>
      </c>
      <c r="K26" t="str">
        <f t="shared" si="1"/>
        <v>001</v>
      </c>
      <c r="M26" t="s">
        <v>2361</v>
      </c>
      <c r="N26">
        <v>2</v>
      </c>
      <c r="O26">
        <v>1</v>
      </c>
      <c r="P26">
        <v>1</v>
      </c>
    </row>
    <row r="27" spans="1:16" x14ac:dyDescent="0.3">
      <c r="A27" s="1425"/>
    </row>
    <row r="28" spans="1:16" x14ac:dyDescent="0.3">
      <c r="A28" s="1425"/>
    </row>
    <row r="29" spans="1:16" x14ac:dyDescent="0.3">
      <c r="A29" s="1425"/>
    </row>
    <row r="30" spans="1:16" x14ac:dyDescent="0.3">
      <c r="A30" s="1425"/>
    </row>
    <row r="31" spans="1:16" x14ac:dyDescent="0.3">
      <c r="A31" s="1425"/>
    </row>
    <row r="32" spans="1:16" x14ac:dyDescent="0.3">
      <c r="A32" s="1425"/>
    </row>
    <row r="33" spans="1:7" x14ac:dyDescent="0.3">
      <c r="A33" s="1425"/>
    </row>
    <row r="34" spans="1:7" x14ac:dyDescent="0.3">
      <c r="G34" s="98">
        <f>SUM(G2:G33)</f>
        <v>774012160</v>
      </c>
    </row>
    <row r="36" spans="1:7" x14ac:dyDescent="0.3">
      <c r="G36" s="98">
        <f>SUM(G2,G3,G6,G7,G8,G9,G10,G11,G12,G13,G14,G15,G17,G18,G20,G21,G23,G24,G26)</f>
        <v>768310550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R50"/>
  <sheetViews>
    <sheetView topLeftCell="A25" zoomScale="70" zoomScaleNormal="70" workbookViewId="0">
      <selection activeCell="I25" sqref="I25"/>
    </sheetView>
  </sheetViews>
  <sheetFormatPr baseColWidth="10" defaultRowHeight="14.4" x14ac:dyDescent="0.3"/>
  <cols>
    <col min="1" max="1" width="10.88671875" style="1425"/>
    <col min="6" max="6" width="32.5546875" bestFit="1" customWidth="1"/>
    <col min="7" max="7" width="16" style="75" bestFit="1" customWidth="1"/>
  </cols>
  <sheetData>
    <row r="2" spans="1:18" x14ac:dyDescent="0.3">
      <c r="A2" s="1425" t="s">
        <v>2340</v>
      </c>
      <c r="B2" t="s">
        <v>2341</v>
      </c>
      <c r="C2" t="s">
        <v>2342</v>
      </c>
      <c r="D2" t="s">
        <v>2343</v>
      </c>
      <c r="E2" t="s">
        <v>2344</v>
      </c>
      <c r="F2" t="s">
        <v>2345</v>
      </c>
      <c r="G2" s="75" t="s">
        <v>2346</v>
      </c>
      <c r="H2" t="s">
        <v>2347</v>
      </c>
      <c r="I2" t="s">
        <v>2348</v>
      </c>
      <c r="J2" t="s">
        <v>2349</v>
      </c>
      <c r="K2" t="s">
        <v>2350</v>
      </c>
      <c r="L2" t="s">
        <v>2351</v>
      </c>
      <c r="M2" t="s">
        <v>2352</v>
      </c>
      <c r="N2" t="s">
        <v>2353</v>
      </c>
      <c r="O2" t="s">
        <v>2354</v>
      </c>
      <c r="P2" t="s">
        <v>2355</v>
      </c>
      <c r="Q2" t="s">
        <v>2356</v>
      </c>
      <c r="R2" t="s">
        <v>2357</v>
      </c>
    </row>
    <row r="3" spans="1:18" x14ac:dyDescent="0.3">
      <c r="A3" s="1425">
        <v>44957</v>
      </c>
      <c r="B3" t="s">
        <v>2456</v>
      </c>
      <c r="C3" t="s">
        <v>2358</v>
      </c>
      <c r="D3" t="s">
        <v>2457</v>
      </c>
      <c r="E3" t="s">
        <v>2458</v>
      </c>
      <c r="F3" t="s">
        <v>2459</v>
      </c>
      <c r="G3" s="75">
        <v>394027594</v>
      </c>
      <c r="H3">
        <v>0</v>
      </c>
      <c r="I3" t="s">
        <v>2460</v>
      </c>
      <c r="J3" t="s">
        <v>2461</v>
      </c>
      <c r="K3" t="s">
        <v>2423</v>
      </c>
      <c r="M3" t="s">
        <v>2361</v>
      </c>
      <c r="N3">
        <v>2</v>
      </c>
      <c r="O3">
        <v>1</v>
      </c>
      <c r="P3">
        <v>1</v>
      </c>
    </row>
    <row r="4" spans="1:18" x14ac:dyDescent="0.3">
      <c r="A4" s="1425">
        <v>44957</v>
      </c>
      <c r="B4" t="s">
        <v>2462</v>
      </c>
      <c r="C4" t="s">
        <v>2358</v>
      </c>
      <c r="D4" t="s">
        <v>2359</v>
      </c>
      <c r="E4" t="s">
        <v>2360</v>
      </c>
      <c r="F4" t="s">
        <v>2463</v>
      </c>
      <c r="G4" s="75">
        <v>12565728</v>
      </c>
      <c r="H4">
        <v>0</v>
      </c>
      <c r="I4" t="s">
        <v>2360</v>
      </c>
      <c r="K4" t="s">
        <v>2423</v>
      </c>
      <c r="M4" t="s">
        <v>2361</v>
      </c>
      <c r="N4">
        <v>2</v>
      </c>
      <c r="O4">
        <v>1</v>
      </c>
      <c r="P4">
        <v>1</v>
      </c>
    </row>
    <row r="5" spans="1:18" x14ac:dyDescent="0.3">
      <c r="A5" s="1425">
        <v>44957</v>
      </c>
      <c r="B5" t="s">
        <v>2464</v>
      </c>
      <c r="C5" t="s">
        <v>2358</v>
      </c>
      <c r="D5" t="s">
        <v>2457</v>
      </c>
      <c r="E5" t="s">
        <v>2458</v>
      </c>
      <c r="F5" t="s">
        <v>2465</v>
      </c>
      <c r="G5" s="75">
        <v>2929281</v>
      </c>
      <c r="H5">
        <v>0</v>
      </c>
      <c r="I5" t="s">
        <v>2466</v>
      </c>
      <c r="J5" t="s">
        <v>2461</v>
      </c>
      <c r="K5" t="s">
        <v>2423</v>
      </c>
      <c r="M5" t="s">
        <v>2361</v>
      </c>
      <c r="N5">
        <v>2</v>
      </c>
      <c r="O5">
        <v>1</v>
      </c>
      <c r="P5">
        <v>1</v>
      </c>
    </row>
    <row r="6" spans="1:18" x14ac:dyDescent="0.3">
      <c r="A6" s="1425">
        <v>44985</v>
      </c>
      <c r="B6" t="s">
        <v>2467</v>
      </c>
      <c r="C6" t="s">
        <v>2358</v>
      </c>
      <c r="D6" t="s">
        <v>2359</v>
      </c>
      <c r="E6" t="s">
        <v>2360</v>
      </c>
      <c r="F6" t="s">
        <v>2468</v>
      </c>
      <c r="G6" s="75">
        <v>12569236</v>
      </c>
      <c r="H6">
        <v>0</v>
      </c>
      <c r="I6" t="s">
        <v>2360</v>
      </c>
      <c r="K6" t="s">
        <v>2423</v>
      </c>
      <c r="M6" t="s">
        <v>2361</v>
      </c>
      <c r="N6">
        <v>2</v>
      </c>
      <c r="O6">
        <v>1</v>
      </c>
      <c r="P6">
        <v>1</v>
      </c>
    </row>
    <row r="7" spans="1:18" x14ac:dyDescent="0.3">
      <c r="A7" s="1425">
        <v>44985</v>
      </c>
      <c r="B7" t="s">
        <v>2469</v>
      </c>
      <c r="C7" t="s">
        <v>2358</v>
      </c>
      <c r="D7" t="s">
        <v>2457</v>
      </c>
      <c r="E7" t="s">
        <v>2458</v>
      </c>
      <c r="F7" t="s">
        <v>2470</v>
      </c>
      <c r="G7" s="75">
        <v>403268580</v>
      </c>
      <c r="H7">
        <v>0</v>
      </c>
      <c r="I7" t="s">
        <v>2460</v>
      </c>
      <c r="J7" t="s">
        <v>2461</v>
      </c>
      <c r="K7" t="s">
        <v>2423</v>
      </c>
      <c r="M7" t="s">
        <v>2361</v>
      </c>
      <c r="N7">
        <v>2</v>
      </c>
      <c r="O7">
        <v>1</v>
      </c>
      <c r="P7">
        <v>1</v>
      </c>
    </row>
    <row r="8" spans="1:18" x14ac:dyDescent="0.3">
      <c r="A8" s="1425">
        <v>45007</v>
      </c>
      <c r="B8" t="s">
        <v>2471</v>
      </c>
      <c r="C8" t="s">
        <v>2358</v>
      </c>
      <c r="D8" t="s">
        <v>2457</v>
      </c>
      <c r="E8" t="s">
        <v>2458</v>
      </c>
      <c r="F8" t="s">
        <v>2472</v>
      </c>
      <c r="G8" s="75">
        <v>406652107</v>
      </c>
      <c r="H8">
        <v>0</v>
      </c>
      <c r="I8" t="s">
        <v>2473</v>
      </c>
      <c r="J8" t="s">
        <v>2461</v>
      </c>
      <c r="K8" t="s">
        <v>2423</v>
      </c>
      <c r="M8" t="s">
        <v>2361</v>
      </c>
      <c r="N8">
        <v>2</v>
      </c>
      <c r="O8">
        <v>1</v>
      </c>
      <c r="P8">
        <v>1</v>
      </c>
    </row>
    <row r="9" spans="1:18" x14ac:dyDescent="0.3">
      <c r="A9" s="1425">
        <v>45009</v>
      </c>
      <c r="B9" t="s">
        <v>2474</v>
      </c>
      <c r="C9" t="s">
        <v>2358</v>
      </c>
      <c r="D9" t="s">
        <v>2359</v>
      </c>
      <c r="E9" t="s">
        <v>2360</v>
      </c>
      <c r="F9" t="s">
        <v>2475</v>
      </c>
      <c r="G9" s="75">
        <v>12569236</v>
      </c>
      <c r="H9">
        <v>0</v>
      </c>
      <c r="I9" t="s">
        <v>2360</v>
      </c>
      <c r="K9" t="s">
        <v>2423</v>
      </c>
      <c r="M9" t="s">
        <v>2361</v>
      </c>
      <c r="N9">
        <v>2</v>
      </c>
      <c r="O9">
        <v>1</v>
      </c>
      <c r="P9">
        <v>1</v>
      </c>
    </row>
    <row r="10" spans="1:18" x14ac:dyDescent="0.3">
      <c r="A10" s="1425">
        <v>45022</v>
      </c>
      <c r="B10" t="s">
        <v>2476</v>
      </c>
      <c r="C10" t="s">
        <v>2358</v>
      </c>
      <c r="D10" t="s">
        <v>2359</v>
      </c>
      <c r="E10" t="s">
        <v>2360</v>
      </c>
      <c r="F10" t="s">
        <v>2477</v>
      </c>
      <c r="G10" s="75">
        <v>-12569236</v>
      </c>
      <c r="H10">
        <v>0</v>
      </c>
      <c r="I10" t="s">
        <v>2360</v>
      </c>
      <c r="K10" t="s">
        <v>2423</v>
      </c>
      <c r="M10" t="s">
        <v>2361</v>
      </c>
      <c r="N10">
        <v>2</v>
      </c>
      <c r="O10">
        <v>1</v>
      </c>
      <c r="P10">
        <v>1</v>
      </c>
    </row>
    <row r="11" spans="1:18" x14ac:dyDescent="0.3">
      <c r="A11" s="1425">
        <v>45022</v>
      </c>
      <c r="B11" t="s">
        <v>2478</v>
      </c>
      <c r="C11" t="s">
        <v>2358</v>
      </c>
      <c r="D11" t="s">
        <v>2359</v>
      </c>
      <c r="E11" t="s">
        <v>2360</v>
      </c>
      <c r="F11" t="s">
        <v>2479</v>
      </c>
      <c r="G11" s="75">
        <v>12885166</v>
      </c>
      <c r="H11">
        <v>0</v>
      </c>
      <c r="I11" t="s">
        <v>2360</v>
      </c>
      <c r="K11" t="s">
        <v>2423</v>
      </c>
      <c r="M11" t="s">
        <v>2361</v>
      </c>
      <c r="N11">
        <v>2</v>
      </c>
      <c r="O11">
        <v>1</v>
      </c>
      <c r="P11">
        <v>1</v>
      </c>
    </row>
    <row r="12" spans="1:18" x14ac:dyDescent="0.3">
      <c r="A12" s="1425">
        <v>45038</v>
      </c>
      <c r="B12" t="s">
        <v>2480</v>
      </c>
      <c r="C12" t="s">
        <v>2358</v>
      </c>
      <c r="D12" t="s">
        <v>2481</v>
      </c>
      <c r="E12" t="s">
        <v>2481</v>
      </c>
      <c r="F12" t="s">
        <v>2472</v>
      </c>
      <c r="G12" s="75">
        <v>-406652107</v>
      </c>
      <c r="H12">
        <v>0</v>
      </c>
      <c r="I12" t="s">
        <v>2482</v>
      </c>
      <c r="J12" t="s">
        <v>2461</v>
      </c>
      <c r="K12" t="s">
        <v>2423</v>
      </c>
      <c r="M12" t="s">
        <v>2361</v>
      </c>
      <c r="N12">
        <v>2</v>
      </c>
      <c r="O12">
        <v>1</v>
      </c>
      <c r="P12">
        <v>1</v>
      </c>
    </row>
    <row r="13" spans="1:18" x14ac:dyDescent="0.3">
      <c r="A13" s="1425">
        <v>45038</v>
      </c>
      <c r="B13" t="s">
        <v>2483</v>
      </c>
      <c r="C13" t="s">
        <v>2358</v>
      </c>
      <c r="D13" t="s">
        <v>2457</v>
      </c>
      <c r="E13" t="s">
        <v>2458</v>
      </c>
      <c r="F13" t="s">
        <v>2484</v>
      </c>
      <c r="G13" s="75">
        <v>410493659</v>
      </c>
      <c r="H13">
        <v>0</v>
      </c>
      <c r="I13" t="s">
        <v>2485</v>
      </c>
      <c r="J13" t="s">
        <v>2461</v>
      </c>
      <c r="K13" t="s">
        <v>2423</v>
      </c>
      <c r="M13" t="s">
        <v>2361</v>
      </c>
      <c r="N13">
        <v>2</v>
      </c>
      <c r="O13">
        <v>1</v>
      </c>
      <c r="P13">
        <v>1</v>
      </c>
    </row>
    <row r="14" spans="1:18" x14ac:dyDescent="0.3">
      <c r="A14" s="1425">
        <v>45046</v>
      </c>
      <c r="B14" t="s">
        <v>2486</v>
      </c>
      <c r="C14" t="s">
        <v>2358</v>
      </c>
      <c r="D14" t="s">
        <v>2457</v>
      </c>
      <c r="E14" t="s">
        <v>2458</v>
      </c>
      <c r="F14" t="s">
        <v>2487</v>
      </c>
      <c r="G14" s="75">
        <v>399657145</v>
      </c>
      <c r="H14">
        <v>0</v>
      </c>
      <c r="I14" t="s">
        <v>2488</v>
      </c>
      <c r="J14" t="s">
        <v>2461</v>
      </c>
      <c r="K14" t="s">
        <v>2423</v>
      </c>
      <c r="M14" t="s">
        <v>2361</v>
      </c>
      <c r="N14">
        <v>2</v>
      </c>
      <c r="O14">
        <v>1</v>
      </c>
      <c r="P14">
        <v>1</v>
      </c>
    </row>
    <row r="15" spans="1:18" x14ac:dyDescent="0.3">
      <c r="A15" s="1425">
        <v>45046</v>
      </c>
      <c r="B15" t="s">
        <v>2489</v>
      </c>
      <c r="C15" t="s">
        <v>2358</v>
      </c>
      <c r="D15" t="s">
        <v>2359</v>
      </c>
      <c r="E15" t="s">
        <v>2360</v>
      </c>
      <c r="F15" t="s">
        <v>2490</v>
      </c>
      <c r="G15" s="75">
        <v>12502470</v>
      </c>
      <c r="H15">
        <v>0</v>
      </c>
      <c r="I15" t="s">
        <v>2360</v>
      </c>
      <c r="K15" t="s">
        <v>2423</v>
      </c>
      <c r="M15" t="s">
        <v>2361</v>
      </c>
      <c r="N15">
        <v>2</v>
      </c>
      <c r="O15">
        <v>1</v>
      </c>
      <c r="P15">
        <v>1</v>
      </c>
    </row>
    <row r="16" spans="1:18" x14ac:dyDescent="0.3">
      <c r="A16" s="1425">
        <v>45077</v>
      </c>
      <c r="B16" t="s">
        <v>2491</v>
      </c>
      <c r="C16" t="s">
        <v>2358</v>
      </c>
      <c r="D16" t="s">
        <v>2359</v>
      </c>
      <c r="E16" t="s">
        <v>2360</v>
      </c>
      <c r="F16" t="s">
        <v>2492</v>
      </c>
      <c r="G16" s="75">
        <v>11717243</v>
      </c>
      <c r="H16">
        <v>0</v>
      </c>
      <c r="I16" t="s">
        <v>2360</v>
      </c>
      <c r="K16" t="s">
        <v>2423</v>
      </c>
      <c r="M16" t="s">
        <v>2361</v>
      </c>
      <c r="N16">
        <v>2</v>
      </c>
      <c r="O16">
        <v>1</v>
      </c>
      <c r="P16">
        <v>1</v>
      </c>
    </row>
    <row r="17" spans="1:16" x14ac:dyDescent="0.3">
      <c r="A17" s="1425">
        <v>45077</v>
      </c>
      <c r="B17" t="s">
        <v>2493</v>
      </c>
      <c r="C17" t="s">
        <v>2358</v>
      </c>
      <c r="D17" t="s">
        <v>2457</v>
      </c>
      <c r="E17" t="s">
        <v>2458</v>
      </c>
      <c r="F17" t="s">
        <v>2494</v>
      </c>
      <c r="G17" s="75">
        <v>369677744</v>
      </c>
      <c r="H17">
        <v>0</v>
      </c>
      <c r="I17" t="s">
        <v>2495</v>
      </c>
      <c r="J17" t="s">
        <v>2461</v>
      </c>
      <c r="K17" t="s">
        <v>2423</v>
      </c>
      <c r="M17" t="s">
        <v>2361</v>
      </c>
      <c r="N17">
        <v>2</v>
      </c>
      <c r="O17">
        <v>1</v>
      </c>
      <c r="P17">
        <v>1</v>
      </c>
    </row>
    <row r="18" spans="1:16" x14ac:dyDescent="0.3">
      <c r="A18" s="1425">
        <v>45098</v>
      </c>
      <c r="B18" t="s">
        <v>2496</v>
      </c>
      <c r="C18" t="s">
        <v>2358</v>
      </c>
      <c r="D18" t="s">
        <v>2457</v>
      </c>
      <c r="E18" t="s">
        <v>2458</v>
      </c>
      <c r="F18" t="s">
        <v>2497</v>
      </c>
      <c r="G18" s="75">
        <v>330076494</v>
      </c>
      <c r="H18">
        <v>0</v>
      </c>
      <c r="I18" t="s">
        <v>2498</v>
      </c>
      <c r="J18" t="s">
        <v>2461</v>
      </c>
      <c r="K18" t="s">
        <v>2423</v>
      </c>
      <c r="M18" t="s">
        <v>2361</v>
      </c>
      <c r="N18">
        <v>2</v>
      </c>
      <c r="O18">
        <v>1</v>
      </c>
      <c r="P18">
        <v>1</v>
      </c>
    </row>
    <row r="19" spans="1:16" x14ac:dyDescent="0.3">
      <c r="A19" s="1425">
        <v>45099</v>
      </c>
      <c r="B19" t="s">
        <v>2499</v>
      </c>
      <c r="C19" t="s">
        <v>2358</v>
      </c>
      <c r="D19" t="s">
        <v>2359</v>
      </c>
      <c r="E19" t="s">
        <v>2360</v>
      </c>
      <c r="F19" t="s">
        <v>2500</v>
      </c>
      <c r="G19" s="75">
        <v>11717243</v>
      </c>
      <c r="H19">
        <v>0</v>
      </c>
      <c r="I19" t="s">
        <v>2360</v>
      </c>
      <c r="K19" t="s">
        <v>2423</v>
      </c>
      <c r="M19" t="s">
        <v>2361</v>
      </c>
      <c r="N19">
        <v>2</v>
      </c>
      <c r="O19">
        <v>1</v>
      </c>
      <c r="P19">
        <v>1</v>
      </c>
    </row>
    <row r="20" spans="1:16" x14ac:dyDescent="0.3">
      <c r="A20" s="1425">
        <v>45108</v>
      </c>
      <c r="B20" t="s">
        <v>2518</v>
      </c>
      <c r="C20" t="s">
        <v>2358</v>
      </c>
      <c r="D20" t="s">
        <v>2457</v>
      </c>
      <c r="E20" t="s">
        <v>2458</v>
      </c>
      <c r="F20" t="s">
        <v>2519</v>
      </c>
      <c r="G20" s="75">
        <v>-330076494</v>
      </c>
      <c r="H20">
        <v>0</v>
      </c>
      <c r="I20" t="s">
        <v>2520</v>
      </c>
      <c r="J20" t="s">
        <v>2461</v>
      </c>
      <c r="K20" t="s">
        <v>2423</v>
      </c>
      <c r="M20" t="s">
        <v>2361</v>
      </c>
      <c r="N20">
        <v>2</v>
      </c>
      <c r="O20">
        <v>1</v>
      </c>
      <c r="P20">
        <v>1</v>
      </c>
    </row>
    <row r="21" spans="1:16" x14ac:dyDescent="0.3">
      <c r="A21" s="1425">
        <v>45111</v>
      </c>
      <c r="B21" t="s">
        <v>2521</v>
      </c>
      <c r="C21" t="s">
        <v>2358</v>
      </c>
      <c r="D21" t="s">
        <v>2359</v>
      </c>
      <c r="E21" t="s">
        <v>2360</v>
      </c>
      <c r="F21" t="s">
        <v>2500</v>
      </c>
      <c r="G21" s="75">
        <v>-11717243</v>
      </c>
      <c r="H21">
        <v>0</v>
      </c>
      <c r="I21" t="s">
        <v>2360</v>
      </c>
      <c r="K21" t="s">
        <v>2423</v>
      </c>
      <c r="M21" t="s">
        <v>2361</v>
      </c>
      <c r="N21">
        <v>2</v>
      </c>
      <c r="O21">
        <v>1</v>
      </c>
      <c r="P21">
        <v>1</v>
      </c>
    </row>
    <row r="22" spans="1:16" x14ac:dyDescent="0.3">
      <c r="A22" s="1425">
        <v>45111</v>
      </c>
      <c r="B22" t="s">
        <v>2522</v>
      </c>
      <c r="C22" t="s">
        <v>2358</v>
      </c>
      <c r="D22" t="s">
        <v>2359</v>
      </c>
      <c r="E22" t="s">
        <v>2360</v>
      </c>
      <c r="F22" t="s">
        <v>2523</v>
      </c>
      <c r="G22" s="75">
        <v>10527058</v>
      </c>
      <c r="H22">
        <v>0</v>
      </c>
      <c r="I22" t="s">
        <v>2360</v>
      </c>
      <c r="J22" t="s">
        <v>2422</v>
      </c>
      <c r="K22" t="s">
        <v>2423</v>
      </c>
      <c r="M22" t="s">
        <v>2361</v>
      </c>
      <c r="N22">
        <v>2</v>
      </c>
      <c r="O22">
        <v>1</v>
      </c>
      <c r="P22">
        <v>1</v>
      </c>
    </row>
    <row r="23" spans="1:16" x14ac:dyDescent="0.3">
      <c r="A23" s="1425">
        <v>45132</v>
      </c>
      <c r="B23" t="s">
        <v>2524</v>
      </c>
      <c r="C23" t="s">
        <v>2358</v>
      </c>
      <c r="D23" t="s">
        <v>2457</v>
      </c>
      <c r="E23" t="s">
        <v>2458</v>
      </c>
      <c r="F23" t="s">
        <v>2525</v>
      </c>
      <c r="G23" s="75">
        <v>319720945</v>
      </c>
      <c r="H23">
        <v>0</v>
      </c>
      <c r="I23" t="s">
        <v>2526</v>
      </c>
      <c r="J23" t="s">
        <v>2461</v>
      </c>
      <c r="K23" t="s">
        <v>2423</v>
      </c>
      <c r="M23" t="s">
        <v>2361</v>
      </c>
      <c r="N23">
        <v>2</v>
      </c>
      <c r="O23">
        <v>1</v>
      </c>
      <c r="P23">
        <v>1</v>
      </c>
    </row>
    <row r="24" spans="1:16" x14ac:dyDescent="0.3">
      <c r="A24" s="1425">
        <v>45138</v>
      </c>
      <c r="B24" t="s">
        <v>2527</v>
      </c>
      <c r="C24" t="s">
        <v>2358</v>
      </c>
      <c r="D24" t="s">
        <v>2359</v>
      </c>
      <c r="E24" t="s">
        <v>2360</v>
      </c>
      <c r="F24" t="s">
        <v>2528</v>
      </c>
      <c r="G24" s="75">
        <v>10477169</v>
      </c>
      <c r="H24">
        <v>0</v>
      </c>
      <c r="I24" t="s">
        <v>2360</v>
      </c>
      <c r="J24" t="s">
        <v>2422</v>
      </c>
      <c r="K24" t="s">
        <v>2423</v>
      </c>
      <c r="M24" t="s">
        <v>2361</v>
      </c>
      <c r="N24">
        <v>2</v>
      </c>
      <c r="O24">
        <v>1</v>
      </c>
      <c r="P24">
        <v>1</v>
      </c>
    </row>
    <row r="25" spans="1:16" x14ac:dyDescent="0.3">
      <c r="A25" s="1425">
        <v>45138</v>
      </c>
      <c r="B25" t="s">
        <v>2529</v>
      </c>
      <c r="C25" t="s">
        <v>2358</v>
      </c>
      <c r="D25" t="s">
        <v>2457</v>
      </c>
      <c r="E25" t="s">
        <v>2458</v>
      </c>
      <c r="F25" t="s">
        <v>2530</v>
      </c>
      <c r="G25" s="75">
        <v>329647207</v>
      </c>
      <c r="H25">
        <v>0</v>
      </c>
      <c r="I25" t="s">
        <v>2531</v>
      </c>
      <c r="J25" t="s">
        <v>2461</v>
      </c>
      <c r="K25" t="s">
        <v>2423</v>
      </c>
      <c r="M25" t="s">
        <v>2361</v>
      </c>
      <c r="N25">
        <v>2</v>
      </c>
      <c r="O25">
        <v>1</v>
      </c>
      <c r="P25">
        <v>1</v>
      </c>
    </row>
    <row r="26" spans="1:16" x14ac:dyDescent="0.3">
      <c r="A26" s="1425">
        <v>45169</v>
      </c>
      <c r="B26" t="s">
        <v>2532</v>
      </c>
      <c r="C26" t="s">
        <v>2358</v>
      </c>
      <c r="D26" t="s">
        <v>2457</v>
      </c>
      <c r="E26" t="s">
        <v>2458</v>
      </c>
      <c r="F26" t="s">
        <v>2533</v>
      </c>
      <c r="G26" s="75">
        <v>323826344</v>
      </c>
      <c r="H26">
        <v>0</v>
      </c>
      <c r="I26" t="s">
        <v>2534</v>
      </c>
      <c r="J26" t="s">
        <v>2461</v>
      </c>
      <c r="K26" t="s">
        <v>2423</v>
      </c>
      <c r="M26" t="s">
        <v>2361</v>
      </c>
      <c r="N26">
        <v>2</v>
      </c>
      <c r="O26">
        <v>1</v>
      </c>
      <c r="P26">
        <v>1</v>
      </c>
    </row>
    <row r="27" spans="1:16" x14ac:dyDescent="0.3">
      <c r="A27" s="1425">
        <v>45169</v>
      </c>
      <c r="B27" t="s">
        <v>2535</v>
      </c>
      <c r="C27" t="s">
        <v>2358</v>
      </c>
      <c r="D27" t="s">
        <v>2359</v>
      </c>
      <c r="E27" t="s">
        <v>2360</v>
      </c>
      <c r="F27" t="s">
        <v>2536</v>
      </c>
      <c r="G27" s="75">
        <v>10349517</v>
      </c>
      <c r="H27">
        <v>0</v>
      </c>
      <c r="I27" t="s">
        <v>2360</v>
      </c>
      <c r="K27" t="s">
        <v>2423</v>
      </c>
      <c r="M27" t="s">
        <v>2361</v>
      </c>
      <c r="N27">
        <v>2</v>
      </c>
      <c r="O27">
        <v>1</v>
      </c>
      <c r="P27">
        <v>1</v>
      </c>
    </row>
    <row r="28" spans="1:16" x14ac:dyDescent="0.3">
      <c r="A28" s="1425">
        <v>45189</v>
      </c>
      <c r="B28" t="s">
        <v>2537</v>
      </c>
      <c r="C28" t="s">
        <v>2358</v>
      </c>
      <c r="D28" t="s">
        <v>2359</v>
      </c>
      <c r="E28" t="s">
        <v>2360</v>
      </c>
      <c r="F28" t="s">
        <v>2538</v>
      </c>
      <c r="G28" s="75">
        <v>10349517</v>
      </c>
      <c r="H28">
        <v>0</v>
      </c>
      <c r="I28" t="s">
        <v>2360</v>
      </c>
      <c r="K28" t="s">
        <v>2423</v>
      </c>
      <c r="M28" t="s">
        <v>2361</v>
      </c>
      <c r="N28">
        <v>2</v>
      </c>
      <c r="O28">
        <v>1</v>
      </c>
      <c r="P28">
        <v>1</v>
      </c>
    </row>
    <row r="29" spans="1:16" x14ac:dyDescent="0.3">
      <c r="A29" s="1425">
        <v>45189</v>
      </c>
      <c r="B29" t="s">
        <v>2539</v>
      </c>
      <c r="C29" t="s">
        <v>2358</v>
      </c>
      <c r="D29" t="s">
        <v>2457</v>
      </c>
      <c r="E29" t="s">
        <v>2458</v>
      </c>
      <c r="F29" t="s">
        <v>2540</v>
      </c>
      <c r="G29" s="75">
        <v>311846756</v>
      </c>
      <c r="H29">
        <v>0</v>
      </c>
      <c r="I29" t="s">
        <v>2541</v>
      </c>
      <c r="J29" t="s">
        <v>2461</v>
      </c>
      <c r="K29" t="s">
        <v>2423</v>
      </c>
      <c r="M29" t="s">
        <v>2361</v>
      </c>
      <c r="N29">
        <v>2</v>
      </c>
      <c r="O29">
        <v>1</v>
      </c>
      <c r="P29">
        <v>1</v>
      </c>
    </row>
    <row r="32" spans="1:16" x14ac:dyDescent="0.3">
      <c r="G32"/>
    </row>
    <row r="33" spans="1:16" x14ac:dyDescent="0.3">
      <c r="A33" s="1425">
        <v>45199</v>
      </c>
      <c r="B33" t="s">
        <v>2585</v>
      </c>
      <c r="C33" t="s">
        <v>2358</v>
      </c>
      <c r="D33" t="s">
        <v>2359</v>
      </c>
      <c r="E33" t="s">
        <v>2360</v>
      </c>
      <c r="F33" t="s">
        <v>2538</v>
      </c>
      <c r="G33">
        <v>-10349517</v>
      </c>
      <c r="H33">
        <v>0</v>
      </c>
      <c r="I33" t="s">
        <v>2360</v>
      </c>
      <c r="K33" t="str">
        <f t="shared" ref="K33:K44" si="0">"001"</f>
        <v>001</v>
      </c>
      <c r="M33" t="s">
        <v>2361</v>
      </c>
      <c r="N33">
        <v>2</v>
      </c>
      <c r="O33">
        <v>1</v>
      </c>
      <c r="P33">
        <v>1</v>
      </c>
    </row>
    <row r="34" spans="1:16" x14ac:dyDescent="0.3">
      <c r="A34" s="1425">
        <v>45199</v>
      </c>
      <c r="B34" t="s">
        <v>2586</v>
      </c>
      <c r="C34" t="s">
        <v>2358</v>
      </c>
      <c r="D34" t="s">
        <v>2359</v>
      </c>
      <c r="E34" t="s">
        <v>2360</v>
      </c>
      <c r="F34" t="s">
        <v>2587</v>
      </c>
      <c r="G34">
        <v>10003025</v>
      </c>
      <c r="H34">
        <v>0</v>
      </c>
      <c r="I34" t="s">
        <v>2360</v>
      </c>
      <c r="K34" t="str">
        <f t="shared" si="0"/>
        <v>001</v>
      </c>
      <c r="M34" t="s">
        <v>2361</v>
      </c>
      <c r="N34">
        <v>2</v>
      </c>
      <c r="O34">
        <v>1</v>
      </c>
      <c r="P34">
        <v>1</v>
      </c>
    </row>
    <row r="35" spans="1:16" x14ac:dyDescent="0.3">
      <c r="A35" s="1425">
        <v>45200</v>
      </c>
      <c r="B35" t="s">
        <v>2588</v>
      </c>
      <c r="C35" t="s">
        <v>2358</v>
      </c>
      <c r="D35" t="s">
        <v>2481</v>
      </c>
      <c r="E35" t="s">
        <v>2481</v>
      </c>
      <c r="F35" t="s">
        <v>2589</v>
      </c>
      <c r="G35">
        <v>-311846756</v>
      </c>
      <c r="H35">
        <v>0</v>
      </c>
      <c r="I35" t="s">
        <v>2590</v>
      </c>
      <c r="J35" t="str">
        <f>"408101"</f>
        <v>408101</v>
      </c>
      <c r="K35" t="str">
        <f t="shared" si="0"/>
        <v>001</v>
      </c>
      <c r="M35" t="s">
        <v>2361</v>
      </c>
      <c r="N35">
        <v>2</v>
      </c>
      <c r="O35">
        <v>1</v>
      </c>
      <c r="P35">
        <v>1</v>
      </c>
    </row>
    <row r="36" spans="1:16" x14ac:dyDescent="0.3">
      <c r="A36" s="1425">
        <v>45200</v>
      </c>
      <c r="B36" t="s">
        <v>2591</v>
      </c>
      <c r="C36" t="s">
        <v>2358</v>
      </c>
      <c r="D36" t="s">
        <v>2457</v>
      </c>
      <c r="E36" t="s">
        <v>2458</v>
      </c>
      <c r="F36" t="s">
        <v>2592</v>
      </c>
      <c r="G36">
        <v>313016077</v>
      </c>
      <c r="H36">
        <v>0</v>
      </c>
      <c r="I36" t="s">
        <v>2593</v>
      </c>
      <c r="J36" t="str">
        <f>"408101"</f>
        <v>408101</v>
      </c>
      <c r="K36" t="str">
        <f t="shared" si="0"/>
        <v>001</v>
      </c>
      <c r="M36" t="s">
        <v>2361</v>
      </c>
      <c r="N36">
        <v>2</v>
      </c>
      <c r="O36">
        <v>1</v>
      </c>
      <c r="P36">
        <v>1</v>
      </c>
    </row>
    <row r="37" spans="1:16" x14ac:dyDescent="0.3">
      <c r="A37" s="1425">
        <v>45230</v>
      </c>
      <c r="B37" t="s">
        <v>2594</v>
      </c>
      <c r="C37" t="s">
        <v>2358</v>
      </c>
      <c r="D37" t="s">
        <v>2359</v>
      </c>
      <c r="E37" t="s">
        <v>2360</v>
      </c>
      <c r="F37" t="s">
        <v>2595</v>
      </c>
      <c r="G37">
        <v>10411483</v>
      </c>
      <c r="H37">
        <v>0</v>
      </c>
      <c r="I37" t="s">
        <v>2360</v>
      </c>
      <c r="K37" t="str">
        <f t="shared" si="0"/>
        <v>001</v>
      </c>
      <c r="M37" t="s">
        <v>2361</v>
      </c>
      <c r="N37">
        <v>2</v>
      </c>
      <c r="O37">
        <v>1</v>
      </c>
      <c r="P37">
        <v>1</v>
      </c>
    </row>
    <row r="38" spans="1:16" x14ac:dyDescent="0.3">
      <c r="A38" s="1425">
        <v>45230</v>
      </c>
      <c r="B38" t="s">
        <v>2596</v>
      </c>
      <c r="C38" t="s">
        <v>2358</v>
      </c>
      <c r="D38" t="s">
        <v>2457</v>
      </c>
      <c r="E38" t="s">
        <v>2458</v>
      </c>
      <c r="F38" t="s">
        <v>2597</v>
      </c>
      <c r="G38">
        <v>327011285</v>
      </c>
      <c r="H38">
        <v>0</v>
      </c>
      <c r="I38" t="s">
        <v>2598</v>
      </c>
      <c r="J38" t="str">
        <f>"408101"</f>
        <v>408101</v>
      </c>
      <c r="K38" t="str">
        <f t="shared" si="0"/>
        <v>001</v>
      </c>
      <c r="M38" t="s">
        <v>2361</v>
      </c>
      <c r="N38">
        <v>2</v>
      </c>
      <c r="O38">
        <v>1</v>
      </c>
      <c r="P38">
        <v>1</v>
      </c>
    </row>
    <row r="39" spans="1:16" x14ac:dyDescent="0.3">
      <c r="A39" s="1425">
        <v>45260</v>
      </c>
      <c r="B39" t="s">
        <v>2599</v>
      </c>
      <c r="C39" t="s">
        <v>2358</v>
      </c>
      <c r="D39" t="s">
        <v>2359</v>
      </c>
      <c r="E39" t="s">
        <v>2360</v>
      </c>
      <c r="F39" t="s">
        <v>2600</v>
      </c>
      <c r="G39">
        <v>9725285</v>
      </c>
      <c r="H39">
        <v>0</v>
      </c>
      <c r="I39" t="s">
        <v>2360</v>
      </c>
      <c r="K39" t="str">
        <f t="shared" si="0"/>
        <v>001</v>
      </c>
      <c r="M39" t="s">
        <v>2361</v>
      </c>
      <c r="N39">
        <v>2</v>
      </c>
      <c r="O39">
        <v>1</v>
      </c>
      <c r="P39">
        <v>1</v>
      </c>
    </row>
    <row r="40" spans="1:16" x14ac:dyDescent="0.3">
      <c r="A40" s="1425">
        <v>45260</v>
      </c>
      <c r="B40" t="s">
        <v>2601</v>
      </c>
      <c r="C40" t="s">
        <v>2358</v>
      </c>
      <c r="D40" t="s">
        <v>2457</v>
      </c>
      <c r="E40" t="s">
        <v>2458</v>
      </c>
      <c r="F40" t="s">
        <v>2602</v>
      </c>
      <c r="G40">
        <v>302282369</v>
      </c>
      <c r="H40">
        <v>0</v>
      </c>
      <c r="I40" t="s">
        <v>2603</v>
      </c>
      <c r="J40" t="str">
        <f>"408101"</f>
        <v>408101</v>
      </c>
      <c r="K40" t="str">
        <f t="shared" si="0"/>
        <v>001</v>
      </c>
      <c r="M40" t="s">
        <v>2361</v>
      </c>
      <c r="N40">
        <v>2</v>
      </c>
      <c r="O40">
        <v>1</v>
      </c>
      <c r="P40">
        <v>1</v>
      </c>
    </row>
    <row r="41" spans="1:16" x14ac:dyDescent="0.3">
      <c r="A41" s="1425">
        <v>45291</v>
      </c>
      <c r="B41" t="s">
        <v>2604</v>
      </c>
      <c r="C41" t="s">
        <v>2358</v>
      </c>
      <c r="D41" t="s">
        <v>2359</v>
      </c>
      <c r="E41" t="s">
        <v>2360</v>
      </c>
      <c r="F41" t="s">
        <v>2605</v>
      </c>
      <c r="G41">
        <v>11982406</v>
      </c>
      <c r="H41">
        <v>0</v>
      </c>
      <c r="I41" t="s">
        <v>2360</v>
      </c>
      <c r="K41" t="str">
        <f t="shared" si="0"/>
        <v>001</v>
      </c>
      <c r="M41" t="s">
        <v>2361</v>
      </c>
      <c r="N41">
        <v>2</v>
      </c>
      <c r="O41">
        <v>1</v>
      </c>
      <c r="P41">
        <v>1</v>
      </c>
    </row>
    <row r="42" spans="1:16" x14ac:dyDescent="0.3">
      <c r="A42" s="1425">
        <v>45291</v>
      </c>
      <c r="B42" t="s">
        <v>2606</v>
      </c>
      <c r="C42" t="s">
        <v>2358</v>
      </c>
      <c r="D42" t="s">
        <v>2457</v>
      </c>
      <c r="E42" t="s">
        <v>2458</v>
      </c>
      <c r="F42" t="s">
        <v>2607</v>
      </c>
      <c r="G42">
        <v>375312073</v>
      </c>
      <c r="H42">
        <v>0</v>
      </c>
      <c r="I42" t="s">
        <v>2608</v>
      </c>
      <c r="J42" t="str">
        <f>"408101"</f>
        <v>408101</v>
      </c>
      <c r="K42" t="str">
        <f t="shared" si="0"/>
        <v>001</v>
      </c>
      <c r="M42" t="s">
        <v>2361</v>
      </c>
      <c r="N42">
        <v>2</v>
      </c>
      <c r="O42">
        <v>1</v>
      </c>
      <c r="P42">
        <v>1</v>
      </c>
    </row>
    <row r="43" spans="1:16" x14ac:dyDescent="0.3">
      <c r="A43" s="1425">
        <v>45291</v>
      </c>
      <c r="B43" t="s">
        <v>2609</v>
      </c>
      <c r="C43" t="s">
        <v>2358</v>
      </c>
      <c r="D43" t="s">
        <v>2481</v>
      </c>
      <c r="E43" t="s">
        <v>2481</v>
      </c>
      <c r="F43" t="s">
        <v>2610</v>
      </c>
      <c r="G43">
        <v>-319720945</v>
      </c>
      <c r="H43">
        <v>0</v>
      </c>
      <c r="I43" t="s">
        <v>2611</v>
      </c>
      <c r="J43" t="str">
        <f>"408101"</f>
        <v>408101</v>
      </c>
      <c r="K43" t="str">
        <f t="shared" si="0"/>
        <v>001</v>
      </c>
      <c r="M43" t="s">
        <v>2361</v>
      </c>
      <c r="N43">
        <v>2</v>
      </c>
      <c r="O43">
        <v>1</v>
      </c>
      <c r="P43">
        <v>1</v>
      </c>
    </row>
    <row r="44" spans="1:16" x14ac:dyDescent="0.3">
      <c r="A44" s="1425">
        <v>45291</v>
      </c>
      <c r="B44" t="s">
        <v>2612</v>
      </c>
      <c r="C44" t="s">
        <v>2358</v>
      </c>
      <c r="D44" t="s">
        <v>2457</v>
      </c>
      <c r="E44" t="s">
        <v>2458</v>
      </c>
      <c r="F44" t="s">
        <v>2613</v>
      </c>
      <c r="G44">
        <v>330861256</v>
      </c>
      <c r="H44">
        <v>0</v>
      </c>
      <c r="I44" t="s">
        <v>2614</v>
      </c>
      <c r="J44" t="str">
        <f>"408101"</f>
        <v>408101</v>
      </c>
      <c r="K44" t="str">
        <f t="shared" si="0"/>
        <v>001</v>
      </c>
      <c r="M44" t="s">
        <v>2361</v>
      </c>
      <c r="N44">
        <v>2</v>
      </c>
      <c r="O44">
        <v>1</v>
      </c>
      <c r="P44">
        <v>1</v>
      </c>
    </row>
    <row r="50" spans="7:7" x14ac:dyDescent="0.3">
      <c r="G50" s="75">
        <f>SUM(G3:G49)</f>
        <v>4417726400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37</vt:i4>
      </vt:variant>
      <vt:variant>
        <vt:lpstr>Plages nommées</vt:lpstr>
      </vt:variant>
      <vt:variant>
        <vt:i4>20</vt:i4>
      </vt:variant>
    </vt:vector>
  </HeadingPairs>
  <TitlesOfParts>
    <vt:vector size="57" baseType="lpstr">
      <vt:lpstr>Cover</vt:lpstr>
      <vt:lpstr>Sommaire</vt:lpstr>
      <vt:lpstr>&lt;&lt;Social&gt;&gt;</vt:lpstr>
      <vt:lpstr>BG </vt:lpstr>
      <vt:lpstr>Bilan Actif</vt:lpstr>
      <vt:lpstr>Bilan Passif </vt:lpstr>
      <vt:lpstr>Compte de résultat</vt:lpstr>
      <vt:lpstr>&lt;&lt;Matrice OHADA-IFRS&gt;&gt;</vt:lpstr>
      <vt:lpstr>Passage Actif BC </vt:lpstr>
      <vt:lpstr>Passage Passif BC </vt:lpstr>
      <vt:lpstr>Passage P&amp;L-par nature</vt:lpstr>
      <vt:lpstr>Feuil3</vt:lpstr>
      <vt:lpstr>Passage P&amp;L-par fonction</vt:lpstr>
      <vt:lpstr>Bilan-par flux</vt:lpstr>
      <vt:lpstr>&lt;&lt;IFRS&gt;&gt;</vt:lpstr>
      <vt:lpstr>Bilan (restit)</vt:lpstr>
      <vt:lpstr>P&amp;L-par nature (restit)</vt:lpstr>
      <vt:lpstr>P&amp;L-par fonction (restit)</vt:lpstr>
      <vt:lpstr>&lt;&lt;Annexes&gt;&gt; </vt:lpstr>
      <vt:lpstr>Cartes SIM</vt:lpstr>
      <vt:lpstr>FND-Dettes Fi à LT </vt:lpstr>
      <vt:lpstr>FND-Dettes fi à CT</vt:lpstr>
      <vt:lpstr>PIDR (2)</vt:lpstr>
      <vt:lpstr>PIDR</vt:lpstr>
      <vt:lpstr>Détails des Charges ope</vt:lpstr>
      <vt:lpstr>Activation</vt:lpstr>
      <vt:lpstr>Emprunt BABE</vt:lpstr>
      <vt:lpstr>Amortissment Coris</vt:lpstr>
      <vt:lpstr>SYNTHESE BOA</vt:lpstr>
      <vt:lpstr>Amortissment boa</vt:lpstr>
      <vt:lpstr>TABLEAU CBAO</vt:lpstr>
      <vt:lpstr>Amortissment Cboa</vt:lpstr>
      <vt:lpstr>Emprunt ACE</vt:lpstr>
      <vt:lpstr>Impacts_IFRS.16-09</vt:lpstr>
      <vt:lpstr>Feuil1</vt:lpstr>
      <vt:lpstr>Taxe 5%</vt:lpstr>
      <vt:lpstr>COMMISSION MM</vt:lpstr>
      <vt:lpstr>'Bilan-par flux'!Impression_des_titres</vt:lpstr>
      <vt:lpstr>'&lt;&lt;Annexes&gt;&gt; '!Zone_d_impression</vt:lpstr>
      <vt:lpstr>'&lt;&lt;IFRS&gt;&gt;'!Zone_d_impression</vt:lpstr>
      <vt:lpstr>'&lt;&lt;Matrice OHADA-IFRS&gt;&gt;'!Zone_d_impression</vt:lpstr>
      <vt:lpstr>'&lt;&lt;Social&gt;&gt;'!Zone_d_impression</vt:lpstr>
      <vt:lpstr>'Bilan (restit)'!Zone_d_impression</vt:lpstr>
      <vt:lpstr>'Bilan Actif'!Zone_d_impression</vt:lpstr>
      <vt:lpstr>'Bilan Passif '!Zone_d_impression</vt:lpstr>
      <vt:lpstr>'Cartes SIM'!Zone_d_impression</vt:lpstr>
      <vt:lpstr>'Compte de résultat'!Zone_d_impression</vt:lpstr>
      <vt:lpstr>Cover!Zone_d_impression</vt:lpstr>
      <vt:lpstr>'FND-Dettes fi à CT'!Zone_d_impression</vt:lpstr>
      <vt:lpstr>'FND-Dettes Fi à LT '!Zone_d_impression</vt:lpstr>
      <vt:lpstr>'P&amp;L-par fonction (restit)'!Zone_d_impression</vt:lpstr>
      <vt:lpstr>'Passage Actif BC '!Zone_d_impression</vt:lpstr>
      <vt:lpstr>'Passage P&amp;L-par fonction'!Zone_d_impression</vt:lpstr>
      <vt:lpstr>'Passage P&amp;L-par nature'!Zone_d_impression</vt:lpstr>
      <vt:lpstr>'Passage Passif BC '!Zone_d_impression</vt:lpstr>
      <vt:lpstr>'PIDR (2)'!Zone_d_impression</vt:lpstr>
      <vt:lpstr>Sommaire!Zone_d_impression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 ANTONY</dc:creator>
  <cp:lastModifiedBy>Assane Kamara</cp:lastModifiedBy>
  <cp:lastPrinted>2023-09-30T10:53:12Z</cp:lastPrinted>
  <dcterms:created xsi:type="dcterms:W3CDTF">2020-06-25T14:14:06Z</dcterms:created>
  <dcterms:modified xsi:type="dcterms:W3CDTF">2025-07-02T08:45:26Z</dcterms:modified>
</cp:coreProperties>
</file>